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dunnigan_s\OneDrive - Florida Department of Environmental Protection\OPEN_PROJECTS\gtm-boatuse\data\"/>
    </mc:Choice>
  </mc:AlternateContent>
  <xr:revisionPtr revIDLastSave="0" documentId="8_{FC7EA87D-2DE1-43D5-9F86-4B0E3891EBE3}" xr6:coauthVersionLast="45" xr6:coauthVersionMax="45" xr10:uidLastSave="{00000000-0000-0000-0000-000000000000}"/>
  <bookViews>
    <workbookView xWindow="-120" yWindow="-120" windowWidth="29040" windowHeight="15840" xr2:uid="{00000000-000D-0000-FFFF-FFFF00000000}"/>
  </bookViews>
  <sheets>
    <sheet name="FloatPlanDetails" sheetId="1" r:id="rId1"/>
    <sheet name="Sheet4" sheetId="2" r:id="rId2"/>
    <sheet name="Copy of FloatPlanDetails" sheetId="3" r:id="rId3"/>
    <sheet name="Sheet3" sheetId="4" r:id="rId4"/>
    <sheet name="Form Responses 2" sheetId="5" r:id="rId5"/>
    <sheet name="NVScriptsProperties" sheetId="6" state="hidden" r:id="rId6"/>
    <sheet name="UPGRADED_autoCrat_MergeData_DO_" sheetId="7" state="hidden" r:id="rId7"/>
    <sheet name="UPGRADED_NVScriptsProperties" sheetId="8" state="hidden" r:id="rId8"/>
    <sheet name="DO NOT DELETE - AutoCrat Job Se" sheetId="9" state="hidden"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I227" i="5" l="1"/>
  <c r="AI226" i="5"/>
  <c r="AI225" i="5"/>
  <c r="AI224" i="5"/>
  <c r="AI223" i="5"/>
  <c r="AI222" i="5"/>
  <c r="AI221" i="5"/>
  <c r="AI220" i="5"/>
  <c r="AI219" i="5"/>
  <c r="AI218" i="5"/>
  <c r="AI217" i="5"/>
  <c r="AI216" i="5"/>
  <c r="AI215" i="5"/>
  <c r="AI214" i="5"/>
  <c r="AI213" i="5"/>
  <c r="AI212" i="5"/>
  <c r="AI211" i="5"/>
  <c r="AI210" i="5"/>
  <c r="AI209" i="5"/>
  <c r="AI208" i="5"/>
  <c r="AI207" i="5"/>
  <c r="AI206" i="5"/>
  <c r="AI204" i="5"/>
  <c r="AI203" i="5"/>
  <c r="AI202" i="5"/>
  <c r="AI201" i="5"/>
  <c r="AI200" i="5"/>
  <c r="AI199" i="5"/>
  <c r="AI198" i="5"/>
  <c r="AI197" i="5"/>
  <c r="AI196" i="5"/>
  <c r="AI195" i="5"/>
  <c r="AI194" i="5"/>
  <c r="AI193" i="5"/>
  <c r="AI192" i="5"/>
  <c r="AI191" i="5"/>
  <c r="AI190" i="5"/>
  <c r="AI189" i="5"/>
  <c r="AI188" i="5"/>
  <c r="AI187" i="5"/>
  <c r="AI186" i="5"/>
  <c r="AI185" i="5"/>
  <c r="AI184" i="5"/>
  <c r="AI183" i="5"/>
  <c r="AI182" i="5"/>
  <c r="AI181" i="5"/>
  <c r="AI180" i="5"/>
  <c r="AI179" i="5"/>
  <c r="AI178" i="5"/>
  <c r="AI177" i="5"/>
  <c r="AI176" i="5"/>
  <c r="AI175" i="5"/>
  <c r="AI174" i="5"/>
  <c r="AI173" i="5"/>
  <c r="AI172" i="5"/>
  <c r="AI171" i="5"/>
  <c r="AI170" i="5"/>
  <c r="AI169" i="5"/>
  <c r="AI168" i="5"/>
  <c r="AI167" i="5"/>
  <c r="AI166" i="5"/>
  <c r="AI165" i="5"/>
  <c r="AI164" i="5"/>
  <c r="AI163" i="5"/>
  <c r="AI162" i="5"/>
  <c r="AI161" i="5"/>
  <c r="AI160" i="5"/>
  <c r="AI159" i="5"/>
  <c r="AI158" i="5"/>
  <c r="AI157" i="5"/>
  <c r="AI156" i="5"/>
  <c r="AI155" i="5"/>
  <c r="AI154" i="5"/>
  <c r="AI153" i="5"/>
  <c r="AI152" i="5"/>
  <c r="AI151" i="5"/>
  <c r="AI150" i="5"/>
  <c r="AI149" i="5"/>
  <c r="AI148" i="5"/>
  <c r="AI147" i="5"/>
  <c r="AI146" i="5"/>
  <c r="AI145" i="5"/>
  <c r="AI144" i="5"/>
  <c r="AI143" i="5"/>
  <c r="AI142" i="5"/>
  <c r="AI141" i="5"/>
  <c r="AI140" i="5"/>
  <c r="AI139" i="5"/>
  <c r="AI138" i="5"/>
  <c r="AI137" i="5"/>
  <c r="AI136" i="5"/>
  <c r="AI135" i="5"/>
  <c r="AI134" i="5"/>
  <c r="AI133" i="5"/>
  <c r="AI132" i="5"/>
  <c r="AI131" i="5"/>
  <c r="AI130" i="5"/>
  <c r="AI129" i="5"/>
  <c r="AI128" i="5"/>
  <c r="AI127" i="5"/>
  <c r="AI126" i="5"/>
  <c r="AI125" i="5"/>
  <c r="AI124" i="5"/>
  <c r="AI123" i="5"/>
  <c r="AI122" i="5"/>
  <c r="AI121" i="5"/>
  <c r="AI120" i="5"/>
  <c r="AI119" i="5"/>
  <c r="AI118" i="5"/>
  <c r="AI117" i="5"/>
  <c r="AI116" i="5"/>
  <c r="AI115" i="5"/>
  <c r="AI114" i="5"/>
  <c r="AI113" i="5"/>
  <c r="AI112" i="5"/>
  <c r="AI111" i="5"/>
  <c r="AI110" i="5"/>
  <c r="AI109" i="5"/>
  <c r="AI108" i="5"/>
  <c r="AI107" i="5"/>
  <c r="AI106" i="5"/>
  <c r="AI105" i="5"/>
  <c r="AI104" i="5"/>
  <c r="AI103" i="5"/>
  <c r="AI102" i="5"/>
  <c r="AI101" i="5"/>
  <c r="AI100" i="5"/>
  <c r="AI99" i="5"/>
  <c r="AI98" i="5"/>
  <c r="AI97" i="5"/>
  <c r="AI96" i="5"/>
  <c r="AI95" i="5"/>
  <c r="AI94" i="5"/>
  <c r="AI93" i="5"/>
  <c r="AI92" i="5"/>
  <c r="AI91" i="5"/>
  <c r="AI90" i="5"/>
  <c r="AI89" i="5"/>
  <c r="AI88" i="5"/>
  <c r="AI87" i="5"/>
  <c r="AI86" i="5"/>
  <c r="AI85" i="5"/>
  <c r="AI84" i="5"/>
  <c r="AI83" i="5"/>
  <c r="AI82" i="5"/>
  <c r="AI81" i="5"/>
  <c r="AI80" i="5"/>
  <c r="AI79" i="5"/>
  <c r="AI78" i="5"/>
  <c r="AI77" i="5"/>
  <c r="AI76" i="5"/>
  <c r="AI75" i="5"/>
  <c r="AI74" i="5"/>
  <c r="AI73" i="5"/>
  <c r="AI72" i="5"/>
  <c r="AI71" i="5"/>
  <c r="AI70" i="5"/>
  <c r="AI69" i="5"/>
  <c r="AI68" i="5"/>
  <c r="AI67" i="5"/>
  <c r="AI66" i="5"/>
  <c r="AI65" i="5"/>
  <c r="AI64" i="5"/>
  <c r="AI63" i="5"/>
  <c r="AI62" i="5"/>
  <c r="AI61" i="5"/>
  <c r="AI60" i="5"/>
  <c r="AI59" i="5"/>
  <c r="AI58" i="5"/>
  <c r="AI57" i="5"/>
  <c r="AI56" i="5"/>
  <c r="AI55" i="5"/>
  <c r="AI54" i="5"/>
  <c r="AI53" i="5"/>
  <c r="AI52" i="5"/>
  <c r="AI51" i="5"/>
  <c r="AI50" i="5"/>
  <c r="AI49" i="5"/>
  <c r="AI48" i="5"/>
  <c r="AI47" i="5"/>
  <c r="AI46" i="5"/>
  <c r="AI45" i="5"/>
  <c r="AI44" i="5"/>
  <c r="AI43" i="5"/>
  <c r="AI42" i="5"/>
  <c r="AI41" i="5"/>
  <c r="AI39" i="5"/>
  <c r="AI38" i="5"/>
  <c r="AI37" i="5"/>
  <c r="AI36" i="5"/>
  <c r="AI35" i="5"/>
  <c r="AI34" i="5"/>
  <c r="AI33" i="5"/>
  <c r="AI32" i="5"/>
  <c r="AI31" i="5"/>
  <c r="AI30" i="5"/>
  <c r="AI29" i="5"/>
  <c r="AI28" i="5"/>
  <c r="AI27" i="5"/>
  <c r="P1101" i="3"/>
  <c r="O1101" i="3"/>
  <c r="N1101" i="3"/>
  <c r="M1101" i="3"/>
  <c r="K1101" i="3"/>
  <c r="J1101" i="3"/>
  <c r="I1101" i="3"/>
  <c r="H1101" i="3"/>
  <c r="G1101" i="3"/>
  <c r="F1101" i="3"/>
  <c r="E1101" i="3"/>
  <c r="D1101" i="3"/>
  <c r="C1101" i="3"/>
  <c r="B1101" i="3"/>
  <c r="A1101" i="3"/>
  <c r="P1100" i="3"/>
  <c r="O1100" i="3"/>
  <c r="N1100" i="3"/>
  <c r="M1100" i="3"/>
  <c r="K1100" i="3"/>
  <c r="J1100" i="3"/>
  <c r="I1100" i="3"/>
  <c r="H1100" i="3"/>
  <c r="G1100" i="3"/>
  <c r="F1100" i="3"/>
  <c r="E1100" i="3"/>
  <c r="D1100" i="3"/>
  <c r="C1100" i="3"/>
  <c r="B1100" i="3"/>
  <c r="A1100" i="3"/>
  <c r="P1099" i="3"/>
  <c r="O1099" i="3"/>
  <c r="N1099" i="3"/>
  <c r="M1099" i="3"/>
  <c r="K1099" i="3"/>
  <c r="J1099" i="3"/>
  <c r="I1099" i="3"/>
  <c r="H1099" i="3"/>
  <c r="G1099" i="3"/>
  <c r="F1099" i="3"/>
  <c r="E1099" i="3"/>
  <c r="D1099" i="3"/>
  <c r="C1099" i="3"/>
  <c r="B1099" i="3"/>
  <c r="A1099" i="3"/>
  <c r="P1098" i="3"/>
  <c r="O1098" i="3"/>
  <c r="N1098" i="3"/>
  <c r="M1098" i="3"/>
  <c r="K1098" i="3"/>
  <c r="J1098" i="3"/>
  <c r="I1098" i="3"/>
  <c r="H1098" i="3"/>
  <c r="G1098" i="3"/>
  <c r="F1098" i="3"/>
  <c r="E1098" i="3"/>
  <c r="D1098" i="3"/>
  <c r="C1098" i="3"/>
  <c r="B1098" i="3"/>
  <c r="A1098" i="3"/>
  <c r="P1097" i="3"/>
  <c r="O1097" i="3"/>
  <c r="N1097" i="3"/>
  <c r="M1097" i="3"/>
  <c r="K1097" i="3"/>
  <c r="J1097" i="3"/>
  <c r="I1097" i="3"/>
  <c r="H1097" i="3"/>
  <c r="G1097" i="3"/>
  <c r="F1097" i="3"/>
  <c r="E1097" i="3"/>
  <c r="D1097" i="3"/>
  <c r="C1097" i="3"/>
  <c r="B1097" i="3"/>
  <c r="A1097" i="3"/>
  <c r="P1096" i="3"/>
  <c r="O1096" i="3"/>
  <c r="N1096" i="3"/>
  <c r="M1096" i="3"/>
  <c r="K1096" i="3"/>
  <c r="J1096" i="3"/>
  <c r="I1096" i="3"/>
  <c r="H1096" i="3"/>
  <c r="G1096" i="3"/>
  <c r="F1096" i="3"/>
  <c r="E1096" i="3"/>
  <c r="D1096" i="3"/>
  <c r="C1096" i="3"/>
  <c r="B1096" i="3"/>
  <c r="A1096" i="3"/>
  <c r="P1095" i="3"/>
  <c r="O1095" i="3"/>
  <c r="N1095" i="3"/>
  <c r="M1095" i="3"/>
  <c r="K1095" i="3"/>
  <c r="J1095" i="3"/>
  <c r="I1095" i="3"/>
  <c r="H1095" i="3"/>
  <c r="G1095" i="3"/>
  <c r="F1095" i="3"/>
  <c r="E1095" i="3"/>
  <c r="D1095" i="3"/>
  <c r="C1095" i="3"/>
  <c r="B1095" i="3"/>
  <c r="A1095" i="3"/>
  <c r="P1094" i="3"/>
  <c r="O1094" i="3"/>
  <c r="N1094" i="3"/>
  <c r="M1094" i="3"/>
  <c r="K1094" i="3"/>
  <c r="I1094" i="3"/>
  <c r="H1094" i="3"/>
  <c r="G1094" i="3"/>
  <c r="F1094" i="3"/>
  <c r="E1094" i="3"/>
  <c r="D1094" i="3"/>
  <c r="C1094" i="3"/>
  <c r="B1094" i="3"/>
  <c r="A1094" i="3"/>
  <c r="P1093" i="3"/>
  <c r="O1093" i="3"/>
  <c r="N1093" i="3"/>
  <c r="M1093" i="3"/>
  <c r="K1093" i="3"/>
  <c r="I1093" i="3"/>
  <c r="H1093" i="3"/>
  <c r="F1093" i="3"/>
  <c r="E1093" i="3"/>
  <c r="D1093" i="3"/>
  <c r="C1093" i="3"/>
  <c r="B1093" i="3"/>
  <c r="A1093" i="3"/>
  <c r="P1092" i="3"/>
  <c r="O1092" i="3"/>
  <c r="N1092" i="3"/>
  <c r="M1092" i="3"/>
  <c r="K1092" i="3"/>
  <c r="I1092" i="3"/>
  <c r="H1092" i="3"/>
  <c r="G1092" i="3"/>
  <c r="F1092" i="3"/>
  <c r="E1092" i="3"/>
  <c r="D1092" i="3"/>
  <c r="C1092" i="3"/>
  <c r="B1092" i="3"/>
  <c r="A1092" i="3"/>
  <c r="P1091" i="3"/>
  <c r="O1091" i="3"/>
  <c r="N1091" i="3"/>
  <c r="M1091" i="3"/>
  <c r="K1091" i="3"/>
  <c r="J1091" i="3"/>
  <c r="I1091" i="3"/>
  <c r="H1091" i="3"/>
  <c r="G1091" i="3"/>
  <c r="F1091" i="3"/>
  <c r="E1091" i="3"/>
  <c r="D1091" i="3"/>
  <c r="C1091" i="3"/>
  <c r="B1091" i="3"/>
  <c r="A1091" i="3"/>
  <c r="P1090" i="3"/>
  <c r="O1090" i="3"/>
  <c r="N1090" i="3"/>
  <c r="M1090" i="3"/>
  <c r="K1090" i="3"/>
  <c r="J1090" i="3"/>
  <c r="I1090" i="3"/>
  <c r="H1090" i="3"/>
  <c r="G1090" i="3"/>
  <c r="F1090" i="3"/>
  <c r="E1090" i="3"/>
  <c r="D1090" i="3"/>
  <c r="C1090" i="3"/>
  <c r="B1090" i="3"/>
  <c r="A1090" i="3"/>
  <c r="P1089" i="3"/>
  <c r="O1089" i="3"/>
  <c r="N1089" i="3"/>
  <c r="M1089" i="3"/>
  <c r="K1089" i="3"/>
  <c r="J1089" i="3"/>
  <c r="I1089" i="3"/>
  <c r="H1089" i="3"/>
  <c r="G1089" i="3"/>
  <c r="F1089" i="3"/>
  <c r="E1089" i="3"/>
  <c r="D1089" i="3"/>
  <c r="C1089" i="3"/>
  <c r="B1089" i="3"/>
  <c r="A1089" i="3"/>
  <c r="P1088" i="3"/>
  <c r="O1088" i="3"/>
  <c r="N1088" i="3"/>
  <c r="M1088" i="3"/>
  <c r="K1088" i="3"/>
  <c r="J1088" i="3"/>
  <c r="I1088" i="3"/>
  <c r="H1088" i="3"/>
  <c r="G1088" i="3"/>
  <c r="F1088" i="3"/>
  <c r="E1088" i="3"/>
  <c r="D1088" i="3"/>
  <c r="C1088" i="3"/>
  <c r="B1088" i="3"/>
  <c r="A1088" i="3"/>
  <c r="P1087" i="3"/>
  <c r="O1087" i="3"/>
  <c r="N1087" i="3"/>
  <c r="M1087" i="3"/>
  <c r="K1087" i="3"/>
  <c r="J1087" i="3"/>
  <c r="I1087" i="3"/>
  <c r="H1087" i="3"/>
  <c r="G1087" i="3"/>
  <c r="F1087" i="3"/>
  <c r="E1087" i="3"/>
  <c r="D1087" i="3"/>
  <c r="C1087" i="3"/>
  <c r="B1087" i="3"/>
  <c r="A1087" i="3"/>
  <c r="P1086" i="3"/>
  <c r="O1086" i="3"/>
  <c r="N1086" i="3"/>
  <c r="M1086" i="3"/>
  <c r="K1086" i="3"/>
  <c r="I1086" i="3"/>
  <c r="H1086" i="3"/>
  <c r="G1086" i="3"/>
  <c r="F1086" i="3"/>
  <c r="E1086" i="3"/>
  <c r="D1086" i="3"/>
  <c r="C1086" i="3"/>
  <c r="B1086" i="3"/>
  <c r="A1086" i="3"/>
  <c r="AD1085" i="3"/>
  <c r="P1085" i="3"/>
  <c r="O1085" i="3"/>
  <c r="N1085" i="3"/>
  <c r="M1085" i="3"/>
  <c r="K1085" i="3"/>
  <c r="J1085" i="3"/>
  <c r="I1085" i="3"/>
  <c r="H1085" i="3"/>
  <c r="G1085" i="3"/>
  <c r="F1085" i="3"/>
  <c r="E1085" i="3"/>
  <c r="D1085" i="3"/>
  <c r="C1085" i="3"/>
  <c r="B1085" i="3"/>
  <c r="A1085" i="3"/>
  <c r="P1084" i="3"/>
  <c r="O1084" i="3"/>
  <c r="N1084" i="3"/>
  <c r="M1084" i="3"/>
  <c r="K1084" i="3"/>
  <c r="J1084" i="3"/>
  <c r="I1084" i="3"/>
  <c r="H1084" i="3"/>
  <c r="G1084" i="3"/>
  <c r="F1084" i="3"/>
  <c r="E1084" i="3"/>
  <c r="D1084" i="3"/>
  <c r="C1084" i="3"/>
  <c r="B1084" i="3"/>
  <c r="A1084" i="3"/>
  <c r="O1083" i="3"/>
  <c r="N1083" i="3"/>
  <c r="M1083" i="3"/>
  <c r="K1083" i="3"/>
  <c r="J1083" i="3"/>
  <c r="I1083" i="3"/>
  <c r="H1083" i="3"/>
  <c r="G1083" i="3"/>
  <c r="F1083" i="3"/>
  <c r="E1083" i="3"/>
  <c r="D1083" i="3"/>
  <c r="C1083" i="3"/>
  <c r="B1083" i="3"/>
  <c r="A1083" i="3"/>
  <c r="P1082" i="3"/>
  <c r="O1082" i="3"/>
  <c r="N1082" i="3"/>
  <c r="M1082" i="3"/>
  <c r="L1082" i="3"/>
  <c r="K1082" i="3"/>
  <c r="J1082" i="3"/>
  <c r="I1082" i="3"/>
  <c r="H1082" i="3"/>
  <c r="G1082" i="3"/>
  <c r="F1082" i="3"/>
  <c r="E1082" i="3"/>
  <c r="D1082" i="3"/>
  <c r="C1082" i="3"/>
  <c r="B1082" i="3"/>
  <c r="A1082" i="3"/>
  <c r="P1081" i="3"/>
  <c r="O1081" i="3"/>
  <c r="N1081" i="3"/>
  <c r="M1081" i="3"/>
  <c r="K1081" i="3"/>
  <c r="J1081" i="3"/>
  <c r="I1081" i="3"/>
  <c r="H1081" i="3"/>
  <c r="G1081" i="3"/>
  <c r="F1081" i="3"/>
  <c r="E1081" i="3"/>
  <c r="D1081" i="3"/>
  <c r="C1081" i="3"/>
  <c r="B1081" i="3"/>
  <c r="A1081" i="3"/>
  <c r="P1080" i="3"/>
  <c r="O1080" i="3"/>
  <c r="N1080" i="3"/>
  <c r="M1080" i="3"/>
  <c r="K1080" i="3"/>
  <c r="J1080" i="3"/>
  <c r="I1080" i="3"/>
  <c r="H1080" i="3"/>
  <c r="G1080" i="3"/>
  <c r="F1080" i="3"/>
  <c r="E1080" i="3"/>
  <c r="D1080" i="3"/>
  <c r="C1080" i="3"/>
  <c r="B1080" i="3"/>
  <c r="A1080" i="3"/>
  <c r="P1079" i="3"/>
  <c r="O1079" i="3"/>
  <c r="N1079" i="3"/>
  <c r="M1079" i="3"/>
  <c r="K1079" i="3"/>
  <c r="I1079" i="3"/>
  <c r="H1079" i="3"/>
  <c r="G1079" i="3"/>
  <c r="F1079" i="3"/>
  <c r="E1079" i="3"/>
  <c r="D1079" i="3"/>
  <c r="C1079" i="3"/>
  <c r="B1079" i="3"/>
  <c r="A1079" i="3"/>
  <c r="P1078" i="3"/>
  <c r="O1078" i="3"/>
  <c r="N1078" i="3"/>
  <c r="M1078" i="3"/>
  <c r="K1078" i="3"/>
  <c r="J1078" i="3"/>
  <c r="I1078" i="3"/>
  <c r="H1078" i="3"/>
  <c r="G1078" i="3"/>
  <c r="F1078" i="3"/>
  <c r="E1078" i="3"/>
  <c r="D1078" i="3"/>
  <c r="C1078" i="3"/>
  <c r="B1078" i="3"/>
  <c r="A1078" i="3"/>
  <c r="P1077" i="3"/>
  <c r="O1077" i="3"/>
  <c r="N1077" i="3"/>
  <c r="M1077" i="3"/>
  <c r="K1077" i="3"/>
  <c r="J1077" i="3"/>
  <c r="I1077" i="3"/>
  <c r="H1077" i="3"/>
  <c r="G1077" i="3"/>
  <c r="F1077" i="3"/>
  <c r="E1077" i="3"/>
  <c r="D1077" i="3"/>
  <c r="C1077" i="3"/>
  <c r="B1077" i="3"/>
  <c r="A1077" i="3"/>
  <c r="P1076" i="3"/>
  <c r="O1076" i="3"/>
  <c r="N1076" i="3"/>
  <c r="M1076" i="3"/>
  <c r="K1076" i="3"/>
  <c r="J1076" i="3"/>
  <c r="I1076" i="3"/>
  <c r="H1076" i="3"/>
  <c r="G1076" i="3"/>
  <c r="F1076" i="3"/>
  <c r="E1076" i="3"/>
  <c r="D1076" i="3"/>
  <c r="C1076" i="3"/>
  <c r="B1076" i="3"/>
  <c r="A1076" i="3"/>
  <c r="P1075" i="3"/>
  <c r="O1075" i="3"/>
  <c r="N1075" i="3"/>
  <c r="M1075" i="3"/>
  <c r="K1075" i="3"/>
  <c r="J1075" i="3"/>
  <c r="I1075" i="3"/>
  <c r="H1075" i="3"/>
  <c r="G1075" i="3"/>
  <c r="F1075" i="3"/>
  <c r="E1075" i="3"/>
  <c r="D1075" i="3"/>
  <c r="C1075" i="3"/>
  <c r="B1075" i="3"/>
  <c r="A1075" i="3"/>
  <c r="P1074" i="3"/>
  <c r="O1074" i="3"/>
  <c r="N1074" i="3"/>
  <c r="M1074" i="3"/>
  <c r="K1074" i="3"/>
  <c r="I1074" i="3"/>
  <c r="H1074" i="3"/>
  <c r="G1074" i="3"/>
  <c r="F1074" i="3"/>
  <c r="E1074" i="3"/>
  <c r="D1074" i="3"/>
  <c r="C1074" i="3"/>
  <c r="B1074" i="3"/>
  <c r="A1074" i="3"/>
  <c r="P1073" i="3"/>
  <c r="O1073" i="3"/>
  <c r="N1073" i="3"/>
  <c r="M1073" i="3"/>
  <c r="K1073" i="3"/>
  <c r="J1073" i="3"/>
  <c r="I1073" i="3"/>
  <c r="H1073" i="3"/>
  <c r="G1073" i="3"/>
  <c r="F1073" i="3"/>
  <c r="E1073" i="3"/>
  <c r="D1073" i="3"/>
  <c r="C1073" i="3"/>
  <c r="B1073" i="3"/>
  <c r="A1073" i="3"/>
  <c r="P1072" i="3"/>
  <c r="O1072" i="3"/>
  <c r="N1072" i="3"/>
  <c r="M1072" i="3"/>
  <c r="K1072" i="3"/>
  <c r="J1072" i="3"/>
  <c r="I1072" i="3"/>
  <c r="H1072" i="3"/>
  <c r="G1072" i="3"/>
  <c r="F1072" i="3"/>
  <c r="E1072" i="3"/>
  <c r="D1072" i="3"/>
  <c r="C1072" i="3"/>
  <c r="B1072" i="3"/>
  <c r="A1072" i="3"/>
  <c r="P1071" i="3"/>
  <c r="O1071" i="3"/>
  <c r="N1071" i="3"/>
  <c r="M1071" i="3"/>
  <c r="K1071" i="3"/>
  <c r="I1071" i="3"/>
  <c r="H1071" i="3"/>
  <c r="G1071" i="3"/>
  <c r="F1071" i="3"/>
  <c r="E1071" i="3"/>
  <c r="D1071" i="3"/>
  <c r="C1071" i="3"/>
  <c r="B1071" i="3"/>
  <c r="A1071" i="3"/>
  <c r="P1070" i="3"/>
  <c r="O1070" i="3"/>
  <c r="N1070" i="3"/>
  <c r="M1070" i="3"/>
  <c r="K1070" i="3"/>
  <c r="J1070" i="3"/>
  <c r="I1070" i="3"/>
  <c r="H1070" i="3"/>
  <c r="G1070" i="3"/>
  <c r="F1070" i="3"/>
  <c r="E1070" i="3"/>
  <c r="D1070" i="3"/>
  <c r="C1070" i="3"/>
  <c r="B1070" i="3"/>
  <c r="A1070" i="3"/>
  <c r="P1069" i="3"/>
  <c r="N1069" i="3"/>
  <c r="M1069" i="3"/>
  <c r="K1069" i="3"/>
  <c r="J1069" i="3"/>
  <c r="I1069" i="3"/>
  <c r="H1069" i="3"/>
  <c r="G1069" i="3"/>
  <c r="F1069" i="3"/>
  <c r="E1069" i="3"/>
  <c r="D1069" i="3"/>
  <c r="C1069" i="3"/>
  <c r="B1069" i="3"/>
  <c r="A1069" i="3"/>
  <c r="P1068" i="3"/>
  <c r="O1068" i="3"/>
  <c r="N1068" i="3"/>
  <c r="M1068" i="3"/>
  <c r="K1068" i="3"/>
  <c r="J1068" i="3"/>
  <c r="I1068" i="3"/>
  <c r="H1068" i="3"/>
  <c r="G1068" i="3"/>
  <c r="F1068" i="3"/>
  <c r="E1068" i="3"/>
  <c r="D1068" i="3"/>
  <c r="C1068" i="3"/>
  <c r="B1068" i="3"/>
  <c r="A1068" i="3"/>
  <c r="P1067" i="3"/>
  <c r="O1067" i="3"/>
  <c r="N1067" i="3"/>
  <c r="M1067" i="3"/>
  <c r="K1067" i="3"/>
  <c r="J1067" i="3"/>
  <c r="I1067" i="3"/>
  <c r="H1067" i="3"/>
  <c r="G1067" i="3"/>
  <c r="F1067" i="3"/>
  <c r="E1067" i="3"/>
  <c r="D1067" i="3"/>
  <c r="C1067" i="3"/>
  <c r="B1067" i="3"/>
  <c r="A1067" i="3"/>
  <c r="P1066" i="3"/>
  <c r="O1066" i="3"/>
  <c r="N1066" i="3"/>
  <c r="M1066" i="3"/>
  <c r="K1066" i="3"/>
  <c r="J1066" i="3"/>
  <c r="I1066" i="3"/>
  <c r="H1066" i="3"/>
  <c r="G1066" i="3"/>
  <c r="F1066" i="3"/>
  <c r="E1066" i="3"/>
  <c r="D1066" i="3"/>
  <c r="C1066" i="3"/>
  <c r="B1066" i="3"/>
  <c r="A1066" i="3"/>
  <c r="P1065" i="3"/>
  <c r="O1065" i="3"/>
  <c r="N1065" i="3"/>
  <c r="M1065" i="3"/>
  <c r="K1065" i="3"/>
  <c r="J1065" i="3"/>
  <c r="I1065" i="3"/>
  <c r="H1065" i="3"/>
  <c r="G1065" i="3"/>
  <c r="F1065" i="3"/>
  <c r="E1065" i="3"/>
  <c r="D1065" i="3"/>
  <c r="C1065" i="3"/>
  <c r="B1065" i="3"/>
  <c r="A1065" i="3"/>
  <c r="P1064" i="3"/>
  <c r="O1064" i="3"/>
  <c r="N1064" i="3"/>
  <c r="M1064" i="3"/>
  <c r="K1064" i="3"/>
  <c r="J1064" i="3"/>
  <c r="I1064" i="3"/>
  <c r="H1064" i="3"/>
  <c r="G1064" i="3"/>
  <c r="F1064" i="3"/>
  <c r="E1064" i="3"/>
  <c r="D1064" i="3"/>
  <c r="C1064" i="3"/>
  <c r="B1064" i="3"/>
  <c r="A1064" i="3"/>
  <c r="P1063" i="3"/>
  <c r="O1063" i="3"/>
  <c r="N1063" i="3"/>
  <c r="M1063" i="3"/>
  <c r="K1063" i="3"/>
  <c r="J1063" i="3"/>
  <c r="I1063" i="3"/>
  <c r="H1063" i="3"/>
  <c r="G1063" i="3"/>
  <c r="F1063" i="3"/>
  <c r="E1063" i="3"/>
  <c r="D1063" i="3"/>
  <c r="C1063" i="3"/>
  <c r="B1063" i="3"/>
  <c r="A1063" i="3"/>
  <c r="P1062" i="3"/>
  <c r="O1062" i="3"/>
  <c r="N1062" i="3"/>
  <c r="M1062" i="3"/>
  <c r="K1062" i="3"/>
  <c r="J1062" i="3"/>
  <c r="I1062" i="3"/>
  <c r="H1062" i="3"/>
  <c r="G1062" i="3"/>
  <c r="F1062" i="3"/>
  <c r="E1062" i="3"/>
  <c r="D1062" i="3"/>
  <c r="C1062" i="3"/>
  <c r="B1062" i="3"/>
  <c r="A1062" i="3"/>
  <c r="P1061" i="3"/>
  <c r="O1061" i="3"/>
  <c r="N1061" i="3"/>
  <c r="M1061" i="3"/>
  <c r="K1061" i="3"/>
  <c r="J1061" i="3"/>
  <c r="I1061" i="3"/>
  <c r="H1061" i="3"/>
  <c r="G1061" i="3"/>
  <c r="F1061" i="3"/>
  <c r="E1061" i="3"/>
  <c r="D1061" i="3"/>
  <c r="C1061" i="3"/>
  <c r="B1061" i="3"/>
  <c r="A1061" i="3"/>
  <c r="P1060" i="3"/>
  <c r="O1060" i="3"/>
  <c r="N1060" i="3"/>
  <c r="M1060" i="3"/>
  <c r="K1060" i="3"/>
  <c r="J1060" i="3"/>
  <c r="I1060" i="3"/>
  <c r="H1060" i="3"/>
  <c r="G1060" i="3"/>
  <c r="F1060" i="3"/>
  <c r="E1060" i="3"/>
  <c r="D1060" i="3"/>
  <c r="C1060" i="3"/>
  <c r="B1060" i="3"/>
  <c r="A1060" i="3"/>
  <c r="P1059" i="3"/>
  <c r="O1059" i="3"/>
  <c r="N1059" i="3"/>
  <c r="M1059" i="3"/>
  <c r="K1059" i="3"/>
  <c r="J1059" i="3"/>
  <c r="I1059" i="3"/>
  <c r="H1059" i="3"/>
  <c r="G1059" i="3"/>
  <c r="F1059" i="3"/>
  <c r="E1059" i="3"/>
  <c r="D1059" i="3"/>
  <c r="C1059" i="3"/>
  <c r="B1059" i="3"/>
  <c r="A1059" i="3"/>
  <c r="P1058" i="3"/>
  <c r="O1058" i="3"/>
  <c r="N1058" i="3"/>
  <c r="M1058" i="3"/>
  <c r="K1058" i="3"/>
  <c r="J1058" i="3"/>
  <c r="I1058" i="3"/>
  <c r="H1058" i="3"/>
  <c r="G1058" i="3"/>
  <c r="F1058" i="3"/>
  <c r="E1058" i="3"/>
  <c r="D1058" i="3"/>
  <c r="C1058" i="3"/>
  <c r="B1058" i="3"/>
  <c r="A1058" i="3"/>
  <c r="P1057" i="3"/>
  <c r="O1057" i="3"/>
  <c r="N1057" i="3"/>
  <c r="M1057" i="3"/>
  <c r="K1057" i="3"/>
  <c r="J1057" i="3"/>
  <c r="I1057" i="3"/>
  <c r="H1057" i="3"/>
  <c r="G1057" i="3"/>
  <c r="F1057" i="3"/>
  <c r="E1057" i="3"/>
  <c r="D1057" i="3"/>
  <c r="C1057" i="3"/>
  <c r="B1057" i="3"/>
  <c r="A1057" i="3"/>
  <c r="P1056" i="3"/>
  <c r="O1056" i="3"/>
  <c r="N1056" i="3"/>
  <c r="M1056" i="3"/>
  <c r="K1056" i="3"/>
  <c r="J1056" i="3"/>
  <c r="I1056" i="3"/>
  <c r="H1056" i="3"/>
  <c r="G1056" i="3"/>
  <c r="F1056" i="3"/>
  <c r="E1056" i="3"/>
  <c r="D1056" i="3"/>
  <c r="C1056" i="3"/>
  <c r="B1056" i="3"/>
  <c r="A1056" i="3"/>
  <c r="P1055" i="3"/>
  <c r="O1055" i="3"/>
  <c r="N1055" i="3"/>
  <c r="M1055" i="3"/>
  <c r="K1055" i="3"/>
  <c r="J1055" i="3"/>
  <c r="I1055" i="3"/>
  <c r="H1055" i="3"/>
  <c r="G1055" i="3"/>
  <c r="F1055" i="3"/>
  <c r="E1055" i="3"/>
  <c r="D1055" i="3"/>
  <c r="C1055" i="3"/>
  <c r="B1055" i="3"/>
  <c r="A1055" i="3"/>
  <c r="P1054" i="3"/>
  <c r="O1054" i="3"/>
  <c r="N1054" i="3"/>
  <c r="M1054" i="3"/>
  <c r="K1054" i="3"/>
  <c r="J1054" i="3"/>
  <c r="I1054" i="3"/>
  <c r="H1054" i="3"/>
  <c r="G1054" i="3"/>
  <c r="F1054" i="3"/>
  <c r="E1054" i="3"/>
  <c r="D1054" i="3"/>
  <c r="C1054" i="3"/>
  <c r="B1054" i="3"/>
  <c r="A1054" i="3"/>
  <c r="P1053" i="3"/>
  <c r="O1053" i="3"/>
  <c r="N1053" i="3"/>
  <c r="M1053" i="3"/>
  <c r="K1053" i="3"/>
  <c r="J1053" i="3"/>
  <c r="I1053" i="3"/>
  <c r="H1053" i="3"/>
  <c r="G1053" i="3"/>
  <c r="F1053" i="3"/>
  <c r="E1053" i="3"/>
  <c r="D1053" i="3"/>
  <c r="C1053" i="3"/>
  <c r="B1053" i="3"/>
  <c r="A1053" i="3"/>
  <c r="P1052" i="3"/>
  <c r="O1052" i="3"/>
  <c r="N1052" i="3"/>
  <c r="M1052" i="3"/>
  <c r="K1052" i="3"/>
  <c r="J1052" i="3"/>
  <c r="I1052" i="3"/>
  <c r="H1052" i="3"/>
  <c r="G1052" i="3"/>
  <c r="F1052" i="3"/>
  <c r="E1052" i="3"/>
  <c r="D1052" i="3"/>
  <c r="C1052" i="3"/>
  <c r="B1052" i="3"/>
  <c r="A1052" i="3"/>
  <c r="P1051" i="3"/>
  <c r="O1051" i="3"/>
  <c r="N1051" i="3"/>
  <c r="M1051" i="3"/>
  <c r="K1051" i="3"/>
  <c r="J1051" i="3"/>
  <c r="I1051" i="3"/>
  <c r="H1051" i="3"/>
  <c r="G1051" i="3"/>
  <c r="F1051" i="3"/>
  <c r="E1051" i="3"/>
  <c r="D1051" i="3"/>
  <c r="C1051" i="3"/>
  <c r="B1051" i="3"/>
  <c r="A1051" i="3"/>
  <c r="P1050" i="3"/>
  <c r="O1050" i="3"/>
  <c r="N1050" i="3"/>
  <c r="M1050" i="3"/>
  <c r="K1050" i="3"/>
  <c r="J1050" i="3"/>
  <c r="I1050" i="3"/>
  <c r="H1050" i="3"/>
  <c r="G1050" i="3"/>
  <c r="F1050" i="3"/>
  <c r="E1050" i="3"/>
  <c r="D1050" i="3"/>
  <c r="C1050" i="3"/>
  <c r="B1050" i="3"/>
  <c r="A1050" i="3"/>
  <c r="P1049" i="3"/>
  <c r="O1049" i="3"/>
  <c r="N1049" i="3"/>
  <c r="M1049" i="3"/>
  <c r="K1049" i="3"/>
  <c r="J1049" i="3"/>
  <c r="I1049" i="3"/>
  <c r="H1049" i="3"/>
  <c r="G1049" i="3"/>
  <c r="F1049" i="3"/>
  <c r="E1049" i="3"/>
  <c r="D1049" i="3"/>
  <c r="C1049" i="3"/>
  <c r="B1049" i="3"/>
  <c r="A1049" i="3"/>
  <c r="AE1048" i="3"/>
  <c r="AD1048" i="3"/>
  <c r="P1048" i="3"/>
  <c r="O1048" i="3"/>
  <c r="N1048" i="3"/>
  <c r="M1048" i="3"/>
  <c r="K1048" i="3"/>
  <c r="J1048" i="3"/>
  <c r="I1048" i="3"/>
  <c r="H1048" i="3"/>
  <c r="G1048" i="3"/>
  <c r="F1048" i="3"/>
  <c r="E1048" i="3"/>
  <c r="D1048" i="3"/>
  <c r="C1048" i="3"/>
  <c r="B1048" i="3"/>
  <c r="A1048" i="3"/>
  <c r="P1047" i="3"/>
  <c r="O1047" i="3"/>
  <c r="N1047" i="3"/>
  <c r="M1047" i="3"/>
  <c r="K1047" i="3"/>
  <c r="J1047" i="3"/>
  <c r="I1047" i="3"/>
  <c r="H1047" i="3"/>
  <c r="G1047" i="3"/>
  <c r="F1047" i="3"/>
  <c r="E1047" i="3"/>
  <c r="D1047" i="3"/>
  <c r="C1047" i="3"/>
  <c r="B1047" i="3"/>
  <c r="A1047" i="3"/>
  <c r="P1046" i="3"/>
  <c r="O1046" i="3"/>
  <c r="N1046" i="3"/>
  <c r="M1046" i="3"/>
  <c r="K1046" i="3"/>
  <c r="J1046" i="3"/>
  <c r="I1046" i="3"/>
  <c r="H1046" i="3"/>
  <c r="G1046" i="3"/>
  <c r="F1046" i="3"/>
  <c r="E1046" i="3"/>
  <c r="D1046" i="3"/>
  <c r="C1046" i="3"/>
  <c r="B1046" i="3"/>
  <c r="A1046" i="3"/>
  <c r="P1045" i="3"/>
  <c r="O1045" i="3"/>
  <c r="N1045" i="3"/>
  <c r="M1045" i="3"/>
  <c r="L1045" i="3"/>
  <c r="K1045" i="3"/>
  <c r="J1045" i="3"/>
  <c r="I1045" i="3"/>
  <c r="H1045" i="3"/>
  <c r="G1045" i="3"/>
  <c r="F1045" i="3"/>
  <c r="E1045" i="3"/>
  <c r="D1045" i="3"/>
  <c r="C1045" i="3"/>
  <c r="B1045" i="3"/>
  <c r="A1045" i="3"/>
  <c r="P1044" i="3"/>
  <c r="O1044" i="3"/>
  <c r="N1044" i="3"/>
  <c r="M1044" i="3"/>
  <c r="L1044" i="3"/>
  <c r="K1044" i="3"/>
  <c r="J1044" i="3"/>
  <c r="I1044" i="3"/>
  <c r="H1044" i="3"/>
  <c r="G1044" i="3"/>
  <c r="F1044" i="3"/>
  <c r="E1044" i="3"/>
  <c r="D1044" i="3"/>
  <c r="C1044" i="3"/>
  <c r="B1044" i="3"/>
  <c r="A1044" i="3"/>
  <c r="P1043" i="3"/>
  <c r="O1043" i="3"/>
  <c r="N1043" i="3"/>
  <c r="M1043" i="3"/>
  <c r="K1043" i="3"/>
  <c r="J1043" i="3"/>
  <c r="I1043" i="3"/>
  <c r="H1043" i="3"/>
  <c r="G1043" i="3"/>
  <c r="F1043" i="3"/>
  <c r="E1043" i="3"/>
  <c r="D1043" i="3"/>
  <c r="C1043" i="3"/>
  <c r="B1043" i="3"/>
  <c r="A1043" i="3"/>
  <c r="P1042" i="3"/>
  <c r="O1042" i="3"/>
  <c r="N1042" i="3"/>
  <c r="M1042" i="3"/>
  <c r="K1042" i="3"/>
  <c r="J1042" i="3"/>
  <c r="I1042" i="3"/>
  <c r="H1042" i="3"/>
  <c r="G1042" i="3"/>
  <c r="F1042" i="3"/>
  <c r="E1042" i="3"/>
  <c r="D1042" i="3"/>
  <c r="C1042" i="3"/>
  <c r="B1042" i="3"/>
  <c r="A1042" i="3"/>
  <c r="P1041" i="3"/>
  <c r="O1041" i="3"/>
  <c r="N1041" i="3"/>
  <c r="M1041" i="3"/>
  <c r="K1041" i="3"/>
  <c r="J1041" i="3"/>
  <c r="I1041" i="3"/>
  <c r="H1041" i="3"/>
  <c r="G1041" i="3"/>
  <c r="F1041" i="3"/>
  <c r="E1041" i="3"/>
  <c r="D1041" i="3"/>
  <c r="C1041" i="3"/>
  <c r="B1041" i="3"/>
  <c r="A1041" i="3"/>
  <c r="P1040" i="3"/>
  <c r="O1040" i="3"/>
  <c r="N1040" i="3"/>
  <c r="M1040" i="3"/>
  <c r="K1040" i="3"/>
  <c r="J1040" i="3"/>
  <c r="I1040" i="3"/>
  <c r="H1040" i="3"/>
  <c r="G1040" i="3"/>
  <c r="F1040" i="3"/>
  <c r="E1040" i="3"/>
  <c r="D1040" i="3"/>
  <c r="C1040" i="3"/>
  <c r="B1040" i="3"/>
  <c r="A1040" i="3"/>
  <c r="P1039" i="3"/>
  <c r="O1039" i="3"/>
  <c r="N1039" i="3"/>
  <c r="M1039" i="3"/>
  <c r="K1039" i="3"/>
  <c r="J1039" i="3"/>
  <c r="I1039" i="3"/>
  <c r="H1039" i="3"/>
  <c r="G1039" i="3"/>
  <c r="F1039" i="3"/>
  <c r="E1039" i="3"/>
  <c r="D1039" i="3"/>
  <c r="C1039" i="3"/>
  <c r="B1039" i="3"/>
  <c r="A1039" i="3"/>
  <c r="P1038" i="3"/>
  <c r="O1038" i="3"/>
  <c r="N1038" i="3"/>
  <c r="M1038" i="3"/>
  <c r="K1038" i="3"/>
  <c r="J1038" i="3"/>
  <c r="I1038" i="3"/>
  <c r="H1038" i="3"/>
  <c r="G1038" i="3"/>
  <c r="F1038" i="3"/>
  <c r="E1038" i="3"/>
  <c r="D1038" i="3"/>
  <c r="C1038" i="3"/>
  <c r="B1038" i="3"/>
  <c r="A1038" i="3"/>
  <c r="P1037" i="3"/>
  <c r="O1037" i="3"/>
  <c r="N1037" i="3"/>
  <c r="M1037" i="3"/>
  <c r="K1037" i="3"/>
  <c r="J1037" i="3"/>
  <c r="I1037" i="3"/>
  <c r="H1037" i="3"/>
  <c r="G1037" i="3"/>
  <c r="F1037" i="3"/>
  <c r="E1037" i="3"/>
  <c r="D1037" i="3"/>
  <c r="C1037" i="3"/>
  <c r="B1037" i="3"/>
  <c r="A1037" i="3"/>
  <c r="P1036" i="3"/>
  <c r="O1036" i="3"/>
  <c r="N1036" i="3"/>
  <c r="M1036" i="3"/>
  <c r="K1036" i="3"/>
  <c r="I1036" i="3"/>
  <c r="H1036" i="3"/>
  <c r="G1036" i="3"/>
  <c r="F1036" i="3"/>
  <c r="E1036" i="3"/>
  <c r="D1036" i="3"/>
  <c r="C1036" i="3"/>
  <c r="B1036" i="3"/>
  <c r="A1036" i="3"/>
  <c r="P1035" i="3"/>
  <c r="O1035" i="3"/>
  <c r="N1035" i="3"/>
  <c r="M1035" i="3"/>
  <c r="K1035" i="3"/>
  <c r="J1035" i="3"/>
  <c r="I1035" i="3"/>
  <c r="H1035" i="3"/>
  <c r="G1035" i="3"/>
  <c r="F1035" i="3"/>
  <c r="E1035" i="3"/>
  <c r="D1035" i="3"/>
  <c r="C1035" i="3"/>
  <c r="B1035" i="3"/>
  <c r="A1035" i="3"/>
  <c r="P1034" i="3"/>
  <c r="N1034" i="3"/>
  <c r="M1034" i="3"/>
  <c r="K1034" i="3"/>
  <c r="J1034" i="3"/>
  <c r="I1034" i="3"/>
  <c r="H1034" i="3"/>
  <c r="G1034" i="3"/>
  <c r="F1034" i="3"/>
  <c r="E1034" i="3"/>
  <c r="D1034" i="3"/>
  <c r="C1034" i="3"/>
  <c r="B1034" i="3"/>
  <c r="A1034" i="3"/>
  <c r="P1033" i="3"/>
  <c r="N1033" i="3"/>
  <c r="M1033" i="3"/>
  <c r="K1033" i="3"/>
  <c r="J1033" i="3"/>
  <c r="I1033" i="3"/>
  <c r="H1033" i="3"/>
  <c r="G1033" i="3"/>
  <c r="F1033" i="3"/>
  <c r="E1033" i="3"/>
  <c r="D1033" i="3"/>
  <c r="C1033" i="3"/>
  <c r="B1033" i="3"/>
  <c r="A1033" i="3"/>
  <c r="P1032" i="3"/>
  <c r="N1032" i="3"/>
  <c r="M1032" i="3"/>
  <c r="K1032" i="3"/>
  <c r="J1032" i="3"/>
  <c r="I1032" i="3"/>
  <c r="H1032" i="3"/>
  <c r="G1032" i="3"/>
  <c r="F1032" i="3"/>
  <c r="E1032" i="3"/>
  <c r="D1032" i="3"/>
  <c r="C1032" i="3"/>
  <c r="B1032" i="3"/>
  <c r="A1032" i="3"/>
  <c r="P1031" i="3"/>
  <c r="N1031" i="3"/>
  <c r="M1031" i="3"/>
  <c r="K1031" i="3"/>
  <c r="J1031" i="3"/>
  <c r="I1031" i="3"/>
  <c r="H1031" i="3"/>
  <c r="G1031" i="3"/>
  <c r="F1031" i="3"/>
  <c r="E1031" i="3"/>
  <c r="D1031" i="3"/>
  <c r="C1031" i="3"/>
  <c r="B1031" i="3"/>
  <c r="A1031" i="3"/>
  <c r="P1030" i="3"/>
  <c r="N1030" i="3"/>
  <c r="M1030" i="3"/>
  <c r="K1030" i="3"/>
  <c r="J1030" i="3"/>
  <c r="I1030" i="3"/>
  <c r="H1030" i="3"/>
  <c r="G1030" i="3"/>
  <c r="F1030" i="3"/>
  <c r="E1030" i="3"/>
  <c r="D1030" i="3"/>
  <c r="C1030" i="3"/>
  <c r="B1030" i="3"/>
  <c r="A1030" i="3"/>
  <c r="P1029" i="3"/>
  <c r="N1029" i="3"/>
  <c r="M1029" i="3"/>
  <c r="K1029" i="3"/>
  <c r="J1029" i="3"/>
  <c r="I1029" i="3"/>
  <c r="H1029" i="3"/>
  <c r="G1029" i="3"/>
  <c r="F1029" i="3"/>
  <c r="E1029" i="3"/>
  <c r="D1029" i="3"/>
  <c r="C1029" i="3"/>
  <c r="B1029" i="3"/>
  <c r="A1029" i="3"/>
  <c r="P1028" i="3"/>
  <c r="N1028" i="3"/>
  <c r="M1028" i="3"/>
  <c r="L1028" i="3"/>
  <c r="K1028" i="3"/>
  <c r="J1028" i="3"/>
  <c r="I1028" i="3"/>
  <c r="H1028" i="3"/>
  <c r="G1028" i="3"/>
  <c r="F1028" i="3"/>
  <c r="E1028" i="3"/>
  <c r="D1028" i="3"/>
  <c r="C1028" i="3"/>
  <c r="B1028" i="3"/>
  <c r="A1028" i="3"/>
  <c r="P1027" i="3"/>
  <c r="O1027" i="3"/>
  <c r="N1027" i="3"/>
  <c r="M1027" i="3"/>
  <c r="L1027" i="3"/>
  <c r="K1027" i="3"/>
  <c r="I1027" i="3"/>
  <c r="H1027" i="3"/>
  <c r="G1027" i="3"/>
  <c r="F1027" i="3"/>
  <c r="E1027" i="3"/>
  <c r="D1027" i="3"/>
  <c r="C1027" i="3"/>
  <c r="B1027" i="3"/>
  <c r="A1027" i="3"/>
  <c r="P1026" i="3"/>
  <c r="O1026" i="3"/>
  <c r="N1026" i="3"/>
  <c r="M1026" i="3"/>
  <c r="K1026" i="3"/>
  <c r="J1026" i="3"/>
  <c r="I1026" i="3"/>
  <c r="H1026" i="3"/>
  <c r="G1026" i="3"/>
  <c r="F1026" i="3"/>
  <c r="E1026" i="3"/>
  <c r="D1026" i="3"/>
  <c r="C1026" i="3"/>
  <c r="B1026" i="3"/>
  <c r="A1026" i="3"/>
  <c r="P1025" i="3"/>
  <c r="O1025" i="3"/>
  <c r="N1025" i="3"/>
  <c r="M1025" i="3"/>
  <c r="K1025" i="3"/>
  <c r="J1025" i="3"/>
  <c r="I1025" i="3"/>
  <c r="H1025" i="3"/>
  <c r="G1025" i="3"/>
  <c r="F1025" i="3"/>
  <c r="E1025" i="3"/>
  <c r="D1025" i="3"/>
  <c r="C1025" i="3"/>
  <c r="B1025" i="3"/>
  <c r="A1025" i="3"/>
  <c r="P1024" i="3"/>
  <c r="O1024" i="3"/>
  <c r="N1024" i="3"/>
  <c r="M1024" i="3"/>
  <c r="K1024" i="3"/>
  <c r="J1024" i="3"/>
  <c r="I1024" i="3"/>
  <c r="H1024" i="3"/>
  <c r="G1024" i="3"/>
  <c r="F1024" i="3"/>
  <c r="E1024" i="3"/>
  <c r="D1024" i="3"/>
  <c r="C1024" i="3"/>
  <c r="B1024" i="3"/>
  <c r="A1024" i="3"/>
  <c r="P1023" i="3"/>
  <c r="O1023" i="3"/>
  <c r="N1023" i="3"/>
  <c r="M1023" i="3"/>
  <c r="K1023" i="3"/>
  <c r="J1023" i="3"/>
  <c r="I1023" i="3"/>
  <c r="H1023" i="3"/>
  <c r="G1023" i="3"/>
  <c r="F1023" i="3"/>
  <c r="E1023" i="3"/>
  <c r="D1023" i="3"/>
  <c r="C1023" i="3"/>
  <c r="B1023" i="3"/>
  <c r="A1023" i="3"/>
  <c r="P1022" i="3"/>
  <c r="O1022" i="3"/>
  <c r="N1022" i="3"/>
  <c r="M1022" i="3"/>
  <c r="K1022" i="3"/>
  <c r="J1022" i="3"/>
  <c r="I1022" i="3"/>
  <c r="H1022" i="3"/>
  <c r="G1022" i="3"/>
  <c r="F1022" i="3"/>
  <c r="E1022" i="3"/>
  <c r="D1022" i="3"/>
  <c r="C1022" i="3"/>
  <c r="B1022" i="3"/>
  <c r="A1022" i="3"/>
  <c r="AE1021" i="3"/>
  <c r="AD1021" i="3"/>
  <c r="P1021" i="3"/>
  <c r="O1021" i="3"/>
  <c r="N1021" i="3"/>
  <c r="M1021" i="3"/>
  <c r="K1021" i="3"/>
  <c r="J1021" i="3"/>
  <c r="I1021" i="3"/>
  <c r="H1021" i="3"/>
  <c r="G1021" i="3"/>
  <c r="F1021" i="3"/>
  <c r="E1021" i="3"/>
  <c r="D1021" i="3"/>
  <c r="C1021" i="3"/>
  <c r="B1021" i="3"/>
  <c r="A1021" i="3"/>
  <c r="P1020" i="3"/>
  <c r="O1020" i="3"/>
  <c r="N1020" i="3"/>
  <c r="M1020" i="3"/>
  <c r="K1020" i="3"/>
  <c r="J1020" i="3"/>
  <c r="I1020" i="3"/>
  <c r="H1020" i="3"/>
  <c r="G1020" i="3"/>
  <c r="F1020" i="3"/>
  <c r="E1020" i="3"/>
  <c r="D1020" i="3"/>
  <c r="C1020" i="3"/>
  <c r="B1020" i="3"/>
  <c r="A1020" i="3"/>
  <c r="P1019" i="3"/>
  <c r="O1019" i="3"/>
  <c r="N1019" i="3"/>
  <c r="M1019" i="3"/>
  <c r="K1019" i="3"/>
  <c r="J1019" i="3"/>
  <c r="I1019" i="3"/>
  <c r="H1019" i="3"/>
  <c r="G1019" i="3"/>
  <c r="F1019" i="3"/>
  <c r="E1019" i="3"/>
  <c r="D1019" i="3"/>
  <c r="C1019" i="3"/>
  <c r="B1019" i="3"/>
  <c r="A1019" i="3"/>
  <c r="P1018" i="3"/>
  <c r="O1018" i="3"/>
  <c r="N1018" i="3"/>
  <c r="M1018" i="3"/>
  <c r="K1018" i="3"/>
  <c r="J1018" i="3"/>
  <c r="I1018" i="3"/>
  <c r="H1018" i="3"/>
  <c r="G1018" i="3"/>
  <c r="F1018" i="3"/>
  <c r="E1018" i="3"/>
  <c r="D1018" i="3"/>
  <c r="C1018" i="3"/>
  <c r="B1018" i="3"/>
  <c r="A1018" i="3"/>
  <c r="P1017" i="3"/>
  <c r="N1017" i="3"/>
  <c r="M1017" i="3"/>
  <c r="K1017" i="3"/>
  <c r="J1017" i="3"/>
  <c r="I1017" i="3"/>
  <c r="H1017" i="3"/>
  <c r="G1017" i="3"/>
  <c r="F1017" i="3"/>
  <c r="E1017" i="3"/>
  <c r="D1017" i="3"/>
  <c r="C1017" i="3"/>
  <c r="B1017" i="3"/>
  <c r="A1017" i="3"/>
  <c r="P1016" i="3"/>
  <c r="O1016" i="3"/>
  <c r="N1016" i="3"/>
  <c r="M1016" i="3"/>
  <c r="K1016" i="3"/>
  <c r="J1016" i="3"/>
  <c r="I1016" i="3"/>
  <c r="H1016" i="3"/>
  <c r="G1016" i="3"/>
  <c r="F1016" i="3"/>
  <c r="E1016" i="3"/>
  <c r="D1016" i="3"/>
  <c r="C1016" i="3"/>
  <c r="B1016" i="3"/>
  <c r="A1016" i="3"/>
  <c r="P1015" i="3"/>
  <c r="O1015" i="3"/>
  <c r="N1015" i="3"/>
  <c r="M1015" i="3"/>
  <c r="K1015" i="3"/>
  <c r="J1015" i="3"/>
  <c r="I1015" i="3"/>
  <c r="H1015" i="3"/>
  <c r="G1015" i="3"/>
  <c r="F1015" i="3"/>
  <c r="E1015" i="3"/>
  <c r="D1015" i="3"/>
  <c r="C1015" i="3"/>
  <c r="B1015" i="3"/>
  <c r="A1015" i="3"/>
  <c r="P1014" i="3"/>
  <c r="O1014" i="3"/>
  <c r="N1014" i="3"/>
  <c r="M1014" i="3"/>
  <c r="K1014" i="3"/>
  <c r="J1014" i="3"/>
  <c r="I1014" i="3"/>
  <c r="H1014" i="3"/>
  <c r="G1014" i="3"/>
  <c r="F1014" i="3"/>
  <c r="E1014" i="3"/>
  <c r="D1014" i="3"/>
  <c r="C1014" i="3"/>
  <c r="B1014" i="3"/>
  <c r="A1014" i="3"/>
  <c r="P1013" i="3"/>
  <c r="O1013" i="3"/>
  <c r="N1013" i="3"/>
  <c r="M1013" i="3"/>
  <c r="K1013" i="3"/>
  <c r="J1013" i="3"/>
  <c r="I1013" i="3"/>
  <c r="H1013" i="3"/>
  <c r="G1013" i="3"/>
  <c r="F1013" i="3"/>
  <c r="E1013" i="3"/>
  <c r="D1013" i="3"/>
  <c r="C1013" i="3"/>
  <c r="B1013" i="3"/>
  <c r="A1013" i="3"/>
  <c r="P1012" i="3"/>
  <c r="N1012" i="3"/>
  <c r="M1012" i="3"/>
  <c r="K1012" i="3"/>
  <c r="J1012" i="3"/>
  <c r="I1012" i="3"/>
  <c r="H1012" i="3"/>
  <c r="G1012" i="3"/>
  <c r="F1012" i="3"/>
  <c r="E1012" i="3"/>
  <c r="D1012" i="3"/>
  <c r="C1012" i="3"/>
  <c r="B1012" i="3"/>
  <c r="A1012" i="3"/>
  <c r="P1011" i="3"/>
  <c r="N1011" i="3"/>
  <c r="M1011" i="3"/>
  <c r="K1011" i="3"/>
  <c r="J1011" i="3"/>
  <c r="I1011" i="3"/>
  <c r="H1011" i="3"/>
  <c r="G1011" i="3"/>
  <c r="F1011" i="3"/>
  <c r="E1011" i="3"/>
  <c r="D1011" i="3"/>
  <c r="C1011" i="3"/>
  <c r="B1011" i="3"/>
  <c r="A1011" i="3"/>
  <c r="P1010" i="3"/>
  <c r="O1010" i="3"/>
  <c r="N1010" i="3"/>
  <c r="M1010" i="3"/>
  <c r="K1010" i="3"/>
  <c r="J1010" i="3"/>
  <c r="I1010" i="3"/>
  <c r="H1010" i="3"/>
  <c r="G1010" i="3"/>
  <c r="F1010" i="3"/>
  <c r="E1010" i="3"/>
  <c r="D1010" i="3"/>
  <c r="C1010" i="3"/>
  <c r="B1010" i="3"/>
  <c r="A1010" i="3"/>
  <c r="P1009" i="3"/>
  <c r="N1009" i="3"/>
  <c r="M1009" i="3"/>
  <c r="K1009" i="3"/>
  <c r="J1009" i="3"/>
  <c r="I1009" i="3"/>
  <c r="H1009" i="3"/>
  <c r="G1009" i="3"/>
  <c r="F1009" i="3"/>
  <c r="E1009" i="3"/>
  <c r="D1009" i="3"/>
  <c r="C1009" i="3"/>
  <c r="B1009" i="3"/>
  <c r="A1009" i="3"/>
  <c r="P1008" i="3"/>
  <c r="N1008" i="3"/>
  <c r="M1008" i="3"/>
  <c r="L1008" i="3"/>
  <c r="K1008" i="3"/>
  <c r="J1008" i="3"/>
  <c r="I1008" i="3"/>
  <c r="H1008" i="3"/>
  <c r="G1008" i="3"/>
  <c r="F1008" i="3"/>
  <c r="E1008" i="3"/>
  <c r="D1008" i="3"/>
  <c r="C1008" i="3"/>
  <c r="B1008" i="3"/>
  <c r="A1008" i="3"/>
  <c r="P1007" i="3"/>
  <c r="O1007" i="3"/>
  <c r="N1007" i="3"/>
  <c r="M1007" i="3"/>
  <c r="L1007" i="3"/>
  <c r="K1007" i="3"/>
  <c r="J1007" i="3"/>
  <c r="I1007" i="3"/>
  <c r="H1007" i="3"/>
  <c r="G1007" i="3"/>
  <c r="F1007" i="3"/>
  <c r="E1007" i="3"/>
  <c r="D1007" i="3"/>
  <c r="C1007" i="3"/>
  <c r="B1007" i="3"/>
  <c r="A1007" i="3"/>
  <c r="P1006" i="3"/>
  <c r="O1006" i="3"/>
  <c r="N1006" i="3"/>
  <c r="M1006" i="3"/>
  <c r="K1006" i="3"/>
  <c r="I1006" i="3"/>
  <c r="H1006" i="3"/>
  <c r="G1006" i="3"/>
  <c r="F1006" i="3"/>
  <c r="E1006" i="3"/>
  <c r="D1006" i="3"/>
  <c r="C1006" i="3"/>
  <c r="B1006" i="3"/>
  <c r="A1006" i="3"/>
  <c r="P1005" i="3"/>
  <c r="N1005" i="3"/>
  <c r="M1005" i="3"/>
  <c r="K1005" i="3"/>
  <c r="J1005" i="3"/>
  <c r="I1005" i="3"/>
  <c r="H1005" i="3"/>
  <c r="G1005" i="3"/>
  <c r="F1005" i="3"/>
  <c r="E1005" i="3"/>
  <c r="D1005" i="3"/>
  <c r="C1005" i="3"/>
  <c r="B1005" i="3"/>
  <c r="A1005" i="3"/>
  <c r="P1004" i="3"/>
  <c r="O1004" i="3"/>
  <c r="N1004" i="3"/>
  <c r="M1004" i="3"/>
  <c r="K1004" i="3"/>
  <c r="I1004" i="3"/>
  <c r="H1004" i="3"/>
  <c r="G1004" i="3"/>
  <c r="F1004" i="3"/>
  <c r="E1004" i="3"/>
  <c r="D1004" i="3"/>
  <c r="C1004" i="3"/>
  <c r="B1004" i="3"/>
  <c r="A1004" i="3"/>
  <c r="P1003" i="3"/>
  <c r="O1003" i="3"/>
  <c r="N1003" i="3"/>
  <c r="M1003" i="3"/>
  <c r="K1003" i="3"/>
  <c r="J1003" i="3"/>
  <c r="I1003" i="3"/>
  <c r="H1003" i="3"/>
  <c r="G1003" i="3"/>
  <c r="F1003" i="3"/>
  <c r="E1003" i="3"/>
  <c r="D1003" i="3"/>
  <c r="C1003" i="3"/>
  <c r="B1003" i="3"/>
  <c r="A1003" i="3"/>
  <c r="P1002" i="3"/>
  <c r="O1002" i="3"/>
  <c r="N1002" i="3"/>
  <c r="M1002" i="3"/>
  <c r="K1002" i="3"/>
  <c r="J1002" i="3"/>
  <c r="I1002" i="3"/>
  <c r="H1002" i="3"/>
  <c r="G1002" i="3"/>
  <c r="F1002" i="3"/>
  <c r="E1002" i="3"/>
  <c r="D1002" i="3"/>
  <c r="C1002" i="3"/>
  <c r="B1002" i="3"/>
  <c r="A1002" i="3"/>
  <c r="P1001" i="3"/>
  <c r="O1001" i="3"/>
  <c r="N1001" i="3"/>
  <c r="M1001" i="3"/>
  <c r="K1001" i="3"/>
  <c r="I1001" i="3"/>
  <c r="H1001" i="3"/>
  <c r="G1001" i="3"/>
  <c r="F1001" i="3"/>
  <c r="E1001" i="3"/>
  <c r="D1001" i="3"/>
  <c r="C1001" i="3"/>
  <c r="B1001" i="3"/>
  <c r="A1001" i="3"/>
  <c r="P1000" i="3"/>
  <c r="O1000" i="3"/>
  <c r="N1000" i="3"/>
  <c r="M1000" i="3"/>
  <c r="K1000" i="3"/>
  <c r="J1000" i="3"/>
  <c r="I1000" i="3"/>
  <c r="H1000" i="3"/>
  <c r="G1000" i="3"/>
  <c r="F1000" i="3"/>
  <c r="E1000" i="3"/>
  <c r="D1000" i="3"/>
  <c r="C1000" i="3"/>
  <c r="B1000" i="3"/>
  <c r="A1000" i="3"/>
  <c r="P999" i="3"/>
  <c r="O999" i="3"/>
  <c r="N999" i="3"/>
  <c r="M999" i="3"/>
  <c r="K999" i="3"/>
  <c r="J999" i="3"/>
  <c r="I999" i="3"/>
  <c r="H999" i="3"/>
  <c r="G999" i="3"/>
  <c r="F999" i="3"/>
  <c r="E999" i="3"/>
  <c r="D999" i="3"/>
  <c r="C999" i="3"/>
  <c r="B999" i="3"/>
  <c r="A999" i="3"/>
  <c r="P998" i="3"/>
  <c r="N998" i="3"/>
  <c r="M998" i="3"/>
  <c r="K998" i="3"/>
  <c r="J998" i="3"/>
  <c r="I998" i="3"/>
  <c r="H998" i="3"/>
  <c r="G998" i="3"/>
  <c r="F998" i="3"/>
  <c r="E998" i="3"/>
  <c r="D998" i="3"/>
  <c r="C998" i="3"/>
  <c r="B998" i="3"/>
  <c r="A998" i="3"/>
  <c r="P997" i="3"/>
  <c r="O997" i="3"/>
  <c r="N997" i="3"/>
  <c r="M997" i="3"/>
  <c r="K997" i="3"/>
  <c r="J997" i="3"/>
  <c r="I997" i="3"/>
  <c r="H997" i="3"/>
  <c r="G997" i="3"/>
  <c r="F997" i="3"/>
  <c r="E997" i="3"/>
  <c r="D997" i="3"/>
  <c r="C997" i="3"/>
  <c r="B997" i="3"/>
  <c r="A997" i="3"/>
  <c r="P996" i="3"/>
  <c r="O996" i="3"/>
  <c r="N996" i="3"/>
  <c r="M996" i="3"/>
  <c r="K996" i="3"/>
  <c r="I996" i="3"/>
  <c r="H996" i="3"/>
  <c r="G996" i="3"/>
  <c r="F996" i="3"/>
  <c r="E996" i="3"/>
  <c r="D996" i="3"/>
  <c r="C996" i="3"/>
  <c r="B996" i="3"/>
  <c r="A996" i="3"/>
  <c r="P995" i="3"/>
  <c r="O995" i="3"/>
  <c r="N995" i="3"/>
  <c r="M995" i="3"/>
  <c r="K995" i="3"/>
  <c r="J995" i="3"/>
  <c r="I995" i="3"/>
  <c r="H995" i="3"/>
  <c r="G995" i="3"/>
  <c r="F995" i="3"/>
  <c r="E995" i="3"/>
  <c r="D995" i="3"/>
  <c r="C995" i="3"/>
  <c r="B995" i="3"/>
  <c r="A995" i="3"/>
  <c r="P994" i="3"/>
  <c r="O994" i="3"/>
  <c r="N994" i="3"/>
  <c r="M994" i="3"/>
  <c r="K994" i="3"/>
  <c r="I994" i="3"/>
  <c r="H994" i="3"/>
  <c r="G994" i="3"/>
  <c r="F994" i="3"/>
  <c r="E994" i="3"/>
  <c r="D994" i="3"/>
  <c r="C994" i="3"/>
  <c r="B994" i="3"/>
  <c r="A994" i="3"/>
  <c r="P993" i="3"/>
  <c r="O993" i="3"/>
  <c r="N993" i="3"/>
  <c r="M993" i="3"/>
  <c r="K993" i="3"/>
  <c r="J993" i="3"/>
  <c r="I993" i="3"/>
  <c r="H993" i="3"/>
  <c r="G993" i="3"/>
  <c r="F993" i="3"/>
  <c r="E993" i="3"/>
  <c r="D993" i="3"/>
  <c r="C993" i="3"/>
  <c r="B993" i="3"/>
  <c r="A993" i="3"/>
  <c r="P992" i="3"/>
  <c r="O992" i="3"/>
  <c r="N992" i="3"/>
  <c r="M992" i="3"/>
  <c r="K992" i="3"/>
  <c r="J992" i="3"/>
  <c r="I992" i="3"/>
  <c r="H992" i="3"/>
  <c r="G992" i="3"/>
  <c r="F992" i="3"/>
  <c r="E992" i="3"/>
  <c r="D992" i="3"/>
  <c r="C992" i="3"/>
  <c r="B992" i="3"/>
  <c r="A992" i="3"/>
  <c r="P991" i="3"/>
  <c r="O991" i="3"/>
  <c r="N991" i="3"/>
  <c r="M991" i="3"/>
  <c r="L991" i="3"/>
  <c r="K991" i="3"/>
  <c r="J991" i="3"/>
  <c r="I991" i="3"/>
  <c r="H991" i="3"/>
  <c r="G991" i="3"/>
  <c r="F991" i="3"/>
  <c r="E991" i="3"/>
  <c r="D991" i="3"/>
  <c r="C991" i="3"/>
  <c r="B991" i="3"/>
  <c r="A991" i="3"/>
  <c r="P990" i="3"/>
  <c r="O990" i="3"/>
  <c r="N990" i="3"/>
  <c r="M990" i="3"/>
  <c r="K990" i="3"/>
  <c r="I990" i="3"/>
  <c r="H990" i="3"/>
  <c r="G990" i="3"/>
  <c r="F990" i="3"/>
  <c r="E990" i="3"/>
  <c r="D990" i="3"/>
  <c r="C990" i="3"/>
  <c r="B990" i="3"/>
  <c r="A990" i="3"/>
  <c r="P989" i="3"/>
  <c r="O989" i="3"/>
  <c r="N989" i="3"/>
  <c r="M989" i="3"/>
  <c r="K989" i="3"/>
  <c r="J989" i="3"/>
  <c r="I989" i="3"/>
  <c r="H989" i="3"/>
  <c r="G989" i="3"/>
  <c r="F989" i="3"/>
  <c r="E989" i="3"/>
  <c r="D989" i="3"/>
  <c r="C989" i="3"/>
  <c r="B989" i="3"/>
  <c r="A989" i="3"/>
  <c r="P988" i="3"/>
  <c r="O988" i="3"/>
  <c r="N988" i="3"/>
  <c r="M988" i="3"/>
  <c r="K988" i="3"/>
  <c r="J988" i="3"/>
  <c r="I988" i="3"/>
  <c r="H988" i="3"/>
  <c r="G988" i="3"/>
  <c r="F988" i="3"/>
  <c r="E988" i="3"/>
  <c r="D988" i="3"/>
  <c r="C988" i="3"/>
  <c r="B988" i="3"/>
  <c r="A988" i="3"/>
  <c r="P987" i="3"/>
  <c r="O987" i="3"/>
  <c r="N987" i="3"/>
  <c r="M987" i="3"/>
  <c r="K987" i="3"/>
  <c r="J987" i="3"/>
  <c r="I987" i="3"/>
  <c r="H987" i="3"/>
  <c r="G987" i="3"/>
  <c r="F987" i="3"/>
  <c r="E987" i="3"/>
  <c r="D987" i="3"/>
  <c r="C987" i="3"/>
  <c r="B987" i="3"/>
  <c r="A987" i="3"/>
  <c r="P986" i="3"/>
  <c r="O986" i="3"/>
  <c r="N986" i="3"/>
  <c r="M986" i="3"/>
  <c r="K986" i="3"/>
  <c r="J986" i="3"/>
  <c r="I986" i="3"/>
  <c r="H986" i="3"/>
  <c r="G986" i="3"/>
  <c r="F986" i="3"/>
  <c r="E986" i="3"/>
  <c r="D986" i="3"/>
  <c r="C986" i="3"/>
  <c r="B986" i="3"/>
  <c r="A986" i="3"/>
  <c r="P985" i="3"/>
  <c r="N985" i="3"/>
  <c r="M985" i="3"/>
  <c r="K985" i="3"/>
  <c r="J985" i="3"/>
  <c r="I985" i="3"/>
  <c r="H985" i="3"/>
  <c r="G985" i="3"/>
  <c r="F985" i="3"/>
  <c r="E985" i="3"/>
  <c r="D985" i="3"/>
  <c r="C985" i="3"/>
  <c r="B985" i="3"/>
  <c r="A985" i="3"/>
  <c r="P984" i="3"/>
  <c r="O984" i="3"/>
  <c r="N984" i="3"/>
  <c r="M984" i="3"/>
  <c r="K984" i="3"/>
  <c r="J984" i="3"/>
  <c r="I984" i="3"/>
  <c r="H984" i="3"/>
  <c r="G984" i="3"/>
  <c r="F984" i="3"/>
  <c r="E984" i="3"/>
  <c r="D984" i="3"/>
  <c r="C984" i="3"/>
  <c r="B984" i="3"/>
  <c r="A984" i="3"/>
  <c r="P983" i="3"/>
  <c r="O983" i="3"/>
  <c r="N983" i="3"/>
  <c r="M983" i="3"/>
  <c r="K983" i="3"/>
  <c r="J983" i="3"/>
  <c r="I983" i="3"/>
  <c r="H983" i="3"/>
  <c r="G983" i="3"/>
  <c r="F983" i="3"/>
  <c r="E983" i="3"/>
  <c r="D983" i="3"/>
  <c r="C983" i="3"/>
  <c r="B983" i="3"/>
  <c r="A983" i="3"/>
  <c r="P982" i="3"/>
  <c r="O982" i="3"/>
  <c r="N982" i="3"/>
  <c r="M982" i="3"/>
  <c r="K982" i="3"/>
  <c r="I982" i="3"/>
  <c r="H982" i="3"/>
  <c r="G982" i="3"/>
  <c r="F982" i="3"/>
  <c r="E982" i="3"/>
  <c r="D982" i="3"/>
  <c r="C982" i="3"/>
  <c r="B982" i="3"/>
  <c r="A982" i="3"/>
  <c r="P981" i="3"/>
  <c r="O981" i="3"/>
  <c r="N981" i="3"/>
  <c r="M981" i="3"/>
  <c r="K981" i="3"/>
  <c r="J981" i="3"/>
  <c r="I981" i="3"/>
  <c r="H981" i="3"/>
  <c r="G981" i="3"/>
  <c r="F981" i="3"/>
  <c r="E981" i="3"/>
  <c r="D981" i="3"/>
  <c r="C981" i="3"/>
  <c r="B981" i="3"/>
  <c r="A981" i="3"/>
  <c r="P980" i="3"/>
  <c r="O980" i="3"/>
  <c r="N980" i="3"/>
  <c r="M980" i="3"/>
  <c r="K980" i="3"/>
  <c r="I980" i="3"/>
  <c r="H980" i="3"/>
  <c r="G980" i="3"/>
  <c r="F980" i="3"/>
  <c r="E980" i="3"/>
  <c r="D980" i="3"/>
  <c r="C980" i="3"/>
  <c r="B980" i="3"/>
  <c r="A980" i="3"/>
  <c r="P979" i="3"/>
  <c r="N979" i="3"/>
  <c r="M979" i="3"/>
  <c r="K979" i="3"/>
  <c r="J979" i="3"/>
  <c r="I979" i="3"/>
  <c r="H979" i="3"/>
  <c r="G979" i="3"/>
  <c r="F979" i="3"/>
  <c r="E979" i="3"/>
  <c r="D979" i="3"/>
  <c r="C979" i="3"/>
  <c r="B979" i="3"/>
  <c r="A979" i="3"/>
  <c r="P978" i="3"/>
  <c r="O978" i="3"/>
  <c r="N978" i="3"/>
  <c r="M978" i="3"/>
  <c r="K978" i="3"/>
  <c r="J978" i="3"/>
  <c r="I978" i="3"/>
  <c r="H978" i="3"/>
  <c r="G978" i="3"/>
  <c r="F978" i="3"/>
  <c r="E978" i="3"/>
  <c r="D978" i="3"/>
  <c r="C978" i="3"/>
  <c r="B978" i="3"/>
  <c r="A978" i="3"/>
  <c r="P977" i="3"/>
  <c r="O977" i="3"/>
  <c r="N977" i="3"/>
  <c r="M977" i="3"/>
  <c r="K977" i="3"/>
  <c r="J977" i="3"/>
  <c r="I977" i="3"/>
  <c r="H977" i="3"/>
  <c r="G977" i="3"/>
  <c r="F977" i="3"/>
  <c r="E977" i="3"/>
  <c r="D977" i="3"/>
  <c r="C977" i="3"/>
  <c r="B977" i="3"/>
  <c r="A977" i="3"/>
  <c r="P976" i="3"/>
  <c r="O976" i="3"/>
  <c r="N976" i="3"/>
  <c r="M976" i="3"/>
  <c r="K976" i="3"/>
  <c r="I976" i="3"/>
  <c r="H976" i="3"/>
  <c r="G976" i="3"/>
  <c r="F976" i="3"/>
  <c r="E976" i="3"/>
  <c r="D976" i="3"/>
  <c r="C976" i="3"/>
  <c r="B976" i="3"/>
  <c r="A976" i="3"/>
  <c r="P975" i="3"/>
  <c r="O975" i="3"/>
  <c r="N975" i="3"/>
  <c r="M975" i="3"/>
  <c r="K975" i="3"/>
  <c r="J975" i="3"/>
  <c r="I975" i="3"/>
  <c r="H975" i="3"/>
  <c r="G975" i="3"/>
  <c r="F975" i="3"/>
  <c r="E975" i="3"/>
  <c r="D975" i="3"/>
  <c r="C975" i="3"/>
  <c r="B975" i="3"/>
  <c r="A975" i="3"/>
  <c r="P974" i="3"/>
  <c r="N974" i="3"/>
  <c r="M974" i="3"/>
  <c r="K974" i="3"/>
  <c r="J974" i="3"/>
  <c r="I974" i="3"/>
  <c r="H974" i="3"/>
  <c r="G974" i="3"/>
  <c r="F974" i="3"/>
  <c r="E974" i="3"/>
  <c r="D974" i="3"/>
  <c r="C974" i="3"/>
  <c r="B974" i="3"/>
  <c r="A974" i="3"/>
  <c r="P973" i="3"/>
  <c r="O973" i="3"/>
  <c r="N973" i="3"/>
  <c r="M973" i="3"/>
  <c r="K973" i="3"/>
  <c r="J973" i="3"/>
  <c r="I973" i="3"/>
  <c r="H973" i="3"/>
  <c r="G973" i="3"/>
  <c r="F973" i="3"/>
  <c r="E973" i="3"/>
  <c r="D973" i="3"/>
  <c r="C973" i="3"/>
  <c r="B973" i="3"/>
  <c r="A973" i="3"/>
  <c r="P972" i="3"/>
  <c r="O972" i="3"/>
  <c r="N972" i="3"/>
  <c r="M972" i="3"/>
  <c r="K972" i="3"/>
  <c r="I972" i="3"/>
  <c r="H972" i="3"/>
  <c r="G972" i="3"/>
  <c r="F972" i="3"/>
  <c r="E972" i="3"/>
  <c r="D972" i="3"/>
  <c r="C972" i="3"/>
  <c r="B972" i="3"/>
  <c r="A972" i="3"/>
  <c r="P971" i="3"/>
  <c r="O971" i="3"/>
  <c r="N971" i="3"/>
  <c r="M971" i="3"/>
  <c r="K971" i="3"/>
  <c r="J971" i="3"/>
  <c r="I971" i="3"/>
  <c r="H971" i="3"/>
  <c r="G971" i="3"/>
  <c r="F971" i="3"/>
  <c r="E971" i="3"/>
  <c r="D971" i="3"/>
  <c r="C971" i="3"/>
  <c r="B971" i="3"/>
  <c r="A971" i="3"/>
  <c r="P970" i="3"/>
  <c r="O970" i="3"/>
  <c r="N970" i="3"/>
  <c r="M970" i="3"/>
  <c r="K970" i="3"/>
  <c r="J970" i="3"/>
  <c r="I970" i="3"/>
  <c r="H970" i="3"/>
  <c r="G970" i="3"/>
  <c r="F970" i="3"/>
  <c r="E970" i="3"/>
  <c r="D970" i="3"/>
  <c r="C970" i="3"/>
  <c r="B970" i="3"/>
  <c r="A970" i="3"/>
  <c r="P969" i="3"/>
  <c r="O969" i="3"/>
  <c r="N969" i="3"/>
  <c r="M969" i="3"/>
  <c r="K969" i="3"/>
  <c r="J969" i="3"/>
  <c r="I969" i="3"/>
  <c r="H969" i="3"/>
  <c r="G969" i="3"/>
  <c r="F969" i="3"/>
  <c r="E969" i="3"/>
  <c r="D969" i="3"/>
  <c r="C969" i="3"/>
  <c r="B969" i="3"/>
  <c r="A969" i="3"/>
  <c r="P968" i="3"/>
  <c r="O968" i="3"/>
  <c r="N968" i="3"/>
  <c r="M968" i="3"/>
  <c r="K968" i="3"/>
  <c r="J968" i="3"/>
  <c r="I968" i="3"/>
  <c r="H968" i="3"/>
  <c r="G968" i="3"/>
  <c r="F968" i="3"/>
  <c r="E968" i="3"/>
  <c r="D968" i="3"/>
  <c r="C968" i="3"/>
  <c r="B968" i="3"/>
  <c r="A968" i="3"/>
  <c r="P967" i="3"/>
  <c r="N967" i="3"/>
  <c r="M967" i="3"/>
  <c r="K967" i="3"/>
  <c r="J967" i="3"/>
  <c r="I967" i="3"/>
  <c r="H967" i="3"/>
  <c r="G967" i="3"/>
  <c r="F967" i="3"/>
  <c r="E967" i="3"/>
  <c r="D967" i="3"/>
  <c r="C967" i="3"/>
  <c r="B967" i="3"/>
  <c r="A967" i="3"/>
  <c r="P966" i="3"/>
  <c r="O966" i="3"/>
  <c r="N966" i="3"/>
  <c r="M966" i="3"/>
  <c r="K966" i="3"/>
  <c r="I966" i="3"/>
  <c r="H966" i="3"/>
  <c r="G966" i="3"/>
  <c r="F966" i="3"/>
  <c r="E966" i="3"/>
  <c r="D966" i="3"/>
  <c r="C966" i="3"/>
  <c r="B966" i="3"/>
  <c r="A966" i="3"/>
  <c r="P965" i="3"/>
  <c r="O965" i="3"/>
  <c r="N965" i="3"/>
  <c r="M965" i="3"/>
  <c r="K965" i="3"/>
  <c r="J965" i="3"/>
  <c r="I965" i="3"/>
  <c r="H965" i="3"/>
  <c r="G965" i="3"/>
  <c r="F965" i="3"/>
  <c r="E965" i="3"/>
  <c r="D965" i="3"/>
  <c r="C965" i="3"/>
  <c r="B965" i="3"/>
  <c r="A965" i="3"/>
  <c r="AE964" i="3"/>
  <c r="AD964" i="3"/>
  <c r="P964" i="3"/>
  <c r="O964" i="3"/>
  <c r="N964" i="3"/>
  <c r="M964" i="3"/>
  <c r="K964" i="3"/>
  <c r="J964" i="3"/>
  <c r="I964" i="3"/>
  <c r="H964" i="3"/>
  <c r="G964" i="3"/>
  <c r="F964" i="3"/>
  <c r="E964" i="3"/>
  <c r="D964" i="3"/>
  <c r="C964" i="3"/>
  <c r="B964" i="3"/>
  <c r="A964" i="3"/>
  <c r="P963" i="3"/>
  <c r="O963" i="3"/>
  <c r="N963" i="3"/>
  <c r="M963" i="3"/>
  <c r="K963" i="3"/>
  <c r="J963" i="3"/>
  <c r="I963" i="3"/>
  <c r="H963" i="3"/>
  <c r="G963" i="3"/>
  <c r="F963" i="3"/>
  <c r="E963" i="3"/>
  <c r="D963" i="3"/>
  <c r="C963" i="3"/>
  <c r="B963" i="3"/>
  <c r="A963" i="3"/>
  <c r="P962" i="3"/>
  <c r="N962" i="3"/>
  <c r="M962" i="3"/>
  <c r="K962" i="3"/>
  <c r="J962" i="3"/>
  <c r="I962" i="3"/>
  <c r="H962" i="3"/>
  <c r="G962" i="3"/>
  <c r="F962" i="3"/>
  <c r="E962" i="3"/>
  <c r="D962" i="3"/>
  <c r="C962" i="3"/>
  <c r="B962" i="3"/>
  <c r="A962" i="3"/>
  <c r="P961" i="3"/>
  <c r="O961" i="3"/>
  <c r="N961" i="3"/>
  <c r="M961" i="3"/>
  <c r="K961" i="3"/>
  <c r="J961" i="3"/>
  <c r="I961" i="3"/>
  <c r="H961" i="3"/>
  <c r="G961" i="3"/>
  <c r="F961" i="3"/>
  <c r="E961" i="3"/>
  <c r="D961" i="3"/>
  <c r="C961" i="3"/>
  <c r="B961" i="3"/>
  <c r="A961" i="3"/>
  <c r="P960" i="3"/>
  <c r="N960" i="3"/>
  <c r="M960" i="3"/>
  <c r="K960" i="3"/>
  <c r="J960" i="3"/>
  <c r="I960" i="3"/>
  <c r="H960" i="3"/>
  <c r="G960" i="3"/>
  <c r="F960" i="3"/>
  <c r="E960" i="3"/>
  <c r="D960" i="3"/>
  <c r="C960" i="3"/>
  <c r="B960" i="3"/>
  <c r="A960" i="3"/>
  <c r="P959" i="3"/>
  <c r="O959" i="3"/>
  <c r="N959" i="3"/>
  <c r="M959" i="3"/>
  <c r="K959" i="3"/>
  <c r="J959" i="3"/>
  <c r="I959" i="3"/>
  <c r="H959" i="3"/>
  <c r="G959" i="3"/>
  <c r="F959" i="3"/>
  <c r="E959" i="3"/>
  <c r="D959" i="3"/>
  <c r="C959" i="3"/>
  <c r="B959" i="3"/>
  <c r="A959" i="3"/>
  <c r="P958" i="3"/>
  <c r="N958" i="3"/>
  <c r="M958" i="3"/>
  <c r="K958" i="3"/>
  <c r="J958" i="3"/>
  <c r="I958" i="3"/>
  <c r="H958" i="3"/>
  <c r="G958" i="3"/>
  <c r="F958" i="3"/>
  <c r="E958" i="3"/>
  <c r="D958" i="3"/>
  <c r="C958" i="3"/>
  <c r="B958" i="3"/>
  <c r="A958" i="3"/>
  <c r="P957" i="3"/>
  <c r="O957" i="3"/>
  <c r="N957" i="3"/>
  <c r="M957" i="3"/>
  <c r="K957" i="3"/>
  <c r="J957" i="3"/>
  <c r="I957" i="3"/>
  <c r="H957" i="3"/>
  <c r="G957" i="3"/>
  <c r="F957" i="3"/>
  <c r="E957" i="3"/>
  <c r="D957" i="3"/>
  <c r="C957" i="3"/>
  <c r="B957" i="3"/>
  <c r="A957" i="3"/>
  <c r="P956" i="3"/>
  <c r="O956" i="3"/>
  <c r="N956" i="3"/>
  <c r="M956" i="3"/>
  <c r="K956" i="3"/>
  <c r="J956" i="3"/>
  <c r="I956" i="3"/>
  <c r="H956" i="3"/>
  <c r="G956" i="3"/>
  <c r="F956" i="3"/>
  <c r="E956" i="3"/>
  <c r="D956" i="3"/>
  <c r="C956" i="3"/>
  <c r="B956" i="3"/>
  <c r="A956" i="3"/>
  <c r="P955" i="3"/>
  <c r="O955" i="3"/>
  <c r="N955" i="3"/>
  <c r="M955" i="3"/>
  <c r="K955" i="3"/>
  <c r="J955" i="3"/>
  <c r="I955" i="3"/>
  <c r="H955" i="3"/>
  <c r="G955" i="3"/>
  <c r="F955" i="3"/>
  <c r="E955" i="3"/>
  <c r="D955" i="3"/>
  <c r="C955" i="3"/>
  <c r="B955" i="3"/>
  <c r="A955" i="3"/>
  <c r="P954" i="3"/>
  <c r="O954" i="3"/>
  <c r="N954" i="3"/>
  <c r="M954" i="3"/>
  <c r="K954" i="3"/>
  <c r="J954" i="3"/>
  <c r="I954" i="3"/>
  <c r="H954" i="3"/>
  <c r="G954" i="3"/>
  <c r="F954" i="3"/>
  <c r="E954" i="3"/>
  <c r="D954" i="3"/>
  <c r="C954" i="3"/>
  <c r="B954" i="3"/>
  <c r="A954" i="3"/>
  <c r="P953" i="3"/>
  <c r="O953" i="3"/>
  <c r="N953" i="3"/>
  <c r="M953" i="3"/>
  <c r="K953" i="3"/>
  <c r="J953" i="3"/>
  <c r="I953" i="3"/>
  <c r="H953" i="3"/>
  <c r="G953" i="3"/>
  <c r="F953" i="3"/>
  <c r="E953" i="3"/>
  <c r="D953" i="3"/>
  <c r="C953" i="3"/>
  <c r="B953" i="3"/>
  <c r="A953" i="3"/>
  <c r="P952" i="3"/>
  <c r="O952" i="3"/>
  <c r="N952" i="3"/>
  <c r="M952" i="3"/>
  <c r="K952" i="3"/>
  <c r="J952" i="3"/>
  <c r="I952" i="3"/>
  <c r="H952" i="3"/>
  <c r="G952" i="3"/>
  <c r="F952" i="3"/>
  <c r="E952" i="3"/>
  <c r="D952" i="3"/>
  <c r="C952" i="3"/>
  <c r="B952" i="3"/>
  <c r="A952" i="3"/>
  <c r="P951" i="3"/>
  <c r="O951" i="3"/>
  <c r="N951" i="3"/>
  <c r="M951" i="3"/>
  <c r="K951" i="3"/>
  <c r="I951" i="3"/>
  <c r="H951" i="3"/>
  <c r="G951" i="3"/>
  <c r="F951" i="3"/>
  <c r="E951" i="3"/>
  <c r="D951" i="3"/>
  <c r="C951" i="3"/>
  <c r="B951" i="3"/>
  <c r="A951" i="3"/>
  <c r="P950" i="3"/>
  <c r="O950" i="3"/>
  <c r="N950" i="3"/>
  <c r="M950" i="3"/>
  <c r="K950" i="3"/>
  <c r="I950" i="3"/>
  <c r="H950" i="3"/>
  <c r="G950" i="3"/>
  <c r="F950" i="3"/>
  <c r="E950" i="3"/>
  <c r="D950" i="3"/>
  <c r="C950" i="3"/>
  <c r="B950" i="3"/>
  <c r="A950" i="3"/>
  <c r="P949" i="3"/>
  <c r="O949" i="3"/>
  <c r="N949" i="3"/>
  <c r="M949" i="3"/>
  <c r="K949" i="3"/>
  <c r="J949" i="3"/>
  <c r="I949" i="3"/>
  <c r="H949" i="3"/>
  <c r="G949" i="3"/>
  <c r="F949" i="3"/>
  <c r="E949" i="3"/>
  <c r="D949" i="3"/>
  <c r="C949" i="3"/>
  <c r="B949" i="3"/>
  <c r="A949" i="3"/>
  <c r="P948" i="3"/>
  <c r="O948" i="3"/>
  <c r="N948" i="3"/>
  <c r="M948" i="3"/>
  <c r="K948" i="3"/>
  <c r="J948" i="3"/>
  <c r="I948" i="3"/>
  <c r="H948" i="3"/>
  <c r="G948" i="3"/>
  <c r="F948" i="3"/>
  <c r="E948" i="3"/>
  <c r="D948" i="3"/>
  <c r="C948" i="3"/>
  <c r="B948" i="3"/>
  <c r="A948" i="3"/>
  <c r="P947" i="3"/>
  <c r="N947" i="3"/>
  <c r="M947" i="3"/>
  <c r="K947" i="3"/>
  <c r="J947" i="3"/>
  <c r="I947" i="3"/>
  <c r="H947" i="3"/>
  <c r="G947" i="3"/>
  <c r="F947" i="3"/>
  <c r="E947" i="3"/>
  <c r="D947" i="3"/>
  <c r="C947" i="3"/>
  <c r="B947" i="3"/>
  <c r="A947" i="3"/>
  <c r="P946" i="3"/>
  <c r="O946" i="3"/>
  <c r="N946" i="3"/>
  <c r="M946" i="3"/>
  <c r="K946" i="3"/>
  <c r="J946" i="3"/>
  <c r="I946" i="3"/>
  <c r="H946" i="3"/>
  <c r="G946" i="3"/>
  <c r="F946" i="3"/>
  <c r="E946" i="3"/>
  <c r="D946" i="3"/>
  <c r="C946" i="3"/>
  <c r="B946" i="3"/>
  <c r="A946" i="3"/>
  <c r="P945" i="3"/>
  <c r="O945" i="3"/>
  <c r="N945" i="3"/>
  <c r="M945" i="3"/>
  <c r="K945" i="3"/>
  <c r="J945" i="3"/>
  <c r="I945" i="3"/>
  <c r="H945" i="3"/>
  <c r="G945" i="3"/>
  <c r="F945" i="3"/>
  <c r="E945" i="3"/>
  <c r="D945" i="3"/>
  <c r="C945" i="3"/>
  <c r="B945" i="3"/>
  <c r="A945" i="3"/>
  <c r="P944" i="3"/>
  <c r="O944" i="3"/>
  <c r="N944" i="3"/>
  <c r="M944" i="3"/>
  <c r="K944" i="3"/>
  <c r="J944" i="3"/>
  <c r="I944" i="3"/>
  <c r="H944" i="3"/>
  <c r="G944" i="3"/>
  <c r="F944" i="3"/>
  <c r="E944" i="3"/>
  <c r="D944" i="3"/>
  <c r="C944" i="3"/>
  <c r="B944" i="3"/>
  <c r="A944" i="3"/>
  <c r="P943" i="3"/>
  <c r="O943" i="3"/>
  <c r="N943" i="3"/>
  <c r="M943" i="3"/>
  <c r="K943" i="3"/>
  <c r="J943" i="3"/>
  <c r="I943" i="3"/>
  <c r="H943" i="3"/>
  <c r="G943" i="3"/>
  <c r="F943" i="3"/>
  <c r="E943" i="3"/>
  <c r="D943" i="3"/>
  <c r="C943" i="3"/>
  <c r="B943" i="3"/>
  <c r="A943" i="3"/>
  <c r="P942" i="3"/>
  <c r="O942" i="3"/>
  <c r="N942" i="3"/>
  <c r="M942" i="3"/>
  <c r="K942" i="3"/>
  <c r="J942" i="3"/>
  <c r="I942" i="3"/>
  <c r="H942" i="3"/>
  <c r="G942" i="3"/>
  <c r="F942" i="3"/>
  <c r="E942" i="3"/>
  <c r="D942" i="3"/>
  <c r="C942" i="3"/>
  <c r="B942" i="3"/>
  <c r="A942" i="3"/>
  <c r="P941" i="3"/>
  <c r="O941" i="3"/>
  <c r="N941" i="3"/>
  <c r="M941" i="3"/>
  <c r="K941" i="3"/>
  <c r="J941" i="3"/>
  <c r="I941" i="3"/>
  <c r="H941" i="3"/>
  <c r="G941" i="3"/>
  <c r="F941" i="3"/>
  <c r="E941" i="3"/>
  <c r="D941" i="3"/>
  <c r="C941" i="3"/>
  <c r="B941" i="3"/>
  <c r="A941" i="3"/>
  <c r="P940" i="3"/>
  <c r="O940" i="3"/>
  <c r="N940" i="3"/>
  <c r="M940" i="3"/>
  <c r="K940" i="3"/>
  <c r="J940" i="3"/>
  <c r="I940" i="3"/>
  <c r="H940" i="3"/>
  <c r="G940" i="3"/>
  <c r="F940" i="3"/>
  <c r="E940" i="3"/>
  <c r="D940" i="3"/>
  <c r="C940" i="3"/>
  <c r="B940" i="3"/>
  <c r="A940" i="3"/>
  <c r="P939" i="3"/>
  <c r="O939" i="3"/>
  <c r="N939" i="3"/>
  <c r="M939" i="3"/>
  <c r="K939" i="3"/>
  <c r="J939" i="3"/>
  <c r="I939" i="3"/>
  <c r="H939" i="3"/>
  <c r="G939" i="3"/>
  <c r="F939" i="3"/>
  <c r="E939" i="3"/>
  <c r="D939" i="3"/>
  <c r="C939" i="3"/>
  <c r="B939" i="3"/>
  <c r="A939" i="3"/>
  <c r="P938" i="3"/>
  <c r="N938" i="3"/>
  <c r="M938" i="3"/>
  <c r="K938" i="3"/>
  <c r="J938" i="3"/>
  <c r="I938" i="3"/>
  <c r="H938" i="3"/>
  <c r="G938" i="3"/>
  <c r="F938" i="3"/>
  <c r="E938" i="3"/>
  <c r="D938" i="3"/>
  <c r="C938" i="3"/>
  <c r="B938" i="3"/>
  <c r="A938" i="3"/>
  <c r="P937" i="3"/>
  <c r="O937" i="3"/>
  <c r="N937" i="3"/>
  <c r="M937" i="3"/>
  <c r="K937" i="3"/>
  <c r="J937" i="3"/>
  <c r="I937" i="3"/>
  <c r="H937" i="3"/>
  <c r="G937" i="3"/>
  <c r="F937" i="3"/>
  <c r="E937" i="3"/>
  <c r="D937" i="3"/>
  <c r="C937" i="3"/>
  <c r="B937" i="3"/>
  <c r="A937" i="3"/>
  <c r="P936" i="3"/>
  <c r="O936" i="3"/>
  <c r="N936" i="3"/>
  <c r="M936" i="3"/>
  <c r="K936" i="3"/>
  <c r="J936" i="3"/>
  <c r="I936" i="3"/>
  <c r="H936" i="3"/>
  <c r="G936" i="3"/>
  <c r="F936" i="3"/>
  <c r="E936" i="3"/>
  <c r="D936" i="3"/>
  <c r="C936" i="3"/>
  <c r="B936" i="3"/>
  <c r="A936" i="3"/>
  <c r="P935" i="3"/>
  <c r="N935" i="3"/>
  <c r="M935" i="3"/>
  <c r="K935" i="3"/>
  <c r="J935" i="3"/>
  <c r="I935" i="3"/>
  <c r="H935" i="3"/>
  <c r="G935" i="3"/>
  <c r="F935" i="3"/>
  <c r="E935" i="3"/>
  <c r="D935" i="3"/>
  <c r="C935" i="3"/>
  <c r="B935" i="3"/>
  <c r="A935" i="3"/>
  <c r="P934" i="3"/>
  <c r="N934" i="3"/>
  <c r="M934" i="3"/>
  <c r="K934" i="3"/>
  <c r="J934" i="3"/>
  <c r="I934" i="3"/>
  <c r="H934" i="3"/>
  <c r="G934" i="3"/>
  <c r="F934" i="3"/>
  <c r="E934" i="3"/>
  <c r="D934" i="3"/>
  <c r="C934" i="3"/>
  <c r="B934" i="3"/>
  <c r="A934" i="3"/>
  <c r="P933" i="3"/>
  <c r="O933" i="3"/>
  <c r="N933" i="3"/>
  <c r="M933" i="3"/>
  <c r="K933" i="3"/>
  <c r="J933" i="3"/>
  <c r="I933" i="3"/>
  <c r="H933" i="3"/>
  <c r="G933" i="3"/>
  <c r="F933" i="3"/>
  <c r="E933" i="3"/>
  <c r="D933" i="3"/>
  <c r="C933" i="3"/>
  <c r="B933" i="3"/>
  <c r="A933" i="3"/>
  <c r="P932" i="3"/>
  <c r="O932" i="3"/>
  <c r="N932" i="3"/>
  <c r="M932" i="3"/>
  <c r="K932" i="3"/>
  <c r="J932" i="3"/>
  <c r="I932" i="3"/>
  <c r="H932" i="3"/>
  <c r="G932" i="3"/>
  <c r="F932" i="3"/>
  <c r="E932" i="3"/>
  <c r="D932" i="3"/>
  <c r="C932" i="3"/>
  <c r="B932" i="3"/>
  <c r="A932" i="3"/>
  <c r="P931" i="3"/>
  <c r="O931" i="3"/>
  <c r="N931" i="3"/>
  <c r="M931" i="3"/>
  <c r="K931" i="3"/>
  <c r="J931" i="3"/>
  <c r="I931" i="3"/>
  <c r="H931" i="3"/>
  <c r="G931" i="3"/>
  <c r="F931" i="3"/>
  <c r="E931" i="3"/>
  <c r="D931" i="3"/>
  <c r="C931" i="3"/>
  <c r="B931" i="3"/>
  <c r="A931" i="3"/>
  <c r="P930" i="3"/>
  <c r="O930" i="3"/>
  <c r="N930" i="3"/>
  <c r="M930" i="3"/>
  <c r="K930" i="3"/>
  <c r="I930" i="3"/>
  <c r="H930" i="3"/>
  <c r="G930" i="3"/>
  <c r="F930" i="3"/>
  <c r="E930" i="3"/>
  <c r="D930" i="3"/>
  <c r="C930" i="3"/>
  <c r="B930" i="3"/>
  <c r="A930" i="3"/>
  <c r="Q929" i="3"/>
  <c r="P929" i="3"/>
  <c r="O929" i="3"/>
  <c r="N929" i="3"/>
  <c r="M929" i="3"/>
  <c r="K929" i="3"/>
  <c r="J929" i="3"/>
  <c r="I929" i="3"/>
  <c r="H929" i="3"/>
  <c r="G929" i="3"/>
  <c r="F929" i="3"/>
  <c r="E929" i="3"/>
  <c r="D929" i="3"/>
  <c r="C929" i="3"/>
  <c r="B929" i="3"/>
  <c r="A929" i="3"/>
  <c r="Q928" i="3"/>
  <c r="P928" i="3"/>
  <c r="O928" i="3"/>
  <c r="N928" i="3"/>
  <c r="M928" i="3"/>
  <c r="K928" i="3"/>
  <c r="J928" i="3"/>
  <c r="I928" i="3"/>
  <c r="H928" i="3"/>
  <c r="G928" i="3"/>
  <c r="F928" i="3"/>
  <c r="E928" i="3"/>
  <c r="D928" i="3"/>
  <c r="C928" i="3"/>
  <c r="B928" i="3"/>
  <c r="A928" i="3"/>
  <c r="Q927" i="3"/>
  <c r="P927" i="3"/>
  <c r="N927" i="3"/>
  <c r="M927" i="3"/>
  <c r="K927" i="3"/>
  <c r="J927" i="3"/>
  <c r="I927" i="3"/>
  <c r="H927" i="3"/>
  <c r="G927" i="3"/>
  <c r="F927" i="3"/>
  <c r="E927" i="3"/>
  <c r="D927" i="3"/>
  <c r="C927" i="3"/>
  <c r="B927" i="3"/>
  <c r="A927" i="3"/>
  <c r="Q926" i="3"/>
  <c r="P926" i="3"/>
  <c r="O926" i="3"/>
  <c r="N926" i="3"/>
  <c r="M926" i="3"/>
  <c r="K926" i="3"/>
  <c r="J926" i="3"/>
  <c r="I926" i="3"/>
  <c r="H926" i="3"/>
  <c r="G926" i="3"/>
  <c r="F926" i="3"/>
  <c r="E926" i="3"/>
  <c r="D926" i="3"/>
  <c r="C926" i="3"/>
  <c r="B926" i="3"/>
  <c r="A926" i="3"/>
  <c r="Q925" i="3"/>
  <c r="P925" i="3"/>
  <c r="O925" i="3"/>
  <c r="N925" i="3"/>
  <c r="M925" i="3"/>
  <c r="K925" i="3"/>
  <c r="J925" i="3"/>
  <c r="I925" i="3"/>
  <c r="H925" i="3"/>
  <c r="G925" i="3"/>
  <c r="F925" i="3"/>
  <c r="E925" i="3"/>
  <c r="D925" i="3"/>
  <c r="C925" i="3"/>
  <c r="B925" i="3"/>
  <c r="A925" i="3"/>
  <c r="Q924" i="3"/>
  <c r="P924" i="3"/>
  <c r="O924" i="3"/>
  <c r="N924" i="3"/>
  <c r="M924" i="3"/>
  <c r="K924" i="3"/>
  <c r="J924" i="3"/>
  <c r="I924" i="3"/>
  <c r="H924" i="3"/>
  <c r="G924" i="3"/>
  <c r="F924" i="3"/>
  <c r="E924" i="3"/>
  <c r="D924" i="3"/>
  <c r="C924" i="3"/>
  <c r="B924" i="3"/>
  <c r="A924" i="3"/>
  <c r="Q923" i="3"/>
  <c r="P923" i="3"/>
  <c r="O923" i="3"/>
  <c r="N923" i="3"/>
  <c r="M923" i="3"/>
  <c r="K923" i="3"/>
  <c r="J923" i="3"/>
  <c r="I923" i="3"/>
  <c r="H923" i="3"/>
  <c r="G923" i="3"/>
  <c r="F923" i="3"/>
  <c r="E923" i="3"/>
  <c r="D923" i="3"/>
  <c r="C923" i="3"/>
  <c r="B923" i="3"/>
  <c r="A923" i="3"/>
  <c r="Q922" i="3"/>
  <c r="P922" i="3"/>
  <c r="O922" i="3"/>
  <c r="N922" i="3"/>
  <c r="M922" i="3"/>
  <c r="K922" i="3"/>
  <c r="J922" i="3"/>
  <c r="I922" i="3"/>
  <c r="H922" i="3"/>
  <c r="G922" i="3"/>
  <c r="F922" i="3"/>
  <c r="E922" i="3"/>
  <c r="D922" i="3"/>
  <c r="C922" i="3"/>
  <c r="B922" i="3"/>
  <c r="A922" i="3"/>
  <c r="Q921" i="3"/>
  <c r="P921" i="3"/>
  <c r="N921" i="3"/>
  <c r="M921" i="3"/>
  <c r="K921" i="3"/>
  <c r="J921" i="3"/>
  <c r="I921" i="3"/>
  <c r="H921" i="3"/>
  <c r="G921" i="3"/>
  <c r="F921" i="3"/>
  <c r="E921" i="3"/>
  <c r="D921" i="3"/>
  <c r="C921" i="3"/>
  <c r="B921" i="3"/>
  <c r="A921" i="3"/>
  <c r="Q920" i="3"/>
  <c r="P920" i="3"/>
  <c r="O920" i="3"/>
  <c r="N920" i="3"/>
  <c r="M920" i="3"/>
  <c r="K920" i="3"/>
  <c r="J920" i="3"/>
  <c r="I920" i="3"/>
  <c r="H920" i="3"/>
  <c r="G920" i="3"/>
  <c r="F920" i="3"/>
  <c r="E920" i="3"/>
  <c r="D920" i="3"/>
  <c r="C920" i="3"/>
  <c r="B920" i="3"/>
  <c r="A920" i="3"/>
  <c r="Q919" i="3"/>
  <c r="P919" i="3"/>
  <c r="O919" i="3"/>
  <c r="N919" i="3"/>
  <c r="M919" i="3"/>
  <c r="K919" i="3"/>
  <c r="J919" i="3"/>
  <c r="I919" i="3"/>
  <c r="H919" i="3"/>
  <c r="G919" i="3"/>
  <c r="F919" i="3"/>
  <c r="E919" i="3"/>
  <c r="D919" i="3"/>
  <c r="C919" i="3"/>
  <c r="B919" i="3"/>
  <c r="A919" i="3"/>
  <c r="Q918" i="3"/>
  <c r="P918" i="3"/>
  <c r="N918" i="3"/>
  <c r="M918" i="3"/>
  <c r="K918" i="3"/>
  <c r="J918" i="3"/>
  <c r="I918" i="3"/>
  <c r="H918" i="3"/>
  <c r="G918" i="3"/>
  <c r="F918" i="3"/>
  <c r="E918" i="3"/>
  <c r="D918" i="3"/>
  <c r="C918" i="3"/>
  <c r="B918" i="3"/>
  <c r="A918" i="3"/>
  <c r="Q917" i="3"/>
  <c r="P917" i="3"/>
  <c r="N917" i="3"/>
  <c r="M917" i="3"/>
  <c r="K917" i="3"/>
  <c r="J917" i="3"/>
  <c r="I917" i="3"/>
  <c r="H917" i="3"/>
  <c r="G917" i="3"/>
  <c r="F917" i="3"/>
  <c r="E917" i="3"/>
  <c r="D917" i="3"/>
  <c r="C917" i="3"/>
  <c r="B917" i="3"/>
  <c r="A917" i="3"/>
  <c r="Q916" i="3"/>
  <c r="P916" i="3"/>
  <c r="O916" i="3"/>
  <c r="N916" i="3"/>
  <c r="M916" i="3"/>
  <c r="L916" i="3"/>
  <c r="K916" i="3"/>
  <c r="J916" i="3"/>
  <c r="I916" i="3"/>
  <c r="H916" i="3"/>
  <c r="G916" i="3"/>
  <c r="F916" i="3"/>
  <c r="E916" i="3"/>
  <c r="D916" i="3"/>
  <c r="C916" i="3"/>
  <c r="B916" i="3"/>
  <c r="A916" i="3"/>
  <c r="Q915" i="3"/>
  <c r="P915" i="3"/>
  <c r="O915" i="3"/>
  <c r="N915" i="3"/>
  <c r="M915" i="3"/>
  <c r="K915" i="3"/>
  <c r="I915" i="3"/>
  <c r="H915" i="3"/>
  <c r="G915" i="3"/>
  <c r="F915" i="3"/>
  <c r="E915" i="3"/>
  <c r="D915" i="3"/>
  <c r="C915" i="3"/>
  <c r="B915" i="3"/>
  <c r="A915" i="3"/>
  <c r="Q914" i="3"/>
  <c r="P914" i="3"/>
  <c r="O914" i="3"/>
  <c r="N914" i="3"/>
  <c r="M914" i="3"/>
  <c r="K914" i="3"/>
  <c r="J914" i="3"/>
  <c r="I914" i="3"/>
  <c r="H914" i="3"/>
  <c r="G914" i="3"/>
  <c r="F914" i="3"/>
  <c r="E914" i="3"/>
  <c r="D914" i="3"/>
  <c r="C914" i="3"/>
  <c r="B914" i="3"/>
  <c r="A914" i="3"/>
  <c r="Q913" i="3"/>
  <c r="P913" i="3"/>
  <c r="O913" i="3"/>
  <c r="N913" i="3"/>
  <c r="M913" i="3"/>
  <c r="K913" i="3"/>
  <c r="J913" i="3"/>
  <c r="I913" i="3"/>
  <c r="H913" i="3"/>
  <c r="G913" i="3"/>
  <c r="F913" i="3"/>
  <c r="E913" i="3"/>
  <c r="D913" i="3"/>
  <c r="C913" i="3"/>
  <c r="B913" i="3"/>
  <c r="A913" i="3"/>
  <c r="Q912" i="3"/>
  <c r="P912" i="3"/>
  <c r="O912" i="3"/>
  <c r="N912" i="3"/>
  <c r="M912" i="3"/>
  <c r="K912" i="3"/>
  <c r="J912" i="3"/>
  <c r="I912" i="3"/>
  <c r="H912" i="3"/>
  <c r="G912" i="3"/>
  <c r="F912" i="3"/>
  <c r="E912" i="3"/>
  <c r="D912" i="3"/>
  <c r="C912" i="3"/>
  <c r="B912" i="3"/>
  <c r="A912" i="3"/>
  <c r="Q911" i="3"/>
  <c r="P911" i="3"/>
  <c r="N911" i="3"/>
  <c r="M911" i="3"/>
  <c r="K911" i="3"/>
  <c r="J911" i="3"/>
  <c r="I911" i="3"/>
  <c r="H911" i="3"/>
  <c r="G911" i="3"/>
  <c r="F911" i="3"/>
  <c r="E911" i="3"/>
  <c r="D911" i="3"/>
  <c r="C911" i="3"/>
  <c r="B911" i="3"/>
  <c r="A911" i="3"/>
  <c r="Q910" i="3"/>
  <c r="P910" i="3"/>
  <c r="O910" i="3"/>
  <c r="N910" i="3"/>
  <c r="M910" i="3"/>
  <c r="K910" i="3"/>
  <c r="J910" i="3"/>
  <c r="I910" i="3"/>
  <c r="H910" i="3"/>
  <c r="G910" i="3"/>
  <c r="F910" i="3"/>
  <c r="E910" i="3"/>
  <c r="D910" i="3"/>
  <c r="C910" i="3"/>
  <c r="B910" i="3"/>
  <c r="A910" i="3"/>
  <c r="Q909" i="3"/>
  <c r="P909" i="3"/>
  <c r="O909" i="3"/>
  <c r="N909" i="3"/>
  <c r="M909" i="3"/>
  <c r="K909" i="3"/>
  <c r="I909" i="3"/>
  <c r="H909" i="3"/>
  <c r="G909" i="3"/>
  <c r="F909" i="3"/>
  <c r="E909" i="3"/>
  <c r="D909" i="3"/>
  <c r="C909" i="3"/>
  <c r="B909" i="3"/>
  <c r="A909" i="3"/>
  <c r="Q908" i="3"/>
  <c r="P908" i="3"/>
  <c r="O908" i="3"/>
  <c r="N908" i="3"/>
  <c r="M908" i="3"/>
  <c r="K908" i="3"/>
  <c r="I908" i="3"/>
  <c r="H908" i="3"/>
  <c r="G908" i="3"/>
  <c r="F908" i="3"/>
  <c r="E908" i="3"/>
  <c r="D908" i="3"/>
  <c r="C908" i="3"/>
  <c r="B908" i="3"/>
  <c r="A908" i="3"/>
  <c r="Q907" i="3"/>
  <c r="P907" i="3"/>
  <c r="O907" i="3"/>
  <c r="N907" i="3"/>
  <c r="M907" i="3"/>
  <c r="K907" i="3"/>
  <c r="J907" i="3"/>
  <c r="I907" i="3"/>
  <c r="H907" i="3"/>
  <c r="G907" i="3"/>
  <c r="F907" i="3"/>
  <c r="E907" i="3"/>
  <c r="D907" i="3"/>
  <c r="C907" i="3"/>
  <c r="B907" i="3"/>
  <c r="A907" i="3"/>
  <c r="Q906" i="3"/>
  <c r="P906" i="3"/>
  <c r="O906" i="3"/>
  <c r="N906" i="3"/>
  <c r="M906" i="3"/>
  <c r="K906" i="3"/>
  <c r="I906" i="3"/>
  <c r="H906" i="3"/>
  <c r="G906" i="3"/>
  <c r="F906" i="3"/>
  <c r="E906" i="3"/>
  <c r="D906" i="3"/>
  <c r="C906" i="3"/>
  <c r="B906" i="3"/>
  <c r="A906" i="3"/>
  <c r="Q905" i="3"/>
  <c r="P905" i="3"/>
  <c r="O905" i="3"/>
  <c r="N905" i="3"/>
  <c r="M905" i="3"/>
  <c r="K905" i="3"/>
  <c r="J905" i="3"/>
  <c r="I905" i="3"/>
  <c r="H905" i="3"/>
  <c r="G905" i="3"/>
  <c r="F905" i="3"/>
  <c r="E905" i="3"/>
  <c r="D905" i="3"/>
  <c r="C905" i="3"/>
  <c r="B905" i="3"/>
  <c r="A905" i="3"/>
  <c r="Q904" i="3"/>
  <c r="P904" i="3"/>
  <c r="O904" i="3"/>
  <c r="N904" i="3"/>
  <c r="M904" i="3"/>
  <c r="K904" i="3"/>
  <c r="J904" i="3"/>
  <c r="I904" i="3"/>
  <c r="H904" i="3"/>
  <c r="G904" i="3"/>
  <c r="F904" i="3"/>
  <c r="E904" i="3"/>
  <c r="D904" i="3"/>
  <c r="C904" i="3"/>
  <c r="B904" i="3"/>
  <c r="A904" i="3"/>
  <c r="Q903" i="3"/>
  <c r="P903" i="3"/>
  <c r="O903" i="3"/>
  <c r="N903" i="3"/>
  <c r="M903" i="3"/>
  <c r="K903" i="3"/>
  <c r="J903" i="3"/>
  <c r="I903" i="3"/>
  <c r="H903" i="3"/>
  <c r="G903" i="3"/>
  <c r="F903" i="3"/>
  <c r="E903" i="3"/>
  <c r="D903" i="3"/>
  <c r="C903" i="3"/>
  <c r="B903" i="3"/>
  <c r="A903" i="3"/>
  <c r="Q902" i="3"/>
  <c r="P902" i="3"/>
  <c r="O902" i="3"/>
  <c r="N902" i="3"/>
  <c r="M902" i="3"/>
  <c r="K902" i="3"/>
  <c r="J902" i="3"/>
  <c r="I902" i="3"/>
  <c r="H902" i="3"/>
  <c r="G902" i="3"/>
  <c r="F902" i="3"/>
  <c r="E902" i="3"/>
  <c r="D902" i="3"/>
  <c r="C902" i="3"/>
  <c r="B902" i="3"/>
  <c r="A902" i="3"/>
  <c r="Q901" i="3"/>
  <c r="P901" i="3"/>
  <c r="O901" i="3"/>
  <c r="N901" i="3"/>
  <c r="M901" i="3"/>
  <c r="K901" i="3"/>
  <c r="J901" i="3"/>
  <c r="I901" i="3"/>
  <c r="H901" i="3"/>
  <c r="G901" i="3"/>
  <c r="F901" i="3"/>
  <c r="E901" i="3"/>
  <c r="D901" i="3"/>
  <c r="C901" i="3"/>
  <c r="B901" i="3"/>
  <c r="A901" i="3"/>
  <c r="Q900" i="3"/>
  <c r="P900" i="3"/>
  <c r="O900" i="3"/>
  <c r="N900" i="3"/>
  <c r="M900" i="3"/>
  <c r="K900" i="3"/>
  <c r="J900" i="3"/>
  <c r="I900" i="3"/>
  <c r="H900" i="3"/>
  <c r="G900" i="3"/>
  <c r="F900" i="3"/>
  <c r="E900" i="3"/>
  <c r="D900" i="3"/>
  <c r="B900" i="3"/>
  <c r="A900" i="3"/>
  <c r="Q899" i="3"/>
  <c r="P899" i="3"/>
  <c r="N899" i="3"/>
  <c r="M899" i="3"/>
  <c r="K899" i="3"/>
  <c r="J899" i="3"/>
  <c r="I899" i="3"/>
  <c r="H899" i="3"/>
  <c r="G899" i="3"/>
  <c r="F899" i="3"/>
  <c r="E899" i="3"/>
  <c r="D899" i="3"/>
  <c r="C899" i="3"/>
  <c r="B899" i="3"/>
  <c r="A899" i="3"/>
  <c r="Q898" i="3"/>
  <c r="P898" i="3"/>
  <c r="O898" i="3"/>
  <c r="N898" i="3"/>
  <c r="M898" i="3"/>
  <c r="K898" i="3"/>
  <c r="J898" i="3"/>
  <c r="I898" i="3"/>
  <c r="H898" i="3"/>
  <c r="G898" i="3"/>
  <c r="F898" i="3"/>
  <c r="E898" i="3"/>
  <c r="D898" i="3"/>
  <c r="C898" i="3"/>
  <c r="B898" i="3"/>
  <c r="A898" i="3"/>
  <c r="Q897" i="3"/>
  <c r="P897" i="3"/>
  <c r="O897" i="3"/>
  <c r="N897" i="3"/>
  <c r="M897" i="3"/>
  <c r="K897" i="3"/>
  <c r="J897" i="3"/>
  <c r="I897" i="3"/>
  <c r="H897" i="3"/>
  <c r="G897" i="3"/>
  <c r="F897" i="3"/>
  <c r="E897" i="3"/>
  <c r="D897" i="3"/>
  <c r="C897" i="3"/>
  <c r="B897" i="3"/>
  <c r="A897" i="3"/>
  <c r="Q896" i="3"/>
  <c r="P896" i="3"/>
  <c r="O896" i="3"/>
  <c r="N896" i="3"/>
  <c r="M896" i="3"/>
  <c r="K896" i="3"/>
  <c r="J896" i="3"/>
  <c r="I896" i="3"/>
  <c r="H896" i="3"/>
  <c r="G896" i="3"/>
  <c r="F896" i="3"/>
  <c r="E896" i="3"/>
  <c r="D896" i="3"/>
  <c r="C896" i="3"/>
  <c r="B896" i="3"/>
  <c r="A896" i="3"/>
  <c r="Q895" i="3"/>
  <c r="P895" i="3"/>
  <c r="O895" i="3"/>
  <c r="N895" i="3"/>
  <c r="M895" i="3"/>
  <c r="K895" i="3"/>
  <c r="J895" i="3"/>
  <c r="I895" i="3"/>
  <c r="H895" i="3"/>
  <c r="G895" i="3"/>
  <c r="F895" i="3"/>
  <c r="E895" i="3"/>
  <c r="D895" i="3"/>
  <c r="C895" i="3"/>
  <c r="B895" i="3"/>
  <c r="A895" i="3"/>
  <c r="Q894" i="3"/>
  <c r="P894" i="3"/>
  <c r="O894" i="3"/>
  <c r="N894" i="3"/>
  <c r="M894" i="3"/>
  <c r="K894" i="3"/>
  <c r="J894" i="3"/>
  <c r="I894" i="3"/>
  <c r="H894" i="3"/>
  <c r="G894" i="3"/>
  <c r="F894" i="3"/>
  <c r="E894" i="3"/>
  <c r="D894" i="3"/>
  <c r="C894" i="3"/>
  <c r="B894" i="3"/>
  <c r="A894" i="3"/>
  <c r="Q893" i="3"/>
  <c r="P893" i="3"/>
  <c r="O893" i="3"/>
  <c r="N893" i="3"/>
  <c r="M893" i="3"/>
  <c r="K893" i="3"/>
  <c r="J893" i="3"/>
  <c r="I893" i="3"/>
  <c r="H893" i="3"/>
  <c r="G893" i="3"/>
  <c r="F893" i="3"/>
  <c r="E893" i="3"/>
  <c r="D893" i="3"/>
  <c r="C893" i="3"/>
  <c r="B893" i="3"/>
  <c r="A893" i="3"/>
  <c r="Q892" i="3"/>
  <c r="P892" i="3"/>
  <c r="O892" i="3"/>
  <c r="N892" i="3"/>
  <c r="M892" i="3"/>
  <c r="K892" i="3"/>
  <c r="J892" i="3"/>
  <c r="I892" i="3"/>
  <c r="H892" i="3"/>
  <c r="G892" i="3"/>
  <c r="F892" i="3"/>
  <c r="E892" i="3"/>
  <c r="D892" i="3"/>
  <c r="C892" i="3"/>
  <c r="B892" i="3"/>
  <c r="A892" i="3"/>
  <c r="Q891" i="3"/>
  <c r="P891" i="3"/>
  <c r="O891" i="3"/>
  <c r="N891" i="3"/>
  <c r="M891" i="3"/>
  <c r="K891" i="3"/>
  <c r="I891" i="3"/>
  <c r="H891" i="3"/>
  <c r="G891" i="3"/>
  <c r="F891" i="3"/>
  <c r="E891" i="3"/>
  <c r="D891" i="3"/>
  <c r="C891" i="3"/>
  <c r="B891" i="3"/>
  <c r="A891" i="3"/>
  <c r="Q890" i="3"/>
  <c r="P890" i="3"/>
  <c r="O890" i="3"/>
  <c r="N890" i="3"/>
  <c r="M890" i="3"/>
  <c r="K890" i="3"/>
  <c r="J890" i="3"/>
  <c r="I890" i="3"/>
  <c r="H890" i="3"/>
  <c r="G890" i="3"/>
  <c r="F890" i="3"/>
  <c r="E890" i="3"/>
  <c r="D890" i="3"/>
  <c r="C890" i="3"/>
  <c r="B890" i="3"/>
  <c r="A890" i="3"/>
  <c r="Q889" i="3"/>
  <c r="P889" i="3"/>
  <c r="O889" i="3"/>
  <c r="N889" i="3"/>
  <c r="M889" i="3"/>
  <c r="K889" i="3"/>
  <c r="J889" i="3"/>
  <c r="I889" i="3"/>
  <c r="H889" i="3"/>
  <c r="G889" i="3"/>
  <c r="F889" i="3"/>
  <c r="E889" i="3"/>
  <c r="D889" i="3"/>
  <c r="C889" i="3"/>
  <c r="B889" i="3"/>
  <c r="A889" i="3"/>
  <c r="Q888" i="3"/>
  <c r="P888" i="3"/>
  <c r="O888" i="3"/>
  <c r="N888" i="3"/>
  <c r="M888" i="3"/>
  <c r="K888" i="3"/>
  <c r="I888" i="3"/>
  <c r="H888" i="3"/>
  <c r="G888" i="3"/>
  <c r="F888" i="3"/>
  <c r="E888" i="3"/>
  <c r="D888" i="3"/>
  <c r="C888" i="3"/>
  <c r="B888" i="3"/>
  <c r="A888" i="3"/>
  <c r="Q887" i="3"/>
  <c r="P887" i="3"/>
  <c r="O887" i="3"/>
  <c r="N887" i="3"/>
  <c r="M887" i="3"/>
  <c r="K887" i="3"/>
  <c r="J887" i="3"/>
  <c r="I887" i="3"/>
  <c r="H887" i="3"/>
  <c r="G887" i="3"/>
  <c r="F887" i="3"/>
  <c r="E887" i="3"/>
  <c r="D887" i="3"/>
  <c r="C887" i="3"/>
  <c r="B887" i="3"/>
  <c r="A887" i="3"/>
  <c r="Q886" i="3"/>
  <c r="P886" i="3"/>
  <c r="O886" i="3"/>
  <c r="N886" i="3"/>
  <c r="M886" i="3"/>
  <c r="K886" i="3"/>
  <c r="J886" i="3"/>
  <c r="I886" i="3"/>
  <c r="H886" i="3"/>
  <c r="G886" i="3"/>
  <c r="F886" i="3"/>
  <c r="E886" i="3"/>
  <c r="D886" i="3"/>
  <c r="C886" i="3"/>
  <c r="B886" i="3"/>
  <c r="A886" i="3"/>
  <c r="Q885" i="3"/>
  <c r="P885" i="3"/>
  <c r="O885" i="3"/>
  <c r="N885" i="3"/>
  <c r="M885" i="3"/>
  <c r="K885" i="3"/>
  <c r="J885" i="3"/>
  <c r="I885" i="3"/>
  <c r="H885" i="3"/>
  <c r="G885" i="3"/>
  <c r="F885" i="3"/>
  <c r="E885" i="3"/>
  <c r="D885" i="3"/>
  <c r="C885" i="3"/>
  <c r="B885" i="3"/>
  <c r="A885" i="3"/>
  <c r="Q884" i="3"/>
  <c r="P884" i="3"/>
  <c r="O884" i="3"/>
  <c r="N884" i="3"/>
  <c r="M884" i="3"/>
  <c r="K884" i="3"/>
  <c r="J884" i="3"/>
  <c r="I884" i="3"/>
  <c r="H884" i="3"/>
  <c r="G884" i="3"/>
  <c r="F884" i="3"/>
  <c r="E884" i="3"/>
  <c r="D884" i="3"/>
  <c r="C884" i="3"/>
  <c r="B884" i="3"/>
  <c r="A884" i="3"/>
  <c r="Q883" i="3"/>
  <c r="P883" i="3"/>
  <c r="O883" i="3"/>
  <c r="N883" i="3"/>
  <c r="M883" i="3"/>
  <c r="K883" i="3"/>
  <c r="J883" i="3"/>
  <c r="I883" i="3"/>
  <c r="H883" i="3"/>
  <c r="G883" i="3"/>
  <c r="F883" i="3"/>
  <c r="E883" i="3"/>
  <c r="D883" i="3"/>
  <c r="C883" i="3"/>
  <c r="B883" i="3"/>
  <c r="A883" i="3"/>
  <c r="Q882" i="3"/>
  <c r="P882" i="3"/>
  <c r="O882" i="3"/>
  <c r="N882" i="3"/>
  <c r="M882" i="3"/>
  <c r="K882" i="3"/>
  <c r="I882" i="3"/>
  <c r="H882" i="3"/>
  <c r="G882" i="3"/>
  <c r="F882" i="3"/>
  <c r="E882" i="3"/>
  <c r="D882" i="3"/>
  <c r="C882" i="3"/>
  <c r="B882" i="3"/>
  <c r="A882" i="3"/>
  <c r="Q881" i="3"/>
  <c r="P881" i="3"/>
  <c r="O881" i="3"/>
  <c r="N881" i="3"/>
  <c r="M881" i="3"/>
  <c r="K881" i="3"/>
  <c r="J881" i="3"/>
  <c r="I881" i="3"/>
  <c r="H881" i="3"/>
  <c r="G881" i="3"/>
  <c r="F881" i="3"/>
  <c r="E881" i="3"/>
  <c r="D881" i="3"/>
  <c r="C881" i="3"/>
  <c r="B881" i="3"/>
  <c r="A881" i="3"/>
  <c r="Q880" i="3"/>
  <c r="P880" i="3"/>
  <c r="O880" i="3"/>
  <c r="N880" i="3"/>
  <c r="M880" i="3"/>
  <c r="K880" i="3"/>
  <c r="I880" i="3"/>
  <c r="H880" i="3"/>
  <c r="G880" i="3"/>
  <c r="F880" i="3"/>
  <c r="E880" i="3"/>
  <c r="D880" i="3"/>
  <c r="C880" i="3"/>
  <c r="B880" i="3"/>
  <c r="A880" i="3"/>
  <c r="Q879" i="3"/>
  <c r="P879" i="3"/>
  <c r="O879" i="3"/>
  <c r="N879" i="3"/>
  <c r="M879" i="3"/>
  <c r="K879" i="3"/>
  <c r="J879" i="3"/>
  <c r="I879" i="3"/>
  <c r="H879" i="3"/>
  <c r="G879" i="3"/>
  <c r="F879" i="3"/>
  <c r="E879" i="3"/>
  <c r="D879" i="3"/>
  <c r="C879" i="3"/>
  <c r="B879" i="3"/>
  <c r="A879" i="3"/>
  <c r="Q878" i="3"/>
  <c r="P878" i="3"/>
  <c r="O878" i="3"/>
  <c r="N878" i="3"/>
  <c r="M878" i="3"/>
  <c r="K878" i="3"/>
  <c r="J878" i="3"/>
  <c r="I878" i="3"/>
  <c r="H878" i="3"/>
  <c r="G878" i="3"/>
  <c r="F878" i="3"/>
  <c r="E878" i="3"/>
  <c r="D878" i="3"/>
  <c r="C878" i="3"/>
  <c r="B878" i="3"/>
  <c r="A878" i="3"/>
  <c r="Q877" i="3"/>
  <c r="P877" i="3"/>
  <c r="O877" i="3"/>
  <c r="N877" i="3"/>
  <c r="M877" i="3"/>
  <c r="K877" i="3"/>
  <c r="J877" i="3"/>
  <c r="I877" i="3"/>
  <c r="H877" i="3"/>
  <c r="G877" i="3"/>
  <c r="F877" i="3"/>
  <c r="E877" i="3"/>
  <c r="D877" i="3"/>
  <c r="C877" i="3"/>
  <c r="B877" i="3"/>
  <c r="A877" i="3"/>
  <c r="Q876" i="3"/>
  <c r="P876" i="3"/>
  <c r="O876" i="3"/>
  <c r="N876" i="3"/>
  <c r="M876" i="3"/>
  <c r="K876" i="3"/>
  <c r="J876" i="3"/>
  <c r="I876" i="3"/>
  <c r="H876" i="3"/>
  <c r="G876" i="3"/>
  <c r="F876" i="3"/>
  <c r="E876" i="3"/>
  <c r="D876" i="3"/>
  <c r="C876" i="3"/>
  <c r="B876" i="3"/>
  <c r="A876" i="3"/>
  <c r="Q875" i="3"/>
  <c r="P875" i="3"/>
  <c r="O875" i="3"/>
  <c r="N875" i="3"/>
  <c r="M875" i="3"/>
  <c r="K875" i="3"/>
  <c r="J875" i="3"/>
  <c r="I875" i="3"/>
  <c r="H875" i="3"/>
  <c r="G875" i="3"/>
  <c r="F875" i="3"/>
  <c r="E875" i="3"/>
  <c r="D875" i="3"/>
  <c r="C875" i="3"/>
  <c r="B875" i="3"/>
  <c r="A875" i="3"/>
  <c r="Q874" i="3"/>
  <c r="P874" i="3"/>
  <c r="O874" i="3"/>
  <c r="N874" i="3"/>
  <c r="M874" i="3"/>
  <c r="K874" i="3"/>
  <c r="J874" i="3"/>
  <c r="I874" i="3"/>
  <c r="H874" i="3"/>
  <c r="G874" i="3"/>
  <c r="F874" i="3"/>
  <c r="E874" i="3"/>
  <c r="D874" i="3"/>
  <c r="C874" i="3"/>
  <c r="B874" i="3"/>
  <c r="A874" i="3"/>
  <c r="Q873" i="3"/>
  <c r="P873" i="3"/>
  <c r="O873" i="3"/>
  <c r="N873" i="3"/>
  <c r="M873" i="3"/>
  <c r="K873" i="3"/>
  <c r="J873" i="3"/>
  <c r="I873" i="3"/>
  <c r="H873" i="3"/>
  <c r="G873" i="3"/>
  <c r="F873" i="3"/>
  <c r="E873" i="3"/>
  <c r="D873" i="3"/>
  <c r="C873" i="3"/>
  <c r="B873" i="3"/>
  <c r="A873" i="3"/>
  <c r="Q872" i="3"/>
  <c r="P872" i="3"/>
  <c r="O872" i="3"/>
  <c r="N872" i="3"/>
  <c r="M872" i="3"/>
  <c r="K872" i="3"/>
  <c r="J872" i="3"/>
  <c r="I872" i="3"/>
  <c r="H872" i="3"/>
  <c r="G872" i="3"/>
  <c r="F872" i="3"/>
  <c r="E872" i="3"/>
  <c r="D872" i="3"/>
  <c r="C872" i="3"/>
  <c r="B872" i="3"/>
  <c r="A872" i="3"/>
  <c r="Q871" i="3"/>
  <c r="P871" i="3"/>
  <c r="O871" i="3"/>
  <c r="N871" i="3"/>
  <c r="M871" i="3"/>
  <c r="K871" i="3"/>
  <c r="J871" i="3"/>
  <c r="I871" i="3"/>
  <c r="H871" i="3"/>
  <c r="G871" i="3"/>
  <c r="F871" i="3"/>
  <c r="E871" i="3"/>
  <c r="D871" i="3"/>
  <c r="C871" i="3"/>
  <c r="B871" i="3"/>
  <c r="A871" i="3"/>
  <c r="Q870" i="3"/>
  <c r="P870" i="3"/>
  <c r="O870" i="3"/>
  <c r="N870" i="3"/>
  <c r="M870" i="3"/>
  <c r="K870" i="3"/>
  <c r="J870" i="3"/>
  <c r="I870" i="3"/>
  <c r="H870" i="3"/>
  <c r="G870" i="3"/>
  <c r="F870" i="3"/>
  <c r="E870" i="3"/>
  <c r="D870" i="3"/>
  <c r="C870" i="3"/>
  <c r="B870" i="3"/>
  <c r="A870" i="3"/>
  <c r="Q869" i="3"/>
  <c r="P869" i="3"/>
  <c r="O869" i="3"/>
  <c r="N869" i="3"/>
  <c r="M869" i="3"/>
  <c r="K869" i="3"/>
  <c r="J869" i="3"/>
  <c r="I869" i="3"/>
  <c r="H869" i="3"/>
  <c r="G869" i="3"/>
  <c r="F869" i="3"/>
  <c r="E869" i="3"/>
  <c r="D869" i="3"/>
  <c r="C869" i="3"/>
  <c r="B869" i="3"/>
  <c r="A869" i="3"/>
  <c r="Q868" i="3"/>
  <c r="P868" i="3"/>
  <c r="O868" i="3"/>
  <c r="N868" i="3"/>
  <c r="M868" i="3"/>
  <c r="K868" i="3"/>
  <c r="J868" i="3"/>
  <c r="I868" i="3"/>
  <c r="H868" i="3"/>
  <c r="G868" i="3"/>
  <c r="F868" i="3"/>
  <c r="E868" i="3"/>
  <c r="D868" i="3"/>
  <c r="C868" i="3"/>
  <c r="B868" i="3"/>
  <c r="A868" i="3"/>
  <c r="Q867" i="3"/>
  <c r="P867" i="3"/>
  <c r="O867" i="3"/>
  <c r="N867" i="3"/>
  <c r="M867" i="3"/>
  <c r="K867" i="3"/>
  <c r="J867" i="3"/>
  <c r="I867" i="3"/>
  <c r="H867" i="3"/>
  <c r="G867" i="3"/>
  <c r="F867" i="3"/>
  <c r="E867" i="3"/>
  <c r="D867" i="3"/>
  <c r="C867" i="3"/>
  <c r="B867" i="3"/>
  <c r="A867" i="3"/>
  <c r="Q866" i="3"/>
  <c r="P866" i="3"/>
  <c r="O866" i="3"/>
  <c r="N866" i="3"/>
  <c r="M866" i="3"/>
  <c r="K866" i="3"/>
  <c r="J866" i="3"/>
  <c r="I866" i="3"/>
  <c r="H866" i="3"/>
  <c r="G866" i="3"/>
  <c r="F866" i="3"/>
  <c r="E866" i="3"/>
  <c r="D866" i="3"/>
  <c r="C866" i="3"/>
  <c r="B866" i="3"/>
  <c r="A866" i="3"/>
  <c r="Q865" i="3"/>
  <c r="P865" i="3"/>
  <c r="O865" i="3"/>
  <c r="N865" i="3"/>
  <c r="M865" i="3"/>
  <c r="K865" i="3"/>
  <c r="J865" i="3"/>
  <c r="I865" i="3"/>
  <c r="H865" i="3"/>
  <c r="G865" i="3"/>
  <c r="F865" i="3"/>
  <c r="E865" i="3"/>
  <c r="D865" i="3"/>
  <c r="C865" i="3"/>
  <c r="B865" i="3"/>
  <c r="A865" i="3"/>
  <c r="Q864" i="3"/>
  <c r="P864" i="3"/>
  <c r="O864" i="3"/>
  <c r="N864" i="3"/>
  <c r="M864" i="3"/>
  <c r="K864" i="3"/>
  <c r="J864" i="3"/>
  <c r="I864" i="3"/>
  <c r="H864" i="3"/>
  <c r="G864" i="3"/>
  <c r="F864" i="3"/>
  <c r="E864" i="3"/>
  <c r="D864" i="3"/>
  <c r="C864" i="3"/>
  <c r="B864" i="3"/>
  <c r="A864" i="3"/>
  <c r="Q863" i="3"/>
  <c r="P863" i="3"/>
  <c r="O863" i="3"/>
  <c r="N863" i="3"/>
  <c r="M863" i="3"/>
  <c r="K863" i="3"/>
  <c r="J863" i="3"/>
  <c r="I863" i="3"/>
  <c r="H863" i="3"/>
  <c r="G863" i="3"/>
  <c r="F863" i="3"/>
  <c r="E863" i="3"/>
  <c r="D863" i="3"/>
  <c r="C863" i="3"/>
  <c r="B863" i="3"/>
  <c r="A863" i="3"/>
  <c r="Q862" i="3"/>
  <c r="P862" i="3"/>
  <c r="O862" i="3"/>
  <c r="N862" i="3"/>
  <c r="M862" i="3"/>
  <c r="K862" i="3"/>
  <c r="J862" i="3"/>
  <c r="I862" i="3"/>
  <c r="H862" i="3"/>
  <c r="G862" i="3"/>
  <c r="F862" i="3"/>
  <c r="E862" i="3"/>
  <c r="D862" i="3"/>
  <c r="C862" i="3"/>
  <c r="B862" i="3"/>
  <c r="A862" i="3"/>
  <c r="Q861" i="3"/>
  <c r="P861" i="3"/>
  <c r="O861" i="3"/>
  <c r="N861" i="3"/>
  <c r="M861" i="3"/>
  <c r="K861" i="3"/>
  <c r="J861" i="3"/>
  <c r="I861" i="3"/>
  <c r="H861" i="3"/>
  <c r="G861" i="3"/>
  <c r="F861" i="3"/>
  <c r="E861" i="3"/>
  <c r="D861" i="3"/>
  <c r="C861" i="3"/>
  <c r="B861" i="3"/>
  <c r="A861" i="3"/>
  <c r="Q860" i="3"/>
  <c r="P860" i="3"/>
  <c r="N860" i="3"/>
  <c r="M860" i="3"/>
  <c r="K860" i="3"/>
  <c r="J860" i="3"/>
  <c r="I860" i="3"/>
  <c r="H860" i="3"/>
  <c r="G860" i="3"/>
  <c r="F860" i="3"/>
  <c r="E860" i="3"/>
  <c r="D860" i="3"/>
  <c r="C860" i="3"/>
  <c r="B860" i="3"/>
  <c r="A860" i="3"/>
  <c r="Q859" i="3"/>
  <c r="P859" i="3"/>
  <c r="O859" i="3"/>
  <c r="N859" i="3"/>
  <c r="M859" i="3"/>
  <c r="K859" i="3"/>
  <c r="I859" i="3"/>
  <c r="H859" i="3"/>
  <c r="G859" i="3"/>
  <c r="F859" i="3"/>
  <c r="E859" i="3"/>
  <c r="D859" i="3"/>
  <c r="C859" i="3"/>
  <c r="B859" i="3"/>
  <c r="A859" i="3"/>
  <c r="Q858" i="3"/>
  <c r="P858" i="3"/>
  <c r="O858" i="3"/>
  <c r="N858" i="3"/>
  <c r="M858" i="3"/>
  <c r="K858" i="3"/>
  <c r="J858" i="3"/>
  <c r="I858" i="3"/>
  <c r="H858" i="3"/>
  <c r="G858" i="3"/>
  <c r="F858" i="3"/>
  <c r="E858" i="3"/>
  <c r="D858" i="3"/>
  <c r="C858" i="3"/>
  <c r="B858" i="3"/>
  <c r="A858" i="3"/>
  <c r="Q857" i="3"/>
  <c r="P857" i="3"/>
  <c r="O857" i="3"/>
  <c r="N857" i="3"/>
  <c r="M857" i="3"/>
  <c r="K857" i="3"/>
  <c r="I857" i="3"/>
  <c r="H857" i="3"/>
  <c r="G857" i="3"/>
  <c r="F857" i="3"/>
  <c r="E857" i="3"/>
  <c r="D857" i="3"/>
  <c r="C857" i="3"/>
  <c r="B857" i="3"/>
  <c r="A857" i="3"/>
  <c r="Q856" i="3"/>
  <c r="P856" i="3"/>
  <c r="O856" i="3"/>
  <c r="N856" i="3"/>
  <c r="M856" i="3"/>
  <c r="K856" i="3"/>
  <c r="J856" i="3"/>
  <c r="I856" i="3"/>
  <c r="H856" i="3"/>
  <c r="G856" i="3"/>
  <c r="F856" i="3"/>
  <c r="E856" i="3"/>
  <c r="D856" i="3"/>
  <c r="C856" i="3"/>
  <c r="B856" i="3"/>
  <c r="A856" i="3"/>
  <c r="Q855" i="3"/>
  <c r="P855" i="3"/>
  <c r="O855" i="3"/>
  <c r="N855" i="3"/>
  <c r="M855" i="3"/>
  <c r="K855" i="3"/>
  <c r="J855" i="3"/>
  <c r="I855" i="3"/>
  <c r="H855" i="3"/>
  <c r="G855" i="3"/>
  <c r="F855" i="3"/>
  <c r="E855" i="3"/>
  <c r="D855" i="3"/>
  <c r="C855" i="3"/>
  <c r="B855" i="3"/>
  <c r="A855" i="3"/>
  <c r="Q854" i="3"/>
  <c r="P854" i="3"/>
  <c r="N854" i="3"/>
  <c r="M854" i="3"/>
  <c r="K854" i="3"/>
  <c r="J854" i="3"/>
  <c r="I854" i="3"/>
  <c r="H854" i="3"/>
  <c r="G854" i="3"/>
  <c r="F854" i="3"/>
  <c r="E854" i="3"/>
  <c r="D854" i="3"/>
  <c r="C854" i="3"/>
  <c r="B854" i="3"/>
  <c r="A854" i="3"/>
  <c r="AE853" i="3"/>
  <c r="AD853" i="3"/>
  <c r="Q853" i="3"/>
  <c r="P853" i="3"/>
  <c r="O853" i="3"/>
  <c r="N853" i="3"/>
  <c r="M853" i="3"/>
  <c r="K853" i="3"/>
  <c r="J853" i="3"/>
  <c r="I853" i="3"/>
  <c r="H853" i="3"/>
  <c r="G853" i="3"/>
  <c r="F853" i="3"/>
  <c r="E853" i="3"/>
  <c r="D853" i="3"/>
  <c r="C853" i="3"/>
  <c r="B853" i="3"/>
  <c r="A853" i="3"/>
  <c r="Q852" i="3"/>
  <c r="P852" i="3"/>
  <c r="O852" i="3"/>
  <c r="N852" i="3"/>
  <c r="M852" i="3"/>
  <c r="K852" i="3"/>
  <c r="J852" i="3"/>
  <c r="I852" i="3"/>
  <c r="H852" i="3"/>
  <c r="G852" i="3"/>
  <c r="F852" i="3"/>
  <c r="E852" i="3"/>
  <c r="D852" i="3"/>
  <c r="C852" i="3"/>
  <c r="B852" i="3"/>
  <c r="A852" i="3"/>
  <c r="Q851" i="3"/>
  <c r="P851" i="3"/>
  <c r="O851" i="3"/>
  <c r="N851" i="3"/>
  <c r="M851" i="3"/>
  <c r="K851" i="3"/>
  <c r="I851" i="3"/>
  <c r="H851" i="3"/>
  <c r="G851" i="3"/>
  <c r="F851" i="3"/>
  <c r="E851" i="3"/>
  <c r="D851" i="3"/>
  <c r="C851" i="3"/>
  <c r="B851" i="3"/>
  <c r="A851" i="3"/>
  <c r="Q850" i="3"/>
  <c r="P850" i="3"/>
  <c r="O850" i="3"/>
  <c r="N850" i="3"/>
  <c r="M850" i="3"/>
  <c r="K850" i="3"/>
  <c r="I850" i="3"/>
  <c r="H850" i="3"/>
  <c r="G850" i="3"/>
  <c r="F850" i="3"/>
  <c r="E850" i="3"/>
  <c r="D850" i="3"/>
  <c r="C850" i="3"/>
  <c r="B850" i="3"/>
  <c r="A850" i="3"/>
  <c r="Q849" i="3"/>
  <c r="P849" i="3"/>
  <c r="O849" i="3"/>
  <c r="N849" i="3"/>
  <c r="M849" i="3"/>
  <c r="K849" i="3"/>
  <c r="J849" i="3"/>
  <c r="I849" i="3"/>
  <c r="H849" i="3"/>
  <c r="G849" i="3"/>
  <c r="F849" i="3"/>
  <c r="E849" i="3"/>
  <c r="D849" i="3"/>
  <c r="C849" i="3"/>
  <c r="B849" i="3"/>
  <c r="A849" i="3"/>
  <c r="Q848" i="3"/>
  <c r="P848" i="3"/>
  <c r="O848" i="3"/>
  <c r="N848" i="3"/>
  <c r="M848" i="3"/>
  <c r="K848" i="3"/>
  <c r="J848" i="3"/>
  <c r="I848" i="3"/>
  <c r="H848" i="3"/>
  <c r="G848" i="3"/>
  <c r="F848" i="3"/>
  <c r="E848" i="3"/>
  <c r="D848" i="3"/>
  <c r="C848" i="3"/>
  <c r="B848" i="3"/>
  <c r="A848" i="3"/>
  <c r="Q847" i="3"/>
  <c r="P847" i="3"/>
  <c r="N847" i="3"/>
  <c r="M847" i="3"/>
  <c r="K847" i="3"/>
  <c r="J847" i="3"/>
  <c r="I847" i="3"/>
  <c r="H847" i="3"/>
  <c r="G847" i="3"/>
  <c r="F847" i="3"/>
  <c r="E847" i="3"/>
  <c r="D847" i="3"/>
  <c r="C847" i="3"/>
  <c r="B847" i="3"/>
  <c r="A847" i="3"/>
  <c r="Q846" i="3"/>
  <c r="P846" i="3"/>
  <c r="O846" i="3"/>
  <c r="N846" i="3"/>
  <c r="M846" i="3"/>
  <c r="L846" i="3"/>
  <c r="K846" i="3"/>
  <c r="J846" i="3"/>
  <c r="I846" i="3"/>
  <c r="H846" i="3"/>
  <c r="G846" i="3"/>
  <c r="F846" i="3"/>
  <c r="E846" i="3"/>
  <c r="D846" i="3"/>
  <c r="C846" i="3"/>
  <c r="B846" i="3"/>
  <c r="A846" i="3"/>
  <c r="Q845" i="3"/>
  <c r="P845" i="3"/>
  <c r="O845" i="3"/>
  <c r="N845" i="3"/>
  <c r="M845" i="3"/>
  <c r="K845" i="3"/>
  <c r="J845" i="3"/>
  <c r="I845" i="3"/>
  <c r="H845" i="3"/>
  <c r="G845" i="3"/>
  <c r="F845" i="3"/>
  <c r="E845" i="3"/>
  <c r="D845" i="3"/>
  <c r="C845" i="3"/>
  <c r="B845" i="3"/>
  <c r="A845" i="3"/>
  <c r="Q844" i="3"/>
  <c r="P844" i="3"/>
  <c r="O844" i="3"/>
  <c r="N844" i="3"/>
  <c r="M844" i="3"/>
  <c r="K844" i="3"/>
  <c r="J844" i="3"/>
  <c r="I844" i="3"/>
  <c r="H844" i="3"/>
  <c r="G844" i="3"/>
  <c r="F844" i="3"/>
  <c r="E844" i="3"/>
  <c r="D844" i="3"/>
  <c r="C844" i="3"/>
  <c r="B844" i="3"/>
  <c r="A844" i="3"/>
  <c r="Q843" i="3"/>
  <c r="P843" i="3"/>
  <c r="O843" i="3"/>
  <c r="N843" i="3"/>
  <c r="M843" i="3"/>
  <c r="K843" i="3"/>
  <c r="J843" i="3"/>
  <c r="I843" i="3"/>
  <c r="H843" i="3"/>
  <c r="G843" i="3"/>
  <c r="F843" i="3"/>
  <c r="E843" i="3"/>
  <c r="D843" i="3"/>
  <c r="C843" i="3"/>
  <c r="B843" i="3"/>
  <c r="A843" i="3"/>
  <c r="Q842" i="3"/>
  <c r="P842" i="3"/>
  <c r="O842" i="3"/>
  <c r="N842" i="3"/>
  <c r="M842" i="3"/>
  <c r="K842" i="3"/>
  <c r="I842" i="3"/>
  <c r="H842" i="3"/>
  <c r="G842" i="3"/>
  <c r="F842" i="3"/>
  <c r="E842" i="3"/>
  <c r="D842" i="3"/>
  <c r="C842" i="3"/>
  <c r="B842" i="3"/>
  <c r="A842" i="3"/>
  <c r="Q841" i="3"/>
  <c r="P841" i="3"/>
  <c r="N841" i="3"/>
  <c r="M841" i="3"/>
  <c r="K841" i="3"/>
  <c r="J841" i="3"/>
  <c r="I841" i="3"/>
  <c r="H841" i="3"/>
  <c r="G841" i="3"/>
  <c r="F841" i="3"/>
  <c r="E841" i="3"/>
  <c r="D841" i="3"/>
  <c r="C841" i="3"/>
  <c r="B841" i="3"/>
  <c r="A841" i="3"/>
  <c r="Q840" i="3"/>
  <c r="P840" i="3"/>
  <c r="O840" i="3"/>
  <c r="N840" i="3"/>
  <c r="M840" i="3"/>
  <c r="K840" i="3"/>
  <c r="I840" i="3"/>
  <c r="H840" i="3"/>
  <c r="G840" i="3"/>
  <c r="F840" i="3"/>
  <c r="E840" i="3"/>
  <c r="D840" i="3"/>
  <c r="C840" i="3"/>
  <c r="B840" i="3"/>
  <c r="A840" i="3"/>
  <c r="Q839" i="3"/>
  <c r="P839" i="3"/>
  <c r="O839" i="3"/>
  <c r="N839" i="3"/>
  <c r="M839" i="3"/>
  <c r="K839" i="3"/>
  <c r="J839" i="3"/>
  <c r="I839" i="3"/>
  <c r="H839" i="3"/>
  <c r="G839" i="3"/>
  <c r="F839" i="3"/>
  <c r="E839" i="3"/>
  <c r="D839" i="3"/>
  <c r="C839" i="3"/>
  <c r="B839" i="3"/>
  <c r="A839" i="3"/>
  <c r="Q838" i="3"/>
  <c r="P838" i="3"/>
  <c r="O838" i="3"/>
  <c r="N838" i="3"/>
  <c r="M838" i="3"/>
  <c r="K838" i="3"/>
  <c r="J838" i="3"/>
  <c r="I838" i="3"/>
  <c r="H838" i="3"/>
  <c r="G838" i="3"/>
  <c r="F838" i="3"/>
  <c r="E838" i="3"/>
  <c r="D838" i="3"/>
  <c r="C838" i="3"/>
  <c r="B838" i="3"/>
  <c r="A838" i="3"/>
  <c r="Q837" i="3"/>
  <c r="P837" i="3"/>
  <c r="O837" i="3"/>
  <c r="N837" i="3"/>
  <c r="M837" i="3"/>
  <c r="K837" i="3"/>
  <c r="I837" i="3"/>
  <c r="H837" i="3"/>
  <c r="G837" i="3"/>
  <c r="F837" i="3"/>
  <c r="E837" i="3"/>
  <c r="D837" i="3"/>
  <c r="C837" i="3"/>
  <c r="B837" i="3"/>
  <c r="A837" i="3"/>
  <c r="Q836" i="3"/>
  <c r="P836" i="3"/>
  <c r="O836" i="3"/>
  <c r="N836" i="3"/>
  <c r="M836" i="3"/>
  <c r="K836" i="3"/>
  <c r="J836" i="3"/>
  <c r="I836" i="3"/>
  <c r="H836" i="3"/>
  <c r="G836" i="3"/>
  <c r="F836" i="3"/>
  <c r="E836" i="3"/>
  <c r="D836" i="3"/>
  <c r="C836" i="3"/>
  <c r="B836" i="3"/>
  <c r="A836" i="3"/>
  <c r="Q835" i="3"/>
  <c r="P835" i="3"/>
  <c r="O835" i="3"/>
  <c r="N835" i="3"/>
  <c r="M835" i="3"/>
  <c r="K835" i="3"/>
  <c r="J835" i="3"/>
  <c r="I835" i="3"/>
  <c r="H835" i="3"/>
  <c r="G835" i="3"/>
  <c r="F835" i="3"/>
  <c r="E835" i="3"/>
  <c r="D835" i="3"/>
  <c r="C835" i="3"/>
  <c r="B835" i="3"/>
  <c r="A835" i="3"/>
  <c r="Q834" i="3"/>
  <c r="P834" i="3"/>
  <c r="O834" i="3"/>
  <c r="N834" i="3"/>
  <c r="M834" i="3"/>
  <c r="K834" i="3"/>
  <c r="J834" i="3"/>
  <c r="I834" i="3"/>
  <c r="H834" i="3"/>
  <c r="G834" i="3"/>
  <c r="F834" i="3"/>
  <c r="E834" i="3"/>
  <c r="D834" i="3"/>
  <c r="C834" i="3"/>
  <c r="B834" i="3"/>
  <c r="A834" i="3"/>
  <c r="Q833" i="3"/>
  <c r="P833" i="3"/>
  <c r="N833" i="3"/>
  <c r="M833" i="3"/>
  <c r="K833" i="3"/>
  <c r="J833" i="3"/>
  <c r="I833" i="3"/>
  <c r="H833" i="3"/>
  <c r="G833" i="3"/>
  <c r="F833" i="3"/>
  <c r="E833" i="3"/>
  <c r="D833" i="3"/>
  <c r="C833" i="3"/>
  <c r="B833" i="3"/>
  <c r="A833" i="3"/>
  <c r="Q832" i="3"/>
  <c r="P832" i="3"/>
  <c r="N832" i="3"/>
  <c r="M832" i="3"/>
  <c r="K832" i="3"/>
  <c r="J832" i="3"/>
  <c r="I832" i="3"/>
  <c r="H832" i="3"/>
  <c r="G832" i="3"/>
  <c r="F832" i="3"/>
  <c r="E832" i="3"/>
  <c r="D832" i="3"/>
  <c r="C832" i="3"/>
  <c r="B832" i="3"/>
  <c r="A832" i="3"/>
  <c r="Q831" i="3"/>
  <c r="P831" i="3"/>
  <c r="O831" i="3"/>
  <c r="N831" i="3"/>
  <c r="M831" i="3"/>
  <c r="K831" i="3"/>
  <c r="J831" i="3"/>
  <c r="I831" i="3"/>
  <c r="H831" i="3"/>
  <c r="G831" i="3"/>
  <c r="F831" i="3"/>
  <c r="E831" i="3"/>
  <c r="D831" i="3"/>
  <c r="C831" i="3"/>
  <c r="B831" i="3"/>
  <c r="A831" i="3"/>
  <c r="Q830" i="3"/>
  <c r="P830" i="3"/>
  <c r="O830" i="3"/>
  <c r="N830" i="3"/>
  <c r="M830" i="3"/>
  <c r="K830" i="3"/>
  <c r="J830" i="3"/>
  <c r="I830" i="3"/>
  <c r="H830" i="3"/>
  <c r="G830" i="3"/>
  <c r="F830" i="3"/>
  <c r="E830" i="3"/>
  <c r="D830" i="3"/>
  <c r="C830" i="3"/>
  <c r="B830" i="3"/>
  <c r="A830" i="3"/>
  <c r="Q829" i="3"/>
  <c r="P829" i="3"/>
  <c r="N829" i="3"/>
  <c r="M829" i="3"/>
  <c r="K829" i="3"/>
  <c r="J829" i="3"/>
  <c r="I829" i="3"/>
  <c r="H829" i="3"/>
  <c r="G829" i="3"/>
  <c r="F829" i="3"/>
  <c r="E829" i="3"/>
  <c r="D829" i="3"/>
  <c r="C829" i="3"/>
  <c r="B829" i="3"/>
  <c r="A829" i="3"/>
  <c r="Q828" i="3"/>
  <c r="P828" i="3"/>
  <c r="N828" i="3"/>
  <c r="M828" i="3"/>
  <c r="K828" i="3"/>
  <c r="J828" i="3"/>
  <c r="I828" i="3"/>
  <c r="H828" i="3"/>
  <c r="G828" i="3"/>
  <c r="F828" i="3"/>
  <c r="E828" i="3"/>
  <c r="D828" i="3"/>
  <c r="C828" i="3"/>
  <c r="B828" i="3"/>
  <c r="A828" i="3"/>
  <c r="Q827" i="3"/>
  <c r="P827" i="3"/>
  <c r="N827" i="3"/>
  <c r="M827" i="3"/>
  <c r="K827" i="3"/>
  <c r="J827" i="3"/>
  <c r="I827" i="3"/>
  <c r="H827" i="3"/>
  <c r="G827" i="3"/>
  <c r="F827" i="3"/>
  <c r="E827" i="3"/>
  <c r="D827" i="3"/>
  <c r="C827" i="3"/>
  <c r="B827" i="3"/>
  <c r="A827" i="3"/>
  <c r="Q826" i="3"/>
  <c r="P826" i="3"/>
  <c r="O826" i="3"/>
  <c r="N826" i="3"/>
  <c r="M826" i="3"/>
  <c r="K826" i="3"/>
  <c r="I826" i="3"/>
  <c r="H826" i="3"/>
  <c r="G826" i="3"/>
  <c r="F826" i="3"/>
  <c r="E826" i="3"/>
  <c r="D826" i="3"/>
  <c r="C826" i="3"/>
  <c r="B826" i="3"/>
  <c r="A826" i="3"/>
  <c r="Q825" i="3"/>
  <c r="P825" i="3"/>
  <c r="O825" i="3"/>
  <c r="N825" i="3"/>
  <c r="M825" i="3"/>
  <c r="K825" i="3"/>
  <c r="J825" i="3"/>
  <c r="I825" i="3"/>
  <c r="H825" i="3"/>
  <c r="G825" i="3"/>
  <c r="F825" i="3"/>
  <c r="E825" i="3"/>
  <c r="D825" i="3"/>
  <c r="C825" i="3"/>
  <c r="B825" i="3"/>
  <c r="A825" i="3"/>
  <c r="Q824" i="3"/>
  <c r="P824" i="3"/>
  <c r="O824" i="3"/>
  <c r="N824" i="3"/>
  <c r="M824" i="3"/>
  <c r="K824" i="3"/>
  <c r="I824" i="3"/>
  <c r="H824" i="3"/>
  <c r="G824" i="3"/>
  <c r="F824" i="3"/>
  <c r="E824" i="3"/>
  <c r="D824" i="3"/>
  <c r="C824" i="3"/>
  <c r="B824" i="3"/>
  <c r="A824" i="3"/>
  <c r="Q823" i="3"/>
  <c r="P823" i="3"/>
  <c r="N823" i="3"/>
  <c r="M823" i="3"/>
  <c r="K823" i="3"/>
  <c r="J823" i="3"/>
  <c r="I823" i="3"/>
  <c r="H823" i="3"/>
  <c r="G823" i="3"/>
  <c r="F823" i="3"/>
  <c r="E823" i="3"/>
  <c r="D823" i="3"/>
  <c r="C823" i="3"/>
  <c r="B823" i="3"/>
  <c r="A823" i="3"/>
  <c r="Q822" i="3"/>
  <c r="P822" i="3"/>
  <c r="O822" i="3"/>
  <c r="N822" i="3"/>
  <c r="M822" i="3"/>
  <c r="K822" i="3"/>
  <c r="J822" i="3"/>
  <c r="I822" i="3"/>
  <c r="H822" i="3"/>
  <c r="G822" i="3"/>
  <c r="F822" i="3"/>
  <c r="E822" i="3"/>
  <c r="D822" i="3"/>
  <c r="C822" i="3"/>
  <c r="B822" i="3"/>
  <c r="A822" i="3"/>
  <c r="Q821" i="3"/>
  <c r="P821" i="3"/>
  <c r="O821" i="3"/>
  <c r="N821" i="3"/>
  <c r="M821" i="3"/>
  <c r="K821" i="3"/>
  <c r="J821" i="3"/>
  <c r="I821" i="3"/>
  <c r="H821" i="3"/>
  <c r="G821" i="3"/>
  <c r="F821" i="3"/>
  <c r="E821" i="3"/>
  <c r="D821" i="3"/>
  <c r="C821" i="3"/>
  <c r="B821" i="3"/>
  <c r="A821" i="3"/>
  <c r="Q820" i="3"/>
  <c r="P820" i="3"/>
  <c r="N820" i="3"/>
  <c r="M820" i="3"/>
  <c r="L820" i="3"/>
  <c r="K820" i="3"/>
  <c r="J820" i="3"/>
  <c r="I820" i="3"/>
  <c r="H820" i="3"/>
  <c r="G820" i="3"/>
  <c r="F820" i="3"/>
  <c r="E820" i="3"/>
  <c r="D820" i="3"/>
  <c r="C820" i="3"/>
  <c r="B820" i="3"/>
  <c r="A820" i="3"/>
  <c r="Q819" i="3"/>
  <c r="P819" i="3"/>
  <c r="O819" i="3"/>
  <c r="N819" i="3"/>
  <c r="M819" i="3"/>
  <c r="K819" i="3"/>
  <c r="J819" i="3"/>
  <c r="I819" i="3"/>
  <c r="H819" i="3"/>
  <c r="G819" i="3"/>
  <c r="F819" i="3"/>
  <c r="E819" i="3"/>
  <c r="D819" i="3"/>
  <c r="C819" i="3"/>
  <c r="B819" i="3"/>
  <c r="A819" i="3"/>
  <c r="Q818" i="3"/>
  <c r="P818" i="3"/>
  <c r="O818" i="3"/>
  <c r="N818" i="3"/>
  <c r="M818" i="3"/>
  <c r="K818" i="3"/>
  <c r="J818" i="3"/>
  <c r="I818" i="3"/>
  <c r="H818" i="3"/>
  <c r="G818" i="3"/>
  <c r="F818" i="3"/>
  <c r="E818" i="3"/>
  <c r="D818" i="3"/>
  <c r="C818" i="3"/>
  <c r="B818" i="3"/>
  <c r="A818" i="3"/>
  <c r="AE817" i="3"/>
  <c r="AD817" i="3"/>
  <c r="Q817" i="3"/>
  <c r="P817" i="3"/>
  <c r="O817" i="3"/>
  <c r="N817" i="3"/>
  <c r="M817" i="3"/>
  <c r="L817" i="3"/>
  <c r="K817" i="3"/>
  <c r="J817" i="3"/>
  <c r="I817" i="3"/>
  <c r="H817" i="3"/>
  <c r="G817" i="3"/>
  <c r="F817" i="3"/>
  <c r="E817" i="3"/>
  <c r="D817" i="3"/>
  <c r="C817" i="3"/>
  <c r="B817" i="3"/>
  <c r="A817" i="3"/>
  <c r="Q816" i="3"/>
  <c r="P816" i="3"/>
  <c r="O816" i="3"/>
  <c r="N816" i="3"/>
  <c r="M816" i="3"/>
  <c r="K816" i="3"/>
  <c r="J816" i="3"/>
  <c r="I816" i="3"/>
  <c r="H816" i="3"/>
  <c r="G816" i="3"/>
  <c r="F816" i="3"/>
  <c r="E816" i="3"/>
  <c r="D816" i="3"/>
  <c r="C816" i="3"/>
  <c r="B816" i="3"/>
  <c r="A816" i="3"/>
  <c r="Q815" i="3"/>
  <c r="P815" i="3"/>
  <c r="O815" i="3"/>
  <c r="N815" i="3"/>
  <c r="M815" i="3"/>
  <c r="K815" i="3"/>
  <c r="J815" i="3"/>
  <c r="I815" i="3"/>
  <c r="H815" i="3"/>
  <c r="G815" i="3"/>
  <c r="F815" i="3"/>
  <c r="E815" i="3"/>
  <c r="D815" i="3"/>
  <c r="C815" i="3"/>
  <c r="B815" i="3"/>
  <c r="A815" i="3"/>
  <c r="Q814" i="3"/>
  <c r="P814" i="3"/>
  <c r="N814" i="3"/>
  <c r="M814" i="3"/>
  <c r="K814" i="3"/>
  <c r="J814" i="3"/>
  <c r="I814" i="3"/>
  <c r="H814" i="3"/>
  <c r="G814" i="3"/>
  <c r="F814" i="3"/>
  <c r="E814" i="3"/>
  <c r="D814" i="3"/>
  <c r="C814" i="3"/>
  <c r="B814" i="3"/>
  <c r="A814" i="3"/>
  <c r="Q813" i="3"/>
  <c r="P813" i="3"/>
  <c r="O813" i="3"/>
  <c r="N813" i="3"/>
  <c r="M813" i="3"/>
  <c r="K813" i="3"/>
  <c r="J813" i="3"/>
  <c r="I813" i="3"/>
  <c r="H813" i="3"/>
  <c r="G813" i="3"/>
  <c r="F813" i="3"/>
  <c r="E813" i="3"/>
  <c r="D813" i="3"/>
  <c r="C813" i="3"/>
  <c r="B813" i="3"/>
  <c r="A813" i="3"/>
  <c r="Q812" i="3"/>
  <c r="P812" i="3"/>
  <c r="O812" i="3"/>
  <c r="N812" i="3"/>
  <c r="M812" i="3"/>
  <c r="K812" i="3"/>
  <c r="J812" i="3"/>
  <c r="I812" i="3"/>
  <c r="H812" i="3"/>
  <c r="G812" i="3"/>
  <c r="F812" i="3"/>
  <c r="E812" i="3"/>
  <c r="D812" i="3"/>
  <c r="C812" i="3"/>
  <c r="B812" i="3"/>
  <c r="A812" i="3"/>
  <c r="Q811" i="3"/>
  <c r="P811" i="3"/>
  <c r="O811" i="3"/>
  <c r="N811" i="3"/>
  <c r="M811" i="3"/>
  <c r="K811" i="3"/>
  <c r="J811" i="3"/>
  <c r="I811" i="3"/>
  <c r="H811" i="3"/>
  <c r="G811" i="3"/>
  <c r="F811" i="3"/>
  <c r="E811" i="3"/>
  <c r="D811" i="3"/>
  <c r="C811" i="3"/>
  <c r="B811" i="3"/>
  <c r="A811" i="3"/>
  <c r="Q810" i="3"/>
  <c r="P810" i="3"/>
  <c r="N810" i="3"/>
  <c r="M810" i="3"/>
  <c r="K810" i="3"/>
  <c r="J810" i="3"/>
  <c r="I810" i="3"/>
  <c r="H810" i="3"/>
  <c r="G810" i="3"/>
  <c r="F810" i="3"/>
  <c r="E810" i="3"/>
  <c r="D810" i="3"/>
  <c r="C810" i="3"/>
  <c r="B810" i="3"/>
  <c r="A810" i="3"/>
  <c r="Q809" i="3"/>
  <c r="P809" i="3"/>
  <c r="O809" i="3"/>
  <c r="N809" i="3"/>
  <c r="M809" i="3"/>
  <c r="K809" i="3"/>
  <c r="J809" i="3"/>
  <c r="I809" i="3"/>
  <c r="H809" i="3"/>
  <c r="G809" i="3"/>
  <c r="F809" i="3"/>
  <c r="E809" i="3"/>
  <c r="D809" i="3"/>
  <c r="C809" i="3"/>
  <c r="B809" i="3"/>
  <c r="A809" i="3"/>
  <c r="Q808" i="3"/>
  <c r="P808" i="3"/>
  <c r="O808" i="3"/>
  <c r="N808" i="3"/>
  <c r="M808" i="3"/>
  <c r="K808" i="3"/>
  <c r="I808" i="3"/>
  <c r="H808" i="3"/>
  <c r="G808" i="3"/>
  <c r="F808" i="3"/>
  <c r="E808" i="3"/>
  <c r="D808" i="3"/>
  <c r="C808" i="3"/>
  <c r="B808" i="3"/>
  <c r="A808" i="3"/>
  <c r="Q807" i="3"/>
  <c r="P807" i="3"/>
  <c r="O807" i="3"/>
  <c r="N807" i="3"/>
  <c r="M807" i="3"/>
  <c r="K807" i="3"/>
  <c r="J807" i="3"/>
  <c r="I807" i="3"/>
  <c r="H807" i="3"/>
  <c r="G807" i="3"/>
  <c r="F807" i="3"/>
  <c r="E807" i="3"/>
  <c r="D807" i="3"/>
  <c r="C807" i="3"/>
  <c r="B807" i="3"/>
  <c r="A807" i="3"/>
  <c r="Q806" i="3"/>
  <c r="P806" i="3"/>
  <c r="O806" i="3"/>
  <c r="N806" i="3"/>
  <c r="M806" i="3"/>
  <c r="K806" i="3"/>
  <c r="I806" i="3"/>
  <c r="H806" i="3"/>
  <c r="G806" i="3"/>
  <c r="F806" i="3"/>
  <c r="E806" i="3"/>
  <c r="D806" i="3"/>
  <c r="C806" i="3"/>
  <c r="B806" i="3"/>
  <c r="A806" i="3"/>
  <c r="Q805" i="3"/>
  <c r="P805" i="3"/>
  <c r="O805" i="3"/>
  <c r="N805" i="3"/>
  <c r="M805" i="3"/>
  <c r="K805" i="3"/>
  <c r="J805" i="3"/>
  <c r="I805" i="3"/>
  <c r="H805" i="3"/>
  <c r="G805" i="3"/>
  <c r="F805" i="3"/>
  <c r="E805" i="3"/>
  <c r="D805" i="3"/>
  <c r="C805" i="3"/>
  <c r="B805" i="3"/>
  <c r="A805" i="3"/>
  <c r="Q804" i="3"/>
  <c r="P804" i="3"/>
  <c r="O804" i="3"/>
  <c r="N804" i="3"/>
  <c r="M804" i="3"/>
  <c r="K804" i="3"/>
  <c r="J804" i="3"/>
  <c r="I804" i="3"/>
  <c r="H804" i="3"/>
  <c r="G804" i="3"/>
  <c r="F804" i="3"/>
  <c r="E804" i="3"/>
  <c r="D804" i="3"/>
  <c r="C804" i="3"/>
  <c r="B804" i="3"/>
  <c r="A804" i="3"/>
  <c r="Q803" i="3"/>
  <c r="P803" i="3"/>
  <c r="O803" i="3"/>
  <c r="N803" i="3"/>
  <c r="M803" i="3"/>
  <c r="K803" i="3"/>
  <c r="I803" i="3"/>
  <c r="H803" i="3"/>
  <c r="G803" i="3"/>
  <c r="F803" i="3"/>
  <c r="E803" i="3"/>
  <c r="D803" i="3"/>
  <c r="C803" i="3"/>
  <c r="B803" i="3"/>
  <c r="A803" i="3"/>
  <c r="Q802" i="3"/>
  <c r="P802" i="3"/>
  <c r="O802" i="3"/>
  <c r="N802" i="3"/>
  <c r="M802" i="3"/>
  <c r="K802" i="3"/>
  <c r="I802" i="3"/>
  <c r="H802" i="3"/>
  <c r="G802" i="3"/>
  <c r="F802" i="3"/>
  <c r="E802" i="3"/>
  <c r="D802" i="3"/>
  <c r="C802" i="3"/>
  <c r="B802" i="3"/>
  <c r="A802" i="3"/>
  <c r="Q801" i="3"/>
  <c r="P801" i="3"/>
  <c r="O801" i="3"/>
  <c r="N801" i="3"/>
  <c r="M801" i="3"/>
  <c r="K801" i="3"/>
  <c r="I801" i="3"/>
  <c r="H801" i="3"/>
  <c r="G801" i="3"/>
  <c r="F801" i="3"/>
  <c r="E801" i="3"/>
  <c r="D801" i="3"/>
  <c r="C801" i="3"/>
  <c r="B801" i="3"/>
  <c r="A801" i="3"/>
  <c r="Q800" i="3"/>
  <c r="P800" i="3"/>
  <c r="O800" i="3"/>
  <c r="N800" i="3"/>
  <c r="M800" i="3"/>
  <c r="K800" i="3"/>
  <c r="J800" i="3"/>
  <c r="I800" i="3"/>
  <c r="H800" i="3"/>
  <c r="G800" i="3"/>
  <c r="F800" i="3"/>
  <c r="E800" i="3"/>
  <c r="D800" i="3"/>
  <c r="C800" i="3"/>
  <c r="B800" i="3"/>
  <c r="A800" i="3"/>
  <c r="Q799" i="3"/>
  <c r="P799" i="3"/>
  <c r="O799" i="3"/>
  <c r="N799" i="3"/>
  <c r="M799" i="3"/>
  <c r="K799" i="3"/>
  <c r="I799" i="3"/>
  <c r="H799" i="3"/>
  <c r="G799" i="3"/>
  <c r="F799" i="3"/>
  <c r="E799" i="3"/>
  <c r="D799" i="3"/>
  <c r="C799" i="3"/>
  <c r="B799" i="3"/>
  <c r="A799" i="3"/>
  <c r="Q798" i="3"/>
  <c r="P798" i="3"/>
  <c r="O798" i="3"/>
  <c r="N798" i="3"/>
  <c r="M798" i="3"/>
  <c r="K798" i="3"/>
  <c r="J798" i="3"/>
  <c r="I798" i="3"/>
  <c r="H798" i="3"/>
  <c r="G798" i="3"/>
  <c r="F798" i="3"/>
  <c r="E798" i="3"/>
  <c r="D798" i="3"/>
  <c r="C798" i="3"/>
  <c r="B798" i="3"/>
  <c r="A798" i="3"/>
  <c r="Q797" i="3"/>
  <c r="P797" i="3"/>
  <c r="O797" i="3"/>
  <c r="N797" i="3"/>
  <c r="M797" i="3"/>
  <c r="K797" i="3"/>
  <c r="J797" i="3"/>
  <c r="I797" i="3"/>
  <c r="H797" i="3"/>
  <c r="G797" i="3"/>
  <c r="F797" i="3"/>
  <c r="E797" i="3"/>
  <c r="D797" i="3"/>
  <c r="C797" i="3"/>
  <c r="B797" i="3"/>
  <c r="A797" i="3"/>
  <c r="Q796" i="3"/>
  <c r="P796" i="3"/>
  <c r="O796" i="3"/>
  <c r="N796" i="3"/>
  <c r="M796" i="3"/>
  <c r="K796" i="3"/>
  <c r="J796" i="3"/>
  <c r="I796" i="3"/>
  <c r="H796" i="3"/>
  <c r="G796" i="3"/>
  <c r="F796" i="3"/>
  <c r="E796" i="3"/>
  <c r="D796" i="3"/>
  <c r="C796" i="3"/>
  <c r="B796" i="3"/>
  <c r="A796" i="3"/>
  <c r="Q795" i="3"/>
  <c r="P795" i="3"/>
  <c r="O795" i="3"/>
  <c r="N795" i="3"/>
  <c r="M795" i="3"/>
  <c r="K795" i="3"/>
  <c r="J795" i="3"/>
  <c r="I795" i="3"/>
  <c r="H795" i="3"/>
  <c r="G795" i="3"/>
  <c r="F795" i="3"/>
  <c r="E795" i="3"/>
  <c r="D795" i="3"/>
  <c r="C795" i="3"/>
  <c r="B795" i="3"/>
  <c r="A795" i="3"/>
  <c r="Q794" i="3"/>
  <c r="P794" i="3"/>
  <c r="O794" i="3"/>
  <c r="N794" i="3"/>
  <c r="M794" i="3"/>
  <c r="K794" i="3"/>
  <c r="J794" i="3"/>
  <c r="I794" i="3"/>
  <c r="H794" i="3"/>
  <c r="G794" i="3"/>
  <c r="F794" i="3"/>
  <c r="E794" i="3"/>
  <c r="D794" i="3"/>
  <c r="C794" i="3"/>
  <c r="B794" i="3"/>
  <c r="A794" i="3"/>
  <c r="Q793" i="3"/>
  <c r="P793" i="3"/>
  <c r="O793" i="3"/>
  <c r="N793" i="3"/>
  <c r="M793" i="3"/>
  <c r="K793" i="3"/>
  <c r="J793" i="3"/>
  <c r="I793" i="3"/>
  <c r="H793" i="3"/>
  <c r="G793" i="3"/>
  <c r="F793" i="3"/>
  <c r="E793" i="3"/>
  <c r="D793" i="3"/>
  <c r="C793" i="3"/>
  <c r="B793" i="3"/>
  <c r="A793" i="3"/>
  <c r="Q792" i="3"/>
  <c r="P792" i="3"/>
  <c r="O792" i="3"/>
  <c r="N792" i="3"/>
  <c r="M792" i="3"/>
  <c r="K792" i="3"/>
  <c r="J792" i="3"/>
  <c r="I792" i="3"/>
  <c r="H792" i="3"/>
  <c r="G792" i="3"/>
  <c r="F792" i="3"/>
  <c r="E792" i="3"/>
  <c r="D792" i="3"/>
  <c r="C792" i="3"/>
  <c r="B792" i="3"/>
  <c r="A792" i="3"/>
  <c r="Q791" i="3"/>
  <c r="P791" i="3"/>
  <c r="O791" i="3"/>
  <c r="N791" i="3"/>
  <c r="M791" i="3"/>
  <c r="K791" i="3"/>
  <c r="I791" i="3"/>
  <c r="H791" i="3"/>
  <c r="G791" i="3"/>
  <c r="F791" i="3"/>
  <c r="E791" i="3"/>
  <c r="D791" i="3"/>
  <c r="C791" i="3"/>
  <c r="B791" i="3"/>
  <c r="A791" i="3"/>
  <c r="Q790" i="3"/>
  <c r="P790" i="3"/>
  <c r="N790" i="3"/>
  <c r="M790" i="3"/>
  <c r="K790" i="3"/>
  <c r="J790" i="3"/>
  <c r="I790" i="3"/>
  <c r="H790" i="3"/>
  <c r="G790" i="3"/>
  <c r="F790" i="3"/>
  <c r="E790" i="3"/>
  <c r="D790" i="3"/>
  <c r="C790" i="3"/>
  <c r="B790" i="3"/>
  <c r="A790" i="3"/>
  <c r="Q789" i="3"/>
  <c r="P789" i="3"/>
  <c r="O789" i="3"/>
  <c r="N789" i="3"/>
  <c r="M789" i="3"/>
  <c r="K789" i="3"/>
  <c r="I789" i="3"/>
  <c r="H789" i="3"/>
  <c r="G789" i="3"/>
  <c r="F789" i="3"/>
  <c r="E789" i="3"/>
  <c r="D789" i="3"/>
  <c r="C789" i="3"/>
  <c r="B789" i="3"/>
  <c r="A789" i="3"/>
  <c r="Q788" i="3"/>
  <c r="P788" i="3"/>
  <c r="O788" i="3"/>
  <c r="N788" i="3"/>
  <c r="M788" i="3"/>
  <c r="K788" i="3"/>
  <c r="J788" i="3"/>
  <c r="I788" i="3"/>
  <c r="H788" i="3"/>
  <c r="G788" i="3"/>
  <c r="F788" i="3"/>
  <c r="E788" i="3"/>
  <c r="D788" i="3"/>
  <c r="C788" i="3"/>
  <c r="B788" i="3"/>
  <c r="A788" i="3"/>
  <c r="Q787" i="3"/>
  <c r="P787" i="3"/>
  <c r="O787" i="3"/>
  <c r="N787" i="3"/>
  <c r="M787" i="3"/>
  <c r="K787" i="3"/>
  <c r="J787" i="3"/>
  <c r="I787" i="3"/>
  <c r="H787" i="3"/>
  <c r="G787" i="3"/>
  <c r="F787" i="3"/>
  <c r="E787" i="3"/>
  <c r="D787" i="3"/>
  <c r="C787" i="3"/>
  <c r="B787" i="3"/>
  <c r="A787" i="3"/>
  <c r="Q786" i="3"/>
  <c r="P786" i="3"/>
  <c r="O786" i="3"/>
  <c r="N786" i="3"/>
  <c r="M786" i="3"/>
  <c r="K786" i="3"/>
  <c r="J786" i="3"/>
  <c r="I786" i="3"/>
  <c r="H786" i="3"/>
  <c r="G786" i="3"/>
  <c r="F786" i="3"/>
  <c r="E786" i="3"/>
  <c r="D786" i="3"/>
  <c r="C786" i="3"/>
  <c r="B786" i="3"/>
  <c r="A786" i="3"/>
  <c r="Q785" i="3"/>
  <c r="P785" i="3"/>
  <c r="O785" i="3"/>
  <c r="N785" i="3"/>
  <c r="M785" i="3"/>
  <c r="K785" i="3"/>
  <c r="J785" i="3"/>
  <c r="I785" i="3"/>
  <c r="H785" i="3"/>
  <c r="G785" i="3"/>
  <c r="F785" i="3"/>
  <c r="E785" i="3"/>
  <c r="D785" i="3"/>
  <c r="C785" i="3"/>
  <c r="B785" i="3"/>
  <c r="A785" i="3"/>
  <c r="Q784" i="3"/>
  <c r="P784" i="3"/>
  <c r="O784" i="3"/>
  <c r="N784" i="3"/>
  <c r="M784" i="3"/>
  <c r="K784" i="3"/>
  <c r="J784" i="3"/>
  <c r="I784" i="3"/>
  <c r="H784" i="3"/>
  <c r="G784" i="3"/>
  <c r="F784" i="3"/>
  <c r="E784" i="3"/>
  <c r="D784" i="3"/>
  <c r="C784" i="3"/>
  <c r="B784" i="3"/>
  <c r="A784" i="3"/>
  <c r="Q783" i="3"/>
  <c r="P783" i="3"/>
  <c r="O783" i="3"/>
  <c r="N783" i="3"/>
  <c r="M783" i="3"/>
  <c r="K783" i="3"/>
  <c r="J783" i="3"/>
  <c r="I783" i="3"/>
  <c r="H783" i="3"/>
  <c r="G783" i="3"/>
  <c r="F783" i="3"/>
  <c r="E783" i="3"/>
  <c r="D783" i="3"/>
  <c r="C783" i="3"/>
  <c r="B783" i="3"/>
  <c r="A783" i="3"/>
  <c r="AE782" i="3"/>
  <c r="AD782" i="3"/>
  <c r="Q782" i="3"/>
  <c r="P782" i="3"/>
  <c r="O782" i="3"/>
  <c r="N782" i="3"/>
  <c r="M782" i="3"/>
  <c r="L782" i="3"/>
  <c r="K782" i="3"/>
  <c r="J782" i="3"/>
  <c r="I782" i="3"/>
  <c r="H782" i="3"/>
  <c r="G782" i="3"/>
  <c r="F782" i="3"/>
  <c r="E782" i="3"/>
  <c r="D782" i="3"/>
  <c r="C782" i="3"/>
  <c r="B782" i="3"/>
  <c r="A782" i="3"/>
  <c r="AE781" i="3"/>
  <c r="AD781" i="3"/>
  <c r="Q781" i="3"/>
  <c r="P781" i="3"/>
  <c r="N781" i="3"/>
  <c r="M781" i="3"/>
  <c r="L781" i="3"/>
  <c r="K781" i="3"/>
  <c r="J781" i="3"/>
  <c r="I781" i="3"/>
  <c r="H781" i="3"/>
  <c r="G781" i="3"/>
  <c r="F781" i="3"/>
  <c r="E781" i="3"/>
  <c r="D781" i="3"/>
  <c r="C781" i="3"/>
  <c r="B781" i="3"/>
  <c r="A781" i="3"/>
  <c r="Q780" i="3"/>
  <c r="P780" i="3"/>
  <c r="O780" i="3"/>
  <c r="N780" i="3"/>
  <c r="M780" i="3"/>
  <c r="K780" i="3"/>
  <c r="J780" i="3"/>
  <c r="I780" i="3"/>
  <c r="H780" i="3"/>
  <c r="G780" i="3"/>
  <c r="F780" i="3"/>
  <c r="E780" i="3"/>
  <c r="D780" i="3"/>
  <c r="C780" i="3"/>
  <c r="B780" i="3"/>
  <c r="A780" i="3"/>
  <c r="Q779" i="3"/>
  <c r="P779" i="3"/>
  <c r="O779" i="3"/>
  <c r="N779" i="3"/>
  <c r="M779" i="3"/>
  <c r="K779" i="3"/>
  <c r="J779" i="3"/>
  <c r="I779" i="3"/>
  <c r="H779" i="3"/>
  <c r="G779" i="3"/>
  <c r="F779" i="3"/>
  <c r="E779" i="3"/>
  <c r="D779" i="3"/>
  <c r="C779" i="3"/>
  <c r="B779" i="3"/>
  <c r="A779" i="3"/>
  <c r="Q778" i="3"/>
  <c r="P778" i="3"/>
  <c r="O778" i="3"/>
  <c r="N778" i="3"/>
  <c r="M778" i="3"/>
  <c r="K778" i="3"/>
  <c r="J778" i="3"/>
  <c r="I778" i="3"/>
  <c r="H778" i="3"/>
  <c r="G778" i="3"/>
  <c r="F778" i="3"/>
  <c r="E778" i="3"/>
  <c r="D778" i="3"/>
  <c r="C778" i="3"/>
  <c r="B778" i="3"/>
  <c r="A778" i="3"/>
  <c r="Q777" i="3"/>
  <c r="P777" i="3"/>
  <c r="O777" i="3"/>
  <c r="N777" i="3"/>
  <c r="M777" i="3"/>
  <c r="K777" i="3"/>
  <c r="J777" i="3"/>
  <c r="I777" i="3"/>
  <c r="H777" i="3"/>
  <c r="G777" i="3"/>
  <c r="F777" i="3"/>
  <c r="E777" i="3"/>
  <c r="D777" i="3"/>
  <c r="C777" i="3"/>
  <c r="B777" i="3"/>
  <c r="A777" i="3"/>
  <c r="Q776" i="3"/>
  <c r="P776" i="3"/>
  <c r="N776" i="3"/>
  <c r="M776" i="3"/>
  <c r="K776" i="3"/>
  <c r="J776" i="3"/>
  <c r="I776" i="3"/>
  <c r="H776" i="3"/>
  <c r="G776" i="3"/>
  <c r="F776" i="3"/>
  <c r="E776" i="3"/>
  <c r="D776" i="3"/>
  <c r="C776" i="3"/>
  <c r="B776" i="3"/>
  <c r="A776" i="3"/>
  <c r="Q775" i="3"/>
  <c r="P775" i="3"/>
  <c r="O775" i="3"/>
  <c r="N775" i="3"/>
  <c r="M775" i="3"/>
  <c r="K775" i="3"/>
  <c r="J775" i="3"/>
  <c r="I775" i="3"/>
  <c r="H775" i="3"/>
  <c r="G775" i="3"/>
  <c r="F775" i="3"/>
  <c r="E775" i="3"/>
  <c r="D775" i="3"/>
  <c r="C775" i="3"/>
  <c r="B775" i="3"/>
  <c r="A775" i="3"/>
  <c r="Q774" i="3"/>
  <c r="P774" i="3"/>
  <c r="N774" i="3"/>
  <c r="M774" i="3"/>
  <c r="K774" i="3"/>
  <c r="J774" i="3"/>
  <c r="I774" i="3"/>
  <c r="H774" i="3"/>
  <c r="G774" i="3"/>
  <c r="F774" i="3"/>
  <c r="E774" i="3"/>
  <c r="D774" i="3"/>
  <c r="C774" i="3"/>
  <c r="B774" i="3"/>
  <c r="A774" i="3"/>
  <c r="Q773" i="3"/>
  <c r="P773" i="3"/>
  <c r="O773" i="3"/>
  <c r="N773" i="3"/>
  <c r="M773" i="3"/>
  <c r="K773" i="3"/>
  <c r="J773" i="3"/>
  <c r="I773" i="3"/>
  <c r="H773" i="3"/>
  <c r="G773" i="3"/>
  <c r="F773" i="3"/>
  <c r="E773" i="3"/>
  <c r="D773" i="3"/>
  <c r="C773" i="3"/>
  <c r="B773" i="3"/>
  <c r="A773" i="3"/>
  <c r="Q772" i="3"/>
  <c r="P772" i="3"/>
  <c r="N772" i="3"/>
  <c r="M772" i="3"/>
  <c r="K772" i="3"/>
  <c r="J772" i="3"/>
  <c r="I772" i="3"/>
  <c r="H772" i="3"/>
  <c r="G772" i="3"/>
  <c r="F772" i="3"/>
  <c r="E772" i="3"/>
  <c r="D772" i="3"/>
  <c r="C772" i="3"/>
  <c r="B772" i="3"/>
  <c r="A772" i="3"/>
  <c r="Q771" i="3"/>
  <c r="P771" i="3"/>
  <c r="N771" i="3"/>
  <c r="M771" i="3"/>
  <c r="K771" i="3"/>
  <c r="J771" i="3"/>
  <c r="I771" i="3"/>
  <c r="H771" i="3"/>
  <c r="G771" i="3"/>
  <c r="F771" i="3"/>
  <c r="E771" i="3"/>
  <c r="D771" i="3"/>
  <c r="C771" i="3"/>
  <c r="B771" i="3"/>
  <c r="A771" i="3"/>
  <c r="Q770" i="3"/>
  <c r="P770" i="3"/>
  <c r="N770" i="3"/>
  <c r="M770" i="3"/>
  <c r="K770" i="3"/>
  <c r="J770" i="3"/>
  <c r="I770" i="3"/>
  <c r="H770" i="3"/>
  <c r="G770" i="3"/>
  <c r="F770" i="3"/>
  <c r="E770" i="3"/>
  <c r="D770" i="3"/>
  <c r="C770" i="3"/>
  <c r="B770" i="3"/>
  <c r="A770" i="3"/>
  <c r="Q769" i="3"/>
  <c r="P769" i="3"/>
  <c r="O769" i="3"/>
  <c r="N769" i="3"/>
  <c r="M769" i="3"/>
  <c r="K769" i="3"/>
  <c r="J769" i="3"/>
  <c r="I769" i="3"/>
  <c r="H769" i="3"/>
  <c r="G769" i="3"/>
  <c r="F769" i="3"/>
  <c r="E769" i="3"/>
  <c r="D769" i="3"/>
  <c r="C769" i="3"/>
  <c r="B769" i="3"/>
  <c r="A769" i="3"/>
  <c r="Q768" i="3"/>
  <c r="P768" i="3"/>
  <c r="O768" i="3"/>
  <c r="N768" i="3"/>
  <c r="M768" i="3"/>
  <c r="K768" i="3"/>
  <c r="I768" i="3"/>
  <c r="H768" i="3"/>
  <c r="G768" i="3"/>
  <c r="F768" i="3"/>
  <c r="E768" i="3"/>
  <c r="D768" i="3"/>
  <c r="C768" i="3"/>
  <c r="B768" i="3"/>
  <c r="A768" i="3"/>
  <c r="Q767" i="3"/>
  <c r="P767" i="3"/>
  <c r="N767" i="3"/>
  <c r="M767" i="3"/>
  <c r="K767" i="3"/>
  <c r="J767" i="3"/>
  <c r="I767" i="3"/>
  <c r="H767" i="3"/>
  <c r="G767" i="3"/>
  <c r="F767" i="3"/>
  <c r="E767" i="3"/>
  <c r="D767" i="3"/>
  <c r="C767" i="3"/>
  <c r="B767" i="3"/>
  <c r="A767" i="3"/>
  <c r="Q766" i="3"/>
  <c r="P766" i="3"/>
  <c r="O766" i="3"/>
  <c r="N766" i="3"/>
  <c r="M766" i="3"/>
  <c r="K766" i="3"/>
  <c r="J766" i="3"/>
  <c r="I766" i="3"/>
  <c r="H766" i="3"/>
  <c r="G766" i="3"/>
  <c r="F766" i="3"/>
  <c r="E766" i="3"/>
  <c r="D766" i="3"/>
  <c r="C766" i="3"/>
  <c r="B766" i="3"/>
  <c r="A766" i="3"/>
  <c r="Q765" i="3"/>
  <c r="P765" i="3"/>
  <c r="O765" i="3"/>
  <c r="N765" i="3"/>
  <c r="M765" i="3"/>
  <c r="K765" i="3"/>
  <c r="J765" i="3"/>
  <c r="I765" i="3"/>
  <c r="H765" i="3"/>
  <c r="G765" i="3"/>
  <c r="F765" i="3"/>
  <c r="E765" i="3"/>
  <c r="D765" i="3"/>
  <c r="C765" i="3"/>
  <c r="B765" i="3"/>
  <c r="A765" i="3"/>
  <c r="Q764" i="3"/>
  <c r="P764" i="3"/>
  <c r="N764" i="3"/>
  <c r="M764" i="3"/>
  <c r="K764" i="3"/>
  <c r="J764" i="3"/>
  <c r="I764" i="3"/>
  <c r="H764" i="3"/>
  <c r="G764" i="3"/>
  <c r="F764" i="3"/>
  <c r="E764" i="3"/>
  <c r="D764" i="3"/>
  <c r="C764" i="3"/>
  <c r="B764" i="3"/>
  <c r="A764" i="3"/>
  <c r="Q763" i="3"/>
  <c r="P763" i="3"/>
  <c r="N763" i="3"/>
  <c r="M763" i="3"/>
  <c r="K763" i="3"/>
  <c r="J763" i="3"/>
  <c r="I763" i="3"/>
  <c r="H763" i="3"/>
  <c r="G763" i="3"/>
  <c r="F763" i="3"/>
  <c r="E763" i="3"/>
  <c r="D763" i="3"/>
  <c r="C763" i="3"/>
  <c r="B763" i="3"/>
  <c r="A763" i="3"/>
  <c r="Q762" i="3"/>
  <c r="P762" i="3"/>
  <c r="O762" i="3"/>
  <c r="N762" i="3"/>
  <c r="M762" i="3"/>
  <c r="K762" i="3"/>
  <c r="I762" i="3"/>
  <c r="H762" i="3"/>
  <c r="G762" i="3"/>
  <c r="F762" i="3"/>
  <c r="E762" i="3"/>
  <c r="D762" i="3"/>
  <c r="C762" i="3"/>
  <c r="B762" i="3"/>
  <c r="A762" i="3"/>
  <c r="Q761" i="3"/>
  <c r="P761" i="3"/>
  <c r="O761" i="3"/>
  <c r="N761" i="3"/>
  <c r="M761" i="3"/>
  <c r="K761" i="3"/>
  <c r="I761" i="3"/>
  <c r="H761" i="3"/>
  <c r="G761" i="3"/>
  <c r="F761" i="3"/>
  <c r="E761" i="3"/>
  <c r="D761" i="3"/>
  <c r="C761" i="3"/>
  <c r="B761" i="3"/>
  <c r="A761" i="3"/>
  <c r="Q760" i="3"/>
  <c r="P760" i="3"/>
  <c r="O760" i="3"/>
  <c r="N760" i="3"/>
  <c r="M760" i="3"/>
  <c r="K760" i="3"/>
  <c r="J760" i="3"/>
  <c r="I760" i="3"/>
  <c r="H760" i="3"/>
  <c r="G760" i="3"/>
  <c r="F760" i="3"/>
  <c r="E760" i="3"/>
  <c r="D760" i="3"/>
  <c r="C760" i="3"/>
  <c r="B760" i="3"/>
  <c r="A760" i="3"/>
  <c r="Q759" i="3"/>
  <c r="P759" i="3"/>
  <c r="O759" i="3"/>
  <c r="N759" i="3"/>
  <c r="M759" i="3"/>
  <c r="K759" i="3"/>
  <c r="I759" i="3"/>
  <c r="H759" i="3"/>
  <c r="G759" i="3"/>
  <c r="F759" i="3"/>
  <c r="E759" i="3"/>
  <c r="D759" i="3"/>
  <c r="C759" i="3"/>
  <c r="B759" i="3"/>
  <c r="A759" i="3"/>
  <c r="Q758" i="3"/>
  <c r="P758" i="3"/>
  <c r="O758" i="3"/>
  <c r="N758" i="3"/>
  <c r="M758" i="3"/>
  <c r="K758" i="3"/>
  <c r="J758" i="3"/>
  <c r="I758" i="3"/>
  <c r="H758" i="3"/>
  <c r="G758" i="3"/>
  <c r="F758" i="3"/>
  <c r="E758" i="3"/>
  <c r="D758" i="3"/>
  <c r="C758" i="3"/>
  <c r="B758" i="3"/>
  <c r="A758" i="3"/>
  <c r="Q757" i="3"/>
  <c r="P757" i="3"/>
  <c r="O757" i="3"/>
  <c r="N757" i="3"/>
  <c r="M757" i="3"/>
  <c r="K757" i="3"/>
  <c r="I757" i="3"/>
  <c r="H757" i="3"/>
  <c r="G757" i="3"/>
  <c r="F757" i="3"/>
  <c r="E757" i="3"/>
  <c r="D757" i="3"/>
  <c r="C757" i="3"/>
  <c r="B757" i="3"/>
  <c r="A757" i="3"/>
  <c r="Q756" i="3"/>
  <c r="P756" i="3"/>
  <c r="O756" i="3"/>
  <c r="N756" i="3"/>
  <c r="M756" i="3"/>
  <c r="K756" i="3"/>
  <c r="J756" i="3"/>
  <c r="I756" i="3"/>
  <c r="H756" i="3"/>
  <c r="G756" i="3"/>
  <c r="F756" i="3"/>
  <c r="E756" i="3"/>
  <c r="D756" i="3"/>
  <c r="C756" i="3"/>
  <c r="B756" i="3"/>
  <c r="A756" i="3"/>
  <c r="Q755" i="3"/>
  <c r="P755" i="3"/>
  <c r="O755" i="3"/>
  <c r="N755" i="3"/>
  <c r="M755" i="3"/>
  <c r="K755" i="3"/>
  <c r="J755" i="3"/>
  <c r="I755" i="3"/>
  <c r="H755" i="3"/>
  <c r="G755" i="3"/>
  <c r="F755" i="3"/>
  <c r="E755" i="3"/>
  <c r="D755" i="3"/>
  <c r="C755" i="3"/>
  <c r="B755" i="3"/>
  <c r="A755" i="3"/>
  <c r="Q754" i="3"/>
  <c r="P754" i="3"/>
  <c r="N754" i="3"/>
  <c r="M754" i="3"/>
  <c r="K754" i="3"/>
  <c r="J754" i="3"/>
  <c r="I754" i="3"/>
  <c r="H754" i="3"/>
  <c r="G754" i="3"/>
  <c r="F754" i="3"/>
  <c r="E754" i="3"/>
  <c r="D754" i="3"/>
  <c r="C754" i="3"/>
  <c r="B754" i="3"/>
  <c r="A754" i="3"/>
  <c r="Q753" i="3"/>
  <c r="P753" i="3"/>
  <c r="N753" i="3"/>
  <c r="M753" i="3"/>
  <c r="K753" i="3"/>
  <c r="J753" i="3"/>
  <c r="I753" i="3"/>
  <c r="H753" i="3"/>
  <c r="G753" i="3"/>
  <c r="F753" i="3"/>
  <c r="E753" i="3"/>
  <c r="D753" i="3"/>
  <c r="C753" i="3"/>
  <c r="B753" i="3"/>
  <c r="A753" i="3"/>
  <c r="Q752" i="3"/>
  <c r="P752" i="3"/>
  <c r="N752" i="3"/>
  <c r="M752" i="3"/>
  <c r="K752" i="3"/>
  <c r="J752" i="3"/>
  <c r="I752" i="3"/>
  <c r="H752" i="3"/>
  <c r="G752" i="3"/>
  <c r="F752" i="3"/>
  <c r="E752" i="3"/>
  <c r="D752" i="3"/>
  <c r="C752" i="3"/>
  <c r="B752" i="3"/>
  <c r="A752" i="3"/>
  <c r="Q751" i="3"/>
  <c r="P751" i="3"/>
  <c r="N751" i="3"/>
  <c r="M751" i="3"/>
  <c r="K751" i="3"/>
  <c r="J751" i="3"/>
  <c r="I751" i="3"/>
  <c r="H751" i="3"/>
  <c r="G751" i="3"/>
  <c r="F751" i="3"/>
  <c r="E751" i="3"/>
  <c r="D751" i="3"/>
  <c r="C751" i="3"/>
  <c r="B751" i="3"/>
  <c r="A751" i="3"/>
  <c r="Q750" i="3"/>
  <c r="P750" i="3"/>
  <c r="O750" i="3"/>
  <c r="N750" i="3"/>
  <c r="M750" i="3"/>
  <c r="K750" i="3"/>
  <c r="J750" i="3"/>
  <c r="I750" i="3"/>
  <c r="H750" i="3"/>
  <c r="G750" i="3"/>
  <c r="F750" i="3"/>
  <c r="E750" i="3"/>
  <c r="D750" i="3"/>
  <c r="C750" i="3"/>
  <c r="B750" i="3"/>
  <c r="A750" i="3"/>
  <c r="Q749" i="3"/>
  <c r="P749" i="3"/>
  <c r="N749" i="3"/>
  <c r="M749" i="3"/>
  <c r="K749" i="3"/>
  <c r="J749" i="3"/>
  <c r="I749" i="3"/>
  <c r="H749" i="3"/>
  <c r="G749" i="3"/>
  <c r="F749" i="3"/>
  <c r="E749" i="3"/>
  <c r="D749" i="3"/>
  <c r="C749" i="3"/>
  <c r="B749" i="3"/>
  <c r="A749" i="3"/>
  <c r="Q748" i="3"/>
  <c r="P748" i="3"/>
  <c r="N748" i="3"/>
  <c r="M748" i="3"/>
  <c r="K748" i="3"/>
  <c r="J748" i="3"/>
  <c r="I748" i="3"/>
  <c r="H748" i="3"/>
  <c r="G748" i="3"/>
  <c r="F748" i="3"/>
  <c r="E748" i="3"/>
  <c r="D748" i="3"/>
  <c r="C748" i="3"/>
  <c r="B748" i="3"/>
  <c r="A748" i="3"/>
  <c r="Q747" i="3"/>
  <c r="P747" i="3"/>
  <c r="O747" i="3"/>
  <c r="N747" i="3"/>
  <c r="M747" i="3"/>
  <c r="K747" i="3"/>
  <c r="J747" i="3"/>
  <c r="I747" i="3"/>
  <c r="H747" i="3"/>
  <c r="G747" i="3"/>
  <c r="F747" i="3"/>
  <c r="E747" i="3"/>
  <c r="D747" i="3"/>
  <c r="C747" i="3"/>
  <c r="B747" i="3"/>
  <c r="A747" i="3"/>
  <c r="Q746" i="3"/>
  <c r="P746" i="3"/>
  <c r="O746" i="3"/>
  <c r="N746" i="3"/>
  <c r="M746" i="3"/>
  <c r="K746" i="3"/>
  <c r="J746" i="3"/>
  <c r="I746" i="3"/>
  <c r="H746" i="3"/>
  <c r="G746" i="3"/>
  <c r="F746" i="3"/>
  <c r="E746" i="3"/>
  <c r="D746" i="3"/>
  <c r="C746" i="3"/>
  <c r="B746" i="3"/>
  <c r="A746" i="3"/>
  <c r="Q745" i="3"/>
  <c r="P745" i="3"/>
  <c r="O745" i="3"/>
  <c r="N745" i="3"/>
  <c r="M745" i="3"/>
  <c r="K745" i="3"/>
  <c r="J745" i="3"/>
  <c r="I745" i="3"/>
  <c r="H745" i="3"/>
  <c r="G745" i="3"/>
  <c r="F745" i="3"/>
  <c r="E745" i="3"/>
  <c r="D745" i="3"/>
  <c r="C745" i="3"/>
  <c r="B745" i="3"/>
  <c r="A745" i="3"/>
  <c r="Q744" i="3"/>
  <c r="P744" i="3"/>
  <c r="O744" i="3"/>
  <c r="N744" i="3"/>
  <c r="M744" i="3"/>
  <c r="K744" i="3"/>
  <c r="J744" i="3"/>
  <c r="I744" i="3"/>
  <c r="H744" i="3"/>
  <c r="G744" i="3"/>
  <c r="F744" i="3"/>
  <c r="E744" i="3"/>
  <c r="D744" i="3"/>
  <c r="C744" i="3"/>
  <c r="B744" i="3"/>
  <c r="A744" i="3"/>
  <c r="Q743" i="3"/>
  <c r="P743" i="3"/>
  <c r="O743" i="3"/>
  <c r="N743" i="3"/>
  <c r="M743" i="3"/>
  <c r="K743" i="3"/>
  <c r="J743" i="3"/>
  <c r="I743" i="3"/>
  <c r="H743" i="3"/>
  <c r="G743" i="3"/>
  <c r="F743" i="3"/>
  <c r="E743" i="3"/>
  <c r="D743" i="3"/>
  <c r="C743" i="3"/>
  <c r="B743" i="3"/>
  <c r="A743" i="3"/>
  <c r="Q742" i="3"/>
  <c r="P742" i="3"/>
  <c r="O742" i="3"/>
  <c r="N742" i="3"/>
  <c r="M742" i="3"/>
  <c r="K742" i="3"/>
  <c r="J742" i="3"/>
  <c r="I742" i="3"/>
  <c r="H742" i="3"/>
  <c r="G742" i="3"/>
  <c r="F742" i="3"/>
  <c r="E742" i="3"/>
  <c r="D742" i="3"/>
  <c r="C742" i="3"/>
  <c r="B742" i="3"/>
  <c r="A742" i="3"/>
  <c r="Q741" i="3"/>
  <c r="P741" i="3"/>
  <c r="O741" i="3"/>
  <c r="N741" i="3"/>
  <c r="M741" i="3"/>
  <c r="K741" i="3"/>
  <c r="J741" i="3"/>
  <c r="I741" i="3"/>
  <c r="H741" i="3"/>
  <c r="G741" i="3"/>
  <c r="F741" i="3"/>
  <c r="E741" i="3"/>
  <c r="D741" i="3"/>
  <c r="C741" i="3"/>
  <c r="B741" i="3"/>
  <c r="A741" i="3"/>
  <c r="Q740" i="3"/>
  <c r="P740" i="3"/>
  <c r="O740" i="3"/>
  <c r="N740" i="3"/>
  <c r="M740" i="3"/>
  <c r="K740" i="3"/>
  <c r="J740" i="3"/>
  <c r="I740" i="3"/>
  <c r="H740" i="3"/>
  <c r="G740" i="3"/>
  <c r="F740" i="3"/>
  <c r="E740" i="3"/>
  <c r="D740" i="3"/>
  <c r="C740" i="3"/>
  <c r="B740" i="3"/>
  <c r="A740" i="3"/>
  <c r="Q739" i="3"/>
  <c r="P739" i="3"/>
  <c r="O739" i="3"/>
  <c r="N739" i="3"/>
  <c r="M739" i="3"/>
  <c r="K739" i="3"/>
  <c r="I739" i="3"/>
  <c r="H739" i="3"/>
  <c r="G739" i="3"/>
  <c r="F739" i="3"/>
  <c r="E739" i="3"/>
  <c r="D739" i="3"/>
  <c r="C739" i="3"/>
  <c r="B739" i="3"/>
  <c r="A739" i="3"/>
  <c r="Q738" i="3"/>
  <c r="P738" i="3"/>
  <c r="O738" i="3"/>
  <c r="N738" i="3"/>
  <c r="M738" i="3"/>
  <c r="K738" i="3"/>
  <c r="J738" i="3"/>
  <c r="I738" i="3"/>
  <c r="H738" i="3"/>
  <c r="G738" i="3"/>
  <c r="F738" i="3"/>
  <c r="E738" i="3"/>
  <c r="D738" i="3"/>
  <c r="C738" i="3"/>
  <c r="B738" i="3"/>
  <c r="A738" i="3"/>
  <c r="Q737" i="3"/>
  <c r="P737" i="3"/>
  <c r="N737" i="3"/>
  <c r="M737" i="3"/>
  <c r="K737" i="3"/>
  <c r="J737" i="3"/>
  <c r="I737" i="3"/>
  <c r="H737" i="3"/>
  <c r="G737" i="3"/>
  <c r="F737" i="3"/>
  <c r="E737" i="3"/>
  <c r="D737" i="3"/>
  <c r="C737" i="3"/>
  <c r="B737" i="3"/>
  <c r="A737" i="3"/>
  <c r="Q736" i="3"/>
  <c r="P736" i="3"/>
  <c r="O736" i="3"/>
  <c r="N736" i="3"/>
  <c r="M736" i="3"/>
  <c r="K736" i="3"/>
  <c r="I736" i="3"/>
  <c r="H736" i="3"/>
  <c r="G736" i="3"/>
  <c r="F736" i="3"/>
  <c r="E736" i="3"/>
  <c r="D736" i="3"/>
  <c r="C736" i="3"/>
  <c r="B736" i="3"/>
  <c r="A736" i="3"/>
  <c r="Q735" i="3"/>
  <c r="P735" i="3"/>
  <c r="N735" i="3"/>
  <c r="M735" i="3"/>
  <c r="K735" i="3"/>
  <c r="J735" i="3"/>
  <c r="I735" i="3"/>
  <c r="H735" i="3"/>
  <c r="G735" i="3"/>
  <c r="F735" i="3"/>
  <c r="E735" i="3"/>
  <c r="D735" i="3"/>
  <c r="C735" i="3"/>
  <c r="B735" i="3"/>
  <c r="A735" i="3"/>
  <c r="Q734" i="3"/>
  <c r="P734" i="3"/>
  <c r="O734" i="3"/>
  <c r="N734" i="3"/>
  <c r="M734" i="3"/>
  <c r="K734" i="3"/>
  <c r="J734" i="3"/>
  <c r="I734" i="3"/>
  <c r="H734" i="3"/>
  <c r="G734" i="3"/>
  <c r="F734" i="3"/>
  <c r="E734" i="3"/>
  <c r="D734" i="3"/>
  <c r="C734" i="3"/>
  <c r="B734" i="3"/>
  <c r="A734" i="3"/>
  <c r="Q733" i="3"/>
  <c r="P733" i="3"/>
  <c r="O733" i="3"/>
  <c r="N733" i="3"/>
  <c r="M733" i="3"/>
  <c r="K733" i="3"/>
  <c r="J733" i="3"/>
  <c r="I733" i="3"/>
  <c r="H733" i="3"/>
  <c r="G733" i="3"/>
  <c r="F733" i="3"/>
  <c r="E733" i="3"/>
  <c r="D733" i="3"/>
  <c r="C733" i="3"/>
  <c r="B733" i="3"/>
  <c r="A733" i="3"/>
  <c r="Q732" i="3"/>
  <c r="P732" i="3"/>
  <c r="N732" i="3"/>
  <c r="M732" i="3"/>
  <c r="K732" i="3"/>
  <c r="J732" i="3"/>
  <c r="I732" i="3"/>
  <c r="H732" i="3"/>
  <c r="G732" i="3"/>
  <c r="F732" i="3"/>
  <c r="E732" i="3"/>
  <c r="D732" i="3"/>
  <c r="C732" i="3"/>
  <c r="B732" i="3"/>
  <c r="A732" i="3"/>
  <c r="Q731" i="3"/>
  <c r="P731" i="3"/>
  <c r="N731" i="3"/>
  <c r="M731" i="3"/>
  <c r="K731" i="3"/>
  <c r="J731" i="3"/>
  <c r="I731" i="3"/>
  <c r="H731" i="3"/>
  <c r="G731" i="3"/>
  <c r="F731" i="3"/>
  <c r="E731" i="3"/>
  <c r="D731" i="3"/>
  <c r="C731" i="3"/>
  <c r="B731" i="3"/>
  <c r="A731" i="3"/>
  <c r="Q730" i="3"/>
  <c r="P730" i="3"/>
  <c r="O730" i="3"/>
  <c r="N730" i="3"/>
  <c r="M730" i="3"/>
  <c r="K730" i="3"/>
  <c r="J730" i="3"/>
  <c r="I730" i="3"/>
  <c r="H730" i="3"/>
  <c r="G730" i="3"/>
  <c r="F730" i="3"/>
  <c r="E730" i="3"/>
  <c r="D730" i="3"/>
  <c r="C730" i="3"/>
  <c r="B730" i="3"/>
  <c r="A730" i="3"/>
  <c r="Q729" i="3"/>
  <c r="P729" i="3"/>
  <c r="O729" i="3"/>
  <c r="N729" i="3"/>
  <c r="M729" i="3"/>
  <c r="K729" i="3"/>
  <c r="I729" i="3"/>
  <c r="H729" i="3"/>
  <c r="G729" i="3"/>
  <c r="F729" i="3"/>
  <c r="E729" i="3"/>
  <c r="D729" i="3"/>
  <c r="C729" i="3"/>
  <c r="B729" i="3"/>
  <c r="A729" i="3"/>
  <c r="Q728" i="3"/>
  <c r="P728" i="3"/>
  <c r="N728" i="3"/>
  <c r="M728" i="3"/>
  <c r="K728" i="3"/>
  <c r="J728" i="3"/>
  <c r="I728" i="3"/>
  <c r="H728" i="3"/>
  <c r="G728" i="3"/>
  <c r="F728" i="3"/>
  <c r="E728" i="3"/>
  <c r="D728" i="3"/>
  <c r="C728" i="3"/>
  <c r="B728" i="3"/>
  <c r="A728" i="3"/>
  <c r="Q727" i="3"/>
  <c r="P727" i="3"/>
  <c r="N727" i="3"/>
  <c r="M727" i="3"/>
  <c r="K727" i="3"/>
  <c r="J727" i="3"/>
  <c r="I727" i="3"/>
  <c r="H727" i="3"/>
  <c r="G727" i="3"/>
  <c r="F727" i="3"/>
  <c r="E727" i="3"/>
  <c r="D727" i="3"/>
  <c r="C727" i="3"/>
  <c r="B727" i="3"/>
  <c r="A727" i="3"/>
  <c r="Q726" i="3"/>
  <c r="P726" i="3"/>
  <c r="O726" i="3"/>
  <c r="N726" i="3"/>
  <c r="M726" i="3"/>
  <c r="K726" i="3"/>
  <c r="J726" i="3"/>
  <c r="I726" i="3"/>
  <c r="H726" i="3"/>
  <c r="G726" i="3"/>
  <c r="F726" i="3"/>
  <c r="E726" i="3"/>
  <c r="D726" i="3"/>
  <c r="C726" i="3"/>
  <c r="B726" i="3"/>
  <c r="A726" i="3"/>
  <c r="Q725" i="3"/>
  <c r="P725" i="3"/>
  <c r="N725" i="3"/>
  <c r="M725" i="3"/>
  <c r="K725" i="3"/>
  <c r="J725" i="3"/>
  <c r="I725" i="3"/>
  <c r="H725" i="3"/>
  <c r="G725" i="3"/>
  <c r="F725" i="3"/>
  <c r="E725" i="3"/>
  <c r="D725" i="3"/>
  <c r="C725" i="3"/>
  <c r="B725" i="3"/>
  <c r="A725" i="3"/>
  <c r="Q724" i="3"/>
  <c r="P724" i="3"/>
  <c r="N724" i="3"/>
  <c r="M724" i="3"/>
  <c r="K724" i="3"/>
  <c r="J724" i="3"/>
  <c r="I724" i="3"/>
  <c r="H724" i="3"/>
  <c r="G724" i="3"/>
  <c r="F724" i="3"/>
  <c r="E724" i="3"/>
  <c r="D724" i="3"/>
  <c r="C724" i="3"/>
  <c r="B724" i="3"/>
  <c r="A724" i="3"/>
  <c r="Q723" i="3"/>
  <c r="P723" i="3"/>
  <c r="N723" i="3"/>
  <c r="M723" i="3"/>
  <c r="K723" i="3"/>
  <c r="J723" i="3"/>
  <c r="I723" i="3"/>
  <c r="H723" i="3"/>
  <c r="G723" i="3"/>
  <c r="F723" i="3"/>
  <c r="E723" i="3"/>
  <c r="D723" i="3"/>
  <c r="C723" i="3"/>
  <c r="B723" i="3"/>
  <c r="A723" i="3"/>
  <c r="Q722" i="3"/>
  <c r="P722" i="3"/>
  <c r="O722" i="3"/>
  <c r="N722" i="3"/>
  <c r="M722" i="3"/>
  <c r="K722" i="3"/>
  <c r="J722" i="3"/>
  <c r="I722" i="3"/>
  <c r="H722" i="3"/>
  <c r="G722" i="3"/>
  <c r="F722" i="3"/>
  <c r="E722" i="3"/>
  <c r="D722" i="3"/>
  <c r="C722" i="3"/>
  <c r="B722" i="3"/>
  <c r="A722" i="3"/>
  <c r="Q721" i="3"/>
  <c r="P721" i="3"/>
  <c r="O721" i="3"/>
  <c r="N721" i="3"/>
  <c r="M721" i="3"/>
  <c r="K721" i="3"/>
  <c r="J721" i="3"/>
  <c r="I721" i="3"/>
  <c r="H721" i="3"/>
  <c r="G721" i="3"/>
  <c r="F721" i="3"/>
  <c r="E721" i="3"/>
  <c r="D721" i="3"/>
  <c r="C721" i="3"/>
  <c r="B721" i="3"/>
  <c r="A721" i="3"/>
  <c r="Q720" i="3"/>
  <c r="P720" i="3"/>
  <c r="O720" i="3"/>
  <c r="N720" i="3"/>
  <c r="M720" i="3"/>
  <c r="K720" i="3"/>
  <c r="J720" i="3"/>
  <c r="I720" i="3"/>
  <c r="H720" i="3"/>
  <c r="G720" i="3"/>
  <c r="F720" i="3"/>
  <c r="E720" i="3"/>
  <c r="D720" i="3"/>
  <c r="C720" i="3"/>
  <c r="B720" i="3"/>
  <c r="A720" i="3"/>
  <c r="Q719" i="3"/>
  <c r="P719" i="3"/>
  <c r="O719" i="3"/>
  <c r="N719" i="3"/>
  <c r="M719" i="3"/>
  <c r="K719" i="3"/>
  <c r="J719" i="3"/>
  <c r="I719" i="3"/>
  <c r="H719" i="3"/>
  <c r="G719" i="3"/>
  <c r="F719" i="3"/>
  <c r="E719" i="3"/>
  <c r="D719" i="3"/>
  <c r="C719" i="3"/>
  <c r="B719" i="3"/>
  <c r="A719" i="3"/>
  <c r="Q718" i="3"/>
  <c r="P718" i="3"/>
  <c r="N718" i="3"/>
  <c r="M718" i="3"/>
  <c r="K718" i="3"/>
  <c r="J718" i="3"/>
  <c r="I718" i="3"/>
  <c r="H718" i="3"/>
  <c r="G718" i="3"/>
  <c r="F718" i="3"/>
  <c r="E718" i="3"/>
  <c r="D718" i="3"/>
  <c r="C718" i="3"/>
  <c r="B718" i="3"/>
  <c r="A718" i="3"/>
  <c r="Q717" i="3"/>
  <c r="P717" i="3"/>
  <c r="O717" i="3"/>
  <c r="N717" i="3"/>
  <c r="M717" i="3"/>
  <c r="K717" i="3"/>
  <c r="J717" i="3"/>
  <c r="I717" i="3"/>
  <c r="H717" i="3"/>
  <c r="G717" i="3"/>
  <c r="F717" i="3"/>
  <c r="E717" i="3"/>
  <c r="D717" i="3"/>
  <c r="C717" i="3"/>
  <c r="B717" i="3"/>
  <c r="A717" i="3"/>
  <c r="Q716" i="3"/>
  <c r="P716" i="3"/>
  <c r="O716" i="3"/>
  <c r="N716" i="3"/>
  <c r="M716" i="3"/>
  <c r="K716" i="3"/>
  <c r="J716" i="3"/>
  <c r="I716" i="3"/>
  <c r="H716" i="3"/>
  <c r="G716" i="3"/>
  <c r="F716" i="3"/>
  <c r="E716" i="3"/>
  <c r="D716" i="3"/>
  <c r="C716" i="3"/>
  <c r="B716" i="3"/>
  <c r="A716" i="3"/>
  <c r="Q715" i="3"/>
  <c r="P715" i="3"/>
  <c r="N715" i="3"/>
  <c r="M715" i="3"/>
  <c r="K715" i="3"/>
  <c r="J715" i="3"/>
  <c r="I715" i="3"/>
  <c r="H715" i="3"/>
  <c r="G715" i="3"/>
  <c r="F715" i="3"/>
  <c r="E715" i="3"/>
  <c r="D715" i="3"/>
  <c r="C715" i="3"/>
  <c r="B715" i="3"/>
  <c r="A715" i="3"/>
  <c r="Q714" i="3"/>
  <c r="P714" i="3"/>
  <c r="N714" i="3"/>
  <c r="M714" i="3"/>
  <c r="K714" i="3"/>
  <c r="J714" i="3"/>
  <c r="I714" i="3"/>
  <c r="H714" i="3"/>
  <c r="G714" i="3"/>
  <c r="F714" i="3"/>
  <c r="E714" i="3"/>
  <c r="D714" i="3"/>
  <c r="C714" i="3"/>
  <c r="B714" i="3"/>
  <c r="A714" i="3"/>
  <c r="Q713" i="3"/>
  <c r="P713" i="3"/>
  <c r="O713" i="3"/>
  <c r="N713" i="3"/>
  <c r="M713" i="3"/>
  <c r="K713" i="3"/>
  <c r="J713" i="3"/>
  <c r="I713" i="3"/>
  <c r="H713" i="3"/>
  <c r="G713" i="3"/>
  <c r="F713" i="3"/>
  <c r="E713" i="3"/>
  <c r="D713" i="3"/>
  <c r="C713" i="3"/>
  <c r="B713" i="3"/>
  <c r="A713" i="3"/>
  <c r="Q712" i="3"/>
  <c r="P712" i="3"/>
  <c r="O712" i="3"/>
  <c r="N712" i="3"/>
  <c r="M712" i="3"/>
  <c r="K712" i="3"/>
  <c r="J712" i="3"/>
  <c r="I712" i="3"/>
  <c r="H712" i="3"/>
  <c r="G712" i="3"/>
  <c r="F712" i="3"/>
  <c r="E712" i="3"/>
  <c r="D712" i="3"/>
  <c r="C712" i="3"/>
  <c r="B712" i="3"/>
  <c r="A712" i="3"/>
  <c r="Q711" i="3"/>
  <c r="P711" i="3"/>
  <c r="N711" i="3"/>
  <c r="M711" i="3"/>
  <c r="K711" i="3"/>
  <c r="J711" i="3"/>
  <c r="I711" i="3"/>
  <c r="H711" i="3"/>
  <c r="G711" i="3"/>
  <c r="F711" i="3"/>
  <c r="E711" i="3"/>
  <c r="D711" i="3"/>
  <c r="C711" i="3"/>
  <c r="B711" i="3"/>
  <c r="A711" i="3"/>
  <c r="Q710" i="3"/>
  <c r="P710" i="3"/>
  <c r="N710" i="3"/>
  <c r="M710" i="3"/>
  <c r="K710" i="3"/>
  <c r="J710" i="3"/>
  <c r="I710" i="3"/>
  <c r="H710" i="3"/>
  <c r="G710" i="3"/>
  <c r="F710" i="3"/>
  <c r="E710" i="3"/>
  <c r="D710" i="3"/>
  <c r="C710" i="3"/>
  <c r="B710" i="3"/>
  <c r="A710" i="3"/>
  <c r="Q709" i="3"/>
  <c r="P709" i="3"/>
  <c r="O709" i="3"/>
  <c r="N709" i="3"/>
  <c r="M709" i="3"/>
  <c r="K709" i="3"/>
  <c r="J709" i="3"/>
  <c r="I709" i="3"/>
  <c r="H709" i="3"/>
  <c r="G709" i="3"/>
  <c r="F709" i="3"/>
  <c r="E709" i="3"/>
  <c r="D709" i="3"/>
  <c r="C709" i="3"/>
  <c r="B709" i="3"/>
  <c r="A709" i="3"/>
  <c r="Q708" i="3"/>
  <c r="P708" i="3"/>
  <c r="N708" i="3"/>
  <c r="M708" i="3"/>
  <c r="K708" i="3"/>
  <c r="J708" i="3"/>
  <c r="I708" i="3"/>
  <c r="H708" i="3"/>
  <c r="G708" i="3"/>
  <c r="F708" i="3"/>
  <c r="E708" i="3"/>
  <c r="D708" i="3"/>
  <c r="C708" i="3"/>
  <c r="B708" i="3"/>
  <c r="A708" i="3"/>
  <c r="Q707" i="3"/>
  <c r="P707" i="3"/>
  <c r="O707" i="3"/>
  <c r="N707" i="3"/>
  <c r="M707" i="3"/>
  <c r="K707" i="3"/>
  <c r="J707" i="3"/>
  <c r="I707" i="3"/>
  <c r="H707" i="3"/>
  <c r="G707" i="3"/>
  <c r="F707" i="3"/>
  <c r="E707" i="3"/>
  <c r="D707" i="3"/>
  <c r="C707" i="3"/>
  <c r="B707" i="3"/>
  <c r="A707" i="3"/>
  <c r="Q706" i="3"/>
  <c r="P706" i="3"/>
  <c r="O706" i="3"/>
  <c r="N706" i="3"/>
  <c r="M706" i="3"/>
  <c r="L706" i="3"/>
  <c r="K706" i="3"/>
  <c r="I706" i="3"/>
  <c r="H706" i="3"/>
  <c r="G706" i="3"/>
  <c r="F706" i="3"/>
  <c r="E706" i="3"/>
  <c r="D706" i="3"/>
  <c r="C706" i="3"/>
  <c r="B706" i="3"/>
  <c r="A706" i="3"/>
  <c r="Q705" i="3"/>
  <c r="P705" i="3"/>
  <c r="O705" i="3"/>
  <c r="N705" i="3"/>
  <c r="M705" i="3"/>
  <c r="K705" i="3"/>
  <c r="J705" i="3"/>
  <c r="I705" i="3"/>
  <c r="H705" i="3"/>
  <c r="G705" i="3"/>
  <c r="F705" i="3"/>
  <c r="E705" i="3"/>
  <c r="D705" i="3"/>
  <c r="C705" i="3"/>
  <c r="B705" i="3"/>
  <c r="A705" i="3"/>
  <c r="Q704" i="3"/>
  <c r="P704" i="3"/>
  <c r="O704" i="3"/>
  <c r="N704" i="3"/>
  <c r="M704" i="3"/>
  <c r="L704" i="3"/>
  <c r="K704" i="3"/>
  <c r="I704" i="3"/>
  <c r="H704" i="3"/>
  <c r="G704" i="3"/>
  <c r="F704" i="3"/>
  <c r="E704" i="3"/>
  <c r="D704" i="3"/>
  <c r="C704" i="3"/>
  <c r="B704" i="3"/>
  <c r="A704" i="3"/>
  <c r="Q703" i="3"/>
  <c r="P703" i="3"/>
  <c r="N703" i="3"/>
  <c r="M703" i="3"/>
  <c r="K703" i="3"/>
  <c r="J703" i="3"/>
  <c r="I703" i="3"/>
  <c r="H703" i="3"/>
  <c r="G703" i="3"/>
  <c r="F703" i="3"/>
  <c r="E703" i="3"/>
  <c r="D703" i="3"/>
  <c r="C703" i="3"/>
  <c r="B703" i="3"/>
  <c r="A703" i="3"/>
  <c r="Q702" i="3"/>
  <c r="P702" i="3"/>
  <c r="O702" i="3"/>
  <c r="N702" i="3"/>
  <c r="M702" i="3"/>
  <c r="K702" i="3"/>
  <c r="J702" i="3"/>
  <c r="I702" i="3"/>
  <c r="H702" i="3"/>
  <c r="G702" i="3"/>
  <c r="F702" i="3"/>
  <c r="E702" i="3"/>
  <c r="D702" i="3"/>
  <c r="C702" i="3"/>
  <c r="B702" i="3"/>
  <c r="A702" i="3"/>
  <c r="AE701" i="3"/>
  <c r="AD701" i="3"/>
  <c r="Q701" i="3"/>
  <c r="P701" i="3"/>
  <c r="O701" i="3"/>
  <c r="N701" i="3"/>
  <c r="M701" i="3"/>
  <c r="K701" i="3"/>
  <c r="J701" i="3"/>
  <c r="I701" i="3"/>
  <c r="H701" i="3"/>
  <c r="G701" i="3"/>
  <c r="F701" i="3"/>
  <c r="E701" i="3"/>
  <c r="D701" i="3"/>
  <c r="C701" i="3"/>
  <c r="B701" i="3"/>
  <c r="A701" i="3"/>
  <c r="Q700" i="3"/>
  <c r="P700" i="3"/>
  <c r="O700" i="3"/>
  <c r="N700" i="3"/>
  <c r="M700" i="3"/>
  <c r="K700" i="3"/>
  <c r="J700" i="3"/>
  <c r="I700" i="3"/>
  <c r="H700" i="3"/>
  <c r="G700" i="3"/>
  <c r="F700" i="3"/>
  <c r="E700" i="3"/>
  <c r="D700" i="3"/>
  <c r="C700" i="3"/>
  <c r="B700" i="3"/>
  <c r="A700" i="3"/>
  <c r="Q699" i="3"/>
  <c r="P699" i="3"/>
  <c r="O699" i="3"/>
  <c r="N699" i="3"/>
  <c r="M699" i="3"/>
  <c r="K699" i="3"/>
  <c r="I699" i="3"/>
  <c r="H699" i="3"/>
  <c r="F699" i="3"/>
  <c r="E699" i="3"/>
  <c r="D699" i="3"/>
  <c r="C699" i="3"/>
  <c r="B699" i="3"/>
  <c r="A699" i="3"/>
  <c r="Q698" i="3"/>
  <c r="P698" i="3"/>
  <c r="O698" i="3"/>
  <c r="N698" i="3"/>
  <c r="M698" i="3"/>
  <c r="K698" i="3"/>
  <c r="J698" i="3"/>
  <c r="I698" i="3"/>
  <c r="H698" i="3"/>
  <c r="G698" i="3"/>
  <c r="F698" i="3"/>
  <c r="E698" i="3"/>
  <c r="D698" i="3"/>
  <c r="C698" i="3"/>
  <c r="B698" i="3"/>
  <c r="A698" i="3"/>
  <c r="Q697" i="3"/>
  <c r="P697" i="3"/>
  <c r="O697" i="3"/>
  <c r="N697" i="3"/>
  <c r="M697" i="3"/>
  <c r="K697" i="3"/>
  <c r="J697" i="3"/>
  <c r="I697" i="3"/>
  <c r="H697" i="3"/>
  <c r="G697" i="3"/>
  <c r="F697" i="3"/>
  <c r="E697" i="3"/>
  <c r="D697" i="3"/>
  <c r="C697" i="3"/>
  <c r="B697" i="3"/>
  <c r="A697" i="3"/>
  <c r="Q696" i="3"/>
  <c r="P696" i="3"/>
  <c r="O696" i="3"/>
  <c r="N696" i="3"/>
  <c r="M696" i="3"/>
  <c r="K696" i="3"/>
  <c r="J696" i="3"/>
  <c r="I696" i="3"/>
  <c r="H696" i="3"/>
  <c r="G696" i="3"/>
  <c r="F696" i="3"/>
  <c r="E696" i="3"/>
  <c r="D696" i="3"/>
  <c r="C696" i="3"/>
  <c r="B696" i="3"/>
  <c r="A696" i="3"/>
  <c r="Q695" i="3"/>
  <c r="P695" i="3"/>
  <c r="O695" i="3"/>
  <c r="N695" i="3"/>
  <c r="M695" i="3"/>
  <c r="K695" i="3"/>
  <c r="J695" i="3"/>
  <c r="I695" i="3"/>
  <c r="H695" i="3"/>
  <c r="G695" i="3"/>
  <c r="F695" i="3"/>
  <c r="E695" i="3"/>
  <c r="D695" i="3"/>
  <c r="C695" i="3"/>
  <c r="B695" i="3"/>
  <c r="A695" i="3"/>
  <c r="Q694" i="3"/>
  <c r="P694" i="3"/>
  <c r="O694" i="3"/>
  <c r="N694" i="3"/>
  <c r="M694" i="3"/>
  <c r="K694" i="3"/>
  <c r="J694" i="3"/>
  <c r="I694" i="3"/>
  <c r="H694" i="3"/>
  <c r="G694" i="3"/>
  <c r="F694" i="3"/>
  <c r="E694" i="3"/>
  <c r="D694" i="3"/>
  <c r="C694" i="3"/>
  <c r="B694" i="3"/>
  <c r="A694" i="3"/>
  <c r="Q693" i="3"/>
  <c r="P693" i="3"/>
  <c r="N693" i="3"/>
  <c r="M693" i="3"/>
  <c r="K693" i="3"/>
  <c r="J693" i="3"/>
  <c r="I693" i="3"/>
  <c r="H693" i="3"/>
  <c r="G693" i="3"/>
  <c r="F693" i="3"/>
  <c r="E693" i="3"/>
  <c r="D693" i="3"/>
  <c r="C693" i="3"/>
  <c r="B693" i="3"/>
  <c r="A693" i="3"/>
  <c r="Q692" i="3"/>
  <c r="P692" i="3"/>
  <c r="O692" i="3"/>
  <c r="N692" i="3"/>
  <c r="M692" i="3"/>
  <c r="K692" i="3"/>
  <c r="J692" i="3"/>
  <c r="I692" i="3"/>
  <c r="H692" i="3"/>
  <c r="G692" i="3"/>
  <c r="F692" i="3"/>
  <c r="E692" i="3"/>
  <c r="D692" i="3"/>
  <c r="C692" i="3"/>
  <c r="B692" i="3"/>
  <c r="A692" i="3"/>
  <c r="Q691" i="3"/>
  <c r="P691" i="3"/>
  <c r="O691" i="3"/>
  <c r="N691" i="3"/>
  <c r="M691" i="3"/>
  <c r="K691" i="3"/>
  <c r="J691" i="3"/>
  <c r="I691" i="3"/>
  <c r="H691" i="3"/>
  <c r="G691" i="3"/>
  <c r="F691" i="3"/>
  <c r="E691" i="3"/>
  <c r="D691" i="3"/>
  <c r="C691" i="3"/>
  <c r="B691" i="3"/>
  <c r="A691" i="3"/>
  <c r="Q690" i="3"/>
  <c r="P690" i="3"/>
  <c r="O690" i="3"/>
  <c r="N690" i="3"/>
  <c r="M690" i="3"/>
  <c r="K690" i="3"/>
  <c r="J690" i="3"/>
  <c r="I690" i="3"/>
  <c r="H690" i="3"/>
  <c r="G690" i="3"/>
  <c r="F690" i="3"/>
  <c r="E690" i="3"/>
  <c r="D690" i="3"/>
  <c r="C690" i="3"/>
  <c r="B690" i="3"/>
  <c r="A690" i="3"/>
  <c r="Q689" i="3"/>
  <c r="P689" i="3"/>
  <c r="O689" i="3"/>
  <c r="N689" i="3"/>
  <c r="M689" i="3"/>
  <c r="K689" i="3"/>
  <c r="J689" i="3"/>
  <c r="I689" i="3"/>
  <c r="H689" i="3"/>
  <c r="G689" i="3"/>
  <c r="F689" i="3"/>
  <c r="E689" i="3"/>
  <c r="D689" i="3"/>
  <c r="C689" i="3"/>
  <c r="B689" i="3"/>
  <c r="A689" i="3"/>
  <c r="Q688" i="3"/>
  <c r="P688" i="3"/>
  <c r="O688" i="3"/>
  <c r="N688" i="3"/>
  <c r="M688" i="3"/>
  <c r="K688" i="3"/>
  <c r="J688" i="3"/>
  <c r="I688" i="3"/>
  <c r="H688" i="3"/>
  <c r="G688" i="3"/>
  <c r="F688" i="3"/>
  <c r="E688" i="3"/>
  <c r="D688" i="3"/>
  <c r="C688" i="3"/>
  <c r="B688" i="3"/>
  <c r="A688" i="3"/>
  <c r="Q687" i="3"/>
  <c r="P687" i="3"/>
  <c r="O687" i="3"/>
  <c r="N687" i="3"/>
  <c r="M687" i="3"/>
  <c r="K687" i="3"/>
  <c r="J687" i="3"/>
  <c r="I687" i="3"/>
  <c r="H687" i="3"/>
  <c r="G687" i="3"/>
  <c r="F687" i="3"/>
  <c r="E687" i="3"/>
  <c r="D687" i="3"/>
  <c r="C687" i="3"/>
  <c r="B687" i="3"/>
  <c r="A687" i="3"/>
  <c r="Q686" i="3"/>
  <c r="P686" i="3"/>
  <c r="O686" i="3"/>
  <c r="N686" i="3"/>
  <c r="M686" i="3"/>
  <c r="K686" i="3"/>
  <c r="J686" i="3"/>
  <c r="I686" i="3"/>
  <c r="H686" i="3"/>
  <c r="G686" i="3"/>
  <c r="F686" i="3"/>
  <c r="E686" i="3"/>
  <c r="D686" i="3"/>
  <c r="C686" i="3"/>
  <c r="B686" i="3"/>
  <c r="A686" i="3"/>
  <c r="Q685" i="3"/>
  <c r="P685" i="3"/>
  <c r="O685" i="3"/>
  <c r="N685" i="3"/>
  <c r="M685" i="3"/>
  <c r="K685" i="3"/>
  <c r="J685" i="3"/>
  <c r="I685" i="3"/>
  <c r="H685" i="3"/>
  <c r="G685" i="3"/>
  <c r="F685" i="3"/>
  <c r="E685" i="3"/>
  <c r="D685" i="3"/>
  <c r="C685" i="3"/>
  <c r="B685" i="3"/>
  <c r="A685" i="3"/>
  <c r="Q684" i="3"/>
  <c r="P684" i="3"/>
  <c r="O684" i="3"/>
  <c r="N684" i="3"/>
  <c r="M684" i="3"/>
  <c r="K684" i="3"/>
  <c r="J684" i="3"/>
  <c r="I684" i="3"/>
  <c r="H684" i="3"/>
  <c r="G684" i="3"/>
  <c r="F684" i="3"/>
  <c r="E684" i="3"/>
  <c r="D684" i="3"/>
  <c r="C684" i="3"/>
  <c r="B684" i="3"/>
  <c r="A684" i="3"/>
  <c r="Q683" i="3"/>
  <c r="P683" i="3"/>
  <c r="O683" i="3"/>
  <c r="N683" i="3"/>
  <c r="M683" i="3"/>
  <c r="K683" i="3"/>
  <c r="J683" i="3"/>
  <c r="I683" i="3"/>
  <c r="H683" i="3"/>
  <c r="G683" i="3"/>
  <c r="F683" i="3"/>
  <c r="E683" i="3"/>
  <c r="D683" i="3"/>
  <c r="C683" i="3"/>
  <c r="B683" i="3"/>
  <c r="A683" i="3"/>
  <c r="Q682" i="3"/>
  <c r="P682" i="3"/>
  <c r="O682" i="3"/>
  <c r="N682" i="3"/>
  <c r="M682" i="3"/>
  <c r="K682" i="3"/>
  <c r="J682" i="3"/>
  <c r="I682" i="3"/>
  <c r="H682" i="3"/>
  <c r="G682" i="3"/>
  <c r="F682" i="3"/>
  <c r="E682" i="3"/>
  <c r="D682" i="3"/>
  <c r="C682" i="3"/>
  <c r="B682" i="3"/>
  <c r="A682" i="3"/>
  <c r="Q681" i="3"/>
  <c r="P681" i="3"/>
  <c r="O681" i="3"/>
  <c r="N681" i="3"/>
  <c r="M681" i="3"/>
  <c r="K681" i="3"/>
  <c r="J681" i="3"/>
  <c r="I681" i="3"/>
  <c r="H681" i="3"/>
  <c r="G681" i="3"/>
  <c r="F681" i="3"/>
  <c r="E681" i="3"/>
  <c r="D681" i="3"/>
  <c r="C681" i="3"/>
  <c r="B681" i="3"/>
  <c r="A681" i="3"/>
  <c r="Q680" i="3"/>
  <c r="P680" i="3"/>
  <c r="O680" i="3"/>
  <c r="N680" i="3"/>
  <c r="M680" i="3"/>
  <c r="K680" i="3"/>
  <c r="J680" i="3"/>
  <c r="I680" i="3"/>
  <c r="H680" i="3"/>
  <c r="G680" i="3"/>
  <c r="F680" i="3"/>
  <c r="E680" i="3"/>
  <c r="D680" i="3"/>
  <c r="C680" i="3"/>
  <c r="B680" i="3"/>
  <c r="A680" i="3"/>
  <c r="Q679" i="3"/>
  <c r="P679" i="3"/>
  <c r="O679" i="3"/>
  <c r="N679" i="3"/>
  <c r="M679" i="3"/>
  <c r="K679" i="3"/>
  <c r="J679" i="3"/>
  <c r="I679" i="3"/>
  <c r="H679" i="3"/>
  <c r="G679" i="3"/>
  <c r="F679" i="3"/>
  <c r="E679" i="3"/>
  <c r="D679" i="3"/>
  <c r="C679" i="3"/>
  <c r="B679" i="3"/>
  <c r="A679" i="3"/>
  <c r="Q678" i="3"/>
  <c r="P678" i="3"/>
  <c r="O678" i="3"/>
  <c r="N678" i="3"/>
  <c r="M678" i="3"/>
  <c r="K678" i="3"/>
  <c r="J678" i="3"/>
  <c r="I678" i="3"/>
  <c r="H678" i="3"/>
  <c r="G678" i="3"/>
  <c r="F678" i="3"/>
  <c r="E678" i="3"/>
  <c r="D678" i="3"/>
  <c r="C678" i="3"/>
  <c r="B678" i="3"/>
  <c r="A678" i="3"/>
  <c r="Q677" i="3"/>
  <c r="P677" i="3"/>
  <c r="O677" i="3"/>
  <c r="N677" i="3"/>
  <c r="M677" i="3"/>
  <c r="K677" i="3"/>
  <c r="J677" i="3"/>
  <c r="I677" i="3"/>
  <c r="H677" i="3"/>
  <c r="G677" i="3"/>
  <c r="F677" i="3"/>
  <c r="E677" i="3"/>
  <c r="D677" i="3"/>
  <c r="C677" i="3"/>
  <c r="B677" i="3"/>
  <c r="A677" i="3"/>
  <c r="Q676" i="3"/>
  <c r="P676" i="3"/>
  <c r="O676" i="3"/>
  <c r="N676" i="3"/>
  <c r="M676" i="3"/>
  <c r="K676" i="3"/>
  <c r="J676" i="3"/>
  <c r="I676" i="3"/>
  <c r="H676" i="3"/>
  <c r="G676" i="3"/>
  <c r="F676" i="3"/>
  <c r="E676" i="3"/>
  <c r="D676" i="3"/>
  <c r="C676" i="3"/>
  <c r="B676" i="3"/>
  <c r="A676" i="3"/>
  <c r="Q675" i="3"/>
  <c r="P675" i="3"/>
  <c r="O675" i="3"/>
  <c r="N675" i="3"/>
  <c r="M675" i="3"/>
  <c r="K675" i="3"/>
  <c r="J675" i="3"/>
  <c r="I675" i="3"/>
  <c r="H675" i="3"/>
  <c r="G675" i="3"/>
  <c r="F675" i="3"/>
  <c r="E675" i="3"/>
  <c r="D675" i="3"/>
  <c r="C675" i="3"/>
  <c r="B675" i="3"/>
  <c r="A675" i="3"/>
  <c r="Q674" i="3"/>
  <c r="P674" i="3"/>
  <c r="O674" i="3"/>
  <c r="N674" i="3"/>
  <c r="M674" i="3"/>
  <c r="K674" i="3"/>
  <c r="J674" i="3"/>
  <c r="I674" i="3"/>
  <c r="H674" i="3"/>
  <c r="G674" i="3"/>
  <c r="F674" i="3"/>
  <c r="E674" i="3"/>
  <c r="D674" i="3"/>
  <c r="C674" i="3"/>
  <c r="B674" i="3"/>
  <c r="A674" i="3"/>
  <c r="Q673" i="3"/>
  <c r="P673" i="3"/>
  <c r="O673" i="3"/>
  <c r="N673" i="3"/>
  <c r="M673" i="3"/>
  <c r="K673" i="3"/>
  <c r="J673" i="3"/>
  <c r="I673" i="3"/>
  <c r="H673" i="3"/>
  <c r="G673" i="3"/>
  <c r="F673" i="3"/>
  <c r="E673" i="3"/>
  <c r="D673" i="3"/>
  <c r="C673" i="3"/>
  <c r="B673" i="3"/>
  <c r="A673" i="3"/>
  <c r="Q672" i="3"/>
  <c r="P672" i="3"/>
  <c r="O672" i="3"/>
  <c r="N672" i="3"/>
  <c r="M672" i="3"/>
  <c r="K672" i="3"/>
  <c r="J672" i="3"/>
  <c r="I672" i="3"/>
  <c r="H672" i="3"/>
  <c r="G672" i="3"/>
  <c r="F672" i="3"/>
  <c r="E672" i="3"/>
  <c r="D672" i="3"/>
  <c r="C672" i="3"/>
  <c r="B672" i="3"/>
  <c r="A672" i="3"/>
  <c r="Q671" i="3"/>
  <c r="P671" i="3"/>
  <c r="O671" i="3"/>
  <c r="N671" i="3"/>
  <c r="M671" i="3"/>
  <c r="K671" i="3"/>
  <c r="J671" i="3"/>
  <c r="I671" i="3"/>
  <c r="H671" i="3"/>
  <c r="G671" i="3"/>
  <c r="F671" i="3"/>
  <c r="E671" i="3"/>
  <c r="D671" i="3"/>
  <c r="C671" i="3"/>
  <c r="B671" i="3"/>
  <c r="A671" i="3"/>
  <c r="Q670" i="3"/>
  <c r="P670" i="3"/>
  <c r="N670" i="3"/>
  <c r="M670" i="3"/>
  <c r="K670" i="3"/>
  <c r="J670" i="3"/>
  <c r="I670" i="3"/>
  <c r="H670" i="3"/>
  <c r="G670" i="3"/>
  <c r="F670" i="3"/>
  <c r="E670" i="3"/>
  <c r="D670" i="3"/>
  <c r="C670" i="3"/>
  <c r="B670" i="3"/>
  <c r="A670" i="3"/>
  <c r="Q669" i="3"/>
  <c r="P669" i="3"/>
  <c r="O669" i="3"/>
  <c r="N669" i="3"/>
  <c r="M669" i="3"/>
  <c r="K669" i="3"/>
  <c r="J669" i="3"/>
  <c r="I669" i="3"/>
  <c r="H669" i="3"/>
  <c r="G669" i="3"/>
  <c r="F669" i="3"/>
  <c r="E669" i="3"/>
  <c r="D669" i="3"/>
  <c r="C669" i="3"/>
  <c r="B669" i="3"/>
  <c r="A669" i="3"/>
  <c r="Q668" i="3"/>
  <c r="P668" i="3"/>
  <c r="O668" i="3"/>
  <c r="N668" i="3"/>
  <c r="M668" i="3"/>
  <c r="K668" i="3"/>
  <c r="J668" i="3"/>
  <c r="I668" i="3"/>
  <c r="H668" i="3"/>
  <c r="G668" i="3"/>
  <c r="F668" i="3"/>
  <c r="E668" i="3"/>
  <c r="D668" i="3"/>
  <c r="C668" i="3"/>
  <c r="B668" i="3"/>
  <c r="A668" i="3"/>
  <c r="Q667" i="3"/>
  <c r="P667" i="3"/>
  <c r="O667" i="3"/>
  <c r="N667" i="3"/>
  <c r="M667" i="3"/>
  <c r="K667" i="3"/>
  <c r="J667" i="3"/>
  <c r="I667" i="3"/>
  <c r="H667" i="3"/>
  <c r="G667" i="3"/>
  <c r="F667" i="3"/>
  <c r="E667" i="3"/>
  <c r="D667" i="3"/>
  <c r="C667" i="3"/>
  <c r="B667" i="3"/>
  <c r="A667" i="3"/>
  <c r="Q666" i="3"/>
  <c r="P666" i="3"/>
  <c r="O666" i="3"/>
  <c r="N666" i="3"/>
  <c r="M666" i="3"/>
  <c r="K666" i="3"/>
  <c r="J666" i="3"/>
  <c r="I666" i="3"/>
  <c r="H666" i="3"/>
  <c r="G666" i="3"/>
  <c r="F666" i="3"/>
  <c r="E666" i="3"/>
  <c r="D666" i="3"/>
  <c r="C666" i="3"/>
  <c r="B666" i="3"/>
  <c r="A666" i="3"/>
  <c r="Q665" i="3"/>
  <c r="P665" i="3"/>
  <c r="O665" i="3"/>
  <c r="N665" i="3"/>
  <c r="M665" i="3"/>
  <c r="K665" i="3"/>
  <c r="J665" i="3"/>
  <c r="I665" i="3"/>
  <c r="H665" i="3"/>
  <c r="G665" i="3"/>
  <c r="F665" i="3"/>
  <c r="E665" i="3"/>
  <c r="D665" i="3"/>
  <c r="C665" i="3"/>
  <c r="B665" i="3"/>
  <c r="A665" i="3"/>
  <c r="Q664" i="3"/>
  <c r="P664" i="3"/>
  <c r="O664" i="3"/>
  <c r="N664" i="3"/>
  <c r="M664" i="3"/>
  <c r="K664" i="3"/>
  <c r="J664" i="3"/>
  <c r="I664" i="3"/>
  <c r="H664" i="3"/>
  <c r="G664" i="3"/>
  <c r="F664" i="3"/>
  <c r="E664" i="3"/>
  <c r="D664" i="3"/>
  <c r="C664" i="3"/>
  <c r="B664" i="3"/>
  <c r="A664" i="3"/>
  <c r="Q663" i="3"/>
  <c r="P663" i="3"/>
  <c r="O663" i="3"/>
  <c r="N663" i="3"/>
  <c r="M663" i="3"/>
  <c r="K663" i="3"/>
  <c r="J663" i="3"/>
  <c r="I663" i="3"/>
  <c r="H663" i="3"/>
  <c r="G663" i="3"/>
  <c r="F663" i="3"/>
  <c r="E663" i="3"/>
  <c r="D663" i="3"/>
  <c r="C663" i="3"/>
  <c r="B663" i="3"/>
  <c r="A663" i="3"/>
  <c r="Q662" i="3"/>
  <c r="P662" i="3"/>
  <c r="O662" i="3"/>
  <c r="N662" i="3"/>
  <c r="M662" i="3"/>
  <c r="K662" i="3"/>
  <c r="J662" i="3"/>
  <c r="I662" i="3"/>
  <c r="H662" i="3"/>
  <c r="G662" i="3"/>
  <c r="F662" i="3"/>
  <c r="E662" i="3"/>
  <c r="D662" i="3"/>
  <c r="C662" i="3"/>
  <c r="B662" i="3"/>
  <c r="A662" i="3"/>
  <c r="Q661" i="3"/>
  <c r="P661" i="3"/>
  <c r="O661" i="3"/>
  <c r="N661" i="3"/>
  <c r="M661" i="3"/>
  <c r="K661" i="3"/>
  <c r="J661" i="3"/>
  <c r="I661" i="3"/>
  <c r="H661" i="3"/>
  <c r="G661" i="3"/>
  <c r="F661" i="3"/>
  <c r="E661" i="3"/>
  <c r="D661" i="3"/>
  <c r="C661" i="3"/>
  <c r="B661" i="3"/>
  <c r="A661" i="3"/>
  <c r="Q660" i="3"/>
  <c r="P660" i="3"/>
  <c r="O660" i="3"/>
  <c r="N660" i="3"/>
  <c r="M660" i="3"/>
  <c r="K660" i="3"/>
  <c r="J660" i="3"/>
  <c r="I660" i="3"/>
  <c r="H660" i="3"/>
  <c r="G660" i="3"/>
  <c r="F660" i="3"/>
  <c r="E660" i="3"/>
  <c r="D660" i="3"/>
  <c r="C660" i="3"/>
  <c r="B660" i="3"/>
  <c r="A660" i="3"/>
  <c r="Q659" i="3"/>
  <c r="P659" i="3"/>
  <c r="O659" i="3"/>
  <c r="N659" i="3"/>
  <c r="M659" i="3"/>
  <c r="K659" i="3"/>
  <c r="J659" i="3"/>
  <c r="I659" i="3"/>
  <c r="H659" i="3"/>
  <c r="G659" i="3"/>
  <c r="F659" i="3"/>
  <c r="E659" i="3"/>
  <c r="D659" i="3"/>
  <c r="C659" i="3"/>
  <c r="B659" i="3"/>
  <c r="A659" i="3"/>
  <c r="Q658" i="3"/>
  <c r="P658" i="3"/>
  <c r="O658" i="3"/>
  <c r="N658" i="3"/>
  <c r="M658" i="3"/>
  <c r="K658" i="3"/>
  <c r="J658" i="3"/>
  <c r="I658" i="3"/>
  <c r="H658" i="3"/>
  <c r="G658" i="3"/>
  <c r="F658" i="3"/>
  <c r="E658" i="3"/>
  <c r="D658" i="3"/>
  <c r="C658" i="3"/>
  <c r="B658" i="3"/>
  <c r="A658" i="3"/>
  <c r="Q657" i="3"/>
  <c r="P657" i="3"/>
  <c r="O657" i="3"/>
  <c r="N657" i="3"/>
  <c r="M657" i="3"/>
  <c r="K657" i="3"/>
  <c r="J657" i="3"/>
  <c r="I657" i="3"/>
  <c r="H657" i="3"/>
  <c r="G657" i="3"/>
  <c r="F657" i="3"/>
  <c r="E657" i="3"/>
  <c r="D657" i="3"/>
  <c r="C657" i="3"/>
  <c r="B657" i="3"/>
  <c r="A657" i="3"/>
  <c r="Q656" i="3"/>
  <c r="P656" i="3"/>
  <c r="N656" i="3"/>
  <c r="M656" i="3"/>
  <c r="K656" i="3"/>
  <c r="J656" i="3"/>
  <c r="I656" i="3"/>
  <c r="H656" i="3"/>
  <c r="G656" i="3"/>
  <c r="F656" i="3"/>
  <c r="E656" i="3"/>
  <c r="D656" i="3"/>
  <c r="C656" i="3"/>
  <c r="B656" i="3"/>
  <c r="A656" i="3"/>
  <c r="Q655" i="3"/>
  <c r="P655" i="3"/>
  <c r="O655" i="3"/>
  <c r="N655" i="3"/>
  <c r="M655" i="3"/>
  <c r="K655" i="3"/>
  <c r="J655" i="3"/>
  <c r="I655" i="3"/>
  <c r="H655" i="3"/>
  <c r="F655" i="3"/>
  <c r="E655" i="3"/>
  <c r="D655" i="3"/>
  <c r="C655" i="3"/>
  <c r="B655" i="3"/>
  <c r="A655" i="3"/>
  <c r="Q654" i="3"/>
  <c r="P654" i="3"/>
  <c r="O654" i="3"/>
  <c r="N654" i="3"/>
  <c r="M654" i="3"/>
  <c r="K654" i="3"/>
  <c r="J654" i="3"/>
  <c r="I654" i="3"/>
  <c r="H654" i="3"/>
  <c r="F654" i="3"/>
  <c r="E654" i="3"/>
  <c r="D654" i="3"/>
  <c r="C654" i="3"/>
  <c r="B654" i="3"/>
  <c r="A654" i="3"/>
  <c r="Q653" i="3"/>
  <c r="P653" i="3"/>
  <c r="O653" i="3"/>
  <c r="N653" i="3"/>
  <c r="M653" i="3"/>
  <c r="K653" i="3"/>
  <c r="J653" i="3"/>
  <c r="I653" i="3"/>
  <c r="H653" i="3"/>
  <c r="G653" i="3"/>
  <c r="F653" i="3"/>
  <c r="E653" i="3"/>
  <c r="D653" i="3"/>
  <c r="C653" i="3"/>
  <c r="B653" i="3"/>
  <c r="A653" i="3"/>
  <c r="Q652" i="3"/>
  <c r="P652" i="3"/>
  <c r="O652" i="3"/>
  <c r="N652" i="3"/>
  <c r="M652" i="3"/>
  <c r="K652" i="3"/>
  <c r="J652" i="3"/>
  <c r="I652" i="3"/>
  <c r="H652" i="3"/>
  <c r="G652" i="3"/>
  <c r="F652" i="3"/>
  <c r="E652" i="3"/>
  <c r="D652" i="3"/>
  <c r="C652" i="3"/>
  <c r="B652" i="3"/>
  <c r="A652" i="3"/>
  <c r="Q651" i="3"/>
  <c r="P651" i="3"/>
  <c r="O651" i="3"/>
  <c r="N651" i="3"/>
  <c r="M651" i="3"/>
  <c r="K651" i="3"/>
  <c r="J651" i="3"/>
  <c r="I651" i="3"/>
  <c r="H651" i="3"/>
  <c r="G651" i="3"/>
  <c r="F651" i="3"/>
  <c r="E651" i="3"/>
  <c r="D651" i="3"/>
  <c r="C651" i="3"/>
  <c r="B651" i="3"/>
  <c r="A651" i="3"/>
  <c r="Q650" i="3"/>
  <c r="P650" i="3"/>
  <c r="O650" i="3"/>
  <c r="N650" i="3"/>
  <c r="M650" i="3"/>
  <c r="K650" i="3"/>
  <c r="J650" i="3"/>
  <c r="I650" i="3"/>
  <c r="H650" i="3"/>
  <c r="G650" i="3"/>
  <c r="F650" i="3"/>
  <c r="E650" i="3"/>
  <c r="D650" i="3"/>
  <c r="C650" i="3"/>
  <c r="B650" i="3"/>
  <c r="A650" i="3"/>
  <c r="Q649" i="3"/>
  <c r="P649" i="3"/>
  <c r="O649" i="3"/>
  <c r="N649" i="3"/>
  <c r="M649" i="3"/>
  <c r="K649" i="3"/>
  <c r="J649" i="3"/>
  <c r="I649" i="3"/>
  <c r="H649" i="3"/>
  <c r="G649" i="3"/>
  <c r="F649" i="3"/>
  <c r="E649" i="3"/>
  <c r="D649" i="3"/>
  <c r="C649" i="3"/>
  <c r="B649" i="3"/>
  <c r="A649" i="3"/>
  <c r="Q648" i="3"/>
  <c r="P648" i="3"/>
  <c r="O648" i="3"/>
  <c r="N648" i="3"/>
  <c r="M648" i="3"/>
  <c r="K648" i="3"/>
  <c r="J648" i="3"/>
  <c r="I648" i="3"/>
  <c r="H648" i="3"/>
  <c r="G648" i="3"/>
  <c r="F648" i="3"/>
  <c r="E648" i="3"/>
  <c r="D648" i="3"/>
  <c r="C648" i="3"/>
  <c r="B648" i="3"/>
  <c r="A648" i="3"/>
  <c r="Q647" i="3"/>
  <c r="P647" i="3"/>
  <c r="O647" i="3"/>
  <c r="N647" i="3"/>
  <c r="M647" i="3"/>
  <c r="K647" i="3"/>
  <c r="J647" i="3"/>
  <c r="I647" i="3"/>
  <c r="H647" i="3"/>
  <c r="G647" i="3"/>
  <c r="F647" i="3"/>
  <c r="E647" i="3"/>
  <c r="D647" i="3"/>
  <c r="C647" i="3"/>
  <c r="B647" i="3"/>
  <c r="A647" i="3"/>
  <c r="Q646" i="3"/>
  <c r="P646" i="3"/>
  <c r="O646" i="3"/>
  <c r="N646" i="3"/>
  <c r="M646" i="3"/>
  <c r="K646" i="3"/>
  <c r="J646" i="3"/>
  <c r="I646" i="3"/>
  <c r="H646" i="3"/>
  <c r="G646" i="3"/>
  <c r="F646" i="3"/>
  <c r="E646" i="3"/>
  <c r="D646" i="3"/>
  <c r="C646" i="3"/>
  <c r="B646" i="3"/>
  <c r="A646" i="3"/>
  <c r="Q645" i="3"/>
  <c r="P645" i="3"/>
  <c r="N645" i="3"/>
  <c r="M645" i="3"/>
  <c r="K645" i="3"/>
  <c r="J645" i="3"/>
  <c r="I645" i="3"/>
  <c r="H645" i="3"/>
  <c r="G645" i="3"/>
  <c r="F645" i="3"/>
  <c r="E645" i="3"/>
  <c r="D645" i="3"/>
  <c r="C645" i="3"/>
  <c r="B645" i="3"/>
  <c r="A645" i="3"/>
  <c r="Q644" i="3"/>
  <c r="P644" i="3"/>
  <c r="O644" i="3"/>
  <c r="N644" i="3"/>
  <c r="M644" i="3"/>
  <c r="K644" i="3"/>
  <c r="J644" i="3"/>
  <c r="I644" i="3"/>
  <c r="H644" i="3"/>
  <c r="G644" i="3"/>
  <c r="F644" i="3"/>
  <c r="E644" i="3"/>
  <c r="D644" i="3"/>
  <c r="C644" i="3"/>
  <c r="B644" i="3"/>
  <c r="A644" i="3"/>
  <c r="Q643" i="3"/>
  <c r="P643" i="3"/>
  <c r="O643" i="3"/>
  <c r="N643" i="3"/>
  <c r="M643" i="3"/>
  <c r="K643" i="3"/>
  <c r="J643" i="3"/>
  <c r="I643" i="3"/>
  <c r="H643" i="3"/>
  <c r="G643" i="3"/>
  <c r="F643" i="3"/>
  <c r="E643" i="3"/>
  <c r="D643" i="3"/>
  <c r="C643" i="3"/>
  <c r="B643" i="3"/>
  <c r="A643" i="3"/>
  <c r="Q642" i="3"/>
  <c r="P642" i="3"/>
  <c r="O642" i="3"/>
  <c r="N642" i="3"/>
  <c r="M642" i="3"/>
  <c r="K642" i="3"/>
  <c r="J642" i="3"/>
  <c r="I642" i="3"/>
  <c r="H642" i="3"/>
  <c r="G642" i="3"/>
  <c r="F642" i="3"/>
  <c r="E642" i="3"/>
  <c r="D642" i="3"/>
  <c r="C642" i="3"/>
  <c r="B642" i="3"/>
  <c r="A642" i="3"/>
  <c r="Q641" i="3"/>
  <c r="P641" i="3"/>
  <c r="O641" i="3"/>
  <c r="N641" i="3"/>
  <c r="M641" i="3"/>
  <c r="K641" i="3"/>
  <c r="J641" i="3"/>
  <c r="I641" i="3"/>
  <c r="H641" i="3"/>
  <c r="G641" i="3"/>
  <c r="F641" i="3"/>
  <c r="E641" i="3"/>
  <c r="D641" i="3"/>
  <c r="C641" i="3"/>
  <c r="B641" i="3"/>
  <c r="A641" i="3"/>
  <c r="Q640" i="3"/>
  <c r="P640" i="3"/>
  <c r="O640" i="3"/>
  <c r="N640" i="3"/>
  <c r="M640" i="3"/>
  <c r="K640" i="3"/>
  <c r="J640" i="3"/>
  <c r="I640" i="3"/>
  <c r="H640" i="3"/>
  <c r="G640" i="3"/>
  <c r="F640" i="3"/>
  <c r="E640" i="3"/>
  <c r="D640" i="3"/>
  <c r="C640" i="3"/>
  <c r="B640" i="3"/>
  <c r="A640" i="3"/>
  <c r="Q639" i="3"/>
  <c r="P639" i="3"/>
  <c r="O639" i="3"/>
  <c r="N639" i="3"/>
  <c r="M639" i="3"/>
  <c r="K639" i="3"/>
  <c r="J639" i="3"/>
  <c r="I639" i="3"/>
  <c r="H639" i="3"/>
  <c r="G639" i="3"/>
  <c r="F639" i="3"/>
  <c r="E639" i="3"/>
  <c r="D639" i="3"/>
  <c r="C639" i="3"/>
  <c r="B639" i="3"/>
  <c r="A639" i="3"/>
  <c r="Q638" i="3"/>
  <c r="P638" i="3"/>
  <c r="N638" i="3"/>
  <c r="M638" i="3"/>
  <c r="K638" i="3"/>
  <c r="J638" i="3"/>
  <c r="I638" i="3"/>
  <c r="H638" i="3"/>
  <c r="G638" i="3"/>
  <c r="F638" i="3"/>
  <c r="E638" i="3"/>
  <c r="D638" i="3"/>
  <c r="C638" i="3"/>
  <c r="B638" i="3"/>
  <c r="A638" i="3"/>
  <c r="Q637" i="3"/>
  <c r="P637" i="3"/>
  <c r="O637" i="3"/>
  <c r="N637" i="3"/>
  <c r="M637" i="3"/>
  <c r="K637" i="3"/>
  <c r="J637" i="3"/>
  <c r="I637" i="3"/>
  <c r="H637" i="3"/>
  <c r="G637" i="3"/>
  <c r="F637" i="3"/>
  <c r="E637" i="3"/>
  <c r="D637" i="3"/>
  <c r="C637" i="3"/>
  <c r="B637" i="3"/>
  <c r="A637" i="3"/>
  <c r="Q636" i="3"/>
  <c r="P636" i="3"/>
  <c r="O636" i="3"/>
  <c r="N636" i="3"/>
  <c r="M636" i="3"/>
  <c r="K636" i="3"/>
  <c r="J636" i="3"/>
  <c r="I636" i="3"/>
  <c r="H636" i="3"/>
  <c r="G636" i="3"/>
  <c r="F636" i="3"/>
  <c r="E636" i="3"/>
  <c r="D636" i="3"/>
  <c r="C636" i="3"/>
  <c r="B636" i="3"/>
  <c r="A636" i="3"/>
  <c r="Q635" i="3"/>
  <c r="P635" i="3"/>
  <c r="O635" i="3"/>
  <c r="N635" i="3"/>
  <c r="M635" i="3"/>
  <c r="K635" i="3"/>
  <c r="J635" i="3"/>
  <c r="I635" i="3"/>
  <c r="H635" i="3"/>
  <c r="G635" i="3"/>
  <c r="F635" i="3"/>
  <c r="E635" i="3"/>
  <c r="D635" i="3"/>
  <c r="C635" i="3"/>
  <c r="B635" i="3"/>
  <c r="A635" i="3"/>
  <c r="Q634" i="3"/>
  <c r="P634" i="3"/>
  <c r="O634" i="3"/>
  <c r="N634" i="3"/>
  <c r="M634" i="3"/>
  <c r="K634" i="3"/>
  <c r="J634" i="3"/>
  <c r="I634" i="3"/>
  <c r="H634" i="3"/>
  <c r="G634" i="3"/>
  <c r="F634" i="3"/>
  <c r="E634" i="3"/>
  <c r="D634" i="3"/>
  <c r="C634" i="3"/>
  <c r="B634" i="3"/>
  <c r="A634" i="3"/>
  <c r="Q633" i="3"/>
  <c r="P633" i="3"/>
  <c r="O633" i="3"/>
  <c r="N633" i="3"/>
  <c r="M633" i="3"/>
  <c r="K633" i="3"/>
  <c r="J633" i="3"/>
  <c r="I633" i="3"/>
  <c r="H633" i="3"/>
  <c r="G633" i="3"/>
  <c r="F633" i="3"/>
  <c r="E633" i="3"/>
  <c r="D633" i="3"/>
  <c r="C633" i="3"/>
  <c r="B633" i="3"/>
  <c r="A633" i="3"/>
  <c r="Q632" i="3"/>
  <c r="P632" i="3"/>
  <c r="O632" i="3"/>
  <c r="N632" i="3"/>
  <c r="M632" i="3"/>
  <c r="K632" i="3"/>
  <c r="J632" i="3"/>
  <c r="I632" i="3"/>
  <c r="H632" i="3"/>
  <c r="G632" i="3"/>
  <c r="F632" i="3"/>
  <c r="E632" i="3"/>
  <c r="D632" i="3"/>
  <c r="C632" i="3"/>
  <c r="B632" i="3"/>
  <c r="A632" i="3"/>
  <c r="Q631" i="3"/>
  <c r="P631" i="3"/>
  <c r="O631" i="3"/>
  <c r="N631" i="3"/>
  <c r="M631" i="3"/>
  <c r="K631" i="3"/>
  <c r="J631" i="3"/>
  <c r="I631" i="3"/>
  <c r="H631" i="3"/>
  <c r="G631" i="3"/>
  <c r="F631" i="3"/>
  <c r="E631" i="3"/>
  <c r="D631" i="3"/>
  <c r="C631" i="3"/>
  <c r="B631" i="3"/>
  <c r="A631" i="3"/>
  <c r="Q630" i="3"/>
  <c r="P630" i="3"/>
  <c r="O630" i="3"/>
  <c r="N630" i="3"/>
  <c r="M630" i="3"/>
  <c r="K630" i="3"/>
  <c r="J630" i="3"/>
  <c r="I630" i="3"/>
  <c r="H630" i="3"/>
  <c r="G630" i="3"/>
  <c r="F630" i="3"/>
  <c r="E630" i="3"/>
  <c r="D630" i="3"/>
  <c r="C630" i="3"/>
  <c r="B630" i="3"/>
  <c r="A630" i="3"/>
  <c r="Q629" i="3"/>
  <c r="P629" i="3"/>
  <c r="O629" i="3"/>
  <c r="N629" i="3"/>
  <c r="M629" i="3"/>
  <c r="K629" i="3"/>
  <c r="J629" i="3"/>
  <c r="I629" i="3"/>
  <c r="H629" i="3"/>
  <c r="G629" i="3"/>
  <c r="F629" i="3"/>
  <c r="E629" i="3"/>
  <c r="D629" i="3"/>
  <c r="C629" i="3"/>
  <c r="B629" i="3"/>
  <c r="A629" i="3"/>
  <c r="Q628" i="3"/>
  <c r="P628" i="3"/>
  <c r="N628" i="3"/>
  <c r="M628" i="3"/>
  <c r="K628" i="3"/>
  <c r="J628" i="3"/>
  <c r="I628" i="3"/>
  <c r="H628" i="3"/>
  <c r="G628" i="3"/>
  <c r="F628" i="3"/>
  <c r="E628" i="3"/>
  <c r="D628" i="3"/>
  <c r="C628" i="3"/>
  <c r="B628" i="3"/>
  <c r="A628" i="3"/>
  <c r="Q627" i="3"/>
  <c r="P627" i="3"/>
  <c r="N627" i="3"/>
  <c r="M627" i="3"/>
  <c r="K627" i="3"/>
  <c r="J627" i="3"/>
  <c r="I627" i="3"/>
  <c r="H627" i="3"/>
  <c r="G627" i="3"/>
  <c r="F627" i="3"/>
  <c r="E627" i="3"/>
  <c r="D627" i="3"/>
  <c r="C627" i="3"/>
  <c r="B627" i="3"/>
  <c r="A627" i="3"/>
  <c r="Q626" i="3"/>
  <c r="P626" i="3"/>
  <c r="N626" i="3"/>
  <c r="M626" i="3"/>
  <c r="K626" i="3"/>
  <c r="J626" i="3"/>
  <c r="I626" i="3"/>
  <c r="H626" i="3"/>
  <c r="G626" i="3"/>
  <c r="F626" i="3"/>
  <c r="E626" i="3"/>
  <c r="D626" i="3"/>
  <c r="C626" i="3"/>
  <c r="B626" i="3"/>
  <c r="A626" i="3"/>
  <c r="Q625" i="3"/>
  <c r="P625" i="3"/>
  <c r="N625" i="3"/>
  <c r="M625" i="3"/>
  <c r="K625" i="3"/>
  <c r="J625" i="3"/>
  <c r="I625" i="3"/>
  <c r="H625" i="3"/>
  <c r="G625" i="3"/>
  <c r="F625" i="3"/>
  <c r="E625" i="3"/>
  <c r="D625" i="3"/>
  <c r="C625" i="3"/>
  <c r="B625" i="3"/>
  <c r="A625" i="3"/>
  <c r="Q624" i="3"/>
  <c r="P624" i="3"/>
  <c r="O624" i="3"/>
  <c r="N624" i="3"/>
  <c r="M624" i="3"/>
  <c r="K624" i="3"/>
  <c r="J624" i="3"/>
  <c r="I624" i="3"/>
  <c r="H624" i="3"/>
  <c r="G624" i="3"/>
  <c r="F624" i="3"/>
  <c r="E624" i="3"/>
  <c r="D624" i="3"/>
  <c r="C624" i="3"/>
  <c r="B624" i="3"/>
  <c r="A624" i="3"/>
  <c r="Q623" i="3"/>
  <c r="P623" i="3"/>
  <c r="O623" i="3"/>
  <c r="N623" i="3"/>
  <c r="M623" i="3"/>
  <c r="K623" i="3"/>
  <c r="J623" i="3"/>
  <c r="I623" i="3"/>
  <c r="H623" i="3"/>
  <c r="G623" i="3"/>
  <c r="F623" i="3"/>
  <c r="E623" i="3"/>
  <c r="D623" i="3"/>
  <c r="C623" i="3"/>
  <c r="B623" i="3"/>
  <c r="A623" i="3"/>
  <c r="Q622" i="3"/>
  <c r="P622" i="3"/>
  <c r="O622" i="3"/>
  <c r="N622" i="3"/>
  <c r="M622" i="3"/>
  <c r="K622" i="3"/>
  <c r="J622" i="3"/>
  <c r="I622" i="3"/>
  <c r="H622" i="3"/>
  <c r="G622" i="3"/>
  <c r="F622" i="3"/>
  <c r="E622" i="3"/>
  <c r="D622" i="3"/>
  <c r="C622" i="3"/>
  <c r="B622" i="3"/>
  <c r="A622" i="3"/>
  <c r="Q621" i="3"/>
  <c r="P621" i="3"/>
  <c r="O621" i="3"/>
  <c r="N621" i="3"/>
  <c r="M621" i="3"/>
  <c r="K621" i="3"/>
  <c r="J621" i="3"/>
  <c r="I621" i="3"/>
  <c r="H621" i="3"/>
  <c r="G621" i="3"/>
  <c r="F621" i="3"/>
  <c r="E621" i="3"/>
  <c r="D621" i="3"/>
  <c r="C621" i="3"/>
  <c r="B621" i="3"/>
  <c r="A621" i="3"/>
  <c r="Q620" i="3"/>
  <c r="P620" i="3"/>
  <c r="O620" i="3"/>
  <c r="N620" i="3"/>
  <c r="M620" i="3"/>
  <c r="K620" i="3"/>
  <c r="J620" i="3"/>
  <c r="I620" i="3"/>
  <c r="H620" i="3"/>
  <c r="G620" i="3"/>
  <c r="F620" i="3"/>
  <c r="E620" i="3"/>
  <c r="D620" i="3"/>
  <c r="C620" i="3"/>
  <c r="B620" i="3"/>
  <c r="A620" i="3"/>
  <c r="Q619" i="3"/>
  <c r="P619" i="3"/>
  <c r="O619" i="3"/>
  <c r="N619" i="3"/>
  <c r="M619" i="3"/>
  <c r="K619" i="3"/>
  <c r="J619" i="3"/>
  <c r="I619" i="3"/>
  <c r="H619" i="3"/>
  <c r="G619" i="3"/>
  <c r="F619" i="3"/>
  <c r="E619" i="3"/>
  <c r="D619" i="3"/>
  <c r="C619" i="3"/>
  <c r="B619" i="3"/>
  <c r="A619" i="3"/>
  <c r="Q618" i="3"/>
  <c r="P618" i="3"/>
  <c r="O618" i="3"/>
  <c r="N618" i="3"/>
  <c r="M618" i="3"/>
  <c r="K618" i="3"/>
  <c r="J618" i="3"/>
  <c r="I618" i="3"/>
  <c r="H618" i="3"/>
  <c r="G618" i="3"/>
  <c r="F618" i="3"/>
  <c r="E618" i="3"/>
  <c r="D618" i="3"/>
  <c r="C618" i="3"/>
  <c r="B618" i="3"/>
  <c r="A618" i="3"/>
  <c r="Q617" i="3"/>
  <c r="P617" i="3"/>
  <c r="N617" i="3"/>
  <c r="M617" i="3"/>
  <c r="K617" i="3"/>
  <c r="J617" i="3"/>
  <c r="I617" i="3"/>
  <c r="H617" i="3"/>
  <c r="G617" i="3"/>
  <c r="F617" i="3"/>
  <c r="E617" i="3"/>
  <c r="D617" i="3"/>
  <c r="C617" i="3"/>
  <c r="B617" i="3"/>
  <c r="A617" i="3"/>
  <c r="Q616" i="3"/>
  <c r="P616" i="3"/>
  <c r="O616" i="3"/>
  <c r="N616" i="3"/>
  <c r="M616" i="3"/>
  <c r="K616" i="3"/>
  <c r="J616" i="3"/>
  <c r="I616" i="3"/>
  <c r="H616" i="3"/>
  <c r="G616" i="3"/>
  <c r="F616" i="3"/>
  <c r="E616" i="3"/>
  <c r="D616" i="3"/>
  <c r="C616" i="3"/>
  <c r="B616" i="3"/>
  <c r="A616" i="3"/>
  <c r="Q615" i="3"/>
  <c r="P615" i="3"/>
  <c r="O615" i="3"/>
  <c r="N615" i="3"/>
  <c r="M615" i="3"/>
  <c r="K615" i="3"/>
  <c r="J615" i="3"/>
  <c r="I615" i="3"/>
  <c r="H615" i="3"/>
  <c r="G615" i="3"/>
  <c r="F615" i="3"/>
  <c r="E615" i="3"/>
  <c r="D615" i="3"/>
  <c r="C615" i="3"/>
  <c r="B615" i="3"/>
  <c r="A615" i="3"/>
  <c r="Q614" i="3"/>
  <c r="P614" i="3"/>
  <c r="O614" i="3"/>
  <c r="N614" i="3"/>
  <c r="M614" i="3"/>
  <c r="K614" i="3"/>
  <c r="J614" i="3"/>
  <c r="I614" i="3"/>
  <c r="H614" i="3"/>
  <c r="G614" i="3"/>
  <c r="F614" i="3"/>
  <c r="E614" i="3"/>
  <c r="D614" i="3"/>
  <c r="C614" i="3"/>
  <c r="B614" i="3"/>
  <c r="A614" i="3"/>
  <c r="Q613" i="3"/>
  <c r="P613" i="3"/>
  <c r="O613" i="3"/>
  <c r="N613" i="3"/>
  <c r="M613" i="3"/>
  <c r="K613" i="3"/>
  <c r="J613" i="3"/>
  <c r="I613" i="3"/>
  <c r="H613" i="3"/>
  <c r="G613" i="3"/>
  <c r="F613" i="3"/>
  <c r="E613" i="3"/>
  <c r="D613" i="3"/>
  <c r="C613" i="3"/>
  <c r="B613" i="3"/>
  <c r="A613" i="3"/>
  <c r="Q612" i="3"/>
  <c r="P612" i="3"/>
  <c r="O612" i="3"/>
  <c r="N612" i="3"/>
  <c r="M612" i="3"/>
  <c r="K612" i="3"/>
  <c r="J612" i="3"/>
  <c r="I612" i="3"/>
  <c r="H612" i="3"/>
  <c r="G612" i="3"/>
  <c r="F612" i="3"/>
  <c r="E612" i="3"/>
  <c r="D612" i="3"/>
  <c r="C612" i="3"/>
  <c r="B612" i="3"/>
  <c r="A612" i="3"/>
  <c r="Q611" i="3"/>
  <c r="P611" i="3"/>
  <c r="O611" i="3"/>
  <c r="N611" i="3"/>
  <c r="M611" i="3"/>
  <c r="K611" i="3"/>
  <c r="J611" i="3"/>
  <c r="I611" i="3"/>
  <c r="H611" i="3"/>
  <c r="G611" i="3"/>
  <c r="F611" i="3"/>
  <c r="E611" i="3"/>
  <c r="D611" i="3"/>
  <c r="C611" i="3"/>
  <c r="B611" i="3"/>
  <c r="A611" i="3"/>
  <c r="Q610" i="3"/>
  <c r="P610" i="3"/>
  <c r="O610" i="3"/>
  <c r="N610" i="3"/>
  <c r="M610" i="3"/>
  <c r="K610" i="3"/>
  <c r="J610" i="3"/>
  <c r="I610" i="3"/>
  <c r="H610" i="3"/>
  <c r="G610" i="3"/>
  <c r="F610" i="3"/>
  <c r="D610" i="3"/>
  <c r="C610" i="3"/>
  <c r="B610" i="3"/>
  <c r="A610" i="3"/>
  <c r="Q609" i="3"/>
  <c r="P609" i="3"/>
  <c r="N609" i="3"/>
  <c r="M609" i="3"/>
  <c r="K609" i="3"/>
  <c r="J609" i="3"/>
  <c r="I609" i="3"/>
  <c r="H609" i="3"/>
  <c r="G609" i="3"/>
  <c r="F609" i="3"/>
  <c r="E609" i="3"/>
  <c r="D609" i="3"/>
  <c r="C609" i="3"/>
  <c r="B609" i="3"/>
  <c r="A609" i="3"/>
  <c r="Q608" i="3"/>
  <c r="P608" i="3"/>
  <c r="O608" i="3"/>
  <c r="N608" i="3"/>
  <c r="M608" i="3"/>
  <c r="K608" i="3"/>
  <c r="J608" i="3"/>
  <c r="I608" i="3"/>
  <c r="H608" i="3"/>
  <c r="G608" i="3"/>
  <c r="F608" i="3"/>
  <c r="E608" i="3"/>
  <c r="D608" i="3"/>
  <c r="C608" i="3"/>
  <c r="B608" i="3"/>
  <c r="A608" i="3"/>
  <c r="Q607" i="3"/>
  <c r="P607" i="3"/>
  <c r="O607" i="3"/>
  <c r="N607" i="3"/>
  <c r="M607" i="3"/>
  <c r="K607" i="3"/>
  <c r="J607" i="3"/>
  <c r="I607" i="3"/>
  <c r="H607" i="3"/>
  <c r="G607" i="3"/>
  <c r="F607" i="3"/>
  <c r="E607" i="3"/>
  <c r="D607" i="3"/>
  <c r="C607" i="3"/>
  <c r="B607" i="3"/>
  <c r="A607" i="3"/>
  <c r="Q606" i="3"/>
  <c r="P606" i="3"/>
  <c r="O606" i="3"/>
  <c r="N606" i="3"/>
  <c r="M606" i="3"/>
  <c r="K606" i="3"/>
  <c r="J606" i="3"/>
  <c r="I606" i="3"/>
  <c r="H606" i="3"/>
  <c r="G606" i="3"/>
  <c r="F606" i="3"/>
  <c r="E606" i="3"/>
  <c r="D606" i="3"/>
  <c r="C606" i="3"/>
  <c r="B606" i="3"/>
  <c r="A606" i="3"/>
  <c r="Q605" i="3"/>
  <c r="P605" i="3"/>
  <c r="N605" i="3"/>
  <c r="M605" i="3"/>
  <c r="K605" i="3"/>
  <c r="J605" i="3"/>
  <c r="I605" i="3"/>
  <c r="H605" i="3"/>
  <c r="G605" i="3"/>
  <c r="F605" i="3"/>
  <c r="E605" i="3"/>
  <c r="D605" i="3"/>
  <c r="C605" i="3"/>
  <c r="B605" i="3"/>
  <c r="A605" i="3"/>
  <c r="Q604" i="3"/>
  <c r="P604" i="3"/>
  <c r="O604" i="3"/>
  <c r="N604" i="3"/>
  <c r="M604" i="3"/>
  <c r="K604" i="3"/>
  <c r="J604" i="3"/>
  <c r="I604" i="3"/>
  <c r="H604" i="3"/>
  <c r="G604" i="3"/>
  <c r="F604" i="3"/>
  <c r="E604" i="3"/>
  <c r="D604" i="3"/>
  <c r="C604" i="3"/>
  <c r="B604" i="3"/>
  <c r="A604" i="3"/>
  <c r="Q603" i="3"/>
  <c r="P603" i="3"/>
  <c r="N603" i="3"/>
  <c r="M603" i="3"/>
  <c r="K603" i="3"/>
  <c r="J603" i="3"/>
  <c r="I603" i="3"/>
  <c r="H603" i="3"/>
  <c r="G603" i="3"/>
  <c r="F603" i="3"/>
  <c r="E603" i="3"/>
  <c r="D603" i="3"/>
  <c r="C603" i="3"/>
  <c r="B603" i="3"/>
  <c r="A603" i="3"/>
  <c r="Q602" i="3"/>
  <c r="P602" i="3"/>
  <c r="O602" i="3"/>
  <c r="N602" i="3"/>
  <c r="M602" i="3"/>
  <c r="K602" i="3"/>
  <c r="J602" i="3"/>
  <c r="I602" i="3"/>
  <c r="H602" i="3"/>
  <c r="G602" i="3"/>
  <c r="F602" i="3"/>
  <c r="E602" i="3"/>
  <c r="D602" i="3"/>
  <c r="C602" i="3"/>
  <c r="B602" i="3"/>
  <c r="A602" i="3"/>
  <c r="Q601" i="3"/>
  <c r="P601" i="3"/>
  <c r="N601" i="3"/>
  <c r="M601" i="3"/>
  <c r="K601" i="3"/>
  <c r="J601" i="3"/>
  <c r="I601" i="3"/>
  <c r="H601" i="3"/>
  <c r="G601" i="3"/>
  <c r="F601" i="3"/>
  <c r="E601" i="3"/>
  <c r="D601" i="3"/>
  <c r="C601" i="3"/>
  <c r="B601" i="3"/>
  <c r="A601" i="3"/>
  <c r="Q600" i="3"/>
  <c r="P600" i="3"/>
  <c r="O600" i="3"/>
  <c r="N600" i="3"/>
  <c r="M600" i="3"/>
  <c r="K600" i="3"/>
  <c r="J600" i="3"/>
  <c r="I600" i="3"/>
  <c r="H600" i="3"/>
  <c r="G600" i="3"/>
  <c r="F600" i="3"/>
  <c r="E600" i="3"/>
  <c r="D600" i="3"/>
  <c r="C600" i="3"/>
  <c r="B600" i="3"/>
  <c r="A600" i="3"/>
  <c r="Q599" i="3"/>
  <c r="P599" i="3"/>
  <c r="O599" i="3"/>
  <c r="N599" i="3"/>
  <c r="M599" i="3"/>
  <c r="K599" i="3"/>
  <c r="J599" i="3"/>
  <c r="I599" i="3"/>
  <c r="H599" i="3"/>
  <c r="G599" i="3"/>
  <c r="F599" i="3"/>
  <c r="E599" i="3"/>
  <c r="D599" i="3"/>
  <c r="C599" i="3"/>
  <c r="B599" i="3"/>
  <c r="A599" i="3"/>
  <c r="Q598" i="3"/>
  <c r="P598" i="3"/>
  <c r="O598" i="3"/>
  <c r="N598" i="3"/>
  <c r="M598" i="3"/>
  <c r="K598" i="3"/>
  <c r="J598" i="3"/>
  <c r="I598" i="3"/>
  <c r="H598" i="3"/>
  <c r="G598" i="3"/>
  <c r="F598" i="3"/>
  <c r="E598" i="3"/>
  <c r="D598" i="3"/>
  <c r="C598" i="3"/>
  <c r="B598" i="3"/>
  <c r="A598" i="3"/>
  <c r="Q597" i="3"/>
  <c r="P597" i="3"/>
  <c r="O597" i="3"/>
  <c r="N597" i="3"/>
  <c r="M597" i="3"/>
  <c r="K597" i="3"/>
  <c r="J597" i="3"/>
  <c r="I597" i="3"/>
  <c r="H597" i="3"/>
  <c r="G597" i="3"/>
  <c r="F597" i="3"/>
  <c r="E597" i="3"/>
  <c r="D597" i="3"/>
  <c r="C597" i="3"/>
  <c r="B597" i="3"/>
  <c r="A597" i="3"/>
  <c r="Q596" i="3"/>
  <c r="P596" i="3"/>
  <c r="O596" i="3"/>
  <c r="N596" i="3"/>
  <c r="M596" i="3"/>
  <c r="K596" i="3"/>
  <c r="J596" i="3"/>
  <c r="I596" i="3"/>
  <c r="H596" i="3"/>
  <c r="G596" i="3"/>
  <c r="F596" i="3"/>
  <c r="E596" i="3"/>
  <c r="D596" i="3"/>
  <c r="C596" i="3"/>
  <c r="B596" i="3"/>
  <c r="A596" i="3"/>
  <c r="Q595" i="3"/>
  <c r="P595" i="3"/>
  <c r="O595" i="3"/>
  <c r="N595" i="3"/>
  <c r="M595" i="3"/>
  <c r="K595" i="3"/>
  <c r="J595" i="3"/>
  <c r="I595" i="3"/>
  <c r="H595" i="3"/>
  <c r="G595" i="3"/>
  <c r="F595" i="3"/>
  <c r="E595" i="3"/>
  <c r="D595" i="3"/>
  <c r="C595" i="3"/>
  <c r="B595" i="3"/>
  <c r="A595" i="3"/>
  <c r="Q594" i="3"/>
  <c r="P594" i="3"/>
  <c r="O594" i="3"/>
  <c r="N594" i="3"/>
  <c r="M594" i="3"/>
  <c r="K594" i="3"/>
  <c r="J594" i="3"/>
  <c r="I594" i="3"/>
  <c r="H594" i="3"/>
  <c r="G594" i="3"/>
  <c r="F594" i="3"/>
  <c r="E594" i="3"/>
  <c r="D594" i="3"/>
  <c r="C594" i="3"/>
  <c r="B594" i="3"/>
  <c r="A594" i="3"/>
  <c r="Q593" i="3"/>
  <c r="P593" i="3"/>
  <c r="O593" i="3"/>
  <c r="N593" i="3"/>
  <c r="M593" i="3"/>
  <c r="K593" i="3"/>
  <c r="J593" i="3"/>
  <c r="I593" i="3"/>
  <c r="H593" i="3"/>
  <c r="G593" i="3"/>
  <c r="F593" i="3"/>
  <c r="E593" i="3"/>
  <c r="D593" i="3"/>
  <c r="C593" i="3"/>
  <c r="B593" i="3"/>
  <c r="A593" i="3"/>
  <c r="Q592" i="3"/>
  <c r="P592" i="3"/>
  <c r="O592" i="3"/>
  <c r="N592" i="3"/>
  <c r="M592" i="3"/>
  <c r="K592" i="3"/>
  <c r="J592" i="3"/>
  <c r="I592" i="3"/>
  <c r="H592" i="3"/>
  <c r="G592" i="3"/>
  <c r="F592" i="3"/>
  <c r="E592" i="3"/>
  <c r="D592" i="3"/>
  <c r="C592" i="3"/>
  <c r="B592" i="3"/>
  <c r="A592" i="3"/>
  <c r="Q591" i="3"/>
  <c r="P591" i="3"/>
  <c r="O591" i="3"/>
  <c r="N591" i="3"/>
  <c r="M591" i="3"/>
  <c r="K591" i="3"/>
  <c r="J591" i="3"/>
  <c r="I591" i="3"/>
  <c r="H591" i="3"/>
  <c r="G591" i="3"/>
  <c r="F591" i="3"/>
  <c r="E591" i="3"/>
  <c r="D591" i="3"/>
  <c r="C591" i="3"/>
  <c r="B591" i="3"/>
  <c r="A591" i="3"/>
  <c r="Q590" i="3"/>
  <c r="P590" i="3"/>
  <c r="O590" i="3"/>
  <c r="N590" i="3"/>
  <c r="M590" i="3"/>
  <c r="K590" i="3"/>
  <c r="J590" i="3"/>
  <c r="I590" i="3"/>
  <c r="H590" i="3"/>
  <c r="G590" i="3"/>
  <c r="F590" i="3"/>
  <c r="E590" i="3"/>
  <c r="D590" i="3"/>
  <c r="C590" i="3"/>
  <c r="B590" i="3"/>
  <c r="A590" i="3"/>
  <c r="Q589" i="3"/>
  <c r="P589" i="3"/>
  <c r="O589" i="3"/>
  <c r="N589" i="3"/>
  <c r="M589" i="3"/>
  <c r="K589" i="3"/>
  <c r="J589" i="3"/>
  <c r="I589" i="3"/>
  <c r="H589" i="3"/>
  <c r="G589" i="3"/>
  <c r="F589" i="3"/>
  <c r="E589" i="3"/>
  <c r="D589" i="3"/>
  <c r="C589" i="3"/>
  <c r="B589" i="3"/>
  <c r="A589" i="3"/>
  <c r="Q588" i="3"/>
  <c r="P588" i="3"/>
  <c r="O588" i="3"/>
  <c r="N588" i="3"/>
  <c r="M588" i="3"/>
  <c r="K588" i="3"/>
  <c r="J588" i="3"/>
  <c r="I588" i="3"/>
  <c r="H588" i="3"/>
  <c r="G588" i="3"/>
  <c r="F588" i="3"/>
  <c r="E588" i="3"/>
  <c r="D588" i="3"/>
  <c r="C588" i="3"/>
  <c r="B588" i="3"/>
  <c r="A588" i="3"/>
  <c r="Q587" i="3"/>
  <c r="P587" i="3"/>
  <c r="O587" i="3"/>
  <c r="N587" i="3"/>
  <c r="M587" i="3"/>
  <c r="K587" i="3"/>
  <c r="J587" i="3"/>
  <c r="I587" i="3"/>
  <c r="H587" i="3"/>
  <c r="G587" i="3"/>
  <c r="F587" i="3"/>
  <c r="E587" i="3"/>
  <c r="D587" i="3"/>
  <c r="C587" i="3"/>
  <c r="B587" i="3"/>
  <c r="A587" i="3"/>
  <c r="Q586" i="3"/>
  <c r="P586" i="3"/>
  <c r="O586" i="3"/>
  <c r="N586" i="3"/>
  <c r="M586" i="3"/>
  <c r="K586" i="3"/>
  <c r="J586" i="3"/>
  <c r="I586" i="3"/>
  <c r="H586" i="3"/>
  <c r="G586" i="3"/>
  <c r="F586" i="3"/>
  <c r="E586" i="3"/>
  <c r="D586" i="3"/>
  <c r="C586" i="3"/>
  <c r="B586" i="3"/>
  <c r="A586" i="3"/>
  <c r="Q585" i="3"/>
  <c r="P585" i="3"/>
  <c r="O585" i="3"/>
  <c r="N585" i="3"/>
  <c r="M585" i="3"/>
  <c r="K585" i="3"/>
  <c r="J585" i="3"/>
  <c r="I585" i="3"/>
  <c r="H585" i="3"/>
  <c r="G585" i="3"/>
  <c r="F585" i="3"/>
  <c r="E585" i="3"/>
  <c r="D585" i="3"/>
  <c r="C585" i="3"/>
  <c r="B585" i="3"/>
  <c r="A585" i="3"/>
  <c r="Q584" i="3"/>
  <c r="P584" i="3"/>
  <c r="O584" i="3"/>
  <c r="N584" i="3"/>
  <c r="M584" i="3"/>
  <c r="K584" i="3"/>
  <c r="J584" i="3"/>
  <c r="I584" i="3"/>
  <c r="H584" i="3"/>
  <c r="G584" i="3"/>
  <c r="F584" i="3"/>
  <c r="E584" i="3"/>
  <c r="D584" i="3"/>
  <c r="C584" i="3"/>
  <c r="B584" i="3"/>
  <c r="A584" i="3"/>
  <c r="Q583" i="3"/>
  <c r="P583" i="3"/>
  <c r="O583" i="3"/>
  <c r="N583" i="3"/>
  <c r="M583" i="3"/>
  <c r="K583" i="3"/>
  <c r="J583" i="3"/>
  <c r="I583" i="3"/>
  <c r="H583" i="3"/>
  <c r="G583" i="3"/>
  <c r="F583" i="3"/>
  <c r="E583" i="3"/>
  <c r="D583" i="3"/>
  <c r="C583" i="3"/>
  <c r="B583" i="3"/>
  <c r="A583" i="3"/>
  <c r="Q582" i="3"/>
  <c r="P582" i="3"/>
  <c r="O582" i="3"/>
  <c r="N582" i="3"/>
  <c r="M582" i="3"/>
  <c r="K582" i="3"/>
  <c r="J582" i="3"/>
  <c r="I582" i="3"/>
  <c r="H582" i="3"/>
  <c r="G582" i="3"/>
  <c r="F582" i="3"/>
  <c r="E582" i="3"/>
  <c r="D582" i="3"/>
  <c r="C582" i="3"/>
  <c r="B582" i="3"/>
  <c r="A582" i="3"/>
  <c r="Q581" i="3"/>
  <c r="P581" i="3"/>
  <c r="O581" i="3"/>
  <c r="N581" i="3"/>
  <c r="M581" i="3"/>
  <c r="K581" i="3"/>
  <c r="J581" i="3"/>
  <c r="I581" i="3"/>
  <c r="H581" i="3"/>
  <c r="G581" i="3"/>
  <c r="F581" i="3"/>
  <c r="E581" i="3"/>
  <c r="D581" i="3"/>
  <c r="C581" i="3"/>
  <c r="B581" i="3"/>
  <c r="A581" i="3"/>
  <c r="Q580" i="3"/>
  <c r="P580" i="3"/>
  <c r="O580" i="3"/>
  <c r="N580" i="3"/>
  <c r="M580" i="3"/>
  <c r="K580" i="3"/>
  <c r="J580" i="3"/>
  <c r="I580" i="3"/>
  <c r="H580" i="3"/>
  <c r="G580" i="3"/>
  <c r="F580" i="3"/>
  <c r="E580" i="3"/>
  <c r="D580" i="3"/>
  <c r="C580" i="3"/>
  <c r="B580" i="3"/>
  <c r="A580" i="3"/>
  <c r="Q579" i="3"/>
  <c r="P579" i="3"/>
  <c r="O579" i="3"/>
  <c r="N579" i="3"/>
  <c r="M579" i="3"/>
  <c r="K579" i="3"/>
  <c r="J579" i="3"/>
  <c r="I579" i="3"/>
  <c r="H579" i="3"/>
  <c r="G579" i="3"/>
  <c r="F579" i="3"/>
  <c r="E579" i="3"/>
  <c r="D579" i="3"/>
  <c r="C579" i="3"/>
  <c r="B579" i="3"/>
  <c r="A579" i="3"/>
  <c r="Q578" i="3"/>
  <c r="P578" i="3"/>
  <c r="O578" i="3"/>
  <c r="N578" i="3"/>
  <c r="M578" i="3"/>
  <c r="K578" i="3"/>
  <c r="J578" i="3"/>
  <c r="I578" i="3"/>
  <c r="H578" i="3"/>
  <c r="G578" i="3"/>
  <c r="F578" i="3"/>
  <c r="E578" i="3"/>
  <c r="D578" i="3"/>
  <c r="C578" i="3"/>
  <c r="B578" i="3"/>
  <c r="A578" i="3"/>
  <c r="Q577" i="3"/>
  <c r="P577" i="3"/>
  <c r="O577" i="3"/>
  <c r="N577" i="3"/>
  <c r="M577" i="3"/>
  <c r="K577" i="3"/>
  <c r="J577" i="3"/>
  <c r="I577" i="3"/>
  <c r="H577" i="3"/>
  <c r="G577" i="3"/>
  <c r="F577" i="3"/>
  <c r="E577" i="3"/>
  <c r="D577" i="3"/>
  <c r="C577" i="3"/>
  <c r="B577" i="3"/>
  <c r="A577" i="3"/>
  <c r="Q576" i="3"/>
  <c r="P576" i="3"/>
  <c r="O576" i="3"/>
  <c r="N576" i="3"/>
  <c r="M576" i="3"/>
  <c r="K576" i="3"/>
  <c r="J576" i="3"/>
  <c r="I576" i="3"/>
  <c r="H576" i="3"/>
  <c r="G576" i="3"/>
  <c r="F576" i="3"/>
  <c r="E576" i="3"/>
  <c r="D576" i="3"/>
  <c r="C576" i="3"/>
  <c r="B576" i="3"/>
  <c r="A576" i="3"/>
  <c r="Q575" i="3"/>
  <c r="P575" i="3"/>
  <c r="O575" i="3"/>
  <c r="N575" i="3"/>
  <c r="M575" i="3"/>
  <c r="K575" i="3"/>
  <c r="J575" i="3"/>
  <c r="I575" i="3"/>
  <c r="H575" i="3"/>
  <c r="G575" i="3"/>
  <c r="F575" i="3"/>
  <c r="E575" i="3"/>
  <c r="D575" i="3"/>
  <c r="C575" i="3"/>
  <c r="B575" i="3"/>
  <c r="A575" i="3"/>
  <c r="Q574" i="3"/>
  <c r="P574" i="3"/>
  <c r="O574" i="3"/>
  <c r="N574" i="3"/>
  <c r="M574" i="3"/>
  <c r="K574" i="3"/>
  <c r="J574" i="3"/>
  <c r="I574" i="3"/>
  <c r="H574" i="3"/>
  <c r="G574" i="3"/>
  <c r="F574" i="3"/>
  <c r="E574" i="3"/>
  <c r="D574" i="3"/>
  <c r="C574" i="3"/>
  <c r="B574" i="3"/>
  <c r="A574" i="3"/>
  <c r="Q573" i="3"/>
  <c r="P573" i="3"/>
  <c r="O573" i="3"/>
  <c r="N573" i="3"/>
  <c r="M573" i="3"/>
  <c r="K573" i="3"/>
  <c r="J573" i="3"/>
  <c r="I573" i="3"/>
  <c r="H573" i="3"/>
  <c r="G573" i="3"/>
  <c r="F573" i="3"/>
  <c r="E573" i="3"/>
  <c r="D573" i="3"/>
  <c r="C573" i="3"/>
  <c r="B573" i="3"/>
  <c r="A573" i="3"/>
  <c r="Q572" i="3"/>
  <c r="P572" i="3"/>
  <c r="O572" i="3"/>
  <c r="N572" i="3"/>
  <c r="M572" i="3"/>
  <c r="K572" i="3"/>
  <c r="J572" i="3"/>
  <c r="I572" i="3"/>
  <c r="H572" i="3"/>
  <c r="G572" i="3"/>
  <c r="F572" i="3"/>
  <c r="E572" i="3"/>
  <c r="D572" i="3"/>
  <c r="C572" i="3"/>
  <c r="B572" i="3"/>
  <c r="A572" i="3"/>
  <c r="Q571" i="3"/>
  <c r="P571" i="3"/>
  <c r="O571" i="3"/>
  <c r="N571" i="3"/>
  <c r="M571" i="3"/>
  <c r="K571" i="3"/>
  <c r="J571" i="3"/>
  <c r="I571" i="3"/>
  <c r="H571" i="3"/>
  <c r="G571" i="3"/>
  <c r="F571" i="3"/>
  <c r="E571" i="3"/>
  <c r="D571" i="3"/>
  <c r="C571" i="3"/>
  <c r="B571" i="3"/>
  <c r="A571" i="3"/>
  <c r="Q570" i="3"/>
  <c r="P570" i="3"/>
  <c r="O570" i="3"/>
  <c r="N570" i="3"/>
  <c r="M570" i="3"/>
  <c r="K570" i="3"/>
  <c r="J570" i="3"/>
  <c r="I570" i="3"/>
  <c r="H570" i="3"/>
  <c r="G570" i="3"/>
  <c r="F570" i="3"/>
  <c r="E570" i="3"/>
  <c r="D570" i="3"/>
  <c r="C570" i="3"/>
  <c r="B570" i="3"/>
  <c r="A570" i="3"/>
  <c r="Q569" i="3"/>
  <c r="P569" i="3"/>
  <c r="O569" i="3"/>
  <c r="N569" i="3"/>
  <c r="M569" i="3"/>
  <c r="K569" i="3"/>
  <c r="J569" i="3"/>
  <c r="I569" i="3"/>
  <c r="H569" i="3"/>
  <c r="G569" i="3"/>
  <c r="F569" i="3"/>
  <c r="E569" i="3"/>
  <c r="D569" i="3"/>
  <c r="C569" i="3"/>
  <c r="B569" i="3"/>
  <c r="A569" i="3"/>
  <c r="Q568" i="3"/>
  <c r="P568" i="3"/>
  <c r="O568" i="3"/>
  <c r="N568" i="3"/>
  <c r="M568" i="3"/>
  <c r="K568" i="3"/>
  <c r="J568" i="3"/>
  <c r="I568" i="3"/>
  <c r="H568" i="3"/>
  <c r="G568" i="3"/>
  <c r="F568" i="3"/>
  <c r="E568" i="3"/>
  <c r="D568" i="3"/>
  <c r="C568" i="3"/>
  <c r="B568" i="3"/>
  <c r="A568" i="3"/>
  <c r="Q567" i="3"/>
  <c r="P567" i="3"/>
  <c r="O567" i="3"/>
  <c r="N567" i="3"/>
  <c r="M567" i="3"/>
  <c r="K567" i="3"/>
  <c r="J567" i="3"/>
  <c r="I567" i="3"/>
  <c r="H567" i="3"/>
  <c r="G567" i="3"/>
  <c r="F567" i="3"/>
  <c r="E567" i="3"/>
  <c r="D567" i="3"/>
  <c r="C567" i="3"/>
  <c r="B567" i="3"/>
  <c r="A567" i="3"/>
  <c r="Q566" i="3"/>
  <c r="P566" i="3"/>
  <c r="O566" i="3"/>
  <c r="N566" i="3"/>
  <c r="M566" i="3"/>
  <c r="K566" i="3"/>
  <c r="J566" i="3"/>
  <c r="I566" i="3"/>
  <c r="H566" i="3"/>
  <c r="G566" i="3"/>
  <c r="F566" i="3"/>
  <c r="E566" i="3"/>
  <c r="D566" i="3"/>
  <c r="C566" i="3"/>
  <c r="B566" i="3"/>
  <c r="A566" i="3"/>
  <c r="Q565" i="3"/>
  <c r="P565" i="3"/>
  <c r="O565" i="3"/>
  <c r="N565" i="3"/>
  <c r="M565" i="3"/>
  <c r="K565" i="3"/>
  <c r="J565" i="3"/>
  <c r="I565" i="3"/>
  <c r="H565" i="3"/>
  <c r="G565" i="3"/>
  <c r="F565" i="3"/>
  <c r="E565" i="3"/>
  <c r="D565" i="3"/>
  <c r="C565" i="3"/>
  <c r="B565" i="3"/>
  <c r="A565" i="3"/>
  <c r="Q564" i="3"/>
  <c r="P564" i="3"/>
  <c r="O564" i="3"/>
  <c r="N564" i="3"/>
  <c r="M564" i="3"/>
  <c r="K564" i="3"/>
  <c r="J564" i="3"/>
  <c r="I564" i="3"/>
  <c r="H564" i="3"/>
  <c r="G564" i="3"/>
  <c r="F564" i="3"/>
  <c r="E564" i="3"/>
  <c r="D564" i="3"/>
  <c r="C564" i="3"/>
  <c r="B564" i="3"/>
  <c r="A564" i="3"/>
  <c r="Q563" i="3"/>
  <c r="P563" i="3"/>
  <c r="O563" i="3"/>
  <c r="N563" i="3"/>
  <c r="M563" i="3"/>
  <c r="K563" i="3"/>
  <c r="J563" i="3"/>
  <c r="I563" i="3"/>
  <c r="H563" i="3"/>
  <c r="G563" i="3"/>
  <c r="F563" i="3"/>
  <c r="E563" i="3"/>
  <c r="D563" i="3"/>
  <c r="C563" i="3"/>
  <c r="B563" i="3"/>
  <c r="A563" i="3"/>
  <c r="Q562" i="3"/>
  <c r="P562" i="3"/>
  <c r="O562" i="3"/>
  <c r="N562" i="3"/>
  <c r="M562" i="3"/>
  <c r="K562" i="3"/>
  <c r="J562" i="3"/>
  <c r="I562" i="3"/>
  <c r="H562" i="3"/>
  <c r="G562" i="3"/>
  <c r="F562" i="3"/>
  <c r="E562" i="3"/>
  <c r="D562" i="3"/>
  <c r="C562" i="3"/>
  <c r="B562" i="3"/>
  <c r="A562" i="3"/>
  <c r="Q561" i="3"/>
  <c r="P561" i="3"/>
  <c r="O561" i="3"/>
  <c r="N561" i="3"/>
  <c r="M561" i="3"/>
  <c r="K561" i="3"/>
  <c r="J561" i="3"/>
  <c r="I561" i="3"/>
  <c r="H561" i="3"/>
  <c r="G561" i="3"/>
  <c r="F561" i="3"/>
  <c r="E561" i="3"/>
  <c r="D561" i="3"/>
  <c r="C561" i="3"/>
  <c r="B561" i="3"/>
  <c r="A561" i="3"/>
  <c r="Q560" i="3"/>
  <c r="P560" i="3"/>
  <c r="O560" i="3"/>
  <c r="N560" i="3"/>
  <c r="M560" i="3"/>
  <c r="K560" i="3"/>
  <c r="J560" i="3"/>
  <c r="I560" i="3"/>
  <c r="H560" i="3"/>
  <c r="G560" i="3"/>
  <c r="F560" i="3"/>
  <c r="E560" i="3"/>
  <c r="D560" i="3"/>
  <c r="C560" i="3"/>
  <c r="B560" i="3"/>
  <c r="A560" i="3"/>
  <c r="Q559" i="3"/>
  <c r="P559" i="3"/>
  <c r="O559" i="3"/>
  <c r="N559" i="3"/>
  <c r="M559" i="3"/>
  <c r="K559" i="3"/>
  <c r="J559" i="3"/>
  <c r="I559" i="3"/>
  <c r="H559" i="3"/>
  <c r="G559" i="3"/>
  <c r="F559" i="3"/>
  <c r="E559" i="3"/>
  <c r="D559" i="3"/>
  <c r="C559" i="3"/>
  <c r="B559" i="3"/>
  <c r="A559" i="3"/>
  <c r="Q558" i="3"/>
  <c r="P558" i="3"/>
  <c r="O558" i="3"/>
  <c r="N558" i="3"/>
  <c r="M558" i="3"/>
  <c r="K558" i="3"/>
  <c r="J558" i="3"/>
  <c r="I558" i="3"/>
  <c r="H558" i="3"/>
  <c r="G558" i="3"/>
  <c r="F558" i="3"/>
  <c r="E558" i="3"/>
  <c r="D558" i="3"/>
  <c r="C558" i="3"/>
  <c r="B558" i="3"/>
  <c r="A558" i="3"/>
  <c r="Q557" i="3"/>
  <c r="P557" i="3"/>
  <c r="O557" i="3"/>
  <c r="N557" i="3"/>
  <c r="M557" i="3"/>
  <c r="K557" i="3"/>
  <c r="J557" i="3"/>
  <c r="I557" i="3"/>
  <c r="H557" i="3"/>
  <c r="G557" i="3"/>
  <c r="F557" i="3"/>
  <c r="E557" i="3"/>
  <c r="D557" i="3"/>
  <c r="C557" i="3"/>
  <c r="B557" i="3"/>
  <c r="A557" i="3"/>
  <c r="Q556" i="3"/>
  <c r="P556" i="3"/>
  <c r="O556" i="3"/>
  <c r="N556" i="3"/>
  <c r="M556" i="3"/>
  <c r="K556" i="3"/>
  <c r="J556" i="3"/>
  <c r="I556" i="3"/>
  <c r="H556" i="3"/>
  <c r="G556" i="3"/>
  <c r="F556" i="3"/>
  <c r="E556" i="3"/>
  <c r="D556" i="3"/>
  <c r="C556" i="3"/>
  <c r="B556" i="3"/>
  <c r="A556" i="3"/>
  <c r="Q555" i="3"/>
  <c r="P555" i="3"/>
  <c r="O555" i="3"/>
  <c r="N555" i="3"/>
  <c r="M555" i="3"/>
  <c r="K555" i="3"/>
  <c r="J555" i="3"/>
  <c r="I555" i="3"/>
  <c r="H555" i="3"/>
  <c r="G555" i="3"/>
  <c r="F555" i="3"/>
  <c r="E555" i="3"/>
  <c r="D555" i="3"/>
  <c r="C555" i="3"/>
  <c r="B555" i="3"/>
  <c r="A555" i="3"/>
  <c r="Q554" i="3"/>
  <c r="P554" i="3"/>
  <c r="O554" i="3"/>
  <c r="N554" i="3"/>
  <c r="M554" i="3"/>
  <c r="K554" i="3"/>
  <c r="J554" i="3"/>
  <c r="I554" i="3"/>
  <c r="H554" i="3"/>
  <c r="G554" i="3"/>
  <c r="F554" i="3"/>
  <c r="E554" i="3"/>
  <c r="D554" i="3"/>
  <c r="C554" i="3"/>
  <c r="B554" i="3"/>
  <c r="A554" i="3"/>
  <c r="Q553" i="3"/>
  <c r="P553" i="3"/>
  <c r="O553" i="3"/>
  <c r="N553" i="3"/>
  <c r="M553" i="3"/>
  <c r="K553" i="3"/>
  <c r="J553" i="3"/>
  <c r="I553" i="3"/>
  <c r="H553" i="3"/>
  <c r="G553" i="3"/>
  <c r="F553" i="3"/>
  <c r="E553" i="3"/>
  <c r="D553" i="3"/>
  <c r="C553" i="3"/>
  <c r="B553" i="3"/>
  <c r="A553" i="3"/>
  <c r="Q552" i="3"/>
  <c r="P552" i="3"/>
  <c r="O552" i="3"/>
  <c r="N552" i="3"/>
  <c r="M552" i="3"/>
  <c r="K552" i="3"/>
  <c r="J552" i="3"/>
  <c r="I552" i="3"/>
  <c r="H552" i="3"/>
  <c r="G552" i="3"/>
  <c r="F552" i="3"/>
  <c r="E552" i="3"/>
  <c r="D552" i="3"/>
  <c r="C552" i="3"/>
  <c r="B552" i="3"/>
  <c r="A552" i="3"/>
  <c r="Q551" i="3"/>
  <c r="P551" i="3"/>
  <c r="O551" i="3"/>
  <c r="N551" i="3"/>
  <c r="M551" i="3"/>
  <c r="K551" i="3"/>
  <c r="J551" i="3"/>
  <c r="I551" i="3"/>
  <c r="H551" i="3"/>
  <c r="G551" i="3"/>
  <c r="F551" i="3"/>
  <c r="E551" i="3"/>
  <c r="D551" i="3"/>
  <c r="C551" i="3"/>
  <c r="B551" i="3"/>
  <c r="A551" i="3"/>
  <c r="Q550" i="3"/>
  <c r="P550" i="3"/>
  <c r="O550" i="3"/>
  <c r="N550" i="3"/>
  <c r="M550" i="3"/>
  <c r="K550" i="3"/>
  <c r="J550" i="3"/>
  <c r="I550" i="3"/>
  <c r="H550" i="3"/>
  <c r="F550" i="3"/>
  <c r="E550" i="3"/>
  <c r="D550" i="3"/>
  <c r="C550" i="3"/>
  <c r="B550" i="3"/>
  <c r="A550" i="3"/>
  <c r="Q549" i="3"/>
  <c r="P549" i="3"/>
  <c r="O549" i="3"/>
  <c r="N549" i="3"/>
  <c r="M549" i="3"/>
  <c r="K549" i="3"/>
  <c r="J549" i="3"/>
  <c r="I549" i="3"/>
  <c r="H549" i="3"/>
  <c r="G549" i="3"/>
  <c r="F549" i="3"/>
  <c r="E549" i="3"/>
  <c r="D549" i="3"/>
  <c r="C549" i="3"/>
  <c r="B549" i="3"/>
  <c r="A549" i="3"/>
  <c r="Q548" i="3"/>
  <c r="P548" i="3"/>
  <c r="O548" i="3"/>
  <c r="N548" i="3"/>
  <c r="M548" i="3"/>
  <c r="K548" i="3"/>
  <c r="J548" i="3"/>
  <c r="I548" i="3"/>
  <c r="H548" i="3"/>
  <c r="G548" i="3"/>
  <c r="F548" i="3"/>
  <c r="E548" i="3"/>
  <c r="D548" i="3"/>
  <c r="C548" i="3"/>
  <c r="B548" i="3"/>
  <c r="A548" i="3"/>
  <c r="Q547" i="3"/>
  <c r="P547" i="3"/>
  <c r="O547" i="3"/>
  <c r="N547" i="3"/>
  <c r="M547" i="3"/>
  <c r="K547" i="3"/>
  <c r="J547" i="3"/>
  <c r="I547" i="3"/>
  <c r="H547" i="3"/>
  <c r="G547" i="3"/>
  <c r="F547" i="3"/>
  <c r="E547" i="3"/>
  <c r="D547" i="3"/>
  <c r="C547" i="3"/>
  <c r="B547" i="3"/>
  <c r="A547" i="3"/>
  <c r="Q546" i="3"/>
  <c r="P546" i="3"/>
  <c r="O546" i="3"/>
  <c r="N546" i="3"/>
  <c r="M546" i="3"/>
  <c r="K546" i="3"/>
  <c r="J546" i="3"/>
  <c r="I546" i="3"/>
  <c r="H546" i="3"/>
  <c r="G546" i="3"/>
  <c r="F546" i="3"/>
  <c r="E546" i="3"/>
  <c r="D546" i="3"/>
  <c r="C546" i="3"/>
  <c r="B546" i="3"/>
  <c r="A546" i="3"/>
  <c r="Q545" i="3"/>
  <c r="P545" i="3"/>
  <c r="O545" i="3"/>
  <c r="N545" i="3"/>
  <c r="M545" i="3"/>
  <c r="K545" i="3"/>
  <c r="J545" i="3"/>
  <c r="I545" i="3"/>
  <c r="H545" i="3"/>
  <c r="G545" i="3"/>
  <c r="F545" i="3"/>
  <c r="E545" i="3"/>
  <c r="D545" i="3"/>
  <c r="C545" i="3"/>
  <c r="B545" i="3"/>
  <c r="A545" i="3"/>
  <c r="Q544" i="3"/>
  <c r="P544" i="3"/>
  <c r="O544" i="3"/>
  <c r="N544" i="3"/>
  <c r="M544" i="3"/>
  <c r="K544" i="3"/>
  <c r="J544" i="3"/>
  <c r="I544" i="3"/>
  <c r="H544" i="3"/>
  <c r="G544" i="3"/>
  <c r="F544" i="3"/>
  <c r="E544" i="3"/>
  <c r="D544" i="3"/>
  <c r="C544" i="3"/>
  <c r="B544" i="3"/>
  <c r="A544" i="3"/>
  <c r="Q543" i="3"/>
  <c r="P543" i="3"/>
  <c r="O543" i="3"/>
  <c r="N543" i="3"/>
  <c r="M543" i="3"/>
  <c r="K543" i="3"/>
  <c r="J543" i="3"/>
  <c r="I543" i="3"/>
  <c r="H543" i="3"/>
  <c r="F543" i="3"/>
  <c r="E543" i="3"/>
  <c r="D543" i="3"/>
  <c r="C543" i="3"/>
  <c r="B543" i="3"/>
  <c r="A543" i="3"/>
  <c r="Q542" i="3"/>
  <c r="P542" i="3"/>
  <c r="O542" i="3"/>
  <c r="N542" i="3"/>
  <c r="M542" i="3"/>
  <c r="K542" i="3"/>
  <c r="J542" i="3"/>
  <c r="I542" i="3"/>
  <c r="H542" i="3"/>
  <c r="G542" i="3"/>
  <c r="F542" i="3"/>
  <c r="E542" i="3"/>
  <c r="D542" i="3"/>
  <c r="C542" i="3"/>
  <c r="B542" i="3"/>
  <c r="A542" i="3"/>
  <c r="Q541" i="3"/>
  <c r="P541" i="3"/>
  <c r="O541" i="3"/>
  <c r="N541" i="3"/>
  <c r="M541" i="3"/>
  <c r="K541" i="3"/>
  <c r="J541" i="3"/>
  <c r="I541" i="3"/>
  <c r="H541" i="3"/>
  <c r="G541" i="3"/>
  <c r="F541" i="3"/>
  <c r="E541" i="3"/>
  <c r="D541" i="3"/>
  <c r="C541" i="3"/>
  <c r="B541" i="3"/>
  <c r="A541" i="3"/>
  <c r="Q540" i="3"/>
  <c r="P540" i="3"/>
  <c r="O540" i="3"/>
  <c r="N540" i="3"/>
  <c r="M540" i="3"/>
  <c r="K540" i="3"/>
  <c r="J540" i="3"/>
  <c r="I540" i="3"/>
  <c r="H540" i="3"/>
  <c r="G540" i="3"/>
  <c r="F540" i="3"/>
  <c r="E540" i="3"/>
  <c r="D540" i="3"/>
  <c r="C540" i="3"/>
  <c r="B540" i="3"/>
  <c r="A540" i="3"/>
  <c r="Q539" i="3"/>
  <c r="P539" i="3"/>
  <c r="O539" i="3"/>
  <c r="N539" i="3"/>
  <c r="M539" i="3"/>
  <c r="K539" i="3"/>
  <c r="J539" i="3"/>
  <c r="I539" i="3"/>
  <c r="H539" i="3"/>
  <c r="G539" i="3"/>
  <c r="F539" i="3"/>
  <c r="E539" i="3"/>
  <c r="D539" i="3"/>
  <c r="C539" i="3"/>
  <c r="B539" i="3"/>
  <c r="A539" i="3"/>
  <c r="Q538" i="3"/>
  <c r="P538" i="3"/>
  <c r="N538" i="3"/>
  <c r="M538" i="3"/>
  <c r="K538" i="3"/>
  <c r="J538" i="3"/>
  <c r="I538" i="3"/>
  <c r="H538" i="3"/>
  <c r="G538" i="3"/>
  <c r="F538" i="3"/>
  <c r="E538" i="3"/>
  <c r="D538" i="3"/>
  <c r="C538" i="3"/>
  <c r="B538" i="3"/>
  <c r="A538" i="3"/>
  <c r="Q537" i="3"/>
  <c r="P537" i="3"/>
  <c r="N537" i="3"/>
  <c r="M537" i="3"/>
  <c r="K537" i="3"/>
  <c r="J537" i="3"/>
  <c r="I537" i="3"/>
  <c r="H537" i="3"/>
  <c r="G537" i="3"/>
  <c r="F537" i="3"/>
  <c r="E537" i="3"/>
  <c r="D537" i="3"/>
  <c r="C537" i="3"/>
  <c r="B537" i="3"/>
  <c r="A537" i="3"/>
  <c r="Q536" i="3"/>
  <c r="P536" i="3"/>
  <c r="O536" i="3"/>
  <c r="N536" i="3"/>
  <c r="M536" i="3"/>
  <c r="K536" i="3"/>
  <c r="J536" i="3"/>
  <c r="I536" i="3"/>
  <c r="H536" i="3"/>
  <c r="G536" i="3"/>
  <c r="F536" i="3"/>
  <c r="E536" i="3"/>
  <c r="D536" i="3"/>
  <c r="C536" i="3"/>
  <c r="B536" i="3"/>
  <c r="A536" i="3"/>
  <c r="Q535" i="3"/>
  <c r="P535" i="3"/>
  <c r="N535" i="3"/>
  <c r="M535" i="3"/>
  <c r="K535" i="3"/>
  <c r="J535" i="3"/>
  <c r="I535" i="3"/>
  <c r="H535" i="3"/>
  <c r="G535" i="3"/>
  <c r="F535" i="3"/>
  <c r="E535" i="3"/>
  <c r="D535" i="3"/>
  <c r="C535" i="3"/>
  <c r="B535" i="3"/>
  <c r="A535" i="3"/>
  <c r="Q534" i="3"/>
  <c r="P534" i="3"/>
  <c r="O534" i="3"/>
  <c r="N534" i="3"/>
  <c r="M534" i="3"/>
  <c r="K534" i="3"/>
  <c r="J534" i="3"/>
  <c r="I534" i="3"/>
  <c r="H534" i="3"/>
  <c r="G534" i="3"/>
  <c r="F534" i="3"/>
  <c r="E534" i="3"/>
  <c r="D534" i="3"/>
  <c r="C534" i="3"/>
  <c r="B534" i="3"/>
  <c r="A534" i="3"/>
  <c r="Q533" i="3"/>
  <c r="P533" i="3"/>
  <c r="O533" i="3"/>
  <c r="N533" i="3"/>
  <c r="M533" i="3"/>
  <c r="K533" i="3"/>
  <c r="J533" i="3"/>
  <c r="I533" i="3"/>
  <c r="H533" i="3"/>
  <c r="G533" i="3"/>
  <c r="F533" i="3"/>
  <c r="E533" i="3"/>
  <c r="D533" i="3"/>
  <c r="C533" i="3"/>
  <c r="B533" i="3"/>
  <c r="A533" i="3"/>
  <c r="Q532" i="3"/>
  <c r="P532" i="3"/>
  <c r="O532" i="3"/>
  <c r="N532" i="3"/>
  <c r="M532" i="3"/>
  <c r="K532" i="3"/>
  <c r="J532" i="3"/>
  <c r="I532" i="3"/>
  <c r="H532" i="3"/>
  <c r="G532" i="3"/>
  <c r="F532" i="3"/>
  <c r="E532" i="3"/>
  <c r="D532" i="3"/>
  <c r="C532" i="3"/>
  <c r="B532" i="3"/>
  <c r="A532" i="3"/>
  <c r="Q531" i="3"/>
  <c r="P531" i="3"/>
  <c r="O531" i="3"/>
  <c r="N531" i="3"/>
  <c r="M531" i="3"/>
  <c r="K531" i="3"/>
  <c r="J531" i="3"/>
  <c r="I531" i="3"/>
  <c r="H531" i="3"/>
  <c r="G531" i="3"/>
  <c r="F531" i="3"/>
  <c r="E531" i="3"/>
  <c r="D531" i="3"/>
  <c r="C531" i="3"/>
  <c r="B531" i="3"/>
  <c r="A531" i="3"/>
  <c r="Q530" i="3"/>
  <c r="P530" i="3"/>
  <c r="O530" i="3"/>
  <c r="N530" i="3"/>
  <c r="M530" i="3"/>
  <c r="K530" i="3"/>
  <c r="J530" i="3"/>
  <c r="I530" i="3"/>
  <c r="H530" i="3"/>
  <c r="G530" i="3"/>
  <c r="F530" i="3"/>
  <c r="E530" i="3"/>
  <c r="D530" i="3"/>
  <c r="C530" i="3"/>
  <c r="B530" i="3"/>
  <c r="A530" i="3"/>
  <c r="Q529" i="3"/>
  <c r="P529" i="3"/>
  <c r="O529" i="3"/>
  <c r="N529" i="3"/>
  <c r="M529" i="3"/>
  <c r="K529" i="3"/>
  <c r="J529" i="3"/>
  <c r="I529" i="3"/>
  <c r="H529" i="3"/>
  <c r="G529" i="3"/>
  <c r="F529" i="3"/>
  <c r="E529" i="3"/>
  <c r="D529" i="3"/>
  <c r="C529" i="3"/>
  <c r="B529" i="3"/>
  <c r="A529" i="3"/>
  <c r="Q528" i="3"/>
  <c r="P528" i="3"/>
  <c r="O528" i="3"/>
  <c r="N528" i="3"/>
  <c r="M528" i="3"/>
  <c r="K528" i="3"/>
  <c r="J528" i="3"/>
  <c r="I528" i="3"/>
  <c r="H528" i="3"/>
  <c r="G528" i="3"/>
  <c r="F528" i="3"/>
  <c r="E528" i="3"/>
  <c r="D528" i="3"/>
  <c r="C528" i="3"/>
  <c r="B528" i="3"/>
  <c r="A528" i="3"/>
  <c r="Q527" i="3"/>
  <c r="P527" i="3"/>
  <c r="N527" i="3"/>
  <c r="M527" i="3"/>
  <c r="K527" i="3"/>
  <c r="J527" i="3"/>
  <c r="I527" i="3"/>
  <c r="H527" i="3"/>
  <c r="G527" i="3"/>
  <c r="F527" i="3"/>
  <c r="E527" i="3"/>
  <c r="D527" i="3"/>
  <c r="C527" i="3"/>
  <c r="B527" i="3"/>
  <c r="A527" i="3"/>
  <c r="Q526" i="3"/>
  <c r="P526" i="3"/>
  <c r="O526" i="3"/>
  <c r="N526" i="3"/>
  <c r="M526" i="3"/>
  <c r="K526" i="3"/>
  <c r="J526" i="3"/>
  <c r="I526" i="3"/>
  <c r="H526" i="3"/>
  <c r="G526" i="3"/>
  <c r="F526" i="3"/>
  <c r="E526" i="3"/>
  <c r="D526" i="3"/>
  <c r="C526" i="3"/>
  <c r="B526" i="3"/>
  <c r="A526" i="3"/>
  <c r="Q525" i="3"/>
  <c r="P525" i="3"/>
  <c r="O525" i="3"/>
  <c r="N525" i="3"/>
  <c r="M525" i="3"/>
  <c r="K525" i="3"/>
  <c r="J525" i="3"/>
  <c r="I525" i="3"/>
  <c r="H525" i="3"/>
  <c r="G525" i="3"/>
  <c r="F525" i="3"/>
  <c r="E525" i="3"/>
  <c r="D525" i="3"/>
  <c r="C525" i="3"/>
  <c r="B525" i="3"/>
  <c r="A525" i="3"/>
  <c r="Q524" i="3"/>
  <c r="P524" i="3"/>
  <c r="N524" i="3"/>
  <c r="M524" i="3"/>
  <c r="K524" i="3"/>
  <c r="J524" i="3"/>
  <c r="I524" i="3"/>
  <c r="H524" i="3"/>
  <c r="G524" i="3"/>
  <c r="F524" i="3"/>
  <c r="E524" i="3"/>
  <c r="D524" i="3"/>
  <c r="C524" i="3"/>
  <c r="B524" i="3"/>
  <c r="A524" i="3"/>
  <c r="Q523" i="3"/>
  <c r="P523" i="3"/>
  <c r="N523" i="3"/>
  <c r="M523" i="3"/>
  <c r="K523" i="3"/>
  <c r="J523" i="3"/>
  <c r="I523" i="3"/>
  <c r="H523" i="3"/>
  <c r="G523" i="3"/>
  <c r="F523" i="3"/>
  <c r="E523" i="3"/>
  <c r="D523" i="3"/>
  <c r="C523" i="3"/>
  <c r="B523" i="3"/>
  <c r="A523" i="3"/>
  <c r="Q522" i="3"/>
  <c r="P522" i="3"/>
  <c r="O522" i="3"/>
  <c r="N522" i="3"/>
  <c r="M522" i="3"/>
  <c r="K522" i="3"/>
  <c r="J522" i="3"/>
  <c r="I522" i="3"/>
  <c r="H522" i="3"/>
  <c r="G522" i="3"/>
  <c r="F522" i="3"/>
  <c r="E522" i="3"/>
  <c r="D522" i="3"/>
  <c r="C522" i="3"/>
  <c r="B522" i="3"/>
  <c r="A522" i="3"/>
  <c r="Q521" i="3"/>
  <c r="P521" i="3"/>
  <c r="O521" i="3"/>
  <c r="N521" i="3"/>
  <c r="M521" i="3"/>
  <c r="K521" i="3"/>
  <c r="J521" i="3"/>
  <c r="I521" i="3"/>
  <c r="H521" i="3"/>
  <c r="G521" i="3"/>
  <c r="F521" i="3"/>
  <c r="E521" i="3"/>
  <c r="D521" i="3"/>
  <c r="C521" i="3"/>
  <c r="B521" i="3"/>
  <c r="A521" i="3"/>
  <c r="Q520" i="3"/>
  <c r="P520" i="3"/>
  <c r="O520" i="3"/>
  <c r="N520" i="3"/>
  <c r="M520" i="3"/>
  <c r="K520" i="3"/>
  <c r="J520" i="3"/>
  <c r="I520" i="3"/>
  <c r="H520" i="3"/>
  <c r="G520" i="3"/>
  <c r="F520" i="3"/>
  <c r="E520" i="3"/>
  <c r="D520" i="3"/>
  <c r="C520" i="3"/>
  <c r="B520" i="3"/>
  <c r="A520" i="3"/>
  <c r="Q519" i="3"/>
  <c r="P519" i="3"/>
  <c r="O519" i="3"/>
  <c r="N519" i="3"/>
  <c r="M519" i="3"/>
  <c r="K519" i="3"/>
  <c r="J519" i="3"/>
  <c r="I519" i="3"/>
  <c r="H519" i="3"/>
  <c r="G519" i="3"/>
  <c r="F519" i="3"/>
  <c r="E519" i="3"/>
  <c r="D519" i="3"/>
  <c r="C519" i="3"/>
  <c r="B519" i="3"/>
  <c r="A519" i="3"/>
  <c r="Q518" i="3"/>
  <c r="P518" i="3"/>
  <c r="O518" i="3"/>
  <c r="N518" i="3"/>
  <c r="M518" i="3"/>
  <c r="K518" i="3"/>
  <c r="J518" i="3"/>
  <c r="I518" i="3"/>
  <c r="H518" i="3"/>
  <c r="G518" i="3"/>
  <c r="F518" i="3"/>
  <c r="E518" i="3"/>
  <c r="D518" i="3"/>
  <c r="C518" i="3"/>
  <c r="B518" i="3"/>
  <c r="A518" i="3"/>
  <c r="Q517" i="3"/>
  <c r="P517" i="3"/>
  <c r="O517" i="3"/>
  <c r="N517" i="3"/>
  <c r="M517" i="3"/>
  <c r="K517" i="3"/>
  <c r="J517" i="3"/>
  <c r="I517" i="3"/>
  <c r="H517" i="3"/>
  <c r="G517" i="3"/>
  <c r="F517" i="3"/>
  <c r="E517" i="3"/>
  <c r="D517" i="3"/>
  <c r="C517" i="3"/>
  <c r="B517" i="3"/>
  <c r="A517" i="3"/>
  <c r="Q516" i="3"/>
  <c r="P516" i="3"/>
  <c r="O516" i="3"/>
  <c r="N516" i="3"/>
  <c r="M516" i="3"/>
  <c r="K516" i="3"/>
  <c r="J516" i="3"/>
  <c r="I516" i="3"/>
  <c r="H516" i="3"/>
  <c r="G516" i="3"/>
  <c r="F516" i="3"/>
  <c r="E516" i="3"/>
  <c r="D516" i="3"/>
  <c r="C516" i="3"/>
  <c r="B516" i="3"/>
  <c r="A516" i="3"/>
  <c r="Q515" i="3"/>
  <c r="P515" i="3"/>
  <c r="O515" i="3"/>
  <c r="N515" i="3"/>
  <c r="M515" i="3"/>
  <c r="K515" i="3"/>
  <c r="J515" i="3"/>
  <c r="I515" i="3"/>
  <c r="H515" i="3"/>
  <c r="G515" i="3"/>
  <c r="F515" i="3"/>
  <c r="E515" i="3"/>
  <c r="D515" i="3"/>
  <c r="C515" i="3"/>
  <c r="B515" i="3"/>
  <c r="A515" i="3"/>
  <c r="Q514" i="3"/>
  <c r="P514" i="3"/>
  <c r="O514" i="3"/>
  <c r="N514" i="3"/>
  <c r="M514" i="3"/>
  <c r="K514" i="3"/>
  <c r="J514" i="3"/>
  <c r="I514" i="3"/>
  <c r="H514" i="3"/>
  <c r="G514" i="3"/>
  <c r="F514" i="3"/>
  <c r="E514" i="3"/>
  <c r="D514" i="3"/>
  <c r="C514" i="3"/>
  <c r="B514" i="3"/>
  <c r="A514" i="3"/>
  <c r="Q513" i="3"/>
  <c r="P513" i="3"/>
  <c r="O513" i="3"/>
  <c r="N513" i="3"/>
  <c r="M513" i="3"/>
  <c r="K513" i="3"/>
  <c r="J513" i="3"/>
  <c r="I513" i="3"/>
  <c r="H513" i="3"/>
  <c r="G513" i="3"/>
  <c r="F513" i="3"/>
  <c r="E513" i="3"/>
  <c r="D513" i="3"/>
  <c r="C513" i="3"/>
  <c r="B513" i="3"/>
  <c r="A513" i="3"/>
  <c r="Q512" i="3"/>
  <c r="P512" i="3"/>
  <c r="N512" i="3"/>
  <c r="M512" i="3"/>
  <c r="K512" i="3"/>
  <c r="J512" i="3"/>
  <c r="I512" i="3"/>
  <c r="H512" i="3"/>
  <c r="G512" i="3"/>
  <c r="F512" i="3"/>
  <c r="E512" i="3"/>
  <c r="D512" i="3"/>
  <c r="C512" i="3"/>
  <c r="B512" i="3"/>
  <c r="A512" i="3"/>
  <c r="Q511" i="3"/>
  <c r="P511" i="3"/>
  <c r="O511" i="3"/>
  <c r="N511" i="3"/>
  <c r="M511" i="3"/>
  <c r="K511" i="3"/>
  <c r="J511" i="3"/>
  <c r="I511" i="3"/>
  <c r="H511" i="3"/>
  <c r="G511" i="3"/>
  <c r="F511" i="3"/>
  <c r="E511" i="3"/>
  <c r="D511" i="3"/>
  <c r="C511" i="3"/>
  <c r="B511" i="3"/>
  <c r="A511" i="3"/>
  <c r="Q510" i="3"/>
  <c r="P510" i="3"/>
  <c r="O510" i="3"/>
  <c r="N510" i="3"/>
  <c r="M510" i="3"/>
  <c r="K510" i="3"/>
  <c r="J510" i="3"/>
  <c r="I510" i="3"/>
  <c r="H510" i="3"/>
  <c r="G510" i="3"/>
  <c r="F510" i="3"/>
  <c r="E510" i="3"/>
  <c r="D510" i="3"/>
  <c r="C510" i="3"/>
  <c r="B510" i="3"/>
  <c r="A510" i="3"/>
  <c r="Q509" i="3"/>
  <c r="P509" i="3"/>
  <c r="O509" i="3"/>
  <c r="N509" i="3"/>
  <c r="M509" i="3"/>
  <c r="K509" i="3"/>
  <c r="J509" i="3"/>
  <c r="I509" i="3"/>
  <c r="H509" i="3"/>
  <c r="G509" i="3"/>
  <c r="F509" i="3"/>
  <c r="E509" i="3"/>
  <c r="D509" i="3"/>
  <c r="C509" i="3"/>
  <c r="B509" i="3"/>
  <c r="A509" i="3"/>
  <c r="Q508" i="3"/>
  <c r="P508" i="3"/>
  <c r="O508" i="3"/>
  <c r="N508" i="3"/>
  <c r="M508" i="3"/>
  <c r="K508" i="3"/>
  <c r="J508" i="3"/>
  <c r="I508" i="3"/>
  <c r="H508" i="3"/>
  <c r="G508" i="3"/>
  <c r="F508" i="3"/>
  <c r="E508" i="3"/>
  <c r="D508" i="3"/>
  <c r="C508" i="3"/>
  <c r="B508" i="3"/>
  <c r="A508" i="3"/>
  <c r="Q507" i="3"/>
  <c r="P507" i="3"/>
  <c r="O507" i="3"/>
  <c r="N507" i="3"/>
  <c r="M507" i="3"/>
  <c r="K507" i="3"/>
  <c r="J507" i="3"/>
  <c r="I507" i="3"/>
  <c r="H507" i="3"/>
  <c r="G507" i="3"/>
  <c r="F507" i="3"/>
  <c r="E507" i="3"/>
  <c r="D507" i="3"/>
  <c r="C507" i="3"/>
  <c r="B507" i="3"/>
  <c r="A507" i="3"/>
  <c r="Q506" i="3"/>
  <c r="P506" i="3"/>
  <c r="N506" i="3"/>
  <c r="M506" i="3"/>
  <c r="K506" i="3"/>
  <c r="J506" i="3"/>
  <c r="I506" i="3"/>
  <c r="H506" i="3"/>
  <c r="G506" i="3"/>
  <c r="F506" i="3"/>
  <c r="E506" i="3"/>
  <c r="D506" i="3"/>
  <c r="C506" i="3"/>
  <c r="B506" i="3"/>
  <c r="A506" i="3"/>
  <c r="Q505" i="3"/>
  <c r="P505" i="3"/>
  <c r="N505" i="3"/>
  <c r="M505" i="3"/>
  <c r="K505" i="3"/>
  <c r="J505" i="3"/>
  <c r="I505" i="3"/>
  <c r="H505" i="3"/>
  <c r="G505" i="3"/>
  <c r="F505" i="3"/>
  <c r="E505" i="3"/>
  <c r="D505" i="3"/>
  <c r="C505" i="3"/>
  <c r="B505" i="3"/>
  <c r="A505" i="3"/>
  <c r="Q504" i="3"/>
  <c r="P504" i="3"/>
  <c r="O504" i="3"/>
  <c r="N504" i="3"/>
  <c r="M504" i="3"/>
  <c r="K504" i="3"/>
  <c r="J504" i="3"/>
  <c r="I504" i="3"/>
  <c r="H504" i="3"/>
  <c r="G504" i="3"/>
  <c r="F504" i="3"/>
  <c r="E504" i="3"/>
  <c r="D504" i="3"/>
  <c r="C504" i="3"/>
  <c r="B504" i="3"/>
  <c r="A504" i="3"/>
  <c r="Q503" i="3"/>
  <c r="P503" i="3"/>
  <c r="N503" i="3"/>
  <c r="M503" i="3"/>
  <c r="K503" i="3"/>
  <c r="J503" i="3"/>
  <c r="I503" i="3"/>
  <c r="H503" i="3"/>
  <c r="G503" i="3"/>
  <c r="F503" i="3"/>
  <c r="E503" i="3"/>
  <c r="D503" i="3"/>
  <c r="C503" i="3"/>
  <c r="B503" i="3"/>
  <c r="A503" i="3"/>
  <c r="Q502" i="3"/>
  <c r="P502" i="3"/>
  <c r="N502" i="3"/>
  <c r="M502" i="3"/>
  <c r="K502" i="3"/>
  <c r="J502" i="3"/>
  <c r="I502" i="3"/>
  <c r="H502" i="3"/>
  <c r="G502" i="3"/>
  <c r="F502" i="3"/>
  <c r="E502" i="3"/>
  <c r="D502" i="3"/>
  <c r="C502" i="3"/>
  <c r="B502" i="3"/>
  <c r="A502" i="3"/>
  <c r="Q501" i="3"/>
  <c r="P501" i="3"/>
  <c r="N501" i="3"/>
  <c r="M501" i="3"/>
  <c r="K501" i="3"/>
  <c r="J501" i="3"/>
  <c r="I501" i="3"/>
  <c r="H501" i="3"/>
  <c r="G501" i="3"/>
  <c r="F501" i="3"/>
  <c r="E501" i="3"/>
  <c r="D501" i="3"/>
  <c r="C501" i="3"/>
  <c r="B501" i="3"/>
  <c r="A501" i="3"/>
  <c r="Q500" i="3"/>
  <c r="P500" i="3"/>
  <c r="N500" i="3"/>
  <c r="M500" i="3"/>
  <c r="K500" i="3"/>
  <c r="J500" i="3"/>
  <c r="I500" i="3"/>
  <c r="H500" i="3"/>
  <c r="G500" i="3"/>
  <c r="F500" i="3"/>
  <c r="E500" i="3"/>
  <c r="D500" i="3"/>
  <c r="C500" i="3"/>
  <c r="B500" i="3"/>
  <c r="A500" i="3"/>
  <c r="Q499" i="3"/>
  <c r="P499" i="3"/>
  <c r="N499" i="3"/>
  <c r="M499" i="3"/>
  <c r="K499" i="3"/>
  <c r="J499" i="3"/>
  <c r="I499" i="3"/>
  <c r="H499" i="3"/>
  <c r="G499" i="3"/>
  <c r="F499" i="3"/>
  <c r="E499" i="3"/>
  <c r="D499" i="3"/>
  <c r="C499" i="3"/>
  <c r="B499" i="3"/>
  <c r="A499" i="3"/>
  <c r="Q498" i="3"/>
  <c r="P498" i="3"/>
  <c r="O498" i="3"/>
  <c r="N498" i="3"/>
  <c r="M498" i="3"/>
  <c r="K498" i="3"/>
  <c r="J498" i="3"/>
  <c r="I498" i="3"/>
  <c r="H498" i="3"/>
  <c r="G498" i="3"/>
  <c r="F498" i="3"/>
  <c r="E498" i="3"/>
  <c r="D498" i="3"/>
  <c r="C498" i="3"/>
  <c r="B498" i="3"/>
  <c r="A498" i="3"/>
  <c r="Q497" i="3"/>
  <c r="P497" i="3"/>
  <c r="O497" i="3"/>
  <c r="N497" i="3"/>
  <c r="M497" i="3"/>
  <c r="K497" i="3"/>
  <c r="J497" i="3"/>
  <c r="I497" i="3"/>
  <c r="H497" i="3"/>
  <c r="G497" i="3"/>
  <c r="F497" i="3"/>
  <c r="E497" i="3"/>
  <c r="D497" i="3"/>
  <c r="C497" i="3"/>
  <c r="B497" i="3"/>
  <c r="A497" i="3"/>
  <c r="Q496" i="3"/>
  <c r="P496" i="3"/>
  <c r="O496" i="3"/>
  <c r="N496" i="3"/>
  <c r="M496" i="3"/>
  <c r="K496" i="3"/>
  <c r="J496" i="3"/>
  <c r="I496" i="3"/>
  <c r="H496" i="3"/>
  <c r="G496" i="3"/>
  <c r="F496" i="3"/>
  <c r="E496" i="3"/>
  <c r="D496" i="3"/>
  <c r="C496" i="3"/>
  <c r="B496" i="3"/>
  <c r="A496" i="3"/>
  <c r="Q495" i="3"/>
  <c r="P495" i="3"/>
  <c r="O495" i="3"/>
  <c r="N495" i="3"/>
  <c r="M495" i="3"/>
  <c r="K495" i="3"/>
  <c r="J495" i="3"/>
  <c r="I495" i="3"/>
  <c r="H495" i="3"/>
  <c r="G495" i="3"/>
  <c r="F495" i="3"/>
  <c r="E495" i="3"/>
  <c r="D495" i="3"/>
  <c r="C495" i="3"/>
  <c r="B495" i="3"/>
  <c r="A495" i="3"/>
  <c r="Q494" i="3"/>
  <c r="P494" i="3"/>
  <c r="O494" i="3"/>
  <c r="N494" i="3"/>
  <c r="M494" i="3"/>
  <c r="K494" i="3"/>
  <c r="J494" i="3"/>
  <c r="I494" i="3"/>
  <c r="H494" i="3"/>
  <c r="G494" i="3"/>
  <c r="F494" i="3"/>
  <c r="E494" i="3"/>
  <c r="D494" i="3"/>
  <c r="C494" i="3"/>
  <c r="B494" i="3"/>
  <c r="A494" i="3"/>
  <c r="Q493" i="3"/>
  <c r="P493" i="3"/>
  <c r="O493" i="3"/>
  <c r="N493" i="3"/>
  <c r="M493" i="3"/>
  <c r="K493" i="3"/>
  <c r="J493" i="3"/>
  <c r="I493" i="3"/>
  <c r="H493" i="3"/>
  <c r="G493" i="3"/>
  <c r="F493" i="3"/>
  <c r="E493" i="3"/>
  <c r="D493" i="3"/>
  <c r="C493" i="3"/>
  <c r="B493" i="3"/>
  <c r="A493" i="3"/>
  <c r="Q492" i="3"/>
  <c r="P492" i="3"/>
  <c r="O492" i="3"/>
  <c r="N492" i="3"/>
  <c r="M492" i="3"/>
  <c r="K492" i="3"/>
  <c r="J492" i="3"/>
  <c r="I492" i="3"/>
  <c r="H492" i="3"/>
  <c r="G492" i="3"/>
  <c r="F492" i="3"/>
  <c r="E492" i="3"/>
  <c r="D492" i="3"/>
  <c r="C492" i="3"/>
  <c r="B492" i="3"/>
  <c r="A492" i="3"/>
  <c r="Q491" i="3"/>
  <c r="P491" i="3"/>
  <c r="O491" i="3"/>
  <c r="N491" i="3"/>
  <c r="M491" i="3"/>
  <c r="K491" i="3"/>
  <c r="J491" i="3"/>
  <c r="I491" i="3"/>
  <c r="H491" i="3"/>
  <c r="G491" i="3"/>
  <c r="F491" i="3"/>
  <c r="E491" i="3"/>
  <c r="D491" i="3"/>
  <c r="C491" i="3"/>
  <c r="B491" i="3"/>
  <c r="A491" i="3"/>
  <c r="Q490" i="3"/>
  <c r="P490" i="3"/>
  <c r="O490" i="3"/>
  <c r="N490" i="3"/>
  <c r="M490" i="3"/>
  <c r="K490" i="3"/>
  <c r="J490" i="3"/>
  <c r="I490" i="3"/>
  <c r="H490" i="3"/>
  <c r="G490" i="3"/>
  <c r="F490" i="3"/>
  <c r="E490" i="3"/>
  <c r="D490" i="3"/>
  <c r="C490" i="3"/>
  <c r="B490" i="3"/>
  <c r="A490" i="3"/>
  <c r="Q489" i="3"/>
  <c r="P489" i="3"/>
  <c r="O489" i="3"/>
  <c r="N489" i="3"/>
  <c r="M489" i="3"/>
  <c r="K489" i="3"/>
  <c r="J489" i="3"/>
  <c r="I489" i="3"/>
  <c r="H489" i="3"/>
  <c r="G489" i="3"/>
  <c r="F489" i="3"/>
  <c r="E489" i="3"/>
  <c r="D489" i="3"/>
  <c r="C489" i="3"/>
  <c r="B489" i="3"/>
  <c r="A489" i="3"/>
  <c r="Q488" i="3"/>
  <c r="P488" i="3"/>
  <c r="O488" i="3"/>
  <c r="N488" i="3"/>
  <c r="M488" i="3"/>
  <c r="K488" i="3"/>
  <c r="J488" i="3"/>
  <c r="I488" i="3"/>
  <c r="H488" i="3"/>
  <c r="G488" i="3"/>
  <c r="F488" i="3"/>
  <c r="E488" i="3"/>
  <c r="D488" i="3"/>
  <c r="C488" i="3"/>
  <c r="B488" i="3"/>
  <c r="A488" i="3"/>
  <c r="Q487" i="3"/>
  <c r="P487" i="3"/>
  <c r="O487" i="3"/>
  <c r="N487" i="3"/>
  <c r="M487" i="3"/>
  <c r="K487" i="3"/>
  <c r="J487" i="3"/>
  <c r="I487" i="3"/>
  <c r="H487" i="3"/>
  <c r="G487" i="3"/>
  <c r="F487" i="3"/>
  <c r="E487" i="3"/>
  <c r="D487" i="3"/>
  <c r="C487" i="3"/>
  <c r="B487" i="3"/>
  <c r="A487" i="3"/>
  <c r="Q486" i="3"/>
  <c r="P486" i="3"/>
  <c r="O486" i="3"/>
  <c r="N486" i="3"/>
  <c r="M486" i="3"/>
  <c r="K486" i="3"/>
  <c r="J486" i="3"/>
  <c r="I486" i="3"/>
  <c r="H486" i="3"/>
  <c r="G486" i="3"/>
  <c r="F486" i="3"/>
  <c r="E486" i="3"/>
  <c r="D486" i="3"/>
  <c r="C486" i="3"/>
  <c r="B486" i="3"/>
  <c r="A486" i="3"/>
  <c r="Q485" i="3"/>
  <c r="P485" i="3"/>
  <c r="O485" i="3"/>
  <c r="N485" i="3"/>
  <c r="M485" i="3"/>
  <c r="K485" i="3"/>
  <c r="J485" i="3"/>
  <c r="I485" i="3"/>
  <c r="H485" i="3"/>
  <c r="G485" i="3"/>
  <c r="F485" i="3"/>
  <c r="E485" i="3"/>
  <c r="D485" i="3"/>
  <c r="C485" i="3"/>
  <c r="B485" i="3"/>
  <c r="A485" i="3"/>
  <c r="Q484" i="3"/>
  <c r="P484" i="3"/>
  <c r="O484" i="3"/>
  <c r="N484" i="3"/>
  <c r="M484" i="3"/>
  <c r="K484" i="3"/>
  <c r="J484" i="3"/>
  <c r="I484" i="3"/>
  <c r="H484" i="3"/>
  <c r="G484" i="3"/>
  <c r="F484" i="3"/>
  <c r="E484" i="3"/>
  <c r="D484" i="3"/>
  <c r="C484" i="3"/>
  <c r="B484" i="3"/>
  <c r="A484" i="3"/>
  <c r="Q483" i="3"/>
  <c r="P483" i="3"/>
  <c r="N483" i="3"/>
  <c r="M483" i="3"/>
  <c r="K483" i="3"/>
  <c r="J483" i="3"/>
  <c r="I483" i="3"/>
  <c r="H483" i="3"/>
  <c r="G483" i="3"/>
  <c r="F483" i="3"/>
  <c r="E483" i="3"/>
  <c r="D483" i="3"/>
  <c r="C483" i="3"/>
  <c r="B483" i="3"/>
  <c r="A483" i="3"/>
  <c r="Q482" i="3"/>
  <c r="P482" i="3"/>
  <c r="O482" i="3"/>
  <c r="N482" i="3"/>
  <c r="M482" i="3"/>
  <c r="K482" i="3"/>
  <c r="J482" i="3"/>
  <c r="I482" i="3"/>
  <c r="H482" i="3"/>
  <c r="G482" i="3"/>
  <c r="F482" i="3"/>
  <c r="E482" i="3"/>
  <c r="D482" i="3"/>
  <c r="C482" i="3"/>
  <c r="B482" i="3"/>
  <c r="A482" i="3"/>
  <c r="Q481" i="3"/>
  <c r="P481" i="3"/>
  <c r="N481" i="3"/>
  <c r="M481" i="3"/>
  <c r="K481" i="3"/>
  <c r="J481" i="3"/>
  <c r="I481" i="3"/>
  <c r="H481" i="3"/>
  <c r="G481" i="3"/>
  <c r="F481" i="3"/>
  <c r="E481" i="3"/>
  <c r="D481" i="3"/>
  <c r="C481" i="3"/>
  <c r="B481" i="3"/>
  <c r="A481" i="3"/>
  <c r="Q480" i="3"/>
  <c r="P480" i="3"/>
  <c r="O480" i="3"/>
  <c r="N480" i="3"/>
  <c r="M480" i="3"/>
  <c r="K480" i="3"/>
  <c r="I480" i="3"/>
  <c r="H480" i="3"/>
  <c r="G480" i="3"/>
  <c r="F480" i="3"/>
  <c r="E480" i="3"/>
  <c r="D480" i="3"/>
  <c r="C480" i="3"/>
  <c r="B480" i="3"/>
  <c r="A480" i="3"/>
  <c r="Q479" i="3"/>
  <c r="P479" i="3"/>
  <c r="O479" i="3"/>
  <c r="N479" i="3"/>
  <c r="M479" i="3"/>
  <c r="K479" i="3"/>
  <c r="J479" i="3"/>
  <c r="I479" i="3"/>
  <c r="H479" i="3"/>
  <c r="G479" i="3"/>
  <c r="F479" i="3"/>
  <c r="E479" i="3"/>
  <c r="D479" i="3"/>
  <c r="C479" i="3"/>
  <c r="B479" i="3"/>
  <c r="A479" i="3"/>
  <c r="Q478" i="3"/>
  <c r="P478" i="3"/>
  <c r="O478" i="3"/>
  <c r="N478" i="3"/>
  <c r="M478" i="3"/>
  <c r="K478" i="3"/>
  <c r="J478" i="3"/>
  <c r="I478" i="3"/>
  <c r="H478" i="3"/>
  <c r="G478" i="3"/>
  <c r="F478" i="3"/>
  <c r="E478" i="3"/>
  <c r="D478" i="3"/>
  <c r="C478" i="3"/>
  <c r="B478" i="3"/>
  <c r="A478" i="3"/>
  <c r="Q477" i="3"/>
  <c r="P477" i="3"/>
  <c r="O477" i="3"/>
  <c r="N477" i="3"/>
  <c r="M477" i="3"/>
  <c r="K477" i="3"/>
  <c r="J477" i="3"/>
  <c r="I477" i="3"/>
  <c r="H477" i="3"/>
  <c r="G477" i="3"/>
  <c r="F477" i="3"/>
  <c r="E477" i="3"/>
  <c r="D477" i="3"/>
  <c r="C477" i="3"/>
  <c r="B477" i="3"/>
  <c r="A477" i="3"/>
  <c r="Q476" i="3"/>
  <c r="P476" i="3"/>
  <c r="O476" i="3"/>
  <c r="N476" i="3"/>
  <c r="M476" i="3"/>
  <c r="K476" i="3"/>
  <c r="J476" i="3"/>
  <c r="I476" i="3"/>
  <c r="H476" i="3"/>
  <c r="G476" i="3"/>
  <c r="F476" i="3"/>
  <c r="E476" i="3"/>
  <c r="D476" i="3"/>
  <c r="C476" i="3"/>
  <c r="B476" i="3"/>
  <c r="A476" i="3"/>
  <c r="Q475" i="3"/>
  <c r="P475" i="3"/>
  <c r="O475" i="3"/>
  <c r="N475" i="3"/>
  <c r="M475" i="3"/>
  <c r="K475" i="3"/>
  <c r="J475" i="3"/>
  <c r="I475" i="3"/>
  <c r="H475" i="3"/>
  <c r="G475" i="3"/>
  <c r="F475" i="3"/>
  <c r="E475" i="3"/>
  <c r="D475" i="3"/>
  <c r="C475" i="3"/>
  <c r="B475" i="3"/>
  <c r="A475" i="3"/>
  <c r="Q474" i="3"/>
  <c r="P474" i="3"/>
  <c r="O474" i="3"/>
  <c r="N474" i="3"/>
  <c r="M474" i="3"/>
  <c r="K474" i="3"/>
  <c r="J474" i="3"/>
  <c r="I474" i="3"/>
  <c r="H474" i="3"/>
  <c r="G474" i="3"/>
  <c r="F474" i="3"/>
  <c r="E474" i="3"/>
  <c r="D474" i="3"/>
  <c r="C474" i="3"/>
  <c r="B474" i="3"/>
  <c r="A474" i="3"/>
  <c r="Q473" i="3"/>
  <c r="P473" i="3"/>
  <c r="O473" i="3"/>
  <c r="N473" i="3"/>
  <c r="M473" i="3"/>
  <c r="K473" i="3"/>
  <c r="J473" i="3"/>
  <c r="I473" i="3"/>
  <c r="H473" i="3"/>
  <c r="G473" i="3"/>
  <c r="F473" i="3"/>
  <c r="E473" i="3"/>
  <c r="D473" i="3"/>
  <c r="C473" i="3"/>
  <c r="B473" i="3"/>
  <c r="A473" i="3"/>
  <c r="Q472" i="3"/>
  <c r="P472" i="3"/>
  <c r="O472" i="3"/>
  <c r="N472" i="3"/>
  <c r="M472" i="3"/>
  <c r="K472" i="3"/>
  <c r="J472" i="3"/>
  <c r="I472" i="3"/>
  <c r="H472" i="3"/>
  <c r="G472" i="3"/>
  <c r="F472" i="3"/>
  <c r="E472" i="3"/>
  <c r="D472" i="3"/>
  <c r="C472" i="3"/>
  <c r="B472" i="3"/>
  <c r="A472" i="3"/>
  <c r="Q471" i="3"/>
  <c r="P471" i="3"/>
  <c r="O471" i="3"/>
  <c r="N471" i="3"/>
  <c r="M471" i="3"/>
  <c r="K471" i="3"/>
  <c r="I471" i="3"/>
  <c r="H471" i="3"/>
  <c r="G471" i="3"/>
  <c r="F471" i="3"/>
  <c r="E471" i="3"/>
  <c r="D471" i="3"/>
  <c r="C471" i="3"/>
  <c r="B471" i="3"/>
  <c r="A471" i="3"/>
  <c r="Q470" i="3"/>
  <c r="P470" i="3"/>
  <c r="O470" i="3"/>
  <c r="N470" i="3"/>
  <c r="M470" i="3"/>
  <c r="K470" i="3"/>
  <c r="J470" i="3"/>
  <c r="I470" i="3"/>
  <c r="H470" i="3"/>
  <c r="G470" i="3"/>
  <c r="F470" i="3"/>
  <c r="E470" i="3"/>
  <c r="D470" i="3"/>
  <c r="C470" i="3"/>
  <c r="B470" i="3"/>
  <c r="A470" i="3"/>
  <c r="Q469" i="3"/>
  <c r="P469" i="3"/>
  <c r="O469" i="3"/>
  <c r="N469" i="3"/>
  <c r="M469" i="3"/>
  <c r="K469" i="3"/>
  <c r="J469" i="3"/>
  <c r="I469" i="3"/>
  <c r="H469" i="3"/>
  <c r="G469" i="3"/>
  <c r="F469" i="3"/>
  <c r="E469" i="3"/>
  <c r="D469" i="3"/>
  <c r="C469" i="3"/>
  <c r="B469" i="3"/>
  <c r="A469" i="3"/>
  <c r="Q468" i="3"/>
  <c r="P468" i="3"/>
  <c r="O468" i="3"/>
  <c r="N468" i="3"/>
  <c r="M468" i="3"/>
  <c r="K468" i="3"/>
  <c r="J468" i="3"/>
  <c r="I468" i="3"/>
  <c r="H468" i="3"/>
  <c r="G468" i="3"/>
  <c r="F468" i="3"/>
  <c r="E468" i="3"/>
  <c r="D468" i="3"/>
  <c r="C468" i="3"/>
  <c r="B468" i="3"/>
  <c r="A468" i="3"/>
  <c r="Q467" i="3"/>
  <c r="P467" i="3"/>
  <c r="O467" i="3"/>
  <c r="N467" i="3"/>
  <c r="M467" i="3"/>
  <c r="K467" i="3"/>
  <c r="J467" i="3"/>
  <c r="I467" i="3"/>
  <c r="H467" i="3"/>
  <c r="G467" i="3"/>
  <c r="F467" i="3"/>
  <c r="E467" i="3"/>
  <c r="D467" i="3"/>
  <c r="C467" i="3"/>
  <c r="B467" i="3"/>
  <c r="A467" i="3"/>
  <c r="Q466" i="3"/>
  <c r="P466" i="3"/>
  <c r="O466" i="3"/>
  <c r="N466" i="3"/>
  <c r="M466" i="3"/>
  <c r="K466" i="3"/>
  <c r="J466" i="3"/>
  <c r="I466" i="3"/>
  <c r="H466" i="3"/>
  <c r="G466" i="3"/>
  <c r="F466" i="3"/>
  <c r="E466" i="3"/>
  <c r="D466" i="3"/>
  <c r="C466" i="3"/>
  <c r="B466" i="3"/>
  <c r="A466" i="3"/>
  <c r="Q465" i="3"/>
  <c r="P465" i="3"/>
  <c r="O465" i="3"/>
  <c r="N465" i="3"/>
  <c r="M465" i="3"/>
  <c r="K465" i="3"/>
  <c r="I465" i="3"/>
  <c r="H465" i="3"/>
  <c r="G465" i="3"/>
  <c r="F465" i="3"/>
  <c r="E465" i="3"/>
  <c r="D465" i="3"/>
  <c r="C465" i="3"/>
  <c r="B465" i="3"/>
  <c r="A465" i="3"/>
  <c r="Q464" i="3"/>
  <c r="P464" i="3"/>
  <c r="O464" i="3"/>
  <c r="N464" i="3"/>
  <c r="M464" i="3"/>
  <c r="K464" i="3"/>
  <c r="J464" i="3"/>
  <c r="I464" i="3"/>
  <c r="H464" i="3"/>
  <c r="G464" i="3"/>
  <c r="F464" i="3"/>
  <c r="E464" i="3"/>
  <c r="D464" i="3"/>
  <c r="C464" i="3"/>
  <c r="B464" i="3"/>
  <c r="A464" i="3"/>
  <c r="Q463" i="3"/>
  <c r="P463" i="3"/>
  <c r="O463" i="3"/>
  <c r="N463" i="3"/>
  <c r="M463" i="3"/>
  <c r="K463" i="3"/>
  <c r="J463" i="3"/>
  <c r="I463" i="3"/>
  <c r="H463" i="3"/>
  <c r="G463" i="3"/>
  <c r="F463" i="3"/>
  <c r="E463" i="3"/>
  <c r="D463" i="3"/>
  <c r="C463" i="3"/>
  <c r="B463" i="3"/>
  <c r="A463" i="3"/>
  <c r="Q462" i="3"/>
  <c r="P462" i="3"/>
  <c r="O462" i="3"/>
  <c r="N462" i="3"/>
  <c r="M462" i="3"/>
  <c r="K462" i="3"/>
  <c r="J462" i="3"/>
  <c r="I462" i="3"/>
  <c r="H462" i="3"/>
  <c r="G462" i="3"/>
  <c r="F462" i="3"/>
  <c r="E462" i="3"/>
  <c r="D462" i="3"/>
  <c r="C462" i="3"/>
  <c r="B462" i="3"/>
  <c r="A462" i="3"/>
  <c r="Q461" i="3"/>
  <c r="P461" i="3"/>
  <c r="O461" i="3"/>
  <c r="N461" i="3"/>
  <c r="M461" i="3"/>
  <c r="K461" i="3"/>
  <c r="J461" i="3"/>
  <c r="I461" i="3"/>
  <c r="H461" i="3"/>
  <c r="G461" i="3"/>
  <c r="F461" i="3"/>
  <c r="E461" i="3"/>
  <c r="D461" i="3"/>
  <c r="C461" i="3"/>
  <c r="B461" i="3"/>
  <c r="A461" i="3"/>
  <c r="Q460" i="3"/>
  <c r="P460" i="3"/>
  <c r="O460" i="3"/>
  <c r="N460" i="3"/>
  <c r="M460" i="3"/>
  <c r="K460" i="3"/>
  <c r="I460" i="3"/>
  <c r="H460" i="3"/>
  <c r="G460" i="3"/>
  <c r="F460" i="3"/>
  <c r="E460" i="3"/>
  <c r="D460" i="3"/>
  <c r="C460" i="3"/>
  <c r="B460" i="3"/>
  <c r="A460" i="3"/>
  <c r="AE459" i="3"/>
  <c r="AD459" i="3"/>
  <c r="Q459" i="3"/>
  <c r="P459" i="3"/>
  <c r="O459" i="3"/>
  <c r="N459" i="3"/>
  <c r="M459" i="3"/>
  <c r="K459" i="3"/>
  <c r="J459" i="3"/>
  <c r="I459" i="3"/>
  <c r="H459" i="3"/>
  <c r="G459" i="3"/>
  <c r="F459" i="3"/>
  <c r="E459" i="3"/>
  <c r="D459" i="3"/>
  <c r="C459" i="3"/>
  <c r="B459" i="3"/>
  <c r="A459" i="3"/>
  <c r="Q458" i="3"/>
  <c r="P458" i="3"/>
  <c r="O458" i="3"/>
  <c r="N458" i="3"/>
  <c r="M458" i="3"/>
  <c r="K458" i="3"/>
  <c r="J458" i="3"/>
  <c r="I458" i="3"/>
  <c r="H458" i="3"/>
  <c r="G458" i="3"/>
  <c r="F458" i="3"/>
  <c r="E458" i="3"/>
  <c r="D458" i="3"/>
  <c r="C458" i="3"/>
  <c r="B458" i="3"/>
  <c r="A458" i="3"/>
  <c r="Q457" i="3"/>
  <c r="P457" i="3"/>
  <c r="O457" i="3"/>
  <c r="N457" i="3"/>
  <c r="M457" i="3"/>
  <c r="K457" i="3"/>
  <c r="I457" i="3"/>
  <c r="H457" i="3"/>
  <c r="G457" i="3"/>
  <c r="F457" i="3"/>
  <c r="E457" i="3"/>
  <c r="D457" i="3"/>
  <c r="C457" i="3"/>
  <c r="B457" i="3"/>
  <c r="A457" i="3"/>
  <c r="Q456" i="3"/>
  <c r="P456" i="3"/>
  <c r="N456" i="3"/>
  <c r="M456" i="3"/>
  <c r="K456" i="3"/>
  <c r="J456" i="3"/>
  <c r="I456" i="3"/>
  <c r="H456" i="3"/>
  <c r="G456" i="3"/>
  <c r="F456" i="3"/>
  <c r="E456" i="3"/>
  <c r="D456" i="3"/>
  <c r="C456" i="3"/>
  <c r="B456" i="3"/>
  <c r="A456" i="3"/>
  <c r="Q455" i="3"/>
  <c r="P455" i="3"/>
  <c r="O455" i="3"/>
  <c r="N455" i="3"/>
  <c r="M455" i="3"/>
  <c r="K455" i="3"/>
  <c r="J455" i="3"/>
  <c r="I455" i="3"/>
  <c r="H455" i="3"/>
  <c r="G455" i="3"/>
  <c r="F455" i="3"/>
  <c r="E455" i="3"/>
  <c r="D455" i="3"/>
  <c r="C455" i="3"/>
  <c r="B455" i="3"/>
  <c r="A455" i="3"/>
  <c r="Q454" i="3"/>
  <c r="P454" i="3"/>
  <c r="O454" i="3"/>
  <c r="N454" i="3"/>
  <c r="M454" i="3"/>
  <c r="K454" i="3"/>
  <c r="J454" i="3"/>
  <c r="I454" i="3"/>
  <c r="H454" i="3"/>
  <c r="G454" i="3"/>
  <c r="F454" i="3"/>
  <c r="E454" i="3"/>
  <c r="D454" i="3"/>
  <c r="C454" i="3"/>
  <c r="B454" i="3"/>
  <c r="A454" i="3"/>
  <c r="Q453" i="3"/>
  <c r="P453" i="3"/>
  <c r="O453" i="3"/>
  <c r="N453" i="3"/>
  <c r="M453" i="3"/>
  <c r="K453" i="3"/>
  <c r="I453" i="3"/>
  <c r="H453" i="3"/>
  <c r="G453" i="3"/>
  <c r="F453" i="3"/>
  <c r="E453" i="3"/>
  <c r="D453" i="3"/>
  <c r="C453" i="3"/>
  <c r="B453" i="3"/>
  <c r="A453" i="3"/>
  <c r="Q452" i="3"/>
  <c r="P452" i="3"/>
  <c r="O452" i="3"/>
  <c r="N452" i="3"/>
  <c r="M452" i="3"/>
  <c r="K452" i="3"/>
  <c r="J452" i="3"/>
  <c r="I452" i="3"/>
  <c r="H452" i="3"/>
  <c r="G452" i="3"/>
  <c r="F452" i="3"/>
  <c r="E452" i="3"/>
  <c r="D452" i="3"/>
  <c r="C452" i="3"/>
  <c r="B452" i="3"/>
  <c r="A452" i="3"/>
  <c r="Q451" i="3"/>
  <c r="P451" i="3"/>
  <c r="O451" i="3"/>
  <c r="N451" i="3"/>
  <c r="M451" i="3"/>
  <c r="K451" i="3"/>
  <c r="J451" i="3"/>
  <c r="I451" i="3"/>
  <c r="H451" i="3"/>
  <c r="G451" i="3"/>
  <c r="F451" i="3"/>
  <c r="E451" i="3"/>
  <c r="D451" i="3"/>
  <c r="C451" i="3"/>
  <c r="B451" i="3"/>
  <c r="A451" i="3"/>
  <c r="Q450" i="3"/>
  <c r="P450" i="3"/>
  <c r="O450" i="3"/>
  <c r="N450" i="3"/>
  <c r="M450" i="3"/>
  <c r="K450" i="3"/>
  <c r="J450" i="3"/>
  <c r="I450" i="3"/>
  <c r="H450" i="3"/>
  <c r="G450" i="3"/>
  <c r="F450" i="3"/>
  <c r="E450" i="3"/>
  <c r="D450" i="3"/>
  <c r="C450" i="3"/>
  <c r="B450" i="3"/>
  <c r="A450" i="3"/>
  <c r="Q449" i="3"/>
  <c r="P449" i="3"/>
  <c r="O449" i="3"/>
  <c r="N449" i="3"/>
  <c r="M449" i="3"/>
  <c r="K449" i="3"/>
  <c r="J449" i="3"/>
  <c r="I449" i="3"/>
  <c r="H449" i="3"/>
  <c r="G449" i="3"/>
  <c r="F449" i="3"/>
  <c r="E449" i="3"/>
  <c r="D449" i="3"/>
  <c r="C449" i="3"/>
  <c r="B449" i="3"/>
  <c r="A449" i="3"/>
  <c r="Q448" i="3"/>
  <c r="P448" i="3"/>
  <c r="O448" i="3"/>
  <c r="N448" i="3"/>
  <c r="M448" i="3"/>
  <c r="K448" i="3"/>
  <c r="J448" i="3"/>
  <c r="I448" i="3"/>
  <c r="H448" i="3"/>
  <c r="G448" i="3"/>
  <c r="F448" i="3"/>
  <c r="E448" i="3"/>
  <c r="D448" i="3"/>
  <c r="C448" i="3"/>
  <c r="B448" i="3"/>
  <c r="A448" i="3"/>
  <c r="Q447" i="3"/>
  <c r="P447" i="3"/>
  <c r="O447" i="3"/>
  <c r="N447" i="3"/>
  <c r="M447" i="3"/>
  <c r="K447" i="3"/>
  <c r="I447" i="3"/>
  <c r="H447" i="3"/>
  <c r="G447" i="3"/>
  <c r="F447" i="3"/>
  <c r="E447" i="3"/>
  <c r="D447" i="3"/>
  <c r="C447" i="3"/>
  <c r="B447" i="3"/>
  <c r="A447" i="3"/>
  <c r="Q446" i="3"/>
  <c r="P446" i="3"/>
  <c r="N446" i="3"/>
  <c r="M446" i="3"/>
  <c r="K446" i="3"/>
  <c r="J446" i="3"/>
  <c r="I446" i="3"/>
  <c r="H446" i="3"/>
  <c r="G446" i="3"/>
  <c r="F446" i="3"/>
  <c r="E446" i="3"/>
  <c r="D446" i="3"/>
  <c r="C446" i="3"/>
  <c r="B446" i="3"/>
  <c r="A446" i="3"/>
  <c r="Q445" i="3"/>
  <c r="P445" i="3"/>
  <c r="N445" i="3"/>
  <c r="M445" i="3"/>
  <c r="K445" i="3"/>
  <c r="J445" i="3"/>
  <c r="I445" i="3"/>
  <c r="H445" i="3"/>
  <c r="G445" i="3"/>
  <c r="F445" i="3"/>
  <c r="E445" i="3"/>
  <c r="D445" i="3"/>
  <c r="C445" i="3"/>
  <c r="B445" i="3"/>
  <c r="A445" i="3"/>
  <c r="Q444" i="3"/>
  <c r="P444" i="3"/>
  <c r="N444" i="3"/>
  <c r="M444" i="3"/>
  <c r="K444" i="3"/>
  <c r="J444" i="3"/>
  <c r="I444" i="3"/>
  <c r="H444" i="3"/>
  <c r="G444" i="3"/>
  <c r="F444" i="3"/>
  <c r="E444" i="3"/>
  <c r="D444" i="3"/>
  <c r="C444" i="3"/>
  <c r="B444" i="3"/>
  <c r="A444" i="3"/>
  <c r="Q443" i="3"/>
  <c r="P443" i="3"/>
  <c r="O443" i="3"/>
  <c r="N443" i="3"/>
  <c r="M443" i="3"/>
  <c r="K443" i="3"/>
  <c r="J443" i="3"/>
  <c r="I443" i="3"/>
  <c r="H443" i="3"/>
  <c r="G443" i="3"/>
  <c r="F443" i="3"/>
  <c r="E443" i="3"/>
  <c r="D443" i="3"/>
  <c r="C443" i="3"/>
  <c r="B443" i="3"/>
  <c r="A443" i="3"/>
  <c r="AE442" i="3"/>
  <c r="AD442" i="3"/>
  <c r="Q442" i="3"/>
  <c r="P442" i="3"/>
  <c r="O442" i="3"/>
  <c r="M442" i="3"/>
  <c r="K442" i="3"/>
  <c r="J442" i="3"/>
  <c r="I442" i="3"/>
  <c r="H442" i="3"/>
  <c r="G442" i="3"/>
  <c r="E442" i="3"/>
  <c r="D442" i="3"/>
  <c r="C442" i="3"/>
  <c r="B442" i="3"/>
  <c r="A442" i="3"/>
  <c r="AK441" i="3"/>
  <c r="Q441" i="3"/>
  <c r="P441" i="3"/>
  <c r="N441" i="3"/>
  <c r="M441" i="3"/>
  <c r="K441" i="3"/>
  <c r="J441" i="3"/>
  <c r="I441" i="3"/>
  <c r="H441" i="3"/>
  <c r="G441" i="3"/>
  <c r="F441" i="3"/>
  <c r="E441" i="3"/>
  <c r="D441" i="3"/>
  <c r="C441" i="3"/>
  <c r="B441" i="3"/>
  <c r="A441" i="3"/>
  <c r="AK440" i="3"/>
  <c r="Q440" i="3"/>
  <c r="P440" i="3"/>
  <c r="O440" i="3"/>
  <c r="N440" i="3"/>
  <c r="M440" i="3"/>
  <c r="K440" i="3"/>
  <c r="J440" i="3"/>
  <c r="I440" i="3"/>
  <c r="H440" i="3"/>
  <c r="G440" i="3"/>
  <c r="F440" i="3"/>
  <c r="E440" i="3"/>
  <c r="D440" i="3"/>
  <c r="C440" i="3"/>
  <c r="B440" i="3"/>
  <c r="A440" i="3"/>
  <c r="AK439" i="3"/>
  <c r="Q439" i="3"/>
  <c r="P439" i="3"/>
  <c r="O439" i="3"/>
  <c r="N439" i="3"/>
  <c r="M439" i="3"/>
  <c r="K439" i="3"/>
  <c r="J439" i="3"/>
  <c r="I439" i="3"/>
  <c r="H439" i="3"/>
  <c r="G439" i="3"/>
  <c r="F439" i="3"/>
  <c r="E439" i="3"/>
  <c r="D439" i="3"/>
  <c r="C439" i="3"/>
  <c r="B439" i="3"/>
  <c r="A439" i="3"/>
  <c r="AK438" i="3"/>
  <c r="Q438" i="3"/>
  <c r="P438" i="3"/>
  <c r="O438" i="3"/>
  <c r="N438" i="3"/>
  <c r="M438" i="3"/>
  <c r="K438" i="3"/>
  <c r="J438" i="3"/>
  <c r="I438" i="3"/>
  <c r="H438" i="3"/>
  <c r="G438" i="3"/>
  <c r="F438" i="3"/>
  <c r="E438" i="3"/>
  <c r="D438" i="3"/>
  <c r="C438" i="3"/>
  <c r="B438" i="3"/>
  <c r="A438" i="3"/>
  <c r="AK437" i="3"/>
  <c r="Q437" i="3"/>
  <c r="P437" i="3"/>
  <c r="N437" i="3"/>
  <c r="M437" i="3"/>
  <c r="K437" i="3"/>
  <c r="J437" i="3"/>
  <c r="I437" i="3"/>
  <c r="H437" i="3"/>
  <c r="G437" i="3"/>
  <c r="F437" i="3"/>
  <c r="E437" i="3"/>
  <c r="D437" i="3"/>
  <c r="C437" i="3"/>
  <c r="B437" i="3"/>
  <c r="A437" i="3"/>
  <c r="AK436" i="3"/>
  <c r="Q436" i="3"/>
  <c r="P436" i="3"/>
  <c r="O436" i="3"/>
  <c r="N436" i="3"/>
  <c r="M436" i="3"/>
  <c r="K436" i="3"/>
  <c r="I436" i="3"/>
  <c r="H436" i="3"/>
  <c r="G436" i="3"/>
  <c r="F436" i="3"/>
  <c r="E436" i="3"/>
  <c r="D436" i="3"/>
  <c r="C436" i="3"/>
  <c r="B436" i="3"/>
  <c r="A436" i="3"/>
  <c r="AK435" i="3"/>
  <c r="Q435" i="3"/>
  <c r="P435" i="3"/>
  <c r="N435" i="3"/>
  <c r="M435" i="3"/>
  <c r="L435" i="3"/>
  <c r="K435" i="3"/>
  <c r="J435" i="3"/>
  <c r="I435" i="3"/>
  <c r="H435" i="3"/>
  <c r="G435" i="3"/>
  <c r="F435" i="3"/>
  <c r="E435" i="3"/>
  <c r="D435" i="3"/>
  <c r="C435" i="3"/>
  <c r="B435" i="3"/>
  <c r="A435" i="3"/>
  <c r="AK434" i="3"/>
  <c r="Q434" i="3"/>
  <c r="P434" i="3"/>
  <c r="O434" i="3"/>
  <c r="N434" i="3"/>
  <c r="M434" i="3"/>
  <c r="K434" i="3"/>
  <c r="I434" i="3"/>
  <c r="H434" i="3"/>
  <c r="G434" i="3"/>
  <c r="F434" i="3"/>
  <c r="E434" i="3"/>
  <c r="D434" i="3"/>
  <c r="C434" i="3"/>
  <c r="B434" i="3"/>
  <c r="A434" i="3"/>
  <c r="AK433" i="3"/>
  <c r="Q433" i="3"/>
  <c r="P433" i="3"/>
  <c r="O433" i="3"/>
  <c r="N433" i="3"/>
  <c r="M433" i="3"/>
  <c r="K433" i="3"/>
  <c r="J433" i="3"/>
  <c r="I433" i="3"/>
  <c r="H433" i="3"/>
  <c r="G433" i="3"/>
  <c r="F433" i="3"/>
  <c r="E433" i="3"/>
  <c r="D433" i="3"/>
  <c r="C433" i="3"/>
  <c r="B433" i="3"/>
  <c r="A433" i="3"/>
  <c r="AK432" i="3"/>
  <c r="Q432" i="3"/>
  <c r="P432" i="3"/>
  <c r="O432" i="3"/>
  <c r="N432" i="3"/>
  <c r="M432" i="3"/>
  <c r="K432" i="3"/>
  <c r="I432" i="3"/>
  <c r="H432" i="3"/>
  <c r="G432" i="3"/>
  <c r="F432" i="3"/>
  <c r="E432" i="3"/>
  <c r="D432" i="3"/>
  <c r="C432" i="3"/>
  <c r="B432" i="3"/>
  <c r="A432" i="3"/>
  <c r="AK431" i="3"/>
  <c r="Q431" i="3"/>
  <c r="P431" i="3"/>
  <c r="O431" i="3"/>
  <c r="N431" i="3"/>
  <c r="M431" i="3"/>
  <c r="K431" i="3"/>
  <c r="J431" i="3"/>
  <c r="I431" i="3"/>
  <c r="H431" i="3"/>
  <c r="G431" i="3"/>
  <c r="F431" i="3"/>
  <c r="E431" i="3"/>
  <c r="D431" i="3"/>
  <c r="C431" i="3"/>
  <c r="B431" i="3"/>
  <c r="A431" i="3"/>
  <c r="AK430" i="3"/>
  <c r="Q430" i="3"/>
  <c r="P430" i="3"/>
  <c r="O430" i="3"/>
  <c r="N430" i="3"/>
  <c r="M430" i="3"/>
  <c r="K430" i="3"/>
  <c r="I430" i="3"/>
  <c r="H430" i="3"/>
  <c r="G430" i="3"/>
  <c r="F430" i="3"/>
  <c r="E430" i="3"/>
  <c r="D430" i="3"/>
  <c r="C430" i="3"/>
  <c r="B430" i="3"/>
  <c r="A430" i="3"/>
  <c r="AK429" i="3"/>
  <c r="Q429" i="3"/>
  <c r="P429" i="3"/>
  <c r="O429" i="3"/>
  <c r="N429" i="3"/>
  <c r="M429" i="3"/>
  <c r="K429" i="3"/>
  <c r="I429" i="3"/>
  <c r="H429" i="3"/>
  <c r="G429" i="3"/>
  <c r="F429" i="3"/>
  <c r="E429" i="3"/>
  <c r="D429" i="3"/>
  <c r="C429" i="3"/>
  <c r="B429" i="3"/>
  <c r="A429" i="3"/>
  <c r="AK428" i="3"/>
  <c r="Q428" i="3"/>
  <c r="M428" i="3"/>
  <c r="K428" i="3"/>
  <c r="J428" i="3"/>
  <c r="I428" i="3"/>
  <c r="H428" i="3"/>
  <c r="G428" i="3"/>
  <c r="F428" i="3"/>
  <c r="E428" i="3"/>
  <c r="D428" i="3"/>
  <c r="C428" i="3"/>
  <c r="B428" i="3"/>
  <c r="A428" i="3"/>
  <c r="AK427" i="3"/>
  <c r="Q427" i="3"/>
  <c r="P427" i="3"/>
  <c r="N427" i="3"/>
  <c r="M427" i="3"/>
  <c r="K427" i="3"/>
  <c r="J427" i="3"/>
  <c r="I427" i="3"/>
  <c r="H427" i="3"/>
  <c r="G427" i="3"/>
  <c r="F427" i="3"/>
  <c r="E427" i="3"/>
  <c r="D427" i="3"/>
  <c r="C427" i="3"/>
  <c r="B427" i="3"/>
  <c r="A427" i="3"/>
  <c r="AK426" i="3"/>
  <c r="Q426" i="3"/>
  <c r="P426" i="3"/>
  <c r="O426" i="3"/>
  <c r="N426" i="3"/>
  <c r="M426" i="3"/>
  <c r="K426" i="3"/>
  <c r="I426" i="3"/>
  <c r="H426" i="3"/>
  <c r="G426" i="3"/>
  <c r="F426" i="3"/>
  <c r="E426" i="3"/>
  <c r="D426" i="3"/>
  <c r="C426" i="3"/>
  <c r="B426" i="3"/>
  <c r="A426" i="3"/>
  <c r="AK425" i="3"/>
  <c r="Q425" i="3"/>
  <c r="P425" i="3"/>
  <c r="O425" i="3"/>
  <c r="N425" i="3"/>
  <c r="M425" i="3"/>
  <c r="K425" i="3"/>
  <c r="J425" i="3"/>
  <c r="I425" i="3"/>
  <c r="H425" i="3"/>
  <c r="G425" i="3"/>
  <c r="F425" i="3"/>
  <c r="E425" i="3"/>
  <c r="D425" i="3"/>
  <c r="C425" i="3"/>
  <c r="B425" i="3"/>
  <c r="A425" i="3"/>
  <c r="AK424" i="3"/>
  <c r="Q424" i="3"/>
  <c r="P424" i="3"/>
  <c r="O424" i="3"/>
  <c r="N424" i="3"/>
  <c r="M424" i="3"/>
  <c r="K424" i="3"/>
  <c r="J424" i="3"/>
  <c r="I424" i="3"/>
  <c r="H424" i="3"/>
  <c r="G424" i="3"/>
  <c r="F424" i="3"/>
  <c r="E424" i="3"/>
  <c r="D424" i="3"/>
  <c r="C424" i="3"/>
  <c r="B424" i="3"/>
  <c r="A424" i="3"/>
  <c r="AK423" i="3"/>
  <c r="Q423" i="3"/>
  <c r="P423" i="3"/>
  <c r="O423" i="3"/>
  <c r="N423" i="3"/>
  <c r="M423" i="3"/>
  <c r="K423" i="3"/>
  <c r="J423" i="3"/>
  <c r="I423" i="3"/>
  <c r="H423" i="3"/>
  <c r="G423" i="3"/>
  <c r="F423" i="3"/>
  <c r="E423" i="3"/>
  <c r="D423" i="3"/>
  <c r="C423" i="3"/>
  <c r="B423" i="3"/>
  <c r="A423" i="3"/>
  <c r="AK422" i="3"/>
  <c r="Q422" i="3"/>
  <c r="P422" i="3"/>
  <c r="N422" i="3"/>
  <c r="M422" i="3"/>
  <c r="K422" i="3"/>
  <c r="J422" i="3"/>
  <c r="I422" i="3"/>
  <c r="H422" i="3"/>
  <c r="G422" i="3"/>
  <c r="F422" i="3"/>
  <c r="E422" i="3"/>
  <c r="D422" i="3"/>
  <c r="C422" i="3"/>
  <c r="B422" i="3"/>
  <c r="A422" i="3"/>
  <c r="AK421" i="3"/>
  <c r="Q421" i="3"/>
  <c r="P421" i="3"/>
  <c r="N421" i="3"/>
  <c r="M421" i="3"/>
  <c r="K421" i="3"/>
  <c r="I421" i="3"/>
  <c r="H421" i="3"/>
  <c r="G421" i="3"/>
  <c r="F421" i="3"/>
  <c r="E421" i="3"/>
  <c r="D421" i="3"/>
  <c r="C421" i="3"/>
  <c r="B421" i="3"/>
  <c r="A421" i="3"/>
  <c r="AK420" i="3"/>
  <c r="Q420" i="3"/>
  <c r="P420" i="3"/>
  <c r="O420" i="3"/>
  <c r="N420" i="3"/>
  <c r="M420" i="3"/>
  <c r="K420" i="3"/>
  <c r="I420" i="3"/>
  <c r="H420" i="3"/>
  <c r="G420" i="3"/>
  <c r="F420" i="3"/>
  <c r="E420" i="3"/>
  <c r="D420" i="3"/>
  <c r="C420" i="3"/>
  <c r="B420" i="3"/>
  <c r="A420" i="3"/>
  <c r="AK419" i="3"/>
  <c r="Q419" i="3"/>
  <c r="P419" i="3"/>
  <c r="O419" i="3"/>
  <c r="N419" i="3"/>
  <c r="M419" i="3"/>
  <c r="K419" i="3"/>
  <c r="J419" i="3"/>
  <c r="I419" i="3"/>
  <c r="H419" i="3"/>
  <c r="G419" i="3"/>
  <c r="F419" i="3"/>
  <c r="E419" i="3"/>
  <c r="D419" i="3"/>
  <c r="C419" i="3"/>
  <c r="B419" i="3"/>
  <c r="A419" i="3"/>
  <c r="AK418" i="3"/>
  <c r="Q418" i="3"/>
  <c r="P418" i="3"/>
  <c r="O418" i="3"/>
  <c r="N418" i="3"/>
  <c r="M418" i="3"/>
  <c r="K418" i="3"/>
  <c r="I418" i="3"/>
  <c r="H418" i="3"/>
  <c r="G418" i="3"/>
  <c r="F418" i="3"/>
  <c r="E418" i="3"/>
  <c r="D418" i="3"/>
  <c r="C418" i="3"/>
  <c r="B418" i="3"/>
  <c r="A418" i="3"/>
  <c r="AK417" i="3"/>
  <c r="Q417" i="3"/>
  <c r="P417" i="3"/>
  <c r="O417" i="3"/>
  <c r="N417" i="3"/>
  <c r="M417" i="3"/>
  <c r="K417" i="3"/>
  <c r="I417" i="3"/>
  <c r="H417" i="3"/>
  <c r="G417" i="3"/>
  <c r="F417" i="3"/>
  <c r="E417" i="3"/>
  <c r="D417" i="3"/>
  <c r="C417" i="3"/>
  <c r="B417" i="3"/>
  <c r="A417" i="3"/>
  <c r="AK416" i="3"/>
  <c r="Q416" i="3"/>
  <c r="P416" i="3"/>
  <c r="O416" i="3"/>
  <c r="N416" i="3"/>
  <c r="M416" i="3"/>
  <c r="K416" i="3"/>
  <c r="J416" i="3"/>
  <c r="I416" i="3"/>
  <c r="H416" i="3"/>
  <c r="G416" i="3"/>
  <c r="F416" i="3"/>
  <c r="E416" i="3"/>
  <c r="D416" i="3"/>
  <c r="C416" i="3"/>
  <c r="B416" i="3"/>
  <c r="A416" i="3"/>
  <c r="AK415" i="3"/>
  <c r="Q415" i="3"/>
  <c r="P415" i="3"/>
  <c r="O415" i="3"/>
  <c r="N415" i="3"/>
  <c r="M415" i="3"/>
  <c r="K415" i="3"/>
  <c r="I415" i="3"/>
  <c r="H415" i="3"/>
  <c r="G415" i="3"/>
  <c r="F415" i="3"/>
  <c r="E415" i="3"/>
  <c r="D415" i="3"/>
  <c r="C415" i="3"/>
  <c r="B415" i="3"/>
  <c r="A415" i="3"/>
  <c r="AK414" i="3"/>
  <c r="Q414" i="3"/>
  <c r="P414" i="3"/>
  <c r="O414" i="3"/>
  <c r="N414" i="3"/>
  <c r="M414" i="3"/>
  <c r="K414" i="3"/>
  <c r="J414" i="3"/>
  <c r="I414" i="3"/>
  <c r="H414" i="3"/>
  <c r="G414" i="3"/>
  <c r="F414" i="3"/>
  <c r="E414" i="3"/>
  <c r="D414" i="3"/>
  <c r="C414" i="3"/>
  <c r="B414" i="3"/>
  <c r="A414" i="3"/>
  <c r="AK413" i="3"/>
  <c r="AE413" i="3"/>
  <c r="AD413" i="3"/>
  <c r="Q413" i="3"/>
  <c r="P413" i="3"/>
  <c r="O413" i="3"/>
  <c r="N413" i="3"/>
  <c r="M413" i="3"/>
  <c r="K413" i="3"/>
  <c r="J413" i="3"/>
  <c r="I413" i="3"/>
  <c r="H413" i="3"/>
  <c r="G413" i="3"/>
  <c r="F413" i="3"/>
  <c r="E413" i="3"/>
  <c r="D413" i="3"/>
  <c r="C413" i="3"/>
  <c r="B413" i="3"/>
  <c r="A413" i="3"/>
  <c r="AK412" i="3"/>
  <c r="Q412" i="3"/>
  <c r="P412" i="3"/>
  <c r="O412" i="3"/>
  <c r="N412" i="3"/>
  <c r="M412" i="3"/>
  <c r="K412" i="3"/>
  <c r="J412" i="3"/>
  <c r="I412" i="3"/>
  <c r="H412" i="3"/>
  <c r="G412" i="3"/>
  <c r="F412" i="3"/>
  <c r="E412" i="3"/>
  <c r="D412" i="3"/>
  <c r="C412" i="3"/>
  <c r="B412" i="3"/>
  <c r="A412" i="3"/>
  <c r="AK411" i="3"/>
  <c r="Q411" i="3"/>
  <c r="P411" i="3"/>
  <c r="O411" i="3"/>
  <c r="N411" i="3"/>
  <c r="M411" i="3"/>
  <c r="K411" i="3"/>
  <c r="J411" i="3"/>
  <c r="I411" i="3"/>
  <c r="H411" i="3"/>
  <c r="G411" i="3"/>
  <c r="F411" i="3"/>
  <c r="E411" i="3"/>
  <c r="D411" i="3"/>
  <c r="C411" i="3"/>
  <c r="B411" i="3"/>
  <c r="A411" i="3"/>
  <c r="AK410" i="3"/>
  <c r="Q410" i="3"/>
  <c r="P410" i="3"/>
  <c r="O410" i="3"/>
  <c r="N410" i="3"/>
  <c r="M410" i="3"/>
  <c r="K410" i="3"/>
  <c r="I410" i="3"/>
  <c r="H410" i="3"/>
  <c r="G410" i="3"/>
  <c r="F410" i="3"/>
  <c r="E410" i="3"/>
  <c r="D410" i="3"/>
  <c r="C410" i="3"/>
  <c r="B410" i="3"/>
  <c r="A410" i="3"/>
  <c r="AK409" i="3"/>
  <c r="Q409" i="3"/>
  <c r="P409" i="3"/>
  <c r="O409" i="3"/>
  <c r="N409" i="3"/>
  <c r="M409" i="3"/>
  <c r="K409" i="3"/>
  <c r="I409" i="3"/>
  <c r="H409" i="3"/>
  <c r="G409" i="3"/>
  <c r="F409" i="3"/>
  <c r="E409" i="3"/>
  <c r="D409" i="3"/>
  <c r="C409" i="3"/>
  <c r="B409" i="3"/>
  <c r="A409" i="3"/>
  <c r="AK408" i="3"/>
  <c r="Q408" i="3"/>
  <c r="P408" i="3"/>
  <c r="O408" i="3"/>
  <c r="N408" i="3"/>
  <c r="M408" i="3"/>
  <c r="K408" i="3"/>
  <c r="J408" i="3"/>
  <c r="I408" i="3"/>
  <c r="H408" i="3"/>
  <c r="G408" i="3"/>
  <c r="F408" i="3"/>
  <c r="E408" i="3"/>
  <c r="D408" i="3"/>
  <c r="C408" i="3"/>
  <c r="B408" i="3"/>
  <c r="A408" i="3"/>
  <c r="AK407" i="3"/>
  <c r="Q407" i="3"/>
  <c r="P407" i="3"/>
  <c r="N407" i="3"/>
  <c r="M407" i="3"/>
  <c r="K407" i="3"/>
  <c r="J407" i="3"/>
  <c r="I407" i="3"/>
  <c r="H407" i="3"/>
  <c r="G407" i="3"/>
  <c r="F407" i="3"/>
  <c r="E407" i="3"/>
  <c r="D407" i="3"/>
  <c r="C407" i="3"/>
  <c r="B407" i="3"/>
  <c r="A407" i="3"/>
  <c r="AK406" i="3"/>
  <c r="Q406" i="3"/>
  <c r="P406" i="3"/>
  <c r="O406" i="3"/>
  <c r="N406" i="3"/>
  <c r="M406" i="3"/>
  <c r="K406" i="3"/>
  <c r="J406" i="3"/>
  <c r="I406" i="3"/>
  <c r="H406" i="3"/>
  <c r="G406" i="3"/>
  <c r="F406" i="3"/>
  <c r="E406" i="3"/>
  <c r="D406" i="3"/>
  <c r="C406" i="3"/>
  <c r="B406" i="3"/>
  <c r="A406" i="3"/>
  <c r="AK405" i="3"/>
  <c r="Q405" i="3"/>
  <c r="P405" i="3"/>
  <c r="O405" i="3"/>
  <c r="N405" i="3"/>
  <c r="M405" i="3"/>
  <c r="K405" i="3"/>
  <c r="J405" i="3"/>
  <c r="I405" i="3"/>
  <c r="H405" i="3"/>
  <c r="G405" i="3"/>
  <c r="F405" i="3"/>
  <c r="E405" i="3"/>
  <c r="D405" i="3"/>
  <c r="C405" i="3"/>
  <c r="B405" i="3"/>
  <c r="A405" i="3"/>
  <c r="AK404" i="3"/>
  <c r="Q404" i="3"/>
  <c r="P404" i="3"/>
  <c r="O404" i="3"/>
  <c r="N404" i="3"/>
  <c r="M404" i="3"/>
  <c r="K404" i="3"/>
  <c r="I404" i="3"/>
  <c r="H404" i="3"/>
  <c r="G404" i="3"/>
  <c r="F404" i="3"/>
  <c r="E404" i="3"/>
  <c r="D404" i="3"/>
  <c r="C404" i="3"/>
  <c r="B404" i="3"/>
  <c r="A404" i="3"/>
  <c r="AK403" i="3"/>
  <c r="Q403" i="3"/>
  <c r="P403" i="3"/>
  <c r="O403" i="3"/>
  <c r="N403" i="3"/>
  <c r="M403" i="3"/>
  <c r="K403" i="3"/>
  <c r="J403" i="3"/>
  <c r="I403" i="3"/>
  <c r="H403" i="3"/>
  <c r="G403" i="3"/>
  <c r="F403" i="3"/>
  <c r="E403" i="3"/>
  <c r="D403" i="3"/>
  <c r="C403" i="3"/>
  <c r="B403" i="3"/>
  <c r="A403" i="3"/>
  <c r="AK402" i="3"/>
  <c r="Q402" i="3"/>
  <c r="P402" i="3"/>
  <c r="O402" i="3"/>
  <c r="N402" i="3"/>
  <c r="M402" i="3"/>
  <c r="K402" i="3"/>
  <c r="J402" i="3"/>
  <c r="I402" i="3"/>
  <c r="H402" i="3"/>
  <c r="G402" i="3"/>
  <c r="F402" i="3"/>
  <c r="E402" i="3"/>
  <c r="D402" i="3"/>
  <c r="C402" i="3"/>
  <c r="B402" i="3"/>
  <c r="A402" i="3"/>
  <c r="AK401" i="3"/>
  <c r="Q401" i="3"/>
  <c r="P401" i="3"/>
  <c r="O401" i="3"/>
  <c r="N401" i="3"/>
  <c r="M401" i="3"/>
  <c r="K401" i="3"/>
  <c r="J401" i="3"/>
  <c r="I401" i="3"/>
  <c r="H401" i="3"/>
  <c r="G401" i="3"/>
  <c r="F401" i="3"/>
  <c r="E401" i="3"/>
  <c r="D401" i="3"/>
  <c r="C401" i="3"/>
  <c r="B401" i="3"/>
  <c r="A401" i="3"/>
  <c r="AK400" i="3"/>
  <c r="Q400" i="3"/>
  <c r="P400" i="3"/>
  <c r="O400" i="3"/>
  <c r="N400" i="3"/>
  <c r="M400" i="3"/>
  <c r="K400" i="3"/>
  <c r="J400" i="3"/>
  <c r="I400" i="3"/>
  <c r="H400" i="3"/>
  <c r="G400" i="3"/>
  <c r="F400" i="3"/>
  <c r="E400" i="3"/>
  <c r="D400" i="3"/>
  <c r="C400" i="3"/>
  <c r="B400" i="3"/>
  <c r="A400" i="3"/>
  <c r="AK399" i="3"/>
  <c r="Q399" i="3"/>
  <c r="P399" i="3"/>
  <c r="N399" i="3"/>
  <c r="M399" i="3"/>
  <c r="K399" i="3"/>
  <c r="J399" i="3"/>
  <c r="I399" i="3"/>
  <c r="H399" i="3"/>
  <c r="G399" i="3"/>
  <c r="F399" i="3"/>
  <c r="E399" i="3"/>
  <c r="D399" i="3"/>
  <c r="C399" i="3"/>
  <c r="B399" i="3"/>
  <c r="A399" i="3"/>
  <c r="AK398" i="3"/>
  <c r="Q398" i="3"/>
  <c r="P398" i="3"/>
  <c r="O398" i="3"/>
  <c r="N398" i="3"/>
  <c r="M398" i="3"/>
  <c r="K398" i="3"/>
  <c r="J398" i="3"/>
  <c r="I398" i="3"/>
  <c r="H398" i="3"/>
  <c r="G398" i="3"/>
  <c r="F398" i="3"/>
  <c r="E398" i="3"/>
  <c r="D398" i="3"/>
  <c r="C398" i="3"/>
  <c r="B398" i="3"/>
  <c r="A398" i="3"/>
  <c r="AK397" i="3"/>
  <c r="Q397" i="3"/>
  <c r="P397" i="3"/>
  <c r="O397" i="3"/>
  <c r="N397" i="3"/>
  <c r="M397" i="3"/>
  <c r="K397" i="3"/>
  <c r="I397" i="3"/>
  <c r="H397" i="3"/>
  <c r="G397" i="3"/>
  <c r="F397" i="3"/>
  <c r="E397" i="3"/>
  <c r="D397" i="3"/>
  <c r="C397" i="3"/>
  <c r="B397" i="3"/>
  <c r="A397" i="3"/>
  <c r="AK396" i="3"/>
  <c r="Q396" i="3"/>
  <c r="P396" i="3"/>
  <c r="O396" i="3"/>
  <c r="N396" i="3"/>
  <c r="M396" i="3"/>
  <c r="K396" i="3"/>
  <c r="I396" i="3"/>
  <c r="H396" i="3"/>
  <c r="G396" i="3"/>
  <c r="F396" i="3"/>
  <c r="E396" i="3"/>
  <c r="D396" i="3"/>
  <c r="C396" i="3"/>
  <c r="B396" i="3"/>
  <c r="A396" i="3"/>
  <c r="AK395" i="3"/>
  <c r="Q395" i="3"/>
  <c r="P395" i="3"/>
  <c r="N395" i="3"/>
  <c r="M395" i="3"/>
  <c r="K395" i="3"/>
  <c r="J395" i="3"/>
  <c r="I395" i="3"/>
  <c r="H395" i="3"/>
  <c r="G395" i="3"/>
  <c r="F395" i="3"/>
  <c r="E395" i="3"/>
  <c r="D395" i="3"/>
  <c r="C395" i="3"/>
  <c r="B395" i="3"/>
  <c r="A395" i="3"/>
  <c r="AK394" i="3"/>
  <c r="Q394" i="3"/>
  <c r="P394" i="3"/>
  <c r="O394" i="3"/>
  <c r="N394" i="3"/>
  <c r="M394" i="3"/>
  <c r="K394" i="3"/>
  <c r="J394" i="3"/>
  <c r="I394" i="3"/>
  <c r="H394" i="3"/>
  <c r="G394" i="3"/>
  <c r="F394" i="3"/>
  <c r="E394" i="3"/>
  <c r="D394" i="3"/>
  <c r="C394" i="3"/>
  <c r="B394" i="3"/>
  <c r="A394" i="3"/>
  <c r="AK393" i="3"/>
  <c r="Q393" i="3"/>
  <c r="P393" i="3"/>
  <c r="N393" i="3"/>
  <c r="M393" i="3"/>
  <c r="K393" i="3"/>
  <c r="J393" i="3"/>
  <c r="I393" i="3"/>
  <c r="H393" i="3"/>
  <c r="G393" i="3"/>
  <c r="F393" i="3"/>
  <c r="E393" i="3"/>
  <c r="D393" i="3"/>
  <c r="C393" i="3"/>
  <c r="B393" i="3"/>
  <c r="A393" i="3"/>
  <c r="AK392" i="3"/>
  <c r="AD392" i="3"/>
  <c r="Q392" i="3"/>
  <c r="P392" i="3"/>
  <c r="O392" i="3"/>
  <c r="N392" i="3"/>
  <c r="M392" i="3"/>
  <c r="K392" i="3"/>
  <c r="J392" i="3"/>
  <c r="I392" i="3"/>
  <c r="H392" i="3"/>
  <c r="G392" i="3"/>
  <c r="F392" i="3"/>
  <c r="E392" i="3"/>
  <c r="D392" i="3"/>
  <c r="C392" i="3"/>
  <c r="B392" i="3"/>
  <c r="A392" i="3"/>
  <c r="AK391" i="3"/>
  <c r="Q391" i="3"/>
  <c r="P391" i="3"/>
  <c r="O391" i="3"/>
  <c r="N391" i="3"/>
  <c r="M391" i="3"/>
  <c r="L391" i="3"/>
  <c r="K391" i="3"/>
  <c r="J391" i="3"/>
  <c r="I391" i="3"/>
  <c r="H391" i="3"/>
  <c r="G391" i="3"/>
  <c r="F391" i="3"/>
  <c r="E391" i="3"/>
  <c r="D391" i="3"/>
  <c r="C391" i="3"/>
  <c r="B391" i="3"/>
  <c r="A391" i="3"/>
  <c r="AK390" i="3"/>
  <c r="Q390" i="3"/>
  <c r="P390" i="3"/>
  <c r="N390" i="3"/>
  <c r="M390" i="3"/>
  <c r="L390" i="3"/>
  <c r="K390" i="3"/>
  <c r="J390" i="3"/>
  <c r="I390" i="3"/>
  <c r="H390" i="3"/>
  <c r="G390" i="3"/>
  <c r="F390" i="3"/>
  <c r="E390" i="3"/>
  <c r="D390" i="3"/>
  <c r="C390" i="3"/>
  <c r="B390" i="3"/>
  <c r="A390" i="3"/>
  <c r="AK389" i="3"/>
  <c r="Q389" i="3"/>
  <c r="P389" i="3"/>
  <c r="O389" i="3"/>
  <c r="N389" i="3"/>
  <c r="M389" i="3"/>
  <c r="K389" i="3"/>
  <c r="J389" i="3"/>
  <c r="I389" i="3"/>
  <c r="H389" i="3"/>
  <c r="G389" i="3"/>
  <c r="F389" i="3"/>
  <c r="E389" i="3"/>
  <c r="D389" i="3"/>
  <c r="C389" i="3"/>
  <c r="B389" i="3"/>
  <c r="A389" i="3"/>
  <c r="AK388" i="3"/>
  <c r="Q388" i="3"/>
  <c r="P388" i="3"/>
  <c r="O388" i="3"/>
  <c r="N388" i="3"/>
  <c r="M388" i="3"/>
  <c r="K388" i="3"/>
  <c r="J388" i="3"/>
  <c r="I388" i="3"/>
  <c r="H388" i="3"/>
  <c r="G388" i="3"/>
  <c r="F388" i="3"/>
  <c r="E388" i="3"/>
  <c r="D388" i="3"/>
  <c r="C388" i="3"/>
  <c r="B388" i="3"/>
  <c r="A388" i="3"/>
  <c r="AK387" i="3"/>
  <c r="Q387" i="3"/>
  <c r="P387" i="3"/>
  <c r="O387" i="3"/>
  <c r="N387" i="3"/>
  <c r="M387" i="3"/>
  <c r="K387" i="3"/>
  <c r="J387" i="3"/>
  <c r="I387" i="3"/>
  <c r="H387" i="3"/>
  <c r="G387" i="3"/>
  <c r="F387" i="3"/>
  <c r="E387" i="3"/>
  <c r="D387" i="3"/>
  <c r="C387" i="3"/>
  <c r="B387" i="3"/>
  <c r="A387" i="3"/>
  <c r="AK386" i="3"/>
  <c r="Q386" i="3"/>
  <c r="P386" i="3"/>
  <c r="O386" i="3"/>
  <c r="N386" i="3"/>
  <c r="M386" i="3"/>
  <c r="K386" i="3"/>
  <c r="J386" i="3"/>
  <c r="I386" i="3"/>
  <c r="H386" i="3"/>
  <c r="G386" i="3"/>
  <c r="F386" i="3"/>
  <c r="E386" i="3"/>
  <c r="D386" i="3"/>
  <c r="C386" i="3"/>
  <c r="B386" i="3"/>
  <c r="A386" i="3"/>
  <c r="AK385" i="3"/>
  <c r="Q385" i="3"/>
  <c r="P385" i="3"/>
  <c r="O385" i="3"/>
  <c r="N385" i="3"/>
  <c r="M385" i="3"/>
  <c r="K385" i="3"/>
  <c r="J385" i="3"/>
  <c r="I385" i="3"/>
  <c r="H385" i="3"/>
  <c r="G385" i="3"/>
  <c r="F385" i="3"/>
  <c r="E385" i="3"/>
  <c r="D385" i="3"/>
  <c r="C385" i="3"/>
  <c r="B385" i="3"/>
  <c r="A385" i="3"/>
  <c r="AK384" i="3"/>
  <c r="Q384" i="3"/>
  <c r="P384" i="3"/>
  <c r="O384" i="3"/>
  <c r="N384" i="3"/>
  <c r="M384" i="3"/>
  <c r="K384" i="3"/>
  <c r="J384" i="3"/>
  <c r="I384" i="3"/>
  <c r="H384" i="3"/>
  <c r="G384" i="3"/>
  <c r="F384" i="3"/>
  <c r="E384" i="3"/>
  <c r="D384" i="3"/>
  <c r="C384" i="3"/>
  <c r="B384" i="3"/>
  <c r="A384" i="3"/>
  <c r="AK383" i="3"/>
  <c r="Q383" i="3"/>
  <c r="P383" i="3"/>
  <c r="O383" i="3"/>
  <c r="N383" i="3"/>
  <c r="M383" i="3"/>
  <c r="K383" i="3"/>
  <c r="J383" i="3"/>
  <c r="I383" i="3"/>
  <c r="H383" i="3"/>
  <c r="G383" i="3"/>
  <c r="F383" i="3"/>
  <c r="E383" i="3"/>
  <c r="D383" i="3"/>
  <c r="C383" i="3"/>
  <c r="B383" i="3"/>
  <c r="A383" i="3"/>
  <c r="AK382" i="3"/>
  <c r="Q382" i="3"/>
  <c r="P382" i="3"/>
  <c r="O382" i="3"/>
  <c r="N382" i="3"/>
  <c r="M382" i="3"/>
  <c r="K382" i="3"/>
  <c r="J382" i="3"/>
  <c r="I382" i="3"/>
  <c r="H382" i="3"/>
  <c r="G382" i="3"/>
  <c r="F382" i="3"/>
  <c r="E382" i="3"/>
  <c r="D382" i="3"/>
  <c r="C382" i="3"/>
  <c r="B382" i="3"/>
  <c r="A382" i="3"/>
  <c r="AK381" i="3"/>
  <c r="AC381" i="3"/>
  <c r="AB381" i="3"/>
  <c r="AA381" i="3"/>
  <c r="Z381" i="3"/>
  <c r="Y381" i="3"/>
  <c r="X381" i="3"/>
  <c r="W381" i="3"/>
  <c r="V381" i="3"/>
  <c r="U381" i="3"/>
  <c r="T381" i="3"/>
  <c r="S381" i="3"/>
  <c r="R381" i="3"/>
  <c r="Q381" i="3"/>
  <c r="P381" i="3"/>
  <c r="O381" i="3"/>
  <c r="N381" i="3"/>
  <c r="M381" i="3"/>
  <c r="K381" i="3"/>
  <c r="J381" i="3"/>
  <c r="I381" i="3"/>
  <c r="H381" i="3"/>
  <c r="G381" i="3"/>
  <c r="F381" i="3"/>
  <c r="E381" i="3"/>
  <c r="D381" i="3"/>
  <c r="C381" i="3"/>
  <c r="B381" i="3"/>
  <c r="A381" i="3"/>
  <c r="AK380" i="3"/>
  <c r="AC380" i="3"/>
  <c r="AB380" i="3"/>
  <c r="AA380" i="3"/>
  <c r="Z380" i="3"/>
  <c r="Y380" i="3"/>
  <c r="X380" i="3"/>
  <c r="W380" i="3"/>
  <c r="V380" i="3"/>
  <c r="U380" i="3"/>
  <c r="T380" i="3"/>
  <c r="S380" i="3"/>
  <c r="R380" i="3"/>
  <c r="Q380" i="3"/>
  <c r="P380" i="3"/>
  <c r="O380" i="3"/>
  <c r="N380" i="3"/>
  <c r="M380" i="3"/>
  <c r="K380" i="3"/>
  <c r="J380" i="3"/>
  <c r="I380" i="3"/>
  <c r="H380" i="3"/>
  <c r="G380" i="3"/>
  <c r="F380" i="3"/>
  <c r="E380" i="3"/>
  <c r="D380" i="3"/>
  <c r="C380" i="3"/>
  <c r="B380" i="3"/>
  <c r="A380" i="3"/>
  <c r="AK379" i="3"/>
  <c r="AC379" i="3"/>
  <c r="AB379" i="3"/>
  <c r="AA379" i="3"/>
  <c r="Z379" i="3"/>
  <c r="Y379" i="3"/>
  <c r="X379" i="3"/>
  <c r="W379" i="3"/>
  <c r="V379" i="3"/>
  <c r="U379" i="3"/>
  <c r="T379" i="3"/>
  <c r="S379" i="3"/>
  <c r="R379" i="3"/>
  <c r="Q379" i="3"/>
  <c r="P379" i="3"/>
  <c r="O379" i="3"/>
  <c r="N379" i="3"/>
  <c r="M379" i="3"/>
  <c r="K379" i="3"/>
  <c r="J379" i="3"/>
  <c r="I379" i="3"/>
  <c r="H379" i="3"/>
  <c r="G379" i="3"/>
  <c r="F379" i="3"/>
  <c r="E379" i="3"/>
  <c r="D379" i="3"/>
  <c r="C379" i="3"/>
  <c r="B379" i="3"/>
  <c r="A379" i="3"/>
  <c r="AK378" i="3"/>
  <c r="AC378" i="3"/>
  <c r="AB378" i="3"/>
  <c r="AA378" i="3"/>
  <c r="Z378" i="3"/>
  <c r="Y378" i="3"/>
  <c r="X378" i="3"/>
  <c r="W378" i="3"/>
  <c r="V378" i="3"/>
  <c r="U378" i="3"/>
  <c r="T378" i="3"/>
  <c r="S378" i="3"/>
  <c r="R378" i="3"/>
  <c r="Q378" i="3"/>
  <c r="P378" i="3"/>
  <c r="N378" i="3"/>
  <c r="M378" i="3"/>
  <c r="K378" i="3"/>
  <c r="J378" i="3"/>
  <c r="I378" i="3"/>
  <c r="H378" i="3"/>
  <c r="G378" i="3"/>
  <c r="F378" i="3"/>
  <c r="E378" i="3"/>
  <c r="D378" i="3"/>
  <c r="C378" i="3"/>
  <c r="B378" i="3"/>
  <c r="A378" i="3"/>
  <c r="AK377" i="3"/>
  <c r="AC377" i="3"/>
  <c r="AB377" i="3"/>
  <c r="AA377" i="3"/>
  <c r="Z377" i="3"/>
  <c r="Y377" i="3"/>
  <c r="X377" i="3"/>
  <c r="W377" i="3"/>
  <c r="V377" i="3"/>
  <c r="U377" i="3"/>
  <c r="T377" i="3"/>
  <c r="S377" i="3"/>
  <c r="R377" i="3"/>
  <c r="Q377" i="3"/>
  <c r="P377" i="3"/>
  <c r="O377" i="3"/>
  <c r="N377" i="3"/>
  <c r="M377" i="3"/>
  <c r="K377" i="3"/>
  <c r="J377" i="3"/>
  <c r="I377" i="3"/>
  <c r="H377" i="3"/>
  <c r="G377" i="3"/>
  <c r="F377" i="3"/>
  <c r="E377" i="3"/>
  <c r="D377" i="3"/>
  <c r="C377" i="3"/>
  <c r="B377" i="3"/>
  <c r="A377" i="3"/>
  <c r="AK376" i="3"/>
  <c r="AC376" i="3"/>
  <c r="AB376" i="3"/>
  <c r="AA376" i="3"/>
  <c r="Z376" i="3"/>
  <c r="Y376" i="3"/>
  <c r="X376" i="3"/>
  <c r="W376" i="3"/>
  <c r="V376" i="3"/>
  <c r="U376" i="3"/>
  <c r="T376" i="3"/>
  <c r="S376" i="3"/>
  <c r="R376" i="3"/>
  <c r="Q376" i="3"/>
  <c r="P376" i="3"/>
  <c r="O376" i="3"/>
  <c r="N376" i="3"/>
  <c r="M376" i="3"/>
  <c r="K376" i="3"/>
  <c r="J376" i="3"/>
  <c r="I376" i="3"/>
  <c r="H376" i="3"/>
  <c r="G376" i="3"/>
  <c r="F376" i="3"/>
  <c r="E376" i="3"/>
  <c r="D376" i="3"/>
  <c r="C376" i="3"/>
  <c r="B376" i="3"/>
  <c r="A376" i="3"/>
  <c r="AK375" i="3"/>
  <c r="AC375" i="3"/>
  <c r="AB375" i="3"/>
  <c r="AA375" i="3"/>
  <c r="Z375" i="3"/>
  <c r="Y375" i="3"/>
  <c r="X375" i="3"/>
  <c r="W375" i="3"/>
  <c r="V375" i="3"/>
  <c r="U375" i="3"/>
  <c r="T375" i="3"/>
  <c r="S375" i="3"/>
  <c r="R375" i="3"/>
  <c r="Q375" i="3"/>
  <c r="P375" i="3"/>
  <c r="O375" i="3"/>
  <c r="N375" i="3"/>
  <c r="M375" i="3"/>
  <c r="K375" i="3"/>
  <c r="J375" i="3"/>
  <c r="I375" i="3"/>
  <c r="H375" i="3"/>
  <c r="G375" i="3"/>
  <c r="F375" i="3"/>
  <c r="E375" i="3"/>
  <c r="D375" i="3"/>
  <c r="C375" i="3"/>
  <c r="B375" i="3"/>
  <c r="A375" i="3"/>
  <c r="AK374" i="3"/>
  <c r="AC374" i="3"/>
  <c r="AB374" i="3"/>
  <c r="AA374" i="3"/>
  <c r="Z374" i="3"/>
  <c r="Y374" i="3"/>
  <c r="X374" i="3"/>
  <c r="W374" i="3"/>
  <c r="V374" i="3"/>
  <c r="U374" i="3"/>
  <c r="T374" i="3"/>
  <c r="S374" i="3"/>
  <c r="R374" i="3"/>
  <c r="Q374" i="3"/>
  <c r="P374" i="3"/>
  <c r="O374" i="3"/>
  <c r="N374" i="3"/>
  <c r="M374" i="3"/>
  <c r="K374" i="3"/>
  <c r="I374" i="3"/>
  <c r="H374" i="3"/>
  <c r="G374" i="3"/>
  <c r="F374" i="3"/>
  <c r="E374" i="3"/>
  <c r="D374" i="3"/>
  <c r="C374" i="3"/>
  <c r="B374" i="3"/>
  <c r="A374" i="3"/>
  <c r="AK373" i="3"/>
  <c r="AC373" i="3"/>
  <c r="AB373" i="3"/>
  <c r="AA373" i="3"/>
  <c r="Z373" i="3"/>
  <c r="Y373" i="3"/>
  <c r="X373" i="3"/>
  <c r="W373" i="3"/>
  <c r="V373" i="3"/>
  <c r="U373" i="3"/>
  <c r="T373" i="3"/>
  <c r="S373" i="3"/>
  <c r="R373" i="3"/>
  <c r="Q373" i="3"/>
  <c r="P373" i="3"/>
  <c r="N373" i="3"/>
  <c r="M373" i="3"/>
  <c r="K373" i="3"/>
  <c r="J373" i="3"/>
  <c r="I373" i="3"/>
  <c r="H373" i="3"/>
  <c r="G373" i="3"/>
  <c r="F373" i="3"/>
  <c r="E373" i="3"/>
  <c r="D373" i="3"/>
  <c r="C373" i="3"/>
  <c r="B373" i="3"/>
  <c r="A373" i="3"/>
  <c r="AK372" i="3"/>
  <c r="AC372" i="3"/>
  <c r="AB372" i="3"/>
  <c r="AA372" i="3"/>
  <c r="Z372" i="3"/>
  <c r="Y372" i="3"/>
  <c r="X372" i="3"/>
  <c r="W372" i="3"/>
  <c r="V372" i="3"/>
  <c r="U372" i="3"/>
  <c r="T372" i="3"/>
  <c r="S372" i="3"/>
  <c r="R372" i="3"/>
  <c r="Q372" i="3"/>
  <c r="P372" i="3"/>
  <c r="O372" i="3"/>
  <c r="N372" i="3"/>
  <c r="M372" i="3"/>
  <c r="K372" i="3"/>
  <c r="I372" i="3"/>
  <c r="H372" i="3"/>
  <c r="G372" i="3"/>
  <c r="F372" i="3"/>
  <c r="E372" i="3"/>
  <c r="D372" i="3"/>
  <c r="C372" i="3"/>
  <c r="B372" i="3"/>
  <c r="A372" i="3"/>
  <c r="AK371" i="3"/>
  <c r="AC371" i="3"/>
  <c r="AB371" i="3"/>
  <c r="AA371" i="3"/>
  <c r="Z371" i="3"/>
  <c r="Y371" i="3"/>
  <c r="X371" i="3"/>
  <c r="W371" i="3"/>
  <c r="V371" i="3"/>
  <c r="U371" i="3"/>
  <c r="T371" i="3"/>
  <c r="S371" i="3"/>
  <c r="R371" i="3"/>
  <c r="Q371" i="3"/>
  <c r="P371" i="3"/>
  <c r="O371" i="3"/>
  <c r="N371" i="3"/>
  <c r="M371" i="3"/>
  <c r="K371" i="3"/>
  <c r="J371" i="3"/>
  <c r="I371" i="3"/>
  <c r="H371" i="3"/>
  <c r="G371" i="3"/>
  <c r="F371" i="3"/>
  <c r="E371" i="3"/>
  <c r="D371" i="3"/>
  <c r="C371" i="3"/>
  <c r="B371" i="3"/>
  <c r="A371" i="3"/>
  <c r="AK370" i="3"/>
  <c r="AC370" i="3"/>
  <c r="AB370" i="3"/>
  <c r="AA370" i="3"/>
  <c r="Z370" i="3"/>
  <c r="Y370" i="3"/>
  <c r="X370" i="3"/>
  <c r="W370" i="3"/>
  <c r="V370" i="3"/>
  <c r="U370" i="3"/>
  <c r="T370" i="3"/>
  <c r="S370" i="3"/>
  <c r="R370" i="3"/>
  <c r="Q370" i="3"/>
  <c r="P370" i="3"/>
  <c r="O370" i="3"/>
  <c r="N370" i="3"/>
  <c r="M370" i="3"/>
  <c r="K370" i="3"/>
  <c r="J370" i="3"/>
  <c r="I370" i="3"/>
  <c r="H370" i="3"/>
  <c r="G370" i="3"/>
  <c r="F370" i="3"/>
  <c r="E370" i="3"/>
  <c r="D370" i="3"/>
  <c r="C370" i="3"/>
  <c r="B370" i="3"/>
  <c r="A370" i="3"/>
  <c r="AK369" i="3"/>
  <c r="AC369" i="3"/>
  <c r="AB369" i="3"/>
  <c r="AA369" i="3"/>
  <c r="Z369" i="3"/>
  <c r="Y369" i="3"/>
  <c r="X369" i="3"/>
  <c r="W369" i="3"/>
  <c r="V369" i="3"/>
  <c r="U369" i="3"/>
  <c r="T369" i="3"/>
  <c r="S369" i="3"/>
  <c r="R369" i="3"/>
  <c r="Q369" i="3"/>
  <c r="P369" i="3"/>
  <c r="N369" i="3"/>
  <c r="M369" i="3"/>
  <c r="K369" i="3"/>
  <c r="J369" i="3"/>
  <c r="I369" i="3"/>
  <c r="H369" i="3"/>
  <c r="G369" i="3"/>
  <c r="F369" i="3"/>
  <c r="E369" i="3"/>
  <c r="D369" i="3"/>
  <c r="C369" i="3"/>
  <c r="B369" i="3"/>
  <c r="A369" i="3"/>
  <c r="AK368" i="3"/>
  <c r="AC368" i="3"/>
  <c r="AB368" i="3"/>
  <c r="AA368" i="3"/>
  <c r="Z368" i="3"/>
  <c r="Y368" i="3"/>
  <c r="X368" i="3"/>
  <c r="W368" i="3"/>
  <c r="V368" i="3"/>
  <c r="U368" i="3"/>
  <c r="T368" i="3"/>
  <c r="S368" i="3"/>
  <c r="R368" i="3"/>
  <c r="Q368" i="3"/>
  <c r="P368" i="3"/>
  <c r="O368" i="3"/>
  <c r="N368" i="3"/>
  <c r="M368" i="3"/>
  <c r="K368" i="3"/>
  <c r="I368" i="3"/>
  <c r="H368" i="3"/>
  <c r="G368" i="3"/>
  <c r="F368" i="3"/>
  <c r="E368" i="3"/>
  <c r="D368" i="3"/>
  <c r="C368" i="3"/>
  <c r="B368" i="3"/>
  <c r="A368" i="3"/>
  <c r="AK367" i="3"/>
  <c r="AC367" i="3"/>
  <c r="AB367" i="3"/>
  <c r="AA367" i="3"/>
  <c r="Z367" i="3"/>
  <c r="Y367" i="3"/>
  <c r="X367" i="3"/>
  <c r="W367" i="3"/>
  <c r="V367" i="3"/>
  <c r="U367" i="3"/>
  <c r="T367" i="3"/>
  <c r="S367" i="3"/>
  <c r="R367" i="3"/>
  <c r="Q367" i="3"/>
  <c r="P367" i="3"/>
  <c r="O367" i="3"/>
  <c r="N367" i="3"/>
  <c r="M367" i="3"/>
  <c r="K367" i="3"/>
  <c r="J367" i="3"/>
  <c r="I367" i="3"/>
  <c r="H367" i="3"/>
  <c r="G367" i="3"/>
  <c r="F367" i="3"/>
  <c r="E367" i="3"/>
  <c r="D367" i="3"/>
  <c r="C367" i="3"/>
  <c r="B367" i="3"/>
  <c r="A367" i="3"/>
  <c r="AK366" i="3"/>
  <c r="AC366" i="3"/>
  <c r="AB366" i="3"/>
  <c r="AA366" i="3"/>
  <c r="Z366" i="3"/>
  <c r="Y366" i="3"/>
  <c r="X366" i="3"/>
  <c r="W366" i="3"/>
  <c r="V366" i="3"/>
  <c r="U366" i="3"/>
  <c r="T366" i="3"/>
  <c r="S366" i="3"/>
  <c r="R366" i="3"/>
  <c r="Q366" i="3"/>
  <c r="P366" i="3"/>
  <c r="O366" i="3"/>
  <c r="N366" i="3"/>
  <c r="M366" i="3"/>
  <c r="K366" i="3"/>
  <c r="J366" i="3"/>
  <c r="I366" i="3"/>
  <c r="H366" i="3"/>
  <c r="G366" i="3"/>
  <c r="F366" i="3"/>
  <c r="E366" i="3"/>
  <c r="D366" i="3"/>
  <c r="C366" i="3"/>
  <c r="B366" i="3"/>
  <c r="A366" i="3"/>
  <c r="AK365" i="3"/>
  <c r="AC365" i="3"/>
  <c r="AB365" i="3"/>
  <c r="AA365" i="3"/>
  <c r="Z365" i="3"/>
  <c r="Y365" i="3"/>
  <c r="X365" i="3"/>
  <c r="W365" i="3"/>
  <c r="V365" i="3"/>
  <c r="U365" i="3"/>
  <c r="T365" i="3"/>
  <c r="S365" i="3"/>
  <c r="R365" i="3"/>
  <c r="Q365" i="3"/>
  <c r="P365" i="3"/>
  <c r="O365" i="3"/>
  <c r="N365" i="3"/>
  <c r="M365" i="3"/>
  <c r="K365" i="3"/>
  <c r="I365" i="3"/>
  <c r="H365" i="3"/>
  <c r="G365" i="3"/>
  <c r="F365" i="3"/>
  <c r="E365" i="3"/>
  <c r="D365" i="3"/>
  <c r="C365" i="3"/>
  <c r="B365" i="3"/>
  <c r="A365" i="3"/>
  <c r="AK364" i="3"/>
  <c r="AC364" i="3"/>
  <c r="AB364" i="3"/>
  <c r="AA364" i="3"/>
  <c r="Z364" i="3"/>
  <c r="Y364" i="3"/>
  <c r="X364" i="3"/>
  <c r="W364" i="3"/>
  <c r="V364" i="3"/>
  <c r="U364" i="3"/>
  <c r="T364" i="3"/>
  <c r="S364" i="3"/>
  <c r="R364" i="3"/>
  <c r="Q364" i="3"/>
  <c r="P364" i="3"/>
  <c r="O364" i="3"/>
  <c r="N364" i="3"/>
  <c r="M364" i="3"/>
  <c r="K364" i="3"/>
  <c r="I364" i="3"/>
  <c r="H364" i="3"/>
  <c r="G364" i="3"/>
  <c r="F364" i="3"/>
  <c r="E364" i="3"/>
  <c r="D364" i="3"/>
  <c r="C364" i="3"/>
  <c r="B364" i="3"/>
  <c r="A364" i="3"/>
  <c r="AK363" i="3"/>
  <c r="AC363" i="3"/>
  <c r="AB363" i="3"/>
  <c r="AA363" i="3"/>
  <c r="Z363" i="3"/>
  <c r="Y363" i="3"/>
  <c r="X363" i="3"/>
  <c r="W363" i="3"/>
  <c r="V363" i="3"/>
  <c r="U363" i="3"/>
  <c r="T363" i="3"/>
  <c r="S363" i="3"/>
  <c r="R363" i="3"/>
  <c r="Q363" i="3"/>
  <c r="P363" i="3"/>
  <c r="O363" i="3"/>
  <c r="N363" i="3"/>
  <c r="M363" i="3"/>
  <c r="K363" i="3"/>
  <c r="J363" i="3"/>
  <c r="I363" i="3"/>
  <c r="H363" i="3"/>
  <c r="G363" i="3"/>
  <c r="F363" i="3"/>
  <c r="E363" i="3"/>
  <c r="D363" i="3"/>
  <c r="C363" i="3"/>
  <c r="B363" i="3"/>
  <c r="A363" i="3"/>
  <c r="AK362" i="3"/>
  <c r="AC362" i="3"/>
  <c r="AB362" i="3"/>
  <c r="AA362" i="3"/>
  <c r="Z362" i="3"/>
  <c r="Y362" i="3"/>
  <c r="X362" i="3"/>
  <c r="W362" i="3"/>
  <c r="V362" i="3"/>
  <c r="U362" i="3"/>
  <c r="T362" i="3"/>
  <c r="S362" i="3"/>
  <c r="R362" i="3"/>
  <c r="Q362" i="3"/>
  <c r="P362" i="3"/>
  <c r="N362" i="3"/>
  <c r="M362" i="3"/>
  <c r="K362" i="3"/>
  <c r="J362" i="3"/>
  <c r="I362" i="3"/>
  <c r="H362" i="3"/>
  <c r="G362" i="3"/>
  <c r="F362" i="3"/>
  <c r="E362" i="3"/>
  <c r="D362" i="3"/>
  <c r="C362" i="3"/>
  <c r="B362" i="3"/>
  <c r="A362" i="3"/>
  <c r="AK361" i="3"/>
  <c r="AC361" i="3"/>
  <c r="AB361" i="3"/>
  <c r="AA361" i="3"/>
  <c r="Z361" i="3"/>
  <c r="Y361" i="3"/>
  <c r="X361" i="3"/>
  <c r="W361" i="3"/>
  <c r="V361" i="3"/>
  <c r="U361" i="3"/>
  <c r="T361" i="3"/>
  <c r="S361" i="3"/>
  <c r="R361" i="3"/>
  <c r="Q361" i="3"/>
  <c r="P361" i="3"/>
  <c r="O361" i="3"/>
  <c r="N361" i="3"/>
  <c r="M361" i="3"/>
  <c r="K361" i="3"/>
  <c r="J361" i="3"/>
  <c r="I361" i="3"/>
  <c r="H361" i="3"/>
  <c r="G361" i="3"/>
  <c r="F361" i="3"/>
  <c r="E361" i="3"/>
  <c r="D361" i="3"/>
  <c r="C361" i="3"/>
  <c r="B361" i="3"/>
  <c r="A361" i="3"/>
  <c r="AK360" i="3"/>
  <c r="AC360" i="3"/>
  <c r="AB360" i="3"/>
  <c r="AA360" i="3"/>
  <c r="Z360" i="3"/>
  <c r="Y360" i="3"/>
  <c r="X360" i="3"/>
  <c r="W360" i="3"/>
  <c r="V360" i="3"/>
  <c r="U360" i="3"/>
  <c r="T360" i="3"/>
  <c r="S360" i="3"/>
  <c r="R360" i="3"/>
  <c r="Q360" i="3"/>
  <c r="P360" i="3"/>
  <c r="O360" i="3"/>
  <c r="N360" i="3"/>
  <c r="M360" i="3"/>
  <c r="K360" i="3"/>
  <c r="J360" i="3"/>
  <c r="I360" i="3"/>
  <c r="H360" i="3"/>
  <c r="G360" i="3"/>
  <c r="F360" i="3"/>
  <c r="E360" i="3"/>
  <c r="D360" i="3"/>
  <c r="C360" i="3"/>
  <c r="B360" i="3"/>
  <c r="A360" i="3"/>
  <c r="AK359" i="3"/>
  <c r="AC359" i="3"/>
  <c r="AB359" i="3"/>
  <c r="AA359" i="3"/>
  <c r="Z359" i="3"/>
  <c r="Y359" i="3"/>
  <c r="X359" i="3"/>
  <c r="W359" i="3"/>
  <c r="V359" i="3"/>
  <c r="U359" i="3"/>
  <c r="T359" i="3"/>
  <c r="S359" i="3"/>
  <c r="R359" i="3"/>
  <c r="Q359" i="3"/>
  <c r="P359" i="3"/>
  <c r="O359" i="3"/>
  <c r="N359" i="3"/>
  <c r="M359" i="3"/>
  <c r="K359" i="3"/>
  <c r="J359" i="3"/>
  <c r="I359" i="3"/>
  <c r="H359" i="3"/>
  <c r="G359" i="3"/>
  <c r="F359" i="3"/>
  <c r="E359" i="3"/>
  <c r="D359" i="3"/>
  <c r="C359" i="3"/>
  <c r="B359" i="3"/>
  <c r="A359" i="3"/>
  <c r="AK358" i="3"/>
  <c r="AC358" i="3"/>
  <c r="AB358" i="3"/>
  <c r="AA358" i="3"/>
  <c r="Z358" i="3"/>
  <c r="Y358" i="3"/>
  <c r="X358" i="3"/>
  <c r="W358" i="3"/>
  <c r="V358" i="3"/>
  <c r="U358" i="3"/>
  <c r="T358" i="3"/>
  <c r="S358" i="3"/>
  <c r="R358" i="3"/>
  <c r="Q358" i="3"/>
  <c r="P358" i="3"/>
  <c r="N358" i="3"/>
  <c r="M358" i="3"/>
  <c r="K358" i="3"/>
  <c r="J358" i="3"/>
  <c r="I358" i="3"/>
  <c r="H358" i="3"/>
  <c r="G358" i="3"/>
  <c r="F358" i="3"/>
  <c r="E358" i="3"/>
  <c r="D358" i="3"/>
  <c r="C358" i="3"/>
  <c r="B358" i="3"/>
  <c r="A358" i="3"/>
  <c r="AK357" i="3"/>
  <c r="AC357" i="3"/>
  <c r="AB357" i="3"/>
  <c r="AA357" i="3"/>
  <c r="Z357" i="3"/>
  <c r="Y357" i="3"/>
  <c r="X357" i="3"/>
  <c r="W357" i="3"/>
  <c r="V357" i="3"/>
  <c r="U357" i="3"/>
  <c r="T357" i="3"/>
  <c r="S357" i="3"/>
  <c r="R357" i="3"/>
  <c r="Q357" i="3"/>
  <c r="P357" i="3"/>
  <c r="N357" i="3"/>
  <c r="M357" i="3"/>
  <c r="K357" i="3"/>
  <c r="J357" i="3"/>
  <c r="I357" i="3"/>
  <c r="H357" i="3"/>
  <c r="G357" i="3"/>
  <c r="F357" i="3"/>
  <c r="E357" i="3"/>
  <c r="D357" i="3"/>
  <c r="C357" i="3"/>
  <c r="B357" i="3"/>
  <c r="A357" i="3"/>
  <c r="AK356" i="3"/>
  <c r="AC356" i="3"/>
  <c r="AB356" i="3"/>
  <c r="AA356" i="3"/>
  <c r="Z356" i="3"/>
  <c r="Y356" i="3"/>
  <c r="X356" i="3"/>
  <c r="W356" i="3"/>
  <c r="V356" i="3"/>
  <c r="U356" i="3"/>
  <c r="T356" i="3"/>
  <c r="S356" i="3"/>
  <c r="R356" i="3"/>
  <c r="Q356" i="3"/>
  <c r="P356" i="3"/>
  <c r="O356" i="3"/>
  <c r="N356" i="3"/>
  <c r="M356" i="3"/>
  <c r="K356" i="3"/>
  <c r="J356" i="3"/>
  <c r="I356" i="3"/>
  <c r="H356" i="3"/>
  <c r="G356" i="3"/>
  <c r="F356" i="3"/>
  <c r="E356" i="3"/>
  <c r="D356" i="3"/>
  <c r="C356" i="3"/>
  <c r="B356" i="3"/>
  <c r="A356" i="3"/>
  <c r="AK355" i="3"/>
  <c r="AC355" i="3"/>
  <c r="AB355" i="3"/>
  <c r="AA355" i="3"/>
  <c r="Z355" i="3"/>
  <c r="Y355" i="3"/>
  <c r="X355" i="3"/>
  <c r="W355" i="3"/>
  <c r="V355" i="3"/>
  <c r="U355" i="3"/>
  <c r="T355" i="3"/>
  <c r="S355" i="3"/>
  <c r="R355" i="3"/>
  <c r="Q355" i="3"/>
  <c r="P355" i="3"/>
  <c r="O355" i="3"/>
  <c r="N355" i="3"/>
  <c r="M355" i="3"/>
  <c r="K355" i="3"/>
  <c r="I355" i="3"/>
  <c r="H355" i="3"/>
  <c r="G355" i="3"/>
  <c r="F355" i="3"/>
  <c r="E355" i="3"/>
  <c r="D355" i="3"/>
  <c r="C355" i="3"/>
  <c r="B355" i="3"/>
  <c r="A355" i="3"/>
  <c r="AK354" i="3"/>
  <c r="AC354" i="3"/>
  <c r="AB354" i="3"/>
  <c r="AA354" i="3"/>
  <c r="Z354" i="3"/>
  <c r="Y354" i="3"/>
  <c r="X354" i="3"/>
  <c r="W354" i="3"/>
  <c r="V354" i="3"/>
  <c r="U354" i="3"/>
  <c r="T354" i="3"/>
  <c r="S354" i="3"/>
  <c r="R354" i="3"/>
  <c r="Q354" i="3"/>
  <c r="P354" i="3"/>
  <c r="O354" i="3"/>
  <c r="N354" i="3"/>
  <c r="M354" i="3"/>
  <c r="K354" i="3"/>
  <c r="I354" i="3"/>
  <c r="H354" i="3"/>
  <c r="G354" i="3"/>
  <c r="F354" i="3"/>
  <c r="E354" i="3"/>
  <c r="D354" i="3"/>
  <c r="C354" i="3"/>
  <c r="B354" i="3"/>
  <c r="A354" i="3"/>
  <c r="AK353" i="3"/>
  <c r="AC353" i="3"/>
  <c r="AB353" i="3"/>
  <c r="AA353" i="3"/>
  <c r="Z353" i="3"/>
  <c r="Y353" i="3"/>
  <c r="X353" i="3"/>
  <c r="W353" i="3"/>
  <c r="V353" i="3"/>
  <c r="U353" i="3"/>
  <c r="T353" i="3"/>
  <c r="S353" i="3"/>
  <c r="R353" i="3"/>
  <c r="Q353" i="3"/>
  <c r="P353" i="3"/>
  <c r="N353" i="3"/>
  <c r="M353" i="3"/>
  <c r="K353" i="3"/>
  <c r="J353" i="3"/>
  <c r="I353" i="3"/>
  <c r="H353" i="3"/>
  <c r="G353" i="3"/>
  <c r="F353" i="3"/>
  <c r="E353" i="3"/>
  <c r="D353" i="3"/>
  <c r="C353" i="3"/>
  <c r="B353" i="3"/>
  <c r="A353" i="3"/>
  <c r="AK352" i="3"/>
  <c r="AC352" i="3"/>
  <c r="AB352" i="3"/>
  <c r="AA352" i="3"/>
  <c r="Z352" i="3"/>
  <c r="Y352" i="3"/>
  <c r="X352" i="3"/>
  <c r="W352" i="3"/>
  <c r="V352" i="3"/>
  <c r="U352" i="3"/>
  <c r="T352" i="3"/>
  <c r="S352" i="3"/>
  <c r="R352" i="3"/>
  <c r="Q352" i="3"/>
  <c r="P352" i="3"/>
  <c r="N352" i="3"/>
  <c r="M352" i="3"/>
  <c r="K352" i="3"/>
  <c r="J352" i="3"/>
  <c r="I352" i="3"/>
  <c r="H352" i="3"/>
  <c r="G352" i="3"/>
  <c r="F352" i="3"/>
  <c r="E352" i="3"/>
  <c r="D352" i="3"/>
  <c r="C352" i="3"/>
  <c r="B352" i="3"/>
  <c r="A352" i="3"/>
  <c r="AK351" i="3"/>
  <c r="AC351" i="3"/>
  <c r="AB351" i="3"/>
  <c r="AA351" i="3"/>
  <c r="Z351" i="3"/>
  <c r="Y351" i="3"/>
  <c r="X351" i="3"/>
  <c r="W351" i="3"/>
  <c r="V351" i="3"/>
  <c r="U351" i="3"/>
  <c r="T351" i="3"/>
  <c r="S351" i="3"/>
  <c r="R351" i="3"/>
  <c r="Q351" i="3"/>
  <c r="P351" i="3"/>
  <c r="O351" i="3"/>
  <c r="N351" i="3"/>
  <c r="M351" i="3"/>
  <c r="K351" i="3"/>
  <c r="I351" i="3"/>
  <c r="H351" i="3"/>
  <c r="G351" i="3"/>
  <c r="F351" i="3"/>
  <c r="E351" i="3"/>
  <c r="D351" i="3"/>
  <c r="C351" i="3"/>
  <c r="B351" i="3"/>
  <c r="A351" i="3"/>
  <c r="AK350" i="3"/>
  <c r="AC350" i="3"/>
  <c r="AB350" i="3"/>
  <c r="AA350" i="3"/>
  <c r="Z350" i="3"/>
  <c r="Y350" i="3"/>
  <c r="X350" i="3"/>
  <c r="W350" i="3"/>
  <c r="V350" i="3"/>
  <c r="U350" i="3"/>
  <c r="T350" i="3"/>
  <c r="S350" i="3"/>
  <c r="R350" i="3"/>
  <c r="Q350" i="3"/>
  <c r="P350" i="3"/>
  <c r="O350" i="3"/>
  <c r="N350" i="3"/>
  <c r="M350" i="3"/>
  <c r="K350" i="3"/>
  <c r="I350" i="3"/>
  <c r="H350" i="3"/>
  <c r="G350" i="3"/>
  <c r="F350" i="3"/>
  <c r="E350" i="3"/>
  <c r="D350" i="3"/>
  <c r="C350" i="3"/>
  <c r="B350" i="3"/>
  <c r="A350" i="3"/>
  <c r="AK349" i="3"/>
  <c r="AC349" i="3"/>
  <c r="AB349" i="3"/>
  <c r="AA349" i="3"/>
  <c r="Z349" i="3"/>
  <c r="Y349" i="3"/>
  <c r="X349" i="3"/>
  <c r="W349" i="3"/>
  <c r="V349" i="3"/>
  <c r="U349" i="3"/>
  <c r="T349" i="3"/>
  <c r="S349" i="3"/>
  <c r="R349" i="3"/>
  <c r="Q349" i="3"/>
  <c r="P349" i="3"/>
  <c r="O349" i="3"/>
  <c r="N349" i="3"/>
  <c r="M349" i="3"/>
  <c r="K349" i="3"/>
  <c r="J349" i="3"/>
  <c r="I349" i="3"/>
  <c r="H349" i="3"/>
  <c r="G349" i="3"/>
  <c r="F349" i="3"/>
  <c r="E349" i="3"/>
  <c r="D349" i="3"/>
  <c r="C349" i="3"/>
  <c r="B349" i="3"/>
  <c r="A349" i="3"/>
  <c r="AK348" i="3"/>
  <c r="AC348" i="3"/>
  <c r="AB348" i="3"/>
  <c r="AA348" i="3"/>
  <c r="Z348" i="3"/>
  <c r="Y348" i="3"/>
  <c r="X348" i="3"/>
  <c r="W348" i="3"/>
  <c r="V348" i="3"/>
  <c r="U348" i="3"/>
  <c r="T348" i="3"/>
  <c r="S348" i="3"/>
  <c r="R348" i="3"/>
  <c r="Q348" i="3"/>
  <c r="P348" i="3"/>
  <c r="O348" i="3"/>
  <c r="N348" i="3"/>
  <c r="M348" i="3"/>
  <c r="K348" i="3"/>
  <c r="I348" i="3"/>
  <c r="H348" i="3"/>
  <c r="G348" i="3"/>
  <c r="F348" i="3"/>
  <c r="E348" i="3"/>
  <c r="D348" i="3"/>
  <c r="C348" i="3"/>
  <c r="B348" i="3"/>
  <c r="A348" i="3"/>
  <c r="AK347" i="3"/>
  <c r="AC347" i="3"/>
  <c r="AB347" i="3"/>
  <c r="AA347" i="3"/>
  <c r="Z347" i="3"/>
  <c r="Y347" i="3"/>
  <c r="X347" i="3"/>
  <c r="W347" i="3"/>
  <c r="V347" i="3"/>
  <c r="U347" i="3"/>
  <c r="T347" i="3"/>
  <c r="S347" i="3"/>
  <c r="R347" i="3"/>
  <c r="Q347" i="3"/>
  <c r="P347" i="3"/>
  <c r="O347" i="3"/>
  <c r="N347" i="3"/>
  <c r="M347" i="3"/>
  <c r="K347" i="3"/>
  <c r="J347" i="3"/>
  <c r="I347" i="3"/>
  <c r="H347" i="3"/>
  <c r="G347" i="3"/>
  <c r="F347" i="3"/>
  <c r="E347" i="3"/>
  <c r="D347" i="3"/>
  <c r="C347" i="3"/>
  <c r="B347" i="3"/>
  <c r="A347" i="3"/>
  <c r="AK346" i="3"/>
  <c r="AC346" i="3"/>
  <c r="AB346" i="3"/>
  <c r="AA346" i="3"/>
  <c r="Z346" i="3"/>
  <c r="Y346" i="3"/>
  <c r="X346" i="3"/>
  <c r="W346" i="3"/>
  <c r="V346" i="3"/>
  <c r="U346" i="3"/>
  <c r="T346" i="3"/>
  <c r="S346" i="3"/>
  <c r="R346" i="3"/>
  <c r="Q346" i="3"/>
  <c r="P346" i="3"/>
  <c r="O346" i="3"/>
  <c r="N346" i="3"/>
  <c r="M346" i="3"/>
  <c r="K346" i="3"/>
  <c r="I346" i="3"/>
  <c r="H346" i="3"/>
  <c r="G346" i="3"/>
  <c r="F346" i="3"/>
  <c r="E346" i="3"/>
  <c r="D346" i="3"/>
  <c r="C346" i="3"/>
  <c r="B346" i="3"/>
  <c r="A346" i="3"/>
  <c r="AK345" i="3"/>
  <c r="AC345" i="3"/>
  <c r="AB345" i="3"/>
  <c r="AA345" i="3"/>
  <c r="Z345" i="3"/>
  <c r="Y345" i="3"/>
  <c r="X345" i="3"/>
  <c r="W345" i="3"/>
  <c r="V345" i="3"/>
  <c r="U345" i="3"/>
  <c r="T345" i="3"/>
  <c r="S345" i="3"/>
  <c r="R345" i="3"/>
  <c r="Q345" i="3"/>
  <c r="P345" i="3"/>
  <c r="N345" i="3"/>
  <c r="M345" i="3"/>
  <c r="K345" i="3"/>
  <c r="J345" i="3"/>
  <c r="I345" i="3"/>
  <c r="H345" i="3"/>
  <c r="G345" i="3"/>
  <c r="F345" i="3"/>
  <c r="E345" i="3"/>
  <c r="D345" i="3"/>
  <c r="C345" i="3"/>
  <c r="B345" i="3"/>
  <c r="A345" i="3"/>
  <c r="AK344" i="3"/>
  <c r="AC344" i="3"/>
  <c r="AB344" i="3"/>
  <c r="AA344" i="3"/>
  <c r="Z344" i="3"/>
  <c r="Y344" i="3"/>
  <c r="X344" i="3"/>
  <c r="W344" i="3"/>
  <c r="V344" i="3"/>
  <c r="U344" i="3"/>
  <c r="T344" i="3"/>
  <c r="S344" i="3"/>
  <c r="R344" i="3"/>
  <c r="Q344" i="3"/>
  <c r="P344" i="3"/>
  <c r="O344" i="3"/>
  <c r="N344" i="3"/>
  <c r="M344" i="3"/>
  <c r="K344" i="3"/>
  <c r="J344" i="3"/>
  <c r="I344" i="3"/>
  <c r="H344" i="3"/>
  <c r="G344" i="3"/>
  <c r="F344" i="3"/>
  <c r="E344" i="3"/>
  <c r="D344" i="3"/>
  <c r="C344" i="3"/>
  <c r="B344" i="3"/>
  <c r="A344" i="3"/>
  <c r="AK343" i="3"/>
  <c r="AE343" i="3"/>
  <c r="AD343" i="3"/>
  <c r="AC343" i="3"/>
  <c r="AB343" i="3"/>
  <c r="AA343" i="3"/>
  <c r="Z343" i="3"/>
  <c r="Y343" i="3"/>
  <c r="X343" i="3"/>
  <c r="W343" i="3"/>
  <c r="V343" i="3"/>
  <c r="U343" i="3"/>
  <c r="T343" i="3"/>
  <c r="S343" i="3"/>
  <c r="R343" i="3"/>
  <c r="Q343" i="3"/>
  <c r="P343" i="3"/>
  <c r="O343" i="3"/>
  <c r="N343" i="3"/>
  <c r="M343" i="3"/>
  <c r="K343" i="3"/>
  <c r="J343" i="3"/>
  <c r="I343" i="3"/>
  <c r="H343" i="3"/>
  <c r="G343" i="3"/>
  <c r="F343" i="3"/>
  <c r="E343" i="3"/>
  <c r="D343" i="3"/>
  <c r="C343" i="3"/>
  <c r="B343" i="3"/>
  <c r="A343" i="3"/>
  <c r="AK342" i="3"/>
  <c r="AC342" i="3"/>
  <c r="AB342" i="3"/>
  <c r="AA342" i="3"/>
  <c r="Z342" i="3"/>
  <c r="Y342" i="3"/>
  <c r="X342" i="3"/>
  <c r="W342" i="3"/>
  <c r="V342" i="3"/>
  <c r="U342" i="3"/>
  <c r="T342" i="3"/>
  <c r="S342" i="3"/>
  <c r="R342" i="3"/>
  <c r="Q342" i="3"/>
  <c r="P342" i="3"/>
  <c r="O342" i="3"/>
  <c r="N342" i="3"/>
  <c r="M342" i="3"/>
  <c r="K342" i="3"/>
  <c r="J342" i="3"/>
  <c r="I342" i="3"/>
  <c r="H342" i="3"/>
  <c r="G342" i="3"/>
  <c r="F342" i="3"/>
  <c r="E342" i="3"/>
  <c r="D342" i="3"/>
  <c r="C342" i="3"/>
  <c r="B342" i="3"/>
  <c r="A342" i="3"/>
  <c r="AK341" i="3"/>
  <c r="AC341" i="3"/>
  <c r="AB341" i="3"/>
  <c r="AA341" i="3"/>
  <c r="Z341" i="3"/>
  <c r="Y341" i="3"/>
  <c r="X341" i="3"/>
  <c r="W341" i="3"/>
  <c r="V341" i="3"/>
  <c r="U341" i="3"/>
  <c r="T341" i="3"/>
  <c r="S341" i="3"/>
  <c r="R341" i="3"/>
  <c r="Q341" i="3"/>
  <c r="P341" i="3"/>
  <c r="O341" i="3"/>
  <c r="N341" i="3"/>
  <c r="M341" i="3"/>
  <c r="K341" i="3"/>
  <c r="J341" i="3"/>
  <c r="I341" i="3"/>
  <c r="H341" i="3"/>
  <c r="G341" i="3"/>
  <c r="F341" i="3"/>
  <c r="E341" i="3"/>
  <c r="D341" i="3"/>
  <c r="C341" i="3"/>
  <c r="B341" i="3"/>
  <c r="A341" i="3"/>
  <c r="AK340" i="3"/>
  <c r="AC340" i="3"/>
  <c r="AB340" i="3"/>
  <c r="AA340" i="3"/>
  <c r="Z340" i="3"/>
  <c r="Y340" i="3"/>
  <c r="X340" i="3"/>
  <c r="W340" i="3"/>
  <c r="V340" i="3"/>
  <c r="U340" i="3"/>
  <c r="T340" i="3"/>
  <c r="S340" i="3"/>
  <c r="R340" i="3"/>
  <c r="Q340" i="3"/>
  <c r="P340" i="3"/>
  <c r="O340" i="3"/>
  <c r="N340" i="3"/>
  <c r="M340" i="3"/>
  <c r="K340" i="3"/>
  <c r="I340" i="3"/>
  <c r="H340" i="3"/>
  <c r="G340" i="3"/>
  <c r="F340" i="3"/>
  <c r="E340" i="3"/>
  <c r="D340" i="3"/>
  <c r="C340" i="3"/>
  <c r="B340" i="3"/>
  <c r="A340" i="3"/>
  <c r="AK339" i="3"/>
  <c r="AC339" i="3"/>
  <c r="AB339" i="3"/>
  <c r="AA339" i="3"/>
  <c r="Z339" i="3"/>
  <c r="Y339" i="3"/>
  <c r="X339" i="3"/>
  <c r="W339" i="3"/>
  <c r="V339" i="3"/>
  <c r="U339" i="3"/>
  <c r="T339" i="3"/>
  <c r="S339" i="3"/>
  <c r="R339" i="3"/>
  <c r="Q339" i="3"/>
  <c r="P339" i="3"/>
  <c r="O339" i="3"/>
  <c r="N339" i="3"/>
  <c r="M339" i="3"/>
  <c r="K339" i="3"/>
  <c r="I339" i="3"/>
  <c r="H339" i="3"/>
  <c r="G339" i="3"/>
  <c r="F339" i="3"/>
  <c r="E339" i="3"/>
  <c r="D339" i="3"/>
  <c r="C339" i="3"/>
  <c r="B339" i="3"/>
  <c r="A339" i="3"/>
  <c r="AK338" i="3"/>
  <c r="AC338" i="3"/>
  <c r="AB338" i="3"/>
  <c r="AA338" i="3"/>
  <c r="Z338" i="3"/>
  <c r="Y338" i="3"/>
  <c r="X338" i="3"/>
  <c r="W338" i="3"/>
  <c r="V338" i="3"/>
  <c r="U338" i="3"/>
  <c r="T338" i="3"/>
  <c r="S338" i="3"/>
  <c r="R338" i="3"/>
  <c r="Q338" i="3"/>
  <c r="P338" i="3"/>
  <c r="O338" i="3"/>
  <c r="N338" i="3"/>
  <c r="M338" i="3"/>
  <c r="K338" i="3"/>
  <c r="I338" i="3"/>
  <c r="H338" i="3"/>
  <c r="G338" i="3"/>
  <c r="F338" i="3"/>
  <c r="E338" i="3"/>
  <c r="D338" i="3"/>
  <c r="C338" i="3"/>
  <c r="B338" i="3"/>
  <c r="A338" i="3"/>
  <c r="AK337" i="3"/>
  <c r="AC337" i="3"/>
  <c r="AB337" i="3"/>
  <c r="AA337" i="3"/>
  <c r="Z337" i="3"/>
  <c r="Y337" i="3"/>
  <c r="X337" i="3"/>
  <c r="W337" i="3"/>
  <c r="V337" i="3"/>
  <c r="U337" i="3"/>
  <c r="T337" i="3"/>
  <c r="S337" i="3"/>
  <c r="R337" i="3"/>
  <c r="Q337" i="3"/>
  <c r="P337" i="3"/>
  <c r="O337" i="3"/>
  <c r="N337" i="3"/>
  <c r="M337" i="3"/>
  <c r="K337" i="3"/>
  <c r="J337" i="3"/>
  <c r="I337" i="3"/>
  <c r="H337" i="3"/>
  <c r="G337" i="3"/>
  <c r="F337" i="3"/>
  <c r="E337" i="3"/>
  <c r="D337" i="3"/>
  <c r="C337" i="3"/>
  <c r="B337" i="3"/>
  <c r="A337" i="3"/>
  <c r="AK336" i="3"/>
  <c r="AC336" i="3"/>
  <c r="AB336" i="3"/>
  <c r="AA336" i="3"/>
  <c r="Z336" i="3"/>
  <c r="Y336" i="3"/>
  <c r="X336" i="3"/>
  <c r="W336" i="3"/>
  <c r="V336" i="3"/>
  <c r="U336" i="3"/>
  <c r="T336" i="3"/>
  <c r="S336" i="3"/>
  <c r="R336" i="3"/>
  <c r="Q336" i="3"/>
  <c r="P336" i="3"/>
  <c r="O336" i="3"/>
  <c r="N336" i="3"/>
  <c r="M336" i="3"/>
  <c r="K336" i="3"/>
  <c r="J336" i="3"/>
  <c r="I336" i="3"/>
  <c r="H336" i="3"/>
  <c r="G336" i="3"/>
  <c r="F336" i="3"/>
  <c r="E336" i="3"/>
  <c r="D336" i="3"/>
  <c r="C336" i="3"/>
  <c r="B336" i="3"/>
  <c r="A336" i="3"/>
  <c r="AK335" i="3"/>
  <c r="AC335" i="3"/>
  <c r="AB335" i="3"/>
  <c r="AA335" i="3"/>
  <c r="Z335" i="3"/>
  <c r="Y335" i="3"/>
  <c r="X335" i="3"/>
  <c r="W335" i="3"/>
  <c r="V335" i="3"/>
  <c r="U335" i="3"/>
  <c r="T335" i="3"/>
  <c r="S335" i="3"/>
  <c r="R335" i="3"/>
  <c r="Q335" i="3"/>
  <c r="P335" i="3"/>
  <c r="O335" i="3"/>
  <c r="N335" i="3"/>
  <c r="M335" i="3"/>
  <c r="K335" i="3"/>
  <c r="J335" i="3"/>
  <c r="I335" i="3"/>
  <c r="H335" i="3"/>
  <c r="G335" i="3"/>
  <c r="F335" i="3"/>
  <c r="E335" i="3"/>
  <c r="D335" i="3"/>
  <c r="C335" i="3"/>
  <c r="B335" i="3"/>
  <c r="A335" i="3"/>
  <c r="AK334" i="3"/>
  <c r="AC334" i="3"/>
  <c r="AB334" i="3"/>
  <c r="AA334" i="3"/>
  <c r="Z334" i="3"/>
  <c r="Y334" i="3"/>
  <c r="X334" i="3"/>
  <c r="W334" i="3"/>
  <c r="V334" i="3"/>
  <c r="U334" i="3"/>
  <c r="T334" i="3"/>
  <c r="S334" i="3"/>
  <c r="R334" i="3"/>
  <c r="Q334" i="3"/>
  <c r="P334" i="3"/>
  <c r="O334" i="3"/>
  <c r="N334" i="3"/>
  <c r="M334" i="3"/>
  <c r="K334" i="3"/>
  <c r="I334" i="3"/>
  <c r="H334" i="3"/>
  <c r="G334" i="3"/>
  <c r="F334" i="3"/>
  <c r="E334" i="3"/>
  <c r="D334" i="3"/>
  <c r="C334" i="3"/>
  <c r="B334" i="3"/>
  <c r="A334" i="3"/>
  <c r="AK333" i="3"/>
  <c r="AC333" i="3"/>
  <c r="AB333" i="3"/>
  <c r="AA333" i="3"/>
  <c r="Z333" i="3"/>
  <c r="Y333" i="3"/>
  <c r="X333" i="3"/>
  <c r="W333" i="3"/>
  <c r="V333" i="3"/>
  <c r="U333" i="3"/>
  <c r="T333" i="3"/>
  <c r="S333" i="3"/>
  <c r="R333" i="3"/>
  <c r="Q333" i="3"/>
  <c r="P333" i="3"/>
  <c r="O333" i="3"/>
  <c r="N333" i="3"/>
  <c r="M333" i="3"/>
  <c r="K333" i="3"/>
  <c r="J333" i="3"/>
  <c r="I333" i="3"/>
  <c r="H333" i="3"/>
  <c r="G333" i="3"/>
  <c r="F333" i="3"/>
  <c r="E333" i="3"/>
  <c r="D333" i="3"/>
  <c r="C333" i="3"/>
  <c r="B333" i="3"/>
  <c r="A333" i="3"/>
  <c r="AK332" i="3"/>
  <c r="AC332" i="3"/>
  <c r="AB332" i="3"/>
  <c r="AA332" i="3"/>
  <c r="Z332" i="3"/>
  <c r="Y332" i="3"/>
  <c r="X332" i="3"/>
  <c r="W332" i="3"/>
  <c r="V332" i="3"/>
  <c r="U332" i="3"/>
  <c r="T332" i="3"/>
  <c r="S332" i="3"/>
  <c r="R332" i="3"/>
  <c r="Q332" i="3"/>
  <c r="P332" i="3"/>
  <c r="O332" i="3"/>
  <c r="N332" i="3"/>
  <c r="M332" i="3"/>
  <c r="K332" i="3"/>
  <c r="J332" i="3"/>
  <c r="I332" i="3"/>
  <c r="H332" i="3"/>
  <c r="G332" i="3"/>
  <c r="F332" i="3"/>
  <c r="E332" i="3"/>
  <c r="D332" i="3"/>
  <c r="C332" i="3"/>
  <c r="B332" i="3"/>
  <c r="A332" i="3"/>
  <c r="AK331" i="3"/>
  <c r="AC331" i="3"/>
  <c r="AB331" i="3"/>
  <c r="AA331" i="3"/>
  <c r="Z331" i="3"/>
  <c r="Y331" i="3"/>
  <c r="X331" i="3"/>
  <c r="W331" i="3"/>
  <c r="V331" i="3"/>
  <c r="U331" i="3"/>
  <c r="T331" i="3"/>
  <c r="S331" i="3"/>
  <c r="R331" i="3"/>
  <c r="Q331" i="3"/>
  <c r="P331" i="3"/>
  <c r="O331" i="3"/>
  <c r="N331" i="3"/>
  <c r="M331" i="3"/>
  <c r="L331" i="3"/>
  <c r="K331" i="3"/>
  <c r="J331" i="3"/>
  <c r="I331" i="3"/>
  <c r="H331" i="3"/>
  <c r="G331" i="3"/>
  <c r="F331" i="3"/>
  <c r="E331" i="3"/>
  <c r="D331" i="3"/>
  <c r="C331" i="3"/>
  <c r="B331" i="3"/>
  <c r="A331" i="3"/>
  <c r="AK330" i="3"/>
  <c r="AE330" i="3"/>
  <c r="AD330" i="3"/>
  <c r="AC330" i="3"/>
  <c r="AB330" i="3"/>
  <c r="AA330" i="3"/>
  <c r="Z330" i="3"/>
  <c r="Y330" i="3"/>
  <c r="X330" i="3"/>
  <c r="W330" i="3"/>
  <c r="V330" i="3"/>
  <c r="U330" i="3"/>
  <c r="T330" i="3"/>
  <c r="S330" i="3"/>
  <c r="R330" i="3"/>
  <c r="Q330" i="3"/>
  <c r="P330" i="3"/>
  <c r="O330" i="3"/>
  <c r="N330" i="3"/>
  <c r="M330" i="3"/>
  <c r="K330" i="3"/>
  <c r="J330" i="3"/>
  <c r="I330" i="3"/>
  <c r="H330" i="3"/>
  <c r="G330" i="3"/>
  <c r="F330" i="3"/>
  <c r="E330" i="3"/>
  <c r="D330" i="3"/>
  <c r="C330" i="3"/>
  <c r="B330" i="3"/>
  <c r="A330" i="3"/>
  <c r="AK329" i="3"/>
  <c r="AC329" i="3"/>
  <c r="AB329" i="3"/>
  <c r="AA329" i="3"/>
  <c r="Z329" i="3"/>
  <c r="Y329" i="3"/>
  <c r="X329" i="3"/>
  <c r="W329" i="3"/>
  <c r="V329" i="3"/>
  <c r="U329" i="3"/>
  <c r="T329" i="3"/>
  <c r="S329" i="3"/>
  <c r="R329" i="3"/>
  <c r="Q329" i="3"/>
  <c r="P329" i="3"/>
  <c r="O329" i="3"/>
  <c r="N329" i="3"/>
  <c r="M329" i="3"/>
  <c r="K329" i="3"/>
  <c r="J329" i="3"/>
  <c r="I329" i="3"/>
  <c r="H329" i="3"/>
  <c r="G329" i="3"/>
  <c r="F329" i="3"/>
  <c r="E329" i="3"/>
  <c r="D329" i="3"/>
  <c r="C329" i="3"/>
  <c r="B329" i="3"/>
  <c r="A329" i="3"/>
  <c r="AK328" i="3"/>
  <c r="AC328" i="3"/>
  <c r="AB328" i="3"/>
  <c r="AA328" i="3"/>
  <c r="Z328" i="3"/>
  <c r="Y328" i="3"/>
  <c r="X328" i="3"/>
  <c r="W328" i="3"/>
  <c r="V328" i="3"/>
  <c r="U328" i="3"/>
  <c r="T328" i="3"/>
  <c r="S328" i="3"/>
  <c r="R328" i="3"/>
  <c r="Q328" i="3"/>
  <c r="P328" i="3"/>
  <c r="O328" i="3"/>
  <c r="N328" i="3"/>
  <c r="M328" i="3"/>
  <c r="K328" i="3"/>
  <c r="J328" i="3"/>
  <c r="I328" i="3"/>
  <c r="H328" i="3"/>
  <c r="G328" i="3"/>
  <c r="F328" i="3"/>
  <c r="E328" i="3"/>
  <c r="D328" i="3"/>
  <c r="C328" i="3"/>
  <c r="B328" i="3"/>
  <c r="A328" i="3"/>
  <c r="AK327" i="3"/>
  <c r="AC327" i="3"/>
  <c r="AB327" i="3"/>
  <c r="AA327" i="3"/>
  <c r="Z327" i="3"/>
  <c r="Y327" i="3"/>
  <c r="X327" i="3"/>
  <c r="W327" i="3"/>
  <c r="V327" i="3"/>
  <c r="U327" i="3"/>
  <c r="T327" i="3"/>
  <c r="S327" i="3"/>
  <c r="R327" i="3"/>
  <c r="Q327" i="3"/>
  <c r="P327" i="3"/>
  <c r="O327" i="3"/>
  <c r="N327" i="3"/>
  <c r="M327" i="3"/>
  <c r="K327" i="3"/>
  <c r="J327" i="3"/>
  <c r="I327" i="3"/>
  <c r="H327" i="3"/>
  <c r="G327" i="3"/>
  <c r="F327" i="3"/>
  <c r="E327" i="3"/>
  <c r="D327" i="3"/>
  <c r="C327" i="3"/>
  <c r="B327" i="3"/>
  <c r="A327" i="3"/>
  <c r="AK326" i="3"/>
  <c r="AC326" i="3"/>
  <c r="AB326" i="3"/>
  <c r="AA326" i="3"/>
  <c r="Z326" i="3"/>
  <c r="Y326" i="3"/>
  <c r="X326" i="3"/>
  <c r="W326" i="3"/>
  <c r="V326" i="3"/>
  <c r="U326" i="3"/>
  <c r="T326" i="3"/>
  <c r="S326" i="3"/>
  <c r="R326" i="3"/>
  <c r="Q326" i="3"/>
  <c r="P326" i="3"/>
  <c r="O326" i="3"/>
  <c r="N326" i="3"/>
  <c r="M326" i="3"/>
  <c r="K326" i="3"/>
  <c r="J326" i="3"/>
  <c r="I326" i="3"/>
  <c r="H326" i="3"/>
  <c r="G326" i="3"/>
  <c r="F326" i="3"/>
  <c r="E326" i="3"/>
  <c r="D326" i="3"/>
  <c r="C326" i="3"/>
  <c r="B326" i="3"/>
  <c r="A326" i="3"/>
  <c r="AK325" i="3"/>
  <c r="AC325" i="3"/>
  <c r="AB325" i="3"/>
  <c r="AA325" i="3"/>
  <c r="Z325" i="3"/>
  <c r="Y325" i="3"/>
  <c r="X325" i="3"/>
  <c r="W325" i="3"/>
  <c r="V325" i="3"/>
  <c r="U325" i="3"/>
  <c r="T325" i="3"/>
  <c r="S325" i="3"/>
  <c r="R325" i="3"/>
  <c r="Q325" i="3"/>
  <c r="P325" i="3"/>
  <c r="O325" i="3"/>
  <c r="N325" i="3"/>
  <c r="I325" i="3"/>
  <c r="H325" i="3"/>
  <c r="G325" i="3"/>
  <c r="F325" i="3"/>
  <c r="E325" i="3"/>
  <c r="D325" i="3"/>
  <c r="C325" i="3"/>
  <c r="B325" i="3"/>
  <c r="A325" i="3"/>
  <c r="AK324" i="3"/>
  <c r="AC324" i="3"/>
  <c r="AB324" i="3"/>
  <c r="AA324" i="3"/>
  <c r="Z324" i="3"/>
  <c r="Y324" i="3"/>
  <c r="X324" i="3"/>
  <c r="W324" i="3"/>
  <c r="V324" i="3"/>
  <c r="U324" i="3"/>
  <c r="T324" i="3"/>
  <c r="S324" i="3"/>
  <c r="R324" i="3"/>
  <c r="Q324" i="3"/>
  <c r="P324" i="3"/>
  <c r="O324" i="3"/>
  <c r="N324" i="3"/>
  <c r="M324" i="3"/>
  <c r="L324" i="3"/>
  <c r="K324" i="3"/>
  <c r="I324" i="3"/>
  <c r="H324" i="3"/>
  <c r="G324" i="3"/>
  <c r="F324" i="3"/>
  <c r="E324" i="3"/>
  <c r="D324" i="3"/>
  <c r="C324" i="3"/>
  <c r="B324" i="3"/>
  <c r="A324" i="3"/>
  <c r="AK323" i="3"/>
  <c r="AC323" i="3"/>
  <c r="AB323" i="3"/>
  <c r="AA323" i="3"/>
  <c r="Z323" i="3"/>
  <c r="Y323" i="3"/>
  <c r="X323" i="3"/>
  <c r="W323" i="3"/>
  <c r="V323" i="3"/>
  <c r="U323" i="3"/>
  <c r="T323" i="3"/>
  <c r="S323" i="3"/>
  <c r="R323" i="3"/>
  <c r="Q323" i="3"/>
  <c r="P323" i="3"/>
  <c r="O323" i="3"/>
  <c r="N323" i="3"/>
  <c r="M323" i="3"/>
  <c r="L323" i="3"/>
  <c r="K323" i="3"/>
  <c r="I323" i="3"/>
  <c r="H323" i="3"/>
  <c r="G323" i="3"/>
  <c r="F323" i="3"/>
  <c r="E323" i="3"/>
  <c r="D323" i="3"/>
  <c r="C323" i="3"/>
  <c r="B323" i="3"/>
  <c r="A323" i="3"/>
  <c r="AK322" i="3"/>
  <c r="AC322" i="3"/>
  <c r="AB322" i="3"/>
  <c r="AA322" i="3"/>
  <c r="Z322" i="3"/>
  <c r="Y322" i="3"/>
  <c r="X322" i="3"/>
  <c r="W322" i="3"/>
  <c r="V322" i="3"/>
  <c r="U322" i="3"/>
  <c r="T322" i="3"/>
  <c r="S322" i="3"/>
  <c r="R322" i="3"/>
  <c r="Q322" i="3"/>
  <c r="P322" i="3"/>
  <c r="O322" i="3"/>
  <c r="N322" i="3"/>
  <c r="M322" i="3"/>
  <c r="K322" i="3"/>
  <c r="J322" i="3"/>
  <c r="I322" i="3"/>
  <c r="H322" i="3"/>
  <c r="G322" i="3"/>
  <c r="F322" i="3"/>
  <c r="E322" i="3"/>
  <c r="D322" i="3"/>
  <c r="C322" i="3"/>
  <c r="B322" i="3"/>
  <c r="A322" i="3"/>
  <c r="AK321" i="3"/>
  <c r="AC321" i="3"/>
  <c r="AB321" i="3"/>
  <c r="AA321" i="3"/>
  <c r="Z321" i="3"/>
  <c r="Y321" i="3"/>
  <c r="X321" i="3"/>
  <c r="W321" i="3"/>
  <c r="V321" i="3"/>
  <c r="U321" i="3"/>
  <c r="T321" i="3"/>
  <c r="S321" i="3"/>
  <c r="R321" i="3"/>
  <c r="Q321" i="3"/>
  <c r="P321" i="3"/>
  <c r="O321" i="3"/>
  <c r="N321" i="3"/>
  <c r="M321" i="3"/>
  <c r="K321" i="3"/>
  <c r="I321" i="3"/>
  <c r="H321" i="3"/>
  <c r="G321" i="3"/>
  <c r="F321" i="3"/>
  <c r="E321" i="3"/>
  <c r="D321" i="3"/>
  <c r="C321" i="3"/>
  <c r="B321" i="3"/>
  <c r="A321" i="3"/>
  <c r="AK320" i="3"/>
  <c r="AC320" i="3"/>
  <c r="AB320" i="3"/>
  <c r="AA320" i="3"/>
  <c r="Z320" i="3"/>
  <c r="Y320" i="3"/>
  <c r="X320" i="3"/>
  <c r="W320" i="3"/>
  <c r="V320" i="3"/>
  <c r="U320" i="3"/>
  <c r="S320" i="3"/>
  <c r="R320" i="3"/>
  <c r="Q320" i="3"/>
  <c r="P320" i="3"/>
  <c r="O320" i="3"/>
  <c r="N320" i="3"/>
  <c r="M320" i="3"/>
  <c r="K320" i="3"/>
  <c r="I320" i="3"/>
  <c r="H320" i="3"/>
  <c r="G320" i="3"/>
  <c r="F320" i="3"/>
  <c r="E320" i="3"/>
  <c r="D320" i="3"/>
  <c r="C320" i="3"/>
  <c r="B320" i="3"/>
  <c r="A320" i="3"/>
  <c r="AK319" i="3"/>
  <c r="AC319" i="3"/>
  <c r="AB319" i="3"/>
  <c r="AA319" i="3"/>
  <c r="Z319" i="3"/>
  <c r="Y319" i="3"/>
  <c r="X319" i="3"/>
  <c r="W319" i="3"/>
  <c r="V319" i="3"/>
  <c r="U319" i="3"/>
  <c r="T319" i="3"/>
  <c r="S319" i="3"/>
  <c r="R319" i="3"/>
  <c r="Q319" i="3"/>
  <c r="P319" i="3"/>
  <c r="O319" i="3"/>
  <c r="N319" i="3"/>
  <c r="M319" i="3"/>
  <c r="K319" i="3"/>
  <c r="I319" i="3"/>
  <c r="H319" i="3"/>
  <c r="G319" i="3"/>
  <c r="F319" i="3"/>
  <c r="E319" i="3"/>
  <c r="D319" i="3"/>
  <c r="C319" i="3"/>
  <c r="B319" i="3"/>
  <c r="A319" i="3"/>
  <c r="AK318" i="3"/>
  <c r="AC318" i="3"/>
  <c r="AB318" i="3"/>
  <c r="AA318" i="3"/>
  <c r="Z318" i="3"/>
  <c r="Y318" i="3"/>
  <c r="X318" i="3"/>
  <c r="W318" i="3"/>
  <c r="V318" i="3"/>
  <c r="U318" i="3"/>
  <c r="T318" i="3"/>
  <c r="S318" i="3"/>
  <c r="R318" i="3"/>
  <c r="Q318" i="3"/>
  <c r="P318" i="3"/>
  <c r="O318" i="3"/>
  <c r="N318" i="3"/>
  <c r="M318" i="3"/>
  <c r="K318" i="3"/>
  <c r="J318" i="3"/>
  <c r="I318" i="3"/>
  <c r="H318" i="3"/>
  <c r="G318" i="3"/>
  <c r="F318" i="3"/>
  <c r="E318" i="3"/>
  <c r="D318" i="3"/>
  <c r="C318" i="3"/>
  <c r="B318" i="3"/>
  <c r="A318" i="3"/>
  <c r="AK317" i="3"/>
  <c r="AC317" i="3"/>
  <c r="AB317" i="3"/>
  <c r="AA317" i="3"/>
  <c r="Z317" i="3"/>
  <c r="Y317" i="3"/>
  <c r="X317" i="3"/>
  <c r="W317" i="3"/>
  <c r="V317" i="3"/>
  <c r="U317" i="3"/>
  <c r="T317" i="3"/>
  <c r="S317" i="3"/>
  <c r="R317" i="3"/>
  <c r="Q317" i="3"/>
  <c r="P317" i="3"/>
  <c r="O317" i="3"/>
  <c r="N317" i="3"/>
  <c r="M317" i="3"/>
  <c r="K317" i="3"/>
  <c r="J317" i="3"/>
  <c r="I317" i="3"/>
  <c r="H317" i="3"/>
  <c r="G317" i="3"/>
  <c r="F317" i="3"/>
  <c r="E317" i="3"/>
  <c r="D317" i="3"/>
  <c r="C317" i="3"/>
  <c r="B317" i="3"/>
  <c r="A317" i="3"/>
  <c r="AK316" i="3"/>
  <c r="AC316" i="3"/>
  <c r="AB316" i="3"/>
  <c r="AA316" i="3"/>
  <c r="Z316" i="3"/>
  <c r="Y316" i="3"/>
  <c r="X316" i="3"/>
  <c r="W316" i="3"/>
  <c r="V316" i="3"/>
  <c r="U316" i="3"/>
  <c r="T316" i="3"/>
  <c r="S316" i="3"/>
  <c r="R316" i="3"/>
  <c r="Q316" i="3"/>
  <c r="P316" i="3"/>
  <c r="O316" i="3"/>
  <c r="N316" i="3"/>
  <c r="M316" i="3"/>
  <c r="K316" i="3"/>
  <c r="J316" i="3"/>
  <c r="I316" i="3"/>
  <c r="H316" i="3"/>
  <c r="G316" i="3"/>
  <c r="F316" i="3"/>
  <c r="E316" i="3"/>
  <c r="D316" i="3"/>
  <c r="C316" i="3"/>
  <c r="B316" i="3"/>
  <c r="A316" i="3"/>
  <c r="AK315" i="3"/>
  <c r="AC315" i="3"/>
  <c r="AB315" i="3"/>
  <c r="AA315" i="3"/>
  <c r="Z315" i="3"/>
  <c r="Y315" i="3"/>
  <c r="X315" i="3"/>
  <c r="W315" i="3"/>
  <c r="V315" i="3"/>
  <c r="U315" i="3"/>
  <c r="T315" i="3"/>
  <c r="S315" i="3"/>
  <c r="R315" i="3"/>
  <c r="Q315" i="3"/>
  <c r="P315" i="3"/>
  <c r="O315" i="3"/>
  <c r="N315" i="3"/>
  <c r="M315" i="3"/>
  <c r="K315" i="3"/>
  <c r="J315" i="3"/>
  <c r="I315" i="3"/>
  <c r="H315" i="3"/>
  <c r="G315" i="3"/>
  <c r="F315" i="3"/>
  <c r="E315" i="3"/>
  <c r="D315" i="3"/>
  <c r="C315" i="3"/>
  <c r="B315" i="3"/>
  <c r="A315" i="3"/>
  <c r="AK314" i="3"/>
  <c r="AC314" i="3"/>
  <c r="AB314" i="3"/>
  <c r="AA314" i="3"/>
  <c r="Z314" i="3"/>
  <c r="Y314" i="3"/>
  <c r="X314" i="3"/>
  <c r="W314" i="3"/>
  <c r="V314" i="3"/>
  <c r="U314" i="3"/>
  <c r="T314" i="3"/>
  <c r="S314" i="3"/>
  <c r="R314" i="3"/>
  <c r="Q314" i="3"/>
  <c r="P314" i="3"/>
  <c r="O314" i="3"/>
  <c r="N314" i="3"/>
  <c r="M314" i="3"/>
  <c r="K314" i="3"/>
  <c r="I314" i="3"/>
  <c r="H314" i="3"/>
  <c r="G314" i="3"/>
  <c r="F314" i="3"/>
  <c r="E314" i="3"/>
  <c r="D314" i="3"/>
  <c r="C314" i="3"/>
  <c r="B314" i="3"/>
  <c r="A314" i="3"/>
  <c r="AK313" i="3"/>
  <c r="AC313" i="3"/>
  <c r="AB313" i="3"/>
  <c r="AA313" i="3"/>
  <c r="Z313" i="3"/>
  <c r="Y313" i="3"/>
  <c r="X313" i="3"/>
  <c r="W313" i="3"/>
  <c r="V313" i="3"/>
  <c r="U313" i="3"/>
  <c r="T313" i="3"/>
  <c r="S313" i="3"/>
  <c r="R313" i="3"/>
  <c r="Q313" i="3"/>
  <c r="P313" i="3"/>
  <c r="O313" i="3"/>
  <c r="N313" i="3"/>
  <c r="M313" i="3"/>
  <c r="K313" i="3"/>
  <c r="J313" i="3"/>
  <c r="I313" i="3"/>
  <c r="H313" i="3"/>
  <c r="G313" i="3"/>
  <c r="F313" i="3"/>
  <c r="E313" i="3"/>
  <c r="D313" i="3"/>
  <c r="C313" i="3"/>
  <c r="B313" i="3"/>
  <c r="A313" i="3"/>
  <c r="AK312" i="3"/>
  <c r="AC312" i="3"/>
  <c r="AB312" i="3"/>
  <c r="AA312" i="3"/>
  <c r="Z312" i="3"/>
  <c r="Y312" i="3"/>
  <c r="X312" i="3"/>
  <c r="W312" i="3"/>
  <c r="V312" i="3"/>
  <c r="U312" i="3"/>
  <c r="T312" i="3"/>
  <c r="S312" i="3"/>
  <c r="R312" i="3"/>
  <c r="Q312" i="3"/>
  <c r="P312" i="3"/>
  <c r="O312" i="3"/>
  <c r="N312" i="3"/>
  <c r="M312" i="3"/>
  <c r="K312" i="3"/>
  <c r="J312" i="3"/>
  <c r="I312" i="3"/>
  <c r="H312" i="3"/>
  <c r="G312" i="3"/>
  <c r="F312" i="3"/>
  <c r="E312" i="3"/>
  <c r="D312" i="3"/>
  <c r="C312" i="3"/>
  <c r="B312" i="3"/>
  <c r="A312" i="3"/>
  <c r="AK311" i="3"/>
  <c r="AC311" i="3"/>
  <c r="AB311" i="3"/>
  <c r="AA311" i="3"/>
  <c r="Z311" i="3"/>
  <c r="Y311" i="3"/>
  <c r="X311" i="3"/>
  <c r="W311" i="3"/>
  <c r="V311" i="3"/>
  <c r="U311" i="3"/>
  <c r="T311" i="3"/>
  <c r="S311" i="3"/>
  <c r="R311" i="3"/>
  <c r="Q311" i="3"/>
  <c r="P311" i="3"/>
  <c r="O311" i="3"/>
  <c r="N311" i="3"/>
  <c r="M311" i="3"/>
  <c r="K311" i="3"/>
  <c r="I311" i="3"/>
  <c r="H311" i="3"/>
  <c r="G311" i="3"/>
  <c r="F311" i="3"/>
  <c r="E311" i="3"/>
  <c r="D311" i="3"/>
  <c r="C311" i="3"/>
  <c r="B311" i="3"/>
  <c r="A311" i="3"/>
  <c r="AK310" i="3"/>
  <c r="AE310" i="3"/>
  <c r="AD310" i="3"/>
  <c r="AC310" i="3"/>
  <c r="AB310" i="3"/>
  <c r="AA310" i="3"/>
  <c r="Z310" i="3"/>
  <c r="Y310" i="3"/>
  <c r="X310" i="3"/>
  <c r="W310" i="3"/>
  <c r="V310" i="3"/>
  <c r="U310" i="3"/>
  <c r="T310" i="3"/>
  <c r="S310" i="3"/>
  <c r="R310" i="3"/>
  <c r="Q310" i="3"/>
  <c r="P310" i="3"/>
  <c r="O310" i="3"/>
  <c r="N310" i="3"/>
  <c r="M310" i="3"/>
  <c r="K310" i="3"/>
  <c r="J310" i="3"/>
  <c r="I310" i="3"/>
  <c r="H310" i="3"/>
  <c r="G310" i="3"/>
  <c r="F310" i="3"/>
  <c r="E310" i="3"/>
  <c r="D310" i="3"/>
  <c r="C310" i="3"/>
  <c r="B310" i="3"/>
  <c r="A310" i="3"/>
  <c r="AK309" i="3"/>
  <c r="AC309" i="3"/>
  <c r="AB309" i="3"/>
  <c r="AA309" i="3"/>
  <c r="Z309" i="3"/>
  <c r="Y309" i="3"/>
  <c r="X309" i="3"/>
  <c r="W309" i="3"/>
  <c r="V309" i="3"/>
  <c r="U309" i="3"/>
  <c r="T309" i="3"/>
  <c r="S309" i="3"/>
  <c r="R309" i="3"/>
  <c r="Q309" i="3"/>
  <c r="P309" i="3"/>
  <c r="O309" i="3"/>
  <c r="N309" i="3"/>
  <c r="M309" i="3"/>
  <c r="K309" i="3"/>
  <c r="J309" i="3"/>
  <c r="I309" i="3"/>
  <c r="H309" i="3"/>
  <c r="G309" i="3"/>
  <c r="F309" i="3"/>
  <c r="E309" i="3"/>
  <c r="D309" i="3"/>
  <c r="C309" i="3"/>
  <c r="B309" i="3"/>
  <c r="A309" i="3"/>
  <c r="AK308" i="3"/>
  <c r="AC308" i="3"/>
  <c r="AB308" i="3"/>
  <c r="AA308" i="3"/>
  <c r="Z308" i="3"/>
  <c r="Y308" i="3"/>
  <c r="X308" i="3"/>
  <c r="W308" i="3"/>
  <c r="V308" i="3"/>
  <c r="U308" i="3"/>
  <c r="T308" i="3"/>
  <c r="S308" i="3"/>
  <c r="R308" i="3"/>
  <c r="Q308" i="3"/>
  <c r="P308" i="3"/>
  <c r="O308" i="3"/>
  <c r="N308" i="3"/>
  <c r="M308" i="3"/>
  <c r="K308" i="3"/>
  <c r="J308" i="3"/>
  <c r="I308" i="3"/>
  <c r="H308" i="3"/>
  <c r="G308" i="3"/>
  <c r="F308" i="3"/>
  <c r="E308" i="3"/>
  <c r="D308" i="3"/>
  <c r="C308" i="3"/>
  <c r="B308" i="3"/>
  <c r="A308" i="3"/>
  <c r="AK307" i="3"/>
  <c r="AC307" i="3"/>
  <c r="AB307" i="3"/>
  <c r="AA307" i="3"/>
  <c r="Z307" i="3"/>
  <c r="Y307" i="3"/>
  <c r="X307" i="3"/>
  <c r="W307" i="3"/>
  <c r="V307" i="3"/>
  <c r="U307" i="3"/>
  <c r="T307" i="3"/>
  <c r="S307" i="3"/>
  <c r="R307" i="3"/>
  <c r="Q307" i="3"/>
  <c r="P307" i="3"/>
  <c r="N307" i="3"/>
  <c r="M307" i="3"/>
  <c r="K307" i="3"/>
  <c r="I307" i="3"/>
  <c r="H307" i="3"/>
  <c r="G307" i="3"/>
  <c r="F307" i="3"/>
  <c r="E307" i="3"/>
  <c r="D307" i="3"/>
  <c r="C307" i="3"/>
  <c r="B307" i="3"/>
  <c r="A307" i="3"/>
  <c r="AK306" i="3"/>
  <c r="AC306" i="3"/>
  <c r="AB306" i="3"/>
  <c r="AA306" i="3"/>
  <c r="Z306" i="3"/>
  <c r="Y306" i="3"/>
  <c r="X306" i="3"/>
  <c r="W306" i="3"/>
  <c r="V306" i="3"/>
  <c r="U306" i="3"/>
  <c r="T306" i="3"/>
  <c r="S306" i="3"/>
  <c r="R306" i="3"/>
  <c r="Q306" i="3"/>
  <c r="P306" i="3"/>
  <c r="O306" i="3"/>
  <c r="N306" i="3"/>
  <c r="M306" i="3"/>
  <c r="K306" i="3"/>
  <c r="J306" i="3"/>
  <c r="I306" i="3"/>
  <c r="H306" i="3"/>
  <c r="G306" i="3"/>
  <c r="F306" i="3"/>
  <c r="E306" i="3"/>
  <c r="D306" i="3"/>
  <c r="C306" i="3"/>
  <c r="B306" i="3"/>
  <c r="A306" i="3"/>
  <c r="AK305" i="3"/>
  <c r="AC305" i="3"/>
  <c r="AB305" i="3"/>
  <c r="AA305" i="3"/>
  <c r="Z305" i="3"/>
  <c r="Y305" i="3"/>
  <c r="X305" i="3"/>
  <c r="W305" i="3"/>
  <c r="V305" i="3"/>
  <c r="U305" i="3"/>
  <c r="T305" i="3"/>
  <c r="S305" i="3"/>
  <c r="R305" i="3"/>
  <c r="Q305" i="3"/>
  <c r="P305" i="3"/>
  <c r="O305" i="3"/>
  <c r="N305" i="3"/>
  <c r="M305" i="3"/>
  <c r="K305" i="3"/>
  <c r="I305" i="3"/>
  <c r="H305" i="3"/>
  <c r="G305" i="3"/>
  <c r="F305" i="3"/>
  <c r="E305" i="3"/>
  <c r="D305" i="3"/>
  <c r="C305" i="3"/>
  <c r="B305" i="3"/>
  <c r="A305" i="3"/>
  <c r="AK304" i="3"/>
  <c r="AC304" i="3"/>
  <c r="AB304" i="3"/>
  <c r="AA304" i="3"/>
  <c r="Z304" i="3"/>
  <c r="Y304" i="3"/>
  <c r="X304" i="3"/>
  <c r="W304" i="3"/>
  <c r="V304" i="3"/>
  <c r="U304" i="3"/>
  <c r="T304" i="3"/>
  <c r="S304" i="3"/>
  <c r="R304" i="3"/>
  <c r="Q304" i="3"/>
  <c r="P304" i="3"/>
  <c r="O304" i="3"/>
  <c r="N304" i="3"/>
  <c r="M304" i="3"/>
  <c r="K304" i="3"/>
  <c r="J304" i="3"/>
  <c r="I304" i="3"/>
  <c r="H304" i="3"/>
  <c r="G304" i="3"/>
  <c r="F304" i="3"/>
  <c r="E304" i="3"/>
  <c r="D304" i="3"/>
  <c r="C304" i="3"/>
  <c r="B304" i="3"/>
  <c r="A304" i="3"/>
  <c r="AK303" i="3"/>
  <c r="AC303" i="3"/>
  <c r="AB303" i="3"/>
  <c r="AA303" i="3"/>
  <c r="Z303" i="3"/>
  <c r="Y303" i="3"/>
  <c r="X303" i="3"/>
  <c r="W303" i="3"/>
  <c r="V303" i="3"/>
  <c r="U303" i="3"/>
  <c r="T303" i="3"/>
  <c r="S303" i="3"/>
  <c r="R303" i="3"/>
  <c r="Q303" i="3"/>
  <c r="P303" i="3"/>
  <c r="O303" i="3"/>
  <c r="N303" i="3"/>
  <c r="M303" i="3"/>
  <c r="K303" i="3"/>
  <c r="J303" i="3"/>
  <c r="I303" i="3"/>
  <c r="H303" i="3"/>
  <c r="G303" i="3"/>
  <c r="F303" i="3"/>
  <c r="E303" i="3"/>
  <c r="D303" i="3"/>
  <c r="C303" i="3"/>
  <c r="B303" i="3"/>
  <c r="A303" i="3"/>
  <c r="AK302" i="3"/>
  <c r="AC302" i="3"/>
  <c r="AB302" i="3"/>
  <c r="AA302" i="3"/>
  <c r="Z302" i="3"/>
  <c r="Y302" i="3"/>
  <c r="X302" i="3"/>
  <c r="W302" i="3"/>
  <c r="V302" i="3"/>
  <c r="U302" i="3"/>
  <c r="T302" i="3"/>
  <c r="S302" i="3"/>
  <c r="R302" i="3"/>
  <c r="Q302" i="3"/>
  <c r="P302" i="3"/>
  <c r="O302" i="3"/>
  <c r="N302" i="3"/>
  <c r="M302" i="3"/>
  <c r="K302" i="3"/>
  <c r="I302" i="3"/>
  <c r="H302" i="3"/>
  <c r="G302" i="3"/>
  <c r="F302" i="3"/>
  <c r="E302" i="3"/>
  <c r="D302" i="3"/>
  <c r="C302" i="3"/>
  <c r="B302" i="3"/>
  <c r="A302" i="3"/>
  <c r="AK301" i="3"/>
  <c r="AC301" i="3"/>
  <c r="AB301" i="3"/>
  <c r="AA301" i="3"/>
  <c r="Z301" i="3"/>
  <c r="Y301" i="3"/>
  <c r="X301" i="3"/>
  <c r="W301" i="3"/>
  <c r="V301" i="3"/>
  <c r="U301" i="3"/>
  <c r="T301" i="3"/>
  <c r="S301" i="3"/>
  <c r="R301" i="3"/>
  <c r="Q301" i="3"/>
  <c r="P301" i="3"/>
  <c r="O301" i="3"/>
  <c r="N301" i="3"/>
  <c r="M301" i="3"/>
  <c r="K301" i="3"/>
  <c r="J301" i="3"/>
  <c r="I301" i="3"/>
  <c r="H301" i="3"/>
  <c r="G301" i="3"/>
  <c r="F301" i="3"/>
  <c r="E301" i="3"/>
  <c r="D301" i="3"/>
  <c r="C301" i="3"/>
  <c r="B301" i="3"/>
  <c r="A301" i="3"/>
  <c r="AK300" i="3"/>
  <c r="AC300" i="3"/>
  <c r="AB300" i="3"/>
  <c r="AA300" i="3"/>
  <c r="Z300" i="3"/>
  <c r="Y300" i="3"/>
  <c r="X300" i="3"/>
  <c r="W300" i="3"/>
  <c r="V300" i="3"/>
  <c r="U300" i="3"/>
  <c r="T300" i="3"/>
  <c r="S300" i="3"/>
  <c r="R300" i="3"/>
  <c r="Q300" i="3"/>
  <c r="P300" i="3"/>
  <c r="O300" i="3"/>
  <c r="N300" i="3"/>
  <c r="M300" i="3"/>
  <c r="K300" i="3"/>
  <c r="I300" i="3"/>
  <c r="H300" i="3"/>
  <c r="G300" i="3"/>
  <c r="F300" i="3"/>
  <c r="E300" i="3"/>
  <c r="D300" i="3"/>
  <c r="C300" i="3"/>
  <c r="B300" i="3"/>
  <c r="A300" i="3"/>
  <c r="AK299" i="3"/>
  <c r="AC299" i="3"/>
  <c r="AB299" i="3"/>
  <c r="AA299" i="3"/>
  <c r="Z299" i="3"/>
  <c r="Y299" i="3"/>
  <c r="X299" i="3"/>
  <c r="W299" i="3"/>
  <c r="V299" i="3"/>
  <c r="U299" i="3"/>
  <c r="T299" i="3"/>
  <c r="S299" i="3"/>
  <c r="R299" i="3"/>
  <c r="Q299" i="3"/>
  <c r="P299" i="3"/>
  <c r="O299" i="3"/>
  <c r="N299" i="3"/>
  <c r="M299" i="3"/>
  <c r="K299" i="3"/>
  <c r="J299" i="3"/>
  <c r="I299" i="3"/>
  <c r="H299" i="3"/>
  <c r="G299" i="3"/>
  <c r="F299" i="3"/>
  <c r="E299" i="3"/>
  <c r="D299" i="3"/>
  <c r="C299" i="3"/>
  <c r="B299" i="3"/>
  <c r="A299" i="3"/>
  <c r="AK298" i="3"/>
  <c r="AC298" i="3"/>
  <c r="AB298" i="3"/>
  <c r="AA298" i="3"/>
  <c r="Z298" i="3"/>
  <c r="Y298" i="3"/>
  <c r="X298" i="3"/>
  <c r="W298" i="3"/>
  <c r="V298" i="3"/>
  <c r="U298" i="3"/>
  <c r="T298" i="3"/>
  <c r="S298" i="3"/>
  <c r="R298" i="3"/>
  <c r="Q298" i="3"/>
  <c r="P298" i="3"/>
  <c r="O298" i="3"/>
  <c r="N298" i="3"/>
  <c r="M298" i="3"/>
  <c r="K298" i="3"/>
  <c r="I298" i="3"/>
  <c r="H298" i="3"/>
  <c r="G298" i="3"/>
  <c r="F298" i="3"/>
  <c r="E298" i="3"/>
  <c r="D298" i="3"/>
  <c r="C298" i="3"/>
  <c r="B298" i="3"/>
  <c r="A298" i="3"/>
  <c r="AK297" i="3"/>
  <c r="AC297" i="3"/>
  <c r="AB297" i="3"/>
  <c r="AA297" i="3"/>
  <c r="Z297" i="3"/>
  <c r="Y297" i="3"/>
  <c r="X297" i="3"/>
  <c r="W297" i="3"/>
  <c r="V297" i="3"/>
  <c r="U297" i="3"/>
  <c r="T297" i="3"/>
  <c r="S297" i="3"/>
  <c r="R297" i="3"/>
  <c r="Q297" i="3"/>
  <c r="P297" i="3"/>
  <c r="O297" i="3"/>
  <c r="N297" i="3"/>
  <c r="M297" i="3"/>
  <c r="K297" i="3"/>
  <c r="J297" i="3"/>
  <c r="I297" i="3"/>
  <c r="H297" i="3"/>
  <c r="G297" i="3"/>
  <c r="F297" i="3"/>
  <c r="E297" i="3"/>
  <c r="D297" i="3"/>
  <c r="C297" i="3"/>
  <c r="B297" i="3"/>
  <c r="A297" i="3"/>
  <c r="AK296" i="3"/>
  <c r="AC296" i="3"/>
  <c r="AB296" i="3"/>
  <c r="AA296" i="3"/>
  <c r="Z296" i="3"/>
  <c r="Y296" i="3"/>
  <c r="X296" i="3"/>
  <c r="W296" i="3"/>
  <c r="V296" i="3"/>
  <c r="U296" i="3"/>
  <c r="T296" i="3"/>
  <c r="S296" i="3"/>
  <c r="R296" i="3"/>
  <c r="Q296" i="3"/>
  <c r="P296" i="3"/>
  <c r="O296" i="3"/>
  <c r="N296" i="3"/>
  <c r="M296" i="3"/>
  <c r="K296" i="3"/>
  <c r="J296" i="3"/>
  <c r="I296" i="3"/>
  <c r="H296" i="3"/>
  <c r="G296" i="3"/>
  <c r="F296" i="3"/>
  <c r="E296" i="3"/>
  <c r="D296" i="3"/>
  <c r="C296" i="3"/>
  <c r="B296" i="3"/>
  <c r="A296" i="3"/>
  <c r="AK295" i="3"/>
  <c r="AC295" i="3"/>
  <c r="AB295" i="3"/>
  <c r="AA295" i="3"/>
  <c r="Z295" i="3"/>
  <c r="Y295" i="3"/>
  <c r="X295" i="3"/>
  <c r="W295" i="3"/>
  <c r="V295" i="3"/>
  <c r="U295" i="3"/>
  <c r="T295" i="3"/>
  <c r="S295" i="3"/>
  <c r="R295" i="3"/>
  <c r="Q295" i="3"/>
  <c r="P295" i="3"/>
  <c r="O295" i="3"/>
  <c r="N295" i="3"/>
  <c r="M295" i="3"/>
  <c r="K295" i="3"/>
  <c r="J295" i="3"/>
  <c r="I295" i="3"/>
  <c r="H295" i="3"/>
  <c r="G295" i="3"/>
  <c r="F295" i="3"/>
  <c r="E295" i="3"/>
  <c r="D295" i="3"/>
  <c r="C295" i="3"/>
  <c r="B295" i="3"/>
  <c r="A295" i="3"/>
  <c r="AK294" i="3"/>
  <c r="AC294" i="3"/>
  <c r="AB294" i="3"/>
  <c r="AA294" i="3"/>
  <c r="Z294" i="3"/>
  <c r="Y294" i="3"/>
  <c r="X294" i="3"/>
  <c r="W294" i="3"/>
  <c r="V294" i="3"/>
  <c r="U294" i="3"/>
  <c r="T294" i="3"/>
  <c r="S294" i="3"/>
  <c r="R294" i="3"/>
  <c r="Q294" i="3"/>
  <c r="P294" i="3"/>
  <c r="O294" i="3"/>
  <c r="N294" i="3"/>
  <c r="M294" i="3"/>
  <c r="K294" i="3"/>
  <c r="J294" i="3"/>
  <c r="I294" i="3"/>
  <c r="H294" i="3"/>
  <c r="G294" i="3"/>
  <c r="F294" i="3"/>
  <c r="E294" i="3"/>
  <c r="D294" i="3"/>
  <c r="C294" i="3"/>
  <c r="B294" i="3"/>
  <c r="A294" i="3"/>
  <c r="AK293" i="3"/>
  <c r="AC293" i="3"/>
  <c r="AB293" i="3"/>
  <c r="AA293" i="3"/>
  <c r="Z293" i="3"/>
  <c r="Y293" i="3"/>
  <c r="X293" i="3"/>
  <c r="W293" i="3"/>
  <c r="V293" i="3"/>
  <c r="U293" i="3"/>
  <c r="T293" i="3"/>
  <c r="S293" i="3"/>
  <c r="R293" i="3"/>
  <c r="Q293" i="3"/>
  <c r="P293" i="3"/>
  <c r="O293" i="3"/>
  <c r="N293" i="3"/>
  <c r="M293" i="3"/>
  <c r="K293" i="3"/>
  <c r="J293" i="3"/>
  <c r="I293" i="3"/>
  <c r="H293" i="3"/>
  <c r="G293" i="3"/>
  <c r="F293" i="3"/>
  <c r="E293" i="3"/>
  <c r="D293" i="3"/>
  <c r="C293" i="3"/>
  <c r="B293" i="3"/>
  <c r="A293" i="3"/>
  <c r="AK292" i="3"/>
  <c r="AC292" i="3"/>
  <c r="AB292" i="3"/>
  <c r="AA292" i="3"/>
  <c r="Z292" i="3"/>
  <c r="Y292" i="3"/>
  <c r="X292" i="3"/>
  <c r="W292" i="3"/>
  <c r="V292" i="3"/>
  <c r="U292" i="3"/>
  <c r="T292" i="3"/>
  <c r="S292" i="3"/>
  <c r="R292" i="3"/>
  <c r="Q292" i="3"/>
  <c r="P292" i="3"/>
  <c r="O292" i="3"/>
  <c r="N292" i="3"/>
  <c r="M292" i="3"/>
  <c r="K292" i="3"/>
  <c r="J292" i="3"/>
  <c r="I292" i="3"/>
  <c r="H292" i="3"/>
  <c r="G292" i="3"/>
  <c r="F292" i="3"/>
  <c r="E292" i="3"/>
  <c r="D292" i="3"/>
  <c r="C292" i="3"/>
  <c r="B292" i="3"/>
  <c r="A292" i="3"/>
  <c r="AK291" i="3"/>
  <c r="AC291" i="3"/>
  <c r="AB291" i="3"/>
  <c r="AA291" i="3"/>
  <c r="Z291" i="3"/>
  <c r="Y291" i="3"/>
  <c r="X291" i="3"/>
  <c r="W291" i="3"/>
  <c r="V291" i="3"/>
  <c r="U291" i="3"/>
  <c r="T291" i="3"/>
  <c r="S291" i="3"/>
  <c r="R291" i="3"/>
  <c r="Q291" i="3"/>
  <c r="P291" i="3"/>
  <c r="O291" i="3"/>
  <c r="N291" i="3"/>
  <c r="M291" i="3"/>
  <c r="K291" i="3"/>
  <c r="J291" i="3"/>
  <c r="I291" i="3"/>
  <c r="H291" i="3"/>
  <c r="G291" i="3"/>
  <c r="F291" i="3"/>
  <c r="E291" i="3"/>
  <c r="D291" i="3"/>
  <c r="C291" i="3"/>
  <c r="B291" i="3"/>
  <c r="A291" i="3"/>
  <c r="AK290" i="3"/>
  <c r="AC290" i="3"/>
  <c r="AB290" i="3"/>
  <c r="AA290" i="3"/>
  <c r="Z290" i="3"/>
  <c r="Y290" i="3"/>
  <c r="X290" i="3"/>
  <c r="W290" i="3"/>
  <c r="V290" i="3"/>
  <c r="U290" i="3"/>
  <c r="T290" i="3"/>
  <c r="S290" i="3"/>
  <c r="R290" i="3"/>
  <c r="Q290" i="3"/>
  <c r="P290" i="3"/>
  <c r="O290" i="3"/>
  <c r="N290" i="3"/>
  <c r="M290" i="3"/>
  <c r="K290" i="3"/>
  <c r="J290" i="3"/>
  <c r="I290" i="3"/>
  <c r="H290" i="3"/>
  <c r="G290" i="3"/>
  <c r="F290" i="3"/>
  <c r="E290" i="3"/>
  <c r="D290" i="3"/>
  <c r="C290" i="3"/>
  <c r="B290" i="3"/>
  <c r="A290" i="3"/>
  <c r="AK289" i="3"/>
  <c r="AC289" i="3"/>
  <c r="AB289" i="3"/>
  <c r="AA289" i="3"/>
  <c r="Z289" i="3"/>
  <c r="Y289" i="3"/>
  <c r="X289" i="3"/>
  <c r="W289" i="3"/>
  <c r="V289" i="3"/>
  <c r="U289" i="3"/>
  <c r="T289" i="3"/>
  <c r="S289" i="3"/>
  <c r="R289" i="3"/>
  <c r="Q289" i="3"/>
  <c r="P289" i="3"/>
  <c r="O289" i="3"/>
  <c r="N289" i="3"/>
  <c r="M289" i="3"/>
  <c r="K289" i="3"/>
  <c r="I289" i="3"/>
  <c r="H289" i="3"/>
  <c r="G289" i="3"/>
  <c r="F289" i="3"/>
  <c r="E289" i="3"/>
  <c r="D289" i="3"/>
  <c r="C289" i="3"/>
  <c r="B289" i="3"/>
  <c r="A289" i="3"/>
  <c r="AK288" i="3"/>
  <c r="AC288" i="3"/>
  <c r="AB288" i="3"/>
  <c r="AA288" i="3"/>
  <c r="Z288" i="3"/>
  <c r="Y288" i="3"/>
  <c r="X288" i="3"/>
  <c r="W288" i="3"/>
  <c r="V288" i="3"/>
  <c r="U288" i="3"/>
  <c r="T288" i="3"/>
  <c r="S288" i="3"/>
  <c r="R288" i="3"/>
  <c r="Q288" i="3"/>
  <c r="P288" i="3"/>
  <c r="O288" i="3"/>
  <c r="N288" i="3"/>
  <c r="M288" i="3"/>
  <c r="K288" i="3"/>
  <c r="J288" i="3"/>
  <c r="I288" i="3"/>
  <c r="H288" i="3"/>
  <c r="G288" i="3"/>
  <c r="F288" i="3"/>
  <c r="E288" i="3"/>
  <c r="D288" i="3"/>
  <c r="C288" i="3"/>
  <c r="B288" i="3"/>
  <c r="A288" i="3"/>
  <c r="AK287" i="3"/>
  <c r="AC287" i="3"/>
  <c r="AB287" i="3"/>
  <c r="AA287" i="3"/>
  <c r="Z287" i="3"/>
  <c r="Y287" i="3"/>
  <c r="X287" i="3"/>
  <c r="W287" i="3"/>
  <c r="V287" i="3"/>
  <c r="U287" i="3"/>
  <c r="T287" i="3"/>
  <c r="S287" i="3"/>
  <c r="R287" i="3"/>
  <c r="Q287" i="3"/>
  <c r="P287" i="3"/>
  <c r="O287" i="3"/>
  <c r="N287" i="3"/>
  <c r="M287" i="3"/>
  <c r="K287" i="3"/>
  <c r="J287" i="3"/>
  <c r="I287" i="3"/>
  <c r="H287" i="3"/>
  <c r="G287" i="3"/>
  <c r="F287" i="3"/>
  <c r="E287" i="3"/>
  <c r="D287" i="3"/>
  <c r="B287" i="3"/>
  <c r="A287" i="3"/>
  <c r="AK286" i="3"/>
  <c r="AC286" i="3"/>
  <c r="AB286" i="3"/>
  <c r="AA286" i="3"/>
  <c r="Z286" i="3"/>
  <c r="Y286" i="3"/>
  <c r="X286" i="3"/>
  <c r="W286" i="3"/>
  <c r="V286" i="3"/>
  <c r="U286" i="3"/>
  <c r="T286" i="3"/>
  <c r="S286" i="3"/>
  <c r="R286" i="3"/>
  <c r="Q286" i="3"/>
  <c r="P286" i="3"/>
  <c r="O286" i="3"/>
  <c r="N286" i="3"/>
  <c r="M286" i="3"/>
  <c r="K286" i="3"/>
  <c r="J286" i="3"/>
  <c r="I286" i="3"/>
  <c r="H286" i="3"/>
  <c r="G286" i="3"/>
  <c r="F286" i="3"/>
  <c r="E286" i="3"/>
  <c r="D286" i="3"/>
  <c r="C286" i="3"/>
  <c r="B286" i="3"/>
  <c r="A286" i="3"/>
  <c r="AK285" i="3"/>
  <c r="AC285" i="3"/>
  <c r="AB285" i="3"/>
  <c r="AA285" i="3"/>
  <c r="Z285" i="3"/>
  <c r="Y285" i="3"/>
  <c r="X285" i="3"/>
  <c r="W285" i="3"/>
  <c r="V285" i="3"/>
  <c r="U285" i="3"/>
  <c r="T285" i="3"/>
  <c r="S285" i="3"/>
  <c r="R285" i="3"/>
  <c r="Q285" i="3"/>
  <c r="P285" i="3"/>
  <c r="O285" i="3"/>
  <c r="N285" i="3"/>
  <c r="M285" i="3"/>
  <c r="K285" i="3"/>
  <c r="J285" i="3"/>
  <c r="I285" i="3"/>
  <c r="H285" i="3"/>
  <c r="G285" i="3"/>
  <c r="F285" i="3"/>
  <c r="E285" i="3"/>
  <c r="D285" i="3"/>
  <c r="C285" i="3"/>
  <c r="B285" i="3"/>
  <c r="A285" i="3"/>
  <c r="AK284" i="3"/>
  <c r="AC284" i="3"/>
  <c r="AB284" i="3"/>
  <c r="AA284" i="3"/>
  <c r="Z284" i="3"/>
  <c r="Y284" i="3"/>
  <c r="X284" i="3"/>
  <c r="W284" i="3"/>
  <c r="V284" i="3"/>
  <c r="U284" i="3"/>
  <c r="T284" i="3"/>
  <c r="S284" i="3"/>
  <c r="R284" i="3"/>
  <c r="Q284" i="3"/>
  <c r="P284" i="3"/>
  <c r="O284" i="3"/>
  <c r="N284" i="3"/>
  <c r="M284" i="3"/>
  <c r="K284" i="3"/>
  <c r="J284" i="3"/>
  <c r="I284" i="3"/>
  <c r="H284" i="3"/>
  <c r="G284" i="3"/>
  <c r="F284" i="3"/>
  <c r="E284" i="3"/>
  <c r="D284" i="3"/>
  <c r="C284" i="3"/>
  <c r="B284" i="3"/>
  <c r="A284" i="3"/>
  <c r="AK283" i="3"/>
  <c r="AC283" i="3"/>
  <c r="AB283" i="3"/>
  <c r="AA283" i="3"/>
  <c r="Z283" i="3"/>
  <c r="Y283" i="3"/>
  <c r="X283" i="3"/>
  <c r="W283" i="3"/>
  <c r="V283" i="3"/>
  <c r="U283" i="3"/>
  <c r="T283" i="3"/>
  <c r="S283" i="3"/>
  <c r="R283" i="3"/>
  <c r="Q283" i="3"/>
  <c r="P283" i="3"/>
  <c r="O283" i="3"/>
  <c r="N283" i="3"/>
  <c r="M283" i="3"/>
  <c r="K283" i="3"/>
  <c r="J283" i="3"/>
  <c r="I283" i="3"/>
  <c r="H283" i="3"/>
  <c r="G283" i="3"/>
  <c r="F283" i="3"/>
  <c r="E283" i="3"/>
  <c r="D283" i="3"/>
  <c r="C283" i="3"/>
  <c r="B283" i="3"/>
  <c r="A283" i="3"/>
  <c r="AK282" i="3"/>
  <c r="AC282" i="3"/>
  <c r="AB282" i="3"/>
  <c r="AA282" i="3"/>
  <c r="Z282" i="3"/>
  <c r="Y282" i="3"/>
  <c r="X282" i="3"/>
  <c r="W282" i="3"/>
  <c r="V282" i="3"/>
  <c r="U282" i="3"/>
  <c r="T282" i="3"/>
  <c r="S282" i="3"/>
  <c r="R282" i="3"/>
  <c r="Q282" i="3"/>
  <c r="P282" i="3"/>
  <c r="O282" i="3"/>
  <c r="N282" i="3"/>
  <c r="M282" i="3"/>
  <c r="K282" i="3"/>
  <c r="J282" i="3"/>
  <c r="I282" i="3"/>
  <c r="H282" i="3"/>
  <c r="G282" i="3"/>
  <c r="F282" i="3"/>
  <c r="E282" i="3"/>
  <c r="D282" i="3"/>
  <c r="C282" i="3"/>
  <c r="B282" i="3"/>
  <c r="A282" i="3"/>
  <c r="AK281" i="3"/>
  <c r="AC281" i="3"/>
  <c r="AB281" i="3"/>
  <c r="AA281" i="3"/>
  <c r="Z281" i="3"/>
  <c r="Y281" i="3"/>
  <c r="X281" i="3"/>
  <c r="W281" i="3"/>
  <c r="V281" i="3"/>
  <c r="U281" i="3"/>
  <c r="T281" i="3"/>
  <c r="S281" i="3"/>
  <c r="R281" i="3"/>
  <c r="Q281" i="3"/>
  <c r="P281" i="3"/>
  <c r="O281" i="3"/>
  <c r="N281" i="3"/>
  <c r="M281" i="3"/>
  <c r="K281" i="3"/>
  <c r="J281" i="3"/>
  <c r="I281" i="3"/>
  <c r="H281" i="3"/>
  <c r="G281" i="3"/>
  <c r="F281" i="3"/>
  <c r="E281" i="3"/>
  <c r="D281" i="3"/>
  <c r="C281" i="3"/>
  <c r="B281" i="3"/>
  <c r="A281" i="3"/>
  <c r="AK280" i="3"/>
  <c r="AC280" i="3"/>
  <c r="AB280" i="3"/>
  <c r="AA280" i="3"/>
  <c r="Z280" i="3"/>
  <c r="Y280" i="3"/>
  <c r="X280" i="3"/>
  <c r="W280" i="3"/>
  <c r="V280" i="3"/>
  <c r="U280" i="3"/>
  <c r="T280" i="3"/>
  <c r="S280" i="3"/>
  <c r="R280" i="3"/>
  <c r="Q280" i="3"/>
  <c r="P280" i="3"/>
  <c r="O280" i="3"/>
  <c r="N280" i="3"/>
  <c r="M280" i="3"/>
  <c r="K280" i="3"/>
  <c r="J280" i="3"/>
  <c r="I280" i="3"/>
  <c r="H280" i="3"/>
  <c r="G280" i="3"/>
  <c r="F280" i="3"/>
  <c r="E280" i="3"/>
  <c r="D280" i="3"/>
  <c r="C280" i="3"/>
  <c r="B280" i="3"/>
  <c r="A280" i="3"/>
  <c r="AK279" i="3"/>
  <c r="AC279" i="3"/>
  <c r="AB279" i="3"/>
  <c r="AA279" i="3"/>
  <c r="Z279" i="3"/>
  <c r="Y279" i="3"/>
  <c r="X279" i="3"/>
  <c r="W279" i="3"/>
  <c r="V279" i="3"/>
  <c r="U279" i="3"/>
  <c r="T279" i="3"/>
  <c r="S279" i="3"/>
  <c r="R279" i="3"/>
  <c r="Q279" i="3"/>
  <c r="P279" i="3"/>
  <c r="O279" i="3"/>
  <c r="N279" i="3"/>
  <c r="M279" i="3"/>
  <c r="K279" i="3"/>
  <c r="I279" i="3"/>
  <c r="H279" i="3"/>
  <c r="G279" i="3"/>
  <c r="F279" i="3"/>
  <c r="E279" i="3"/>
  <c r="D279" i="3"/>
  <c r="C279" i="3"/>
  <c r="B279" i="3"/>
  <c r="A279" i="3"/>
  <c r="AK278" i="3"/>
  <c r="AC278" i="3"/>
  <c r="AB278" i="3"/>
  <c r="AA278" i="3"/>
  <c r="Z278" i="3"/>
  <c r="Y278" i="3"/>
  <c r="X278" i="3"/>
  <c r="W278" i="3"/>
  <c r="V278" i="3"/>
  <c r="U278" i="3"/>
  <c r="T278" i="3"/>
  <c r="S278" i="3"/>
  <c r="R278" i="3"/>
  <c r="Q278" i="3"/>
  <c r="P278" i="3"/>
  <c r="N278" i="3"/>
  <c r="M278" i="3"/>
  <c r="K278" i="3"/>
  <c r="J278" i="3"/>
  <c r="I278" i="3"/>
  <c r="H278" i="3"/>
  <c r="G278" i="3"/>
  <c r="F278" i="3"/>
  <c r="E278" i="3"/>
  <c r="D278" i="3"/>
  <c r="C278" i="3"/>
  <c r="B278" i="3"/>
  <c r="A278" i="3"/>
  <c r="AK277" i="3"/>
  <c r="AC277" i="3"/>
  <c r="AB277" i="3"/>
  <c r="AA277" i="3"/>
  <c r="Z277" i="3"/>
  <c r="Y277" i="3"/>
  <c r="X277" i="3"/>
  <c r="W277" i="3"/>
  <c r="V277" i="3"/>
  <c r="U277" i="3"/>
  <c r="T277" i="3"/>
  <c r="S277" i="3"/>
  <c r="R277" i="3"/>
  <c r="Q277" i="3"/>
  <c r="P277" i="3"/>
  <c r="O277" i="3"/>
  <c r="N277" i="3"/>
  <c r="M277" i="3"/>
  <c r="K277" i="3"/>
  <c r="I277" i="3"/>
  <c r="H277" i="3"/>
  <c r="G277" i="3"/>
  <c r="F277" i="3"/>
  <c r="E277" i="3"/>
  <c r="D277" i="3"/>
  <c r="C277" i="3"/>
  <c r="B277" i="3"/>
  <c r="A277" i="3"/>
  <c r="AK276" i="3"/>
  <c r="AC276" i="3"/>
  <c r="AB276" i="3"/>
  <c r="AA276" i="3"/>
  <c r="Z276" i="3"/>
  <c r="Y276" i="3"/>
  <c r="X276" i="3"/>
  <c r="W276" i="3"/>
  <c r="V276" i="3"/>
  <c r="U276" i="3"/>
  <c r="T276" i="3"/>
  <c r="S276" i="3"/>
  <c r="R276" i="3"/>
  <c r="Q276" i="3"/>
  <c r="P276" i="3"/>
  <c r="O276" i="3"/>
  <c r="N276" i="3"/>
  <c r="M276" i="3"/>
  <c r="K276" i="3"/>
  <c r="I276" i="3"/>
  <c r="H276" i="3"/>
  <c r="G276" i="3"/>
  <c r="F276" i="3"/>
  <c r="E276" i="3"/>
  <c r="D276" i="3"/>
  <c r="C276" i="3"/>
  <c r="B276" i="3"/>
  <c r="A276" i="3"/>
  <c r="AK275" i="3"/>
  <c r="AC275" i="3"/>
  <c r="AB275" i="3"/>
  <c r="AA275" i="3"/>
  <c r="Z275" i="3"/>
  <c r="Y275" i="3"/>
  <c r="X275" i="3"/>
  <c r="W275" i="3"/>
  <c r="V275" i="3"/>
  <c r="U275" i="3"/>
  <c r="T275" i="3"/>
  <c r="S275" i="3"/>
  <c r="R275" i="3"/>
  <c r="Q275" i="3"/>
  <c r="P275" i="3"/>
  <c r="O275" i="3"/>
  <c r="N275" i="3"/>
  <c r="M275" i="3"/>
  <c r="K275" i="3"/>
  <c r="J275" i="3"/>
  <c r="I275" i="3"/>
  <c r="H275" i="3"/>
  <c r="G275" i="3"/>
  <c r="F275" i="3"/>
  <c r="E275" i="3"/>
  <c r="D275" i="3"/>
  <c r="C275" i="3"/>
  <c r="B275" i="3"/>
  <c r="A275" i="3"/>
  <c r="AK274" i="3"/>
  <c r="AC274" i="3"/>
  <c r="AB274" i="3"/>
  <c r="AA274" i="3"/>
  <c r="Z274" i="3"/>
  <c r="Y274" i="3"/>
  <c r="X274" i="3"/>
  <c r="W274" i="3"/>
  <c r="V274" i="3"/>
  <c r="U274" i="3"/>
  <c r="T274" i="3"/>
  <c r="S274" i="3"/>
  <c r="R274" i="3"/>
  <c r="Q274" i="3"/>
  <c r="P274" i="3"/>
  <c r="N274" i="3"/>
  <c r="M274" i="3"/>
  <c r="L274" i="3"/>
  <c r="K274" i="3"/>
  <c r="J274" i="3"/>
  <c r="I274" i="3"/>
  <c r="H274" i="3"/>
  <c r="G274" i="3"/>
  <c r="F274" i="3"/>
  <c r="E274" i="3"/>
  <c r="D274" i="3"/>
  <c r="C274" i="3"/>
  <c r="B274" i="3"/>
  <c r="A274" i="3"/>
  <c r="AK273" i="3"/>
  <c r="AC273" i="3"/>
  <c r="AB273" i="3"/>
  <c r="AA273" i="3"/>
  <c r="Z273" i="3"/>
  <c r="Y273" i="3"/>
  <c r="X273" i="3"/>
  <c r="W273" i="3"/>
  <c r="V273" i="3"/>
  <c r="U273" i="3"/>
  <c r="T273" i="3"/>
  <c r="S273" i="3"/>
  <c r="R273" i="3"/>
  <c r="Q273" i="3"/>
  <c r="P273" i="3"/>
  <c r="O273" i="3"/>
  <c r="N273" i="3"/>
  <c r="M273" i="3"/>
  <c r="K273" i="3"/>
  <c r="J273" i="3"/>
  <c r="I273" i="3"/>
  <c r="H273" i="3"/>
  <c r="G273" i="3"/>
  <c r="F273" i="3"/>
  <c r="E273" i="3"/>
  <c r="D273" i="3"/>
  <c r="C273" i="3"/>
  <c r="B273" i="3"/>
  <c r="A273" i="3"/>
  <c r="AK272" i="3"/>
  <c r="AC272" i="3"/>
  <c r="AB272" i="3"/>
  <c r="AA272" i="3"/>
  <c r="Z272" i="3"/>
  <c r="Y272" i="3"/>
  <c r="X272" i="3"/>
  <c r="W272" i="3"/>
  <c r="V272" i="3"/>
  <c r="U272" i="3"/>
  <c r="T272" i="3"/>
  <c r="S272" i="3"/>
  <c r="R272" i="3"/>
  <c r="Q272" i="3"/>
  <c r="P272" i="3"/>
  <c r="O272" i="3"/>
  <c r="N272" i="3"/>
  <c r="M272" i="3"/>
  <c r="K272" i="3"/>
  <c r="I272" i="3"/>
  <c r="H272" i="3"/>
  <c r="G272" i="3"/>
  <c r="F272" i="3"/>
  <c r="E272" i="3"/>
  <c r="D272" i="3"/>
  <c r="C272" i="3"/>
  <c r="B272" i="3"/>
  <c r="A272" i="3"/>
  <c r="AK271" i="3"/>
  <c r="AC271" i="3"/>
  <c r="AB271" i="3"/>
  <c r="AA271" i="3"/>
  <c r="Z271" i="3"/>
  <c r="Y271" i="3"/>
  <c r="X271" i="3"/>
  <c r="W271" i="3"/>
  <c r="V271" i="3"/>
  <c r="U271" i="3"/>
  <c r="T271" i="3"/>
  <c r="S271" i="3"/>
  <c r="R271" i="3"/>
  <c r="Q271" i="3"/>
  <c r="P271" i="3"/>
  <c r="O271" i="3"/>
  <c r="N271" i="3"/>
  <c r="M271" i="3"/>
  <c r="K271" i="3"/>
  <c r="J271" i="3"/>
  <c r="I271" i="3"/>
  <c r="H271" i="3"/>
  <c r="G271" i="3"/>
  <c r="F271" i="3"/>
  <c r="E271" i="3"/>
  <c r="D271" i="3"/>
  <c r="C271" i="3"/>
  <c r="B271" i="3"/>
  <c r="A271" i="3"/>
  <c r="AK270" i="3"/>
  <c r="AC270" i="3"/>
  <c r="AB270" i="3"/>
  <c r="AA270" i="3"/>
  <c r="Z270" i="3"/>
  <c r="Y270" i="3"/>
  <c r="X270" i="3"/>
  <c r="W270" i="3"/>
  <c r="V270" i="3"/>
  <c r="U270" i="3"/>
  <c r="T270" i="3"/>
  <c r="S270" i="3"/>
  <c r="R270" i="3"/>
  <c r="Q270" i="3"/>
  <c r="P270" i="3"/>
  <c r="O270" i="3"/>
  <c r="N270" i="3"/>
  <c r="M270" i="3"/>
  <c r="K270" i="3"/>
  <c r="J270" i="3"/>
  <c r="I270" i="3"/>
  <c r="H270" i="3"/>
  <c r="G270" i="3"/>
  <c r="F270" i="3"/>
  <c r="E270" i="3"/>
  <c r="D270" i="3"/>
  <c r="C270" i="3"/>
  <c r="B270" i="3"/>
  <c r="A270" i="3"/>
  <c r="AK269" i="3"/>
  <c r="AC269" i="3"/>
  <c r="AB269" i="3"/>
  <c r="AA269" i="3"/>
  <c r="Z269" i="3"/>
  <c r="Y269" i="3"/>
  <c r="X269" i="3"/>
  <c r="W269" i="3"/>
  <c r="V269" i="3"/>
  <c r="U269" i="3"/>
  <c r="T269" i="3"/>
  <c r="S269" i="3"/>
  <c r="R269" i="3"/>
  <c r="Q269" i="3"/>
  <c r="P269" i="3"/>
  <c r="O269" i="3"/>
  <c r="N269" i="3"/>
  <c r="M269" i="3"/>
  <c r="K269" i="3"/>
  <c r="J269" i="3"/>
  <c r="I269" i="3"/>
  <c r="H269" i="3"/>
  <c r="G269" i="3"/>
  <c r="F269" i="3"/>
  <c r="E269" i="3"/>
  <c r="D269" i="3"/>
  <c r="C269" i="3"/>
  <c r="B269" i="3"/>
  <c r="A269" i="3"/>
  <c r="AK268" i="3"/>
  <c r="AC268" i="3"/>
  <c r="AB268" i="3"/>
  <c r="AA268" i="3"/>
  <c r="Z268" i="3"/>
  <c r="Y268" i="3"/>
  <c r="X268" i="3"/>
  <c r="W268" i="3"/>
  <c r="V268" i="3"/>
  <c r="U268" i="3"/>
  <c r="T268" i="3"/>
  <c r="S268" i="3"/>
  <c r="R268" i="3"/>
  <c r="Q268" i="3"/>
  <c r="P268" i="3"/>
  <c r="O268" i="3"/>
  <c r="N268" i="3"/>
  <c r="M268" i="3"/>
  <c r="K268" i="3"/>
  <c r="J268" i="3"/>
  <c r="I268" i="3"/>
  <c r="H268" i="3"/>
  <c r="G268" i="3"/>
  <c r="F268" i="3"/>
  <c r="E268" i="3"/>
  <c r="D268" i="3"/>
  <c r="C268" i="3"/>
  <c r="B268" i="3"/>
  <c r="A268" i="3"/>
  <c r="AK267" i="3"/>
  <c r="AC267" i="3"/>
  <c r="AB267" i="3"/>
  <c r="AA267" i="3"/>
  <c r="Z267" i="3"/>
  <c r="Y267" i="3"/>
  <c r="X267" i="3"/>
  <c r="W267" i="3"/>
  <c r="V267" i="3"/>
  <c r="U267" i="3"/>
  <c r="T267" i="3"/>
  <c r="S267" i="3"/>
  <c r="R267" i="3"/>
  <c r="Q267" i="3"/>
  <c r="P267" i="3"/>
  <c r="O267" i="3"/>
  <c r="N267" i="3"/>
  <c r="M267" i="3"/>
  <c r="K267" i="3"/>
  <c r="J267" i="3"/>
  <c r="I267" i="3"/>
  <c r="H267" i="3"/>
  <c r="G267" i="3"/>
  <c r="F267" i="3"/>
  <c r="E267" i="3"/>
  <c r="D267" i="3"/>
  <c r="C267" i="3"/>
  <c r="B267" i="3"/>
  <c r="A267" i="3"/>
  <c r="AK266" i="3"/>
  <c r="AC266" i="3"/>
  <c r="AB266" i="3"/>
  <c r="AA266" i="3"/>
  <c r="Z266" i="3"/>
  <c r="Y266" i="3"/>
  <c r="X266" i="3"/>
  <c r="W266" i="3"/>
  <c r="V266" i="3"/>
  <c r="U266" i="3"/>
  <c r="T266" i="3"/>
  <c r="S266" i="3"/>
  <c r="R266" i="3"/>
  <c r="Q266" i="3"/>
  <c r="P266" i="3"/>
  <c r="O266" i="3"/>
  <c r="N266" i="3"/>
  <c r="M266" i="3"/>
  <c r="K266" i="3"/>
  <c r="I266" i="3"/>
  <c r="H266" i="3"/>
  <c r="G266" i="3"/>
  <c r="F266" i="3"/>
  <c r="E266" i="3"/>
  <c r="D266" i="3"/>
  <c r="C266" i="3"/>
  <c r="B266" i="3"/>
  <c r="A266" i="3"/>
  <c r="AK265" i="3"/>
  <c r="AC265" i="3"/>
  <c r="AB265" i="3"/>
  <c r="AA265" i="3"/>
  <c r="Z265" i="3"/>
  <c r="Y265" i="3"/>
  <c r="X265" i="3"/>
  <c r="W265" i="3"/>
  <c r="V265" i="3"/>
  <c r="U265" i="3"/>
  <c r="T265" i="3"/>
  <c r="S265" i="3"/>
  <c r="R265" i="3"/>
  <c r="Q265" i="3"/>
  <c r="P265" i="3"/>
  <c r="O265" i="3"/>
  <c r="N265" i="3"/>
  <c r="M265" i="3"/>
  <c r="K265" i="3"/>
  <c r="I265" i="3"/>
  <c r="H265" i="3"/>
  <c r="G265" i="3"/>
  <c r="F265" i="3"/>
  <c r="E265" i="3"/>
  <c r="D265" i="3"/>
  <c r="C265" i="3"/>
  <c r="B265" i="3"/>
  <c r="A265" i="3"/>
  <c r="AK264" i="3"/>
  <c r="AC264" i="3"/>
  <c r="AB264" i="3"/>
  <c r="AA264" i="3"/>
  <c r="Z264" i="3"/>
  <c r="Y264" i="3"/>
  <c r="X264" i="3"/>
  <c r="W264" i="3"/>
  <c r="V264" i="3"/>
  <c r="U264" i="3"/>
  <c r="T264" i="3"/>
  <c r="S264" i="3"/>
  <c r="R264" i="3"/>
  <c r="Q264" i="3"/>
  <c r="P264" i="3"/>
  <c r="O264" i="3"/>
  <c r="N264" i="3"/>
  <c r="M264" i="3"/>
  <c r="K264" i="3"/>
  <c r="I264" i="3"/>
  <c r="H264" i="3"/>
  <c r="G264" i="3"/>
  <c r="F264" i="3"/>
  <c r="E264" i="3"/>
  <c r="D264" i="3"/>
  <c r="C264" i="3"/>
  <c r="B264" i="3"/>
  <c r="A264" i="3"/>
  <c r="AK263" i="3"/>
  <c r="AC263" i="3"/>
  <c r="AB263" i="3"/>
  <c r="AA263" i="3"/>
  <c r="Z263" i="3"/>
  <c r="Y263" i="3"/>
  <c r="X263" i="3"/>
  <c r="W263" i="3"/>
  <c r="V263" i="3"/>
  <c r="U263" i="3"/>
  <c r="T263" i="3"/>
  <c r="S263" i="3"/>
  <c r="R263" i="3"/>
  <c r="Q263" i="3"/>
  <c r="P263" i="3"/>
  <c r="O263" i="3"/>
  <c r="N263" i="3"/>
  <c r="M263" i="3"/>
  <c r="K263" i="3"/>
  <c r="J263" i="3"/>
  <c r="I263" i="3"/>
  <c r="H263" i="3"/>
  <c r="G263" i="3"/>
  <c r="F263" i="3"/>
  <c r="E263" i="3"/>
  <c r="D263" i="3"/>
  <c r="C263" i="3"/>
  <c r="B263" i="3"/>
  <c r="A263" i="3"/>
  <c r="AK262" i="3"/>
  <c r="AC262" i="3"/>
  <c r="AB262" i="3"/>
  <c r="AA262" i="3"/>
  <c r="Z262" i="3"/>
  <c r="Y262" i="3"/>
  <c r="X262" i="3"/>
  <c r="W262" i="3"/>
  <c r="V262" i="3"/>
  <c r="U262" i="3"/>
  <c r="T262" i="3"/>
  <c r="S262" i="3"/>
  <c r="R262" i="3"/>
  <c r="Q262" i="3"/>
  <c r="P262" i="3"/>
  <c r="O262" i="3"/>
  <c r="N262" i="3"/>
  <c r="M262" i="3"/>
  <c r="K262" i="3"/>
  <c r="I262" i="3"/>
  <c r="H262" i="3"/>
  <c r="G262" i="3"/>
  <c r="F262" i="3"/>
  <c r="E262" i="3"/>
  <c r="D262" i="3"/>
  <c r="C262" i="3"/>
  <c r="B262" i="3"/>
  <c r="A262" i="3"/>
  <c r="AK261" i="3"/>
  <c r="AC261" i="3"/>
  <c r="AB261" i="3"/>
  <c r="AA261" i="3"/>
  <c r="Z261" i="3"/>
  <c r="Y261" i="3"/>
  <c r="X261" i="3"/>
  <c r="W261" i="3"/>
  <c r="V261" i="3"/>
  <c r="U261" i="3"/>
  <c r="T261" i="3"/>
  <c r="S261" i="3"/>
  <c r="R261" i="3"/>
  <c r="Q261" i="3"/>
  <c r="P261" i="3"/>
  <c r="O261" i="3"/>
  <c r="N261" i="3"/>
  <c r="M261" i="3"/>
  <c r="K261" i="3"/>
  <c r="J261" i="3"/>
  <c r="I261" i="3"/>
  <c r="H261" i="3"/>
  <c r="G261" i="3"/>
  <c r="F261" i="3"/>
  <c r="E261" i="3"/>
  <c r="D261" i="3"/>
  <c r="C261" i="3"/>
  <c r="B261" i="3"/>
  <c r="A261" i="3"/>
  <c r="AK260" i="3"/>
  <c r="AC260" i="3"/>
  <c r="AB260" i="3"/>
  <c r="AA260" i="3"/>
  <c r="Z260" i="3"/>
  <c r="Y260" i="3"/>
  <c r="X260" i="3"/>
  <c r="W260" i="3"/>
  <c r="V260" i="3"/>
  <c r="U260" i="3"/>
  <c r="T260" i="3"/>
  <c r="S260" i="3"/>
  <c r="R260" i="3"/>
  <c r="Q260" i="3"/>
  <c r="P260" i="3"/>
  <c r="O260" i="3"/>
  <c r="N260" i="3"/>
  <c r="M260" i="3"/>
  <c r="K260" i="3"/>
  <c r="J260" i="3"/>
  <c r="I260" i="3"/>
  <c r="H260" i="3"/>
  <c r="G260" i="3"/>
  <c r="F260" i="3"/>
  <c r="E260" i="3"/>
  <c r="D260" i="3"/>
  <c r="C260" i="3"/>
  <c r="B260" i="3"/>
  <c r="A260" i="3"/>
  <c r="AK259" i="3"/>
  <c r="AC259" i="3"/>
  <c r="AB259" i="3"/>
  <c r="AA259" i="3"/>
  <c r="Z259" i="3"/>
  <c r="Y259" i="3"/>
  <c r="X259" i="3"/>
  <c r="W259" i="3"/>
  <c r="V259" i="3"/>
  <c r="U259" i="3"/>
  <c r="T259" i="3"/>
  <c r="S259" i="3"/>
  <c r="R259" i="3"/>
  <c r="Q259" i="3"/>
  <c r="P259" i="3"/>
  <c r="O259" i="3"/>
  <c r="N259" i="3"/>
  <c r="M259" i="3"/>
  <c r="K259" i="3"/>
  <c r="J259" i="3"/>
  <c r="I259" i="3"/>
  <c r="H259" i="3"/>
  <c r="G259" i="3"/>
  <c r="F259" i="3"/>
  <c r="E259" i="3"/>
  <c r="D259" i="3"/>
  <c r="C259" i="3"/>
  <c r="B259" i="3"/>
  <c r="A259" i="3"/>
  <c r="AK258" i="3"/>
  <c r="AC258" i="3"/>
  <c r="AB258" i="3"/>
  <c r="AA258" i="3"/>
  <c r="Z258" i="3"/>
  <c r="Y258" i="3"/>
  <c r="X258" i="3"/>
  <c r="W258" i="3"/>
  <c r="V258" i="3"/>
  <c r="U258" i="3"/>
  <c r="T258" i="3"/>
  <c r="S258" i="3"/>
  <c r="R258" i="3"/>
  <c r="Q258" i="3"/>
  <c r="P258" i="3"/>
  <c r="O258" i="3"/>
  <c r="N258" i="3"/>
  <c r="M258" i="3"/>
  <c r="K258" i="3"/>
  <c r="I258" i="3"/>
  <c r="H258" i="3"/>
  <c r="G258" i="3"/>
  <c r="F258" i="3"/>
  <c r="E258" i="3"/>
  <c r="D258" i="3"/>
  <c r="C258" i="3"/>
  <c r="B258" i="3"/>
  <c r="A258" i="3"/>
  <c r="AK257" i="3"/>
  <c r="AC257" i="3"/>
  <c r="AB257" i="3"/>
  <c r="AA257" i="3"/>
  <c r="Z257" i="3"/>
  <c r="Y257" i="3"/>
  <c r="X257" i="3"/>
  <c r="W257" i="3"/>
  <c r="V257" i="3"/>
  <c r="U257" i="3"/>
  <c r="T257" i="3"/>
  <c r="S257" i="3"/>
  <c r="R257" i="3"/>
  <c r="Q257" i="3"/>
  <c r="P257" i="3"/>
  <c r="O257" i="3"/>
  <c r="N257" i="3"/>
  <c r="M257" i="3"/>
  <c r="K257" i="3"/>
  <c r="J257" i="3"/>
  <c r="I257" i="3"/>
  <c r="H257" i="3"/>
  <c r="G257" i="3"/>
  <c r="F257" i="3"/>
  <c r="E257" i="3"/>
  <c r="D257" i="3"/>
  <c r="C257" i="3"/>
  <c r="B257" i="3"/>
  <c r="A257" i="3"/>
  <c r="AK256" i="3"/>
  <c r="AC256" i="3"/>
  <c r="AB256" i="3"/>
  <c r="AA256" i="3"/>
  <c r="Z256" i="3"/>
  <c r="Y256" i="3"/>
  <c r="X256" i="3"/>
  <c r="W256" i="3"/>
  <c r="V256" i="3"/>
  <c r="U256" i="3"/>
  <c r="T256" i="3"/>
  <c r="S256" i="3"/>
  <c r="R256" i="3"/>
  <c r="Q256" i="3"/>
  <c r="P256" i="3"/>
  <c r="O256" i="3"/>
  <c r="N256" i="3"/>
  <c r="M256" i="3"/>
  <c r="K256" i="3"/>
  <c r="J256" i="3"/>
  <c r="I256" i="3"/>
  <c r="H256" i="3"/>
  <c r="G256" i="3"/>
  <c r="F256" i="3"/>
  <c r="E256" i="3"/>
  <c r="D256" i="3"/>
  <c r="C256" i="3"/>
  <c r="B256" i="3"/>
  <c r="A256" i="3"/>
  <c r="AK255" i="3"/>
  <c r="AC255" i="3"/>
  <c r="AB255" i="3"/>
  <c r="AA255" i="3"/>
  <c r="Z255" i="3"/>
  <c r="Y255" i="3"/>
  <c r="X255" i="3"/>
  <c r="W255" i="3"/>
  <c r="V255" i="3"/>
  <c r="U255" i="3"/>
  <c r="T255" i="3"/>
  <c r="S255" i="3"/>
  <c r="R255" i="3"/>
  <c r="Q255" i="3"/>
  <c r="P255" i="3"/>
  <c r="O255" i="3"/>
  <c r="N255" i="3"/>
  <c r="M255" i="3"/>
  <c r="K255" i="3"/>
  <c r="I255" i="3"/>
  <c r="H255" i="3"/>
  <c r="G255" i="3"/>
  <c r="F255" i="3"/>
  <c r="E255" i="3"/>
  <c r="D255" i="3"/>
  <c r="C255" i="3"/>
  <c r="B255" i="3"/>
  <c r="A255" i="3"/>
  <c r="AK254" i="3"/>
  <c r="AC254" i="3"/>
  <c r="AB254" i="3"/>
  <c r="AA254" i="3"/>
  <c r="Z254" i="3"/>
  <c r="Y254" i="3"/>
  <c r="X254" i="3"/>
  <c r="W254" i="3"/>
  <c r="V254" i="3"/>
  <c r="U254" i="3"/>
  <c r="T254" i="3"/>
  <c r="S254" i="3"/>
  <c r="R254" i="3"/>
  <c r="Q254" i="3"/>
  <c r="P254" i="3"/>
  <c r="O254" i="3"/>
  <c r="N254" i="3"/>
  <c r="M254" i="3"/>
  <c r="K254" i="3"/>
  <c r="J254" i="3"/>
  <c r="I254" i="3"/>
  <c r="H254" i="3"/>
  <c r="G254" i="3"/>
  <c r="F254" i="3"/>
  <c r="E254" i="3"/>
  <c r="D254" i="3"/>
  <c r="C254" i="3"/>
  <c r="B254" i="3"/>
  <c r="A254" i="3"/>
  <c r="AK253" i="3"/>
  <c r="AC253" i="3"/>
  <c r="AB253" i="3"/>
  <c r="AA253" i="3"/>
  <c r="Z253" i="3"/>
  <c r="Y253" i="3"/>
  <c r="X253" i="3"/>
  <c r="W253" i="3"/>
  <c r="V253" i="3"/>
  <c r="U253" i="3"/>
  <c r="T253" i="3"/>
  <c r="S253" i="3"/>
  <c r="R253" i="3"/>
  <c r="Q253" i="3"/>
  <c r="P253" i="3"/>
  <c r="N253" i="3"/>
  <c r="M253" i="3"/>
  <c r="K253" i="3"/>
  <c r="J253" i="3"/>
  <c r="I253" i="3"/>
  <c r="H253" i="3"/>
  <c r="G253" i="3"/>
  <c r="F253" i="3"/>
  <c r="E253" i="3"/>
  <c r="D253" i="3"/>
  <c r="C253" i="3"/>
  <c r="B253" i="3"/>
  <c r="A253" i="3"/>
  <c r="AK252" i="3"/>
  <c r="AC252" i="3"/>
  <c r="AB252" i="3"/>
  <c r="AA252" i="3"/>
  <c r="Z252" i="3"/>
  <c r="Y252" i="3"/>
  <c r="X252" i="3"/>
  <c r="W252" i="3"/>
  <c r="V252" i="3"/>
  <c r="U252" i="3"/>
  <c r="T252" i="3"/>
  <c r="S252" i="3"/>
  <c r="R252" i="3"/>
  <c r="Q252" i="3"/>
  <c r="P252" i="3"/>
  <c r="O252" i="3"/>
  <c r="N252" i="3"/>
  <c r="M252" i="3"/>
  <c r="K252" i="3"/>
  <c r="J252" i="3"/>
  <c r="I252" i="3"/>
  <c r="H252" i="3"/>
  <c r="G252" i="3"/>
  <c r="F252" i="3"/>
  <c r="E252" i="3"/>
  <c r="D252" i="3"/>
  <c r="C252" i="3"/>
  <c r="B252" i="3"/>
  <c r="A252" i="3"/>
  <c r="AK251" i="3"/>
  <c r="AC251" i="3"/>
  <c r="AB251" i="3"/>
  <c r="AA251" i="3"/>
  <c r="Z251" i="3"/>
  <c r="Y251" i="3"/>
  <c r="X251" i="3"/>
  <c r="W251" i="3"/>
  <c r="V251" i="3"/>
  <c r="U251" i="3"/>
  <c r="T251" i="3"/>
  <c r="S251" i="3"/>
  <c r="R251" i="3"/>
  <c r="Q251" i="3"/>
  <c r="P251" i="3"/>
  <c r="O251" i="3"/>
  <c r="N251" i="3"/>
  <c r="M251" i="3"/>
  <c r="K251" i="3"/>
  <c r="J251" i="3"/>
  <c r="I251" i="3"/>
  <c r="H251" i="3"/>
  <c r="G251" i="3"/>
  <c r="F251" i="3"/>
  <c r="E251" i="3"/>
  <c r="D251" i="3"/>
  <c r="C251" i="3"/>
  <c r="B251" i="3"/>
  <c r="A251" i="3"/>
  <c r="AK250" i="3"/>
  <c r="AC250" i="3"/>
  <c r="AB250" i="3"/>
  <c r="AA250" i="3"/>
  <c r="Z250" i="3"/>
  <c r="Y250" i="3"/>
  <c r="X250" i="3"/>
  <c r="W250" i="3"/>
  <c r="V250" i="3"/>
  <c r="U250" i="3"/>
  <c r="T250" i="3"/>
  <c r="S250" i="3"/>
  <c r="R250" i="3"/>
  <c r="Q250" i="3"/>
  <c r="P250" i="3"/>
  <c r="N250" i="3"/>
  <c r="M250" i="3"/>
  <c r="K250" i="3"/>
  <c r="J250" i="3"/>
  <c r="I250" i="3"/>
  <c r="H250" i="3"/>
  <c r="G250" i="3"/>
  <c r="F250" i="3"/>
  <c r="E250" i="3"/>
  <c r="D250" i="3"/>
  <c r="C250" i="3"/>
  <c r="B250" i="3"/>
  <c r="A250" i="3"/>
  <c r="AK249" i="3"/>
  <c r="AC249" i="3"/>
  <c r="AB249" i="3"/>
  <c r="AA249" i="3"/>
  <c r="Z249" i="3"/>
  <c r="Y249" i="3"/>
  <c r="X249" i="3"/>
  <c r="W249" i="3"/>
  <c r="V249" i="3"/>
  <c r="U249" i="3"/>
  <c r="T249" i="3"/>
  <c r="S249" i="3"/>
  <c r="R249" i="3"/>
  <c r="Q249" i="3"/>
  <c r="P249" i="3"/>
  <c r="N249" i="3"/>
  <c r="M249" i="3"/>
  <c r="K249" i="3"/>
  <c r="J249" i="3"/>
  <c r="I249" i="3"/>
  <c r="H249" i="3"/>
  <c r="G249" i="3"/>
  <c r="F249" i="3"/>
  <c r="E249" i="3"/>
  <c r="D249" i="3"/>
  <c r="C249" i="3"/>
  <c r="B249" i="3"/>
  <c r="A249" i="3"/>
  <c r="AK248" i="3"/>
  <c r="AC248" i="3"/>
  <c r="AB248" i="3"/>
  <c r="AA248" i="3"/>
  <c r="Z248" i="3"/>
  <c r="Y248" i="3"/>
  <c r="X248" i="3"/>
  <c r="W248" i="3"/>
  <c r="V248" i="3"/>
  <c r="U248" i="3"/>
  <c r="T248" i="3"/>
  <c r="S248" i="3"/>
  <c r="R248" i="3"/>
  <c r="Q248" i="3"/>
  <c r="P248" i="3"/>
  <c r="N248" i="3"/>
  <c r="M248" i="3"/>
  <c r="K248" i="3"/>
  <c r="J248" i="3"/>
  <c r="I248" i="3"/>
  <c r="H248" i="3"/>
  <c r="G248" i="3"/>
  <c r="F248" i="3"/>
  <c r="E248" i="3"/>
  <c r="D248" i="3"/>
  <c r="C248" i="3"/>
  <c r="B248" i="3"/>
  <c r="A248" i="3"/>
  <c r="AK247" i="3"/>
  <c r="AC247" i="3"/>
  <c r="AB247" i="3"/>
  <c r="AA247" i="3"/>
  <c r="Z247" i="3"/>
  <c r="Y247" i="3"/>
  <c r="X247" i="3"/>
  <c r="W247" i="3"/>
  <c r="V247" i="3"/>
  <c r="U247" i="3"/>
  <c r="T247" i="3"/>
  <c r="S247" i="3"/>
  <c r="R247" i="3"/>
  <c r="Q247" i="3"/>
  <c r="P247" i="3"/>
  <c r="O247" i="3"/>
  <c r="N247" i="3"/>
  <c r="M247" i="3"/>
  <c r="K247" i="3"/>
  <c r="J247" i="3"/>
  <c r="I247" i="3"/>
  <c r="H247" i="3"/>
  <c r="G247" i="3"/>
  <c r="F247" i="3"/>
  <c r="E247" i="3"/>
  <c r="D247" i="3"/>
  <c r="C247" i="3"/>
  <c r="B247" i="3"/>
  <c r="A247" i="3"/>
  <c r="AK246" i="3"/>
  <c r="AC246" i="3"/>
  <c r="AB246" i="3"/>
  <c r="AA246" i="3"/>
  <c r="Z246" i="3"/>
  <c r="Y246" i="3"/>
  <c r="X246" i="3"/>
  <c r="W246" i="3"/>
  <c r="V246" i="3"/>
  <c r="U246" i="3"/>
  <c r="T246" i="3"/>
  <c r="S246" i="3"/>
  <c r="R246" i="3"/>
  <c r="Q246" i="3"/>
  <c r="P246" i="3"/>
  <c r="O246" i="3"/>
  <c r="N246" i="3"/>
  <c r="M246" i="3"/>
  <c r="K246" i="3"/>
  <c r="I246" i="3"/>
  <c r="H246" i="3"/>
  <c r="G246" i="3"/>
  <c r="F246" i="3"/>
  <c r="E246" i="3"/>
  <c r="D246" i="3"/>
  <c r="C246" i="3"/>
  <c r="B246" i="3"/>
  <c r="A246" i="3"/>
  <c r="AK245" i="3"/>
  <c r="AC245" i="3"/>
  <c r="AB245" i="3"/>
  <c r="AA245" i="3"/>
  <c r="Z245" i="3"/>
  <c r="Y245" i="3"/>
  <c r="X245" i="3"/>
  <c r="W245" i="3"/>
  <c r="V245" i="3"/>
  <c r="U245" i="3"/>
  <c r="T245" i="3"/>
  <c r="S245" i="3"/>
  <c r="R245" i="3"/>
  <c r="Q245" i="3"/>
  <c r="P245" i="3"/>
  <c r="N245" i="3"/>
  <c r="M245" i="3"/>
  <c r="K245" i="3"/>
  <c r="J245" i="3"/>
  <c r="I245" i="3"/>
  <c r="H245" i="3"/>
  <c r="G245" i="3"/>
  <c r="F245" i="3"/>
  <c r="E245" i="3"/>
  <c r="D245" i="3"/>
  <c r="C245" i="3"/>
  <c r="B245" i="3"/>
  <c r="A245" i="3"/>
  <c r="AK244" i="3"/>
  <c r="AC244" i="3"/>
  <c r="AB244" i="3"/>
  <c r="AA244" i="3"/>
  <c r="Z244" i="3"/>
  <c r="Y244" i="3"/>
  <c r="X244" i="3"/>
  <c r="W244" i="3"/>
  <c r="V244" i="3"/>
  <c r="U244" i="3"/>
  <c r="T244" i="3"/>
  <c r="S244" i="3"/>
  <c r="R244" i="3"/>
  <c r="Q244" i="3"/>
  <c r="P244" i="3"/>
  <c r="O244" i="3"/>
  <c r="N244" i="3"/>
  <c r="M244" i="3"/>
  <c r="K244" i="3"/>
  <c r="J244" i="3"/>
  <c r="I244" i="3"/>
  <c r="H244" i="3"/>
  <c r="G244" i="3"/>
  <c r="F244" i="3"/>
  <c r="E244" i="3"/>
  <c r="D244" i="3"/>
  <c r="C244" i="3"/>
  <c r="B244" i="3"/>
  <c r="A244" i="3"/>
  <c r="AK243" i="3"/>
  <c r="AC243" i="3"/>
  <c r="AB243" i="3"/>
  <c r="AA243" i="3"/>
  <c r="Z243" i="3"/>
  <c r="Y243" i="3"/>
  <c r="X243" i="3"/>
  <c r="W243" i="3"/>
  <c r="V243" i="3"/>
  <c r="U243" i="3"/>
  <c r="T243" i="3"/>
  <c r="S243" i="3"/>
  <c r="R243" i="3"/>
  <c r="Q243" i="3"/>
  <c r="P243" i="3"/>
  <c r="O243" i="3"/>
  <c r="N243" i="3"/>
  <c r="M243" i="3"/>
  <c r="K243" i="3"/>
  <c r="I243" i="3"/>
  <c r="H243" i="3"/>
  <c r="G243" i="3"/>
  <c r="F243" i="3"/>
  <c r="E243" i="3"/>
  <c r="D243" i="3"/>
  <c r="C243" i="3"/>
  <c r="B243" i="3"/>
  <c r="A243" i="3"/>
  <c r="AK242" i="3"/>
  <c r="AC242" i="3"/>
  <c r="AB242" i="3"/>
  <c r="AA242" i="3"/>
  <c r="Z242" i="3"/>
  <c r="Y242" i="3"/>
  <c r="X242" i="3"/>
  <c r="W242" i="3"/>
  <c r="V242" i="3"/>
  <c r="U242" i="3"/>
  <c r="T242" i="3"/>
  <c r="S242" i="3"/>
  <c r="R242" i="3"/>
  <c r="Q242" i="3"/>
  <c r="P242" i="3"/>
  <c r="O242" i="3"/>
  <c r="N242" i="3"/>
  <c r="M242" i="3"/>
  <c r="K242" i="3"/>
  <c r="J242" i="3"/>
  <c r="I242" i="3"/>
  <c r="H242" i="3"/>
  <c r="G242" i="3"/>
  <c r="F242" i="3"/>
  <c r="E242" i="3"/>
  <c r="D242" i="3"/>
  <c r="C242" i="3"/>
  <c r="B242" i="3"/>
  <c r="A242" i="3"/>
  <c r="AK241" i="3"/>
  <c r="AC241" i="3"/>
  <c r="AB241" i="3"/>
  <c r="AA241" i="3"/>
  <c r="Z241" i="3"/>
  <c r="Y241" i="3"/>
  <c r="X241" i="3"/>
  <c r="W241" i="3"/>
  <c r="V241" i="3"/>
  <c r="U241" i="3"/>
  <c r="T241" i="3"/>
  <c r="S241" i="3"/>
  <c r="R241" i="3"/>
  <c r="Q241" i="3"/>
  <c r="P241" i="3"/>
  <c r="O241" i="3"/>
  <c r="N241" i="3"/>
  <c r="M241" i="3"/>
  <c r="K241" i="3"/>
  <c r="J241" i="3"/>
  <c r="I241" i="3"/>
  <c r="H241" i="3"/>
  <c r="G241" i="3"/>
  <c r="F241" i="3"/>
  <c r="E241" i="3"/>
  <c r="D241" i="3"/>
  <c r="C241" i="3"/>
  <c r="B241" i="3"/>
  <c r="A241" i="3"/>
  <c r="AK240" i="3"/>
  <c r="AC240" i="3"/>
  <c r="AB240" i="3"/>
  <c r="AA240" i="3"/>
  <c r="Z240" i="3"/>
  <c r="Y240" i="3"/>
  <c r="X240" i="3"/>
  <c r="W240" i="3"/>
  <c r="V240" i="3"/>
  <c r="U240" i="3"/>
  <c r="T240" i="3"/>
  <c r="S240" i="3"/>
  <c r="R240" i="3"/>
  <c r="Q240" i="3"/>
  <c r="P240" i="3"/>
  <c r="N240" i="3"/>
  <c r="M240" i="3"/>
  <c r="K240" i="3"/>
  <c r="J240" i="3"/>
  <c r="I240" i="3"/>
  <c r="H240" i="3"/>
  <c r="G240" i="3"/>
  <c r="F240" i="3"/>
  <c r="E240" i="3"/>
  <c r="D240" i="3"/>
  <c r="C240" i="3"/>
  <c r="B240" i="3"/>
  <c r="A240" i="3"/>
  <c r="AK239" i="3"/>
  <c r="AC239" i="3"/>
  <c r="AB239" i="3"/>
  <c r="AA239" i="3"/>
  <c r="Z239" i="3"/>
  <c r="Y239" i="3"/>
  <c r="X239" i="3"/>
  <c r="W239" i="3"/>
  <c r="V239" i="3"/>
  <c r="U239" i="3"/>
  <c r="T239" i="3"/>
  <c r="S239" i="3"/>
  <c r="R239" i="3"/>
  <c r="Q239" i="3"/>
  <c r="P239" i="3"/>
  <c r="O239" i="3"/>
  <c r="N239" i="3"/>
  <c r="M239" i="3"/>
  <c r="K239" i="3"/>
  <c r="I239" i="3"/>
  <c r="H239" i="3"/>
  <c r="G239" i="3"/>
  <c r="F239" i="3"/>
  <c r="E239" i="3"/>
  <c r="D239" i="3"/>
  <c r="C239" i="3"/>
  <c r="B239" i="3"/>
  <c r="A239" i="3"/>
  <c r="AK238" i="3"/>
  <c r="AC238" i="3"/>
  <c r="AB238" i="3"/>
  <c r="AA238" i="3"/>
  <c r="Z238" i="3"/>
  <c r="Y238" i="3"/>
  <c r="X238" i="3"/>
  <c r="W238" i="3"/>
  <c r="V238" i="3"/>
  <c r="U238" i="3"/>
  <c r="T238" i="3"/>
  <c r="S238" i="3"/>
  <c r="R238" i="3"/>
  <c r="Q238" i="3"/>
  <c r="P238" i="3"/>
  <c r="N238" i="3"/>
  <c r="M238" i="3"/>
  <c r="K238" i="3"/>
  <c r="J238" i="3"/>
  <c r="I238" i="3"/>
  <c r="H238" i="3"/>
  <c r="G238" i="3"/>
  <c r="F238" i="3"/>
  <c r="E238" i="3"/>
  <c r="D238" i="3"/>
  <c r="C238" i="3"/>
  <c r="B238" i="3"/>
  <c r="A238" i="3"/>
  <c r="AK237" i="3"/>
  <c r="AC237" i="3"/>
  <c r="AB237" i="3"/>
  <c r="AA237" i="3"/>
  <c r="Z237" i="3"/>
  <c r="Y237" i="3"/>
  <c r="X237" i="3"/>
  <c r="W237" i="3"/>
  <c r="V237" i="3"/>
  <c r="U237" i="3"/>
  <c r="T237" i="3"/>
  <c r="S237" i="3"/>
  <c r="R237" i="3"/>
  <c r="Q237" i="3"/>
  <c r="P237" i="3"/>
  <c r="O237" i="3"/>
  <c r="N237" i="3"/>
  <c r="M237" i="3"/>
  <c r="K237" i="3"/>
  <c r="I237" i="3"/>
  <c r="H237" i="3"/>
  <c r="G237" i="3"/>
  <c r="F237" i="3"/>
  <c r="E237" i="3"/>
  <c r="D237" i="3"/>
  <c r="C237" i="3"/>
  <c r="B237" i="3"/>
  <c r="A237" i="3"/>
  <c r="AK236" i="3"/>
  <c r="AE236" i="3"/>
  <c r="AD236" i="3"/>
  <c r="AC236" i="3"/>
  <c r="AB236" i="3"/>
  <c r="AA236" i="3"/>
  <c r="Z236" i="3"/>
  <c r="Y236" i="3"/>
  <c r="X236" i="3"/>
  <c r="W236" i="3"/>
  <c r="V236" i="3"/>
  <c r="U236" i="3"/>
  <c r="T236" i="3"/>
  <c r="S236" i="3"/>
  <c r="R236" i="3"/>
  <c r="Q236" i="3"/>
  <c r="P236" i="3"/>
  <c r="O236" i="3"/>
  <c r="N236" i="3"/>
  <c r="M236" i="3"/>
  <c r="L236" i="3"/>
  <c r="K236" i="3"/>
  <c r="J236" i="3"/>
  <c r="I236" i="3"/>
  <c r="H236" i="3"/>
  <c r="G236" i="3"/>
  <c r="F236" i="3"/>
  <c r="E236" i="3"/>
  <c r="D236" i="3"/>
  <c r="C236" i="3"/>
  <c r="B236" i="3"/>
  <c r="A236" i="3"/>
  <c r="AK235" i="3"/>
  <c r="AC235" i="3"/>
  <c r="AB235" i="3"/>
  <c r="AA235" i="3"/>
  <c r="Z235" i="3"/>
  <c r="Y235" i="3"/>
  <c r="X235" i="3"/>
  <c r="W235" i="3"/>
  <c r="V235" i="3"/>
  <c r="U235" i="3"/>
  <c r="T235" i="3"/>
  <c r="S235" i="3"/>
  <c r="R235" i="3"/>
  <c r="Q235" i="3"/>
  <c r="P235" i="3"/>
  <c r="N235" i="3"/>
  <c r="M235" i="3"/>
  <c r="K235" i="3"/>
  <c r="J235" i="3"/>
  <c r="I235" i="3"/>
  <c r="H235" i="3"/>
  <c r="G235" i="3"/>
  <c r="F235" i="3"/>
  <c r="E235" i="3"/>
  <c r="D235" i="3"/>
  <c r="C235" i="3"/>
  <c r="B235" i="3"/>
  <c r="A235" i="3"/>
  <c r="AK234" i="3"/>
  <c r="AC234" i="3"/>
  <c r="AB234" i="3"/>
  <c r="AA234" i="3"/>
  <c r="Z234" i="3"/>
  <c r="Y234" i="3"/>
  <c r="X234" i="3"/>
  <c r="W234" i="3"/>
  <c r="V234" i="3"/>
  <c r="U234" i="3"/>
  <c r="T234" i="3"/>
  <c r="S234" i="3"/>
  <c r="R234" i="3"/>
  <c r="Q234" i="3"/>
  <c r="P234" i="3"/>
  <c r="N234" i="3"/>
  <c r="M234" i="3"/>
  <c r="K234" i="3"/>
  <c r="J234" i="3"/>
  <c r="I234" i="3"/>
  <c r="H234" i="3"/>
  <c r="G234" i="3"/>
  <c r="F234" i="3"/>
  <c r="E234" i="3"/>
  <c r="D234" i="3"/>
  <c r="C234" i="3"/>
  <c r="B234" i="3"/>
  <c r="A234" i="3"/>
  <c r="AK233" i="3"/>
  <c r="AC233" i="3"/>
  <c r="AB233" i="3"/>
  <c r="AA233" i="3"/>
  <c r="Z233" i="3"/>
  <c r="Y233" i="3"/>
  <c r="X233" i="3"/>
  <c r="W233" i="3"/>
  <c r="V233" i="3"/>
  <c r="U233" i="3"/>
  <c r="T233" i="3"/>
  <c r="S233" i="3"/>
  <c r="R233" i="3"/>
  <c r="Q233" i="3"/>
  <c r="P233" i="3"/>
  <c r="O233" i="3"/>
  <c r="N233" i="3"/>
  <c r="M233" i="3"/>
  <c r="K233" i="3"/>
  <c r="J233" i="3"/>
  <c r="I233" i="3"/>
  <c r="H233" i="3"/>
  <c r="G233" i="3"/>
  <c r="F233" i="3"/>
  <c r="E233" i="3"/>
  <c r="D233" i="3"/>
  <c r="C233" i="3"/>
  <c r="B233" i="3"/>
  <c r="A233" i="3"/>
  <c r="AK232" i="3"/>
  <c r="AC232" i="3"/>
  <c r="AB232" i="3"/>
  <c r="AA232" i="3"/>
  <c r="Z232" i="3"/>
  <c r="Y232" i="3"/>
  <c r="X232" i="3"/>
  <c r="W232" i="3"/>
  <c r="V232" i="3"/>
  <c r="U232" i="3"/>
  <c r="T232" i="3"/>
  <c r="S232" i="3"/>
  <c r="R232" i="3"/>
  <c r="Q232" i="3"/>
  <c r="P232" i="3"/>
  <c r="O232" i="3"/>
  <c r="N232" i="3"/>
  <c r="M232" i="3"/>
  <c r="K232" i="3"/>
  <c r="J232" i="3"/>
  <c r="I232" i="3"/>
  <c r="H232" i="3"/>
  <c r="G232" i="3"/>
  <c r="F232" i="3"/>
  <c r="E232" i="3"/>
  <c r="D232" i="3"/>
  <c r="C232" i="3"/>
  <c r="B232" i="3"/>
  <c r="A232" i="3"/>
  <c r="AK231" i="3"/>
  <c r="AC231" i="3"/>
  <c r="AB231" i="3"/>
  <c r="AA231" i="3"/>
  <c r="Z231" i="3"/>
  <c r="Y231" i="3"/>
  <c r="X231" i="3"/>
  <c r="W231" i="3"/>
  <c r="V231" i="3"/>
  <c r="U231" i="3"/>
  <c r="T231" i="3"/>
  <c r="S231" i="3"/>
  <c r="R231" i="3"/>
  <c r="Q231" i="3"/>
  <c r="P231" i="3"/>
  <c r="O231" i="3"/>
  <c r="N231" i="3"/>
  <c r="M231" i="3"/>
  <c r="K231" i="3"/>
  <c r="J231" i="3"/>
  <c r="I231" i="3"/>
  <c r="H231" i="3"/>
  <c r="G231" i="3"/>
  <c r="F231" i="3"/>
  <c r="E231" i="3"/>
  <c r="D231" i="3"/>
  <c r="C231" i="3"/>
  <c r="B231" i="3"/>
  <c r="A231" i="3"/>
  <c r="AK230" i="3"/>
  <c r="AC230" i="3"/>
  <c r="AB230" i="3"/>
  <c r="AA230" i="3"/>
  <c r="Z230" i="3"/>
  <c r="Y230" i="3"/>
  <c r="X230" i="3"/>
  <c r="W230" i="3"/>
  <c r="V230" i="3"/>
  <c r="U230" i="3"/>
  <c r="T230" i="3"/>
  <c r="S230" i="3"/>
  <c r="R230" i="3"/>
  <c r="Q230" i="3"/>
  <c r="P230" i="3"/>
  <c r="O230" i="3"/>
  <c r="N230" i="3"/>
  <c r="M230" i="3"/>
  <c r="K230" i="3"/>
  <c r="J230" i="3"/>
  <c r="I230" i="3"/>
  <c r="H230" i="3"/>
  <c r="G230" i="3"/>
  <c r="F230" i="3"/>
  <c r="E230" i="3"/>
  <c r="D230" i="3"/>
  <c r="C230" i="3"/>
  <c r="B230" i="3"/>
  <c r="A230" i="3"/>
  <c r="AK229" i="3"/>
  <c r="AC229" i="3"/>
  <c r="AB229" i="3"/>
  <c r="AA229" i="3"/>
  <c r="Z229" i="3"/>
  <c r="Y229" i="3"/>
  <c r="X229" i="3"/>
  <c r="W229" i="3"/>
  <c r="V229" i="3"/>
  <c r="U229" i="3"/>
  <c r="T229" i="3"/>
  <c r="S229" i="3"/>
  <c r="R229" i="3"/>
  <c r="Q229" i="3"/>
  <c r="P229" i="3"/>
  <c r="O229" i="3"/>
  <c r="N229" i="3"/>
  <c r="M229" i="3"/>
  <c r="K229" i="3"/>
  <c r="J229" i="3"/>
  <c r="I229" i="3"/>
  <c r="H229" i="3"/>
  <c r="G229" i="3"/>
  <c r="F229" i="3"/>
  <c r="E229" i="3"/>
  <c r="D229" i="3"/>
  <c r="C229" i="3"/>
  <c r="B229" i="3"/>
  <c r="A229" i="3"/>
  <c r="AK228" i="3"/>
  <c r="AC228" i="3"/>
  <c r="AB228" i="3"/>
  <c r="AA228" i="3"/>
  <c r="Z228" i="3"/>
  <c r="Y228" i="3"/>
  <c r="X228" i="3"/>
  <c r="W228" i="3"/>
  <c r="V228" i="3"/>
  <c r="U228" i="3"/>
  <c r="T228" i="3"/>
  <c r="S228" i="3"/>
  <c r="R228" i="3"/>
  <c r="Q228" i="3"/>
  <c r="P228" i="3"/>
  <c r="O228" i="3"/>
  <c r="N228" i="3"/>
  <c r="M228" i="3"/>
  <c r="K228" i="3"/>
  <c r="J228" i="3"/>
  <c r="I228" i="3"/>
  <c r="H228" i="3"/>
  <c r="G228" i="3"/>
  <c r="F228" i="3"/>
  <c r="E228" i="3"/>
  <c r="D228" i="3"/>
  <c r="C228" i="3"/>
  <c r="B228" i="3"/>
  <c r="A228" i="3"/>
  <c r="AK227" i="3"/>
  <c r="AC227" i="3"/>
  <c r="AB227" i="3"/>
  <c r="AA227" i="3"/>
  <c r="Z227" i="3"/>
  <c r="Y227" i="3"/>
  <c r="X227" i="3"/>
  <c r="W227" i="3"/>
  <c r="V227" i="3"/>
  <c r="U227" i="3"/>
  <c r="T227" i="3"/>
  <c r="S227" i="3"/>
  <c r="R227" i="3"/>
  <c r="Q227" i="3"/>
  <c r="P227" i="3"/>
  <c r="O227" i="3"/>
  <c r="N227" i="3"/>
  <c r="M227" i="3"/>
  <c r="K227" i="3"/>
  <c r="J227" i="3"/>
  <c r="I227" i="3"/>
  <c r="H227" i="3"/>
  <c r="G227" i="3"/>
  <c r="F227" i="3"/>
  <c r="E227" i="3"/>
  <c r="D227" i="3"/>
  <c r="C227" i="3"/>
  <c r="B227" i="3"/>
  <c r="A227" i="3"/>
  <c r="AK226" i="3"/>
  <c r="AC226" i="3"/>
  <c r="AB226" i="3"/>
  <c r="AA226" i="3"/>
  <c r="Z226" i="3"/>
  <c r="Y226" i="3"/>
  <c r="X226" i="3"/>
  <c r="W226" i="3"/>
  <c r="V226" i="3"/>
  <c r="U226" i="3"/>
  <c r="T226" i="3"/>
  <c r="S226" i="3"/>
  <c r="R226" i="3"/>
  <c r="Q226" i="3"/>
  <c r="P226" i="3"/>
  <c r="O226" i="3"/>
  <c r="N226" i="3"/>
  <c r="M226" i="3"/>
  <c r="K226" i="3"/>
  <c r="J226" i="3"/>
  <c r="I226" i="3"/>
  <c r="H226" i="3"/>
  <c r="G226" i="3"/>
  <c r="F226" i="3"/>
  <c r="E226" i="3"/>
  <c r="D226" i="3"/>
  <c r="C226" i="3"/>
  <c r="B226" i="3"/>
  <c r="A226" i="3"/>
  <c r="AK225" i="3"/>
  <c r="AC225" i="3"/>
  <c r="AB225" i="3"/>
  <c r="AA225" i="3"/>
  <c r="Z225" i="3"/>
  <c r="Y225" i="3"/>
  <c r="X225" i="3"/>
  <c r="W225" i="3"/>
  <c r="V225" i="3"/>
  <c r="U225" i="3"/>
  <c r="T225" i="3"/>
  <c r="S225" i="3"/>
  <c r="R225" i="3"/>
  <c r="Q225" i="3"/>
  <c r="P225" i="3"/>
  <c r="N225" i="3"/>
  <c r="M225" i="3"/>
  <c r="L225" i="3"/>
  <c r="K225" i="3"/>
  <c r="I225" i="3"/>
  <c r="H225" i="3"/>
  <c r="G225" i="3"/>
  <c r="F225" i="3"/>
  <c r="E225" i="3"/>
  <c r="D225" i="3"/>
  <c r="C225" i="3"/>
  <c r="B225" i="3"/>
  <c r="A225" i="3"/>
  <c r="AK224" i="3"/>
  <c r="AC224" i="3"/>
  <c r="AB224" i="3"/>
  <c r="AA224" i="3"/>
  <c r="Z224" i="3"/>
  <c r="Y224" i="3"/>
  <c r="X224" i="3"/>
  <c r="W224" i="3"/>
  <c r="V224" i="3"/>
  <c r="U224" i="3"/>
  <c r="T224" i="3"/>
  <c r="S224" i="3"/>
  <c r="R224" i="3"/>
  <c r="Q224" i="3"/>
  <c r="P224" i="3"/>
  <c r="O224" i="3"/>
  <c r="N224" i="3"/>
  <c r="M224" i="3"/>
  <c r="K224" i="3"/>
  <c r="J224" i="3"/>
  <c r="I224" i="3"/>
  <c r="H224" i="3"/>
  <c r="G224" i="3"/>
  <c r="F224" i="3"/>
  <c r="E224" i="3"/>
  <c r="D224" i="3"/>
  <c r="C224" i="3"/>
  <c r="B224" i="3"/>
  <c r="A224" i="3"/>
  <c r="AK223" i="3"/>
  <c r="AC223" i="3"/>
  <c r="AB223" i="3"/>
  <c r="AA223" i="3"/>
  <c r="Z223" i="3"/>
  <c r="Y223" i="3"/>
  <c r="X223" i="3"/>
  <c r="W223" i="3"/>
  <c r="V223" i="3"/>
  <c r="U223" i="3"/>
  <c r="T223" i="3"/>
  <c r="S223" i="3"/>
  <c r="R223" i="3"/>
  <c r="Q223" i="3"/>
  <c r="P223" i="3"/>
  <c r="O223" i="3"/>
  <c r="N223" i="3"/>
  <c r="M223" i="3"/>
  <c r="K223" i="3"/>
  <c r="J223" i="3"/>
  <c r="I223" i="3"/>
  <c r="H223" i="3"/>
  <c r="G223" i="3"/>
  <c r="F223" i="3"/>
  <c r="E223" i="3"/>
  <c r="D223" i="3"/>
  <c r="C223" i="3"/>
  <c r="B223" i="3"/>
  <c r="A223" i="3"/>
  <c r="AK222" i="3"/>
  <c r="AC222" i="3"/>
  <c r="AB222" i="3"/>
  <c r="AA222" i="3"/>
  <c r="Z222" i="3"/>
  <c r="Y222" i="3"/>
  <c r="X222" i="3"/>
  <c r="W222" i="3"/>
  <c r="V222" i="3"/>
  <c r="U222" i="3"/>
  <c r="T222" i="3"/>
  <c r="S222" i="3"/>
  <c r="R222" i="3"/>
  <c r="Q222" i="3"/>
  <c r="P222" i="3"/>
  <c r="O222" i="3"/>
  <c r="N222" i="3"/>
  <c r="M222" i="3"/>
  <c r="K222" i="3"/>
  <c r="I222" i="3"/>
  <c r="H222" i="3"/>
  <c r="G222" i="3"/>
  <c r="F222" i="3"/>
  <c r="E222" i="3"/>
  <c r="D222" i="3"/>
  <c r="C222" i="3"/>
  <c r="B222" i="3"/>
  <c r="A222" i="3"/>
  <c r="AK221" i="3"/>
  <c r="AC221" i="3"/>
  <c r="AB221" i="3"/>
  <c r="AA221" i="3"/>
  <c r="Z221" i="3"/>
  <c r="Y221" i="3"/>
  <c r="X221" i="3"/>
  <c r="W221" i="3"/>
  <c r="V221" i="3"/>
  <c r="U221" i="3"/>
  <c r="T221" i="3"/>
  <c r="S221" i="3"/>
  <c r="R221" i="3"/>
  <c r="Q221" i="3"/>
  <c r="P221" i="3"/>
  <c r="N221" i="3"/>
  <c r="M221" i="3"/>
  <c r="K221" i="3"/>
  <c r="J221" i="3"/>
  <c r="I221" i="3"/>
  <c r="H221" i="3"/>
  <c r="G221" i="3"/>
  <c r="F221" i="3"/>
  <c r="E221" i="3"/>
  <c r="D221" i="3"/>
  <c r="C221" i="3"/>
  <c r="B221" i="3"/>
  <c r="A221" i="3"/>
  <c r="AK220" i="3"/>
  <c r="AC220" i="3"/>
  <c r="AB220" i="3"/>
  <c r="AA220" i="3"/>
  <c r="Z220" i="3"/>
  <c r="Y220" i="3"/>
  <c r="X220" i="3"/>
  <c r="W220" i="3"/>
  <c r="V220" i="3"/>
  <c r="U220" i="3"/>
  <c r="T220" i="3"/>
  <c r="S220" i="3"/>
  <c r="R220" i="3"/>
  <c r="Q220" i="3"/>
  <c r="P220" i="3"/>
  <c r="O220" i="3"/>
  <c r="N220" i="3"/>
  <c r="M220" i="3"/>
  <c r="K220" i="3"/>
  <c r="J220" i="3"/>
  <c r="I220" i="3"/>
  <c r="H220" i="3"/>
  <c r="G220" i="3"/>
  <c r="F220" i="3"/>
  <c r="E220" i="3"/>
  <c r="D220" i="3"/>
  <c r="C220" i="3"/>
  <c r="B220" i="3"/>
  <c r="A220" i="3"/>
  <c r="AK219" i="3"/>
  <c r="AC219" i="3"/>
  <c r="AB219" i="3"/>
  <c r="AA219" i="3"/>
  <c r="Z219" i="3"/>
  <c r="Y219" i="3"/>
  <c r="X219" i="3"/>
  <c r="W219" i="3"/>
  <c r="V219" i="3"/>
  <c r="U219" i="3"/>
  <c r="T219" i="3"/>
  <c r="S219" i="3"/>
  <c r="R219" i="3"/>
  <c r="Q219" i="3"/>
  <c r="P219" i="3"/>
  <c r="O219" i="3"/>
  <c r="N219" i="3"/>
  <c r="M219" i="3"/>
  <c r="K219" i="3"/>
  <c r="I219" i="3"/>
  <c r="H219" i="3"/>
  <c r="G219" i="3"/>
  <c r="F219" i="3"/>
  <c r="E219" i="3"/>
  <c r="D219" i="3"/>
  <c r="C219" i="3"/>
  <c r="B219" i="3"/>
  <c r="A219" i="3"/>
  <c r="AK218" i="3"/>
  <c r="AC218" i="3"/>
  <c r="AB218" i="3"/>
  <c r="AA218" i="3"/>
  <c r="Z218" i="3"/>
  <c r="Y218" i="3"/>
  <c r="X218" i="3"/>
  <c r="W218" i="3"/>
  <c r="V218" i="3"/>
  <c r="U218" i="3"/>
  <c r="T218" i="3"/>
  <c r="S218" i="3"/>
  <c r="R218" i="3"/>
  <c r="Q218" i="3"/>
  <c r="P218" i="3"/>
  <c r="O218" i="3"/>
  <c r="N218" i="3"/>
  <c r="M218" i="3"/>
  <c r="K218" i="3"/>
  <c r="J218" i="3"/>
  <c r="I218" i="3"/>
  <c r="H218" i="3"/>
  <c r="G218" i="3"/>
  <c r="F218" i="3"/>
  <c r="E218" i="3"/>
  <c r="D218" i="3"/>
  <c r="C218" i="3"/>
  <c r="B218" i="3"/>
  <c r="A218" i="3"/>
  <c r="AK217" i="3"/>
  <c r="AC217" i="3"/>
  <c r="AB217" i="3"/>
  <c r="AA217" i="3"/>
  <c r="Z217" i="3"/>
  <c r="Y217" i="3"/>
  <c r="X217" i="3"/>
  <c r="W217" i="3"/>
  <c r="V217" i="3"/>
  <c r="U217" i="3"/>
  <c r="T217" i="3"/>
  <c r="S217" i="3"/>
  <c r="R217" i="3"/>
  <c r="Q217" i="3"/>
  <c r="P217" i="3"/>
  <c r="N217" i="3"/>
  <c r="M217" i="3"/>
  <c r="K217" i="3"/>
  <c r="J217" i="3"/>
  <c r="I217" i="3"/>
  <c r="H217" i="3"/>
  <c r="G217" i="3"/>
  <c r="F217" i="3"/>
  <c r="E217" i="3"/>
  <c r="D217" i="3"/>
  <c r="C217" i="3"/>
  <c r="B217" i="3"/>
  <c r="A217" i="3"/>
  <c r="AK216" i="3"/>
  <c r="AC216" i="3"/>
  <c r="AB216" i="3"/>
  <c r="AA216" i="3"/>
  <c r="Z216" i="3"/>
  <c r="Y216" i="3"/>
  <c r="X216" i="3"/>
  <c r="W216" i="3"/>
  <c r="V216" i="3"/>
  <c r="U216" i="3"/>
  <c r="T216" i="3"/>
  <c r="S216" i="3"/>
  <c r="R216" i="3"/>
  <c r="Q216" i="3"/>
  <c r="P216" i="3"/>
  <c r="O216" i="3"/>
  <c r="N216" i="3"/>
  <c r="M216" i="3"/>
  <c r="K216" i="3"/>
  <c r="J216" i="3"/>
  <c r="I216" i="3"/>
  <c r="H216" i="3"/>
  <c r="G216" i="3"/>
  <c r="F216" i="3"/>
  <c r="E216" i="3"/>
  <c r="D216" i="3"/>
  <c r="C216" i="3"/>
  <c r="B216" i="3"/>
  <c r="A216" i="3"/>
  <c r="AK215" i="3"/>
  <c r="AC215" i="3"/>
  <c r="AB215" i="3"/>
  <c r="AA215" i="3"/>
  <c r="Z215" i="3"/>
  <c r="Y215" i="3"/>
  <c r="X215" i="3"/>
  <c r="W215" i="3"/>
  <c r="V215" i="3"/>
  <c r="U215" i="3"/>
  <c r="T215" i="3"/>
  <c r="S215" i="3"/>
  <c r="R215" i="3"/>
  <c r="Q215" i="3"/>
  <c r="P215" i="3"/>
  <c r="O215" i="3"/>
  <c r="N215" i="3"/>
  <c r="M215" i="3"/>
  <c r="K215" i="3"/>
  <c r="J215" i="3"/>
  <c r="I215" i="3"/>
  <c r="H215" i="3"/>
  <c r="G215" i="3"/>
  <c r="F215" i="3"/>
  <c r="E215" i="3"/>
  <c r="D215" i="3"/>
  <c r="C215" i="3"/>
  <c r="B215" i="3"/>
  <c r="A215" i="3"/>
  <c r="AK214" i="3"/>
  <c r="AC214" i="3"/>
  <c r="AB214" i="3"/>
  <c r="AA214" i="3"/>
  <c r="Z214" i="3"/>
  <c r="Y214" i="3"/>
  <c r="X214" i="3"/>
  <c r="W214" i="3"/>
  <c r="V214" i="3"/>
  <c r="U214" i="3"/>
  <c r="T214" i="3"/>
  <c r="S214" i="3"/>
  <c r="R214" i="3"/>
  <c r="Q214" i="3"/>
  <c r="P214" i="3"/>
  <c r="O214" i="3"/>
  <c r="N214" i="3"/>
  <c r="M214" i="3"/>
  <c r="K214" i="3"/>
  <c r="J214" i="3"/>
  <c r="I214" i="3"/>
  <c r="H214" i="3"/>
  <c r="G214" i="3"/>
  <c r="F214" i="3"/>
  <c r="E214" i="3"/>
  <c r="D214" i="3"/>
  <c r="C214" i="3"/>
  <c r="B214" i="3"/>
  <c r="A214" i="3"/>
  <c r="AK213" i="3"/>
  <c r="AC213" i="3"/>
  <c r="AB213" i="3"/>
  <c r="AA213" i="3"/>
  <c r="Z213" i="3"/>
  <c r="Y213" i="3"/>
  <c r="X213" i="3"/>
  <c r="W213" i="3"/>
  <c r="V213" i="3"/>
  <c r="U213" i="3"/>
  <c r="T213" i="3"/>
  <c r="S213" i="3"/>
  <c r="R213" i="3"/>
  <c r="Q213" i="3"/>
  <c r="P213" i="3"/>
  <c r="O213" i="3"/>
  <c r="N213" i="3"/>
  <c r="M213" i="3"/>
  <c r="K213" i="3"/>
  <c r="I213" i="3"/>
  <c r="H213" i="3"/>
  <c r="G213" i="3"/>
  <c r="F213" i="3"/>
  <c r="E213" i="3"/>
  <c r="D213" i="3"/>
  <c r="C213" i="3"/>
  <c r="B213" i="3"/>
  <c r="A213" i="3"/>
  <c r="AK212" i="3"/>
  <c r="AC212" i="3"/>
  <c r="AB212" i="3"/>
  <c r="AA212" i="3"/>
  <c r="Z212" i="3"/>
  <c r="Y212" i="3"/>
  <c r="X212" i="3"/>
  <c r="W212" i="3"/>
  <c r="V212" i="3"/>
  <c r="U212" i="3"/>
  <c r="T212" i="3"/>
  <c r="S212" i="3"/>
  <c r="R212" i="3"/>
  <c r="Q212" i="3"/>
  <c r="P212" i="3"/>
  <c r="O212" i="3"/>
  <c r="N212" i="3"/>
  <c r="M212" i="3"/>
  <c r="K212" i="3"/>
  <c r="J212" i="3"/>
  <c r="I212" i="3"/>
  <c r="H212" i="3"/>
  <c r="G212" i="3"/>
  <c r="F212" i="3"/>
  <c r="E212" i="3"/>
  <c r="D212" i="3"/>
  <c r="C212" i="3"/>
  <c r="B212" i="3"/>
  <c r="A212" i="3"/>
  <c r="AK211" i="3"/>
  <c r="AC211" i="3"/>
  <c r="AB211" i="3"/>
  <c r="AA211" i="3"/>
  <c r="Z211" i="3"/>
  <c r="Y211" i="3"/>
  <c r="X211" i="3"/>
  <c r="W211" i="3"/>
  <c r="V211" i="3"/>
  <c r="U211" i="3"/>
  <c r="T211" i="3"/>
  <c r="S211" i="3"/>
  <c r="R211" i="3"/>
  <c r="Q211" i="3"/>
  <c r="P211" i="3"/>
  <c r="O211" i="3"/>
  <c r="N211" i="3"/>
  <c r="M211" i="3"/>
  <c r="K211" i="3"/>
  <c r="J211" i="3"/>
  <c r="I211" i="3"/>
  <c r="H211" i="3"/>
  <c r="G211" i="3"/>
  <c r="F211" i="3"/>
  <c r="E211" i="3"/>
  <c r="D211" i="3"/>
  <c r="C211" i="3"/>
  <c r="B211" i="3"/>
  <c r="A211" i="3"/>
  <c r="AK210" i="3"/>
  <c r="AC210" i="3"/>
  <c r="AB210" i="3"/>
  <c r="AA210" i="3"/>
  <c r="Z210" i="3"/>
  <c r="Y210" i="3"/>
  <c r="X210" i="3"/>
  <c r="W210" i="3"/>
  <c r="V210" i="3"/>
  <c r="U210" i="3"/>
  <c r="T210" i="3"/>
  <c r="S210" i="3"/>
  <c r="R210" i="3"/>
  <c r="Q210" i="3"/>
  <c r="P210" i="3"/>
  <c r="O210" i="3"/>
  <c r="N210" i="3"/>
  <c r="M210" i="3"/>
  <c r="K210" i="3"/>
  <c r="J210" i="3"/>
  <c r="I210" i="3"/>
  <c r="H210" i="3"/>
  <c r="G210" i="3"/>
  <c r="F210" i="3"/>
  <c r="E210" i="3"/>
  <c r="D210" i="3"/>
  <c r="C210" i="3"/>
  <c r="B210" i="3"/>
  <c r="A210" i="3"/>
  <c r="AK209" i="3"/>
  <c r="AC209" i="3"/>
  <c r="AB209" i="3"/>
  <c r="AA209" i="3"/>
  <c r="Z209" i="3"/>
  <c r="Y209" i="3"/>
  <c r="X209" i="3"/>
  <c r="W209" i="3"/>
  <c r="V209" i="3"/>
  <c r="U209" i="3"/>
  <c r="T209" i="3"/>
  <c r="S209" i="3"/>
  <c r="R209" i="3"/>
  <c r="Q209" i="3"/>
  <c r="P209" i="3"/>
  <c r="O209" i="3"/>
  <c r="N209" i="3"/>
  <c r="M209" i="3"/>
  <c r="K209" i="3"/>
  <c r="J209" i="3"/>
  <c r="I209" i="3"/>
  <c r="H209" i="3"/>
  <c r="G209" i="3"/>
  <c r="F209" i="3"/>
  <c r="E209" i="3"/>
  <c r="D209" i="3"/>
  <c r="C209" i="3"/>
  <c r="B209" i="3"/>
  <c r="A209" i="3"/>
  <c r="AK208" i="3"/>
  <c r="AC208" i="3"/>
  <c r="AB208" i="3"/>
  <c r="AA208" i="3"/>
  <c r="Z208" i="3"/>
  <c r="Y208" i="3"/>
  <c r="X208" i="3"/>
  <c r="W208" i="3"/>
  <c r="V208" i="3"/>
  <c r="U208" i="3"/>
  <c r="T208" i="3"/>
  <c r="S208" i="3"/>
  <c r="R208" i="3"/>
  <c r="Q208" i="3"/>
  <c r="P208" i="3"/>
  <c r="O208" i="3"/>
  <c r="N208" i="3"/>
  <c r="M208" i="3"/>
  <c r="K208" i="3"/>
  <c r="I208" i="3"/>
  <c r="H208" i="3"/>
  <c r="G208" i="3"/>
  <c r="F208" i="3"/>
  <c r="E208" i="3"/>
  <c r="D208" i="3"/>
  <c r="C208" i="3"/>
  <c r="B208" i="3"/>
  <c r="A208" i="3"/>
  <c r="AK207" i="3"/>
  <c r="AC207" i="3"/>
  <c r="AB207" i="3"/>
  <c r="AA207" i="3"/>
  <c r="Z207" i="3"/>
  <c r="Y207" i="3"/>
  <c r="X207" i="3"/>
  <c r="W207" i="3"/>
  <c r="V207" i="3"/>
  <c r="U207" i="3"/>
  <c r="T207" i="3"/>
  <c r="S207" i="3"/>
  <c r="R207" i="3"/>
  <c r="Q207" i="3"/>
  <c r="P207" i="3"/>
  <c r="O207" i="3"/>
  <c r="N207" i="3"/>
  <c r="M207" i="3"/>
  <c r="K207" i="3"/>
  <c r="J207" i="3"/>
  <c r="I207" i="3"/>
  <c r="H207" i="3"/>
  <c r="G207" i="3"/>
  <c r="F207" i="3"/>
  <c r="E207" i="3"/>
  <c r="D207" i="3"/>
  <c r="C207" i="3"/>
  <c r="B207" i="3"/>
  <c r="A207" i="3"/>
  <c r="AK206" i="3"/>
  <c r="AC206" i="3"/>
  <c r="AB206" i="3"/>
  <c r="AA206" i="3"/>
  <c r="Z206" i="3"/>
  <c r="Y206" i="3"/>
  <c r="X206" i="3"/>
  <c r="W206" i="3"/>
  <c r="V206" i="3"/>
  <c r="U206" i="3"/>
  <c r="T206" i="3"/>
  <c r="S206" i="3"/>
  <c r="R206" i="3"/>
  <c r="Q206" i="3"/>
  <c r="P206" i="3"/>
  <c r="O206" i="3"/>
  <c r="N206" i="3"/>
  <c r="M206" i="3"/>
  <c r="K206" i="3"/>
  <c r="J206" i="3"/>
  <c r="I206" i="3"/>
  <c r="H206" i="3"/>
  <c r="G206" i="3"/>
  <c r="F206" i="3"/>
  <c r="E206" i="3"/>
  <c r="D206" i="3"/>
  <c r="C206" i="3"/>
  <c r="B206" i="3"/>
  <c r="A206" i="3"/>
  <c r="AC205" i="3"/>
  <c r="AB205" i="3"/>
  <c r="AA205" i="3"/>
  <c r="Z205" i="3"/>
  <c r="Y205" i="3"/>
  <c r="X205" i="3"/>
  <c r="W205" i="3"/>
  <c r="V205" i="3"/>
  <c r="U205" i="3"/>
  <c r="T205" i="3"/>
  <c r="S205" i="3"/>
  <c r="R205" i="3"/>
  <c r="Q205" i="3"/>
  <c r="P205" i="3"/>
  <c r="O205" i="3"/>
  <c r="N205" i="3"/>
  <c r="M205" i="3"/>
  <c r="K205" i="3"/>
  <c r="J205" i="3"/>
  <c r="I205" i="3"/>
  <c r="H205" i="3"/>
  <c r="G205" i="3"/>
  <c r="F205" i="3"/>
  <c r="E205" i="3"/>
  <c r="D205" i="3"/>
  <c r="C205" i="3"/>
  <c r="B205" i="3"/>
  <c r="A205" i="3"/>
  <c r="AK204" i="3"/>
  <c r="AC204" i="3"/>
  <c r="AB204" i="3"/>
  <c r="AA204" i="3"/>
  <c r="Z204" i="3"/>
  <c r="Y204" i="3"/>
  <c r="X204" i="3"/>
  <c r="W204" i="3"/>
  <c r="V204" i="3"/>
  <c r="U204" i="3"/>
  <c r="T204" i="3"/>
  <c r="S204" i="3"/>
  <c r="R204" i="3"/>
  <c r="Q204" i="3"/>
  <c r="P204" i="3"/>
  <c r="O204" i="3"/>
  <c r="N204" i="3"/>
  <c r="M204" i="3"/>
  <c r="K204" i="3"/>
  <c r="J204" i="3"/>
  <c r="I204" i="3"/>
  <c r="H204" i="3"/>
  <c r="G204" i="3"/>
  <c r="F204" i="3"/>
  <c r="E204" i="3"/>
  <c r="D204" i="3"/>
  <c r="C204" i="3"/>
  <c r="B204" i="3"/>
  <c r="A204" i="3"/>
  <c r="AK203" i="3"/>
  <c r="AC203" i="3"/>
  <c r="AB203" i="3"/>
  <c r="AA203" i="3"/>
  <c r="Z203" i="3"/>
  <c r="Y203" i="3"/>
  <c r="X203" i="3"/>
  <c r="W203" i="3"/>
  <c r="V203" i="3"/>
  <c r="U203" i="3"/>
  <c r="T203" i="3"/>
  <c r="S203" i="3"/>
  <c r="R203" i="3"/>
  <c r="Q203" i="3"/>
  <c r="P203" i="3"/>
  <c r="O203" i="3"/>
  <c r="N203" i="3"/>
  <c r="M203" i="3"/>
  <c r="K203" i="3"/>
  <c r="J203" i="3"/>
  <c r="I203" i="3"/>
  <c r="H203" i="3"/>
  <c r="G203" i="3"/>
  <c r="F203" i="3"/>
  <c r="E203" i="3"/>
  <c r="D203" i="3"/>
  <c r="C203" i="3"/>
  <c r="B203" i="3"/>
  <c r="A203" i="3"/>
  <c r="AK202" i="3"/>
  <c r="AC202" i="3"/>
  <c r="AB202" i="3"/>
  <c r="AA202" i="3"/>
  <c r="Z202" i="3"/>
  <c r="Y202" i="3"/>
  <c r="X202" i="3"/>
  <c r="W202" i="3"/>
  <c r="V202" i="3"/>
  <c r="U202" i="3"/>
  <c r="T202" i="3"/>
  <c r="S202" i="3"/>
  <c r="R202" i="3"/>
  <c r="Q202" i="3"/>
  <c r="P202" i="3"/>
  <c r="O202" i="3"/>
  <c r="N202" i="3"/>
  <c r="M202" i="3"/>
  <c r="K202" i="3"/>
  <c r="J202" i="3"/>
  <c r="I202" i="3"/>
  <c r="H202" i="3"/>
  <c r="G202" i="3"/>
  <c r="F202" i="3"/>
  <c r="E202" i="3"/>
  <c r="D202" i="3"/>
  <c r="C202" i="3"/>
  <c r="B202" i="3"/>
  <c r="A202" i="3"/>
  <c r="AK201" i="3"/>
  <c r="AC201" i="3"/>
  <c r="AB201" i="3"/>
  <c r="AA201" i="3"/>
  <c r="Z201" i="3"/>
  <c r="Y201" i="3"/>
  <c r="X201" i="3"/>
  <c r="W201" i="3"/>
  <c r="V201" i="3"/>
  <c r="U201" i="3"/>
  <c r="T201" i="3"/>
  <c r="S201" i="3"/>
  <c r="R201" i="3"/>
  <c r="Q201" i="3"/>
  <c r="P201" i="3"/>
  <c r="O201" i="3"/>
  <c r="N201" i="3"/>
  <c r="M201" i="3"/>
  <c r="K201" i="3"/>
  <c r="J201" i="3"/>
  <c r="I201" i="3"/>
  <c r="H201" i="3"/>
  <c r="G201" i="3"/>
  <c r="F201" i="3"/>
  <c r="E201" i="3"/>
  <c r="D201" i="3"/>
  <c r="C201" i="3"/>
  <c r="B201" i="3"/>
  <c r="A201" i="3"/>
  <c r="AK200" i="3"/>
  <c r="AC200" i="3"/>
  <c r="AB200" i="3"/>
  <c r="AA200" i="3"/>
  <c r="Z200" i="3"/>
  <c r="Y200" i="3"/>
  <c r="X200" i="3"/>
  <c r="W200" i="3"/>
  <c r="V200" i="3"/>
  <c r="U200" i="3"/>
  <c r="T200" i="3"/>
  <c r="S200" i="3"/>
  <c r="R200" i="3"/>
  <c r="Q200" i="3"/>
  <c r="P200" i="3"/>
  <c r="O200" i="3"/>
  <c r="N200" i="3"/>
  <c r="M200" i="3"/>
  <c r="K200" i="3"/>
  <c r="J200" i="3"/>
  <c r="I200" i="3"/>
  <c r="H200" i="3"/>
  <c r="G200" i="3"/>
  <c r="F200" i="3"/>
  <c r="E200" i="3"/>
  <c r="D200" i="3"/>
  <c r="C200" i="3"/>
  <c r="B200" i="3"/>
  <c r="A200" i="3"/>
  <c r="AK199" i="3"/>
  <c r="AC199" i="3"/>
  <c r="AB199" i="3"/>
  <c r="AA199" i="3"/>
  <c r="Z199" i="3"/>
  <c r="Y199" i="3"/>
  <c r="X199" i="3"/>
  <c r="W199" i="3"/>
  <c r="V199" i="3"/>
  <c r="U199" i="3"/>
  <c r="T199" i="3"/>
  <c r="S199" i="3"/>
  <c r="R199" i="3"/>
  <c r="Q199" i="3"/>
  <c r="P199" i="3"/>
  <c r="O199" i="3"/>
  <c r="N199" i="3"/>
  <c r="M199" i="3"/>
  <c r="K199" i="3"/>
  <c r="J199" i="3"/>
  <c r="I199" i="3"/>
  <c r="H199" i="3"/>
  <c r="G199" i="3"/>
  <c r="F199" i="3"/>
  <c r="E199" i="3"/>
  <c r="D199" i="3"/>
  <c r="C199" i="3"/>
  <c r="B199" i="3"/>
  <c r="A199" i="3"/>
  <c r="AK198" i="3"/>
  <c r="AC198" i="3"/>
  <c r="AB198" i="3"/>
  <c r="AA198" i="3"/>
  <c r="Z198" i="3"/>
  <c r="Y198" i="3"/>
  <c r="X198" i="3"/>
  <c r="W198" i="3"/>
  <c r="V198" i="3"/>
  <c r="U198" i="3"/>
  <c r="T198" i="3"/>
  <c r="S198" i="3"/>
  <c r="R198" i="3"/>
  <c r="Q198" i="3"/>
  <c r="P198" i="3"/>
  <c r="O198" i="3"/>
  <c r="N198" i="3"/>
  <c r="M198" i="3"/>
  <c r="K198" i="3"/>
  <c r="J198" i="3"/>
  <c r="I198" i="3"/>
  <c r="H198" i="3"/>
  <c r="G198" i="3"/>
  <c r="F198" i="3"/>
  <c r="E198" i="3"/>
  <c r="D198" i="3"/>
  <c r="C198" i="3"/>
  <c r="B198" i="3"/>
  <c r="A198" i="3"/>
  <c r="AK197" i="3"/>
  <c r="AC197" i="3"/>
  <c r="AB197" i="3"/>
  <c r="AA197" i="3"/>
  <c r="Z197" i="3"/>
  <c r="Y197" i="3"/>
  <c r="X197" i="3"/>
  <c r="W197" i="3"/>
  <c r="V197" i="3"/>
  <c r="U197" i="3"/>
  <c r="T197" i="3"/>
  <c r="S197" i="3"/>
  <c r="R197" i="3"/>
  <c r="Q197" i="3"/>
  <c r="P197" i="3"/>
  <c r="O197" i="3"/>
  <c r="N197" i="3"/>
  <c r="M197" i="3"/>
  <c r="K197" i="3"/>
  <c r="J197" i="3"/>
  <c r="I197" i="3"/>
  <c r="H197" i="3"/>
  <c r="G197" i="3"/>
  <c r="F197" i="3"/>
  <c r="E197" i="3"/>
  <c r="D197" i="3"/>
  <c r="C197" i="3"/>
  <c r="B197" i="3"/>
  <c r="A197" i="3"/>
  <c r="AK196" i="3"/>
  <c r="AC196" i="3"/>
  <c r="AB196" i="3"/>
  <c r="AA196" i="3"/>
  <c r="Z196" i="3"/>
  <c r="Y196" i="3"/>
  <c r="X196" i="3"/>
  <c r="W196" i="3"/>
  <c r="V196" i="3"/>
  <c r="U196" i="3"/>
  <c r="T196" i="3"/>
  <c r="S196" i="3"/>
  <c r="R196" i="3"/>
  <c r="Q196" i="3"/>
  <c r="P196" i="3"/>
  <c r="N196" i="3"/>
  <c r="M196" i="3"/>
  <c r="K196" i="3"/>
  <c r="J196" i="3"/>
  <c r="I196" i="3"/>
  <c r="H196" i="3"/>
  <c r="G196" i="3"/>
  <c r="F196" i="3"/>
  <c r="E196" i="3"/>
  <c r="D196" i="3"/>
  <c r="C196" i="3"/>
  <c r="B196" i="3"/>
  <c r="A196" i="3"/>
  <c r="AK195" i="3"/>
  <c r="AC195" i="3"/>
  <c r="AB195" i="3"/>
  <c r="AA195" i="3"/>
  <c r="Z195" i="3"/>
  <c r="Y195" i="3"/>
  <c r="X195" i="3"/>
  <c r="W195" i="3"/>
  <c r="V195" i="3"/>
  <c r="U195" i="3"/>
  <c r="T195" i="3"/>
  <c r="S195" i="3"/>
  <c r="R195" i="3"/>
  <c r="Q195" i="3"/>
  <c r="P195" i="3"/>
  <c r="O195" i="3"/>
  <c r="N195" i="3"/>
  <c r="M195" i="3"/>
  <c r="K195" i="3"/>
  <c r="J195" i="3"/>
  <c r="I195" i="3"/>
  <c r="H195" i="3"/>
  <c r="G195" i="3"/>
  <c r="F195" i="3"/>
  <c r="E195" i="3"/>
  <c r="D195" i="3"/>
  <c r="C195" i="3"/>
  <c r="B195" i="3"/>
  <c r="A195" i="3"/>
  <c r="AK194" i="3"/>
  <c r="AC194" i="3"/>
  <c r="AB194" i="3"/>
  <c r="AA194" i="3"/>
  <c r="Z194" i="3"/>
  <c r="Y194" i="3"/>
  <c r="X194" i="3"/>
  <c r="W194" i="3"/>
  <c r="V194" i="3"/>
  <c r="U194" i="3"/>
  <c r="T194" i="3"/>
  <c r="S194" i="3"/>
  <c r="R194" i="3"/>
  <c r="Q194" i="3"/>
  <c r="P194" i="3"/>
  <c r="O194" i="3"/>
  <c r="N194" i="3"/>
  <c r="M194" i="3"/>
  <c r="K194" i="3"/>
  <c r="I194" i="3"/>
  <c r="H194" i="3"/>
  <c r="G194" i="3"/>
  <c r="F194" i="3"/>
  <c r="E194" i="3"/>
  <c r="D194" i="3"/>
  <c r="C194" i="3"/>
  <c r="B194" i="3"/>
  <c r="A194" i="3"/>
  <c r="AK193" i="3"/>
  <c r="AC193" i="3"/>
  <c r="AB193" i="3"/>
  <c r="AA193" i="3"/>
  <c r="Z193" i="3"/>
  <c r="Y193" i="3"/>
  <c r="X193" i="3"/>
  <c r="W193" i="3"/>
  <c r="V193" i="3"/>
  <c r="U193" i="3"/>
  <c r="T193" i="3"/>
  <c r="S193" i="3"/>
  <c r="R193" i="3"/>
  <c r="Q193" i="3"/>
  <c r="P193" i="3"/>
  <c r="O193" i="3"/>
  <c r="N193" i="3"/>
  <c r="M193" i="3"/>
  <c r="K193" i="3"/>
  <c r="J193" i="3"/>
  <c r="I193" i="3"/>
  <c r="H193" i="3"/>
  <c r="G193" i="3"/>
  <c r="F193" i="3"/>
  <c r="E193" i="3"/>
  <c r="D193" i="3"/>
  <c r="C193" i="3"/>
  <c r="B193" i="3"/>
  <c r="A193" i="3"/>
  <c r="AK192" i="3"/>
  <c r="AC192" i="3"/>
  <c r="AB192" i="3"/>
  <c r="AA192" i="3"/>
  <c r="Z192" i="3"/>
  <c r="Y192" i="3"/>
  <c r="X192" i="3"/>
  <c r="W192" i="3"/>
  <c r="V192" i="3"/>
  <c r="U192" i="3"/>
  <c r="T192" i="3"/>
  <c r="S192" i="3"/>
  <c r="R192" i="3"/>
  <c r="Q192" i="3"/>
  <c r="P192" i="3"/>
  <c r="O192" i="3"/>
  <c r="N192" i="3"/>
  <c r="M192" i="3"/>
  <c r="K192" i="3"/>
  <c r="J192" i="3"/>
  <c r="I192" i="3"/>
  <c r="H192" i="3"/>
  <c r="G192" i="3"/>
  <c r="F192" i="3"/>
  <c r="E192" i="3"/>
  <c r="D192" i="3"/>
  <c r="C192" i="3"/>
  <c r="B192" i="3"/>
  <c r="A192" i="3"/>
  <c r="AK191" i="3"/>
  <c r="AC191" i="3"/>
  <c r="AB191" i="3"/>
  <c r="AA191" i="3"/>
  <c r="Z191" i="3"/>
  <c r="Y191" i="3"/>
  <c r="X191" i="3"/>
  <c r="W191" i="3"/>
  <c r="V191" i="3"/>
  <c r="U191" i="3"/>
  <c r="T191" i="3"/>
  <c r="S191" i="3"/>
  <c r="R191" i="3"/>
  <c r="Q191" i="3"/>
  <c r="P191" i="3"/>
  <c r="O191" i="3"/>
  <c r="N191" i="3"/>
  <c r="M191" i="3"/>
  <c r="K191" i="3"/>
  <c r="J191" i="3"/>
  <c r="I191" i="3"/>
  <c r="H191" i="3"/>
  <c r="G191" i="3"/>
  <c r="F191" i="3"/>
  <c r="E191" i="3"/>
  <c r="D191" i="3"/>
  <c r="C191" i="3"/>
  <c r="B191" i="3"/>
  <c r="A191" i="3"/>
  <c r="AK190" i="3"/>
  <c r="AC190" i="3"/>
  <c r="AB190" i="3"/>
  <c r="AA190" i="3"/>
  <c r="Z190" i="3"/>
  <c r="Y190" i="3"/>
  <c r="X190" i="3"/>
  <c r="W190" i="3"/>
  <c r="V190" i="3"/>
  <c r="U190" i="3"/>
  <c r="T190" i="3"/>
  <c r="S190" i="3"/>
  <c r="R190" i="3"/>
  <c r="Q190" i="3"/>
  <c r="P190" i="3"/>
  <c r="O190" i="3"/>
  <c r="N190" i="3"/>
  <c r="M190" i="3"/>
  <c r="K190" i="3"/>
  <c r="J190" i="3"/>
  <c r="I190" i="3"/>
  <c r="H190" i="3"/>
  <c r="G190" i="3"/>
  <c r="F190" i="3"/>
  <c r="E190" i="3"/>
  <c r="D190" i="3"/>
  <c r="C190" i="3"/>
  <c r="B190" i="3"/>
  <c r="A190" i="3"/>
  <c r="AK189" i="3"/>
  <c r="AC189" i="3"/>
  <c r="AB189" i="3"/>
  <c r="AA189" i="3"/>
  <c r="Z189" i="3"/>
  <c r="Y189" i="3"/>
  <c r="X189" i="3"/>
  <c r="W189" i="3"/>
  <c r="V189" i="3"/>
  <c r="U189" i="3"/>
  <c r="T189" i="3"/>
  <c r="S189" i="3"/>
  <c r="R189" i="3"/>
  <c r="Q189" i="3"/>
  <c r="P189" i="3"/>
  <c r="O189" i="3"/>
  <c r="N189" i="3"/>
  <c r="M189" i="3"/>
  <c r="K189" i="3"/>
  <c r="J189" i="3"/>
  <c r="I189" i="3"/>
  <c r="H189" i="3"/>
  <c r="G189" i="3"/>
  <c r="F189" i="3"/>
  <c r="E189" i="3"/>
  <c r="D189" i="3"/>
  <c r="C189" i="3"/>
  <c r="B189" i="3"/>
  <c r="A189" i="3"/>
  <c r="AK188" i="3"/>
  <c r="AC188" i="3"/>
  <c r="AB188" i="3"/>
  <c r="AA188" i="3"/>
  <c r="Z188" i="3"/>
  <c r="Y188" i="3"/>
  <c r="X188" i="3"/>
  <c r="W188" i="3"/>
  <c r="V188" i="3"/>
  <c r="U188" i="3"/>
  <c r="T188" i="3"/>
  <c r="S188" i="3"/>
  <c r="R188" i="3"/>
  <c r="Q188" i="3"/>
  <c r="P188" i="3"/>
  <c r="O188" i="3"/>
  <c r="N188" i="3"/>
  <c r="M188" i="3"/>
  <c r="K188" i="3"/>
  <c r="J188" i="3"/>
  <c r="I188" i="3"/>
  <c r="H188" i="3"/>
  <c r="G188" i="3"/>
  <c r="F188" i="3"/>
  <c r="E188" i="3"/>
  <c r="D188" i="3"/>
  <c r="C188" i="3"/>
  <c r="B188" i="3"/>
  <c r="A188" i="3"/>
  <c r="AK187" i="3"/>
  <c r="AC187" i="3"/>
  <c r="AB187" i="3"/>
  <c r="AA187" i="3"/>
  <c r="Z187" i="3"/>
  <c r="Y187" i="3"/>
  <c r="X187" i="3"/>
  <c r="W187" i="3"/>
  <c r="V187" i="3"/>
  <c r="U187" i="3"/>
  <c r="T187" i="3"/>
  <c r="S187" i="3"/>
  <c r="R187" i="3"/>
  <c r="Q187" i="3"/>
  <c r="P187" i="3"/>
  <c r="O187" i="3"/>
  <c r="N187" i="3"/>
  <c r="M187" i="3"/>
  <c r="K187" i="3"/>
  <c r="J187" i="3"/>
  <c r="I187" i="3"/>
  <c r="H187" i="3"/>
  <c r="G187" i="3"/>
  <c r="F187" i="3"/>
  <c r="E187" i="3"/>
  <c r="D187" i="3"/>
  <c r="C187" i="3"/>
  <c r="B187" i="3"/>
  <c r="A187" i="3"/>
  <c r="AK186" i="3"/>
  <c r="AC186" i="3"/>
  <c r="AB186" i="3"/>
  <c r="AA186" i="3"/>
  <c r="Z186" i="3"/>
  <c r="Y186" i="3"/>
  <c r="X186" i="3"/>
  <c r="W186" i="3"/>
  <c r="V186" i="3"/>
  <c r="U186" i="3"/>
  <c r="T186" i="3"/>
  <c r="S186" i="3"/>
  <c r="R186" i="3"/>
  <c r="Q186" i="3"/>
  <c r="P186" i="3"/>
  <c r="O186" i="3"/>
  <c r="N186" i="3"/>
  <c r="M186" i="3"/>
  <c r="K186" i="3"/>
  <c r="J186" i="3"/>
  <c r="I186" i="3"/>
  <c r="H186" i="3"/>
  <c r="G186" i="3"/>
  <c r="F186" i="3"/>
  <c r="E186" i="3"/>
  <c r="D186" i="3"/>
  <c r="C186" i="3"/>
  <c r="B186" i="3"/>
  <c r="A186" i="3"/>
  <c r="AK185" i="3"/>
  <c r="AC185" i="3"/>
  <c r="AB185" i="3"/>
  <c r="AA185" i="3"/>
  <c r="Z185" i="3"/>
  <c r="Y185" i="3"/>
  <c r="X185" i="3"/>
  <c r="W185" i="3"/>
  <c r="V185" i="3"/>
  <c r="U185" i="3"/>
  <c r="T185" i="3"/>
  <c r="S185" i="3"/>
  <c r="R185" i="3"/>
  <c r="Q185" i="3"/>
  <c r="P185" i="3"/>
  <c r="O185" i="3"/>
  <c r="N185" i="3"/>
  <c r="M185" i="3"/>
  <c r="K185" i="3"/>
  <c r="J185" i="3"/>
  <c r="I185" i="3"/>
  <c r="H185" i="3"/>
  <c r="G185" i="3"/>
  <c r="F185" i="3"/>
  <c r="E185" i="3"/>
  <c r="D185" i="3"/>
  <c r="C185" i="3"/>
  <c r="B185" i="3"/>
  <c r="A185" i="3"/>
  <c r="AK184" i="3"/>
  <c r="AC184" i="3"/>
  <c r="AB184" i="3"/>
  <c r="AA184" i="3"/>
  <c r="Z184" i="3"/>
  <c r="Y184" i="3"/>
  <c r="X184" i="3"/>
  <c r="W184" i="3"/>
  <c r="V184" i="3"/>
  <c r="U184" i="3"/>
  <c r="T184" i="3"/>
  <c r="S184" i="3"/>
  <c r="R184" i="3"/>
  <c r="Q184" i="3"/>
  <c r="P184" i="3"/>
  <c r="O184" i="3"/>
  <c r="N184" i="3"/>
  <c r="M184" i="3"/>
  <c r="K184" i="3"/>
  <c r="J184" i="3"/>
  <c r="I184" i="3"/>
  <c r="H184" i="3"/>
  <c r="G184" i="3"/>
  <c r="F184" i="3"/>
  <c r="E184" i="3"/>
  <c r="D184" i="3"/>
  <c r="C184" i="3"/>
  <c r="B184" i="3"/>
  <c r="A184" i="3"/>
  <c r="AK183" i="3"/>
  <c r="AC183" i="3"/>
  <c r="AB183" i="3"/>
  <c r="AA183" i="3"/>
  <c r="Z183" i="3"/>
  <c r="Y183" i="3"/>
  <c r="X183" i="3"/>
  <c r="W183" i="3"/>
  <c r="V183" i="3"/>
  <c r="U183" i="3"/>
  <c r="T183" i="3"/>
  <c r="S183" i="3"/>
  <c r="R183" i="3"/>
  <c r="Q183" i="3"/>
  <c r="P183" i="3"/>
  <c r="O183" i="3"/>
  <c r="N183" i="3"/>
  <c r="M183" i="3"/>
  <c r="K183" i="3"/>
  <c r="J183" i="3"/>
  <c r="I183" i="3"/>
  <c r="H183" i="3"/>
  <c r="G183" i="3"/>
  <c r="F183" i="3"/>
  <c r="E183" i="3"/>
  <c r="D183" i="3"/>
  <c r="C183" i="3"/>
  <c r="B183" i="3"/>
  <c r="A183" i="3"/>
  <c r="AK182" i="3"/>
  <c r="AC182" i="3"/>
  <c r="AB182" i="3"/>
  <c r="AA182" i="3"/>
  <c r="Z182" i="3"/>
  <c r="Y182" i="3"/>
  <c r="X182" i="3"/>
  <c r="W182" i="3"/>
  <c r="V182" i="3"/>
  <c r="U182" i="3"/>
  <c r="T182" i="3"/>
  <c r="S182" i="3"/>
  <c r="R182" i="3"/>
  <c r="Q182" i="3"/>
  <c r="P182" i="3"/>
  <c r="O182" i="3"/>
  <c r="N182" i="3"/>
  <c r="M182" i="3"/>
  <c r="K182" i="3"/>
  <c r="J182" i="3"/>
  <c r="I182" i="3"/>
  <c r="H182" i="3"/>
  <c r="G182" i="3"/>
  <c r="F182" i="3"/>
  <c r="E182" i="3"/>
  <c r="D182" i="3"/>
  <c r="C182" i="3"/>
  <c r="B182" i="3"/>
  <c r="A182" i="3"/>
  <c r="AK181" i="3"/>
  <c r="AC181" i="3"/>
  <c r="AB181" i="3"/>
  <c r="AA181" i="3"/>
  <c r="Z181" i="3"/>
  <c r="Y181" i="3"/>
  <c r="X181" i="3"/>
  <c r="W181" i="3"/>
  <c r="V181" i="3"/>
  <c r="U181" i="3"/>
  <c r="T181" i="3"/>
  <c r="S181" i="3"/>
  <c r="R181" i="3"/>
  <c r="Q181" i="3"/>
  <c r="P181" i="3"/>
  <c r="O181" i="3"/>
  <c r="N181" i="3"/>
  <c r="M181" i="3"/>
  <c r="K181" i="3"/>
  <c r="J181" i="3"/>
  <c r="I181" i="3"/>
  <c r="H181" i="3"/>
  <c r="G181" i="3"/>
  <c r="F181" i="3"/>
  <c r="E181" i="3"/>
  <c r="D181" i="3"/>
  <c r="C181" i="3"/>
  <c r="B181" i="3"/>
  <c r="A181" i="3"/>
  <c r="AK180" i="3"/>
  <c r="AC180" i="3"/>
  <c r="AB180" i="3"/>
  <c r="AA180" i="3"/>
  <c r="Z180" i="3"/>
  <c r="Y180" i="3"/>
  <c r="X180" i="3"/>
  <c r="W180" i="3"/>
  <c r="V180" i="3"/>
  <c r="U180" i="3"/>
  <c r="T180" i="3"/>
  <c r="S180" i="3"/>
  <c r="R180" i="3"/>
  <c r="Q180" i="3"/>
  <c r="P180" i="3"/>
  <c r="O180" i="3"/>
  <c r="N180" i="3"/>
  <c r="M180" i="3"/>
  <c r="K180" i="3"/>
  <c r="J180" i="3"/>
  <c r="I180" i="3"/>
  <c r="H180" i="3"/>
  <c r="G180" i="3"/>
  <c r="F180" i="3"/>
  <c r="E180" i="3"/>
  <c r="D180" i="3"/>
  <c r="C180" i="3"/>
  <c r="B180" i="3"/>
  <c r="A180" i="3"/>
  <c r="AK179" i="3"/>
  <c r="AC179" i="3"/>
  <c r="AB179" i="3"/>
  <c r="AA179" i="3"/>
  <c r="Z179" i="3"/>
  <c r="Y179" i="3"/>
  <c r="X179" i="3"/>
  <c r="W179" i="3"/>
  <c r="V179" i="3"/>
  <c r="U179" i="3"/>
  <c r="T179" i="3"/>
  <c r="S179" i="3"/>
  <c r="R179" i="3"/>
  <c r="Q179" i="3"/>
  <c r="P179" i="3"/>
  <c r="O179" i="3"/>
  <c r="N179" i="3"/>
  <c r="M179" i="3"/>
  <c r="K179" i="3"/>
  <c r="I179" i="3"/>
  <c r="H179" i="3"/>
  <c r="G179" i="3"/>
  <c r="F179" i="3"/>
  <c r="E179" i="3"/>
  <c r="D179" i="3"/>
  <c r="C179" i="3"/>
  <c r="B179" i="3"/>
  <c r="A179" i="3"/>
  <c r="AK178" i="3"/>
  <c r="AC178" i="3"/>
  <c r="AB178" i="3"/>
  <c r="AA178" i="3"/>
  <c r="Z178" i="3"/>
  <c r="Y178" i="3"/>
  <c r="X178" i="3"/>
  <c r="W178" i="3"/>
  <c r="V178" i="3"/>
  <c r="U178" i="3"/>
  <c r="T178" i="3"/>
  <c r="S178" i="3"/>
  <c r="R178" i="3"/>
  <c r="Q178" i="3"/>
  <c r="P178" i="3"/>
  <c r="O178" i="3"/>
  <c r="N178" i="3"/>
  <c r="M178" i="3"/>
  <c r="K178" i="3"/>
  <c r="J178" i="3"/>
  <c r="I178" i="3"/>
  <c r="H178" i="3"/>
  <c r="G178" i="3"/>
  <c r="F178" i="3"/>
  <c r="E178" i="3"/>
  <c r="D178" i="3"/>
  <c r="C178" i="3"/>
  <c r="B178" i="3"/>
  <c r="A178" i="3"/>
  <c r="AK177" i="3"/>
  <c r="AC177" i="3"/>
  <c r="AB177" i="3"/>
  <c r="AA177" i="3"/>
  <c r="Z177" i="3"/>
  <c r="Y177" i="3"/>
  <c r="X177" i="3"/>
  <c r="W177" i="3"/>
  <c r="V177" i="3"/>
  <c r="U177" i="3"/>
  <c r="T177" i="3"/>
  <c r="S177" i="3"/>
  <c r="R177" i="3"/>
  <c r="Q177" i="3"/>
  <c r="P177" i="3"/>
  <c r="O177" i="3"/>
  <c r="N177" i="3"/>
  <c r="M177" i="3"/>
  <c r="K177" i="3"/>
  <c r="J177" i="3"/>
  <c r="I177" i="3"/>
  <c r="H177" i="3"/>
  <c r="G177" i="3"/>
  <c r="F177" i="3"/>
  <c r="E177" i="3"/>
  <c r="D177" i="3"/>
  <c r="C177" i="3"/>
  <c r="B177" i="3"/>
  <c r="A177" i="3"/>
  <c r="AK176" i="3"/>
  <c r="AC176" i="3"/>
  <c r="AB176" i="3"/>
  <c r="AA176" i="3"/>
  <c r="Z176" i="3"/>
  <c r="Y176" i="3"/>
  <c r="X176" i="3"/>
  <c r="W176" i="3"/>
  <c r="V176" i="3"/>
  <c r="U176" i="3"/>
  <c r="T176" i="3"/>
  <c r="S176" i="3"/>
  <c r="R176" i="3"/>
  <c r="Q176" i="3"/>
  <c r="P176" i="3"/>
  <c r="N176" i="3"/>
  <c r="M176" i="3"/>
  <c r="K176" i="3"/>
  <c r="J176" i="3"/>
  <c r="I176" i="3"/>
  <c r="H176" i="3"/>
  <c r="G176" i="3"/>
  <c r="F176" i="3"/>
  <c r="E176" i="3"/>
  <c r="D176" i="3"/>
  <c r="C176" i="3"/>
  <c r="B176" i="3"/>
  <c r="A176" i="3"/>
  <c r="AK175" i="3"/>
  <c r="AC175" i="3"/>
  <c r="AB175" i="3"/>
  <c r="AA175" i="3"/>
  <c r="Z175" i="3"/>
  <c r="Y175" i="3"/>
  <c r="X175" i="3"/>
  <c r="W175" i="3"/>
  <c r="V175" i="3"/>
  <c r="U175" i="3"/>
  <c r="T175" i="3"/>
  <c r="S175" i="3"/>
  <c r="R175" i="3"/>
  <c r="Q175" i="3"/>
  <c r="P175" i="3"/>
  <c r="O175" i="3"/>
  <c r="N175" i="3"/>
  <c r="M175" i="3"/>
  <c r="K175" i="3"/>
  <c r="J175" i="3"/>
  <c r="I175" i="3"/>
  <c r="H175" i="3"/>
  <c r="G175" i="3"/>
  <c r="F175" i="3"/>
  <c r="E175" i="3"/>
  <c r="D175" i="3"/>
  <c r="C175" i="3"/>
  <c r="B175" i="3"/>
  <c r="A175" i="3"/>
  <c r="AK174" i="3"/>
  <c r="AC174" i="3"/>
  <c r="AB174" i="3"/>
  <c r="AA174" i="3"/>
  <c r="Z174" i="3"/>
  <c r="Y174" i="3"/>
  <c r="X174" i="3"/>
  <c r="W174" i="3"/>
  <c r="V174" i="3"/>
  <c r="U174" i="3"/>
  <c r="T174" i="3"/>
  <c r="S174" i="3"/>
  <c r="R174" i="3"/>
  <c r="Q174" i="3"/>
  <c r="P174" i="3"/>
  <c r="O174" i="3"/>
  <c r="N174" i="3"/>
  <c r="M174" i="3"/>
  <c r="K174" i="3"/>
  <c r="J174" i="3"/>
  <c r="I174" i="3"/>
  <c r="H174" i="3"/>
  <c r="G174" i="3"/>
  <c r="F174" i="3"/>
  <c r="E174" i="3"/>
  <c r="D174" i="3"/>
  <c r="C174" i="3"/>
  <c r="B174" i="3"/>
  <c r="A174" i="3"/>
  <c r="AK173" i="3"/>
  <c r="AC173" i="3"/>
  <c r="AB173" i="3"/>
  <c r="AA173" i="3"/>
  <c r="Z173" i="3"/>
  <c r="Y173" i="3"/>
  <c r="X173" i="3"/>
  <c r="W173" i="3"/>
  <c r="V173" i="3"/>
  <c r="U173" i="3"/>
  <c r="T173" i="3"/>
  <c r="S173" i="3"/>
  <c r="R173" i="3"/>
  <c r="Q173" i="3"/>
  <c r="P173" i="3"/>
  <c r="O173" i="3"/>
  <c r="N173" i="3"/>
  <c r="M173" i="3"/>
  <c r="L173" i="3"/>
  <c r="K173" i="3"/>
  <c r="J173" i="3"/>
  <c r="I173" i="3"/>
  <c r="H173" i="3"/>
  <c r="G173" i="3"/>
  <c r="F173" i="3"/>
  <c r="E173" i="3"/>
  <c r="D173" i="3"/>
  <c r="C173" i="3"/>
  <c r="B173" i="3"/>
  <c r="A173" i="3"/>
  <c r="AK172" i="3"/>
  <c r="AC172" i="3"/>
  <c r="AB172" i="3"/>
  <c r="AA172" i="3"/>
  <c r="Z172" i="3"/>
  <c r="Y172" i="3"/>
  <c r="X172" i="3"/>
  <c r="W172" i="3"/>
  <c r="V172" i="3"/>
  <c r="U172" i="3"/>
  <c r="T172" i="3"/>
  <c r="S172" i="3"/>
  <c r="R172" i="3"/>
  <c r="Q172" i="3"/>
  <c r="P172" i="3"/>
  <c r="O172" i="3"/>
  <c r="N172" i="3"/>
  <c r="M172" i="3"/>
  <c r="K172" i="3"/>
  <c r="J172" i="3"/>
  <c r="I172" i="3"/>
  <c r="H172" i="3"/>
  <c r="G172" i="3"/>
  <c r="F172" i="3"/>
  <c r="E172" i="3"/>
  <c r="D172" i="3"/>
  <c r="C172" i="3"/>
  <c r="B172" i="3"/>
  <c r="A172" i="3"/>
  <c r="AK171" i="3"/>
  <c r="AC171" i="3"/>
  <c r="AB171" i="3"/>
  <c r="AA171" i="3"/>
  <c r="Z171" i="3"/>
  <c r="Y171" i="3"/>
  <c r="X171" i="3"/>
  <c r="W171" i="3"/>
  <c r="V171" i="3"/>
  <c r="U171" i="3"/>
  <c r="T171" i="3"/>
  <c r="S171" i="3"/>
  <c r="R171" i="3"/>
  <c r="Q171" i="3"/>
  <c r="P171" i="3"/>
  <c r="O171" i="3"/>
  <c r="N171" i="3"/>
  <c r="M171" i="3"/>
  <c r="K171" i="3"/>
  <c r="J171" i="3"/>
  <c r="I171" i="3"/>
  <c r="H171" i="3"/>
  <c r="G171" i="3"/>
  <c r="F171" i="3"/>
  <c r="E171" i="3"/>
  <c r="D171" i="3"/>
  <c r="C171" i="3"/>
  <c r="B171" i="3"/>
  <c r="A171" i="3"/>
  <c r="AK170" i="3"/>
  <c r="AC170" i="3"/>
  <c r="AB170" i="3"/>
  <c r="AA170" i="3"/>
  <c r="Z170" i="3"/>
  <c r="Y170" i="3"/>
  <c r="X170" i="3"/>
  <c r="W170" i="3"/>
  <c r="V170" i="3"/>
  <c r="U170" i="3"/>
  <c r="T170" i="3"/>
  <c r="S170" i="3"/>
  <c r="R170" i="3"/>
  <c r="Q170" i="3"/>
  <c r="P170" i="3"/>
  <c r="O170" i="3"/>
  <c r="N170" i="3"/>
  <c r="M170" i="3"/>
  <c r="K170" i="3"/>
  <c r="J170" i="3"/>
  <c r="I170" i="3"/>
  <c r="H170" i="3"/>
  <c r="G170" i="3"/>
  <c r="F170" i="3"/>
  <c r="E170" i="3"/>
  <c r="D170" i="3"/>
  <c r="C170" i="3"/>
  <c r="B170" i="3"/>
  <c r="A170" i="3"/>
  <c r="AK169" i="3"/>
  <c r="AC169" i="3"/>
  <c r="AB169" i="3"/>
  <c r="AA169" i="3"/>
  <c r="Z169" i="3"/>
  <c r="Y169" i="3"/>
  <c r="X169" i="3"/>
  <c r="W169" i="3"/>
  <c r="V169" i="3"/>
  <c r="U169" i="3"/>
  <c r="T169" i="3"/>
  <c r="S169" i="3"/>
  <c r="R169" i="3"/>
  <c r="Q169" i="3"/>
  <c r="P169" i="3"/>
  <c r="O169" i="3"/>
  <c r="N169" i="3"/>
  <c r="M169" i="3"/>
  <c r="K169" i="3"/>
  <c r="J169" i="3"/>
  <c r="I169" i="3"/>
  <c r="H169" i="3"/>
  <c r="G169" i="3"/>
  <c r="F169" i="3"/>
  <c r="E169" i="3"/>
  <c r="D169" i="3"/>
  <c r="C169" i="3"/>
  <c r="B169" i="3"/>
  <c r="A169" i="3"/>
  <c r="AK168" i="3"/>
  <c r="AC168" i="3"/>
  <c r="AB168" i="3"/>
  <c r="AA168" i="3"/>
  <c r="Z168" i="3"/>
  <c r="Y168" i="3"/>
  <c r="X168" i="3"/>
  <c r="W168" i="3"/>
  <c r="V168" i="3"/>
  <c r="U168" i="3"/>
  <c r="T168" i="3"/>
  <c r="S168" i="3"/>
  <c r="R168" i="3"/>
  <c r="Q168" i="3"/>
  <c r="P168" i="3"/>
  <c r="O168" i="3"/>
  <c r="N168" i="3"/>
  <c r="M168" i="3"/>
  <c r="K168" i="3"/>
  <c r="J168" i="3"/>
  <c r="I168" i="3"/>
  <c r="H168" i="3"/>
  <c r="G168" i="3"/>
  <c r="F168" i="3"/>
  <c r="E168" i="3"/>
  <c r="D168" i="3"/>
  <c r="C168" i="3"/>
  <c r="B168" i="3"/>
  <c r="A168" i="3"/>
  <c r="AK167" i="3"/>
  <c r="AC167" i="3"/>
  <c r="AB167" i="3"/>
  <c r="AA167" i="3"/>
  <c r="Z167" i="3"/>
  <c r="Y167" i="3"/>
  <c r="X167" i="3"/>
  <c r="W167" i="3"/>
  <c r="V167" i="3"/>
  <c r="U167" i="3"/>
  <c r="T167" i="3"/>
  <c r="S167" i="3"/>
  <c r="R167" i="3"/>
  <c r="Q167" i="3"/>
  <c r="P167" i="3"/>
  <c r="O167" i="3"/>
  <c r="N167" i="3"/>
  <c r="M167" i="3"/>
  <c r="K167" i="3"/>
  <c r="J167" i="3"/>
  <c r="I167" i="3"/>
  <c r="H167" i="3"/>
  <c r="G167" i="3"/>
  <c r="F167" i="3"/>
  <c r="E167" i="3"/>
  <c r="D167" i="3"/>
  <c r="C167" i="3"/>
  <c r="B167" i="3"/>
  <c r="A167" i="3"/>
  <c r="AK166" i="3"/>
  <c r="AC166" i="3"/>
  <c r="AB166" i="3"/>
  <c r="AA166" i="3"/>
  <c r="Z166" i="3"/>
  <c r="Y166" i="3"/>
  <c r="X166" i="3"/>
  <c r="W166" i="3"/>
  <c r="V166" i="3"/>
  <c r="U166" i="3"/>
  <c r="T166" i="3"/>
  <c r="S166" i="3"/>
  <c r="R166" i="3"/>
  <c r="Q166" i="3"/>
  <c r="P166" i="3"/>
  <c r="O166" i="3"/>
  <c r="N166" i="3"/>
  <c r="M166" i="3"/>
  <c r="K166" i="3"/>
  <c r="J166" i="3"/>
  <c r="I166" i="3"/>
  <c r="H166" i="3"/>
  <c r="G166" i="3"/>
  <c r="F166" i="3"/>
  <c r="E166" i="3"/>
  <c r="D166" i="3"/>
  <c r="C166" i="3"/>
  <c r="B166" i="3"/>
  <c r="A166" i="3"/>
  <c r="AK165" i="3"/>
  <c r="AC165" i="3"/>
  <c r="AB165" i="3"/>
  <c r="AA165" i="3"/>
  <c r="Z165" i="3"/>
  <c r="Y165" i="3"/>
  <c r="X165" i="3"/>
  <c r="W165" i="3"/>
  <c r="V165" i="3"/>
  <c r="U165" i="3"/>
  <c r="T165" i="3"/>
  <c r="S165" i="3"/>
  <c r="R165" i="3"/>
  <c r="Q165" i="3"/>
  <c r="P165" i="3"/>
  <c r="N165" i="3"/>
  <c r="M165" i="3"/>
  <c r="K165" i="3"/>
  <c r="J165" i="3"/>
  <c r="I165" i="3"/>
  <c r="H165" i="3"/>
  <c r="G165" i="3"/>
  <c r="F165" i="3"/>
  <c r="E165" i="3"/>
  <c r="D165" i="3"/>
  <c r="C165" i="3"/>
  <c r="B165" i="3"/>
  <c r="A165" i="3"/>
  <c r="AK164" i="3"/>
  <c r="AC164" i="3"/>
  <c r="AB164" i="3"/>
  <c r="AA164" i="3"/>
  <c r="Z164" i="3"/>
  <c r="Y164" i="3"/>
  <c r="X164" i="3"/>
  <c r="W164" i="3"/>
  <c r="V164" i="3"/>
  <c r="U164" i="3"/>
  <c r="T164" i="3"/>
  <c r="S164" i="3"/>
  <c r="R164" i="3"/>
  <c r="Q164" i="3"/>
  <c r="P164" i="3"/>
  <c r="O164" i="3"/>
  <c r="N164" i="3"/>
  <c r="M164" i="3"/>
  <c r="K164" i="3"/>
  <c r="J164" i="3"/>
  <c r="I164" i="3"/>
  <c r="H164" i="3"/>
  <c r="G164" i="3"/>
  <c r="F164" i="3"/>
  <c r="E164" i="3"/>
  <c r="D164" i="3"/>
  <c r="C164" i="3"/>
  <c r="B164" i="3"/>
  <c r="A164" i="3"/>
  <c r="AK163" i="3"/>
  <c r="AC163" i="3"/>
  <c r="AB163" i="3"/>
  <c r="AA163" i="3"/>
  <c r="Z163" i="3"/>
  <c r="Y163" i="3"/>
  <c r="X163" i="3"/>
  <c r="W163" i="3"/>
  <c r="V163" i="3"/>
  <c r="U163" i="3"/>
  <c r="T163" i="3"/>
  <c r="S163" i="3"/>
  <c r="R163" i="3"/>
  <c r="Q163" i="3"/>
  <c r="P163" i="3"/>
  <c r="O163" i="3"/>
  <c r="N163" i="3"/>
  <c r="M163" i="3"/>
  <c r="K163" i="3"/>
  <c r="J163" i="3"/>
  <c r="I163" i="3"/>
  <c r="H163" i="3"/>
  <c r="G163" i="3"/>
  <c r="F163" i="3"/>
  <c r="E163" i="3"/>
  <c r="D163" i="3"/>
  <c r="C163" i="3"/>
  <c r="B163" i="3"/>
  <c r="A163" i="3"/>
  <c r="AK162" i="3"/>
  <c r="AC162" i="3"/>
  <c r="AB162" i="3"/>
  <c r="AA162" i="3"/>
  <c r="Z162" i="3"/>
  <c r="Y162" i="3"/>
  <c r="X162" i="3"/>
  <c r="W162" i="3"/>
  <c r="V162" i="3"/>
  <c r="U162" i="3"/>
  <c r="T162" i="3"/>
  <c r="S162" i="3"/>
  <c r="R162" i="3"/>
  <c r="Q162" i="3"/>
  <c r="P162" i="3"/>
  <c r="O162" i="3"/>
  <c r="N162" i="3"/>
  <c r="M162" i="3"/>
  <c r="K162" i="3"/>
  <c r="J162" i="3"/>
  <c r="I162" i="3"/>
  <c r="H162" i="3"/>
  <c r="G162" i="3"/>
  <c r="F162" i="3"/>
  <c r="E162" i="3"/>
  <c r="D162" i="3"/>
  <c r="C162" i="3"/>
  <c r="B162" i="3"/>
  <c r="A162" i="3"/>
  <c r="AK161" i="3"/>
  <c r="AC161" i="3"/>
  <c r="AB161" i="3"/>
  <c r="AA161" i="3"/>
  <c r="Z161" i="3"/>
  <c r="Y161" i="3"/>
  <c r="X161" i="3"/>
  <c r="W161" i="3"/>
  <c r="V161" i="3"/>
  <c r="U161" i="3"/>
  <c r="T161" i="3"/>
  <c r="S161" i="3"/>
  <c r="R161" i="3"/>
  <c r="Q161" i="3"/>
  <c r="P161" i="3"/>
  <c r="O161" i="3"/>
  <c r="N161" i="3"/>
  <c r="M161" i="3"/>
  <c r="K161" i="3"/>
  <c r="J161" i="3"/>
  <c r="I161" i="3"/>
  <c r="H161" i="3"/>
  <c r="G161" i="3"/>
  <c r="F161" i="3"/>
  <c r="E161" i="3"/>
  <c r="D161" i="3"/>
  <c r="C161" i="3"/>
  <c r="B161" i="3"/>
  <c r="A161" i="3"/>
  <c r="AK160" i="3"/>
  <c r="AC160" i="3"/>
  <c r="AB160" i="3"/>
  <c r="AA160" i="3"/>
  <c r="Z160" i="3"/>
  <c r="Y160" i="3"/>
  <c r="X160" i="3"/>
  <c r="W160" i="3"/>
  <c r="V160" i="3"/>
  <c r="U160" i="3"/>
  <c r="T160" i="3"/>
  <c r="S160" i="3"/>
  <c r="R160" i="3"/>
  <c r="Q160" i="3"/>
  <c r="P160" i="3"/>
  <c r="O160" i="3"/>
  <c r="N160" i="3"/>
  <c r="M160" i="3"/>
  <c r="K160" i="3"/>
  <c r="J160" i="3"/>
  <c r="I160" i="3"/>
  <c r="H160" i="3"/>
  <c r="G160" i="3"/>
  <c r="F160" i="3"/>
  <c r="E160" i="3"/>
  <c r="D160" i="3"/>
  <c r="C160" i="3"/>
  <c r="B160" i="3"/>
  <c r="A160" i="3"/>
  <c r="AK159" i="3"/>
  <c r="AC159" i="3"/>
  <c r="AB159" i="3"/>
  <c r="AA159" i="3"/>
  <c r="Z159" i="3"/>
  <c r="Y159" i="3"/>
  <c r="X159" i="3"/>
  <c r="W159" i="3"/>
  <c r="V159" i="3"/>
  <c r="U159" i="3"/>
  <c r="T159" i="3"/>
  <c r="S159" i="3"/>
  <c r="R159" i="3"/>
  <c r="Q159" i="3"/>
  <c r="P159" i="3"/>
  <c r="O159" i="3"/>
  <c r="N159" i="3"/>
  <c r="M159" i="3"/>
  <c r="K159" i="3"/>
  <c r="I159" i="3"/>
  <c r="H159" i="3"/>
  <c r="G159" i="3"/>
  <c r="F159" i="3"/>
  <c r="E159" i="3"/>
  <c r="D159" i="3"/>
  <c r="C159" i="3"/>
  <c r="B159" i="3"/>
  <c r="A159" i="3"/>
  <c r="AK158" i="3"/>
  <c r="AC158" i="3"/>
  <c r="AB158" i="3"/>
  <c r="AA158" i="3"/>
  <c r="Z158" i="3"/>
  <c r="Y158" i="3"/>
  <c r="X158" i="3"/>
  <c r="W158" i="3"/>
  <c r="V158" i="3"/>
  <c r="U158" i="3"/>
  <c r="T158" i="3"/>
  <c r="S158" i="3"/>
  <c r="R158" i="3"/>
  <c r="Q158" i="3"/>
  <c r="P158" i="3"/>
  <c r="O158" i="3"/>
  <c r="N158" i="3"/>
  <c r="M158" i="3"/>
  <c r="K158" i="3"/>
  <c r="J158" i="3"/>
  <c r="I158" i="3"/>
  <c r="H158" i="3"/>
  <c r="G158" i="3"/>
  <c r="F158" i="3"/>
  <c r="E158" i="3"/>
  <c r="D158" i="3"/>
  <c r="C158" i="3"/>
  <c r="B158" i="3"/>
  <c r="A158" i="3"/>
  <c r="AK157" i="3"/>
  <c r="AC157" i="3"/>
  <c r="AB157" i="3"/>
  <c r="AA157" i="3"/>
  <c r="Z157" i="3"/>
  <c r="Y157" i="3"/>
  <c r="X157" i="3"/>
  <c r="W157" i="3"/>
  <c r="V157" i="3"/>
  <c r="U157" i="3"/>
  <c r="T157" i="3"/>
  <c r="S157" i="3"/>
  <c r="R157" i="3"/>
  <c r="Q157" i="3"/>
  <c r="P157" i="3"/>
  <c r="O157" i="3"/>
  <c r="N157" i="3"/>
  <c r="M157" i="3"/>
  <c r="K157" i="3"/>
  <c r="I157" i="3"/>
  <c r="H157" i="3"/>
  <c r="G157" i="3"/>
  <c r="F157" i="3"/>
  <c r="E157" i="3"/>
  <c r="D157" i="3"/>
  <c r="C157" i="3"/>
  <c r="B157" i="3"/>
  <c r="A157" i="3"/>
  <c r="AK156" i="3"/>
  <c r="AC156" i="3"/>
  <c r="AB156" i="3"/>
  <c r="AA156" i="3"/>
  <c r="Z156" i="3"/>
  <c r="Y156" i="3"/>
  <c r="X156" i="3"/>
  <c r="W156" i="3"/>
  <c r="V156" i="3"/>
  <c r="U156" i="3"/>
  <c r="T156" i="3"/>
  <c r="S156" i="3"/>
  <c r="R156" i="3"/>
  <c r="Q156" i="3"/>
  <c r="P156" i="3"/>
  <c r="O156" i="3"/>
  <c r="N156" i="3"/>
  <c r="M156" i="3"/>
  <c r="K156" i="3"/>
  <c r="J156" i="3"/>
  <c r="I156" i="3"/>
  <c r="H156" i="3"/>
  <c r="G156" i="3"/>
  <c r="F156" i="3"/>
  <c r="E156" i="3"/>
  <c r="D156" i="3"/>
  <c r="C156" i="3"/>
  <c r="B156" i="3"/>
  <c r="A156" i="3"/>
  <c r="AK155" i="3"/>
  <c r="AC155" i="3"/>
  <c r="AB155" i="3"/>
  <c r="AA155" i="3"/>
  <c r="Z155" i="3"/>
  <c r="Y155" i="3"/>
  <c r="X155" i="3"/>
  <c r="W155" i="3"/>
  <c r="V155" i="3"/>
  <c r="U155" i="3"/>
  <c r="T155" i="3"/>
  <c r="S155" i="3"/>
  <c r="R155" i="3"/>
  <c r="Q155" i="3"/>
  <c r="P155" i="3"/>
  <c r="O155" i="3"/>
  <c r="N155" i="3"/>
  <c r="M155" i="3"/>
  <c r="K155" i="3"/>
  <c r="J155" i="3"/>
  <c r="I155" i="3"/>
  <c r="H155" i="3"/>
  <c r="G155" i="3"/>
  <c r="F155" i="3"/>
  <c r="E155" i="3"/>
  <c r="D155" i="3"/>
  <c r="C155" i="3"/>
  <c r="B155" i="3"/>
  <c r="A155" i="3"/>
  <c r="AK154" i="3"/>
  <c r="AC154" i="3"/>
  <c r="AB154" i="3"/>
  <c r="AA154" i="3"/>
  <c r="Z154" i="3"/>
  <c r="Y154" i="3"/>
  <c r="X154" i="3"/>
  <c r="W154" i="3"/>
  <c r="V154" i="3"/>
  <c r="U154" i="3"/>
  <c r="T154" i="3"/>
  <c r="S154" i="3"/>
  <c r="R154" i="3"/>
  <c r="Q154" i="3"/>
  <c r="P154" i="3"/>
  <c r="O154" i="3"/>
  <c r="N154" i="3"/>
  <c r="M154" i="3"/>
  <c r="K154" i="3"/>
  <c r="J154" i="3"/>
  <c r="I154" i="3"/>
  <c r="H154" i="3"/>
  <c r="G154" i="3"/>
  <c r="F154" i="3"/>
  <c r="E154" i="3"/>
  <c r="D154" i="3"/>
  <c r="C154" i="3"/>
  <c r="B154" i="3"/>
  <c r="A154" i="3"/>
  <c r="AK153" i="3"/>
  <c r="AC153" i="3"/>
  <c r="AB153" i="3"/>
  <c r="AA153" i="3"/>
  <c r="Z153" i="3"/>
  <c r="Y153" i="3"/>
  <c r="X153" i="3"/>
  <c r="W153" i="3"/>
  <c r="V153" i="3"/>
  <c r="U153" i="3"/>
  <c r="T153" i="3"/>
  <c r="S153" i="3"/>
  <c r="R153" i="3"/>
  <c r="Q153" i="3"/>
  <c r="P153" i="3"/>
  <c r="O153" i="3"/>
  <c r="N153" i="3"/>
  <c r="M153" i="3"/>
  <c r="K153" i="3"/>
  <c r="J153" i="3"/>
  <c r="I153" i="3"/>
  <c r="H153" i="3"/>
  <c r="G153" i="3"/>
  <c r="F153" i="3"/>
  <c r="E153" i="3"/>
  <c r="D153" i="3"/>
  <c r="C153" i="3"/>
  <c r="B153" i="3"/>
  <c r="A153" i="3"/>
  <c r="AK152" i="3"/>
  <c r="AC152" i="3"/>
  <c r="AB152" i="3"/>
  <c r="AA152" i="3"/>
  <c r="Z152" i="3"/>
  <c r="Y152" i="3"/>
  <c r="X152" i="3"/>
  <c r="W152" i="3"/>
  <c r="V152" i="3"/>
  <c r="U152" i="3"/>
  <c r="T152" i="3"/>
  <c r="S152" i="3"/>
  <c r="R152" i="3"/>
  <c r="Q152" i="3"/>
  <c r="P152" i="3"/>
  <c r="O152" i="3"/>
  <c r="N152" i="3"/>
  <c r="M152" i="3"/>
  <c r="K152" i="3"/>
  <c r="J152" i="3"/>
  <c r="I152" i="3"/>
  <c r="H152" i="3"/>
  <c r="G152" i="3"/>
  <c r="F152" i="3"/>
  <c r="E152" i="3"/>
  <c r="D152" i="3"/>
  <c r="C152" i="3"/>
  <c r="B152" i="3"/>
  <c r="A152" i="3"/>
  <c r="AK151" i="3"/>
  <c r="AC151" i="3"/>
  <c r="AB151" i="3"/>
  <c r="AA151" i="3"/>
  <c r="Z151" i="3"/>
  <c r="Y151" i="3"/>
  <c r="X151" i="3"/>
  <c r="W151" i="3"/>
  <c r="V151" i="3"/>
  <c r="U151" i="3"/>
  <c r="T151" i="3"/>
  <c r="S151" i="3"/>
  <c r="R151" i="3"/>
  <c r="Q151" i="3"/>
  <c r="P151" i="3"/>
  <c r="O151" i="3"/>
  <c r="N151" i="3"/>
  <c r="M151" i="3"/>
  <c r="K151" i="3"/>
  <c r="J151" i="3"/>
  <c r="I151" i="3"/>
  <c r="H151" i="3"/>
  <c r="G151" i="3"/>
  <c r="F151" i="3"/>
  <c r="E151" i="3"/>
  <c r="D151" i="3"/>
  <c r="C151" i="3"/>
  <c r="B151" i="3"/>
  <c r="A151" i="3"/>
  <c r="AK150" i="3"/>
  <c r="AC150" i="3"/>
  <c r="AB150" i="3"/>
  <c r="AA150" i="3"/>
  <c r="Z150" i="3"/>
  <c r="Y150" i="3"/>
  <c r="X150" i="3"/>
  <c r="W150" i="3"/>
  <c r="V150" i="3"/>
  <c r="U150" i="3"/>
  <c r="T150" i="3"/>
  <c r="S150" i="3"/>
  <c r="R150" i="3"/>
  <c r="Q150" i="3"/>
  <c r="P150" i="3"/>
  <c r="O150" i="3"/>
  <c r="N150" i="3"/>
  <c r="M150" i="3"/>
  <c r="K150" i="3"/>
  <c r="J150" i="3"/>
  <c r="I150" i="3"/>
  <c r="H150" i="3"/>
  <c r="G150" i="3"/>
  <c r="F150" i="3"/>
  <c r="E150" i="3"/>
  <c r="D150" i="3"/>
  <c r="C150" i="3"/>
  <c r="B150" i="3"/>
  <c r="A150" i="3"/>
  <c r="AK149" i="3"/>
  <c r="AC149" i="3"/>
  <c r="AB149" i="3"/>
  <c r="AA149" i="3"/>
  <c r="Z149" i="3"/>
  <c r="Y149" i="3"/>
  <c r="X149" i="3"/>
  <c r="W149" i="3"/>
  <c r="V149" i="3"/>
  <c r="U149" i="3"/>
  <c r="T149" i="3"/>
  <c r="S149" i="3"/>
  <c r="R149" i="3"/>
  <c r="Q149" i="3"/>
  <c r="P149" i="3"/>
  <c r="O149" i="3"/>
  <c r="N149" i="3"/>
  <c r="M149" i="3"/>
  <c r="K149" i="3"/>
  <c r="J149" i="3"/>
  <c r="I149" i="3"/>
  <c r="H149" i="3"/>
  <c r="G149" i="3"/>
  <c r="F149" i="3"/>
  <c r="E149" i="3"/>
  <c r="D149" i="3"/>
  <c r="C149" i="3"/>
  <c r="B149" i="3"/>
  <c r="A149" i="3"/>
  <c r="AK148" i="3"/>
  <c r="AC148" i="3"/>
  <c r="AB148" i="3"/>
  <c r="AA148" i="3"/>
  <c r="Z148" i="3"/>
  <c r="Y148" i="3"/>
  <c r="X148" i="3"/>
  <c r="W148" i="3"/>
  <c r="V148" i="3"/>
  <c r="U148" i="3"/>
  <c r="T148" i="3"/>
  <c r="S148" i="3"/>
  <c r="R148" i="3"/>
  <c r="Q148" i="3"/>
  <c r="P148" i="3"/>
  <c r="O148" i="3"/>
  <c r="N148" i="3"/>
  <c r="M148" i="3"/>
  <c r="K148" i="3"/>
  <c r="J148" i="3"/>
  <c r="I148" i="3"/>
  <c r="H148" i="3"/>
  <c r="G148" i="3"/>
  <c r="F148" i="3"/>
  <c r="E148" i="3"/>
  <c r="D148" i="3"/>
  <c r="C148" i="3"/>
  <c r="B148" i="3"/>
  <c r="A148" i="3"/>
  <c r="AK147" i="3"/>
  <c r="AC147" i="3"/>
  <c r="AB147" i="3"/>
  <c r="AA147" i="3"/>
  <c r="Z147" i="3"/>
  <c r="Y147" i="3"/>
  <c r="X147" i="3"/>
  <c r="W147" i="3"/>
  <c r="V147" i="3"/>
  <c r="U147" i="3"/>
  <c r="T147" i="3"/>
  <c r="S147" i="3"/>
  <c r="R147" i="3"/>
  <c r="Q147" i="3"/>
  <c r="P147" i="3"/>
  <c r="O147" i="3"/>
  <c r="N147" i="3"/>
  <c r="M147" i="3"/>
  <c r="K147" i="3"/>
  <c r="J147" i="3"/>
  <c r="I147" i="3"/>
  <c r="H147" i="3"/>
  <c r="G147" i="3"/>
  <c r="F147" i="3"/>
  <c r="E147" i="3"/>
  <c r="D147" i="3"/>
  <c r="C147" i="3"/>
  <c r="B147" i="3"/>
  <c r="A147" i="3"/>
  <c r="AK146" i="3"/>
  <c r="AC146" i="3"/>
  <c r="AB146" i="3"/>
  <c r="AA146" i="3"/>
  <c r="Z146" i="3"/>
  <c r="Y146" i="3"/>
  <c r="X146" i="3"/>
  <c r="W146" i="3"/>
  <c r="V146" i="3"/>
  <c r="U146" i="3"/>
  <c r="T146" i="3"/>
  <c r="S146" i="3"/>
  <c r="R146" i="3"/>
  <c r="Q146" i="3"/>
  <c r="P146" i="3"/>
  <c r="O146" i="3"/>
  <c r="N146" i="3"/>
  <c r="M146" i="3"/>
  <c r="K146" i="3"/>
  <c r="J146" i="3"/>
  <c r="I146" i="3"/>
  <c r="H146" i="3"/>
  <c r="G146" i="3"/>
  <c r="F146" i="3"/>
  <c r="E146" i="3"/>
  <c r="D146" i="3"/>
  <c r="C146" i="3"/>
  <c r="B146" i="3"/>
  <c r="A146" i="3"/>
  <c r="AK145" i="3"/>
  <c r="AC145" i="3"/>
  <c r="AB145" i="3"/>
  <c r="AA145" i="3"/>
  <c r="Z145" i="3"/>
  <c r="Y145" i="3"/>
  <c r="X145" i="3"/>
  <c r="W145" i="3"/>
  <c r="V145" i="3"/>
  <c r="U145" i="3"/>
  <c r="T145" i="3"/>
  <c r="S145" i="3"/>
  <c r="R145" i="3"/>
  <c r="Q145" i="3"/>
  <c r="P145" i="3"/>
  <c r="O145" i="3"/>
  <c r="N145" i="3"/>
  <c r="M145" i="3"/>
  <c r="K145" i="3"/>
  <c r="J145" i="3"/>
  <c r="I145" i="3"/>
  <c r="H145" i="3"/>
  <c r="G145" i="3"/>
  <c r="F145" i="3"/>
  <c r="E145" i="3"/>
  <c r="D145" i="3"/>
  <c r="C145" i="3"/>
  <c r="B145" i="3"/>
  <c r="A145" i="3"/>
  <c r="AK144" i="3"/>
  <c r="AC144" i="3"/>
  <c r="AB144" i="3"/>
  <c r="AA144" i="3"/>
  <c r="Z144" i="3"/>
  <c r="Y144" i="3"/>
  <c r="X144" i="3"/>
  <c r="W144" i="3"/>
  <c r="V144" i="3"/>
  <c r="U144" i="3"/>
  <c r="T144" i="3"/>
  <c r="S144" i="3"/>
  <c r="R144" i="3"/>
  <c r="Q144" i="3"/>
  <c r="P144" i="3"/>
  <c r="O144" i="3"/>
  <c r="N144" i="3"/>
  <c r="M144" i="3"/>
  <c r="K144" i="3"/>
  <c r="J144" i="3"/>
  <c r="I144" i="3"/>
  <c r="H144" i="3"/>
  <c r="G144" i="3"/>
  <c r="F144" i="3"/>
  <c r="E144" i="3"/>
  <c r="D144" i="3"/>
  <c r="C144" i="3"/>
  <c r="B144" i="3"/>
  <c r="A144" i="3"/>
  <c r="AK143" i="3"/>
  <c r="AC143" i="3"/>
  <c r="AB143" i="3"/>
  <c r="AA143" i="3"/>
  <c r="Z143" i="3"/>
  <c r="Y143" i="3"/>
  <c r="X143" i="3"/>
  <c r="W143" i="3"/>
  <c r="V143" i="3"/>
  <c r="U143" i="3"/>
  <c r="T143" i="3"/>
  <c r="S143" i="3"/>
  <c r="R143" i="3"/>
  <c r="Q143" i="3"/>
  <c r="P143" i="3"/>
  <c r="O143" i="3"/>
  <c r="N143" i="3"/>
  <c r="M143" i="3"/>
  <c r="K143" i="3"/>
  <c r="I143" i="3"/>
  <c r="H143" i="3"/>
  <c r="G143" i="3"/>
  <c r="F143" i="3"/>
  <c r="E143" i="3"/>
  <c r="D143" i="3"/>
  <c r="C143" i="3"/>
  <c r="B143" i="3"/>
  <c r="A143" i="3"/>
  <c r="AK142" i="3"/>
  <c r="AC142" i="3"/>
  <c r="AB142" i="3"/>
  <c r="AA142" i="3"/>
  <c r="Z142" i="3"/>
  <c r="Y142" i="3"/>
  <c r="X142" i="3"/>
  <c r="W142" i="3"/>
  <c r="V142" i="3"/>
  <c r="U142" i="3"/>
  <c r="T142" i="3"/>
  <c r="S142" i="3"/>
  <c r="R142" i="3"/>
  <c r="Q142" i="3"/>
  <c r="P142" i="3"/>
  <c r="O142" i="3"/>
  <c r="N142" i="3"/>
  <c r="M142" i="3"/>
  <c r="K142" i="3"/>
  <c r="J142" i="3"/>
  <c r="I142" i="3"/>
  <c r="H142" i="3"/>
  <c r="G142" i="3"/>
  <c r="F142" i="3"/>
  <c r="E142" i="3"/>
  <c r="D142" i="3"/>
  <c r="C142" i="3"/>
  <c r="B142" i="3"/>
  <c r="A142" i="3"/>
  <c r="AK141" i="3"/>
  <c r="AC141" i="3"/>
  <c r="AB141" i="3"/>
  <c r="AA141" i="3"/>
  <c r="Z141" i="3"/>
  <c r="Y141" i="3"/>
  <c r="X141" i="3"/>
  <c r="W141" i="3"/>
  <c r="V141" i="3"/>
  <c r="U141" i="3"/>
  <c r="T141" i="3"/>
  <c r="S141" i="3"/>
  <c r="R141" i="3"/>
  <c r="Q141" i="3"/>
  <c r="P141" i="3"/>
  <c r="O141" i="3"/>
  <c r="N141" i="3"/>
  <c r="M141" i="3"/>
  <c r="K141" i="3"/>
  <c r="J141" i="3"/>
  <c r="I141" i="3"/>
  <c r="H141" i="3"/>
  <c r="G141" i="3"/>
  <c r="F141" i="3"/>
  <c r="E141" i="3"/>
  <c r="D141" i="3"/>
  <c r="C141" i="3"/>
  <c r="B141" i="3"/>
  <c r="A141" i="3"/>
  <c r="AK140" i="3"/>
  <c r="AC140" i="3"/>
  <c r="AB140" i="3"/>
  <c r="AA140" i="3"/>
  <c r="Z140" i="3"/>
  <c r="Y140" i="3"/>
  <c r="X140" i="3"/>
  <c r="W140" i="3"/>
  <c r="V140" i="3"/>
  <c r="U140" i="3"/>
  <c r="T140" i="3"/>
  <c r="S140" i="3"/>
  <c r="R140" i="3"/>
  <c r="Q140" i="3"/>
  <c r="P140" i="3"/>
  <c r="O140" i="3"/>
  <c r="N140" i="3"/>
  <c r="M140" i="3"/>
  <c r="K140" i="3"/>
  <c r="I140" i="3"/>
  <c r="H140" i="3"/>
  <c r="G140" i="3"/>
  <c r="F140" i="3"/>
  <c r="E140" i="3"/>
  <c r="D140" i="3"/>
  <c r="C140" i="3"/>
  <c r="B140" i="3"/>
  <c r="A140" i="3"/>
  <c r="AK139" i="3"/>
  <c r="AC139" i="3"/>
  <c r="AB139" i="3"/>
  <c r="AA139" i="3"/>
  <c r="Z139" i="3"/>
  <c r="Y139" i="3"/>
  <c r="X139" i="3"/>
  <c r="W139" i="3"/>
  <c r="V139" i="3"/>
  <c r="U139" i="3"/>
  <c r="T139" i="3"/>
  <c r="S139" i="3"/>
  <c r="R139" i="3"/>
  <c r="Q139" i="3"/>
  <c r="P139" i="3"/>
  <c r="O139" i="3"/>
  <c r="N139" i="3"/>
  <c r="M139" i="3"/>
  <c r="K139" i="3"/>
  <c r="J139" i="3"/>
  <c r="I139" i="3"/>
  <c r="H139" i="3"/>
  <c r="G139" i="3"/>
  <c r="F139" i="3"/>
  <c r="E139" i="3"/>
  <c r="D139" i="3"/>
  <c r="C139" i="3"/>
  <c r="B139" i="3"/>
  <c r="A139" i="3"/>
  <c r="AK138" i="3"/>
  <c r="AC138" i="3"/>
  <c r="AB138" i="3"/>
  <c r="AA138" i="3"/>
  <c r="Z138" i="3"/>
  <c r="Y138" i="3"/>
  <c r="X138" i="3"/>
  <c r="W138" i="3"/>
  <c r="V138" i="3"/>
  <c r="U138" i="3"/>
  <c r="T138" i="3"/>
  <c r="S138" i="3"/>
  <c r="R138" i="3"/>
  <c r="Q138" i="3"/>
  <c r="P138" i="3"/>
  <c r="O138" i="3"/>
  <c r="N138" i="3"/>
  <c r="M138" i="3"/>
  <c r="K138" i="3"/>
  <c r="I138" i="3"/>
  <c r="H138" i="3"/>
  <c r="G138" i="3"/>
  <c r="F138" i="3"/>
  <c r="E138" i="3"/>
  <c r="D138" i="3"/>
  <c r="C138" i="3"/>
  <c r="B138" i="3"/>
  <c r="A138" i="3"/>
  <c r="AK137" i="3"/>
  <c r="AC137" i="3"/>
  <c r="AB137" i="3"/>
  <c r="AA137" i="3"/>
  <c r="Z137" i="3"/>
  <c r="Y137" i="3"/>
  <c r="X137" i="3"/>
  <c r="W137" i="3"/>
  <c r="V137" i="3"/>
  <c r="U137" i="3"/>
  <c r="T137" i="3"/>
  <c r="S137" i="3"/>
  <c r="R137" i="3"/>
  <c r="Q137" i="3"/>
  <c r="P137" i="3"/>
  <c r="O137" i="3"/>
  <c r="N137" i="3"/>
  <c r="M137" i="3"/>
  <c r="K137" i="3"/>
  <c r="J137" i="3"/>
  <c r="I137" i="3"/>
  <c r="H137" i="3"/>
  <c r="G137" i="3"/>
  <c r="F137" i="3"/>
  <c r="E137" i="3"/>
  <c r="D137" i="3"/>
  <c r="C137" i="3"/>
  <c r="B137" i="3"/>
  <c r="A137" i="3"/>
  <c r="AK136" i="3"/>
  <c r="AC136" i="3"/>
  <c r="AB136" i="3"/>
  <c r="AA136" i="3"/>
  <c r="Z136" i="3"/>
  <c r="Y136" i="3"/>
  <c r="X136" i="3"/>
  <c r="W136" i="3"/>
  <c r="V136" i="3"/>
  <c r="U136" i="3"/>
  <c r="T136" i="3"/>
  <c r="S136" i="3"/>
  <c r="R136" i="3"/>
  <c r="Q136" i="3"/>
  <c r="P136" i="3"/>
  <c r="O136" i="3"/>
  <c r="N136" i="3"/>
  <c r="M136" i="3"/>
  <c r="K136" i="3"/>
  <c r="J136" i="3"/>
  <c r="I136" i="3"/>
  <c r="H136" i="3"/>
  <c r="G136" i="3"/>
  <c r="F136" i="3"/>
  <c r="E136" i="3"/>
  <c r="D136" i="3"/>
  <c r="C136" i="3"/>
  <c r="B136" i="3"/>
  <c r="A136" i="3"/>
  <c r="AK135" i="3"/>
  <c r="AC135" i="3"/>
  <c r="AB135" i="3"/>
  <c r="AA135" i="3"/>
  <c r="Z135" i="3"/>
  <c r="Y135" i="3"/>
  <c r="X135" i="3"/>
  <c r="W135" i="3"/>
  <c r="V135" i="3"/>
  <c r="U135" i="3"/>
  <c r="T135" i="3"/>
  <c r="S135" i="3"/>
  <c r="R135" i="3"/>
  <c r="Q135" i="3"/>
  <c r="P135" i="3"/>
  <c r="N135" i="3"/>
  <c r="M135" i="3"/>
  <c r="K135" i="3"/>
  <c r="J135" i="3"/>
  <c r="I135" i="3"/>
  <c r="H135" i="3"/>
  <c r="G135" i="3"/>
  <c r="F135" i="3"/>
  <c r="E135" i="3"/>
  <c r="D135" i="3"/>
  <c r="C135" i="3"/>
  <c r="B135" i="3"/>
  <c r="A135" i="3"/>
  <c r="AK134" i="3"/>
  <c r="AC134" i="3"/>
  <c r="AB134" i="3"/>
  <c r="AA134" i="3"/>
  <c r="Z134" i="3"/>
  <c r="Y134" i="3"/>
  <c r="X134" i="3"/>
  <c r="W134" i="3"/>
  <c r="V134" i="3"/>
  <c r="U134" i="3"/>
  <c r="T134" i="3"/>
  <c r="S134" i="3"/>
  <c r="R134" i="3"/>
  <c r="Q134" i="3"/>
  <c r="P134" i="3"/>
  <c r="O134" i="3"/>
  <c r="N134" i="3"/>
  <c r="M134" i="3"/>
  <c r="K134" i="3"/>
  <c r="J134" i="3"/>
  <c r="I134" i="3"/>
  <c r="H134" i="3"/>
  <c r="G134" i="3"/>
  <c r="F134" i="3"/>
  <c r="E134" i="3"/>
  <c r="D134" i="3"/>
  <c r="C134" i="3"/>
  <c r="B134" i="3"/>
  <c r="A134" i="3"/>
  <c r="AK133" i="3"/>
  <c r="AC133" i="3"/>
  <c r="AB133" i="3"/>
  <c r="AA133" i="3"/>
  <c r="Z133" i="3"/>
  <c r="Y133" i="3"/>
  <c r="X133" i="3"/>
  <c r="W133" i="3"/>
  <c r="V133" i="3"/>
  <c r="U133" i="3"/>
  <c r="T133" i="3"/>
  <c r="S133" i="3"/>
  <c r="R133" i="3"/>
  <c r="Q133" i="3"/>
  <c r="P133" i="3"/>
  <c r="O133" i="3"/>
  <c r="N133" i="3"/>
  <c r="M133" i="3"/>
  <c r="K133" i="3"/>
  <c r="I133" i="3"/>
  <c r="H133" i="3"/>
  <c r="G133" i="3"/>
  <c r="F133" i="3"/>
  <c r="E133" i="3"/>
  <c r="D133" i="3"/>
  <c r="C133" i="3"/>
  <c r="B133" i="3"/>
  <c r="A133" i="3"/>
  <c r="AK132" i="3"/>
  <c r="AC132" i="3"/>
  <c r="AB132" i="3"/>
  <c r="AA132" i="3"/>
  <c r="Z132" i="3"/>
  <c r="Y132" i="3"/>
  <c r="X132" i="3"/>
  <c r="W132" i="3"/>
  <c r="V132" i="3"/>
  <c r="U132" i="3"/>
  <c r="T132" i="3"/>
  <c r="S132" i="3"/>
  <c r="R132" i="3"/>
  <c r="Q132" i="3"/>
  <c r="P132" i="3"/>
  <c r="O132" i="3"/>
  <c r="N132" i="3"/>
  <c r="M132" i="3"/>
  <c r="K132" i="3"/>
  <c r="J132" i="3"/>
  <c r="I132" i="3"/>
  <c r="H132" i="3"/>
  <c r="G132" i="3"/>
  <c r="F132" i="3"/>
  <c r="E132" i="3"/>
  <c r="D132" i="3"/>
  <c r="C132" i="3"/>
  <c r="B132" i="3"/>
  <c r="A132" i="3"/>
  <c r="AK131" i="3"/>
  <c r="AC131" i="3"/>
  <c r="AB131" i="3"/>
  <c r="AA131" i="3"/>
  <c r="Z131" i="3"/>
  <c r="Y131" i="3"/>
  <c r="X131" i="3"/>
  <c r="W131" i="3"/>
  <c r="V131" i="3"/>
  <c r="U131" i="3"/>
  <c r="T131" i="3"/>
  <c r="S131" i="3"/>
  <c r="R131" i="3"/>
  <c r="Q131" i="3"/>
  <c r="P131" i="3"/>
  <c r="O131" i="3"/>
  <c r="N131" i="3"/>
  <c r="M131" i="3"/>
  <c r="K131" i="3"/>
  <c r="I131" i="3"/>
  <c r="H131" i="3"/>
  <c r="G131" i="3"/>
  <c r="F131" i="3"/>
  <c r="E131" i="3"/>
  <c r="D131" i="3"/>
  <c r="C131" i="3"/>
  <c r="B131" i="3"/>
  <c r="A131" i="3"/>
  <c r="AK130" i="3"/>
  <c r="AC130" i="3"/>
  <c r="AB130" i="3"/>
  <c r="AA130" i="3"/>
  <c r="Z130" i="3"/>
  <c r="Y130" i="3"/>
  <c r="X130" i="3"/>
  <c r="W130" i="3"/>
  <c r="V130" i="3"/>
  <c r="U130" i="3"/>
  <c r="T130" i="3"/>
  <c r="S130" i="3"/>
  <c r="R130" i="3"/>
  <c r="Q130" i="3"/>
  <c r="P130" i="3"/>
  <c r="O130" i="3"/>
  <c r="N130" i="3"/>
  <c r="M130" i="3"/>
  <c r="K130" i="3"/>
  <c r="I130" i="3"/>
  <c r="H130" i="3"/>
  <c r="G130" i="3"/>
  <c r="F130" i="3"/>
  <c r="E130" i="3"/>
  <c r="D130" i="3"/>
  <c r="C130" i="3"/>
  <c r="B130" i="3"/>
  <c r="A130" i="3"/>
  <c r="AK129" i="3"/>
  <c r="AC129" i="3"/>
  <c r="AB129" i="3"/>
  <c r="AA129" i="3"/>
  <c r="Z129" i="3"/>
  <c r="Y129" i="3"/>
  <c r="X129" i="3"/>
  <c r="W129" i="3"/>
  <c r="V129" i="3"/>
  <c r="U129" i="3"/>
  <c r="T129" i="3"/>
  <c r="S129" i="3"/>
  <c r="R129" i="3"/>
  <c r="Q129" i="3"/>
  <c r="P129" i="3"/>
  <c r="O129" i="3"/>
  <c r="N129" i="3"/>
  <c r="M129" i="3"/>
  <c r="K129" i="3"/>
  <c r="J129" i="3"/>
  <c r="I129" i="3"/>
  <c r="H129" i="3"/>
  <c r="G129" i="3"/>
  <c r="F129" i="3"/>
  <c r="E129" i="3"/>
  <c r="D129" i="3"/>
  <c r="C129" i="3"/>
  <c r="B129" i="3"/>
  <c r="A129" i="3"/>
  <c r="AK128" i="3"/>
  <c r="AC128" i="3"/>
  <c r="AB128" i="3"/>
  <c r="AA128" i="3"/>
  <c r="Z128" i="3"/>
  <c r="Y128" i="3"/>
  <c r="X128" i="3"/>
  <c r="W128" i="3"/>
  <c r="V128" i="3"/>
  <c r="U128" i="3"/>
  <c r="T128" i="3"/>
  <c r="S128" i="3"/>
  <c r="R128" i="3"/>
  <c r="Q128" i="3"/>
  <c r="P128" i="3"/>
  <c r="N128" i="3"/>
  <c r="M128" i="3"/>
  <c r="K128" i="3"/>
  <c r="J128" i="3"/>
  <c r="I128" i="3"/>
  <c r="H128" i="3"/>
  <c r="G128" i="3"/>
  <c r="F128" i="3"/>
  <c r="E128" i="3"/>
  <c r="D128" i="3"/>
  <c r="C128" i="3"/>
  <c r="B128" i="3"/>
  <c r="A128" i="3"/>
  <c r="AK127" i="3"/>
  <c r="AC127" i="3"/>
  <c r="AB127" i="3"/>
  <c r="AA127" i="3"/>
  <c r="Z127" i="3"/>
  <c r="Y127" i="3"/>
  <c r="X127" i="3"/>
  <c r="W127" i="3"/>
  <c r="V127" i="3"/>
  <c r="U127" i="3"/>
  <c r="T127" i="3"/>
  <c r="S127" i="3"/>
  <c r="R127" i="3"/>
  <c r="Q127" i="3"/>
  <c r="P127" i="3"/>
  <c r="O127" i="3"/>
  <c r="N127" i="3"/>
  <c r="M127" i="3"/>
  <c r="K127" i="3"/>
  <c r="J127" i="3"/>
  <c r="I127" i="3"/>
  <c r="H127" i="3"/>
  <c r="G127" i="3"/>
  <c r="F127" i="3"/>
  <c r="E127" i="3"/>
  <c r="D127" i="3"/>
  <c r="C127" i="3"/>
  <c r="B127" i="3"/>
  <c r="A127" i="3"/>
  <c r="AK126" i="3"/>
  <c r="AE126" i="3"/>
  <c r="AD126" i="3"/>
  <c r="AC126" i="3"/>
  <c r="AB126" i="3"/>
  <c r="AA126" i="3"/>
  <c r="Z126" i="3"/>
  <c r="Y126" i="3"/>
  <c r="X126" i="3"/>
  <c r="W126" i="3"/>
  <c r="V126" i="3"/>
  <c r="U126" i="3"/>
  <c r="T126" i="3"/>
  <c r="S126" i="3"/>
  <c r="R126" i="3"/>
  <c r="Q126" i="3"/>
  <c r="P126" i="3"/>
  <c r="O126" i="3"/>
  <c r="N126" i="3"/>
  <c r="M126" i="3"/>
  <c r="K126" i="3"/>
  <c r="J126" i="3"/>
  <c r="I126" i="3"/>
  <c r="H126" i="3"/>
  <c r="G126" i="3"/>
  <c r="F126" i="3"/>
  <c r="E126" i="3"/>
  <c r="D126" i="3"/>
  <c r="C126" i="3"/>
  <c r="B126" i="3"/>
  <c r="A126" i="3"/>
  <c r="AK125" i="3"/>
  <c r="AC125" i="3"/>
  <c r="AB125" i="3"/>
  <c r="AA125" i="3"/>
  <c r="Z125" i="3"/>
  <c r="Y125" i="3"/>
  <c r="X125" i="3"/>
  <c r="W125" i="3"/>
  <c r="V125" i="3"/>
  <c r="U125" i="3"/>
  <c r="T125" i="3"/>
  <c r="S125" i="3"/>
  <c r="R125" i="3"/>
  <c r="Q125" i="3"/>
  <c r="P125" i="3"/>
  <c r="N125" i="3"/>
  <c r="M125" i="3"/>
  <c r="K125" i="3"/>
  <c r="I125" i="3"/>
  <c r="H125" i="3"/>
  <c r="G125" i="3"/>
  <c r="F125" i="3"/>
  <c r="E125" i="3"/>
  <c r="D125" i="3"/>
  <c r="C125" i="3"/>
  <c r="B125" i="3"/>
  <c r="A125" i="3"/>
  <c r="AK124" i="3"/>
  <c r="AC124" i="3"/>
  <c r="AB124" i="3"/>
  <c r="AA124" i="3"/>
  <c r="Z124" i="3"/>
  <c r="Y124" i="3"/>
  <c r="X124" i="3"/>
  <c r="W124" i="3"/>
  <c r="V124" i="3"/>
  <c r="U124" i="3"/>
  <c r="T124" i="3"/>
  <c r="S124" i="3"/>
  <c r="R124" i="3"/>
  <c r="Q124" i="3"/>
  <c r="P124" i="3"/>
  <c r="O124" i="3"/>
  <c r="N124" i="3"/>
  <c r="M124" i="3"/>
  <c r="K124" i="3"/>
  <c r="J124" i="3"/>
  <c r="I124" i="3"/>
  <c r="H124" i="3"/>
  <c r="G124" i="3"/>
  <c r="F124" i="3"/>
  <c r="E124" i="3"/>
  <c r="D124" i="3"/>
  <c r="C124" i="3"/>
  <c r="B124" i="3"/>
  <c r="A124" i="3"/>
  <c r="AK123" i="3"/>
  <c r="AC123" i="3"/>
  <c r="AB123" i="3"/>
  <c r="AA123" i="3"/>
  <c r="Z123" i="3"/>
  <c r="Y123" i="3"/>
  <c r="X123" i="3"/>
  <c r="W123" i="3"/>
  <c r="V123" i="3"/>
  <c r="U123" i="3"/>
  <c r="T123" i="3"/>
  <c r="S123" i="3"/>
  <c r="R123" i="3"/>
  <c r="Q123" i="3"/>
  <c r="P123" i="3"/>
  <c r="O123" i="3"/>
  <c r="N123" i="3"/>
  <c r="M123" i="3"/>
  <c r="K123" i="3"/>
  <c r="J123" i="3"/>
  <c r="I123" i="3"/>
  <c r="H123" i="3"/>
  <c r="G123" i="3"/>
  <c r="F123" i="3"/>
  <c r="E123" i="3"/>
  <c r="D123" i="3"/>
  <c r="C123" i="3"/>
  <c r="B123" i="3"/>
  <c r="A123" i="3"/>
  <c r="AK122" i="3"/>
  <c r="AC122" i="3"/>
  <c r="AB122" i="3"/>
  <c r="AA122" i="3"/>
  <c r="Z122" i="3"/>
  <c r="Y122" i="3"/>
  <c r="X122" i="3"/>
  <c r="W122" i="3"/>
  <c r="V122" i="3"/>
  <c r="U122" i="3"/>
  <c r="T122" i="3"/>
  <c r="S122" i="3"/>
  <c r="R122" i="3"/>
  <c r="Q122" i="3"/>
  <c r="P122" i="3"/>
  <c r="O122" i="3"/>
  <c r="N122" i="3"/>
  <c r="M122" i="3"/>
  <c r="K122" i="3"/>
  <c r="I122" i="3"/>
  <c r="H122" i="3"/>
  <c r="G122" i="3"/>
  <c r="F122" i="3"/>
  <c r="E122" i="3"/>
  <c r="D122" i="3"/>
  <c r="C122" i="3"/>
  <c r="B122" i="3"/>
  <c r="A122" i="3"/>
  <c r="AK121" i="3"/>
  <c r="AC121" i="3"/>
  <c r="AB121" i="3"/>
  <c r="AA121" i="3"/>
  <c r="Z121" i="3"/>
  <c r="Y121" i="3"/>
  <c r="X121" i="3"/>
  <c r="W121" i="3"/>
  <c r="V121" i="3"/>
  <c r="U121" i="3"/>
  <c r="T121" i="3"/>
  <c r="S121" i="3"/>
  <c r="R121" i="3"/>
  <c r="Q121" i="3"/>
  <c r="P121" i="3"/>
  <c r="O121" i="3"/>
  <c r="N121" i="3"/>
  <c r="M121" i="3"/>
  <c r="K121" i="3"/>
  <c r="J121" i="3"/>
  <c r="I121" i="3"/>
  <c r="H121" i="3"/>
  <c r="G121" i="3"/>
  <c r="F121" i="3"/>
  <c r="E121" i="3"/>
  <c r="D121" i="3"/>
  <c r="C121" i="3"/>
  <c r="B121" i="3"/>
  <c r="A121" i="3"/>
  <c r="AK120" i="3"/>
  <c r="AC120" i="3"/>
  <c r="AB120" i="3"/>
  <c r="AA120" i="3"/>
  <c r="Z120" i="3"/>
  <c r="Y120" i="3"/>
  <c r="X120" i="3"/>
  <c r="W120" i="3"/>
  <c r="V120" i="3"/>
  <c r="U120" i="3"/>
  <c r="T120" i="3"/>
  <c r="S120" i="3"/>
  <c r="R120" i="3"/>
  <c r="Q120" i="3"/>
  <c r="P120" i="3"/>
  <c r="O120" i="3"/>
  <c r="N120" i="3"/>
  <c r="M120" i="3"/>
  <c r="K120" i="3"/>
  <c r="J120" i="3"/>
  <c r="I120" i="3"/>
  <c r="H120" i="3"/>
  <c r="G120" i="3"/>
  <c r="F120" i="3"/>
  <c r="E120" i="3"/>
  <c r="D120" i="3"/>
  <c r="C120" i="3"/>
  <c r="B120" i="3"/>
  <c r="A120" i="3"/>
  <c r="AK119" i="3"/>
  <c r="AC119" i="3"/>
  <c r="AB119" i="3"/>
  <c r="AA119" i="3"/>
  <c r="Z119" i="3"/>
  <c r="Y119" i="3"/>
  <c r="X119" i="3"/>
  <c r="W119" i="3"/>
  <c r="V119" i="3"/>
  <c r="U119" i="3"/>
  <c r="T119" i="3"/>
  <c r="S119" i="3"/>
  <c r="R119" i="3"/>
  <c r="Q119" i="3"/>
  <c r="P119" i="3"/>
  <c r="O119" i="3"/>
  <c r="N119" i="3"/>
  <c r="M119" i="3"/>
  <c r="K119" i="3"/>
  <c r="J119" i="3"/>
  <c r="I119" i="3"/>
  <c r="H119" i="3"/>
  <c r="G119" i="3"/>
  <c r="F119" i="3"/>
  <c r="E119" i="3"/>
  <c r="D119" i="3"/>
  <c r="C119" i="3"/>
  <c r="B119" i="3"/>
  <c r="A119" i="3"/>
  <c r="AK118" i="3"/>
  <c r="AC118" i="3"/>
  <c r="AB118" i="3"/>
  <c r="AA118" i="3"/>
  <c r="Z118" i="3"/>
  <c r="Y118" i="3"/>
  <c r="X118" i="3"/>
  <c r="W118" i="3"/>
  <c r="V118" i="3"/>
  <c r="U118" i="3"/>
  <c r="T118" i="3"/>
  <c r="S118" i="3"/>
  <c r="R118" i="3"/>
  <c r="Q118" i="3"/>
  <c r="P118" i="3"/>
  <c r="O118" i="3"/>
  <c r="N118" i="3"/>
  <c r="M118" i="3"/>
  <c r="K118" i="3"/>
  <c r="J118" i="3"/>
  <c r="I118" i="3"/>
  <c r="H118" i="3"/>
  <c r="G118" i="3"/>
  <c r="F118" i="3"/>
  <c r="E118" i="3"/>
  <c r="D118" i="3"/>
  <c r="C118" i="3"/>
  <c r="B118" i="3"/>
  <c r="A118" i="3"/>
  <c r="AK117" i="3"/>
  <c r="AC117" i="3"/>
  <c r="AB117" i="3"/>
  <c r="AA117" i="3"/>
  <c r="Z117" i="3"/>
  <c r="Y117" i="3"/>
  <c r="X117" i="3"/>
  <c r="W117" i="3"/>
  <c r="V117" i="3"/>
  <c r="U117" i="3"/>
  <c r="T117" i="3"/>
  <c r="S117" i="3"/>
  <c r="R117" i="3"/>
  <c r="Q117" i="3"/>
  <c r="P117" i="3"/>
  <c r="O117" i="3"/>
  <c r="N117" i="3"/>
  <c r="M117" i="3"/>
  <c r="K117" i="3"/>
  <c r="J117" i="3"/>
  <c r="I117" i="3"/>
  <c r="H117" i="3"/>
  <c r="G117" i="3"/>
  <c r="F117" i="3"/>
  <c r="E117" i="3"/>
  <c r="D117" i="3"/>
  <c r="C117" i="3"/>
  <c r="B117" i="3"/>
  <c r="A117" i="3"/>
  <c r="AK116" i="3"/>
  <c r="AC116" i="3"/>
  <c r="AB116" i="3"/>
  <c r="AA116" i="3"/>
  <c r="Z116" i="3"/>
  <c r="Y116" i="3"/>
  <c r="X116" i="3"/>
  <c r="W116" i="3"/>
  <c r="V116" i="3"/>
  <c r="U116" i="3"/>
  <c r="T116" i="3"/>
  <c r="S116" i="3"/>
  <c r="R116" i="3"/>
  <c r="Q116" i="3"/>
  <c r="P116" i="3"/>
  <c r="O116" i="3"/>
  <c r="N116" i="3"/>
  <c r="M116" i="3"/>
  <c r="K116" i="3"/>
  <c r="J116" i="3"/>
  <c r="I116" i="3"/>
  <c r="H116" i="3"/>
  <c r="G116" i="3"/>
  <c r="F116" i="3"/>
  <c r="E116" i="3"/>
  <c r="D116" i="3"/>
  <c r="C116" i="3"/>
  <c r="B116" i="3"/>
  <c r="A116" i="3"/>
  <c r="AK115" i="3"/>
  <c r="AE115" i="3"/>
  <c r="AD115" i="3"/>
  <c r="AC115" i="3"/>
  <c r="AB115" i="3"/>
  <c r="AA115" i="3"/>
  <c r="Z115" i="3"/>
  <c r="Y115" i="3"/>
  <c r="X115" i="3"/>
  <c r="W115" i="3"/>
  <c r="V115" i="3"/>
  <c r="U115" i="3"/>
  <c r="T115" i="3"/>
  <c r="S115" i="3"/>
  <c r="R115" i="3"/>
  <c r="Q115" i="3"/>
  <c r="P115" i="3"/>
  <c r="O115" i="3"/>
  <c r="N115" i="3"/>
  <c r="M115" i="3"/>
  <c r="K115" i="3"/>
  <c r="J115" i="3"/>
  <c r="I115" i="3"/>
  <c r="H115" i="3"/>
  <c r="G115" i="3"/>
  <c r="F115" i="3"/>
  <c r="E115" i="3"/>
  <c r="D115" i="3"/>
  <c r="C115" i="3"/>
  <c r="B115" i="3"/>
  <c r="A115" i="3"/>
  <c r="AK114" i="3"/>
  <c r="AC114" i="3"/>
  <c r="AB114" i="3"/>
  <c r="AA114" i="3"/>
  <c r="Z114" i="3"/>
  <c r="Y114" i="3"/>
  <c r="X114" i="3"/>
  <c r="W114" i="3"/>
  <c r="V114" i="3"/>
  <c r="U114" i="3"/>
  <c r="T114" i="3"/>
  <c r="S114" i="3"/>
  <c r="R114" i="3"/>
  <c r="Q114" i="3"/>
  <c r="P114" i="3"/>
  <c r="O114" i="3"/>
  <c r="N114" i="3"/>
  <c r="M114" i="3"/>
  <c r="K114" i="3"/>
  <c r="J114" i="3"/>
  <c r="I114" i="3"/>
  <c r="H114" i="3"/>
  <c r="G114" i="3"/>
  <c r="F114" i="3"/>
  <c r="E114" i="3"/>
  <c r="D114" i="3"/>
  <c r="C114" i="3"/>
  <c r="B114" i="3"/>
  <c r="A114" i="3"/>
  <c r="AK113" i="3"/>
  <c r="AC113" i="3"/>
  <c r="AB113" i="3"/>
  <c r="AA113" i="3"/>
  <c r="Z113" i="3"/>
  <c r="Y113" i="3"/>
  <c r="X113" i="3"/>
  <c r="W113" i="3"/>
  <c r="V113" i="3"/>
  <c r="U113" i="3"/>
  <c r="T113" i="3"/>
  <c r="S113" i="3"/>
  <c r="R113" i="3"/>
  <c r="Q113" i="3"/>
  <c r="P113" i="3"/>
  <c r="N113" i="3"/>
  <c r="M113" i="3"/>
  <c r="K113" i="3"/>
  <c r="J113" i="3"/>
  <c r="I113" i="3"/>
  <c r="H113" i="3"/>
  <c r="G113" i="3"/>
  <c r="F113" i="3"/>
  <c r="E113" i="3"/>
  <c r="D113" i="3"/>
  <c r="C113" i="3"/>
  <c r="B113" i="3"/>
  <c r="A113" i="3"/>
  <c r="AK112" i="3"/>
  <c r="AC112" i="3"/>
  <c r="AB112" i="3"/>
  <c r="AA112" i="3"/>
  <c r="Z112" i="3"/>
  <c r="Y112" i="3"/>
  <c r="X112" i="3"/>
  <c r="W112" i="3"/>
  <c r="V112" i="3"/>
  <c r="U112" i="3"/>
  <c r="T112" i="3"/>
  <c r="S112" i="3"/>
  <c r="R112" i="3"/>
  <c r="Q112" i="3"/>
  <c r="P112" i="3"/>
  <c r="O112" i="3"/>
  <c r="N112" i="3"/>
  <c r="M112" i="3"/>
  <c r="K112" i="3"/>
  <c r="J112" i="3"/>
  <c r="I112" i="3"/>
  <c r="H112" i="3"/>
  <c r="G112" i="3"/>
  <c r="F112" i="3"/>
  <c r="E112" i="3"/>
  <c r="D112" i="3"/>
  <c r="C112" i="3"/>
  <c r="B112" i="3"/>
  <c r="A112" i="3"/>
  <c r="AK111" i="3"/>
  <c r="AC111" i="3"/>
  <c r="AB111" i="3"/>
  <c r="AA111" i="3"/>
  <c r="Z111" i="3"/>
  <c r="Y111" i="3"/>
  <c r="X111" i="3"/>
  <c r="W111" i="3"/>
  <c r="V111" i="3"/>
  <c r="U111" i="3"/>
  <c r="T111" i="3"/>
  <c r="S111" i="3"/>
  <c r="R111" i="3"/>
  <c r="Q111" i="3"/>
  <c r="P111" i="3"/>
  <c r="O111" i="3"/>
  <c r="N111" i="3"/>
  <c r="M111" i="3"/>
  <c r="K111" i="3"/>
  <c r="J111" i="3"/>
  <c r="I111" i="3"/>
  <c r="H111" i="3"/>
  <c r="G111" i="3"/>
  <c r="F111" i="3"/>
  <c r="E111" i="3"/>
  <c r="D111" i="3"/>
  <c r="C111" i="3"/>
  <c r="B111" i="3"/>
  <c r="A111" i="3"/>
  <c r="AK110" i="3"/>
  <c r="AC110" i="3"/>
  <c r="AB110" i="3"/>
  <c r="AA110" i="3"/>
  <c r="Z110" i="3"/>
  <c r="Y110" i="3"/>
  <c r="X110" i="3"/>
  <c r="W110" i="3"/>
  <c r="V110" i="3"/>
  <c r="U110" i="3"/>
  <c r="T110" i="3"/>
  <c r="S110" i="3"/>
  <c r="R110" i="3"/>
  <c r="Q110" i="3"/>
  <c r="P110" i="3"/>
  <c r="N110" i="3"/>
  <c r="M110" i="3"/>
  <c r="K110" i="3"/>
  <c r="J110" i="3"/>
  <c r="I110" i="3"/>
  <c r="H110" i="3"/>
  <c r="G110" i="3"/>
  <c r="F110" i="3"/>
  <c r="E110" i="3"/>
  <c r="D110" i="3"/>
  <c r="C110" i="3"/>
  <c r="B110" i="3"/>
  <c r="A110" i="3"/>
  <c r="AK109" i="3"/>
  <c r="AC109" i="3"/>
  <c r="AB109" i="3"/>
  <c r="AA109" i="3"/>
  <c r="Z109" i="3"/>
  <c r="Y109" i="3"/>
  <c r="X109" i="3"/>
  <c r="W109" i="3"/>
  <c r="V109" i="3"/>
  <c r="U109" i="3"/>
  <c r="T109" i="3"/>
  <c r="S109" i="3"/>
  <c r="R109" i="3"/>
  <c r="Q109" i="3"/>
  <c r="P109" i="3"/>
  <c r="O109" i="3"/>
  <c r="N109" i="3"/>
  <c r="M109" i="3"/>
  <c r="K109" i="3"/>
  <c r="J109" i="3"/>
  <c r="I109" i="3"/>
  <c r="H109" i="3"/>
  <c r="G109" i="3"/>
  <c r="F109" i="3"/>
  <c r="E109" i="3"/>
  <c r="D109" i="3"/>
  <c r="C109" i="3"/>
  <c r="B109" i="3"/>
  <c r="A109" i="3"/>
  <c r="AK108" i="3"/>
  <c r="AC108" i="3"/>
  <c r="AB108" i="3"/>
  <c r="AA108" i="3"/>
  <c r="Z108" i="3"/>
  <c r="Y108" i="3"/>
  <c r="X108" i="3"/>
  <c r="W108" i="3"/>
  <c r="V108" i="3"/>
  <c r="U108" i="3"/>
  <c r="T108" i="3"/>
  <c r="S108" i="3"/>
  <c r="R108" i="3"/>
  <c r="Q108" i="3"/>
  <c r="P108" i="3"/>
  <c r="O108" i="3"/>
  <c r="N108" i="3"/>
  <c r="M108" i="3"/>
  <c r="K108" i="3"/>
  <c r="J108" i="3"/>
  <c r="I108" i="3"/>
  <c r="H108" i="3"/>
  <c r="G108" i="3"/>
  <c r="F108" i="3"/>
  <c r="E108" i="3"/>
  <c r="D108" i="3"/>
  <c r="C108" i="3"/>
  <c r="B108" i="3"/>
  <c r="A108" i="3"/>
  <c r="AK107" i="3"/>
  <c r="AC107" i="3"/>
  <c r="AB107" i="3"/>
  <c r="AA107" i="3"/>
  <c r="Z107" i="3"/>
  <c r="Y107" i="3"/>
  <c r="X107" i="3"/>
  <c r="W107" i="3"/>
  <c r="V107" i="3"/>
  <c r="U107" i="3"/>
  <c r="T107" i="3"/>
  <c r="S107" i="3"/>
  <c r="R107" i="3"/>
  <c r="Q107" i="3"/>
  <c r="P107" i="3"/>
  <c r="O107" i="3"/>
  <c r="N107" i="3"/>
  <c r="M107" i="3"/>
  <c r="K107" i="3"/>
  <c r="J107" i="3"/>
  <c r="I107" i="3"/>
  <c r="H107" i="3"/>
  <c r="G107" i="3"/>
  <c r="F107" i="3"/>
  <c r="E107" i="3"/>
  <c r="D107" i="3"/>
  <c r="C107" i="3"/>
  <c r="B107" i="3"/>
  <c r="A107" i="3"/>
  <c r="AK106" i="3"/>
  <c r="AC106" i="3"/>
  <c r="AB106" i="3"/>
  <c r="AA106" i="3"/>
  <c r="Z106" i="3"/>
  <c r="Y106" i="3"/>
  <c r="X106" i="3"/>
  <c r="W106" i="3"/>
  <c r="V106" i="3"/>
  <c r="U106" i="3"/>
  <c r="T106" i="3"/>
  <c r="S106" i="3"/>
  <c r="R106" i="3"/>
  <c r="Q106" i="3"/>
  <c r="P106" i="3"/>
  <c r="O106" i="3"/>
  <c r="N106" i="3"/>
  <c r="M106" i="3"/>
  <c r="K106" i="3"/>
  <c r="J106" i="3"/>
  <c r="I106" i="3"/>
  <c r="H106" i="3"/>
  <c r="G106" i="3"/>
  <c r="F106" i="3"/>
  <c r="E106" i="3"/>
  <c r="D106" i="3"/>
  <c r="C106" i="3"/>
  <c r="B106" i="3"/>
  <c r="A106" i="3"/>
  <c r="AK105" i="3"/>
  <c r="AE105" i="3"/>
  <c r="AD105" i="3"/>
  <c r="AC105" i="3"/>
  <c r="AB105" i="3"/>
  <c r="AA105" i="3"/>
  <c r="Z105" i="3"/>
  <c r="Y105" i="3"/>
  <c r="X105" i="3"/>
  <c r="W105" i="3"/>
  <c r="V105" i="3"/>
  <c r="U105" i="3"/>
  <c r="T105" i="3"/>
  <c r="S105" i="3"/>
  <c r="R105" i="3"/>
  <c r="Q105" i="3"/>
  <c r="P105" i="3"/>
  <c r="O105" i="3"/>
  <c r="N105" i="3"/>
  <c r="M105" i="3"/>
  <c r="K105" i="3"/>
  <c r="J105" i="3"/>
  <c r="I105" i="3"/>
  <c r="H105" i="3"/>
  <c r="G105" i="3"/>
  <c r="F105" i="3"/>
  <c r="E105" i="3"/>
  <c r="D105" i="3"/>
  <c r="C105" i="3"/>
  <c r="B105" i="3"/>
  <c r="A105" i="3"/>
  <c r="AK104" i="3"/>
  <c r="R104" i="3"/>
  <c r="Q104" i="3"/>
  <c r="P104" i="3"/>
  <c r="O104" i="3"/>
  <c r="N104" i="3"/>
  <c r="M104" i="3"/>
  <c r="K104" i="3"/>
  <c r="I104" i="3"/>
  <c r="H104" i="3"/>
  <c r="G104" i="3"/>
  <c r="F104" i="3"/>
  <c r="E104" i="3"/>
  <c r="D104" i="3"/>
  <c r="C104" i="3"/>
  <c r="B104" i="3"/>
  <c r="A104" i="3"/>
  <c r="AK103" i="3"/>
  <c r="AC103" i="3"/>
  <c r="AB103" i="3"/>
  <c r="AA103" i="3"/>
  <c r="Z103" i="3"/>
  <c r="Y103" i="3"/>
  <c r="X103" i="3"/>
  <c r="W103" i="3"/>
  <c r="V103" i="3"/>
  <c r="U103" i="3"/>
  <c r="T103" i="3"/>
  <c r="S103" i="3"/>
  <c r="R103" i="3"/>
  <c r="Q103" i="3"/>
  <c r="P103" i="3"/>
  <c r="O103" i="3"/>
  <c r="N103" i="3"/>
  <c r="M103" i="3"/>
  <c r="K103" i="3"/>
  <c r="J103" i="3"/>
  <c r="I103" i="3"/>
  <c r="H103" i="3"/>
  <c r="G103" i="3"/>
  <c r="F103" i="3"/>
  <c r="E103" i="3"/>
  <c r="D103" i="3"/>
  <c r="C103" i="3"/>
  <c r="B103" i="3"/>
  <c r="A103" i="3"/>
  <c r="AK102" i="3"/>
  <c r="AC102" i="3"/>
  <c r="AB102" i="3"/>
  <c r="AA102" i="3"/>
  <c r="Z102" i="3"/>
  <c r="Y102" i="3"/>
  <c r="X102" i="3"/>
  <c r="W102" i="3"/>
  <c r="V102" i="3"/>
  <c r="U102" i="3"/>
  <c r="T102" i="3"/>
  <c r="S102" i="3"/>
  <c r="R102" i="3"/>
  <c r="Q102" i="3"/>
  <c r="P102" i="3"/>
  <c r="O102" i="3"/>
  <c r="N102" i="3"/>
  <c r="M102" i="3"/>
  <c r="K102" i="3"/>
  <c r="I102" i="3"/>
  <c r="H102" i="3"/>
  <c r="G102" i="3"/>
  <c r="F102" i="3"/>
  <c r="E102" i="3"/>
  <c r="D102" i="3"/>
  <c r="C102" i="3"/>
  <c r="B102" i="3"/>
  <c r="A102" i="3"/>
  <c r="AK101" i="3"/>
  <c r="AC101" i="3"/>
  <c r="AB101" i="3"/>
  <c r="AA101" i="3"/>
  <c r="Z101" i="3"/>
  <c r="Y101" i="3"/>
  <c r="X101" i="3"/>
  <c r="W101" i="3"/>
  <c r="V101" i="3"/>
  <c r="U101" i="3"/>
  <c r="T101" i="3"/>
  <c r="S101" i="3"/>
  <c r="R101" i="3"/>
  <c r="Q101" i="3"/>
  <c r="P101" i="3"/>
  <c r="O101" i="3"/>
  <c r="N101" i="3"/>
  <c r="M101" i="3"/>
  <c r="K101" i="3"/>
  <c r="J101" i="3"/>
  <c r="I101" i="3"/>
  <c r="H101" i="3"/>
  <c r="G101" i="3"/>
  <c r="F101" i="3"/>
  <c r="E101" i="3"/>
  <c r="D101" i="3"/>
  <c r="C101" i="3"/>
  <c r="B101" i="3"/>
  <c r="A101" i="3"/>
  <c r="AK100" i="3"/>
  <c r="AC100" i="3"/>
  <c r="AB100" i="3"/>
  <c r="AA100" i="3"/>
  <c r="Z100" i="3"/>
  <c r="Y100" i="3"/>
  <c r="X100" i="3"/>
  <c r="W100" i="3"/>
  <c r="V100" i="3"/>
  <c r="U100" i="3"/>
  <c r="T100" i="3"/>
  <c r="S100" i="3"/>
  <c r="R100" i="3"/>
  <c r="Q100" i="3"/>
  <c r="P100" i="3"/>
  <c r="O100" i="3"/>
  <c r="N100" i="3"/>
  <c r="M100" i="3"/>
  <c r="K100" i="3"/>
  <c r="J100" i="3"/>
  <c r="I100" i="3"/>
  <c r="H100" i="3"/>
  <c r="G100" i="3"/>
  <c r="F100" i="3"/>
  <c r="E100" i="3"/>
  <c r="D100" i="3"/>
  <c r="C100" i="3"/>
  <c r="B100" i="3"/>
  <c r="A100" i="3"/>
  <c r="AK99" i="3"/>
  <c r="AC99" i="3"/>
  <c r="AB99" i="3"/>
  <c r="AA99" i="3"/>
  <c r="Z99" i="3"/>
  <c r="Y99" i="3"/>
  <c r="X99" i="3"/>
  <c r="W99" i="3"/>
  <c r="V99" i="3"/>
  <c r="U99" i="3"/>
  <c r="T99" i="3"/>
  <c r="S99" i="3"/>
  <c r="R99" i="3"/>
  <c r="Q99" i="3"/>
  <c r="P99" i="3"/>
  <c r="O99" i="3"/>
  <c r="N99" i="3"/>
  <c r="M99" i="3"/>
  <c r="K99" i="3"/>
  <c r="J99" i="3"/>
  <c r="I99" i="3"/>
  <c r="H99" i="3"/>
  <c r="G99" i="3"/>
  <c r="F99" i="3"/>
  <c r="E99" i="3"/>
  <c r="D99" i="3"/>
  <c r="C99" i="3"/>
  <c r="B99" i="3"/>
  <c r="A99" i="3"/>
  <c r="AK98" i="3"/>
  <c r="AC98" i="3"/>
  <c r="AB98" i="3"/>
  <c r="AA98" i="3"/>
  <c r="Z98" i="3"/>
  <c r="Y98" i="3"/>
  <c r="X98" i="3"/>
  <c r="W98" i="3"/>
  <c r="V98" i="3"/>
  <c r="U98" i="3"/>
  <c r="T98" i="3"/>
  <c r="S98" i="3"/>
  <c r="R98" i="3"/>
  <c r="Q98" i="3"/>
  <c r="P98" i="3"/>
  <c r="O98" i="3"/>
  <c r="N98" i="3"/>
  <c r="M98" i="3"/>
  <c r="K98" i="3"/>
  <c r="J98" i="3"/>
  <c r="I98" i="3"/>
  <c r="H98" i="3"/>
  <c r="G98" i="3"/>
  <c r="F98" i="3"/>
  <c r="E98" i="3"/>
  <c r="D98" i="3"/>
  <c r="C98" i="3"/>
  <c r="B98" i="3"/>
  <c r="A98" i="3"/>
  <c r="AK97" i="3"/>
  <c r="AC97" i="3"/>
  <c r="AB97" i="3"/>
  <c r="AA97" i="3"/>
  <c r="Z97" i="3"/>
  <c r="Y97" i="3"/>
  <c r="X97" i="3"/>
  <c r="W97" i="3"/>
  <c r="V97" i="3"/>
  <c r="U97" i="3"/>
  <c r="T97" i="3"/>
  <c r="S97" i="3"/>
  <c r="R97" i="3"/>
  <c r="Q97" i="3"/>
  <c r="P97" i="3"/>
  <c r="O97" i="3"/>
  <c r="N97" i="3"/>
  <c r="M97" i="3"/>
  <c r="K97" i="3"/>
  <c r="J97" i="3"/>
  <c r="I97" i="3"/>
  <c r="H97" i="3"/>
  <c r="G97" i="3"/>
  <c r="F97" i="3"/>
  <c r="E97" i="3"/>
  <c r="D97" i="3"/>
  <c r="C97" i="3"/>
  <c r="B97" i="3"/>
  <c r="A97" i="3"/>
  <c r="AK96" i="3"/>
  <c r="AC96" i="3"/>
  <c r="AB96" i="3"/>
  <c r="AA96" i="3"/>
  <c r="Z96" i="3"/>
  <c r="Y96" i="3"/>
  <c r="X96" i="3"/>
  <c r="W96" i="3"/>
  <c r="V96" i="3"/>
  <c r="U96" i="3"/>
  <c r="T96" i="3"/>
  <c r="S96" i="3"/>
  <c r="R96" i="3"/>
  <c r="Q96" i="3"/>
  <c r="P96" i="3"/>
  <c r="N96" i="3"/>
  <c r="M96" i="3"/>
  <c r="K96" i="3"/>
  <c r="J96" i="3"/>
  <c r="I96" i="3"/>
  <c r="H96" i="3"/>
  <c r="G96" i="3"/>
  <c r="F96" i="3"/>
  <c r="E96" i="3"/>
  <c r="D96" i="3"/>
  <c r="C96" i="3"/>
  <c r="B96" i="3"/>
  <c r="A96" i="3"/>
  <c r="AK95" i="3"/>
  <c r="AC95" i="3"/>
  <c r="AB95" i="3"/>
  <c r="AA95" i="3"/>
  <c r="Z95" i="3"/>
  <c r="Y95" i="3"/>
  <c r="X95" i="3"/>
  <c r="W95" i="3"/>
  <c r="V95" i="3"/>
  <c r="U95" i="3"/>
  <c r="T95" i="3"/>
  <c r="R95" i="3"/>
  <c r="Q95" i="3"/>
  <c r="P95" i="3"/>
  <c r="O95" i="3"/>
  <c r="N95" i="3"/>
  <c r="M95" i="3"/>
  <c r="K95" i="3"/>
  <c r="J95" i="3"/>
  <c r="I95" i="3"/>
  <c r="H95" i="3"/>
  <c r="G95" i="3"/>
  <c r="F95" i="3"/>
  <c r="E95" i="3"/>
  <c r="D95" i="3"/>
  <c r="C95" i="3"/>
  <c r="B95" i="3"/>
  <c r="A95" i="3"/>
  <c r="AK94" i="3"/>
  <c r="AC94" i="3"/>
  <c r="AB94" i="3"/>
  <c r="AA94" i="3"/>
  <c r="Z94" i="3"/>
  <c r="Y94" i="3"/>
  <c r="X94" i="3"/>
  <c r="W94" i="3"/>
  <c r="V94" i="3"/>
  <c r="U94" i="3"/>
  <c r="T94" i="3"/>
  <c r="S94" i="3"/>
  <c r="R94" i="3"/>
  <c r="Q94" i="3"/>
  <c r="P94" i="3"/>
  <c r="O94" i="3"/>
  <c r="N94" i="3"/>
  <c r="M94" i="3"/>
  <c r="K94" i="3"/>
  <c r="J94" i="3"/>
  <c r="I94" i="3"/>
  <c r="H94" i="3"/>
  <c r="G94" i="3"/>
  <c r="F94" i="3"/>
  <c r="E94" i="3"/>
  <c r="D94" i="3"/>
  <c r="C94" i="3"/>
  <c r="B94" i="3"/>
  <c r="A94" i="3"/>
  <c r="AK93" i="3"/>
  <c r="AC93" i="3"/>
  <c r="AB93" i="3"/>
  <c r="AA93" i="3"/>
  <c r="Z93" i="3"/>
  <c r="Y93" i="3"/>
  <c r="X93" i="3"/>
  <c r="W93" i="3"/>
  <c r="V93" i="3"/>
  <c r="U93" i="3"/>
  <c r="T93" i="3"/>
  <c r="S93" i="3"/>
  <c r="R93" i="3"/>
  <c r="Q93" i="3"/>
  <c r="P93" i="3"/>
  <c r="O93" i="3"/>
  <c r="N93" i="3"/>
  <c r="M93" i="3"/>
  <c r="K93" i="3"/>
  <c r="J93" i="3"/>
  <c r="I93" i="3"/>
  <c r="H93" i="3"/>
  <c r="G93" i="3"/>
  <c r="F93" i="3"/>
  <c r="E93" i="3"/>
  <c r="D93" i="3"/>
  <c r="C93" i="3"/>
  <c r="B93" i="3"/>
  <c r="A93" i="3"/>
  <c r="AK92" i="3"/>
  <c r="AC92" i="3"/>
  <c r="AB92" i="3"/>
  <c r="AA92" i="3"/>
  <c r="Z92" i="3"/>
  <c r="Y92" i="3"/>
  <c r="X92" i="3"/>
  <c r="W92" i="3"/>
  <c r="V92" i="3"/>
  <c r="U92" i="3"/>
  <c r="T92" i="3"/>
  <c r="S92" i="3"/>
  <c r="R92" i="3"/>
  <c r="Q92" i="3"/>
  <c r="P92" i="3"/>
  <c r="O92" i="3"/>
  <c r="N92" i="3"/>
  <c r="M92" i="3"/>
  <c r="K92" i="3"/>
  <c r="I92" i="3"/>
  <c r="H92" i="3"/>
  <c r="G92" i="3"/>
  <c r="F92" i="3"/>
  <c r="E92" i="3"/>
  <c r="D92" i="3"/>
  <c r="C92" i="3"/>
  <c r="B92" i="3"/>
  <c r="A92" i="3"/>
  <c r="AK91" i="3"/>
  <c r="AE91" i="3"/>
  <c r="AD91" i="3"/>
  <c r="AC91" i="3"/>
  <c r="AB91" i="3"/>
  <c r="AA91" i="3"/>
  <c r="Z91" i="3"/>
  <c r="Y91" i="3"/>
  <c r="X91" i="3"/>
  <c r="W91" i="3"/>
  <c r="V91" i="3"/>
  <c r="U91" i="3"/>
  <c r="T91" i="3"/>
  <c r="S91" i="3"/>
  <c r="R91" i="3"/>
  <c r="Q91" i="3"/>
  <c r="P91" i="3"/>
  <c r="O91" i="3"/>
  <c r="N91" i="3"/>
  <c r="M91" i="3"/>
  <c r="K91" i="3"/>
  <c r="J91" i="3"/>
  <c r="I91" i="3"/>
  <c r="H91" i="3"/>
  <c r="G91" i="3"/>
  <c r="F91" i="3"/>
  <c r="E91" i="3"/>
  <c r="D91" i="3"/>
  <c r="C91" i="3"/>
  <c r="B91" i="3"/>
  <c r="A91" i="3"/>
  <c r="AK90" i="3"/>
  <c r="AC90" i="3"/>
  <c r="AB90" i="3"/>
  <c r="AA90" i="3"/>
  <c r="Z90" i="3"/>
  <c r="Y90" i="3"/>
  <c r="X90" i="3"/>
  <c r="W90" i="3"/>
  <c r="V90" i="3"/>
  <c r="U90" i="3"/>
  <c r="T90" i="3"/>
  <c r="S90" i="3"/>
  <c r="R90" i="3"/>
  <c r="Q90" i="3"/>
  <c r="P90" i="3"/>
  <c r="O90" i="3"/>
  <c r="N90" i="3"/>
  <c r="M90" i="3"/>
  <c r="K90" i="3"/>
  <c r="J90" i="3"/>
  <c r="I90" i="3"/>
  <c r="H90" i="3"/>
  <c r="G90" i="3"/>
  <c r="F90" i="3"/>
  <c r="E90" i="3"/>
  <c r="D90" i="3"/>
  <c r="C90" i="3"/>
  <c r="B90" i="3"/>
  <c r="A90" i="3"/>
  <c r="AK89" i="3"/>
  <c r="AC89" i="3"/>
  <c r="AB89" i="3"/>
  <c r="AA89" i="3"/>
  <c r="Z89" i="3"/>
  <c r="Y89" i="3"/>
  <c r="X89" i="3"/>
  <c r="W89" i="3"/>
  <c r="V89" i="3"/>
  <c r="U89" i="3"/>
  <c r="T89" i="3"/>
  <c r="S89" i="3"/>
  <c r="R89" i="3"/>
  <c r="Q89" i="3"/>
  <c r="P89" i="3"/>
  <c r="O89" i="3"/>
  <c r="N89" i="3"/>
  <c r="M89" i="3"/>
  <c r="K89" i="3"/>
  <c r="I89" i="3"/>
  <c r="H89" i="3"/>
  <c r="G89" i="3"/>
  <c r="F89" i="3"/>
  <c r="E89" i="3"/>
  <c r="D89" i="3"/>
  <c r="C89" i="3"/>
  <c r="B89" i="3"/>
  <c r="A89" i="3"/>
  <c r="AK88" i="3"/>
  <c r="AC88" i="3"/>
  <c r="AB88" i="3"/>
  <c r="AA88" i="3"/>
  <c r="Z88" i="3"/>
  <c r="Y88" i="3"/>
  <c r="X88" i="3"/>
  <c r="W88" i="3"/>
  <c r="V88" i="3"/>
  <c r="U88" i="3"/>
  <c r="T88" i="3"/>
  <c r="S88" i="3"/>
  <c r="R88" i="3"/>
  <c r="Q88" i="3"/>
  <c r="P88" i="3"/>
  <c r="O88" i="3"/>
  <c r="N88" i="3"/>
  <c r="M88" i="3"/>
  <c r="L88" i="3"/>
  <c r="K88" i="3"/>
  <c r="J88" i="3"/>
  <c r="I88" i="3"/>
  <c r="H88" i="3"/>
  <c r="G88" i="3"/>
  <c r="F88" i="3"/>
  <c r="E88" i="3"/>
  <c r="D88" i="3"/>
  <c r="C88" i="3"/>
  <c r="B88" i="3"/>
  <c r="A88" i="3"/>
  <c r="AK87" i="3"/>
  <c r="AC87" i="3"/>
  <c r="AB87" i="3"/>
  <c r="AA87" i="3"/>
  <c r="Z87" i="3"/>
  <c r="Y87" i="3"/>
  <c r="X87" i="3"/>
  <c r="W87" i="3"/>
  <c r="V87" i="3"/>
  <c r="U87" i="3"/>
  <c r="T87" i="3"/>
  <c r="S87" i="3"/>
  <c r="R87" i="3"/>
  <c r="Q87" i="3"/>
  <c r="P87" i="3"/>
  <c r="O87" i="3"/>
  <c r="N87" i="3"/>
  <c r="M87" i="3"/>
  <c r="K87" i="3"/>
  <c r="J87" i="3"/>
  <c r="I87" i="3"/>
  <c r="H87" i="3"/>
  <c r="G87" i="3"/>
  <c r="F87" i="3"/>
  <c r="E87" i="3"/>
  <c r="D87" i="3"/>
  <c r="C87" i="3"/>
  <c r="B87" i="3"/>
  <c r="A87" i="3"/>
  <c r="AK86" i="3"/>
  <c r="AE86" i="3"/>
  <c r="AD86" i="3"/>
  <c r="AC86" i="3"/>
  <c r="AB86" i="3"/>
  <c r="AA86" i="3"/>
  <c r="Z86" i="3"/>
  <c r="Y86" i="3"/>
  <c r="X86" i="3"/>
  <c r="W86" i="3"/>
  <c r="V86" i="3"/>
  <c r="U86" i="3"/>
  <c r="T86" i="3"/>
  <c r="S86" i="3"/>
  <c r="R86" i="3"/>
  <c r="Q86" i="3"/>
  <c r="P86" i="3"/>
  <c r="O86" i="3"/>
  <c r="N86" i="3"/>
  <c r="M86" i="3"/>
  <c r="K86" i="3"/>
  <c r="J86" i="3"/>
  <c r="I86" i="3"/>
  <c r="H86" i="3"/>
  <c r="G86" i="3"/>
  <c r="F86" i="3"/>
  <c r="E86" i="3"/>
  <c r="D86" i="3"/>
  <c r="C86" i="3"/>
  <c r="B86" i="3"/>
  <c r="A86" i="3"/>
  <c r="AK85" i="3"/>
  <c r="AC85" i="3"/>
  <c r="AB85" i="3"/>
  <c r="AA85" i="3"/>
  <c r="Z85" i="3"/>
  <c r="Y85" i="3"/>
  <c r="X85" i="3"/>
  <c r="W85" i="3"/>
  <c r="V85" i="3"/>
  <c r="U85" i="3"/>
  <c r="T85" i="3"/>
  <c r="S85" i="3"/>
  <c r="R85" i="3"/>
  <c r="Q85" i="3"/>
  <c r="P85" i="3"/>
  <c r="O85" i="3"/>
  <c r="N85" i="3"/>
  <c r="M85" i="3"/>
  <c r="K85" i="3"/>
  <c r="J85" i="3"/>
  <c r="I85" i="3"/>
  <c r="H85" i="3"/>
  <c r="G85" i="3"/>
  <c r="F85" i="3"/>
  <c r="E85" i="3"/>
  <c r="D85" i="3"/>
  <c r="C85" i="3"/>
  <c r="B85" i="3"/>
  <c r="A85" i="3"/>
  <c r="AK84" i="3"/>
  <c r="AC84" i="3"/>
  <c r="AB84" i="3"/>
  <c r="AA84" i="3"/>
  <c r="Z84" i="3"/>
  <c r="Y84" i="3"/>
  <c r="X84" i="3"/>
  <c r="W84" i="3"/>
  <c r="V84" i="3"/>
  <c r="U84" i="3"/>
  <c r="T84" i="3"/>
  <c r="S84" i="3"/>
  <c r="R84" i="3"/>
  <c r="Q84" i="3"/>
  <c r="P84" i="3"/>
  <c r="O84" i="3"/>
  <c r="N84" i="3"/>
  <c r="M84" i="3"/>
  <c r="K84" i="3"/>
  <c r="I84" i="3"/>
  <c r="H84" i="3"/>
  <c r="G84" i="3"/>
  <c r="F84" i="3"/>
  <c r="E84" i="3"/>
  <c r="D84" i="3"/>
  <c r="C84" i="3"/>
  <c r="B84" i="3"/>
  <c r="A84" i="3"/>
  <c r="AK83" i="3"/>
  <c r="AC83" i="3"/>
  <c r="AB83" i="3"/>
  <c r="AA83" i="3"/>
  <c r="Z83" i="3"/>
  <c r="Y83" i="3"/>
  <c r="X83" i="3"/>
  <c r="W83" i="3"/>
  <c r="V83" i="3"/>
  <c r="U83" i="3"/>
  <c r="T83" i="3"/>
  <c r="S83" i="3"/>
  <c r="R83" i="3"/>
  <c r="Q83" i="3"/>
  <c r="P83" i="3"/>
  <c r="O83" i="3"/>
  <c r="N83" i="3"/>
  <c r="M83" i="3"/>
  <c r="K83" i="3"/>
  <c r="J83" i="3"/>
  <c r="I83" i="3"/>
  <c r="H83" i="3"/>
  <c r="G83" i="3"/>
  <c r="F83" i="3"/>
  <c r="E83" i="3"/>
  <c r="D83" i="3"/>
  <c r="C83" i="3"/>
  <c r="B83" i="3"/>
  <c r="A83" i="3"/>
  <c r="AK82" i="3"/>
  <c r="AE82" i="3"/>
  <c r="AD82" i="3"/>
  <c r="AC82" i="3"/>
  <c r="AB82" i="3"/>
  <c r="AA82" i="3"/>
  <c r="Z82" i="3"/>
  <c r="Y82" i="3"/>
  <c r="X82" i="3"/>
  <c r="W82" i="3"/>
  <c r="V82" i="3"/>
  <c r="U82" i="3"/>
  <c r="T82" i="3"/>
  <c r="S82" i="3"/>
  <c r="R82" i="3"/>
  <c r="Q82" i="3"/>
  <c r="P82" i="3"/>
  <c r="O82" i="3"/>
  <c r="N82" i="3"/>
  <c r="M82" i="3"/>
  <c r="K82" i="3"/>
  <c r="J82" i="3"/>
  <c r="I82" i="3"/>
  <c r="H82" i="3"/>
  <c r="G82" i="3"/>
  <c r="F82" i="3"/>
  <c r="E82" i="3"/>
  <c r="D82" i="3"/>
  <c r="C82" i="3"/>
  <c r="B82" i="3"/>
  <c r="A82" i="3"/>
  <c r="AK81" i="3"/>
  <c r="AC81" i="3"/>
  <c r="AB81" i="3"/>
  <c r="AA81" i="3"/>
  <c r="Z81" i="3"/>
  <c r="Y81" i="3"/>
  <c r="X81" i="3"/>
  <c r="W81" i="3"/>
  <c r="V81" i="3"/>
  <c r="U81" i="3"/>
  <c r="T81" i="3"/>
  <c r="S81" i="3"/>
  <c r="R81" i="3"/>
  <c r="Q81" i="3"/>
  <c r="P81" i="3"/>
  <c r="O81" i="3"/>
  <c r="N81" i="3"/>
  <c r="M81" i="3"/>
  <c r="K81" i="3"/>
  <c r="J81" i="3"/>
  <c r="I81" i="3"/>
  <c r="H81" i="3"/>
  <c r="G81" i="3"/>
  <c r="F81" i="3"/>
  <c r="E81" i="3"/>
  <c r="D81" i="3"/>
  <c r="C81" i="3"/>
  <c r="B81" i="3"/>
  <c r="A81" i="3"/>
  <c r="AK80" i="3"/>
  <c r="AC80" i="3"/>
  <c r="AB80" i="3"/>
  <c r="AA80" i="3"/>
  <c r="Z80" i="3"/>
  <c r="Y80" i="3"/>
  <c r="X80" i="3"/>
  <c r="W80" i="3"/>
  <c r="V80" i="3"/>
  <c r="U80" i="3"/>
  <c r="T80" i="3"/>
  <c r="S80" i="3"/>
  <c r="R80" i="3"/>
  <c r="Q80" i="3"/>
  <c r="P80" i="3"/>
  <c r="O80" i="3"/>
  <c r="N80" i="3"/>
  <c r="M80" i="3"/>
  <c r="K80" i="3"/>
  <c r="I80" i="3"/>
  <c r="H80" i="3"/>
  <c r="G80" i="3"/>
  <c r="F80" i="3"/>
  <c r="E80" i="3"/>
  <c r="D80" i="3"/>
  <c r="C80" i="3"/>
  <c r="B80" i="3"/>
  <c r="A80" i="3"/>
  <c r="AK79" i="3"/>
  <c r="AE79" i="3"/>
  <c r="AD79" i="3"/>
  <c r="AC79" i="3"/>
  <c r="AB79" i="3"/>
  <c r="AA79" i="3"/>
  <c r="Z79" i="3"/>
  <c r="Y79" i="3"/>
  <c r="X79" i="3"/>
  <c r="W79" i="3"/>
  <c r="V79" i="3"/>
  <c r="U79" i="3"/>
  <c r="T79" i="3"/>
  <c r="S79" i="3"/>
  <c r="R79" i="3"/>
  <c r="Q79" i="3"/>
  <c r="P79" i="3"/>
  <c r="O79" i="3"/>
  <c r="N79" i="3"/>
  <c r="M79" i="3"/>
  <c r="K79" i="3"/>
  <c r="J79" i="3"/>
  <c r="I79" i="3"/>
  <c r="H79" i="3"/>
  <c r="G79" i="3"/>
  <c r="F79" i="3"/>
  <c r="E79" i="3"/>
  <c r="D79" i="3"/>
  <c r="C79" i="3"/>
  <c r="B79" i="3"/>
  <c r="A79" i="3"/>
  <c r="AK78" i="3"/>
  <c r="AE78" i="3"/>
  <c r="AD78" i="3"/>
  <c r="AC78" i="3"/>
  <c r="AB78" i="3"/>
  <c r="AA78" i="3"/>
  <c r="Z78" i="3"/>
  <c r="Y78" i="3"/>
  <c r="X78" i="3"/>
  <c r="W78" i="3"/>
  <c r="V78" i="3"/>
  <c r="U78" i="3"/>
  <c r="T78" i="3"/>
  <c r="S78" i="3"/>
  <c r="R78" i="3"/>
  <c r="Q78" i="3"/>
  <c r="P78" i="3"/>
  <c r="O78" i="3"/>
  <c r="N78" i="3"/>
  <c r="M78" i="3"/>
  <c r="K78" i="3"/>
  <c r="J78" i="3"/>
  <c r="I78" i="3"/>
  <c r="H78" i="3"/>
  <c r="G78" i="3"/>
  <c r="F78" i="3"/>
  <c r="E78" i="3"/>
  <c r="D78" i="3"/>
  <c r="C78" i="3"/>
  <c r="B78" i="3"/>
  <c r="A78" i="3"/>
  <c r="AK77" i="3"/>
  <c r="AE77" i="3"/>
  <c r="AD77" i="3"/>
  <c r="AC77" i="3"/>
  <c r="AB77" i="3"/>
  <c r="AA77" i="3"/>
  <c r="Z77" i="3"/>
  <c r="Y77" i="3"/>
  <c r="X77" i="3"/>
  <c r="W77" i="3"/>
  <c r="V77" i="3"/>
  <c r="U77" i="3"/>
  <c r="T77" i="3"/>
  <c r="S77" i="3"/>
  <c r="R77" i="3"/>
  <c r="Q77" i="3"/>
  <c r="P77" i="3"/>
  <c r="O77" i="3"/>
  <c r="N77" i="3"/>
  <c r="M77" i="3"/>
  <c r="K77" i="3"/>
  <c r="J77" i="3"/>
  <c r="I77" i="3"/>
  <c r="H77" i="3"/>
  <c r="G77" i="3"/>
  <c r="F77" i="3"/>
  <c r="E77" i="3"/>
  <c r="D77" i="3"/>
  <c r="C77" i="3"/>
  <c r="B77" i="3"/>
  <c r="A77" i="3"/>
  <c r="AK76" i="3"/>
  <c r="AE76" i="3"/>
  <c r="AD76" i="3"/>
  <c r="AC76" i="3"/>
  <c r="AB76" i="3"/>
  <c r="AA76" i="3"/>
  <c r="Z76" i="3"/>
  <c r="Y76" i="3"/>
  <c r="X76" i="3"/>
  <c r="W76" i="3"/>
  <c r="V76" i="3"/>
  <c r="U76" i="3"/>
  <c r="T76" i="3"/>
  <c r="S76" i="3"/>
  <c r="R76" i="3"/>
  <c r="Q76" i="3"/>
  <c r="P76" i="3"/>
  <c r="O76" i="3"/>
  <c r="N76" i="3"/>
  <c r="M76" i="3"/>
  <c r="L76" i="3"/>
  <c r="K76" i="3"/>
  <c r="J76" i="3"/>
  <c r="I76" i="3"/>
  <c r="H76" i="3"/>
  <c r="G76" i="3"/>
  <c r="F76" i="3"/>
  <c r="E76" i="3"/>
  <c r="D76" i="3"/>
  <c r="C76" i="3"/>
  <c r="B76" i="3"/>
  <c r="A76" i="3"/>
  <c r="AK75" i="3"/>
  <c r="AC75" i="3"/>
  <c r="AB75" i="3"/>
  <c r="AA75" i="3"/>
  <c r="Z75" i="3"/>
  <c r="Y75" i="3"/>
  <c r="X75" i="3"/>
  <c r="W75" i="3"/>
  <c r="V75" i="3"/>
  <c r="U75" i="3"/>
  <c r="T75" i="3"/>
  <c r="S75" i="3"/>
  <c r="R75" i="3"/>
  <c r="Q75" i="3"/>
  <c r="P75" i="3"/>
  <c r="O75" i="3"/>
  <c r="N75" i="3"/>
  <c r="M75" i="3"/>
  <c r="K75" i="3"/>
  <c r="J75" i="3"/>
  <c r="I75" i="3"/>
  <c r="H75" i="3"/>
  <c r="G75" i="3"/>
  <c r="F75" i="3"/>
  <c r="E75" i="3"/>
  <c r="D75" i="3"/>
  <c r="C75" i="3"/>
  <c r="B75" i="3"/>
  <c r="A75" i="3"/>
  <c r="AK74" i="3"/>
  <c r="AC74" i="3"/>
  <c r="AB74" i="3"/>
  <c r="AA74" i="3"/>
  <c r="Z74" i="3"/>
  <c r="Y74" i="3"/>
  <c r="X74" i="3"/>
  <c r="W74" i="3"/>
  <c r="V74" i="3"/>
  <c r="U74" i="3"/>
  <c r="T74" i="3"/>
  <c r="S74" i="3"/>
  <c r="R74" i="3"/>
  <c r="Q74" i="3"/>
  <c r="P74" i="3"/>
  <c r="O74" i="3"/>
  <c r="N74" i="3"/>
  <c r="M74" i="3"/>
  <c r="K74" i="3"/>
  <c r="J74" i="3"/>
  <c r="I74" i="3"/>
  <c r="H74" i="3"/>
  <c r="G74" i="3"/>
  <c r="F74" i="3"/>
  <c r="E74" i="3"/>
  <c r="D74" i="3"/>
  <c r="C74" i="3"/>
  <c r="B74" i="3"/>
  <c r="A74" i="3"/>
  <c r="AK73" i="3"/>
  <c r="AC73" i="3"/>
  <c r="AB73" i="3"/>
  <c r="AA73" i="3"/>
  <c r="Z73" i="3"/>
  <c r="Y73" i="3"/>
  <c r="X73" i="3"/>
  <c r="W73" i="3"/>
  <c r="V73" i="3"/>
  <c r="U73" i="3"/>
  <c r="T73" i="3"/>
  <c r="S73" i="3"/>
  <c r="R73" i="3"/>
  <c r="Q73" i="3"/>
  <c r="P73" i="3"/>
  <c r="O73" i="3"/>
  <c r="N73" i="3"/>
  <c r="M73" i="3"/>
  <c r="L73" i="3"/>
  <c r="K73" i="3"/>
  <c r="J73" i="3"/>
  <c r="I73" i="3"/>
  <c r="H73" i="3"/>
  <c r="G73" i="3"/>
  <c r="F73" i="3"/>
  <c r="E73" i="3"/>
  <c r="D73" i="3"/>
  <c r="C73" i="3"/>
  <c r="B73" i="3"/>
  <c r="A73" i="3"/>
  <c r="AK72" i="3"/>
  <c r="AC72" i="3"/>
  <c r="AB72" i="3"/>
  <c r="AA72" i="3"/>
  <c r="Z72" i="3"/>
  <c r="Y72" i="3"/>
  <c r="X72" i="3"/>
  <c r="W72" i="3"/>
  <c r="V72" i="3"/>
  <c r="U72" i="3"/>
  <c r="T72" i="3"/>
  <c r="S72" i="3"/>
  <c r="R72" i="3"/>
  <c r="Q72" i="3"/>
  <c r="P72" i="3"/>
  <c r="N72" i="3"/>
  <c r="M72" i="3"/>
  <c r="K72" i="3"/>
  <c r="J72" i="3"/>
  <c r="I72" i="3"/>
  <c r="H72" i="3"/>
  <c r="G72" i="3"/>
  <c r="F72" i="3"/>
  <c r="E72" i="3"/>
  <c r="D72" i="3"/>
  <c r="C72" i="3"/>
  <c r="B72" i="3"/>
  <c r="A72" i="3"/>
  <c r="AK71" i="3"/>
  <c r="AC71" i="3"/>
  <c r="AB71" i="3"/>
  <c r="AA71" i="3"/>
  <c r="Z71" i="3"/>
  <c r="Y71" i="3"/>
  <c r="X71" i="3"/>
  <c r="W71" i="3"/>
  <c r="V71" i="3"/>
  <c r="U71" i="3"/>
  <c r="T71" i="3"/>
  <c r="S71" i="3"/>
  <c r="R71" i="3"/>
  <c r="Q71" i="3"/>
  <c r="P71" i="3"/>
  <c r="O71" i="3"/>
  <c r="N71" i="3"/>
  <c r="M71" i="3"/>
  <c r="L71" i="3"/>
  <c r="K71" i="3"/>
  <c r="J71" i="3"/>
  <c r="I71" i="3"/>
  <c r="H71" i="3"/>
  <c r="G71" i="3"/>
  <c r="F71" i="3"/>
  <c r="E71" i="3"/>
  <c r="D71" i="3"/>
  <c r="C71" i="3"/>
  <c r="B71" i="3"/>
  <c r="A71" i="3"/>
  <c r="AK70" i="3"/>
  <c r="AC70" i="3"/>
  <c r="AB70" i="3"/>
  <c r="AA70" i="3"/>
  <c r="Z70" i="3"/>
  <c r="Y70" i="3"/>
  <c r="X70" i="3"/>
  <c r="W70" i="3"/>
  <c r="V70" i="3"/>
  <c r="U70" i="3"/>
  <c r="T70" i="3"/>
  <c r="S70" i="3"/>
  <c r="R70" i="3"/>
  <c r="Q70" i="3"/>
  <c r="P70" i="3"/>
  <c r="O70" i="3"/>
  <c r="N70" i="3"/>
  <c r="M70" i="3"/>
  <c r="K70" i="3"/>
  <c r="I70" i="3"/>
  <c r="H70" i="3"/>
  <c r="G70" i="3"/>
  <c r="F70" i="3"/>
  <c r="E70" i="3"/>
  <c r="D70" i="3"/>
  <c r="C70" i="3"/>
  <c r="B70" i="3"/>
  <c r="A70" i="3"/>
  <c r="AK69" i="3"/>
  <c r="AC69" i="3"/>
  <c r="AB69" i="3"/>
  <c r="AA69" i="3"/>
  <c r="Z69" i="3"/>
  <c r="Y69" i="3"/>
  <c r="X69" i="3"/>
  <c r="W69" i="3"/>
  <c r="V69" i="3"/>
  <c r="U69" i="3"/>
  <c r="T69" i="3"/>
  <c r="S69" i="3"/>
  <c r="R69" i="3"/>
  <c r="Q69" i="3"/>
  <c r="P69" i="3"/>
  <c r="N69" i="3"/>
  <c r="M69" i="3"/>
  <c r="K69" i="3"/>
  <c r="J69" i="3"/>
  <c r="I69" i="3"/>
  <c r="H69" i="3"/>
  <c r="G69" i="3"/>
  <c r="F69" i="3"/>
  <c r="E69" i="3"/>
  <c r="D69" i="3"/>
  <c r="C69" i="3"/>
  <c r="B69" i="3"/>
  <c r="A69" i="3"/>
  <c r="AK68" i="3"/>
  <c r="AC68" i="3"/>
  <c r="AB68" i="3"/>
  <c r="AA68" i="3"/>
  <c r="Z68" i="3"/>
  <c r="Y68" i="3"/>
  <c r="X68" i="3"/>
  <c r="W68" i="3"/>
  <c r="V68" i="3"/>
  <c r="U68" i="3"/>
  <c r="T68" i="3"/>
  <c r="S68" i="3"/>
  <c r="R68" i="3"/>
  <c r="Q68" i="3"/>
  <c r="P68" i="3"/>
  <c r="O68" i="3"/>
  <c r="N68" i="3"/>
  <c r="M68" i="3"/>
  <c r="K68" i="3"/>
  <c r="J68" i="3"/>
  <c r="I68" i="3"/>
  <c r="H68" i="3"/>
  <c r="G68" i="3"/>
  <c r="F68" i="3"/>
  <c r="E68" i="3"/>
  <c r="D68" i="3"/>
  <c r="C68" i="3"/>
  <c r="B68" i="3"/>
  <c r="A68" i="3"/>
  <c r="AK67" i="3"/>
  <c r="AC67" i="3"/>
  <c r="AB67" i="3"/>
  <c r="AA67" i="3"/>
  <c r="Z67" i="3"/>
  <c r="Y67" i="3"/>
  <c r="X67" i="3"/>
  <c r="W67" i="3"/>
  <c r="V67" i="3"/>
  <c r="U67" i="3"/>
  <c r="T67" i="3"/>
  <c r="S67" i="3"/>
  <c r="R67" i="3"/>
  <c r="Q67" i="3"/>
  <c r="P67" i="3"/>
  <c r="O67" i="3"/>
  <c r="N67" i="3"/>
  <c r="M67" i="3"/>
  <c r="K67" i="3"/>
  <c r="J67" i="3"/>
  <c r="I67" i="3"/>
  <c r="H67" i="3"/>
  <c r="G67" i="3"/>
  <c r="F67" i="3"/>
  <c r="E67" i="3"/>
  <c r="D67" i="3"/>
  <c r="C67" i="3"/>
  <c r="B67" i="3"/>
  <c r="A67" i="3"/>
  <c r="AK66" i="3"/>
  <c r="AC66" i="3"/>
  <c r="AB66" i="3"/>
  <c r="AA66" i="3"/>
  <c r="Z66" i="3"/>
  <c r="Y66" i="3"/>
  <c r="X66" i="3"/>
  <c r="W66" i="3"/>
  <c r="V66" i="3"/>
  <c r="U66" i="3"/>
  <c r="T66" i="3"/>
  <c r="S66" i="3"/>
  <c r="R66" i="3"/>
  <c r="Q66" i="3"/>
  <c r="P66" i="3"/>
  <c r="O66" i="3"/>
  <c r="N66" i="3"/>
  <c r="M66" i="3"/>
  <c r="K66" i="3"/>
  <c r="J66" i="3"/>
  <c r="I66" i="3"/>
  <c r="H66" i="3"/>
  <c r="G66" i="3"/>
  <c r="F66" i="3"/>
  <c r="E66" i="3"/>
  <c r="D66" i="3"/>
  <c r="C66" i="3"/>
  <c r="B66" i="3"/>
  <c r="A66" i="3"/>
  <c r="AK65" i="3"/>
  <c r="AC65" i="3"/>
  <c r="AB65" i="3"/>
  <c r="AA65" i="3"/>
  <c r="Z65" i="3"/>
  <c r="Y65" i="3"/>
  <c r="X65" i="3"/>
  <c r="W65" i="3"/>
  <c r="V65" i="3"/>
  <c r="U65" i="3"/>
  <c r="T65" i="3"/>
  <c r="S65" i="3"/>
  <c r="R65" i="3"/>
  <c r="Q65" i="3"/>
  <c r="P65" i="3"/>
  <c r="O65" i="3"/>
  <c r="N65" i="3"/>
  <c r="M65" i="3"/>
  <c r="K65" i="3"/>
  <c r="J65" i="3"/>
  <c r="I65" i="3"/>
  <c r="H65" i="3"/>
  <c r="G65" i="3"/>
  <c r="F65" i="3"/>
  <c r="E65" i="3"/>
  <c r="D65" i="3"/>
  <c r="C65" i="3"/>
  <c r="B65" i="3"/>
  <c r="A65" i="3"/>
  <c r="AK64" i="3"/>
  <c r="AE64" i="3"/>
  <c r="AD64" i="3"/>
  <c r="AC64" i="3"/>
  <c r="AB64" i="3"/>
  <c r="AA64" i="3"/>
  <c r="Z64" i="3"/>
  <c r="Y64" i="3"/>
  <c r="X64" i="3"/>
  <c r="W64" i="3"/>
  <c r="V64" i="3"/>
  <c r="U64" i="3"/>
  <c r="T64" i="3"/>
  <c r="S64" i="3"/>
  <c r="R64" i="3"/>
  <c r="Q64" i="3"/>
  <c r="P64" i="3"/>
  <c r="O64" i="3"/>
  <c r="N64" i="3"/>
  <c r="M64" i="3"/>
  <c r="K64" i="3"/>
  <c r="J64" i="3"/>
  <c r="I64" i="3"/>
  <c r="H64" i="3"/>
  <c r="G64" i="3"/>
  <c r="F64" i="3"/>
  <c r="E64" i="3"/>
  <c r="D64" i="3"/>
  <c r="C64" i="3"/>
  <c r="B64" i="3"/>
  <c r="A64" i="3"/>
  <c r="AK63" i="3"/>
  <c r="AC63" i="3"/>
  <c r="AB63" i="3"/>
  <c r="AA63" i="3"/>
  <c r="Z63" i="3"/>
  <c r="Y63" i="3"/>
  <c r="X63" i="3"/>
  <c r="W63" i="3"/>
  <c r="V63" i="3"/>
  <c r="U63" i="3"/>
  <c r="T63" i="3"/>
  <c r="S63" i="3"/>
  <c r="R63" i="3"/>
  <c r="Q63" i="3"/>
  <c r="P63" i="3"/>
  <c r="O63" i="3"/>
  <c r="N63" i="3"/>
  <c r="M63" i="3"/>
  <c r="K63" i="3"/>
  <c r="J63" i="3"/>
  <c r="I63" i="3"/>
  <c r="H63" i="3"/>
  <c r="G63" i="3"/>
  <c r="F63" i="3"/>
  <c r="E63" i="3"/>
  <c r="D63" i="3"/>
  <c r="C63" i="3"/>
  <c r="B63" i="3"/>
  <c r="A63" i="3"/>
  <c r="AK62" i="3"/>
  <c r="AC62" i="3"/>
  <c r="AB62" i="3"/>
  <c r="AA62" i="3"/>
  <c r="Z62" i="3"/>
  <c r="Y62" i="3"/>
  <c r="X62" i="3"/>
  <c r="W62" i="3"/>
  <c r="V62" i="3"/>
  <c r="U62" i="3"/>
  <c r="T62" i="3"/>
  <c r="S62" i="3"/>
  <c r="R62" i="3"/>
  <c r="Q62" i="3"/>
  <c r="P62" i="3"/>
  <c r="O62" i="3"/>
  <c r="N62" i="3"/>
  <c r="M62" i="3"/>
  <c r="K62" i="3"/>
  <c r="J62" i="3"/>
  <c r="I62" i="3"/>
  <c r="H62" i="3"/>
  <c r="G62" i="3"/>
  <c r="F62" i="3"/>
  <c r="E62" i="3"/>
  <c r="D62" i="3"/>
  <c r="C62" i="3"/>
  <c r="B62" i="3"/>
  <c r="A62" i="3"/>
  <c r="AK61" i="3"/>
  <c r="AC61" i="3"/>
  <c r="AB61" i="3"/>
  <c r="AA61" i="3"/>
  <c r="Z61" i="3"/>
  <c r="Y61" i="3"/>
  <c r="X61" i="3"/>
  <c r="W61" i="3"/>
  <c r="V61" i="3"/>
  <c r="U61" i="3"/>
  <c r="T61" i="3"/>
  <c r="S61" i="3"/>
  <c r="R61" i="3"/>
  <c r="Q61" i="3"/>
  <c r="P61" i="3"/>
  <c r="O61" i="3"/>
  <c r="N61" i="3"/>
  <c r="M61" i="3"/>
  <c r="K61" i="3"/>
  <c r="J61" i="3"/>
  <c r="I61" i="3"/>
  <c r="H61" i="3"/>
  <c r="G61" i="3"/>
  <c r="F61" i="3"/>
  <c r="E61" i="3"/>
  <c r="D61" i="3"/>
  <c r="C61" i="3"/>
  <c r="B61" i="3"/>
  <c r="A61" i="3"/>
  <c r="AK60" i="3"/>
  <c r="AC60" i="3"/>
  <c r="AB60" i="3"/>
  <c r="AA60" i="3"/>
  <c r="Z60" i="3"/>
  <c r="Y60" i="3"/>
  <c r="X60" i="3"/>
  <c r="W60" i="3"/>
  <c r="V60" i="3"/>
  <c r="U60" i="3"/>
  <c r="T60" i="3"/>
  <c r="S60" i="3"/>
  <c r="R60" i="3"/>
  <c r="Q60" i="3"/>
  <c r="P60" i="3"/>
  <c r="O60" i="3"/>
  <c r="N60" i="3"/>
  <c r="M60" i="3"/>
  <c r="K60" i="3"/>
  <c r="J60" i="3"/>
  <c r="I60" i="3"/>
  <c r="H60" i="3"/>
  <c r="G60" i="3"/>
  <c r="F60" i="3"/>
  <c r="E60" i="3"/>
  <c r="D60" i="3"/>
  <c r="C60" i="3"/>
  <c r="B60" i="3"/>
  <c r="A60" i="3"/>
  <c r="AK59" i="3"/>
  <c r="AC59" i="3"/>
  <c r="AB59" i="3"/>
  <c r="AA59" i="3"/>
  <c r="Z59" i="3"/>
  <c r="Y59" i="3"/>
  <c r="X59" i="3"/>
  <c r="W59" i="3"/>
  <c r="V59" i="3"/>
  <c r="U59" i="3"/>
  <c r="T59" i="3"/>
  <c r="S59" i="3"/>
  <c r="R59" i="3"/>
  <c r="Q59" i="3"/>
  <c r="P59" i="3"/>
  <c r="O59" i="3"/>
  <c r="N59" i="3"/>
  <c r="M59" i="3"/>
  <c r="J59" i="3"/>
  <c r="I59" i="3"/>
  <c r="H59" i="3"/>
  <c r="G59" i="3"/>
  <c r="F59" i="3"/>
  <c r="E59" i="3"/>
  <c r="D59" i="3"/>
  <c r="C59" i="3"/>
  <c r="B59" i="3"/>
  <c r="A59" i="3"/>
  <c r="AK58" i="3"/>
  <c r="AC58" i="3"/>
  <c r="AB58" i="3"/>
  <c r="AA58" i="3"/>
  <c r="Z58" i="3"/>
  <c r="Y58" i="3"/>
  <c r="X58" i="3"/>
  <c r="W58" i="3"/>
  <c r="V58" i="3"/>
  <c r="U58" i="3"/>
  <c r="T58" i="3"/>
  <c r="S58" i="3"/>
  <c r="R58" i="3"/>
  <c r="Q58" i="3"/>
  <c r="P58" i="3"/>
  <c r="N58" i="3"/>
  <c r="M58" i="3"/>
  <c r="K58" i="3"/>
  <c r="J58" i="3"/>
  <c r="I58" i="3"/>
  <c r="H58" i="3"/>
  <c r="G58" i="3"/>
  <c r="F58" i="3"/>
  <c r="E58" i="3"/>
  <c r="D58" i="3"/>
  <c r="C58" i="3"/>
  <c r="B58" i="3"/>
  <c r="A58" i="3"/>
  <c r="AK57" i="3"/>
  <c r="AC57" i="3"/>
  <c r="AB57" i="3"/>
  <c r="AA57" i="3"/>
  <c r="Z57" i="3"/>
  <c r="Y57" i="3"/>
  <c r="X57" i="3"/>
  <c r="W57" i="3"/>
  <c r="V57" i="3"/>
  <c r="U57" i="3"/>
  <c r="T57" i="3"/>
  <c r="S57" i="3"/>
  <c r="R57" i="3"/>
  <c r="Q57" i="3"/>
  <c r="P57" i="3"/>
  <c r="O57" i="3"/>
  <c r="N57" i="3"/>
  <c r="M57" i="3"/>
  <c r="K57" i="3"/>
  <c r="J57" i="3"/>
  <c r="I57" i="3"/>
  <c r="H57" i="3"/>
  <c r="G57" i="3"/>
  <c r="F57" i="3"/>
  <c r="E57" i="3"/>
  <c r="D57" i="3"/>
  <c r="C57" i="3"/>
  <c r="B57" i="3"/>
  <c r="A57" i="3"/>
  <c r="AK56" i="3"/>
  <c r="AC56" i="3"/>
  <c r="AB56" i="3"/>
  <c r="AA56" i="3"/>
  <c r="Z56" i="3"/>
  <c r="Y56" i="3"/>
  <c r="X56" i="3"/>
  <c r="W56" i="3"/>
  <c r="V56" i="3"/>
  <c r="U56" i="3"/>
  <c r="T56" i="3"/>
  <c r="S56" i="3"/>
  <c r="R56" i="3"/>
  <c r="Q56" i="3"/>
  <c r="P56" i="3"/>
  <c r="O56" i="3"/>
  <c r="N56" i="3"/>
  <c r="M56" i="3"/>
  <c r="K56" i="3"/>
  <c r="J56" i="3"/>
  <c r="I56" i="3"/>
  <c r="H56" i="3"/>
  <c r="G56" i="3"/>
  <c r="F56" i="3"/>
  <c r="E56" i="3"/>
  <c r="D56" i="3"/>
  <c r="C56" i="3"/>
  <c r="B56" i="3"/>
  <c r="A56" i="3"/>
  <c r="AK55" i="3"/>
  <c r="AC55" i="3"/>
  <c r="AB55" i="3"/>
  <c r="AA55" i="3"/>
  <c r="Z55" i="3"/>
  <c r="Y55" i="3"/>
  <c r="X55" i="3"/>
  <c r="W55" i="3"/>
  <c r="V55" i="3"/>
  <c r="U55" i="3"/>
  <c r="T55" i="3"/>
  <c r="S55" i="3"/>
  <c r="R55" i="3"/>
  <c r="Q55" i="3"/>
  <c r="P55" i="3"/>
  <c r="N55" i="3"/>
  <c r="M55" i="3"/>
  <c r="K55" i="3"/>
  <c r="J55" i="3"/>
  <c r="I55" i="3"/>
  <c r="H55" i="3"/>
  <c r="G55" i="3"/>
  <c r="F55" i="3"/>
  <c r="E55" i="3"/>
  <c r="D55" i="3"/>
  <c r="C55" i="3"/>
  <c r="B55" i="3"/>
  <c r="A55" i="3"/>
  <c r="AK54" i="3"/>
  <c r="AC54" i="3"/>
  <c r="AB54" i="3"/>
  <c r="AA54" i="3"/>
  <c r="Z54" i="3"/>
  <c r="Y54" i="3"/>
  <c r="X54" i="3"/>
  <c r="W54" i="3"/>
  <c r="V54" i="3"/>
  <c r="U54" i="3"/>
  <c r="T54" i="3"/>
  <c r="S54" i="3"/>
  <c r="R54" i="3"/>
  <c r="Q54" i="3"/>
  <c r="P54" i="3"/>
  <c r="O54" i="3"/>
  <c r="N54" i="3"/>
  <c r="M54" i="3"/>
  <c r="K54" i="3"/>
  <c r="J54" i="3"/>
  <c r="I54" i="3"/>
  <c r="H54" i="3"/>
  <c r="G54" i="3"/>
  <c r="F54" i="3"/>
  <c r="E54" i="3"/>
  <c r="D54" i="3"/>
  <c r="C54" i="3"/>
  <c r="B54" i="3"/>
  <c r="A54" i="3"/>
  <c r="AK53" i="3"/>
  <c r="AC53" i="3"/>
  <c r="AB53" i="3"/>
  <c r="AA53" i="3"/>
  <c r="Z53" i="3"/>
  <c r="Y53" i="3"/>
  <c r="X53" i="3"/>
  <c r="W53" i="3"/>
  <c r="V53" i="3"/>
  <c r="U53" i="3"/>
  <c r="T53" i="3"/>
  <c r="S53" i="3"/>
  <c r="R53" i="3"/>
  <c r="Q53" i="3"/>
  <c r="P53" i="3"/>
  <c r="O53" i="3"/>
  <c r="N53" i="3"/>
  <c r="M53" i="3"/>
  <c r="K53" i="3"/>
  <c r="J53" i="3"/>
  <c r="I53" i="3"/>
  <c r="H53" i="3"/>
  <c r="G53" i="3"/>
  <c r="F53" i="3"/>
  <c r="E53" i="3"/>
  <c r="D53" i="3"/>
  <c r="C53" i="3"/>
  <c r="B53" i="3"/>
  <c r="A53" i="3"/>
  <c r="AK52" i="3"/>
  <c r="AC52" i="3"/>
  <c r="AB52" i="3"/>
  <c r="AA52" i="3"/>
  <c r="Z52" i="3"/>
  <c r="Y52" i="3"/>
  <c r="X52" i="3"/>
  <c r="W52" i="3"/>
  <c r="V52" i="3"/>
  <c r="U52" i="3"/>
  <c r="T52" i="3"/>
  <c r="S52" i="3"/>
  <c r="R52" i="3"/>
  <c r="Q52" i="3"/>
  <c r="P52" i="3"/>
  <c r="N52" i="3"/>
  <c r="M52" i="3"/>
  <c r="L52" i="3"/>
  <c r="K52" i="3"/>
  <c r="J52" i="3"/>
  <c r="I52" i="3"/>
  <c r="H52" i="3"/>
  <c r="G52" i="3"/>
  <c r="F52" i="3"/>
  <c r="E52" i="3"/>
  <c r="D52" i="3"/>
  <c r="C52" i="3"/>
  <c r="B52" i="3"/>
  <c r="A52" i="3"/>
  <c r="AK51" i="3"/>
  <c r="AC51" i="3"/>
  <c r="AB51" i="3"/>
  <c r="AA51" i="3"/>
  <c r="Z51" i="3"/>
  <c r="Y51" i="3"/>
  <c r="X51" i="3"/>
  <c r="W51" i="3"/>
  <c r="V51" i="3"/>
  <c r="U51" i="3"/>
  <c r="T51" i="3"/>
  <c r="S51" i="3"/>
  <c r="R51" i="3"/>
  <c r="Q51" i="3"/>
  <c r="P51" i="3"/>
  <c r="O51" i="3"/>
  <c r="N51" i="3"/>
  <c r="M51" i="3"/>
  <c r="K51" i="3"/>
  <c r="J51" i="3"/>
  <c r="I51" i="3"/>
  <c r="H51" i="3"/>
  <c r="G51" i="3"/>
  <c r="F51" i="3"/>
  <c r="E51" i="3"/>
  <c r="D51" i="3"/>
  <c r="C51" i="3"/>
  <c r="B51" i="3"/>
  <c r="A51" i="3"/>
  <c r="AK50" i="3"/>
  <c r="AC50" i="3"/>
  <c r="AB50" i="3"/>
  <c r="AA50" i="3"/>
  <c r="Z50" i="3"/>
  <c r="Y50" i="3"/>
  <c r="X50" i="3"/>
  <c r="W50" i="3"/>
  <c r="V50" i="3"/>
  <c r="U50" i="3"/>
  <c r="T50" i="3"/>
  <c r="S50" i="3"/>
  <c r="R50" i="3"/>
  <c r="Q50" i="3"/>
  <c r="P50" i="3"/>
  <c r="O50" i="3"/>
  <c r="N50" i="3"/>
  <c r="M50" i="3"/>
  <c r="K50" i="3"/>
  <c r="J50" i="3"/>
  <c r="I50" i="3"/>
  <c r="H50" i="3"/>
  <c r="G50" i="3"/>
  <c r="F50" i="3"/>
  <c r="E50" i="3"/>
  <c r="D50" i="3"/>
  <c r="C50" i="3"/>
  <c r="B50" i="3"/>
  <c r="A50" i="3"/>
  <c r="AK49" i="3"/>
  <c r="AC49" i="3"/>
  <c r="AB49" i="3"/>
  <c r="AA49" i="3"/>
  <c r="Z49" i="3"/>
  <c r="Y49" i="3"/>
  <c r="X49" i="3"/>
  <c r="W49" i="3"/>
  <c r="V49" i="3"/>
  <c r="U49" i="3"/>
  <c r="T49" i="3"/>
  <c r="S49" i="3"/>
  <c r="R49" i="3"/>
  <c r="Q49" i="3"/>
  <c r="P49" i="3"/>
  <c r="O49" i="3"/>
  <c r="N49" i="3"/>
  <c r="M49" i="3"/>
  <c r="K49" i="3"/>
  <c r="I49" i="3"/>
  <c r="H49" i="3"/>
  <c r="G49" i="3"/>
  <c r="F49" i="3"/>
  <c r="E49" i="3"/>
  <c r="D49" i="3"/>
  <c r="C49" i="3"/>
  <c r="B49" i="3"/>
  <c r="A49" i="3"/>
  <c r="AK48" i="3"/>
  <c r="AC48" i="3"/>
  <c r="AB48" i="3"/>
  <c r="AA48" i="3"/>
  <c r="Z48" i="3"/>
  <c r="Y48" i="3"/>
  <c r="X48" i="3"/>
  <c r="W48" i="3"/>
  <c r="V48" i="3"/>
  <c r="U48" i="3"/>
  <c r="T48" i="3"/>
  <c r="S48" i="3"/>
  <c r="R48" i="3"/>
  <c r="Q48" i="3"/>
  <c r="P48" i="3"/>
  <c r="O48" i="3"/>
  <c r="N48" i="3"/>
  <c r="M48" i="3"/>
  <c r="K48" i="3"/>
  <c r="J48" i="3"/>
  <c r="I48" i="3"/>
  <c r="H48" i="3"/>
  <c r="G48" i="3"/>
  <c r="F48" i="3"/>
  <c r="E48" i="3"/>
  <c r="D48" i="3"/>
  <c r="C48" i="3"/>
  <c r="B48" i="3"/>
  <c r="A48" i="3"/>
  <c r="AK47" i="3"/>
  <c r="AC47" i="3"/>
  <c r="AB47" i="3"/>
  <c r="AA47" i="3"/>
  <c r="Z47" i="3"/>
  <c r="Y47" i="3"/>
  <c r="X47" i="3"/>
  <c r="W47" i="3"/>
  <c r="V47" i="3"/>
  <c r="U47" i="3"/>
  <c r="T47" i="3"/>
  <c r="S47" i="3"/>
  <c r="R47" i="3"/>
  <c r="Q47" i="3"/>
  <c r="P47" i="3"/>
  <c r="O47" i="3"/>
  <c r="N47" i="3"/>
  <c r="M47" i="3"/>
  <c r="K47" i="3"/>
  <c r="J47" i="3"/>
  <c r="I47" i="3"/>
  <c r="H47" i="3"/>
  <c r="G47" i="3"/>
  <c r="F47" i="3"/>
  <c r="E47" i="3"/>
  <c r="D47" i="3"/>
  <c r="C47" i="3"/>
  <c r="B47" i="3"/>
  <c r="A47" i="3"/>
  <c r="AK46" i="3"/>
  <c r="AC46" i="3"/>
  <c r="AB46" i="3"/>
  <c r="AA46" i="3"/>
  <c r="Z46" i="3"/>
  <c r="Y46" i="3"/>
  <c r="X46" i="3"/>
  <c r="W46" i="3"/>
  <c r="V46" i="3"/>
  <c r="U46" i="3"/>
  <c r="T46" i="3"/>
  <c r="S46" i="3"/>
  <c r="R46" i="3"/>
  <c r="Q46" i="3"/>
  <c r="P46" i="3"/>
  <c r="O46" i="3"/>
  <c r="N46" i="3"/>
  <c r="M46" i="3"/>
  <c r="K46" i="3"/>
  <c r="J46" i="3"/>
  <c r="I46" i="3"/>
  <c r="H46" i="3"/>
  <c r="G46" i="3"/>
  <c r="F46" i="3"/>
  <c r="E46" i="3"/>
  <c r="D46" i="3"/>
  <c r="C46" i="3"/>
  <c r="B46" i="3"/>
  <c r="A46" i="3"/>
  <c r="AK45" i="3"/>
  <c r="AC45" i="3"/>
  <c r="AB45" i="3"/>
  <c r="AA45" i="3"/>
  <c r="Z45" i="3"/>
  <c r="Y45" i="3"/>
  <c r="X45" i="3"/>
  <c r="W45" i="3"/>
  <c r="V45" i="3"/>
  <c r="U45" i="3"/>
  <c r="T45" i="3"/>
  <c r="S45" i="3"/>
  <c r="R45" i="3"/>
  <c r="Q45" i="3"/>
  <c r="P45" i="3"/>
  <c r="O45" i="3"/>
  <c r="N45" i="3"/>
  <c r="M45" i="3"/>
  <c r="K45" i="3"/>
  <c r="J45" i="3"/>
  <c r="I45" i="3"/>
  <c r="H45" i="3"/>
  <c r="G45" i="3"/>
  <c r="F45" i="3"/>
  <c r="D45" i="3"/>
  <c r="C45" i="3"/>
  <c r="B45" i="3"/>
  <c r="A45" i="3"/>
  <c r="AK44" i="3"/>
  <c r="AC44" i="3"/>
  <c r="AB44" i="3"/>
  <c r="AA44" i="3"/>
  <c r="Z44" i="3"/>
  <c r="Y44" i="3"/>
  <c r="X44" i="3"/>
  <c r="W44" i="3"/>
  <c r="V44" i="3"/>
  <c r="U44" i="3"/>
  <c r="T44" i="3"/>
  <c r="S44" i="3"/>
  <c r="R44" i="3"/>
  <c r="Q44" i="3"/>
  <c r="P44" i="3"/>
  <c r="O44" i="3"/>
  <c r="N44" i="3"/>
  <c r="M44" i="3"/>
  <c r="K44" i="3"/>
  <c r="J44" i="3"/>
  <c r="I44" i="3"/>
  <c r="H44" i="3"/>
  <c r="G44" i="3"/>
  <c r="E44" i="3"/>
  <c r="D44" i="3"/>
  <c r="C44" i="3"/>
  <c r="B44" i="3"/>
  <c r="A44" i="3"/>
  <c r="AK43" i="3"/>
  <c r="AC43" i="3"/>
  <c r="AB43" i="3"/>
  <c r="AA43" i="3"/>
  <c r="Z43" i="3"/>
  <c r="Y43" i="3"/>
  <c r="X43" i="3"/>
  <c r="W43" i="3"/>
  <c r="V43" i="3"/>
  <c r="U43" i="3"/>
  <c r="T43" i="3"/>
  <c r="S43" i="3"/>
  <c r="R43" i="3"/>
  <c r="Q43" i="3"/>
  <c r="P43" i="3"/>
  <c r="O43" i="3"/>
  <c r="N43" i="3"/>
  <c r="M43" i="3"/>
  <c r="K43" i="3"/>
  <c r="J43" i="3"/>
  <c r="I43" i="3"/>
  <c r="H43" i="3"/>
  <c r="G43" i="3"/>
  <c r="E43" i="3"/>
  <c r="D43" i="3"/>
  <c r="C43" i="3"/>
  <c r="B43" i="3"/>
  <c r="A43" i="3"/>
  <c r="AK42" i="3"/>
  <c r="AE42" i="3"/>
  <c r="AD42" i="3"/>
  <c r="AC42" i="3"/>
  <c r="AB42" i="3"/>
  <c r="AA42" i="3"/>
  <c r="Z42" i="3"/>
  <c r="Y42" i="3"/>
  <c r="X42" i="3"/>
  <c r="W42" i="3"/>
  <c r="V42" i="3"/>
  <c r="U42" i="3"/>
  <c r="T42" i="3"/>
  <c r="S42" i="3"/>
  <c r="R42" i="3"/>
  <c r="Q42" i="3"/>
  <c r="P42" i="3"/>
  <c r="O42" i="3"/>
  <c r="N42" i="3"/>
  <c r="M42" i="3"/>
  <c r="K42" i="3"/>
  <c r="J42" i="3"/>
  <c r="I42" i="3"/>
  <c r="H42" i="3"/>
  <c r="G42" i="3"/>
  <c r="E42" i="3"/>
  <c r="D42" i="3"/>
  <c r="C42" i="3"/>
  <c r="B42" i="3"/>
  <c r="A42" i="3"/>
  <c r="AK41" i="3"/>
  <c r="AC41" i="3"/>
  <c r="AB41" i="3"/>
  <c r="AA41" i="3"/>
  <c r="Z41" i="3"/>
  <c r="Y41" i="3"/>
  <c r="X41" i="3"/>
  <c r="W41" i="3"/>
  <c r="V41" i="3"/>
  <c r="U41" i="3"/>
  <c r="T41" i="3"/>
  <c r="S41" i="3"/>
  <c r="R41" i="3"/>
  <c r="Q41" i="3"/>
  <c r="P41" i="3"/>
  <c r="N41" i="3"/>
  <c r="M41" i="3"/>
  <c r="K41" i="3"/>
  <c r="J41" i="3"/>
  <c r="I41" i="3"/>
  <c r="H41" i="3"/>
  <c r="G41" i="3"/>
  <c r="E41" i="3"/>
  <c r="D41" i="3"/>
  <c r="C41" i="3"/>
  <c r="B41" i="3"/>
  <c r="A41" i="3"/>
  <c r="AE40" i="3"/>
  <c r="AD40" i="3"/>
  <c r="AC40" i="3"/>
  <c r="AB40" i="3"/>
  <c r="AA40" i="3"/>
  <c r="Z40" i="3"/>
  <c r="Y40" i="3"/>
  <c r="X40" i="3"/>
  <c r="W40" i="3"/>
  <c r="V40" i="3"/>
  <c r="U40" i="3"/>
  <c r="T40" i="3"/>
  <c r="S40" i="3"/>
  <c r="R40" i="3"/>
  <c r="Q40" i="3"/>
  <c r="P40" i="3"/>
  <c r="O40" i="3"/>
  <c r="N40" i="3"/>
  <c r="M40" i="3"/>
  <c r="K40" i="3"/>
  <c r="J40" i="3"/>
  <c r="I40" i="3"/>
  <c r="H40" i="3"/>
  <c r="G40" i="3"/>
  <c r="E40" i="3"/>
  <c r="D40" i="3"/>
  <c r="C40" i="3"/>
  <c r="B40" i="3"/>
  <c r="A40" i="3"/>
  <c r="AK39" i="3"/>
  <c r="AC39" i="3"/>
  <c r="AB39" i="3"/>
  <c r="AA39" i="3"/>
  <c r="Z39" i="3"/>
  <c r="Y39" i="3"/>
  <c r="X39" i="3"/>
  <c r="W39" i="3"/>
  <c r="V39" i="3"/>
  <c r="U39" i="3"/>
  <c r="T39" i="3"/>
  <c r="S39" i="3"/>
  <c r="R39" i="3"/>
  <c r="Q39" i="3"/>
  <c r="P39" i="3"/>
  <c r="N39" i="3"/>
  <c r="M39" i="3"/>
  <c r="K39" i="3"/>
  <c r="J39" i="3"/>
  <c r="I39" i="3"/>
  <c r="H39" i="3"/>
  <c r="G39" i="3"/>
  <c r="E39" i="3"/>
  <c r="D39" i="3"/>
  <c r="C39" i="3"/>
  <c r="B39" i="3"/>
  <c r="A39" i="3"/>
  <c r="AK38" i="3"/>
  <c r="AC38" i="3"/>
  <c r="AB38" i="3"/>
  <c r="AA38" i="3"/>
  <c r="Z38" i="3"/>
  <c r="Y38" i="3"/>
  <c r="X38" i="3"/>
  <c r="W38" i="3"/>
  <c r="V38" i="3"/>
  <c r="U38" i="3"/>
  <c r="T38" i="3"/>
  <c r="S38" i="3"/>
  <c r="R38" i="3"/>
  <c r="Q38" i="3"/>
  <c r="P38" i="3"/>
  <c r="O38" i="3"/>
  <c r="N38" i="3"/>
  <c r="M38" i="3"/>
  <c r="K38" i="3"/>
  <c r="J38" i="3"/>
  <c r="I38" i="3"/>
  <c r="H38" i="3"/>
  <c r="G38" i="3"/>
  <c r="E38" i="3"/>
  <c r="D38" i="3"/>
  <c r="C38" i="3"/>
  <c r="B38" i="3"/>
  <c r="A38" i="3"/>
  <c r="AK37" i="3"/>
  <c r="AC37" i="3"/>
  <c r="AB37" i="3"/>
  <c r="AA37" i="3"/>
  <c r="Z37" i="3"/>
  <c r="Y37" i="3"/>
  <c r="X37" i="3"/>
  <c r="W37" i="3"/>
  <c r="V37" i="3"/>
  <c r="U37" i="3"/>
  <c r="T37" i="3"/>
  <c r="S37" i="3"/>
  <c r="R37" i="3"/>
  <c r="Q37" i="3"/>
  <c r="P37" i="3"/>
  <c r="O37" i="3"/>
  <c r="N37" i="3"/>
  <c r="M37" i="3"/>
  <c r="K37" i="3"/>
  <c r="J37" i="3"/>
  <c r="I37" i="3"/>
  <c r="H37" i="3"/>
  <c r="G37" i="3"/>
  <c r="E37" i="3"/>
  <c r="D37" i="3"/>
  <c r="C37" i="3"/>
  <c r="B37" i="3"/>
  <c r="A37" i="3"/>
  <c r="AK36" i="3"/>
  <c r="AC36" i="3"/>
  <c r="AB36" i="3"/>
  <c r="AA36" i="3"/>
  <c r="Z36" i="3"/>
  <c r="Y36" i="3"/>
  <c r="X36" i="3"/>
  <c r="W36" i="3"/>
  <c r="V36" i="3"/>
  <c r="U36" i="3"/>
  <c r="T36" i="3"/>
  <c r="S36" i="3"/>
  <c r="R36" i="3"/>
  <c r="Q36" i="3"/>
  <c r="P36" i="3"/>
  <c r="O36" i="3"/>
  <c r="N36" i="3"/>
  <c r="M36" i="3"/>
  <c r="K36" i="3"/>
  <c r="J36" i="3"/>
  <c r="I36" i="3"/>
  <c r="H36" i="3"/>
  <c r="G36" i="3"/>
  <c r="E36" i="3"/>
  <c r="D36" i="3"/>
  <c r="C36" i="3"/>
  <c r="B36" i="3"/>
  <c r="A36" i="3"/>
  <c r="AK35" i="3"/>
  <c r="AE35" i="3"/>
  <c r="AD35" i="3"/>
  <c r="AC35" i="3"/>
  <c r="AB35" i="3"/>
  <c r="AA35" i="3"/>
  <c r="Z35" i="3"/>
  <c r="Y35" i="3"/>
  <c r="X35" i="3"/>
  <c r="W35" i="3"/>
  <c r="V35" i="3"/>
  <c r="U35" i="3"/>
  <c r="T35" i="3"/>
  <c r="S35" i="3"/>
  <c r="R35" i="3"/>
  <c r="Q35" i="3"/>
  <c r="P35" i="3"/>
  <c r="O35" i="3"/>
  <c r="N35" i="3"/>
  <c r="M35" i="3"/>
  <c r="K35" i="3"/>
  <c r="J35" i="3"/>
  <c r="I35" i="3"/>
  <c r="H35" i="3"/>
  <c r="G35" i="3"/>
  <c r="E35" i="3"/>
  <c r="D35" i="3"/>
  <c r="C35" i="3"/>
  <c r="B35" i="3"/>
  <c r="A35" i="3"/>
  <c r="AK34" i="3"/>
  <c r="AC34" i="3"/>
  <c r="AB34" i="3"/>
  <c r="AA34" i="3"/>
  <c r="Z34" i="3"/>
  <c r="Y34" i="3"/>
  <c r="X34" i="3"/>
  <c r="W34" i="3"/>
  <c r="V34" i="3"/>
  <c r="U34" i="3"/>
  <c r="T34" i="3"/>
  <c r="S34" i="3"/>
  <c r="R34" i="3"/>
  <c r="Q34" i="3"/>
  <c r="P34" i="3"/>
  <c r="O34" i="3"/>
  <c r="N34" i="3"/>
  <c r="M34" i="3"/>
  <c r="K34" i="3"/>
  <c r="J34" i="3"/>
  <c r="I34" i="3"/>
  <c r="H34" i="3"/>
  <c r="G34" i="3"/>
  <c r="E34" i="3"/>
  <c r="D34" i="3"/>
  <c r="C34" i="3"/>
  <c r="B34" i="3"/>
  <c r="A34" i="3"/>
  <c r="AK33" i="3"/>
  <c r="AC33" i="3"/>
  <c r="AB33" i="3"/>
  <c r="AA33" i="3"/>
  <c r="Z33" i="3"/>
  <c r="Y33" i="3"/>
  <c r="X33" i="3"/>
  <c r="W33" i="3"/>
  <c r="V33" i="3"/>
  <c r="U33" i="3"/>
  <c r="T33" i="3"/>
  <c r="S33" i="3"/>
  <c r="R33" i="3"/>
  <c r="Q33" i="3"/>
  <c r="P33" i="3"/>
  <c r="N33" i="3"/>
  <c r="M33" i="3"/>
  <c r="K33" i="3"/>
  <c r="J33" i="3"/>
  <c r="I33" i="3"/>
  <c r="H33" i="3"/>
  <c r="G33" i="3"/>
  <c r="E33" i="3"/>
  <c r="D33" i="3"/>
  <c r="C33" i="3"/>
  <c r="B33" i="3"/>
  <c r="A33" i="3"/>
  <c r="AK32" i="3"/>
  <c r="AC32" i="3"/>
  <c r="AB32" i="3"/>
  <c r="AA32" i="3"/>
  <c r="Z32" i="3"/>
  <c r="Y32" i="3"/>
  <c r="X32" i="3"/>
  <c r="W32" i="3"/>
  <c r="V32" i="3"/>
  <c r="U32" i="3"/>
  <c r="T32" i="3"/>
  <c r="S32" i="3"/>
  <c r="R32" i="3"/>
  <c r="Q32" i="3"/>
  <c r="P32" i="3"/>
  <c r="O32" i="3"/>
  <c r="N32" i="3"/>
  <c r="M32" i="3"/>
  <c r="K32" i="3"/>
  <c r="J32" i="3"/>
  <c r="I32" i="3"/>
  <c r="H32" i="3"/>
  <c r="G32" i="3"/>
  <c r="E32" i="3"/>
  <c r="D32" i="3"/>
  <c r="C32" i="3"/>
  <c r="B32" i="3"/>
  <c r="A32" i="3"/>
  <c r="AK31" i="3"/>
  <c r="AC31" i="3"/>
  <c r="AB31" i="3"/>
  <c r="AA31" i="3"/>
  <c r="Z31" i="3"/>
  <c r="Y31" i="3"/>
  <c r="X31" i="3"/>
  <c r="W31" i="3"/>
  <c r="V31" i="3"/>
  <c r="U31" i="3"/>
  <c r="T31" i="3"/>
  <c r="S31" i="3"/>
  <c r="R31" i="3"/>
  <c r="Q31" i="3"/>
  <c r="P31" i="3"/>
  <c r="O31" i="3"/>
  <c r="N31" i="3"/>
  <c r="M31" i="3"/>
  <c r="K31" i="3"/>
  <c r="J31" i="3"/>
  <c r="I31" i="3"/>
  <c r="H31" i="3"/>
  <c r="G31" i="3"/>
  <c r="E31" i="3"/>
  <c r="D31" i="3"/>
  <c r="C31" i="3"/>
  <c r="B31" i="3"/>
  <c r="A31" i="3"/>
  <c r="AK30" i="3"/>
  <c r="AC30" i="3"/>
  <c r="AB30" i="3"/>
  <c r="AA30" i="3"/>
  <c r="Z30" i="3"/>
  <c r="Y30" i="3"/>
  <c r="X30" i="3"/>
  <c r="W30" i="3"/>
  <c r="V30" i="3"/>
  <c r="U30" i="3"/>
  <c r="T30" i="3"/>
  <c r="S30" i="3"/>
  <c r="R30" i="3"/>
  <c r="Q30" i="3"/>
  <c r="P30" i="3"/>
  <c r="O30" i="3"/>
  <c r="N30" i="3"/>
  <c r="M30" i="3"/>
  <c r="K30" i="3"/>
  <c r="J30" i="3"/>
  <c r="I30" i="3"/>
  <c r="H30" i="3"/>
  <c r="G30" i="3"/>
  <c r="E30" i="3"/>
  <c r="D30" i="3"/>
  <c r="C30" i="3"/>
  <c r="B30" i="3"/>
  <c r="A30" i="3"/>
  <c r="AK29" i="3"/>
  <c r="AC29" i="3"/>
  <c r="AB29" i="3"/>
  <c r="AA29" i="3"/>
  <c r="Z29" i="3"/>
  <c r="Y29" i="3"/>
  <c r="X29" i="3"/>
  <c r="W29" i="3"/>
  <c r="V29" i="3"/>
  <c r="U29" i="3"/>
  <c r="T29" i="3"/>
  <c r="S29" i="3"/>
  <c r="R29" i="3"/>
  <c r="Q29" i="3"/>
  <c r="P29" i="3"/>
  <c r="O29" i="3"/>
  <c r="N29" i="3"/>
  <c r="M29" i="3"/>
  <c r="K29" i="3"/>
  <c r="J29" i="3"/>
  <c r="I29" i="3"/>
  <c r="H29" i="3"/>
  <c r="G29" i="3"/>
  <c r="D29" i="3"/>
  <c r="C29" i="3"/>
  <c r="B29" i="3"/>
  <c r="A29" i="3"/>
  <c r="AK28" i="3"/>
  <c r="AD28" i="3"/>
  <c r="AC28" i="3"/>
  <c r="AB28" i="3"/>
  <c r="AA28" i="3"/>
  <c r="Z28" i="3"/>
  <c r="Y28" i="3"/>
  <c r="X28" i="3"/>
  <c r="W28" i="3"/>
  <c r="V28" i="3"/>
  <c r="U28" i="3"/>
  <c r="T28" i="3"/>
  <c r="S28" i="3"/>
  <c r="R28" i="3"/>
  <c r="Q28" i="3"/>
  <c r="P28" i="3"/>
  <c r="O28" i="3"/>
  <c r="N28" i="3"/>
  <c r="M28" i="3"/>
  <c r="K28" i="3"/>
  <c r="J28" i="3"/>
  <c r="I28" i="3"/>
  <c r="H28" i="3"/>
  <c r="G28" i="3"/>
  <c r="E28" i="3"/>
  <c r="D28" i="3"/>
  <c r="C28" i="3"/>
  <c r="B28" i="3"/>
  <c r="A28" i="3"/>
  <c r="AK27" i="3"/>
  <c r="AE27" i="3"/>
  <c r="AD27" i="3"/>
  <c r="AC27" i="3"/>
  <c r="AB27" i="3"/>
  <c r="AA27" i="3"/>
  <c r="Z27" i="3"/>
  <c r="Y27" i="3"/>
  <c r="X27" i="3"/>
  <c r="W27" i="3"/>
  <c r="V27" i="3"/>
  <c r="U27" i="3"/>
  <c r="T27" i="3"/>
  <c r="S27" i="3"/>
  <c r="R27" i="3"/>
  <c r="Q27" i="3"/>
  <c r="P27" i="3"/>
  <c r="O27" i="3"/>
  <c r="N27" i="3"/>
  <c r="M27" i="3"/>
  <c r="K27" i="3"/>
  <c r="J27" i="3"/>
  <c r="I27" i="3"/>
  <c r="H27" i="3"/>
  <c r="G27" i="3"/>
  <c r="E27" i="3"/>
  <c r="D27" i="3"/>
  <c r="C27" i="3"/>
  <c r="B27" i="3"/>
  <c r="A27" i="3"/>
  <c r="AE26" i="3"/>
  <c r="AD26" i="3"/>
  <c r="P26" i="3"/>
  <c r="O26" i="3"/>
  <c r="N26" i="3"/>
  <c r="M26" i="3"/>
  <c r="K26" i="3"/>
  <c r="J26" i="3"/>
  <c r="I26" i="3"/>
  <c r="H26" i="3"/>
  <c r="G26" i="3"/>
  <c r="E26" i="3"/>
  <c r="D26" i="3"/>
  <c r="C26" i="3"/>
  <c r="B26" i="3"/>
  <c r="A26" i="3"/>
  <c r="AD25" i="3"/>
  <c r="P25" i="3"/>
  <c r="O25" i="3"/>
  <c r="N25" i="3"/>
  <c r="M25" i="3"/>
  <c r="L25" i="3"/>
  <c r="K25" i="3"/>
  <c r="J25" i="3"/>
  <c r="I25" i="3"/>
  <c r="H25" i="3"/>
  <c r="G25" i="3"/>
  <c r="E25" i="3"/>
  <c r="D25" i="3"/>
  <c r="C25" i="3"/>
  <c r="B25" i="3"/>
  <c r="A25" i="3"/>
  <c r="AE24" i="3"/>
  <c r="AD24" i="3"/>
  <c r="P24" i="3"/>
  <c r="O24" i="3"/>
  <c r="N24" i="3"/>
  <c r="M24" i="3"/>
  <c r="K24" i="3"/>
  <c r="J24" i="3"/>
  <c r="I24" i="3"/>
  <c r="H24" i="3"/>
  <c r="G24" i="3"/>
  <c r="E24" i="3"/>
  <c r="D24" i="3"/>
  <c r="C24" i="3"/>
  <c r="B24" i="3"/>
  <c r="A24" i="3"/>
  <c r="AE23" i="3"/>
  <c r="AD23" i="3"/>
  <c r="P23" i="3"/>
  <c r="O23" i="3"/>
  <c r="N23" i="3"/>
  <c r="M23" i="3"/>
  <c r="K23" i="3"/>
  <c r="J23" i="3"/>
  <c r="I23" i="3"/>
  <c r="H23" i="3"/>
  <c r="G23" i="3"/>
  <c r="E23" i="3"/>
  <c r="D23" i="3"/>
  <c r="C23" i="3"/>
  <c r="B23" i="3"/>
  <c r="A23" i="3"/>
  <c r="AE22" i="3"/>
  <c r="AD22" i="3"/>
  <c r="P22" i="3"/>
  <c r="O22" i="3"/>
  <c r="N22" i="3"/>
  <c r="M22" i="3"/>
  <c r="K22" i="3"/>
  <c r="J22" i="3"/>
  <c r="I22" i="3"/>
  <c r="H22" i="3"/>
  <c r="G22" i="3"/>
  <c r="E22" i="3"/>
  <c r="D22" i="3"/>
  <c r="C22" i="3"/>
  <c r="B22" i="3"/>
  <c r="A22" i="3"/>
  <c r="P21" i="3"/>
  <c r="O21" i="3"/>
  <c r="N21" i="3"/>
  <c r="M21" i="3"/>
  <c r="K21" i="3"/>
  <c r="J21" i="3"/>
  <c r="I21" i="3"/>
  <c r="G21" i="3"/>
  <c r="D21" i="3"/>
  <c r="C21" i="3"/>
  <c r="B21" i="3"/>
  <c r="A21" i="3"/>
  <c r="P20" i="3"/>
  <c r="O20" i="3"/>
  <c r="N20" i="3"/>
  <c r="M20" i="3"/>
  <c r="K20" i="3"/>
  <c r="J20" i="3"/>
  <c r="I20" i="3"/>
  <c r="G20" i="3"/>
  <c r="D20" i="3"/>
  <c r="C20" i="3"/>
  <c r="B20" i="3"/>
  <c r="A20" i="3"/>
  <c r="P19" i="3"/>
  <c r="O19" i="3"/>
  <c r="N19" i="3"/>
  <c r="M19" i="3"/>
  <c r="K19" i="3"/>
  <c r="J19" i="3"/>
  <c r="I19" i="3"/>
  <c r="H19" i="3"/>
  <c r="G19" i="3"/>
  <c r="E19" i="3"/>
  <c r="D19" i="3"/>
  <c r="C19" i="3"/>
  <c r="B19" i="3"/>
  <c r="A19" i="3"/>
  <c r="O18" i="3"/>
  <c r="N18" i="3"/>
  <c r="M18" i="3"/>
  <c r="K18" i="3"/>
  <c r="J18" i="3"/>
  <c r="I18" i="3"/>
  <c r="H18" i="3"/>
  <c r="G18" i="3"/>
  <c r="E18" i="3"/>
  <c r="D18" i="3"/>
  <c r="C18" i="3"/>
  <c r="B18" i="3"/>
  <c r="A18" i="3"/>
  <c r="P17" i="3"/>
  <c r="O17" i="3"/>
  <c r="N17" i="3"/>
  <c r="M17" i="3"/>
  <c r="K17" i="3"/>
  <c r="J17" i="3"/>
  <c r="I17" i="3"/>
  <c r="H17" i="3"/>
  <c r="G17" i="3"/>
  <c r="E17" i="3"/>
  <c r="D17" i="3"/>
  <c r="C17" i="3"/>
  <c r="B17" i="3"/>
  <c r="A17" i="3"/>
  <c r="P16" i="3"/>
  <c r="O16" i="3"/>
  <c r="N16" i="3"/>
  <c r="M16" i="3"/>
  <c r="K16" i="3"/>
  <c r="J16" i="3"/>
  <c r="I16" i="3"/>
  <c r="H16" i="3"/>
  <c r="G16" i="3"/>
  <c r="E16" i="3"/>
  <c r="D16" i="3"/>
  <c r="C16" i="3"/>
  <c r="B16" i="3"/>
  <c r="A16" i="3"/>
  <c r="P15" i="3"/>
  <c r="O15" i="3"/>
  <c r="N15" i="3"/>
  <c r="K15" i="3"/>
  <c r="J15" i="3"/>
  <c r="I15" i="3"/>
  <c r="H15" i="3"/>
  <c r="G15" i="3"/>
  <c r="E15" i="3"/>
  <c r="D15" i="3"/>
  <c r="C15" i="3"/>
  <c r="B15" i="3"/>
  <c r="A15" i="3"/>
  <c r="P14" i="3"/>
  <c r="O14" i="3"/>
  <c r="N14" i="3"/>
  <c r="M14" i="3"/>
  <c r="K14" i="3"/>
  <c r="J14" i="3"/>
  <c r="I14" i="3"/>
  <c r="H14" i="3"/>
  <c r="G14" i="3"/>
  <c r="E14" i="3"/>
  <c r="D14" i="3"/>
  <c r="C14" i="3"/>
  <c r="B14" i="3"/>
  <c r="A14" i="3"/>
  <c r="P13" i="3"/>
  <c r="O13" i="3"/>
  <c r="N13" i="3"/>
  <c r="M13" i="3"/>
  <c r="J13" i="3"/>
  <c r="I13" i="3"/>
  <c r="H13" i="3"/>
  <c r="G13" i="3"/>
  <c r="E13" i="3"/>
  <c r="D13" i="3"/>
  <c r="C13" i="3"/>
  <c r="B13" i="3"/>
  <c r="A13" i="3"/>
  <c r="P12" i="3"/>
  <c r="O12" i="3"/>
  <c r="N12" i="3"/>
  <c r="M12" i="3"/>
  <c r="K12" i="3"/>
  <c r="J12" i="3"/>
  <c r="I12" i="3"/>
  <c r="H12" i="3"/>
  <c r="G12" i="3"/>
  <c r="E12" i="3"/>
  <c r="D12" i="3"/>
  <c r="C12" i="3"/>
  <c r="B12" i="3"/>
  <c r="A12" i="3"/>
  <c r="P11" i="3"/>
  <c r="O11" i="3"/>
  <c r="N11" i="3"/>
  <c r="M11" i="3"/>
  <c r="K11" i="3"/>
  <c r="J11" i="3"/>
  <c r="I11" i="3"/>
  <c r="H11" i="3"/>
  <c r="G11" i="3"/>
  <c r="E11" i="3"/>
  <c r="D11" i="3"/>
  <c r="C11" i="3"/>
  <c r="B11" i="3"/>
  <c r="A11" i="3"/>
  <c r="P10" i="3"/>
  <c r="O10" i="3"/>
  <c r="N10" i="3"/>
  <c r="M10" i="3"/>
  <c r="K10" i="3"/>
  <c r="J10" i="3"/>
  <c r="I10" i="3"/>
  <c r="H10" i="3"/>
  <c r="G10" i="3"/>
  <c r="E10" i="3"/>
  <c r="D10" i="3"/>
  <c r="C10" i="3"/>
  <c r="B10" i="3"/>
  <c r="A10" i="3"/>
  <c r="P9" i="3"/>
  <c r="O9" i="3"/>
  <c r="N9" i="3"/>
  <c r="M9" i="3"/>
  <c r="K9" i="3"/>
  <c r="J9" i="3"/>
  <c r="I9" i="3"/>
  <c r="H9" i="3"/>
  <c r="G9" i="3"/>
  <c r="E9" i="3"/>
  <c r="D9" i="3"/>
  <c r="C9" i="3"/>
  <c r="B9" i="3"/>
  <c r="A9" i="3"/>
  <c r="P8" i="3"/>
  <c r="O8" i="3"/>
  <c r="N8" i="3"/>
  <c r="M8" i="3"/>
  <c r="K8" i="3"/>
  <c r="J8" i="3"/>
  <c r="I8" i="3"/>
  <c r="H8" i="3"/>
  <c r="G8" i="3"/>
  <c r="E8" i="3"/>
  <c r="D8" i="3"/>
  <c r="C8" i="3"/>
  <c r="B8" i="3"/>
  <c r="A8" i="3"/>
  <c r="P7" i="3"/>
  <c r="O7" i="3"/>
  <c r="N7" i="3"/>
  <c r="M7" i="3"/>
  <c r="K7" i="3"/>
  <c r="J7" i="3"/>
  <c r="I7" i="3"/>
  <c r="H7" i="3"/>
  <c r="G7" i="3"/>
  <c r="E7" i="3"/>
  <c r="D7" i="3"/>
  <c r="C7" i="3"/>
  <c r="B7" i="3"/>
  <c r="A7" i="3"/>
  <c r="P6" i="3"/>
  <c r="O6" i="3"/>
  <c r="N6" i="3"/>
  <c r="M6" i="3"/>
  <c r="K6" i="3"/>
  <c r="J6" i="3"/>
  <c r="I6" i="3"/>
  <c r="H6" i="3"/>
  <c r="G6" i="3"/>
  <c r="E6" i="3"/>
  <c r="D6" i="3"/>
  <c r="C6" i="3"/>
  <c r="B6" i="3"/>
  <c r="A6" i="3"/>
  <c r="P5" i="3"/>
  <c r="O5" i="3"/>
  <c r="N5" i="3"/>
  <c r="M5" i="3"/>
  <c r="K5" i="3"/>
  <c r="J5" i="3"/>
  <c r="I5" i="3"/>
  <c r="H5" i="3"/>
  <c r="G5" i="3"/>
  <c r="E5" i="3"/>
  <c r="D5" i="3"/>
  <c r="C5" i="3"/>
  <c r="B5" i="3"/>
  <c r="A5" i="3"/>
  <c r="P4" i="3"/>
  <c r="O4" i="3"/>
  <c r="N4" i="3"/>
  <c r="M4" i="3"/>
  <c r="K4" i="3"/>
  <c r="J4" i="3"/>
  <c r="I4" i="3"/>
  <c r="H4" i="3"/>
  <c r="G4" i="3"/>
  <c r="E4" i="3"/>
  <c r="D4" i="3"/>
  <c r="C4" i="3"/>
  <c r="B4" i="3"/>
  <c r="A4" i="3"/>
  <c r="P3" i="3"/>
  <c r="O3" i="3"/>
  <c r="N3" i="3"/>
  <c r="M3" i="3"/>
  <c r="K3" i="3"/>
  <c r="J3" i="3"/>
  <c r="I3" i="3"/>
  <c r="H3" i="3"/>
  <c r="G3" i="3"/>
  <c r="E3" i="3"/>
  <c r="D3" i="3"/>
  <c r="C3" i="3"/>
  <c r="B3" i="3"/>
  <c r="A3" i="3"/>
  <c r="AF2" i="3" a="1"/>
  <c r="AF1180" i="3" s="1"/>
  <c r="P2" i="3"/>
  <c r="O2" i="3"/>
  <c r="N2" i="3"/>
  <c r="M2" i="3"/>
  <c r="K2" i="3"/>
  <c r="J2" i="3"/>
  <c r="I2" i="3"/>
  <c r="H2" i="3"/>
  <c r="G2" i="3"/>
  <c r="E2" i="3"/>
  <c r="D2" i="3"/>
  <c r="C2" i="3"/>
  <c r="B2" i="3"/>
  <c r="A2"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1" i="3"/>
  <c r="AK1101" i="1"/>
  <c r="P1101" i="1"/>
  <c r="O1101" i="1"/>
  <c r="N1101" i="1"/>
  <c r="M1101" i="1"/>
  <c r="K1101" i="1"/>
  <c r="J1101" i="1"/>
  <c r="I1101" i="1"/>
  <c r="H1101" i="1"/>
  <c r="G1101" i="1"/>
  <c r="F1101" i="1"/>
  <c r="E1101" i="1"/>
  <c r="D1101" i="1"/>
  <c r="C1101" i="1"/>
  <c r="B1101" i="1"/>
  <c r="A1101" i="1"/>
  <c r="AK1100" i="1"/>
  <c r="P1100" i="1"/>
  <c r="O1100" i="1"/>
  <c r="N1100" i="1"/>
  <c r="M1100" i="1"/>
  <c r="K1100" i="1"/>
  <c r="J1100" i="1"/>
  <c r="I1100" i="1"/>
  <c r="H1100" i="1"/>
  <c r="G1100" i="1"/>
  <c r="F1100" i="1"/>
  <c r="E1100" i="1"/>
  <c r="D1100" i="1"/>
  <c r="C1100" i="1"/>
  <c r="B1100" i="1"/>
  <c r="A1100" i="1"/>
  <c r="AK1099" i="1"/>
  <c r="P1099" i="1"/>
  <c r="O1099" i="1"/>
  <c r="N1099" i="1"/>
  <c r="M1099" i="1"/>
  <c r="K1099" i="1"/>
  <c r="J1099" i="1"/>
  <c r="I1099" i="1"/>
  <c r="H1099" i="1"/>
  <c r="G1099" i="1"/>
  <c r="F1099" i="1"/>
  <c r="E1099" i="1"/>
  <c r="D1099" i="1"/>
  <c r="C1099" i="1"/>
  <c r="B1099" i="1"/>
  <c r="A1099" i="1"/>
  <c r="AK1098" i="1"/>
  <c r="P1098" i="1"/>
  <c r="O1098" i="1"/>
  <c r="N1098" i="1"/>
  <c r="M1098" i="1"/>
  <c r="K1098" i="1"/>
  <c r="J1098" i="1"/>
  <c r="I1098" i="1"/>
  <c r="H1098" i="1"/>
  <c r="G1098" i="1"/>
  <c r="F1098" i="1"/>
  <c r="E1098" i="1"/>
  <c r="D1098" i="1"/>
  <c r="C1098" i="1"/>
  <c r="B1098" i="1"/>
  <c r="A1098" i="1"/>
  <c r="AK1097" i="1"/>
  <c r="P1097" i="1"/>
  <c r="O1097" i="1"/>
  <c r="N1097" i="1"/>
  <c r="M1097" i="1"/>
  <c r="K1097" i="1"/>
  <c r="J1097" i="1"/>
  <c r="I1097" i="1"/>
  <c r="H1097" i="1"/>
  <c r="G1097" i="1"/>
  <c r="F1097" i="1"/>
  <c r="E1097" i="1"/>
  <c r="D1097" i="1"/>
  <c r="C1097" i="1"/>
  <c r="B1097" i="1"/>
  <c r="A1097" i="1"/>
  <c r="AK1096" i="1"/>
  <c r="P1096" i="1"/>
  <c r="O1096" i="1"/>
  <c r="N1096" i="1"/>
  <c r="M1096" i="1"/>
  <c r="K1096" i="1"/>
  <c r="J1096" i="1"/>
  <c r="I1096" i="1"/>
  <c r="H1096" i="1"/>
  <c r="G1096" i="1"/>
  <c r="F1096" i="1"/>
  <c r="E1096" i="1"/>
  <c r="D1096" i="1"/>
  <c r="C1096" i="1"/>
  <c r="B1096" i="1"/>
  <c r="A1096" i="1"/>
  <c r="AK1095" i="1"/>
  <c r="P1095" i="1"/>
  <c r="O1095" i="1"/>
  <c r="N1095" i="1"/>
  <c r="M1095" i="1"/>
  <c r="K1095" i="1"/>
  <c r="J1095" i="1"/>
  <c r="I1095" i="1"/>
  <c r="H1095" i="1"/>
  <c r="G1095" i="1"/>
  <c r="F1095" i="1"/>
  <c r="E1095" i="1"/>
  <c r="D1095" i="1"/>
  <c r="C1095" i="1"/>
  <c r="B1095" i="1"/>
  <c r="A1095" i="1"/>
  <c r="AK1094" i="1"/>
  <c r="P1094" i="1"/>
  <c r="O1094" i="1"/>
  <c r="N1094" i="1"/>
  <c r="M1094" i="1"/>
  <c r="K1094" i="1"/>
  <c r="I1094" i="1"/>
  <c r="H1094" i="1"/>
  <c r="G1094" i="1"/>
  <c r="F1094" i="1"/>
  <c r="E1094" i="1"/>
  <c r="D1094" i="1"/>
  <c r="C1094" i="1"/>
  <c r="B1094" i="1"/>
  <c r="A1094" i="1"/>
  <c r="AK1093" i="1"/>
  <c r="P1093" i="1"/>
  <c r="O1093" i="1"/>
  <c r="N1093" i="1"/>
  <c r="M1093" i="1"/>
  <c r="K1093" i="1"/>
  <c r="I1093" i="1"/>
  <c r="H1093" i="1"/>
  <c r="F1093" i="1"/>
  <c r="E1093" i="1"/>
  <c r="D1093" i="1"/>
  <c r="C1093" i="1"/>
  <c r="B1093" i="1"/>
  <c r="A1093" i="1"/>
  <c r="AK1092" i="1"/>
  <c r="P1092" i="1"/>
  <c r="O1092" i="1"/>
  <c r="N1092" i="1"/>
  <c r="M1092" i="1"/>
  <c r="K1092" i="1"/>
  <c r="I1092" i="1"/>
  <c r="H1092" i="1"/>
  <c r="G1092" i="1"/>
  <c r="F1092" i="1"/>
  <c r="E1092" i="1"/>
  <c r="D1092" i="1"/>
  <c r="C1092" i="1"/>
  <c r="B1092" i="1"/>
  <c r="A1092" i="1"/>
  <c r="AK1091" i="1"/>
  <c r="P1091" i="1"/>
  <c r="O1091" i="1"/>
  <c r="N1091" i="1"/>
  <c r="M1091" i="1"/>
  <c r="K1091" i="1"/>
  <c r="J1091" i="1"/>
  <c r="I1091" i="1"/>
  <c r="H1091" i="1"/>
  <c r="G1091" i="1"/>
  <c r="F1091" i="1"/>
  <c r="E1091" i="1"/>
  <c r="D1091" i="1"/>
  <c r="C1091" i="1"/>
  <c r="B1091" i="1"/>
  <c r="A1091" i="1"/>
  <c r="AK1090" i="1"/>
  <c r="P1090" i="1"/>
  <c r="O1090" i="1"/>
  <c r="N1090" i="1"/>
  <c r="M1090" i="1"/>
  <c r="K1090" i="1"/>
  <c r="J1090" i="1"/>
  <c r="I1090" i="1"/>
  <c r="H1090" i="1"/>
  <c r="G1090" i="1"/>
  <c r="F1090" i="1"/>
  <c r="E1090" i="1"/>
  <c r="D1090" i="1"/>
  <c r="C1090" i="1"/>
  <c r="B1090" i="1"/>
  <c r="A1090" i="1"/>
  <c r="AK1089" i="1"/>
  <c r="P1089" i="1"/>
  <c r="O1089" i="1"/>
  <c r="N1089" i="1"/>
  <c r="M1089" i="1"/>
  <c r="K1089" i="1"/>
  <c r="J1089" i="1"/>
  <c r="I1089" i="1"/>
  <c r="H1089" i="1"/>
  <c r="G1089" i="1"/>
  <c r="F1089" i="1"/>
  <c r="E1089" i="1"/>
  <c r="D1089" i="1"/>
  <c r="C1089" i="1"/>
  <c r="B1089" i="1"/>
  <c r="A1089" i="1"/>
  <c r="AK1088" i="1"/>
  <c r="P1088" i="1"/>
  <c r="O1088" i="1"/>
  <c r="N1088" i="1"/>
  <c r="M1088" i="1"/>
  <c r="K1088" i="1"/>
  <c r="J1088" i="1"/>
  <c r="I1088" i="1"/>
  <c r="H1088" i="1"/>
  <c r="G1088" i="1"/>
  <c r="F1088" i="1"/>
  <c r="E1088" i="1"/>
  <c r="D1088" i="1"/>
  <c r="C1088" i="1"/>
  <c r="B1088" i="1"/>
  <c r="A1088" i="1"/>
  <c r="AK1087" i="1"/>
  <c r="P1087" i="1"/>
  <c r="O1087" i="1"/>
  <c r="N1087" i="1"/>
  <c r="M1087" i="1"/>
  <c r="K1087" i="1"/>
  <c r="J1087" i="1"/>
  <c r="I1087" i="1"/>
  <c r="H1087" i="1"/>
  <c r="G1087" i="1"/>
  <c r="F1087" i="1"/>
  <c r="E1087" i="1"/>
  <c r="D1087" i="1"/>
  <c r="C1087" i="1"/>
  <c r="B1087" i="1"/>
  <c r="A1087" i="1"/>
  <c r="AK1086" i="1"/>
  <c r="P1086" i="1"/>
  <c r="O1086" i="1"/>
  <c r="N1086" i="1"/>
  <c r="M1086" i="1"/>
  <c r="K1086" i="1"/>
  <c r="I1086" i="1"/>
  <c r="H1086" i="1"/>
  <c r="G1086" i="1"/>
  <c r="F1086" i="1"/>
  <c r="E1086" i="1"/>
  <c r="D1086" i="1"/>
  <c r="C1086" i="1"/>
  <c r="B1086" i="1"/>
  <c r="A1086" i="1"/>
  <c r="AK1085" i="1"/>
  <c r="AD1085" i="1"/>
  <c r="P1085" i="1"/>
  <c r="O1085" i="1"/>
  <c r="N1085" i="1"/>
  <c r="M1085" i="1"/>
  <c r="K1085" i="1"/>
  <c r="J1085" i="1"/>
  <c r="I1085" i="1"/>
  <c r="H1085" i="1"/>
  <c r="G1085" i="1"/>
  <c r="F1085" i="1"/>
  <c r="E1085" i="1"/>
  <c r="D1085" i="1"/>
  <c r="C1085" i="1"/>
  <c r="B1085" i="1"/>
  <c r="A1085" i="1"/>
  <c r="AK1084" i="1"/>
  <c r="P1084" i="1"/>
  <c r="O1084" i="1"/>
  <c r="N1084" i="1"/>
  <c r="M1084" i="1"/>
  <c r="K1084" i="1"/>
  <c r="J1084" i="1"/>
  <c r="I1084" i="1"/>
  <c r="H1084" i="1"/>
  <c r="G1084" i="1"/>
  <c r="F1084" i="1"/>
  <c r="E1084" i="1"/>
  <c r="D1084" i="1"/>
  <c r="C1084" i="1"/>
  <c r="B1084" i="1"/>
  <c r="A1084" i="1"/>
  <c r="AK1083" i="1"/>
  <c r="O1083" i="1"/>
  <c r="N1083" i="1"/>
  <c r="M1083" i="1"/>
  <c r="K1083" i="1"/>
  <c r="J1083" i="1"/>
  <c r="I1083" i="1"/>
  <c r="H1083" i="1"/>
  <c r="G1083" i="1"/>
  <c r="F1083" i="1"/>
  <c r="E1083" i="1"/>
  <c r="D1083" i="1"/>
  <c r="C1083" i="1"/>
  <c r="B1083" i="1"/>
  <c r="A1083" i="1"/>
  <c r="AK1082" i="1"/>
  <c r="P1082" i="1"/>
  <c r="O1082" i="1"/>
  <c r="N1082" i="1"/>
  <c r="M1082" i="1"/>
  <c r="L1082" i="1"/>
  <c r="K1082" i="1"/>
  <c r="J1082" i="1"/>
  <c r="I1082" i="1"/>
  <c r="H1082" i="1"/>
  <c r="G1082" i="1"/>
  <c r="F1082" i="1"/>
  <c r="E1082" i="1"/>
  <c r="D1082" i="1"/>
  <c r="C1082" i="1"/>
  <c r="B1082" i="1"/>
  <c r="A1082" i="1"/>
  <c r="AK1081" i="1"/>
  <c r="P1081" i="1"/>
  <c r="O1081" i="1"/>
  <c r="N1081" i="1"/>
  <c r="M1081" i="1"/>
  <c r="K1081" i="1"/>
  <c r="J1081" i="1"/>
  <c r="I1081" i="1"/>
  <c r="H1081" i="1"/>
  <c r="G1081" i="1"/>
  <c r="F1081" i="1"/>
  <c r="E1081" i="1"/>
  <c r="D1081" i="1"/>
  <c r="C1081" i="1"/>
  <c r="B1081" i="1"/>
  <c r="A1081" i="1"/>
  <c r="AK1080" i="1"/>
  <c r="P1080" i="1"/>
  <c r="O1080" i="1"/>
  <c r="N1080" i="1"/>
  <c r="M1080" i="1"/>
  <c r="K1080" i="1"/>
  <c r="J1080" i="1"/>
  <c r="I1080" i="1"/>
  <c r="H1080" i="1"/>
  <c r="G1080" i="1"/>
  <c r="F1080" i="1"/>
  <c r="E1080" i="1"/>
  <c r="D1080" i="1"/>
  <c r="C1080" i="1"/>
  <c r="B1080" i="1"/>
  <c r="A1080" i="1"/>
  <c r="AK1079" i="1"/>
  <c r="P1079" i="1"/>
  <c r="O1079" i="1"/>
  <c r="N1079" i="1"/>
  <c r="M1079" i="1"/>
  <c r="K1079" i="1"/>
  <c r="I1079" i="1"/>
  <c r="H1079" i="1"/>
  <c r="G1079" i="1"/>
  <c r="F1079" i="1"/>
  <c r="E1079" i="1"/>
  <c r="D1079" i="1"/>
  <c r="C1079" i="1"/>
  <c r="B1079" i="1"/>
  <c r="A1079" i="1"/>
  <c r="AK1078" i="1"/>
  <c r="P1078" i="1"/>
  <c r="O1078" i="1"/>
  <c r="N1078" i="1"/>
  <c r="M1078" i="1"/>
  <c r="K1078" i="1"/>
  <c r="J1078" i="1"/>
  <c r="I1078" i="1"/>
  <c r="H1078" i="1"/>
  <c r="G1078" i="1"/>
  <c r="F1078" i="1"/>
  <c r="E1078" i="1"/>
  <c r="D1078" i="1"/>
  <c r="C1078" i="1"/>
  <c r="B1078" i="1"/>
  <c r="A1078" i="1"/>
  <c r="AK1077" i="1"/>
  <c r="P1077" i="1"/>
  <c r="O1077" i="1"/>
  <c r="N1077" i="1"/>
  <c r="M1077" i="1"/>
  <c r="K1077" i="1"/>
  <c r="J1077" i="1"/>
  <c r="I1077" i="1"/>
  <c r="H1077" i="1"/>
  <c r="G1077" i="1"/>
  <c r="F1077" i="1"/>
  <c r="E1077" i="1"/>
  <c r="D1077" i="1"/>
  <c r="C1077" i="1"/>
  <c r="B1077" i="1"/>
  <c r="A1077" i="1"/>
  <c r="AK1076" i="1"/>
  <c r="P1076" i="1"/>
  <c r="O1076" i="1"/>
  <c r="N1076" i="1"/>
  <c r="M1076" i="1"/>
  <c r="K1076" i="1"/>
  <c r="J1076" i="1"/>
  <c r="I1076" i="1"/>
  <c r="H1076" i="1"/>
  <c r="G1076" i="1"/>
  <c r="F1076" i="1"/>
  <c r="E1076" i="1"/>
  <c r="D1076" i="1"/>
  <c r="C1076" i="1"/>
  <c r="B1076" i="1"/>
  <c r="A1076" i="1"/>
  <c r="AK1075" i="1"/>
  <c r="P1075" i="1"/>
  <c r="O1075" i="1"/>
  <c r="N1075" i="1"/>
  <c r="M1075" i="1"/>
  <c r="K1075" i="1"/>
  <c r="J1075" i="1"/>
  <c r="I1075" i="1"/>
  <c r="H1075" i="1"/>
  <c r="G1075" i="1"/>
  <c r="F1075" i="1"/>
  <c r="E1075" i="1"/>
  <c r="D1075" i="1"/>
  <c r="C1075" i="1"/>
  <c r="B1075" i="1"/>
  <c r="A1075" i="1"/>
  <c r="AK1074" i="1"/>
  <c r="P1074" i="1"/>
  <c r="O1074" i="1"/>
  <c r="N1074" i="1"/>
  <c r="M1074" i="1"/>
  <c r="K1074" i="1"/>
  <c r="I1074" i="1"/>
  <c r="H1074" i="1"/>
  <c r="G1074" i="1"/>
  <c r="F1074" i="1"/>
  <c r="E1074" i="1"/>
  <c r="D1074" i="1"/>
  <c r="C1074" i="1"/>
  <c r="B1074" i="1"/>
  <c r="A1074" i="1"/>
  <c r="AK1073" i="1"/>
  <c r="P1073" i="1"/>
  <c r="O1073" i="1"/>
  <c r="N1073" i="1"/>
  <c r="M1073" i="1"/>
  <c r="K1073" i="1"/>
  <c r="J1073" i="1"/>
  <c r="I1073" i="1"/>
  <c r="H1073" i="1"/>
  <c r="G1073" i="1"/>
  <c r="F1073" i="1"/>
  <c r="E1073" i="1"/>
  <c r="D1073" i="1"/>
  <c r="C1073" i="1"/>
  <c r="B1073" i="1"/>
  <c r="A1073" i="1"/>
  <c r="AK1072" i="1"/>
  <c r="P1072" i="1"/>
  <c r="O1072" i="1"/>
  <c r="N1072" i="1"/>
  <c r="M1072" i="1"/>
  <c r="K1072" i="1"/>
  <c r="J1072" i="1"/>
  <c r="I1072" i="1"/>
  <c r="H1072" i="1"/>
  <c r="G1072" i="1"/>
  <c r="F1072" i="1"/>
  <c r="E1072" i="1"/>
  <c r="D1072" i="1"/>
  <c r="C1072" i="1"/>
  <c r="B1072" i="1"/>
  <c r="A1072" i="1"/>
  <c r="AK1071" i="1"/>
  <c r="P1071" i="1"/>
  <c r="O1071" i="1"/>
  <c r="N1071" i="1"/>
  <c r="M1071" i="1"/>
  <c r="K1071" i="1"/>
  <c r="I1071" i="1"/>
  <c r="H1071" i="1"/>
  <c r="G1071" i="1"/>
  <c r="F1071" i="1"/>
  <c r="E1071" i="1"/>
  <c r="D1071" i="1"/>
  <c r="C1071" i="1"/>
  <c r="B1071" i="1"/>
  <c r="A1071" i="1"/>
  <c r="AK1070" i="1"/>
  <c r="P1070" i="1"/>
  <c r="O1070" i="1"/>
  <c r="N1070" i="1"/>
  <c r="M1070" i="1"/>
  <c r="K1070" i="1"/>
  <c r="J1070" i="1"/>
  <c r="I1070" i="1"/>
  <c r="H1070" i="1"/>
  <c r="G1070" i="1"/>
  <c r="F1070" i="1"/>
  <c r="E1070" i="1"/>
  <c r="D1070" i="1"/>
  <c r="C1070" i="1"/>
  <c r="B1070" i="1"/>
  <c r="A1070" i="1"/>
  <c r="AK1069" i="1"/>
  <c r="P1069" i="1"/>
  <c r="N1069" i="1"/>
  <c r="M1069" i="1"/>
  <c r="K1069" i="1"/>
  <c r="J1069" i="1"/>
  <c r="I1069" i="1"/>
  <c r="H1069" i="1"/>
  <c r="G1069" i="1"/>
  <c r="F1069" i="1"/>
  <c r="E1069" i="1"/>
  <c r="D1069" i="1"/>
  <c r="C1069" i="1"/>
  <c r="B1069" i="1"/>
  <c r="A1069" i="1"/>
  <c r="AK1068" i="1"/>
  <c r="P1068" i="1"/>
  <c r="O1068" i="1"/>
  <c r="N1068" i="1"/>
  <c r="M1068" i="1"/>
  <c r="K1068" i="1"/>
  <c r="J1068" i="1"/>
  <c r="I1068" i="1"/>
  <c r="H1068" i="1"/>
  <c r="G1068" i="1"/>
  <c r="F1068" i="1"/>
  <c r="E1068" i="1"/>
  <c r="D1068" i="1"/>
  <c r="C1068" i="1"/>
  <c r="B1068" i="1"/>
  <c r="A1068" i="1"/>
  <c r="AK1067" i="1"/>
  <c r="P1067" i="1"/>
  <c r="O1067" i="1"/>
  <c r="N1067" i="1"/>
  <c r="M1067" i="1"/>
  <c r="K1067" i="1"/>
  <c r="J1067" i="1"/>
  <c r="I1067" i="1"/>
  <c r="H1067" i="1"/>
  <c r="G1067" i="1"/>
  <c r="F1067" i="1"/>
  <c r="E1067" i="1"/>
  <c r="D1067" i="1"/>
  <c r="C1067" i="1"/>
  <c r="B1067" i="1"/>
  <c r="A1067" i="1"/>
  <c r="AK1066" i="1"/>
  <c r="P1066" i="1"/>
  <c r="O1066" i="1"/>
  <c r="N1066" i="1"/>
  <c r="M1066" i="1"/>
  <c r="K1066" i="1"/>
  <c r="J1066" i="1"/>
  <c r="I1066" i="1"/>
  <c r="H1066" i="1"/>
  <c r="G1066" i="1"/>
  <c r="F1066" i="1"/>
  <c r="E1066" i="1"/>
  <c r="D1066" i="1"/>
  <c r="C1066" i="1"/>
  <c r="B1066" i="1"/>
  <c r="A1066" i="1"/>
  <c r="AK1065" i="1"/>
  <c r="P1065" i="1"/>
  <c r="O1065" i="1"/>
  <c r="N1065" i="1"/>
  <c r="M1065" i="1"/>
  <c r="K1065" i="1"/>
  <c r="J1065" i="1"/>
  <c r="I1065" i="1"/>
  <c r="H1065" i="1"/>
  <c r="G1065" i="1"/>
  <c r="F1065" i="1"/>
  <c r="E1065" i="1"/>
  <c r="D1065" i="1"/>
  <c r="C1065" i="1"/>
  <c r="B1065" i="1"/>
  <c r="A1065" i="1"/>
  <c r="AK1064" i="1"/>
  <c r="P1064" i="1"/>
  <c r="O1064" i="1"/>
  <c r="N1064" i="1"/>
  <c r="M1064" i="1"/>
  <c r="K1064" i="1"/>
  <c r="J1064" i="1"/>
  <c r="I1064" i="1"/>
  <c r="H1064" i="1"/>
  <c r="G1064" i="1"/>
  <c r="F1064" i="1"/>
  <c r="E1064" i="1"/>
  <c r="D1064" i="1"/>
  <c r="C1064" i="1"/>
  <c r="B1064" i="1"/>
  <c r="A1064" i="1"/>
  <c r="AK1063" i="1"/>
  <c r="P1063" i="1"/>
  <c r="O1063" i="1"/>
  <c r="N1063" i="1"/>
  <c r="M1063" i="1"/>
  <c r="K1063" i="1"/>
  <c r="J1063" i="1"/>
  <c r="I1063" i="1"/>
  <c r="H1063" i="1"/>
  <c r="G1063" i="1"/>
  <c r="F1063" i="1"/>
  <c r="E1063" i="1"/>
  <c r="D1063" i="1"/>
  <c r="C1063" i="1"/>
  <c r="B1063" i="1"/>
  <c r="A1063" i="1"/>
  <c r="AK1062" i="1"/>
  <c r="P1062" i="1"/>
  <c r="O1062" i="1"/>
  <c r="N1062" i="1"/>
  <c r="M1062" i="1"/>
  <c r="K1062" i="1"/>
  <c r="J1062" i="1"/>
  <c r="I1062" i="1"/>
  <c r="H1062" i="1"/>
  <c r="G1062" i="1"/>
  <c r="F1062" i="1"/>
  <c r="E1062" i="1"/>
  <c r="D1062" i="1"/>
  <c r="C1062" i="1"/>
  <c r="B1062" i="1"/>
  <c r="A1062" i="1"/>
  <c r="AK1061" i="1"/>
  <c r="P1061" i="1"/>
  <c r="O1061" i="1"/>
  <c r="N1061" i="1"/>
  <c r="M1061" i="1"/>
  <c r="K1061" i="1"/>
  <c r="J1061" i="1"/>
  <c r="I1061" i="1"/>
  <c r="H1061" i="1"/>
  <c r="G1061" i="1"/>
  <c r="F1061" i="1"/>
  <c r="E1061" i="1"/>
  <c r="D1061" i="1"/>
  <c r="C1061" i="1"/>
  <c r="B1061" i="1"/>
  <c r="A1061" i="1"/>
  <c r="AK1060" i="1"/>
  <c r="P1060" i="1"/>
  <c r="O1060" i="1"/>
  <c r="N1060" i="1"/>
  <c r="M1060" i="1"/>
  <c r="K1060" i="1"/>
  <c r="J1060" i="1"/>
  <c r="I1060" i="1"/>
  <c r="H1060" i="1"/>
  <c r="G1060" i="1"/>
  <c r="F1060" i="1"/>
  <c r="E1060" i="1"/>
  <c r="D1060" i="1"/>
  <c r="C1060" i="1"/>
  <c r="B1060" i="1"/>
  <c r="A1060" i="1"/>
  <c r="AK1059" i="1"/>
  <c r="P1059" i="1"/>
  <c r="O1059" i="1"/>
  <c r="N1059" i="1"/>
  <c r="M1059" i="1"/>
  <c r="K1059" i="1"/>
  <c r="J1059" i="1"/>
  <c r="I1059" i="1"/>
  <c r="H1059" i="1"/>
  <c r="G1059" i="1"/>
  <c r="F1059" i="1"/>
  <c r="E1059" i="1"/>
  <c r="D1059" i="1"/>
  <c r="C1059" i="1"/>
  <c r="B1059" i="1"/>
  <c r="A1059" i="1"/>
  <c r="AK1058" i="1"/>
  <c r="P1058" i="1"/>
  <c r="O1058" i="1"/>
  <c r="N1058" i="1"/>
  <c r="M1058" i="1"/>
  <c r="K1058" i="1"/>
  <c r="J1058" i="1"/>
  <c r="I1058" i="1"/>
  <c r="H1058" i="1"/>
  <c r="G1058" i="1"/>
  <c r="F1058" i="1"/>
  <c r="E1058" i="1"/>
  <c r="D1058" i="1"/>
  <c r="C1058" i="1"/>
  <c r="B1058" i="1"/>
  <c r="A1058" i="1"/>
  <c r="AK1057" i="1"/>
  <c r="P1057" i="1"/>
  <c r="O1057" i="1"/>
  <c r="N1057" i="1"/>
  <c r="M1057" i="1"/>
  <c r="K1057" i="1"/>
  <c r="J1057" i="1"/>
  <c r="I1057" i="1"/>
  <c r="H1057" i="1"/>
  <c r="G1057" i="1"/>
  <c r="F1057" i="1"/>
  <c r="E1057" i="1"/>
  <c r="D1057" i="1"/>
  <c r="C1057" i="1"/>
  <c r="B1057" i="1"/>
  <c r="A1057" i="1"/>
  <c r="AK1056" i="1"/>
  <c r="P1056" i="1"/>
  <c r="O1056" i="1"/>
  <c r="N1056" i="1"/>
  <c r="M1056" i="1"/>
  <c r="K1056" i="1"/>
  <c r="J1056" i="1"/>
  <c r="I1056" i="1"/>
  <c r="H1056" i="1"/>
  <c r="G1056" i="1"/>
  <c r="F1056" i="1"/>
  <c r="E1056" i="1"/>
  <c r="D1056" i="1"/>
  <c r="C1056" i="1"/>
  <c r="B1056" i="1"/>
  <c r="A1056" i="1"/>
  <c r="AK1055" i="1"/>
  <c r="P1055" i="1"/>
  <c r="O1055" i="1"/>
  <c r="N1055" i="1"/>
  <c r="M1055" i="1"/>
  <c r="K1055" i="1"/>
  <c r="J1055" i="1"/>
  <c r="I1055" i="1"/>
  <c r="H1055" i="1"/>
  <c r="G1055" i="1"/>
  <c r="F1055" i="1"/>
  <c r="E1055" i="1"/>
  <c r="D1055" i="1"/>
  <c r="C1055" i="1"/>
  <c r="B1055" i="1"/>
  <c r="A1055" i="1"/>
  <c r="AK1054" i="1"/>
  <c r="P1054" i="1"/>
  <c r="O1054" i="1"/>
  <c r="N1054" i="1"/>
  <c r="M1054" i="1"/>
  <c r="K1054" i="1"/>
  <c r="J1054" i="1"/>
  <c r="I1054" i="1"/>
  <c r="H1054" i="1"/>
  <c r="G1054" i="1"/>
  <c r="F1054" i="1"/>
  <c r="E1054" i="1"/>
  <c r="D1054" i="1"/>
  <c r="C1054" i="1"/>
  <c r="B1054" i="1"/>
  <c r="A1054" i="1"/>
  <c r="AK1053" i="1"/>
  <c r="P1053" i="1"/>
  <c r="O1053" i="1"/>
  <c r="N1053" i="1"/>
  <c r="M1053" i="1"/>
  <c r="K1053" i="1"/>
  <c r="J1053" i="1"/>
  <c r="I1053" i="1"/>
  <c r="H1053" i="1"/>
  <c r="G1053" i="1"/>
  <c r="F1053" i="1"/>
  <c r="E1053" i="1"/>
  <c r="D1053" i="1"/>
  <c r="C1053" i="1"/>
  <c r="B1053" i="1"/>
  <c r="A1053" i="1"/>
  <c r="AK1052" i="1"/>
  <c r="P1052" i="1"/>
  <c r="O1052" i="1"/>
  <c r="N1052" i="1"/>
  <c r="M1052" i="1"/>
  <c r="K1052" i="1"/>
  <c r="J1052" i="1"/>
  <c r="I1052" i="1"/>
  <c r="H1052" i="1"/>
  <c r="G1052" i="1"/>
  <c r="F1052" i="1"/>
  <c r="E1052" i="1"/>
  <c r="D1052" i="1"/>
  <c r="C1052" i="1"/>
  <c r="B1052" i="1"/>
  <c r="A1052" i="1"/>
  <c r="AK1051" i="1"/>
  <c r="P1051" i="1"/>
  <c r="O1051" i="1"/>
  <c r="N1051" i="1"/>
  <c r="M1051" i="1"/>
  <c r="K1051" i="1"/>
  <c r="J1051" i="1"/>
  <c r="I1051" i="1"/>
  <c r="H1051" i="1"/>
  <c r="G1051" i="1"/>
  <c r="F1051" i="1"/>
  <c r="E1051" i="1"/>
  <c r="D1051" i="1"/>
  <c r="C1051" i="1"/>
  <c r="B1051" i="1"/>
  <c r="A1051" i="1"/>
  <c r="AK1050" i="1"/>
  <c r="P1050" i="1"/>
  <c r="O1050" i="1"/>
  <c r="N1050" i="1"/>
  <c r="M1050" i="1"/>
  <c r="K1050" i="1"/>
  <c r="J1050" i="1"/>
  <c r="I1050" i="1"/>
  <c r="H1050" i="1"/>
  <c r="G1050" i="1"/>
  <c r="F1050" i="1"/>
  <c r="E1050" i="1"/>
  <c r="D1050" i="1"/>
  <c r="C1050" i="1"/>
  <c r="B1050" i="1"/>
  <c r="A1050" i="1"/>
  <c r="AK1049" i="1"/>
  <c r="P1049" i="1"/>
  <c r="O1049" i="1"/>
  <c r="N1049" i="1"/>
  <c r="M1049" i="1"/>
  <c r="K1049" i="1"/>
  <c r="J1049" i="1"/>
  <c r="I1049" i="1"/>
  <c r="H1049" i="1"/>
  <c r="G1049" i="1"/>
  <c r="F1049" i="1"/>
  <c r="E1049" i="1"/>
  <c r="D1049" i="1"/>
  <c r="C1049" i="1"/>
  <c r="B1049" i="1"/>
  <c r="A1049" i="1"/>
  <c r="AK1048" i="1"/>
  <c r="AE1048" i="1"/>
  <c r="AD1048" i="1"/>
  <c r="P1048" i="1"/>
  <c r="O1048" i="1"/>
  <c r="N1048" i="1"/>
  <c r="M1048" i="1"/>
  <c r="K1048" i="1"/>
  <c r="J1048" i="1"/>
  <c r="I1048" i="1"/>
  <c r="H1048" i="1"/>
  <c r="G1048" i="1"/>
  <c r="F1048" i="1"/>
  <c r="E1048" i="1"/>
  <c r="D1048" i="1"/>
  <c r="C1048" i="1"/>
  <c r="B1048" i="1"/>
  <c r="A1048" i="1"/>
  <c r="AK1047" i="1"/>
  <c r="P1047" i="1"/>
  <c r="O1047" i="1"/>
  <c r="N1047" i="1"/>
  <c r="M1047" i="1"/>
  <c r="K1047" i="1"/>
  <c r="J1047" i="1"/>
  <c r="I1047" i="1"/>
  <c r="H1047" i="1"/>
  <c r="G1047" i="1"/>
  <c r="F1047" i="1"/>
  <c r="E1047" i="1"/>
  <c r="D1047" i="1"/>
  <c r="C1047" i="1"/>
  <c r="B1047" i="1"/>
  <c r="A1047" i="1"/>
  <c r="AK1046" i="1"/>
  <c r="P1046" i="1"/>
  <c r="O1046" i="1"/>
  <c r="N1046" i="1"/>
  <c r="M1046" i="1"/>
  <c r="K1046" i="1"/>
  <c r="J1046" i="1"/>
  <c r="I1046" i="1"/>
  <c r="H1046" i="1"/>
  <c r="G1046" i="1"/>
  <c r="F1046" i="1"/>
  <c r="E1046" i="1"/>
  <c r="D1046" i="1"/>
  <c r="C1046" i="1"/>
  <c r="B1046" i="1"/>
  <c r="A1046" i="1"/>
  <c r="AK1045" i="1"/>
  <c r="P1045" i="1"/>
  <c r="O1045" i="1"/>
  <c r="N1045" i="1"/>
  <c r="M1045" i="1"/>
  <c r="L1045" i="1"/>
  <c r="K1045" i="1"/>
  <c r="J1045" i="1"/>
  <c r="I1045" i="1"/>
  <c r="H1045" i="1"/>
  <c r="G1045" i="1"/>
  <c r="F1045" i="1"/>
  <c r="E1045" i="1"/>
  <c r="D1045" i="1"/>
  <c r="C1045" i="1"/>
  <c r="B1045" i="1"/>
  <c r="A1045" i="1"/>
  <c r="AK1044" i="1"/>
  <c r="P1044" i="1"/>
  <c r="O1044" i="1"/>
  <c r="N1044" i="1"/>
  <c r="M1044" i="1"/>
  <c r="L1044" i="1"/>
  <c r="K1044" i="1"/>
  <c r="J1044" i="1"/>
  <c r="I1044" i="1"/>
  <c r="H1044" i="1"/>
  <c r="G1044" i="1"/>
  <c r="F1044" i="1"/>
  <c r="E1044" i="1"/>
  <c r="D1044" i="1"/>
  <c r="C1044" i="1"/>
  <c r="B1044" i="1"/>
  <c r="A1044" i="1"/>
  <c r="AK1043" i="1"/>
  <c r="P1043" i="1"/>
  <c r="O1043" i="1"/>
  <c r="N1043" i="1"/>
  <c r="M1043" i="1"/>
  <c r="K1043" i="1"/>
  <c r="J1043" i="1"/>
  <c r="I1043" i="1"/>
  <c r="H1043" i="1"/>
  <c r="G1043" i="1"/>
  <c r="F1043" i="1"/>
  <c r="E1043" i="1"/>
  <c r="D1043" i="1"/>
  <c r="C1043" i="1"/>
  <c r="B1043" i="1"/>
  <c r="A1043" i="1"/>
  <c r="AK1042" i="1"/>
  <c r="P1042" i="1"/>
  <c r="O1042" i="1"/>
  <c r="N1042" i="1"/>
  <c r="M1042" i="1"/>
  <c r="K1042" i="1"/>
  <c r="J1042" i="1"/>
  <c r="I1042" i="1"/>
  <c r="H1042" i="1"/>
  <c r="G1042" i="1"/>
  <c r="F1042" i="1"/>
  <c r="E1042" i="1"/>
  <c r="D1042" i="1"/>
  <c r="C1042" i="1"/>
  <c r="B1042" i="1"/>
  <c r="A1042" i="1"/>
  <c r="AK1041" i="1"/>
  <c r="P1041" i="1"/>
  <c r="O1041" i="1"/>
  <c r="N1041" i="1"/>
  <c r="M1041" i="1"/>
  <c r="K1041" i="1"/>
  <c r="J1041" i="1"/>
  <c r="I1041" i="1"/>
  <c r="H1041" i="1"/>
  <c r="G1041" i="1"/>
  <c r="F1041" i="1"/>
  <c r="E1041" i="1"/>
  <c r="D1041" i="1"/>
  <c r="C1041" i="1"/>
  <c r="B1041" i="1"/>
  <c r="A1041" i="1"/>
  <c r="AK1040" i="1"/>
  <c r="P1040" i="1"/>
  <c r="O1040" i="1"/>
  <c r="N1040" i="1"/>
  <c r="M1040" i="1"/>
  <c r="K1040" i="1"/>
  <c r="J1040" i="1"/>
  <c r="I1040" i="1"/>
  <c r="H1040" i="1"/>
  <c r="G1040" i="1"/>
  <c r="F1040" i="1"/>
  <c r="E1040" i="1"/>
  <c r="D1040" i="1"/>
  <c r="C1040" i="1"/>
  <c r="B1040" i="1"/>
  <c r="A1040" i="1"/>
  <c r="AK1039" i="1"/>
  <c r="P1039" i="1"/>
  <c r="O1039" i="1"/>
  <c r="N1039" i="1"/>
  <c r="M1039" i="1"/>
  <c r="K1039" i="1"/>
  <c r="J1039" i="1"/>
  <c r="I1039" i="1"/>
  <c r="H1039" i="1"/>
  <c r="G1039" i="1"/>
  <c r="F1039" i="1"/>
  <c r="E1039" i="1"/>
  <c r="D1039" i="1"/>
  <c r="C1039" i="1"/>
  <c r="B1039" i="1"/>
  <c r="A1039" i="1"/>
  <c r="AK1038" i="1"/>
  <c r="P1038" i="1"/>
  <c r="O1038" i="1"/>
  <c r="N1038" i="1"/>
  <c r="M1038" i="1"/>
  <c r="K1038" i="1"/>
  <c r="J1038" i="1"/>
  <c r="I1038" i="1"/>
  <c r="H1038" i="1"/>
  <c r="G1038" i="1"/>
  <c r="F1038" i="1"/>
  <c r="E1038" i="1"/>
  <c r="D1038" i="1"/>
  <c r="C1038" i="1"/>
  <c r="B1038" i="1"/>
  <c r="A1038" i="1"/>
  <c r="AK1037" i="1"/>
  <c r="P1037" i="1"/>
  <c r="O1037" i="1"/>
  <c r="N1037" i="1"/>
  <c r="M1037" i="1"/>
  <c r="K1037" i="1"/>
  <c r="J1037" i="1"/>
  <c r="I1037" i="1"/>
  <c r="H1037" i="1"/>
  <c r="G1037" i="1"/>
  <c r="F1037" i="1"/>
  <c r="E1037" i="1"/>
  <c r="D1037" i="1"/>
  <c r="C1037" i="1"/>
  <c r="B1037" i="1"/>
  <c r="A1037" i="1"/>
  <c r="AK1036" i="1"/>
  <c r="P1036" i="1"/>
  <c r="O1036" i="1"/>
  <c r="N1036" i="1"/>
  <c r="M1036" i="1"/>
  <c r="K1036" i="1"/>
  <c r="I1036" i="1"/>
  <c r="H1036" i="1"/>
  <c r="G1036" i="1"/>
  <c r="F1036" i="1"/>
  <c r="E1036" i="1"/>
  <c r="D1036" i="1"/>
  <c r="C1036" i="1"/>
  <c r="B1036" i="1"/>
  <c r="A1036" i="1"/>
  <c r="AK1035" i="1"/>
  <c r="P1035" i="1"/>
  <c r="O1035" i="1"/>
  <c r="N1035" i="1"/>
  <c r="M1035" i="1"/>
  <c r="K1035" i="1"/>
  <c r="J1035" i="1"/>
  <c r="I1035" i="1"/>
  <c r="H1035" i="1"/>
  <c r="G1035" i="1"/>
  <c r="F1035" i="1"/>
  <c r="E1035" i="1"/>
  <c r="D1035" i="1"/>
  <c r="C1035" i="1"/>
  <c r="B1035" i="1"/>
  <c r="A1035" i="1"/>
  <c r="AK1034" i="1"/>
  <c r="P1034" i="1"/>
  <c r="N1034" i="1"/>
  <c r="M1034" i="1"/>
  <c r="K1034" i="1"/>
  <c r="J1034" i="1"/>
  <c r="I1034" i="1"/>
  <c r="H1034" i="1"/>
  <c r="G1034" i="1"/>
  <c r="F1034" i="1"/>
  <c r="E1034" i="1"/>
  <c r="D1034" i="1"/>
  <c r="C1034" i="1"/>
  <c r="B1034" i="1"/>
  <c r="A1034" i="1"/>
  <c r="AK1033" i="1"/>
  <c r="P1033" i="1"/>
  <c r="N1033" i="1"/>
  <c r="M1033" i="1"/>
  <c r="K1033" i="1"/>
  <c r="J1033" i="1"/>
  <c r="I1033" i="1"/>
  <c r="H1033" i="1"/>
  <c r="G1033" i="1"/>
  <c r="F1033" i="1"/>
  <c r="E1033" i="1"/>
  <c r="D1033" i="1"/>
  <c r="C1033" i="1"/>
  <c r="B1033" i="1"/>
  <c r="A1033" i="1"/>
  <c r="AK1032" i="1"/>
  <c r="P1032" i="1"/>
  <c r="N1032" i="1"/>
  <c r="M1032" i="1"/>
  <c r="K1032" i="1"/>
  <c r="J1032" i="1"/>
  <c r="I1032" i="1"/>
  <c r="H1032" i="1"/>
  <c r="G1032" i="1"/>
  <c r="F1032" i="1"/>
  <c r="E1032" i="1"/>
  <c r="D1032" i="1"/>
  <c r="C1032" i="1"/>
  <c r="B1032" i="1"/>
  <c r="A1032" i="1"/>
  <c r="AK1031" i="1"/>
  <c r="P1031" i="1"/>
  <c r="N1031" i="1"/>
  <c r="M1031" i="1"/>
  <c r="K1031" i="1"/>
  <c r="J1031" i="1"/>
  <c r="I1031" i="1"/>
  <c r="H1031" i="1"/>
  <c r="G1031" i="1"/>
  <c r="F1031" i="1"/>
  <c r="E1031" i="1"/>
  <c r="D1031" i="1"/>
  <c r="C1031" i="1"/>
  <c r="B1031" i="1"/>
  <c r="A1031" i="1"/>
  <c r="AK1030" i="1"/>
  <c r="P1030" i="1"/>
  <c r="N1030" i="1"/>
  <c r="M1030" i="1"/>
  <c r="K1030" i="1"/>
  <c r="J1030" i="1"/>
  <c r="I1030" i="1"/>
  <c r="H1030" i="1"/>
  <c r="G1030" i="1"/>
  <c r="F1030" i="1"/>
  <c r="E1030" i="1"/>
  <c r="D1030" i="1"/>
  <c r="C1030" i="1"/>
  <c r="B1030" i="1"/>
  <c r="A1030" i="1"/>
  <c r="AK1029" i="1"/>
  <c r="P1029" i="1"/>
  <c r="N1029" i="1"/>
  <c r="M1029" i="1"/>
  <c r="K1029" i="1"/>
  <c r="J1029" i="1"/>
  <c r="I1029" i="1"/>
  <c r="H1029" i="1"/>
  <c r="G1029" i="1"/>
  <c r="F1029" i="1"/>
  <c r="E1029" i="1"/>
  <c r="D1029" i="1"/>
  <c r="C1029" i="1"/>
  <c r="B1029" i="1"/>
  <c r="A1029" i="1"/>
  <c r="AK1028" i="1"/>
  <c r="P1028" i="1"/>
  <c r="N1028" i="1"/>
  <c r="M1028" i="1"/>
  <c r="L1028" i="1"/>
  <c r="K1028" i="1"/>
  <c r="J1028" i="1"/>
  <c r="I1028" i="1"/>
  <c r="H1028" i="1"/>
  <c r="G1028" i="1"/>
  <c r="F1028" i="1"/>
  <c r="E1028" i="1"/>
  <c r="D1028" i="1"/>
  <c r="C1028" i="1"/>
  <c r="B1028" i="1"/>
  <c r="A1028" i="1"/>
  <c r="AK1027" i="1"/>
  <c r="P1027" i="1"/>
  <c r="O1027" i="1"/>
  <c r="N1027" i="1"/>
  <c r="M1027" i="1"/>
  <c r="L1027" i="1"/>
  <c r="K1027" i="1"/>
  <c r="I1027" i="1"/>
  <c r="H1027" i="1"/>
  <c r="G1027" i="1"/>
  <c r="F1027" i="1"/>
  <c r="E1027" i="1"/>
  <c r="D1027" i="1"/>
  <c r="C1027" i="1"/>
  <c r="B1027" i="1"/>
  <c r="A1027" i="1"/>
  <c r="AK1026" i="1"/>
  <c r="P1026" i="1"/>
  <c r="O1026" i="1"/>
  <c r="N1026" i="1"/>
  <c r="M1026" i="1"/>
  <c r="K1026" i="1"/>
  <c r="J1026" i="1"/>
  <c r="I1026" i="1"/>
  <c r="H1026" i="1"/>
  <c r="G1026" i="1"/>
  <c r="F1026" i="1"/>
  <c r="E1026" i="1"/>
  <c r="D1026" i="1"/>
  <c r="C1026" i="1"/>
  <c r="B1026" i="1"/>
  <c r="A1026" i="1"/>
  <c r="AK1025" i="1"/>
  <c r="P1025" i="1"/>
  <c r="O1025" i="1"/>
  <c r="N1025" i="1"/>
  <c r="M1025" i="1"/>
  <c r="K1025" i="1"/>
  <c r="J1025" i="1"/>
  <c r="I1025" i="1"/>
  <c r="H1025" i="1"/>
  <c r="G1025" i="1"/>
  <c r="F1025" i="1"/>
  <c r="E1025" i="1"/>
  <c r="D1025" i="1"/>
  <c r="C1025" i="1"/>
  <c r="B1025" i="1"/>
  <c r="A1025" i="1"/>
  <c r="AK1024" i="1"/>
  <c r="P1024" i="1"/>
  <c r="O1024" i="1"/>
  <c r="N1024" i="1"/>
  <c r="M1024" i="1"/>
  <c r="K1024" i="1"/>
  <c r="J1024" i="1"/>
  <c r="I1024" i="1"/>
  <c r="H1024" i="1"/>
  <c r="G1024" i="1"/>
  <c r="F1024" i="1"/>
  <c r="E1024" i="1"/>
  <c r="D1024" i="1"/>
  <c r="C1024" i="1"/>
  <c r="B1024" i="1"/>
  <c r="A1024" i="1"/>
  <c r="AK1023" i="1"/>
  <c r="P1023" i="1"/>
  <c r="O1023" i="1"/>
  <c r="N1023" i="1"/>
  <c r="M1023" i="1"/>
  <c r="K1023" i="1"/>
  <c r="J1023" i="1"/>
  <c r="I1023" i="1"/>
  <c r="H1023" i="1"/>
  <c r="G1023" i="1"/>
  <c r="F1023" i="1"/>
  <c r="E1023" i="1"/>
  <c r="D1023" i="1"/>
  <c r="C1023" i="1"/>
  <c r="B1023" i="1"/>
  <c r="A1023" i="1"/>
  <c r="AK1022" i="1"/>
  <c r="P1022" i="1"/>
  <c r="O1022" i="1"/>
  <c r="N1022" i="1"/>
  <c r="M1022" i="1"/>
  <c r="K1022" i="1"/>
  <c r="J1022" i="1"/>
  <c r="I1022" i="1"/>
  <c r="H1022" i="1"/>
  <c r="G1022" i="1"/>
  <c r="F1022" i="1"/>
  <c r="E1022" i="1"/>
  <c r="D1022" i="1"/>
  <c r="C1022" i="1"/>
  <c r="B1022" i="1"/>
  <c r="A1022" i="1"/>
  <c r="AK1021" i="1"/>
  <c r="AE1021" i="1"/>
  <c r="AD1021" i="1"/>
  <c r="P1021" i="1"/>
  <c r="O1021" i="1"/>
  <c r="N1021" i="1"/>
  <c r="M1021" i="1"/>
  <c r="K1021" i="1"/>
  <c r="J1021" i="1"/>
  <c r="I1021" i="1"/>
  <c r="H1021" i="1"/>
  <c r="G1021" i="1"/>
  <c r="F1021" i="1"/>
  <c r="E1021" i="1"/>
  <c r="D1021" i="1"/>
  <c r="C1021" i="1"/>
  <c r="B1021" i="1"/>
  <c r="A1021" i="1"/>
  <c r="AK1020" i="1"/>
  <c r="P1020" i="1"/>
  <c r="O1020" i="1"/>
  <c r="N1020" i="1"/>
  <c r="M1020" i="1"/>
  <c r="K1020" i="1"/>
  <c r="J1020" i="1"/>
  <c r="I1020" i="1"/>
  <c r="H1020" i="1"/>
  <c r="G1020" i="1"/>
  <c r="F1020" i="1"/>
  <c r="E1020" i="1"/>
  <c r="D1020" i="1"/>
  <c r="C1020" i="1"/>
  <c r="B1020" i="1"/>
  <c r="A1020" i="1"/>
  <c r="AK1019" i="1"/>
  <c r="P1019" i="1"/>
  <c r="O1019" i="1"/>
  <c r="N1019" i="1"/>
  <c r="M1019" i="1"/>
  <c r="K1019" i="1"/>
  <c r="J1019" i="1"/>
  <c r="I1019" i="1"/>
  <c r="H1019" i="1"/>
  <c r="G1019" i="1"/>
  <c r="F1019" i="1"/>
  <c r="E1019" i="1"/>
  <c r="D1019" i="1"/>
  <c r="C1019" i="1"/>
  <c r="B1019" i="1"/>
  <c r="A1019" i="1"/>
  <c r="AK1018" i="1"/>
  <c r="P1018" i="1"/>
  <c r="O1018" i="1"/>
  <c r="N1018" i="1"/>
  <c r="M1018" i="1"/>
  <c r="K1018" i="1"/>
  <c r="J1018" i="1"/>
  <c r="I1018" i="1"/>
  <c r="H1018" i="1"/>
  <c r="G1018" i="1"/>
  <c r="F1018" i="1"/>
  <c r="E1018" i="1"/>
  <c r="D1018" i="1"/>
  <c r="C1018" i="1"/>
  <c r="B1018" i="1"/>
  <c r="A1018" i="1"/>
  <c r="AK1017" i="1"/>
  <c r="P1017" i="1"/>
  <c r="N1017" i="1"/>
  <c r="M1017" i="1"/>
  <c r="K1017" i="1"/>
  <c r="J1017" i="1"/>
  <c r="I1017" i="1"/>
  <c r="H1017" i="1"/>
  <c r="G1017" i="1"/>
  <c r="F1017" i="1"/>
  <c r="E1017" i="1"/>
  <c r="D1017" i="1"/>
  <c r="C1017" i="1"/>
  <c r="B1017" i="1"/>
  <c r="A1017" i="1"/>
  <c r="AK1016" i="1"/>
  <c r="P1016" i="1"/>
  <c r="O1016" i="1"/>
  <c r="N1016" i="1"/>
  <c r="M1016" i="1"/>
  <c r="K1016" i="1"/>
  <c r="J1016" i="1"/>
  <c r="I1016" i="1"/>
  <c r="H1016" i="1"/>
  <c r="G1016" i="1"/>
  <c r="F1016" i="1"/>
  <c r="E1016" i="1"/>
  <c r="D1016" i="1"/>
  <c r="C1016" i="1"/>
  <c r="B1016" i="1"/>
  <c r="A1016" i="1"/>
  <c r="AK1015" i="1"/>
  <c r="P1015" i="1"/>
  <c r="O1015" i="1"/>
  <c r="N1015" i="1"/>
  <c r="M1015" i="1"/>
  <c r="K1015" i="1"/>
  <c r="J1015" i="1"/>
  <c r="I1015" i="1"/>
  <c r="H1015" i="1"/>
  <c r="G1015" i="1"/>
  <c r="F1015" i="1"/>
  <c r="E1015" i="1"/>
  <c r="D1015" i="1"/>
  <c r="C1015" i="1"/>
  <c r="B1015" i="1"/>
  <c r="A1015" i="1"/>
  <c r="AK1014" i="1"/>
  <c r="P1014" i="1"/>
  <c r="O1014" i="1"/>
  <c r="N1014" i="1"/>
  <c r="M1014" i="1"/>
  <c r="K1014" i="1"/>
  <c r="J1014" i="1"/>
  <c r="I1014" i="1"/>
  <c r="H1014" i="1"/>
  <c r="G1014" i="1"/>
  <c r="F1014" i="1"/>
  <c r="E1014" i="1"/>
  <c r="D1014" i="1"/>
  <c r="C1014" i="1"/>
  <c r="B1014" i="1"/>
  <c r="A1014" i="1"/>
  <c r="AK1013" i="1"/>
  <c r="P1013" i="1"/>
  <c r="O1013" i="1"/>
  <c r="N1013" i="1"/>
  <c r="M1013" i="1"/>
  <c r="K1013" i="1"/>
  <c r="J1013" i="1"/>
  <c r="I1013" i="1"/>
  <c r="H1013" i="1"/>
  <c r="G1013" i="1"/>
  <c r="F1013" i="1"/>
  <c r="E1013" i="1"/>
  <c r="D1013" i="1"/>
  <c r="C1013" i="1"/>
  <c r="B1013" i="1"/>
  <c r="A1013" i="1"/>
  <c r="AK1012" i="1"/>
  <c r="P1012" i="1"/>
  <c r="N1012" i="1"/>
  <c r="M1012" i="1"/>
  <c r="K1012" i="1"/>
  <c r="J1012" i="1"/>
  <c r="I1012" i="1"/>
  <c r="H1012" i="1"/>
  <c r="G1012" i="1"/>
  <c r="F1012" i="1"/>
  <c r="E1012" i="1"/>
  <c r="D1012" i="1"/>
  <c r="C1012" i="1"/>
  <c r="B1012" i="1"/>
  <c r="A1012" i="1"/>
  <c r="AK1011" i="1"/>
  <c r="P1011" i="1"/>
  <c r="N1011" i="1"/>
  <c r="M1011" i="1"/>
  <c r="K1011" i="1"/>
  <c r="J1011" i="1"/>
  <c r="I1011" i="1"/>
  <c r="H1011" i="1"/>
  <c r="G1011" i="1"/>
  <c r="F1011" i="1"/>
  <c r="E1011" i="1"/>
  <c r="D1011" i="1"/>
  <c r="C1011" i="1"/>
  <c r="B1011" i="1"/>
  <c r="A1011" i="1"/>
  <c r="AK1010" i="1"/>
  <c r="P1010" i="1"/>
  <c r="O1010" i="1"/>
  <c r="N1010" i="1"/>
  <c r="M1010" i="1"/>
  <c r="K1010" i="1"/>
  <c r="J1010" i="1"/>
  <c r="I1010" i="1"/>
  <c r="H1010" i="1"/>
  <c r="G1010" i="1"/>
  <c r="F1010" i="1"/>
  <c r="E1010" i="1"/>
  <c r="D1010" i="1"/>
  <c r="C1010" i="1"/>
  <c r="B1010" i="1"/>
  <c r="A1010" i="1"/>
  <c r="AK1009" i="1"/>
  <c r="P1009" i="1"/>
  <c r="N1009" i="1"/>
  <c r="M1009" i="1"/>
  <c r="K1009" i="1"/>
  <c r="J1009" i="1"/>
  <c r="I1009" i="1"/>
  <c r="H1009" i="1"/>
  <c r="G1009" i="1"/>
  <c r="F1009" i="1"/>
  <c r="E1009" i="1"/>
  <c r="D1009" i="1"/>
  <c r="C1009" i="1"/>
  <c r="B1009" i="1"/>
  <c r="A1009" i="1"/>
  <c r="AK1008" i="1"/>
  <c r="P1008" i="1"/>
  <c r="N1008" i="1"/>
  <c r="M1008" i="1"/>
  <c r="L1008" i="1"/>
  <c r="K1008" i="1"/>
  <c r="J1008" i="1"/>
  <c r="I1008" i="1"/>
  <c r="H1008" i="1"/>
  <c r="G1008" i="1"/>
  <c r="F1008" i="1"/>
  <c r="E1008" i="1"/>
  <c r="D1008" i="1"/>
  <c r="C1008" i="1"/>
  <c r="B1008" i="1"/>
  <c r="A1008" i="1"/>
  <c r="AK1007" i="1"/>
  <c r="P1007" i="1"/>
  <c r="O1007" i="1"/>
  <c r="N1007" i="1"/>
  <c r="M1007" i="1"/>
  <c r="L1007" i="1"/>
  <c r="K1007" i="1"/>
  <c r="J1007" i="1"/>
  <c r="I1007" i="1"/>
  <c r="H1007" i="1"/>
  <c r="G1007" i="1"/>
  <c r="F1007" i="1"/>
  <c r="E1007" i="1"/>
  <c r="D1007" i="1"/>
  <c r="C1007" i="1"/>
  <c r="B1007" i="1"/>
  <c r="A1007" i="1"/>
  <c r="AK1006" i="1"/>
  <c r="P1006" i="1"/>
  <c r="O1006" i="1"/>
  <c r="N1006" i="1"/>
  <c r="M1006" i="1"/>
  <c r="K1006" i="1"/>
  <c r="I1006" i="1"/>
  <c r="H1006" i="1"/>
  <c r="G1006" i="1"/>
  <c r="F1006" i="1"/>
  <c r="E1006" i="1"/>
  <c r="D1006" i="1"/>
  <c r="C1006" i="1"/>
  <c r="B1006" i="1"/>
  <c r="A1006" i="1"/>
  <c r="AK1005" i="1"/>
  <c r="P1005" i="1"/>
  <c r="N1005" i="1"/>
  <c r="M1005" i="1"/>
  <c r="K1005" i="1"/>
  <c r="J1005" i="1"/>
  <c r="I1005" i="1"/>
  <c r="H1005" i="1"/>
  <c r="G1005" i="1"/>
  <c r="F1005" i="1"/>
  <c r="E1005" i="1"/>
  <c r="D1005" i="1"/>
  <c r="C1005" i="1"/>
  <c r="B1005" i="1"/>
  <c r="A1005" i="1"/>
  <c r="AK1004" i="1"/>
  <c r="P1004" i="1"/>
  <c r="O1004" i="1"/>
  <c r="N1004" i="1"/>
  <c r="M1004" i="1"/>
  <c r="K1004" i="1"/>
  <c r="I1004" i="1"/>
  <c r="H1004" i="1"/>
  <c r="G1004" i="1"/>
  <c r="F1004" i="1"/>
  <c r="E1004" i="1"/>
  <c r="D1004" i="1"/>
  <c r="C1004" i="1"/>
  <c r="B1004" i="1"/>
  <c r="A1004" i="1"/>
  <c r="AK1003" i="1"/>
  <c r="P1003" i="1"/>
  <c r="O1003" i="1"/>
  <c r="N1003" i="1"/>
  <c r="M1003" i="1"/>
  <c r="K1003" i="1"/>
  <c r="J1003" i="1"/>
  <c r="I1003" i="1"/>
  <c r="H1003" i="1"/>
  <c r="G1003" i="1"/>
  <c r="F1003" i="1"/>
  <c r="E1003" i="1"/>
  <c r="D1003" i="1"/>
  <c r="C1003" i="1"/>
  <c r="B1003" i="1"/>
  <c r="A1003" i="1"/>
  <c r="AK1002" i="1"/>
  <c r="P1002" i="1"/>
  <c r="O1002" i="1"/>
  <c r="N1002" i="1"/>
  <c r="M1002" i="1"/>
  <c r="K1002" i="1"/>
  <c r="J1002" i="1"/>
  <c r="I1002" i="1"/>
  <c r="H1002" i="1"/>
  <c r="G1002" i="1"/>
  <c r="F1002" i="1"/>
  <c r="E1002" i="1"/>
  <c r="D1002" i="1"/>
  <c r="C1002" i="1"/>
  <c r="B1002" i="1"/>
  <c r="A1002" i="1"/>
  <c r="AK1001" i="1"/>
  <c r="P1001" i="1"/>
  <c r="O1001" i="1"/>
  <c r="N1001" i="1"/>
  <c r="M1001" i="1"/>
  <c r="K1001" i="1"/>
  <c r="I1001" i="1"/>
  <c r="H1001" i="1"/>
  <c r="G1001" i="1"/>
  <c r="F1001" i="1"/>
  <c r="E1001" i="1"/>
  <c r="D1001" i="1"/>
  <c r="C1001" i="1"/>
  <c r="B1001" i="1"/>
  <c r="A1001" i="1"/>
  <c r="AK1000" i="1"/>
  <c r="P1000" i="1"/>
  <c r="O1000" i="1"/>
  <c r="N1000" i="1"/>
  <c r="M1000" i="1"/>
  <c r="K1000" i="1"/>
  <c r="J1000" i="1"/>
  <c r="I1000" i="1"/>
  <c r="H1000" i="1"/>
  <c r="G1000" i="1"/>
  <c r="F1000" i="1"/>
  <c r="E1000" i="1"/>
  <c r="D1000" i="1"/>
  <c r="C1000" i="1"/>
  <c r="B1000" i="1"/>
  <c r="A1000" i="1"/>
  <c r="AK999" i="1"/>
  <c r="P999" i="1"/>
  <c r="O999" i="1"/>
  <c r="N999" i="1"/>
  <c r="M999" i="1"/>
  <c r="K999" i="1"/>
  <c r="J999" i="1"/>
  <c r="I999" i="1"/>
  <c r="H999" i="1"/>
  <c r="G999" i="1"/>
  <c r="F999" i="1"/>
  <c r="E999" i="1"/>
  <c r="D999" i="1"/>
  <c r="C999" i="1"/>
  <c r="B999" i="1"/>
  <c r="A999" i="1"/>
  <c r="AK998" i="1"/>
  <c r="P998" i="1"/>
  <c r="N998" i="1"/>
  <c r="M998" i="1"/>
  <c r="K998" i="1"/>
  <c r="J998" i="1"/>
  <c r="I998" i="1"/>
  <c r="H998" i="1"/>
  <c r="G998" i="1"/>
  <c r="F998" i="1"/>
  <c r="E998" i="1"/>
  <c r="D998" i="1"/>
  <c r="C998" i="1"/>
  <c r="B998" i="1"/>
  <c r="A998" i="1"/>
  <c r="AK997" i="1"/>
  <c r="P997" i="1"/>
  <c r="O997" i="1"/>
  <c r="N997" i="1"/>
  <c r="M997" i="1"/>
  <c r="K997" i="1"/>
  <c r="J997" i="1"/>
  <c r="I997" i="1"/>
  <c r="H997" i="1"/>
  <c r="G997" i="1"/>
  <c r="F997" i="1"/>
  <c r="E997" i="1"/>
  <c r="D997" i="1"/>
  <c r="C997" i="1"/>
  <c r="B997" i="1"/>
  <c r="A997" i="1"/>
  <c r="AK996" i="1"/>
  <c r="P996" i="1"/>
  <c r="O996" i="1"/>
  <c r="N996" i="1"/>
  <c r="M996" i="1"/>
  <c r="K996" i="1"/>
  <c r="I996" i="1"/>
  <c r="H996" i="1"/>
  <c r="G996" i="1"/>
  <c r="F996" i="1"/>
  <c r="E996" i="1"/>
  <c r="D996" i="1"/>
  <c r="C996" i="1"/>
  <c r="B996" i="1"/>
  <c r="A996" i="1"/>
  <c r="AK995" i="1"/>
  <c r="P995" i="1"/>
  <c r="O995" i="1"/>
  <c r="N995" i="1"/>
  <c r="M995" i="1"/>
  <c r="K995" i="1"/>
  <c r="J995" i="1"/>
  <c r="I995" i="1"/>
  <c r="H995" i="1"/>
  <c r="G995" i="1"/>
  <c r="F995" i="1"/>
  <c r="E995" i="1"/>
  <c r="D995" i="1"/>
  <c r="C995" i="1"/>
  <c r="B995" i="1"/>
  <c r="A995" i="1"/>
  <c r="AK994" i="1"/>
  <c r="P994" i="1"/>
  <c r="O994" i="1"/>
  <c r="N994" i="1"/>
  <c r="M994" i="1"/>
  <c r="K994" i="1"/>
  <c r="I994" i="1"/>
  <c r="H994" i="1"/>
  <c r="G994" i="1"/>
  <c r="F994" i="1"/>
  <c r="E994" i="1"/>
  <c r="D994" i="1"/>
  <c r="C994" i="1"/>
  <c r="B994" i="1"/>
  <c r="A994" i="1"/>
  <c r="AK993" i="1"/>
  <c r="P993" i="1"/>
  <c r="O993" i="1"/>
  <c r="N993" i="1"/>
  <c r="M993" i="1"/>
  <c r="K993" i="1"/>
  <c r="J993" i="1"/>
  <c r="I993" i="1"/>
  <c r="H993" i="1"/>
  <c r="G993" i="1"/>
  <c r="F993" i="1"/>
  <c r="E993" i="1"/>
  <c r="D993" i="1"/>
  <c r="C993" i="1"/>
  <c r="B993" i="1"/>
  <c r="A993" i="1"/>
  <c r="AK992" i="1"/>
  <c r="P992" i="1"/>
  <c r="O992" i="1"/>
  <c r="N992" i="1"/>
  <c r="M992" i="1"/>
  <c r="K992" i="1"/>
  <c r="J992" i="1"/>
  <c r="I992" i="1"/>
  <c r="H992" i="1"/>
  <c r="G992" i="1"/>
  <c r="F992" i="1"/>
  <c r="E992" i="1"/>
  <c r="D992" i="1"/>
  <c r="C992" i="1"/>
  <c r="B992" i="1"/>
  <c r="A992" i="1"/>
  <c r="AK991" i="1"/>
  <c r="P991" i="1"/>
  <c r="O991" i="1"/>
  <c r="N991" i="1"/>
  <c r="M991" i="1"/>
  <c r="L991" i="1"/>
  <c r="K991" i="1"/>
  <c r="J991" i="1"/>
  <c r="I991" i="1"/>
  <c r="H991" i="1"/>
  <c r="G991" i="1"/>
  <c r="F991" i="1"/>
  <c r="E991" i="1"/>
  <c r="D991" i="1"/>
  <c r="C991" i="1"/>
  <c r="B991" i="1"/>
  <c r="A991" i="1"/>
  <c r="AK990" i="1"/>
  <c r="P990" i="1"/>
  <c r="O990" i="1"/>
  <c r="N990" i="1"/>
  <c r="M990" i="1"/>
  <c r="K990" i="1"/>
  <c r="I990" i="1"/>
  <c r="H990" i="1"/>
  <c r="G990" i="1"/>
  <c r="F990" i="1"/>
  <c r="E990" i="1"/>
  <c r="D990" i="1"/>
  <c r="C990" i="1"/>
  <c r="B990" i="1"/>
  <c r="A990" i="1"/>
  <c r="AK989" i="1"/>
  <c r="P989" i="1"/>
  <c r="O989" i="1"/>
  <c r="N989" i="1"/>
  <c r="M989" i="1"/>
  <c r="K989" i="1"/>
  <c r="J989" i="1"/>
  <c r="I989" i="1"/>
  <c r="H989" i="1"/>
  <c r="G989" i="1"/>
  <c r="F989" i="1"/>
  <c r="E989" i="1"/>
  <c r="D989" i="1"/>
  <c r="C989" i="1"/>
  <c r="B989" i="1"/>
  <c r="A989" i="1"/>
  <c r="AK988" i="1"/>
  <c r="P988" i="1"/>
  <c r="O988" i="1"/>
  <c r="N988" i="1"/>
  <c r="M988" i="1"/>
  <c r="K988" i="1"/>
  <c r="J988" i="1"/>
  <c r="I988" i="1"/>
  <c r="H988" i="1"/>
  <c r="G988" i="1"/>
  <c r="F988" i="1"/>
  <c r="E988" i="1"/>
  <c r="D988" i="1"/>
  <c r="C988" i="1"/>
  <c r="B988" i="1"/>
  <c r="A988" i="1"/>
  <c r="AK987" i="1"/>
  <c r="P987" i="1"/>
  <c r="O987" i="1"/>
  <c r="N987" i="1"/>
  <c r="M987" i="1"/>
  <c r="K987" i="1"/>
  <c r="J987" i="1"/>
  <c r="I987" i="1"/>
  <c r="H987" i="1"/>
  <c r="G987" i="1"/>
  <c r="F987" i="1"/>
  <c r="E987" i="1"/>
  <c r="D987" i="1"/>
  <c r="C987" i="1"/>
  <c r="B987" i="1"/>
  <c r="A987" i="1"/>
  <c r="AK986" i="1"/>
  <c r="P986" i="1"/>
  <c r="O986" i="1"/>
  <c r="N986" i="1"/>
  <c r="M986" i="1"/>
  <c r="K986" i="1"/>
  <c r="J986" i="1"/>
  <c r="I986" i="1"/>
  <c r="H986" i="1"/>
  <c r="G986" i="1"/>
  <c r="F986" i="1"/>
  <c r="E986" i="1"/>
  <c r="D986" i="1"/>
  <c r="C986" i="1"/>
  <c r="B986" i="1"/>
  <c r="A986" i="1"/>
  <c r="AK985" i="1"/>
  <c r="P985" i="1"/>
  <c r="N985" i="1"/>
  <c r="M985" i="1"/>
  <c r="K985" i="1"/>
  <c r="J985" i="1"/>
  <c r="I985" i="1"/>
  <c r="H985" i="1"/>
  <c r="G985" i="1"/>
  <c r="F985" i="1"/>
  <c r="E985" i="1"/>
  <c r="D985" i="1"/>
  <c r="C985" i="1"/>
  <c r="B985" i="1"/>
  <c r="A985" i="1"/>
  <c r="AK984" i="1"/>
  <c r="P984" i="1"/>
  <c r="O984" i="1"/>
  <c r="N984" i="1"/>
  <c r="M984" i="1"/>
  <c r="K984" i="1"/>
  <c r="J984" i="1"/>
  <c r="I984" i="1"/>
  <c r="H984" i="1"/>
  <c r="G984" i="1"/>
  <c r="F984" i="1"/>
  <c r="E984" i="1"/>
  <c r="D984" i="1"/>
  <c r="C984" i="1"/>
  <c r="B984" i="1"/>
  <c r="A984" i="1"/>
  <c r="AK983" i="1"/>
  <c r="P983" i="1"/>
  <c r="O983" i="1"/>
  <c r="N983" i="1"/>
  <c r="M983" i="1"/>
  <c r="K983" i="1"/>
  <c r="J983" i="1"/>
  <c r="I983" i="1"/>
  <c r="H983" i="1"/>
  <c r="G983" i="1"/>
  <c r="F983" i="1"/>
  <c r="E983" i="1"/>
  <c r="D983" i="1"/>
  <c r="C983" i="1"/>
  <c r="B983" i="1"/>
  <c r="A983" i="1"/>
  <c r="AK982" i="1"/>
  <c r="P982" i="1"/>
  <c r="O982" i="1"/>
  <c r="N982" i="1"/>
  <c r="M982" i="1"/>
  <c r="K982" i="1"/>
  <c r="I982" i="1"/>
  <c r="H982" i="1"/>
  <c r="G982" i="1"/>
  <c r="F982" i="1"/>
  <c r="E982" i="1"/>
  <c r="D982" i="1"/>
  <c r="C982" i="1"/>
  <c r="B982" i="1"/>
  <c r="A982" i="1"/>
  <c r="AK981" i="1"/>
  <c r="P981" i="1"/>
  <c r="O981" i="1"/>
  <c r="N981" i="1"/>
  <c r="M981" i="1"/>
  <c r="K981" i="1"/>
  <c r="J981" i="1"/>
  <c r="I981" i="1"/>
  <c r="H981" i="1"/>
  <c r="G981" i="1"/>
  <c r="F981" i="1"/>
  <c r="E981" i="1"/>
  <c r="D981" i="1"/>
  <c r="C981" i="1"/>
  <c r="B981" i="1"/>
  <c r="A981" i="1"/>
  <c r="AK980" i="1"/>
  <c r="P980" i="1"/>
  <c r="O980" i="1"/>
  <c r="N980" i="1"/>
  <c r="M980" i="1"/>
  <c r="K980" i="1"/>
  <c r="I980" i="1"/>
  <c r="H980" i="1"/>
  <c r="G980" i="1"/>
  <c r="F980" i="1"/>
  <c r="E980" i="1"/>
  <c r="D980" i="1"/>
  <c r="C980" i="1"/>
  <c r="B980" i="1"/>
  <c r="A980" i="1"/>
  <c r="AK979" i="1"/>
  <c r="P979" i="1"/>
  <c r="N979" i="1"/>
  <c r="M979" i="1"/>
  <c r="K979" i="1"/>
  <c r="J979" i="1"/>
  <c r="I979" i="1"/>
  <c r="H979" i="1"/>
  <c r="G979" i="1"/>
  <c r="F979" i="1"/>
  <c r="E979" i="1"/>
  <c r="D979" i="1"/>
  <c r="C979" i="1"/>
  <c r="B979" i="1"/>
  <c r="A979" i="1"/>
  <c r="AK978" i="1"/>
  <c r="P978" i="1"/>
  <c r="O978" i="1"/>
  <c r="N978" i="1"/>
  <c r="M978" i="1"/>
  <c r="K978" i="1"/>
  <c r="J978" i="1"/>
  <c r="I978" i="1"/>
  <c r="H978" i="1"/>
  <c r="G978" i="1"/>
  <c r="F978" i="1"/>
  <c r="E978" i="1"/>
  <c r="D978" i="1"/>
  <c r="C978" i="1"/>
  <c r="B978" i="1"/>
  <c r="A978" i="1"/>
  <c r="AK977" i="1"/>
  <c r="P977" i="1"/>
  <c r="O977" i="1"/>
  <c r="N977" i="1"/>
  <c r="M977" i="1"/>
  <c r="K977" i="1"/>
  <c r="J977" i="1"/>
  <c r="I977" i="1"/>
  <c r="H977" i="1"/>
  <c r="G977" i="1"/>
  <c r="F977" i="1"/>
  <c r="E977" i="1"/>
  <c r="D977" i="1"/>
  <c r="C977" i="1"/>
  <c r="B977" i="1"/>
  <c r="A977" i="1"/>
  <c r="AK976" i="1"/>
  <c r="P976" i="1"/>
  <c r="O976" i="1"/>
  <c r="N976" i="1"/>
  <c r="M976" i="1"/>
  <c r="K976" i="1"/>
  <c r="I976" i="1"/>
  <c r="H976" i="1"/>
  <c r="G976" i="1"/>
  <c r="F976" i="1"/>
  <c r="E976" i="1"/>
  <c r="D976" i="1"/>
  <c r="C976" i="1"/>
  <c r="B976" i="1"/>
  <c r="A976" i="1"/>
  <c r="AK975" i="1"/>
  <c r="P975" i="1"/>
  <c r="O975" i="1"/>
  <c r="N975" i="1"/>
  <c r="M975" i="1"/>
  <c r="K975" i="1"/>
  <c r="J975" i="1"/>
  <c r="I975" i="1"/>
  <c r="H975" i="1"/>
  <c r="G975" i="1"/>
  <c r="F975" i="1"/>
  <c r="E975" i="1"/>
  <c r="D975" i="1"/>
  <c r="C975" i="1"/>
  <c r="B975" i="1"/>
  <c r="A975" i="1"/>
  <c r="AK974" i="1"/>
  <c r="P974" i="1"/>
  <c r="N974" i="1"/>
  <c r="M974" i="1"/>
  <c r="K974" i="1"/>
  <c r="J974" i="1"/>
  <c r="I974" i="1"/>
  <c r="H974" i="1"/>
  <c r="G974" i="1"/>
  <c r="F974" i="1"/>
  <c r="E974" i="1"/>
  <c r="D974" i="1"/>
  <c r="C974" i="1"/>
  <c r="B974" i="1"/>
  <c r="A974" i="1"/>
  <c r="AK973" i="1"/>
  <c r="P973" i="1"/>
  <c r="O973" i="1"/>
  <c r="N973" i="1"/>
  <c r="M973" i="1"/>
  <c r="K973" i="1"/>
  <c r="J973" i="1"/>
  <c r="I973" i="1"/>
  <c r="H973" i="1"/>
  <c r="G973" i="1"/>
  <c r="F973" i="1"/>
  <c r="E973" i="1"/>
  <c r="D973" i="1"/>
  <c r="C973" i="1"/>
  <c r="B973" i="1"/>
  <c r="A973" i="1"/>
  <c r="AK972" i="1"/>
  <c r="P972" i="1"/>
  <c r="O972" i="1"/>
  <c r="N972" i="1"/>
  <c r="M972" i="1"/>
  <c r="K972" i="1"/>
  <c r="I972" i="1"/>
  <c r="H972" i="1"/>
  <c r="G972" i="1"/>
  <c r="F972" i="1"/>
  <c r="E972" i="1"/>
  <c r="D972" i="1"/>
  <c r="C972" i="1"/>
  <c r="B972" i="1"/>
  <c r="A972" i="1"/>
  <c r="AK971" i="1"/>
  <c r="P971" i="1"/>
  <c r="O971" i="1"/>
  <c r="N971" i="1"/>
  <c r="M971" i="1"/>
  <c r="K971" i="1"/>
  <c r="J971" i="1"/>
  <c r="I971" i="1"/>
  <c r="H971" i="1"/>
  <c r="G971" i="1"/>
  <c r="F971" i="1"/>
  <c r="E971" i="1"/>
  <c r="D971" i="1"/>
  <c r="C971" i="1"/>
  <c r="B971" i="1"/>
  <c r="A971" i="1"/>
  <c r="AK970" i="1"/>
  <c r="P970" i="1"/>
  <c r="O970" i="1"/>
  <c r="N970" i="1"/>
  <c r="M970" i="1"/>
  <c r="K970" i="1"/>
  <c r="J970" i="1"/>
  <c r="I970" i="1"/>
  <c r="H970" i="1"/>
  <c r="G970" i="1"/>
  <c r="F970" i="1"/>
  <c r="E970" i="1"/>
  <c r="D970" i="1"/>
  <c r="C970" i="1"/>
  <c r="B970" i="1"/>
  <c r="A970" i="1"/>
  <c r="AK969" i="1"/>
  <c r="P969" i="1"/>
  <c r="O969" i="1"/>
  <c r="N969" i="1"/>
  <c r="M969" i="1"/>
  <c r="K969" i="1"/>
  <c r="J969" i="1"/>
  <c r="I969" i="1"/>
  <c r="H969" i="1"/>
  <c r="G969" i="1"/>
  <c r="F969" i="1"/>
  <c r="E969" i="1"/>
  <c r="D969" i="1"/>
  <c r="C969" i="1"/>
  <c r="B969" i="1"/>
  <c r="A969" i="1"/>
  <c r="AK968" i="1"/>
  <c r="P968" i="1"/>
  <c r="O968" i="1"/>
  <c r="N968" i="1"/>
  <c r="M968" i="1"/>
  <c r="K968" i="1"/>
  <c r="J968" i="1"/>
  <c r="I968" i="1"/>
  <c r="H968" i="1"/>
  <c r="G968" i="1"/>
  <c r="F968" i="1"/>
  <c r="E968" i="1"/>
  <c r="D968" i="1"/>
  <c r="C968" i="1"/>
  <c r="B968" i="1"/>
  <c r="A968" i="1"/>
  <c r="AK967" i="1"/>
  <c r="P967" i="1"/>
  <c r="N967" i="1"/>
  <c r="M967" i="1"/>
  <c r="K967" i="1"/>
  <c r="J967" i="1"/>
  <c r="I967" i="1"/>
  <c r="H967" i="1"/>
  <c r="G967" i="1"/>
  <c r="F967" i="1"/>
  <c r="E967" i="1"/>
  <c r="D967" i="1"/>
  <c r="C967" i="1"/>
  <c r="B967" i="1"/>
  <c r="A967" i="1"/>
  <c r="AK966" i="1"/>
  <c r="P966" i="1"/>
  <c r="O966" i="1"/>
  <c r="N966" i="1"/>
  <c r="M966" i="1"/>
  <c r="K966" i="1"/>
  <c r="I966" i="1"/>
  <c r="H966" i="1"/>
  <c r="G966" i="1"/>
  <c r="F966" i="1"/>
  <c r="E966" i="1"/>
  <c r="D966" i="1"/>
  <c r="C966" i="1"/>
  <c r="B966" i="1"/>
  <c r="A966" i="1"/>
  <c r="AK965" i="1"/>
  <c r="P965" i="1"/>
  <c r="O965" i="1"/>
  <c r="N965" i="1"/>
  <c r="M965" i="1"/>
  <c r="K965" i="1"/>
  <c r="J965" i="1"/>
  <c r="I965" i="1"/>
  <c r="H965" i="1"/>
  <c r="G965" i="1"/>
  <c r="F965" i="1"/>
  <c r="E965" i="1"/>
  <c r="D965" i="1"/>
  <c r="C965" i="1"/>
  <c r="B965" i="1"/>
  <c r="A965" i="1"/>
  <c r="AK964" i="1"/>
  <c r="AE964" i="1"/>
  <c r="AD964" i="1"/>
  <c r="P964" i="1"/>
  <c r="O964" i="1"/>
  <c r="N964" i="1"/>
  <c r="M964" i="1"/>
  <c r="K964" i="1"/>
  <c r="J964" i="1"/>
  <c r="I964" i="1"/>
  <c r="H964" i="1"/>
  <c r="G964" i="1"/>
  <c r="F964" i="1"/>
  <c r="E964" i="1"/>
  <c r="D964" i="1"/>
  <c r="C964" i="1"/>
  <c r="B964" i="1"/>
  <c r="A964" i="1"/>
  <c r="AK963" i="1"/>
  <c r="P963" i="1"/>
  <c r="O963" i="1"/>
  <c r="N963" i="1"/>
  <c r="M963" i="1"/>
  <c r="K963" i="1"/>
  <c r="J963" i="1"/>
  <c r="I963" i="1"/>
  <c r="H963" i="1"/>
  <c r="G963" i="1"/>
  <c r="F963" i="1"/>
  <c r="E963" i="1"/>
  <c r="D963" i="1"/>
  <c r="C963" i="1"/>
  <c r="B963" i="1"/>
  <c r="A963" i="1"/>
  <c r="AK962" i="1"/>
  <c r="P962" i="1"/>
  <c r="N962" i="1"/>
  <c r="M962" i="1"/>
  <c r="K962" i="1"/>
  <c r="J962" i="1"/>
  <c r="I962" i="1"/>
  <c r="H962" i="1"/>
  <c r="G962" i="1"/>
  <c r="F962" i="1"/>
  <c r="E962" i="1"/>
  <c r="D962" i="1"/>
  <c r="C962" i="1"/>
  <c r="B962" i="1"/>
  <c r="A962" i="1"/>
  <c r="AK961" i="1"/>
  <c r="P961" i="1"/>
  <c r="O961" i="1"/>
  <c r="N961" i="1"/>
  <c r="M961" i="1"/>
  <c r="K961" i="1"/>
  <c r="J961" i="1"/>
  <c r="I961" i="1"/>
  <c r="H961" i="1"/>
  <c r="G961" i="1"/>
  <c r="F961" i="1"/>
  <c r="E961" i="1"/>
  <c r="D961" i="1"/>
  <c r="C961" i="1"/>
  <c r="B961" i="1"/>
  <c r="A961" i="1"/>
  <c r="AK960" i="1"/>
  <c r="P960" i="1"/>
  <c r="N960" i="1"/>
  <c r="M960" i="1"/>
  <c r="K960" i="1"/>
  <c r="J960" i="1"/>
  <c r="I960" i="1"/>
  <c r="H960" i="1"/>
  <c r="G960" i="1"/>
  <c r="F960" i="1"/>
  <c r="E960" i="1"/>
  <c r="D960" i="1"/>
  <c r="C960" i="1"/>
  <c r="B960" i="1"/>
  <c r="A960" i="1"/>
  <c r="AK959" i="1"/>
  <c r="P959" i="1"/>
  <c r="O959" i="1"/>
  <c r="N959" i="1"/>
  <c r="M959" i="1"/>
  <c r="K959" i="1"/>
  <c r="J959" i="1"/>
  <c r="I959" i="1"/>
  <c r="H959" i="1"/>
  <c r="G959" i="1"/>
  <c r="F959" i="1"/>
  <c r="E959" i="1"/>
  <c r="D959" i="1"/>
  <c r="C959" i="1"/>
  <c r="B959" i="1"/>
  <c r="A959" i="1"/>
  <c r="AK958" i="1"/>
  <c r="P958" i="1"/>
  <c r="N958" i="1"/>
  <c r="M958" i="1"/>
  <c r="K958" i="1"/>
  <c r="J958" i="1"/>
  <c r="I958" i="1"/>
  <c r="H958" i="1"/>
  <c r="G958" i="1"/>
  <c r="F958" i="1"/>
  <c r="E958" i="1"/>
  <c r="D958" i="1"/>
  <c r="C958" i="1"/>
  <c r="B958" i="1"/>
  <c r="A958" i="1"/>
  <c r="AK957" i="1"/>
  <c r="P957" i="1"/>
  <c r="O957" i="1"/>
  <c r="N957" i="1"/>
  <c r="M957" i="1"/>
  <c r="K957" i="1"/>
  <c r="J957" i="1"/>
  <c r="I957" i="1"/>
  <c r="H957" i="1"/>
  <c r="G957" i="1"/>
  <c r="F957" i="1"/>
  <c r="E957" i="1"/>
  <c r="D957" i="1"/>
  <c r="C957" i="1"/>
  <c r="B957" i="1"/>
  <c r="A957" i="1"/>
  <c r="AK956" i="1"/>
  <c r="P956" i="1"/>
  <c r="O956" i="1"/>
  <c r="N956" i="1"/>
  <c r="M956" i="1"/>
  <c r="K956" i="1"/>
  <c r="J956" i="1"/>
  <c r="I956" i="1"/>
  <c r="H956" i="1"/>
  <c r="G956" i="1"/>
  <c r="F956" i="1"/>
  <c r="E956" i="1"/>
  <c r="D956" i="1"/>
  <c r="C956" i="1"/>
  <c r="B956" i="1"/>
  <c r="A956" i="1"/>
  <c r="AK955" i="1"/>
  <c r="P955" i="1"/>
  <c r="O955" i="1"/>
  <c r="N955" i="1"/>
  <c r="M955" i="1"/>
  <c r="K955" i="1"/>
  <c r="J955" i="1"/>
  <c r="I955" i="1"/>
  <c r="H955" i="1"/>
  <c r="G955" i="1"/>
  <c r="F955" i="1"/>
  <c r="E955" i="1"/>
  <c r="D955" i="1"/>
  <c r="C955" i="1"/>
  <c r="B955" i="1"/>
  <c r="A955" i="1"/>
  <c r="AK954" i="1"/>
  <c r="P954" i="1"/>
  <c r="O954" i="1"/>
  <c r="N954" i="1"/>
  <c r="M954" i="1"/>
  <c r="K954" i="1"/>
  <c r="J954" i="1"/>
  <c r="I954" i="1"/>
  <c r="H954" i="1"/>
  <c r="G954" i="1"/>
  <c r="F954" i="1"/>
  <c r="E954" i="1"/>
  <c r="D954" i="1"/>
  <c r="C954" i="1"/>
  <c r="B954" i="1"/>
  <c r="A954" i="1"/>
  <c r="AK953" i="1"/>
  <c r="P953" i="1"/>
  <c r="O953" i="1"/>
  <c r="N953" i="1"/>
  <c r="M953" i="1"/>
  <c r="K953" i="1"/>
  <c r="J953" i="1"/>
  <c r="I953" i="1"/>
  <c r="H953" i="1"/>
  <c r="G953" i="1"/>
  <c r="F953" i="1"/>
  <c r="E953" i="1"/>
  <c r="D953" i="1"/>
  <c r="C953" i="1"/>
  <c r="B953" i="1"/>
  <c r="A953" i="1"/>
  <c r="AK952" i="1"/>
  <c r="P952" i="1"/>
  <c r="O952" i="1"/>
  <c r="N952" i="1"/>
  <c r="M952" i="1"/>
  <c r="K952" i="1"/>
  <c r="J952" i="1"/>
  <c r="I952" i="1"/>
  <c r="H952" i="1"/>
  <c r="G952" i="1"/>
  <c r="F952" i="1"/>
  <c r="E952" i="1"/>
  <c r="D952" i="1"/>
  <c r="C952" i="1"/>
  <c r="B952" i="1"/>
  <c r="A952" i="1"/>
  <c r="AK951" i="1"/>
  <c r="P951" i="1"/>
  <c r="O951" i="1"/>
  <c r="N951" i="1"/>
  <c r="M951" i="1"/>
  <c r="K951" i="1"/>
  <c r="I951" i="1"/>
  <c r="H951" i="1"/>
  <c r="G951" i="1"/>
  <c r="F951" i="1"/>
  <c r="E951" i="1"/>
  <c r="D951" i="1"/>
  <c r="C951" i="1"/>
  <c r="B951" i="1"/>
  <c r="A951" i="1"/>
  <c r="AK950" i="1"/>
  <c r="P950" i="1"/>
  <c r="O950" i="1"/>
  <c r="N950" i="1"/>
  <c r="M950" i="1"/>
  <c r="K950" i="1"/>
  <c r="I950" i="1"/>
  <c r="H950" i="1"/>
  <c r="G950" i="1"/>
  <c r="F950" i="1"/>
  <c r="E950" i="1"/>
  <c r="D950" i="1"/>
  <c r="C950" i="1"/>
  <c r="B950" i="1"/>
  <c r="A950" i="1"/>
  <c r="AK949" i="1"/>
  <c r="P949" i="1"/>
  <c r="O949" i="1"/>
  <c r="N949" i="1"/>
  <c r="M949" i="1"/>
  <c r="K949" i="1"/>
  <c r="J949" i="1"/>
  <c r="I949" i="1"/>
  <c r="H949" i="1"/>
  <c r="G949" i="1"/>
  <c r="F949" i="1"/>
  <c r="E949" i="1"/>
  <c r="D949" i="1"/>
  <c r="C949" i="1"/>
  <c r="B949" i="1"/>
  <c r="A949" i="1"/>
  <c r="AK948" i="1"/>
  <c r="P948" i="1"/>
  <c r="O948" i="1"/>
  <c r="N948" i="1"/>
  <c r="M948" i="1"/>
  <c r="K948" i="1"/>
  <c r="J948" i="1"/>
  <c r="I948" i="1"/>
  <c r="H948" i="1"/>
  <c r="G948" i="1"/>
  <c r="F948" i="1"/>
  <c r="E948" i="1"/>
  <c r="D948" i="1"/>
  <c r="C948" i="1"/>
  <c r="B948" i="1"/>
  <c r="A948" i="1"/>
  <c r="AK947" i="1"/>
  <c r="P947" i="1"/>
  <c r="N947" i="1"/>
  <c r="M947" i="1"/>
  <c r="K947" i="1"/>
  <c r="J947" i="1"/>
  <c r="I947" i="1"/>
  <c r="H947" i="1"/>
  <c r="G947" i="1"/>
  <c r="F947" i="1"/>
  <c r="E947" i="1"/>
  <c r="D947" i="1"/>
  <c r="C947" i="1"/>
  <c r="B947" i="1"/>
  <c r="A947" i="1"/>
  <c r="AK946" i="1"/>
  <c r="P946" i="1"/>
  <c r="O946" i="1"/>
  <c r="N946" i="1"/>
  <c r="M946" i="1"/>
  <c r="K946" i="1"/>
  <c r="J946" i="1"/>
  <c r="I946" i="1"/>
  <c r="H946" i="1"/>
  <c r="G946" i="1"/>
  <c r="F946" i="1"/>
  <c r="E946" i="1"/>
  <c r="D946" i="1"/>
  <c r="C946" i="1"/>
  <c r="B946" i="1"/>
  <c r="A946" i="1"/>
  <c r="AK945" i="1"/>
  <c r="P945" i="1"/>
  <c r="O945" i="1"/>
  <c r="N945" i="1"/>
  <c r="M945" i="1"/>
  <c r="K945" i="1"/>
  <c r="J945" i="1"/>
  <c r="I945" i="1"/>
  <c r="H945" i="1"/>
  <c r="G945" i="1"/>
  <c r="F945" i="1"/>
  <c r="E945" i="1"/>
  <c r="D945" i="1"/>
  <c r="C945" i="1"/>
  <c r="B945" i="1"/>
  <c r="A945" i="1"/>
  <c r="AK944" i="1"/>
  <c r="P944" i="1"/>
  <c r="O944" i="1"/>
  <c r="N944" i="1"/>
  <c r="M944" i="1"/>
  <c r="K944" i="1"/>
  <c r="J944" i="1"/>
  <c r="I944" i="1"/>
  <c r="H944" i="1"/>
  <c r="G944" i="1"/>
  <c r="F944" i="1"/>
  <c r="E944" i="1"/>
  <c r="D944" i="1"/>
  <c r="C944" i="1"/>
  <c r="B944" i="1"/>
  <c r="A944" i="1"/>
  <c r="AK943" i="1"/>
  <c r="P943" i="1"/>
  <c r="O943" i="1"/>
  <c r="N943" i="1"/>
  <c r="M943" i="1"/>
  <c r="K943" i="1"/>
  <c r="J943" i="1"/>
  <c r="I943" i="1"/>
  <c r="H943" i="1"/>
  <c r="G943" i="1"/>
  <c r="F943" i="1"/>
  <c r="E943" i="1"/>
  <c r="D943" i="1"/>
  <c r="C943" i="1"/>
  <c r="B943" i="1"/>
  <c r="A943" i="1"/>
  <c r="AK942" i="1"/>
  <c r="P942" i="1"/>
  <c r="O942" i="1"/>
  <c r="N942" i="1"/>
  <c r="M942" i="1"/>
  <c r="K942" i="1"/>
  <c r="J942" i="1"/>
  <c r="I942" i="1"/>
  <c r="H942" i="1"/>
  <c r="G942" i="1"/>
  <c r="F942" i="1"/>
  <c r="E942" i="1"/>
  <c r="D942" i="1"/>
  <c r="C942" i="1"/>
  <c r="B942" i="1"/>
  <c r="A942" i="1"/>
  <c r="AK941" i="1"/>
  <c r="P941" i="1"/>
  <c r="O941" i="1"/>
  <c r="N941" i="1"/>
  <c r="M941" i="1"/>
  <c r="K941" i="1"/>
  <c r="J941" i="1"/>
  <c r="I941" i="1"/>
  <c r="H941" i="1"/>
  <c r="G941" i="1"/>
  <c r="F941" i="1"/>
  <c r="E941" i="1"/>
  <c r="D941" i="1"/>
  <c r="C941" i="1"/>
  <c r="B941" i="1"/>
  <c r="A941" i="1"/>
  <c r="AK940" i="1"/>
  <c r="P940" i="1"/>
  <c r="O940" i="1"/>
  <c r="N940" i="1"/>
  <c r="M940" i="1"/>
  <c r="K940" i="1"/>
  <c r="J940" i="1"/>
  <c r="I940" i="1"/>
  <c r="H940" i="1"/>
  <c r="G940" i="1"/>
  <c r="F940" i="1"/>
  <c r="E940" i="1"/>
  <c r="D940" i="1"/>
  <c r="C940" i="1"/>
  <c r="B940" i="1"/>
  <c r="A940" i="1"/>
  <c r="AK939" i="1"/>
  <c r="P939" i="1"/>
  <c r="O939" i="1"/>
  <c r="N939" i="1"/>
  <c r="M939" i="1"/>
  <c r="K939" i="1"/>
  <c r="J939" i="1"/>
  <c r="I939" i="1"/>
  <c r="H939" i="1"/>
  <c r="G939" i="1"/>
  <c r="F939" i="1"/>
  <c r="E939" i="1"/>
  <c r="D939" i="1"/>
  <c r="C939" i="1"/>
  <c r="B939" i="1"/>
  <c r="A939" i="1"/>
  <c r="AK938" i="1"/>
  <c r="P938" i="1"/>
  <c r="N938" i="1"/>
  <c r="M938" i="1"/>
  <c r="K938" i="1"/>
  <c r="J938" i="1"/>
  <c r="I938" i="1"/>
  <c r="H938" i="1"/>
  <c r="G938" i="1"/>
  <c r="F938" i="1"/>
  <c r="E938" i="1"/>
  <c r="D938" i="1"/>
  <c r="C938" i="1"/>
  <c r="B938" i="1"/>
  <c r="A938" i="1"/>
  <c r="AK937" i="1"/>
  <c r="P937" i="1"/>
  <c r="O937" i="1"/>
  <c r="N937" i="1"/>
  <c r="M937" i="1"/>
  <c r="K937" i="1"/>
  <c r="J937" i="1"/>
  <c r="I937" i="1"/>
  <c r="H937" i="1"/>
  <c r="G937" i="1"/>
  <c r="F937" i="1"/>
  <c r="E937" i="1"/>
  <c r="D937" i="1"/>
  <c r="C937" i="1"/>
  <c r="B937" i="1"/>
  <c r="A937" i="1"/>
  <c r="AK936" i="1"/>
  <c r="P936" i="1"/>
  <c r="O936" i="1"/>
  <c r="N936" i="1"/>
  <c r="M936" i="1"/>
  <c r="K936" i="1"/>
  <c r="J936" i="1"/>
  <c r="I936" i="1"/>
  <c r="H936" i="1"/>
  <c r="G936" i="1"/>
  <c r="F936" i="1"/>
  <c r="E936" i="1"/>
  <c r="D936" i="1"/>
  <c r="C936" i="1"/>
  <c r="B936" i="1"/>
  <c r="A936" i="1"/>
  <c r="AK935" i="1"/>
  <c r="P935" i="1"/>
  <c r="N935" i="1"/>
  <c r="M935" i="1"/>
  <c r="K935" i="1"/>
  <c r="J935" i="1"/>
  <c r="I935" i="1"/>
  <c r="H935" i="1"/>
  <c r="G935" i="1"/>
  <c r="F935" i="1"/>
  <c r="E935" i="1"/>
  <c r="D935" i="1"/>
  <c r="C935" i="1"/>
  <c r="B935" i="1"/>
  <c r="A935" i="1"/>
  <c r="AK934" i="1"/>
  <c r="P934" i="1"/>
  <c r="N934" i="1"/>
  <c r="M934" i="1"/>
  <c r="K934" i="1"/>
  <c r="J934" i="1"/>
  <c r="I934" i="1"/>
  <c r="H934" i="1"/>
  <c r="G934" i="1"/>
  <c r="F934" i="1"/>
  <c r="E934" i="1"/>
  <c r="D934" i="1"/>
  <c r="C934" i="1"/>
  <c r="B934" i="1"/>
  <c r="A934" i="1"/>
  <c r="AK933" i="1"/>
  <c r="P933" i="1"/>
  <c r="O933" i="1"/>
  <c r="N933" i="1"/>
  <c r="M933" i="1"/>
  <c r="K933" i="1"/>
  <c r="J933" i="1"/>
  <c r="I933" i="1"/>
  <c r="H933" i="1"/>
  <c r="G933" i="1"/>
  <c r="F933" i="1"/>
  <c r="E933" i="1"/>
  <c r="D933" i="1"/>
  <c r="C933" i="1"/>
  <c r="B933" i="1"/>
  <c r="A933" i="1"/>
  <c r="AK932" i="1"/>
  <c r="P932" i="1"/>
  <c r="O932" i="1"/>
  <c r="N932" i="1"/>
  <c r="M932" i="1"/>
  <c r="K932" i="1"/>
  <c r="J932" i="1"/>
  <c r="I932" i="1"/>
  <c r="H932" i="1"/>
  <c r="G932" i="1"/>
  <c r="F932" i="1"/>
  <c r="E932" i="1"/>
  <c r="D932" i="1"/>
  <c r="C932" i="1"/>
  <c r="B932" i="1"/>
  <c r="A932" i="1"/>
  <c r="AK931" i="1"/>
  <c r="P931" i="1"/>
  <c r="O931" i="1"/>
  <c r="N931" i="1"/>
  <c r="M931" i="1"/>
  <c r="K931" i="1"/>
  <c r="J931" i="1"/>
  <c r="I931" i="1"/>
  <c r="H931" i="1"/>
  <c r="G931" i="1"/>
  <c r="F931" i="1"/>
  <c r="E931" i="1"/>
  <c r="D931" i="1"/>
  <c r="C931" i="1"/>
  <c r="B931" i="1"/>
  <c r="A931" i="1"/>
  <c r="AK930" i="1"/>
  <c r="P930" i="1"/>
  <c r="O930" i="1"/>
  <c r="N930" i="1"/>
  <c r="M930" i="1"/>
  <c r="K930" i="1"/>
  <c r="I930" i="1"/>
  <c r="H930" i="1"/>
  <c r="G930" i="1"/>
  <c r="F930" i="1"/>
  <c r="E930" i="1"/>
  <c r="D930" i="1"/>
  <c r="C930" i="1"/>
  <c r="B930" i="1"/>
  <c r="A930" i="1"/>
  <c r="AK929" i="1"/>
  <c r="Q929" i="1"/>
  <c r="P929" i="1"/>
  <c r="O929" i="1"/>
  <c r="N929" i="1"/>
  <c r="M929" i="1"/>
  <c r="K929" i="1"/>
  <c r="J929" i="1"/>
  <c r="I929" i="1"/>
  <c r="H929" i="1"/>
  <c r="G929" i="1"/>
  <c r="F929" i="1"/>
  <c r="E929" i="1"/>
  <c r="D929" i="1"/>
  <c r="C929" i="1"/>
  <c r="B929" i="1"/>
  <c r="A929" i="1"/>
  <c r="AK928" i="1"/>
  <c r="Q928" i="1"/>
  <c r="P928" i="1"/>
  <c r="O928" i="1"/>
  <c r="N928" i="1"/>
  <c r="M928" i="1"/>
  <c r="K928" i="1"/>
  <c r="J928" i="1"/>
  <c r="I928" i="1"/>
  <c r="H928" i="1"/>
  <c r="G928" i="1"/>
  <c r="F928" i="1"/>
  <c r="E928" i="1"/>
  <c r="D928" i="1"/>
  <c r="C928" i="1"/>
  <c r="B928" i="1"/>
  <c r="A928" i="1"/>
  <c r="AK927" i="1"/>
  <c r="Q927" i="1"/>
  <c r="P927" i="1"/>
  <c r="N927" i="1"/>
  <c r="M927" i="1"/>
  <c r="K927" i="1"/>
  <c r="J927" i="1"/>
  <c r="I927" i="1"/>
  <c r="H927" i="1"/>
  <c r="G927" i="1"/>
  <c r="F927" i="1"/>
  <c r="E927" i="1"/>
  <c r="D927" i="1"/>
  <c r="C927" i="1"/>
  <c r="B927" i="1"/>
  <c r="A927" i="1"/>
  <c r="AK926" i="1"/>
  <c r="Q926" i="1"/>
  <c r="P926" i="1"/>
  <c r="O926" i="1"/>
  <c r="N926" i="1"/>
  <c r="M926" i="1"/>
  <c r="K926" i="1"/>
  <c r="J926" i="1"/>
  <c r="I926" i="1"/>
  <c r="H926" i="1"/>
  <c r="G926" i="1"/>
  <c r="F926" i="1"/>
  <c r="E926" i="1"/>
  <c r="D926" i="1"/>
  <c r="C926" i="1"/>
  <c r="B926" i="1"/>
  <c r="A926" i="1"/>
  <c r="AK925" i="1"/>
  <c r="Q925" i="1"/>
  <c r="P925" i="1"/>
  <c r="O925" i="1"/>
  <c r="N925" i="1"/>
  <c r="M925" i="1"/>
  <c r="K925" i="1"/>
  <c r="J925" i="1"/>
  <c r="I925" i="1"/>
  <c r="H925" i="1"/>
  <c r="G925" i="1"/>
  <c r="F925" i="1"/>
  <c r="E925" i="1"/>
  <c r="D925" i="1"/>
  <c r="C925" i="1"/>
  <c r="B925" i="1"/>
  <c r="A925" i="1"/>
  <c r="AK924" i="1"/>
  <c r="Q924" i="1"/>
  <c r="P924" i="1"/>
  <c r="O924" i="1"/>
  <c r="N924" i="1"/>
  <c r="M924" i="1"/>
  <c r="K924" i="1"/>
  <c r="J924" i="1"/>
  <c r="I924" i="1"/>
  <c r="H924" i="1"/>
  <c r="G924" i="1"/>
  <c r="F924" i="1"/>
  <c r="E924" i="1"/>
  <c r="D924" i="1"/>
  <c r="C924" i="1"/>
  <c r="B924" i="1"/>
  <c r="A924" i="1"/>
  <c r="AK923" i="1"/>
  <c r="Q923" i="1"/>
  <c r="P923" i="1"/>
  <c r="O923" i="1"/>
  <c r="N923" i="1"/>
  <c r="M923" i="1"/>
  <c r="K923" i="1"/>
  <c r="J923" i="1"/>
  <c r="I923" i="1"/>
  <c r="H923" i="1"/>
  <c r="G923" i="1"/>
  <c r="F923" i="1"/>
  <c r="E923" i="1"/>
  <c r="D923" i="1"/>
  <c r="C923" i="1"/>
  <c r="B923" i="1"/>
  <c r="A923" i="1"/>
  <c r="AK922" i="1"/>
  <c r="Q922" i="1"/>
  <c r="P922" i="1"/>
  <c r="O922" i="1"/>
  <c r="N922" i="1"/>
  <c r="M922" i="1"/>
  <c r="K922" i="1"/>
  <c r="J922" i="1"/>
  <c r="I922" i="1"/>
  <c r="H922" i="1"/>
  <c r="G922" i="1"/>
  <c r="F922" i="1"/>
  <c r="E922" i="1"/>
  <c r="D922" i="1"/>
  <c r="C922" i="1"/>
  <c r="B922" i="1"/>
  <c r="A922" i="1"/>
  <c r="AK921" i="1"/>
  <c r="Q921" i="1"/>
  <c r="P921" i="1"/>
  <c r="N921" i="1"/>
  <c r="M921" i="1"/>
  <c r="K921" i="1"/>
  <c r="J921" i="1"/>
  <c r="I921" i="1"/>
  <c r="H921" i="1"/>
  <c r="G921" i="1"/>
  <c r="F921" i="1"/>
  <c r="E921" i="1"/>
  <c r="D921" i="1"/>
  <c r="C921" i="1"/>
  <c r="B921" i="1"/>
  <c r="A921" i="1"/>
  <c r="AK920" i="1"/>
  <c r="Q920" i="1"/>
  <c r="P920" i="1"/>
  <c r="O920" i="1"/>
  <c r="N920" i="1"/>
  <c r="M920" i="1"/>
  <c r="K920" i="1"/>
  <c r="J920" i="1"/>
  <c r="I920" i="1"/>
  <c r="H920" i="1"/>
  <c r="G920" i="1"/>
  <c r="F920" i="1"/>
  <c r="E920" i="1"/>
  <c r="D920" i="1"/>
  <c r="C920" i="1"/>
  <c r="B920" i="1"/>
  <c r="A920" i="1"/>
  <c r="AK919" i="1"/>
  <c r="Q919" i="1"/>
  <c r="P919" i="1"/>
  <c r="O919" i="1"/>
  <c r="N919" i="1"/>
  <c r="M919" i="1"/>
  <c r="K919" i="1"/>
  <c r="J919" i="1"/>
  <c r="I919" i="1"/>
  <c r="H919" i="1"/>
  <c r="G919" i="1"/>
  <c r="F919" i="1"/>
  <c r="E919" i="1"/>
  <c r="D919" i="1"/>
  <c r="C919" i="1"/>
  <c r="B919" i="1"/>
  <c r="A919" i="1"/>
  <c r="AK918" i="1"/>
  <c r="Q918" i="1"/>
  <c r="P918" i="1"/>
  <c r="N918" i="1"/>
  <c r="M918" i="1"/>
  <c r="K918" i="1"/>
  <c r="J918" i="1"/>
  <c r="I918" i="1"/>
  <c r="H918" i="1"/>
  <c r="G918" i="1"/>
  <c r="F918" i="1"/>
  <c r="E918" i="1"/>
  <c r="D918" i="1"/>
  <c r="C918" i="1"/>
  <c r="B918" i="1"/>
  <c r="A918" i="1"/>
  <c r="AK917" i="1"/>
  <c r="Q917" i="1"/>
  <c r="P917" i="1"/>
  <c r="N917" i="1"/>
  <c r="M917" i="1"/>
  <c r="K917" i="1"/>
  <c r="J917" i="1"/>
  <c r="I917" i="1"/>
  <c r="H917" i="1"/>
  <c r="G917" i="1"/>
  <c r="F917" i="1"/>
  <c r="E917" i="1"/>
  <c r="D917" i="1"/>
  <c r="C917" i="1"/>
  <c r="B917" i="1"/>
  <c r="A917" i="1"/>
  <c r="AK916" i="1"/>
  <c r="Q916" i="1"/>
  <c r="P916" i="1"/>
  <c r="O916" i="1"/>
  <c r="N916" i="1"/>
  <c r="M916" i="1"/>
  <c r="L916" i="1"/>
  <c r="K916" i="1"/>
  <c r="J916" i="1"/>
  <c r="I916" i="1"/>
  <c r="H916" i="1"/>
  <c r="G916" i="1"/>
  <c r="F916" i="1"/>
  <c r="E916" i="1"/>
  <c r="D916" i="1"/>
  <c r="C916" i="1"/>
  <c r="B916" i="1"/>
  <c r="A916" i="1"/>
  <c r="AK915" i="1"/>
  <c r="Q915" i="1"/>
  <c r="P915" i="1"/>
  <c r="O915" i="1"/>
  <c r="N915" i="1"/>
  <c r="M915" i="1"/>
  <c r="K915" i="1"/>
  <c r="I915" i="1"/>
  <c r="H915" i="1"/>
  <c r="G915" i="1"/>
  <c r="F915" i="1"/>
  <c r="E915" i="1"/>
  <c r="D915" i="1"/>
  <c r="C915" i="1"/>
  <c r="B915" i="1"/>
  <c r="A915" i="1"/>
  <c r="AK914" i="1"/>
  <c r="Q914" i="1"/>
  <c r="P914" i="1"/>
  <c r="O914" i="1"/>
  <c r="N914" i="1"/>
  <c r="M914" i="1"/>
  <c r="K914" i="1"/>
  <c r="J914" i="1"/>
  <c r="I914" i="1"/>
  <c r="H914" i="1"/>
  <c r="G914" i="1"/>
  <c r="F914" i="1"/>
  <c r="E914" i="1"/>
  <c r="D914" i="1"/>
  <c r="C914" i="1"/>
  <c r="B914" i="1"/>
  <c r="A914" i="1"/>
  <c r="AK913" i="1"/>
  <c r="Q913" i="1"/>
  <c r="P913" i="1"/>
  <c r="O913" i="1"/>
  <c r="N913" i="1"/>
  <c r="M913" i="1"/>
  <c r="K913" i="1"/>
  <c r="J913" i="1"/>
  <c r="I913" i="1"/>
  <c r="H913" i="1"/>
  <c r="G913" i="1"/>
  <c r="F913" i="1"/>
  <c r="E913" i="1"/>
  <c r="D913" i="1"/>
  <c r="C913" i="1"/>
  <c r="B913" i="1"/>
  <c r="A913" i="1"/>
  <c r="AK912" i="1"/>
  <c r="Q912" i="1"/>
  <c r="P912" i="1"/>
  <c r="O912" i="1"/>
  <c r="N912" i="1"/>
  <c r="M912" i="1"/>
  <c r="K912" i="1"/>
  <c r="J912" i="1"/>
  <c r="I912" i="1"/>
  <c r="H912" i="1"/>
  <c r="G912" i="1"/>
  <c r="F912" i="1"/>
  <c r="E912" i="1"/>
  <c r="D912" i="1"/>
  <c r="C912" i="1"/>
  <c r="B912" i="1"/>
  <c r="A912" i="1"/>
  <c r="AK911" i="1"/>
  <c r="Q911" i="1"/>
  <c r="P911" i="1"/>
  <c r="N911" i="1"/>
  <c r="M911" i="1"/>
  <c r="K911" i="1"/>
  <c r="J911" i="1"/>
  <c r="I911" i="1"/>
  <c r="H911" i="1"/>
  <c r="G911" i="1"/>
  <c r="F911" i="1"/>
  <c r="E911" i="1"/>
  <c r="D911" i="1"/>
  <c r="C911" i="1"/>
  <c r="B911" i="1"/>
  <c r="A911" i="1"/>
  <c r="AK910" i="1"/>
  <c r="Q910" i="1"/>
  <c r="P910" i="1"/>
  <c r="O910" i="1"/>
  <c r="N910" i="1"/>
  <c r="M910" i="1"/>
  <c r="K910" i="1"/>
  <c r="J910" i="1"/>
  <c r="I910" i="1"/>
  <c r="H910" i="1"/>
  <c r="G910" i="1"/>
  <c r="F910" i="1"/>
  <c r="E910" i="1"/>
  <c r="D910" i="1"/>
  <c r="C910" i="1"/>
  <c r="B910" i="1"/>
  <c r="A910" i="1"/>
  <c r="AK909" i="1"/>
  <c r="Q909" i="1"/>
  <c r="P909" i="1"/>
  <c r="O909" i="1"/>
  <c r="N909" i="1"/>
  <c r="M909" i="1"/>
  <c r="K909" i="1"/>
  <c r="I909" i="1"/>
  <c r="H909" i="1"/>
  <c r="G909" i="1"/>
  <c r="F909" i="1"/>
  <c r="E909" i="1"/>
  <c r="D909" i="1"/>
  <c r="C909" i="1"/>
  <c r="B909" i="1"/>
  <c r="A909" i="1"/>
  <c r="AK908" i="1"/>
  <c r="Q908" i="1"/>
  <c r="P908" i="1"/>
  <c r="O908" i="1"/>
  <c r="N908" i="1"/>
  <c r="M908" i="1"/>
  <c r="K908" i="1"/>
  <c r="I908" i="1"/>
  <c r="H908" i="1"/>
  <c r="G908" i="1"/>
  <c r="F908" i="1"/>
  <c r="E908" i="1"/>
  <c r="D908" i="1"/>
  <c r="C908" i="1"/>
  <c r="B908" i="1"/>
  <c r="A908" i="1"/>
  <c r="AK907" i="1"/>
  <c r="Q907" i="1"/>
  <c r="P907" i="1"/>
  <c r="O907" i="1"/>
  <c r="N907" i="1"/>
  <c r="M907" i="1"/>
  <c r="K907" i="1"/>
  <c r="J907" i="1"/>
  <c r="I907" i="1"/>
  <c r="H907" i="1"/>
  <c r="G907" i="1"/>
  <c r="F907" i="1"/>
  <c r="E907" i="1"/>
  <c r="D907" i="1"/>
  <c r="C907" i="1"/>
  <c r="B907" i="1"/>
  <c r="A907" i="1"/>
  <c r="AK906" i="1"/>
  <c r="Q906" i="1"/>
  <c r="P906" i="1"/>
  <c r="O906" i="1"/>
  <c r="N906" i="1"/>
  <c r="M906" i="1"/>
  <c r="K906" i="1"/>
  <c r="I906" i="1"/>
  <c r="H906" i="1"/>
  <c r="G906" i="1"/>
  <c r="F906" i="1"/>
  <c r="E906" i="1"/>
  <c r="D906" i="1"/>
  <c r="C906" i="1"/>
  <c r="B906" i="1"/>
  <c r="A906" i="1"/>
  <c r="AK905" i="1"/>
  <c r="Q905" i="1"/>
  <c r="P905" i="1"/>
  <c r="O905" i="1"/>
  <c r="N905" i="1"/>
  <c r="M905" i="1"/>
  <c r="K905" i="1"/>
  <c r="J905" i="1"/>
  <c r="I905" i="1"/>
  <c r="H905" i="1"/>
  <c r="G905" i="1"/>
  <c r="F905" i="1"/>
  <c r="E905" i="1"/>
  <c r="D905" i="1"/>
  <c r="C905" i="1"/>
  <c r="B905" i="1"/>
  <c r="A905" i="1"/>
  <c r="AK904" i="1"/>
  <c r="Q904" i="1"/>
  <c r="P904" i="1"/>
  <c r="O904" i="1"/>
  <c r="N904" i="1"/>
  <c r="M904" i="1"/>
  <c r="K904" i="1"/>
  <c r="J904" i="1"/>
  <c r="I904" i="1"/>
  <c r="H904" i="1"/>
  <c r="G904" i="1"/>
  <c r="F904" i="1"/>
  <c r="E904" i="1"/>
  <c r="D904" i="1"/>
  <c r="C904" i="1"/>
  <c r="B904" i="1"/>
  <c r="A904" i="1"/>
  <c r="AK903" i="1"/>
  <c r="Q903" i="1"/>
  <c r="P903" i="1"/>
  <c r="O903" i="1"/>
  <c r="N903" i="1"/>
  <c r="M903" i="1"/>
  <c r="K903" i="1"/>
  <c r="J903" i="1"/>
  <c r="I903" i="1"/>
  <c r="H903" i="1"/>
  <c r="G903" i="1"/>
  <c r="F903" i="1"/>
  <c r="E903" i="1"/>
  <c r="D903" i="1"/>
  <c r="C903" i="1"/>
  <c r="B903" i="1"/>
  <c r="A903" i="1"/>
  <c r="AK902" i="1"/>
  <c r="Q902" i="1"/>
  <c r="P902" i="1"/>
  <c r="O902" i="1"/>
  <c r="N902" i="1"/>
  <c r="M902" i="1"/>
  <c r="K902" i="1"/>
  <c r="J902" i="1"/>
  <c r="I902" i="1"/>
  <c r="H902" i="1"/>
  <c r="G902" i="1"/>
  <c r="F902" i="1"/>
  <c r="E902" i="1"/>
  <c r="D902" i="1"/>
  <c r="C902" i="1"/>
  <c r="B902" i="1"/>
  <c r="A902" i="1"/>
  <c r="AK901" i="1"/>
  <c r="Q901" i="1"/>
  <c r="P901" i="1"/>
  <c r="O901" i="1"/>
  <c r="N901" i="1"/>
  <c r="M901" i="1"/>
  <c r="K901" i="1"/>
  <c r="J901" i="1"/>
  <c r="I901" i="1"/>
  <c r="H901" i="1"/>
  <c r="G901" i="1"/>
  <c r="F901" i="1"/>
  <c r="E901" i="1"/>
  <c r="D901" i="1"/>
  <c r="C901" i="1"/>
  <c r="B901" i="1"/>
  <c r="A901" i="1"/>
  <c r="AK900" i="1"/>
  <c r="Q900" i="1"/>
  <c r="P900" i="1"/>
  <c r="O900" i="1"/>
  <c r="N900" i="1"/>
  <c r="M900" i="1"/>
  <c r="K900" i="1"/>
  <c r="J900" i="1"/>
  <c r="I900" i="1"/>
  <c r="H900" i="1"/>
  <c r="G900" i="1"/>
  <c r="F900" i="1"/>
  <c r="E900" i="1"/>
  <c r="D900" i="1"/>
  <c r="B900" i="1"/>
  <c r="A900" i="1"/>
  <c r="AK899" i="1"/>
  <c r="Q899" i="1"/>
  <c r="P899" i="1"/>
  <c r="N899" i="1"/>
  <c r="M899" i="1"/>
  <c r="K899" i="1"/>
  <c r="J899" i="1"/>
  <c r="I899" i="1"/>
  <c r="H899" i="1"/>
  <c r="G899" i="1"/>
  <c r="F899" i="1"/>
  <c r="E899" i="1"/>
  <c r="D899" i="1"/>
  <c r="C899" i="1"/>
  <c r="B899" i="1"/>
  <c r="A899" i="1"/>
  <c r="AK898" i="1"/>
  <c r="Q898" i="1"/>
  <c r="P898" i="1"/>
  <c r="O898" i="1"/>
  <c r="N898" i="1"/>
  <c r="M898" i="1"/>
  <c r="K898" i="1"/>
  <c r="J898" i="1"/>
  <c r="I898" i="1"/>
  <c r="H898" i="1"/>
  <c r="G898" i="1"/>
  <c r="F898" i="1"/>
  <c r="E898" i="1"/>
  <c r="D898" i="1"/>
  <c r="C898" i="1"/>
  <c r="B898" i="1"/>
  <c r="A898" i="1"/>
  <c r="AK897" i="1"/>
  <c r="Q897" i="1"/>
  <c r="P897" i="1"/>
  <c r="O897" i="1"/>
  <c r="N897" i="1"/>
  <c r="M897" i="1"/>
  <c r="K897" i="1"/>
  <c r="J897" i="1"/>
  <c r="I897" i="1"/>
  <c r="H897" i="1"/>
  <c r="G897" i="1"/>
  <c r="F897" i="1"/>
  <c r="E897" i="1"/>
  <c r="D897" i="1"/>
  <c r="C897" i="1"/>
  <c r="B897" i="1"/>
  <c r="A897" i="1"/>
  <c r="AK896" i="1"/>
  <c r="Q896" i="1"/>
  <c r="P896" i="1"/>
  <c r="O896" i="1"/>
  <c r="N896" i="1"/>
  <c r="M896" i="1"/>
  <c r="K896" i="1"/>
  <c r="J896" i="1"/>
  <c r="I896" i="1"/>
  <c r="H896" i="1"/>
  <c r="G896" i="1"/>
  <c r="F896" i="1"/>
  <c r="E896" i="1"/>
  <c r="D896" i="1"/>
  <c r="C896" i="1"/>
  <c r="B896" i="1"/>
  <c r="A896" i="1"/>
  <c r="AK895" i="1"/>
  <c r="Q895" i="1"/>
  <c r="P895" i="1"/>
  <c r="O895" i="1"/>
  <c r="N895" i="1"/>
  <c r="M895" i="1"/>
  <c r="K895" i="1"/>
  <c r="J895" i="1"/>
  <c r="I895" i="1"/>
  <c r="H895" i="1"/>
  <c r="G895" i="1"/>
  <c r="F895" i="1"/>
  <c r="E895" i="1"/>
  <c r="D895" i="1"/>
  <c r="C895" i="1"/>
  <c r="B895" i="1"/>
  <c r="A895" i="1"/>
  <c r="AK894" i="1"/>
  <c r="Q894" i="1"/>
  <c r="P894" i="1"/>
  <c r="O894" i="1"/>
  <c r="N894" i="1"/>
  <c r="M894" i="1"/>
  <c r="K894" i="1"/>
  <c r="J894" i="1"/>
  <c r="I894" i="1"/>
  <c r="H894" i="1"/>
  <c r="G894" i="1"/>
  <c r="F894" i="1"/>
  <c r="E894" i="1"/>
  <c r="D894" i="1"/>
  <c r="C894" i="1"/>
  <c r="B894" i="1"/>
  <c r="A894" i="1"/>
  <c r="AK893" i="1"/>
  <c r="Q893" i="1"/>
  <c r="P893" i="1"/>
  <c r="O893" i="1"/>
  <c r="N893" i="1"/>
  <c r="M893" i="1"/>
  <c r="K893" i="1"/>
  <c r="J893" i="1"/>
  <c r="I893" i="1"/>
  <c r="H893" i="1"/>
  <c r="G893" i="1"/>
  <c r="F893" i="1"/>
  <c r="E893" i="1"/>
  <c r="D893" i="1"/>
  <c r="C893" i="1"/>
  <c r="B893" i="1"/>
  <c r="A893" i="1"/>
  <c r="AK892" i="1"/>
  <c r="Q892" i="1"/>
  <c r="P892" i="1"/>
  <c r="O892" i="1"/>
  <c r="N892" i="1"/>
  <c r="M892" i="1"/>
  <c r="K892" i="1"/>
  <c r="J892" i="1"/>
  <c r="I892" i="1"/>
  <c r="H892" i="1"/>
  <c r="G892" i="1"/>
  <c r="F892" i="1"/>
  <c r="E892" i="1"/>
  <c r="D892" i="1"/>
  <c r="C892" i="1"/>
  <c r="B892" i="1"/>
  <c r="A892" i="1"/>
  <c r="AK891" i="1"/>
  <c r="Q891" i="1"/>
  <c r="P891" i="1"/>
  <c r="O891" i="1"/>
  <c r="N891" i="1"/>
  <c r="M891" i="1"/>
  <c r="K891" i="1"/>
  <c r="I891" i="1"/>
  <c r="H891" i="1"/>
  <c r="G891" i="1"/>
  <c r="F891" i="1"/>
  <c r="E891" i="1"/>
  <c r="D891" i="1"/>
  <c r="C891" i="1"/>
  <c r="B891" i="1"/>
  <c r="A891" i="1"/>
  <c r="AK890" i="1"/>
  <c r="Q890" i="1"/>
  <c r="P890" i="1"/>
  <c r="O890" i="1"/>
  <c r="N890" i="1"/>
  <c r="M890" i="1"/>
  <c r="K890" i="1"/>
  <c r="J890" i="1"/>
  <c r="I890" i="1"/>
  <c r="H890" i="1"/>
  <c r="G890" i="1"/>
  <c r="F890" i="1"/>
  <c r="E890" i="1"/>
  <c r="D890" i="1"/>
  <c r="C890" i="1"/>
  <c r="B890" i="1"/>
  <c r="A890" i="1"/>
  <c r="AK889" i="1"/>
  <c r="Q889" i="1"/>
  <c r="P889" i="1"/>
  <c r="O889" i="1"/>
  <c r="N889" i="1"/>
  <c r="M889" i="1"/>
  <c r="K889" i="1"/>
  <c r="J889" i="1"/>
  <c r="I889" i="1"/>
  <c r="H889" i="1"/>
  <c r="G889" i="1"/>
  <c r="F889" i="1"/>
  <c r="E889" i="1"/>
  <c r="D889" i="1"/>
  <c r="C889" i="1"/>
  <c r="B889" i="1"/>
  <c r="A889" i="1"/>
  <c r="AK888" i="1"/>
  <c r="Q888" i="1"/>
  <c r="P888" i="1"/>
  <c r="O888" i="1"/>
  <c r="N888" i="1"/>
  <c r="M888" i="1"/>
  <c r="K888" i="1"/>
  <c r="I888" i="1"/>
  <c r="H888" i="1"/>
  <c r="G888" i="1"/>
  <c r="F888" i="1"/>
  <c r="E888" i="1"/>
  <c r="D888" i="1"/>
  <c r="C888" i="1"/>
  <c r="B888" i="1"/>
  <c r="A888" i="1"/>
  <c r="AK887" i="1"/>
  <c r="Q887" i="1"/>
  <c r="P887" i="1"/>
  <c r="O887" i="1"/>
  <c r="N887" i="1"/>
  <c r="M887" i="1"/>
  <c r="K887" i="1"/>
  <c r="J887" i="1"/>
  <c r="I887" i="1"/>
  <c r="H887" i="1"/>
  <c r="G887" i="1"/>
  <c r="F887" i="1"/>
  <c r="E887" i="1"/>
  <c r="D887" i="1"/>
  <c r="C887" i="1"/>
  <c r="B887" i="1"/>
  <c r="A887" i="1"/>
  <c r="AK886" i="1"/>
  <c r="Q886" i="1"/>
  <c r="P886" i="1"/>
  <c r="O886" i="1"/>
  <c r="N886" i="1"/>
  <c r="M886" i="1"/>
  <c r="K886" i="1"/>
  <c r="J886" i="1"/>
  <c r="I886" i="1"/>
  <c r="H886" i="1"/>
  <c r="G886" i="1"/>
  <c r="F886" i="1"/>
  <c r="E886" i="1"/>
  <c r="D886" i="1"/>
  <c r="C886" i="1"/>
  <c r="B886" i="1"/>
  <c r="A886" i="1"/>
  <c r="AK885" i="1"/>
  <c r="Q885" i="1"/>
  <c r="P885" i="1"/>
  <c r="O885" i="1"/>
  <c r="N885" i="1"/>
  <c r="M885" i="1"/>
  <c r="K885" i="1"/>
  <c r="J885" i="1"/>
  <c r="I885" i="1"/>
  <c r="H885" i="1"/>
  <c r="G885" i="1"/>
  <c r="F885" i="1"/>
  <c r="E885" i="1"/>
  <c r="D885" i="1"/>
  <c r="C885" i="1"/>
  <c r="B885" i="1"/>
  <c r="A885" i="1"/>
  <c r="AK884" i="1"/>
  <c r="Q884" i="1"/>
  <c r="P884" i="1"/>
  <c r="O884" i="1"/>
  <c r="N884" i="1"/>
  <c r="M884" i="1"/>
  <c r="K884" i="1"/>
  <c r="J884" i="1"/>
  <c r="I884" i="1"/>
  <c r="H884" i="1"/>
  <c r="G884" i="1"/>
  <c r="F884" i="1"/>
  <c r="E884" i="1"/>
  <c r="D884" i="1"/>
  <c r="C884" i="1"/>
  <c r="B884" i="1"/>
  <c r="A884" i="1"/>
  <c r="AK883" i="1"/>
  <c r="Q883" i="1"/>
  <c r="P883" i="1"/>
  <c r="O883" i="1"/>
  <c r="N883" i="1"/>
  <c r="M883" i="1"/>
  <c r="K883" i="1"/>
  <c r="J883" i="1"/>
  <c r="I883" i="1"/>
  <c r="H883" i="1"/>
  <c r="G883" i="1"/>
  <c r="F883" i="1"/>
  <c r="E883" i="1"/>
  <c r="D883" i="1"/>
  <c r="C883" i="1"/>
  <c r="B883" i="1"/>
  <c r="A883" i="1"/>
  <c r="AK882" i="1"/>
  <c r="Q882" i="1"/>
  <c r="P882" i="1"/>
  <c r="O882" i="1"/>
  <c r="N882" i="1"/>
  <c r="M882" i="1"/>
  <c r="K882" i="1"/>
  <c r="I882" i="1"/>
  <c r="H882" i="1"/>
  <c r="G882" i="1"/>
  <c r="F882" i="1"/>
  <c r="E882" i="1"/>
  <c r="D882" i="1"/>
  <c r="C882" i="1"/>
  <c r="B882" i="1"/>
  <c r="A882" i="1"/>
  <c r="AK881" i="1"/>
  <c r="Q881" i="1"/>
  <c r="P881" i="1"/>
  <c r="O881" i="1"/>
  <c r="N881" i="1"/>
  <c r="M881" i="1"/>
  <c r="K881" i="1"/>
  <c r="J881" i="1"/>
  <c r="I881" i="1"/>
  <c r="H881" i="1"/>
  <c r="G881" i="1"/>
  <c r="F881" i="1"/>
  <c r="E881" i="1"/>
  <c r="D881" i="1"/>
  <c r="C881" i="1"/>
  <c r="B881" i="1"/>
  <c r="A881" i="1"/>
  <c r="AK880" i="1"/>
  <c r="Q880" i="1"/>
  <c r="P880" i="1"/>
  <c r="O880" i="1"/>
  <c r="N880" i="1"/>
  <c r="M880" i="1"/>
  <c r="K880" i="1"/>
  <c r="I880" i="1"/>
  <c r="H880" i="1"/>
  <c r="G880" i="1"/>
  <c r="F880" i="1"/>
  <c r="E880" i="1"/>
  <c r="D880" i="1"/>
  <c r="C880" i="1"/>
  <c r="B880" i="1"/>
  <c r="A880" i="1"/>
  <c r="AK879" i="1"/>
  <c r="Q879" i="1"/>
  <c r="P879" i="1"/>
  <c r="O879" i="1"/>
  <c r="N879" i="1"/>
  <c r="M879" i="1"/>
  <c r="K879" i="1"/>
  <c r="J879" i="1"/>
  <c r="I879" i="1"/>
  <c r="H879" i="1"/>
  <c r="G879" i="1"/>
  <c r="F879" i="1"/>
  <c r="E879" i="1"/>
  <c r="D879" i="1"/>
  <c r="C879" i="1"/>
  <c r="B879" i="1"/>
  <c r="A879" i="1"/>
  <c r="AK878" i="1"/>
  <c r="Q878" i="1"/>
  <c r="P878" i="1"/>
  <c r="O878" i="1"/>
  <c r="N878" i="1"/>
  <c r="M878" i="1"/>
  <c r="K878" i="1"/>
  <c r="J878" i="1"/>
  <c r="I878" i="1"/>
  <c r="H878" i="1"/>
  <c r="G878" i="1"/>
  <c r="F878" i="1"/>
  <c r="E878" i="1"/>
  <c r="D878" i="1"/>
  <c r="C878" i="1"/>
  <c r="B878" i="1"/>
  <c r="A878" i="1"/>
  <c r="AK877" i="1"/>
  <c r="Q877" i="1"/>
  <c r="P877" i="1"/>
  <c r="O877" i="1"/>
  <c r="N877" i="1"/>
  <c r="M877" i="1"/>
  <c r="K877" i="1"/>
  <c r="J877" i="1"/>
  <c r="I877" i="1"/>
  <c r="H877" i="1"/>
  <c r="G877" i="1"/>
  <c r="F877" i="1"/>
  <c r="E877" i="1"/>
  <c r="D877" i="1"/>
  <c r="C877" i="1"/>
  <c r="B877" i="1"/>
  <c r="A877" i="1"/>
  <c r="AK876" i="1"/>
  <c r="Q876" i="1"/>
  <c r="P876" i="1"/>
  <c r="O876" i="1"/>
  <c r="N876" i="1"/>
  <c r="M876" i="1"/>
  <c r="K876" i="1"/>
  <c r="J876" i="1"/>
  <c r="I876" i="1"/>
  <c r="H876" i="1"/>
  <c r="G876" i="1"/>
  <c r="F876" i="1"/>
  <c r="E876" i="1"/>
  <c r="D876" i="1"/>
  <c r="C876" i="1"/>
  <c r="B876" i="1"/>
  <c r="A876" i="1"/>
  <c r="AK875" i="1"/>
  <c r="Q875" i="1"/>
  <c r="P875" i="1"/>
  <c r="O875" i="1"/>
  <c r="N875" i="1"/>
  <c r="M875" i="1"/>
  <c r="K875" i="1"/>
  <c r="J875" i="1"/>
  <c r="I875" i="1"/>
  <c r="H875" i="1"/>
  <c r="G875" i="1"/>
  <c r="F875" i="1"/>
  <c r="E875" i="1"/>
  <c r="D875" i="1"/>
  <c r="C875" i="1"/>
  <c r="B875" i="1"/>
  <c r="A875" i="1"/>
  <c r="AK874" i="1"/>
  <c r="Q874" i="1"/>
  <c r="P874" i="1"/>
  <c r="O874" i="1"/>
  <c r="N874" i="1"/>
  <c r="M874" i="1"/>
  <c r="K874" i="1"/>
  <c r="J874" i="1"/>
  <c r="I874" i="1"/>
  <c r="H874" i="1"/>
  <c r="G874" i="1"/>
  <c r="F874" i="1"/>
  <c r="E874" i="1"/>
  <c r="D874" i="1"/>
  <c r="C874" i="1"/>
  <c r="B874" i="1"/>
  <c r="A874" i="1"/>
  <c r="AK873" i="1"/>
  <c r="Q873" i="1"/>
  <c r="P873" i="1"/>
  <c r="O873" i="1"/>
  <c r="N873" i="1"/>
  <c r="M873" i="1"/>
  <c r="K873" i="1"/>
  <c r="J873" i="1"/>
  <c r="I873" i="1"/>
  <c r="H873" i="1"/>
  <c r="G873" i="1"/>
  <c r="F873" i="1"/>
  <c r="E873" i="1"/>
  <c r="D873" i="1"/>
  <c r="C873" i="1"/>
  <c r="B873" i="1"/>
  <c r="A873" i="1"/>
  <c r="AK872" i="1"/>
  <c r="Q872" i="1"/>
  <c r="P872" i="1"/>
  <c r="O872" i="1"/>
  <c r="N872" i="1"/>
  <c r="M872" i="1"/>
  <c r="K872" i="1"/>
  <c r="J872" i="1"/>
  <c r="I872" i="1"/>
  <c r="H872" i="1"/>
  <c r="G872" i="1"/>
  <c r="F872" i="1"/>
  <c r="E872" i="1"/>
  <c r="D872" i="1"/>
  <c r="C872" i="1"/>
  <c r="B872" i="1"/>
  <c r="A872" i="1"/>
  <c r="AK871" i="1"/>
  <c r="Q871" i="1"/>
  <c r="P871" i="1"/>
  <c r="O871" i="1"/>
  <c r="N871" i="1"/>
  <c r="M871" i="1"/>
  <c r="K871" i="1"/>
  <c r="J871" i="1"/>
  <c r="I871" i="1"/>
  <c r="H871" i="1"/>
  <c r="G871" i="1"/>
  <c r="F871" i="1"/>
  <c r="E871" i="1"/>
  <c r="D871" i="1"/>
  <c r="C871" i="1"/>
  <c r="B871" i="1"/>
  <c r="A871" i="1"/>
  <c r="AK870" i="1"/>
  <c r="Q870" i="1"/>
  <c r="P870" i="1"/>
  <c r="O870" i="1"/>
  <c r="N870" i="1"/>
  <c r="M870" i="1"/>
  <c r="K870" i="1"/>
  <c r="J870" i="1"/>
  <c r="I870" i="1"/>
  <c r="H870" i="1"/>
  <c r="G870" i="1"/>
  <c r="F870" i="1"/>
  <c r="E870" i="1"/>
  <c r="D870" i="1"/>
  <c r="C870" i="1"/>
  <c r="B870" i="1"/>
  <c r="A870" i="1"/>
  <c r="AK869" i="1"/>
  <c r="Q869" i="1"/>
  <c r="P869" i="1"/>
  <c r="O869" i="1"/>
  <c r="N869" i="1"/>
  <c r="M869" i="1"/>
  <c r="K869" i="1"/>
  <c r="J869" i="1"/>
  <c r="I869" i="1"/>
  <c r="H869" i="1"/>
  <c r="G869" i="1"/>
  <c r="F869" i="1"/>
  <c r="E869" i="1"/>
  <c r="D869" i="1"/>
  <c r="C869" i="1"/>
  <c r="B869" i="1"/>
  <c r="A869" i="1"/>
  <c r="AK868" i="1"/>
  <c r="Q868" i="1"/>
  <c r="P868" i="1"/>
  <c r="O868" i="1"/>
  <c r="N868" i="1"/>
  <c r="M868" i="1"/>
  <c r="K868" i="1"/>
  <c r="J868" i="1"/>
  <c r="I868" i="1"/>
  <c r="H868" i="1"/>
  <c r="G868" i="1"/>
  <c r="F868" i="1"/>
  <c r="E868" i="1"/>
  <c r="D868" i="1"/>
  <c r="C868" i="1"/>
  <c r="B868" i="1"/>
  <c r="A868" i="1"/>
  <c r="AK867" i="1"/>
  <c r="Q867" i="1"/>
  <c r="P867" i="1"/>
  <c r="O867" i="1"/>
  <c r="N867" i="1"/>
  <c r="M867" i="1"/>
  <c r="K867" i="1"/>
  <c r="J867" i="1"/>
  <c r="I867" i="1"/>
  <c r="H867" i="1"/>
  <c r="G867" i="1"/>
  <c r="F867" i="1"/>
  <c r="E867" i="1"/>
  <c r="D867" i="1"/>
  <c r="C867" i="1"/>
  <c r="B867" i="1"/>
  <c r="A867" i="1"/>
  <c r="AK866" i="1"/>
  <c r="Q866" i="1"/>
  <c r="P866" i="1"/>
  <c r="O866" i="1"/>
  <c r="N866" i="1"/>
  <c r="M866" i="1"/>
  <c r="K866" i="1"/>
  <c r="J866" i="1"/>
  <c r="I866" i="1"/>
  <c r="H866" i="1"/>
  <c r="G866" i="1"/>
  <c r="F866" i="1"/>
  <c r="E866" i="1"/>
  <c r="D866" i="1"/>
  <c r="C866" i="1"/>
  <c r="B866" i="1"/>
  <c r="A866" i="1"/>
  <c r="AK865" i="1"/>
  <c r="Q865" i="1"/>
  <c r="P865" i="1"/>
  <c r="O865" i="1"/>
  <c r="N865" i="1"/>
  <c r="M865" i="1"/>
  <c r="K865" i="1"/>
  <c r="J865" i="1"/>
  <c r="I865" i="1"/>
  <c r="H865" i="1"/>
  <c r="G865" i="1"/>
  <c r="F865" i="1"/>
  <c r="E865" i="1"/>
  <c r="D865" i="1"/>
  <c r="C865" i="1"/>
  <c r="B865" i="1"/>
  <c r="A865" i="1"/>
  <c r="AK864" i="1"/>
  <c r="Q864" i="1"/>
  <c r="P864" i="1"/>
  <c r="O864" i="1"/>
  <c r="N864" i="1"/>
  <c r="M864" i="1"/>
  <c r="K864" i="1"/>
  <c r="J864" i="1"/>
  <c r="I864" i="1"/>
  <c r="H864" i="1"/>
  <c r="G864" i="1"/>
  <c r="F864" i="1"/>
  <c r="E864" i="1"/>
  <c r="D864" i="1"/>
  <c r="C864" i="1"/>
  <c r="B864" i="1"/>
  <c r="A864" i="1"/>
  <c r="AK863" i="1"/>
  <c r="Q863" i="1"/>
  <c r="P863" i="1"/>
  <c r="O863" i="1"/>
  <c r="N863" i="1"/>
  <c r="M863" i="1"/>
  <c r="K863" i="1"/>
  <c r="J863" i="1"/>
  <c r="I863" i="1"/>
  <c r="H863" i="1"/>
  <c r="G863" i="1"/>
  <c r="F863" i="1"/>
  <c r="E863" i="1"/>
  <c r="D863" i="1"/>
  <c r="C863" i="1"/>
  <c r="B863" i="1"/>
  <c r="A863" i="1"/>
  <c r="AK862" i="1"/>
  <c r="Q862" i="1"/>
  <c r="P862" i="1"/>
  <c r="O862" i="1"/>
  <c r="N862" i="1"/>
  <c r="M862" i="1"/>
  <c r="K862" i="1"/>
  <c r="J862" i="1"/>
  <c r="I862" i="1"/>
  <c r="H862" i="1"/>
  <c r="G862" i="1"/>
  <c r="F862" i="1"/>
  <c r="E862" i="1"/>
  <c r="D862" i="1"/>
  <c r="C862" i="1"/>
  <c r="B862" i="1"/>
  <c r="A862" i="1"/>
  <c r="AK861" i="1"/>
  <c r="Q861" i="1"/>
  <c r="P861" i="1"/>
  <c r="O861" i="1"/>
  <c r="N861" i="1"/>
  <c r="M861" i="1"/>
  <c r="K861" i="1"/>
  <c r="J861" i="1"/>
  <c r="I861" i="1"/>
  <c r="H861" i="1"/>
  <c r="G861" i="1"/>
  <c r="F861" i="1"/>
  <c r="E861" i="1"/>
  <c r="D861" i="1"/>
  <c r="C861" i="1"/>
  <c r="B861" i="1"/>
  <c r="A861" i="1"/>
  <c r="AK860" i="1"/>
  <c r="Q860" i="1"/>
  <c r="P860" i="1"/>
  <c r="N860" i="1"/>
  <c r="M860" i="1"/>
  <c r="K860" i="1"/>
  <c r="J860" i="1"/>
  <c r="I860" i="1"/>
  <c r="H860" i="1"/>
  <c r="G860" i="1"/>
  <c r="F860" i="1"/>
  <c r="E860" i="1"/>
  <c r="D860" i="1"/>
  <c r="C860" i="1"/>
  <c r="B860" i="1"/>
  <c r="A860" i="1"/>
  <c r="AK859" i="1"/>
  <c r="Q859" i="1"/>
  <c r="P859" i="1"/>
  <c r="O859" i="1"/>
  <c r="N859" i="1"/>
  <c r="M859" i="1"/>
  <c r="K859" i="1"/>
  <c r="I859" i="1"/>
  <c r="H859" i="1"/>
  <c r="G859" i="1"/>
  <c r="F859" i="1"/>
  <c r="E859" i="1"/>
  <c r="D859" i="1"/>
  <c r="C859" i="1"/>
  <c r="B859" i="1"/>
  <c r="A859" i="1"/>
  <c r="AK858" i="1"/>
  <c r="Q858" i="1"/>
  <c r="P858" i="1"/>
  <c r="O858" i="1"/>
  <c r="N858" i="1"/>
  <c r="M858" i="1"/>
  <c r="K858" i="1"/>
  <c r="J858" i="1"/>
  <c r="I858" i="1"/>
  <c r="H858" i="1"/>
  <c r="G858" i="1"/>
  <c r="F858" i="1"/>
  <c r="E858" i="1"/>
  <c r="D858" i="1"/>
  <c r="C858" i="1"/>
  <c r="B858" i="1"/>
  <c r="A858" i="1"/>
  <c r="AK857" i="1"/>
  <c r="Q857" i="1"/>
  <c r="P857" i="1"/>
  <c r="O857" i="1"/>
  <c r="N857" i="1"/>
  <c r="M857" i="1"/>
  <c r="K857" i="1"/>
  <c r="I857" i="1"/>
  <c r="H857" i="1"/>
  <c r="G857" i="1"/>
  <c r="F857" i="1"/>
  <c r="E857" i="1"/>
  <c r="D857" i="1"/>
  <c r="C857" i="1"/>
  <c r="B857" i="1"/>
  <c r="A857" i="1"/>
  <c r="AK856" i="1"/>
  <c r="Q856" i="1"/>
  <c r="P856" i="1"/>
  <c r="O856" i="1"/>
  <c r="N856" i="1"/>
  <c r="M856" i="1"/>
  <c r="K856" i="1"/>
  <c r="J856" i="1"/>
  <c r="I856" i="1"/>
  <c r="H856" i="1"/>
  <c r="G856" i="1"/>
  <c r="F856" i="1"/>
  <c r="E856" i="1"/>
  <c r="D856" i="1"/>
  <c r="C856" i="1"/>
  <c r="B856" i="1"/>
  <c r="A856" i="1"/>
  <c r="AK855" i="1"/>
  <c r="Q855" i="1"/>
  <c r="P855" i="1"/>
  <c r="O855" i="1"/>
  <c r="N855" i="1"/>
  <c r="M855" i="1"/>
  <c r="K855" i="1"/>
  <c r="J855" i="1"/>
  <c r="I855" i="1"/>
  <c r="H855" i="1"/>
  <c r="G855" i="1"/>
  <c r="F855" i="1"/>
  <c r="E855" i="1"/>
  <c r="D855" i="1"/>
  <c r="C855" i="1"/>
  <c r="B855" i="1"/>
  <c r="A855" i="1"/>
  <c r="AK854" i="1"/>
  <c r="Q854" i="1"/>
  <c r="P854" i="1"/>
  <c r="N854" i="1"/>
  <c r="M854" i="1"/>
  <c r="K854" i="1"/>
  <c r="J854" i="1"/>
  <c r="I854" i="1"/>
  <c r="H854" i="1"/>
  <c r="G854" i="1"/>
  <c r="F854" i="1"/>
  <c r="E854" i="1"/>
  <c r="D854" i="1"/>
  <c r="C854" i="1"/>
  <c r="B854" i="1"/>
  <c r="A854" i="1"/>
  <c r="AK853" i="1"/>
  <c r="AE853" i="1"/>
  <c r="AD853" i="1"/>
  <c r="Q853" i="1"/>
  <c r="P853" i="1"/>
  <c r="O853" i="1"/>
  <c r="N853" i="1"/>
  <c r="M853" i="1"/>
  <c r="K853" i="1"/>
  <c r="J853" i="1"/>
  <c r="I853" i="1"/>
  <c r="H853" i="1"/>
  <c r="G853" i="1"/>
  <c r="F853" i="1"/>
  <c r="E853" i="1"/>
  <c r="D853" i="1"/>
  <c r="C853" i="1"/>
  <c r="B853" i="1"/>
  <c r="A853" i="1"/>
  <c r="AK852" i="1"/>
  <c r="Q852" i="1"/>
  <c r="P852" i="1"/>
  <c r="O852" i="1"/>
  <c r="N852" i="1"/>
  <c r="M852" i="1"/>
  <c r="K852" i="1"/>
  <c r="J852" i="1"/>
  <c r="I852" i="1"/>
  <c r="H852" i="1"/>
  <c r="G852" i="1"/>
  <c r="F852" i="1"/>
  <c r="E852" i="1"/>
  <c r="D852" i="1"/>
  <c r="C852" i="1"/>
  <c r="B852" i="1"/>
  <c r="A852" i="1"/>
  <c r="AK851" i="1"/>
  <c r="Q851" i="1"/>
  <c r="P851" i="1"/>
  <c r="O851" i="1"/>
  <c r="N851" i="1"/>
  <c r="M851" i="1"/>
  <c r="K851" i="1"/>
  <c r="I851" i="1"/>
  <c r="H851" i="1"/>
  <c r="G851" i="1"/>
  <c r="F851" i="1"/>
  <c r="E851" i="1"/>
  <c r="D851" i="1"/>
  <c r="C851" i="1"/>
  <c r="B851" i="1"/>
  <c r="A851" i="1"/>
  <c r="AK850" i="1"/>
  <c r="Q850" i="1"/>
  <c r="P850" i="1"/>
  <c r="O850" i="1"/>
  <c r="N850" i="1"/>
  <c r="M850" i="1"/>
  <c r="K850" i="1"/>
  <c r="I850" i="1"/>
  <c r="H850" i="1"/>
  <c r="G850" i="1"/>
  <c r="F850" i="1"/>
  <c r="E850" i="1"/>
  <c r="D850" i="1"/>
  <c r="C850" i="1"/>
  <c r="B850" i="1"/>
  <c r="A850" i="1"/>
  <c r="AK849" i="1"/>
  <c r="Q849" i="1"/>
  <c r="P849" i="1"/>
  <c r="O849" i="1"/>
  <c r="N849" i="1"/>
  <c r="M849" i="1"/>
  <c r="K849" i="1"/>
  <c r="J849" i="1"/>
  <c r="I849" i="1"/>
  <c r="H849" i="1"/>
  <c r="G849" i="1"/>
  <c r="F849" i="1"/>
  <c r="E849" i="1"/>
  <c r="D849" i="1"/>
  <c r="C849" i="1"/>
  <c r="B849" i="1"/>
  <c r="A849" i="1"/>
  <c r="AK848" i="1"/>
  <c r="Q848" i="1"/>
  <c r="P848" i="1"/>
  <c r="O848" i="1"/>
  <c r="N848" i="1"/>
  <c r="M848" i="1"/>
  <c r="K848" i="1"/>
  <c r="J848" i="1"/>
  <c r="I848" i="1"/>
  <c r="H848" i="1"/>
  <c r="G848" i="1"/>
  <c r="F848" i="1"/>
  <c r="E848" i="1"/>
  <c r="D848" i="1"/>
  <c r="C848" i="1"/>
  <c r="B848" i="1"/>
  <c r="A848" i="1"/>
  <c r="AK847" i="1"/>
  <c r="Q847" i="1"/>
  <c r="P847" i="1"/>
  <c r="N847" i="1"/>
  <c r="M847" i="1"/>
  <c r="K847" i="1"/>
  <c r="J847" i="1"/>
  <c r="I847" i="1"/>
  <c r="H847" i="1"/>
  <c r="G847" i="1"/>
  <c r="F847" i="1"/>
  <c r="E847" i="1"/>
  <c r="D847" i="1"/>
  <c r="C847" i="1"/>
  <c r="B847" i="1"/>
  <c r="A847" i="1"/>
  <c r="AK846" i="1"/>
  <c r="Q846" i="1"/>
  <c r="P846" i="1"/>
  <c r="O846" i="1"/>
  <c r="N846" i="1"/>
  <c r="M846" i="1"/>
  <c r="L846" i="1"/>
  <c r="K846" i="1"/>
  <c r="J846" i="1"/>
  <c r="I846" i="1"/>
  <c r="H846" i="1"/>
  <c r="G846" i="1"/>
  <c r="F846" i="1"/>
  <c r="E846" i="1"/>
  <c r="D846" i="1"/>
  <c r="C846" i="1"/>
  <c r="B846" i="1"/>
  <c r="A846" i="1"/>
  <c r="AK845" i="1"/>
  <c r="Q845" i="1"/>
  <c r="P845" i="1"/>
  <c r="O845" i="1"/>
  <c r="N845" i="1"/>
  <c r="M845" i="1"/>
  <c r="K845" i="1"/>
  <c r="J845" i="1"/>
  <c r="I845" i="1"/>
  <c r="H845" i="1"/>
  <c r="G845" i="1"/>
  <c r="F845" i="1"/>
  <c r="E845" i="1"/>
  <c r="D845" i="1"/>
  <c r="C845" i="1"/>
  <c r="B845" i="1"/>
  <c r="A845" i="1"/>
  <c r="AK844" i="1"/>
  <c r="Q844" i="1"/>
  <c r="P844" i="1"/>
  <c r="O844" i="1"/>
  <c r="N844" i="1"/>
  <c r="M844" i="1"/>
  <c r="K844" i="1"/>
  <c r="J844" i="1"/>
  <c r="I844" i="1"/>
  <c r="H844" i="1"/>
  <c r="G844" i="1"/>
  <c r="F844" i="1"/>
  <c r="E844" i="1"/>
  <c r="D844" i="1"/>
  <c r="C844" i="1"/>
  <c r="B844" i="1"/>
  <c r="A844" i="1"/>
  <c r="AK843" i="1"/>
  <c r="Q843" i="1"/>
  <c r="P843" i="1"/>
  <c r="O843" i="1"/>
  <c r="N843" i="1"/>
  <c r="M843" i="1"/>
  <c r="K843" i="1"/>
  <c r="J843" i="1"/>
  <c r="I843" i="1"/>
  <c r="H843" i="1"/>
  <c r="G843" i="1"/>
  <c r="F843" i="1"/>
  <c r="E843" i="1"/>
  <c r="D843" i="1"/>
  <c r="C843" i="1"/>
  <c r="B843" i="1"/>
  <c r="A843" i="1"/>
  <c r="AK842" i="1"/>
  <c r="Q842" i="1"/>
  <c r="P842" i="1"/>
  <c r="O842" i="1"/>
  <c r="N842" i="1"/>
  <c r="M842" i="1"/>
  <c r="K842" i="1"/>
  <c r="I842" i="1"/>
  <c r="H842" i="1"/>
  <c r="G842" i="1"/>
  <c r="F842" i="1"/>
  <c r="E842" i="1"/>
  <c r="D842" i="1"/>
  <c r="C842" i="1"/>
  <c r="B842" i="1"/>
  <c r="A842" i="1"/>
  <c r="AK841" i="1"/>
  <c r="Q841" i="1"/>
  <c r="P841" i="1"/>
  <c r="N841" i="1"/>
  <c r="M841" i="1"/>
  <c r="K841" i="1"/>
  <c r="J841" i="1"/>
  <c r="I841" i="1"/>
  <c r="H841" i="1"/>
  <c r="G841" i="1"/>
  <c r="F841" i="1"/>
  <c r="E841" i="1"/>
  <c r="D841" i="1"/>
  <c r="C841" i="1"/>
  <c r="B841" i="1"/>
  <c r="A841" i="1"/>
  <c r="AK840" i="1"/>
  <c r="Q840" i="1"/>
  <c r="P840" i="1"/>
  <c r="O840" i="1"/>
  <c r="N840" i="1"/>
  <c r="M840" i="1"/>
  <c r="K840" i="1"/>
  <c r="I840" i="1"/>
  <c r="H840" i="1"/>
  <c r="G840" i="1"/>
  <c r="F840" i="1"/>
  <c r="E840" i="1"/>
  <c r="D840" i="1"/>
  <c r="C840" i="1"/>
  <c r="B840" i="1"/>
  <c r="A840" i="1"/>
  <c r="AK839" i="1"/>
  <c r="Q839" i="1"/>
  <c r="P839" i="1"/>
  <c r="O839" i="1"/>
  <c r="N839" i="1"/>
  <c r="M839" i="1"/>
  <c r="K839" i="1"/>
  <c r="J839" i="1"/>
  <c r="I839" i="1"/>
  <c r="H839" i="1"/>
  <c r="G839" i="1"/>
  <c r="F839" i="1"/>
  <c r="E839" i="1"/>
  <c r="D839" i="1"/>
  <c r="C839" i="1"/>
  <c r="B839" i="1"/>
  <c r="A839" i="1"/>
  <c r="AK838" i="1"/>
  <c r="Q838" i="1"/>
  <c r="P838" i="1"/>
  <c r="O838" i="1"/>
  <c r="N838" i="1"/>
  <c r="M838" i="1"/>
  <c r="K838" i="1"/>
  <c r="J838" i="1"/>
  <c r="I838" i="1"/>
  <c r="H838" i="1"/>
  <c r="G838" i="1"/>
  <c r="F838" i="1"/>
  <c r="E838" i="1"/>
  <c r="D838" i="1"/>
  <c r="C838" i="1"/>
  <c r="B838" i="1"/>
  <c r="A838" i="1"/>
  <c r="AK837" i="1"/>
  <c r="Q837" i="1"/>
  <c r="P837" i="1"/>
  <c r="O837" i="1"/>
  <c r="N837" i="1"/>
  <c r="M837" i="1"/>
  <c r="K837" i="1"/>
  <c r="I837" i="1"/>
  <c r="H837" i="1"/>
  <c r="G837" i="1"/>
  <c r="F837" i="1"/>
  <c r="E837" i="1"/>
  <c r="D837" i="1"/>
  <c r="C837" i="1"/>
  <c r="B837" i="1"/>
  <c r="A837" i="1"/>
  <c r="AK836" i="1"/>
  <c r="Q836" i="1"/>
  <c r="P836" i="1"/>
  <c r="O836" i="1"/>
  <c r="N836" i="1"/>
  <c r="M836" i="1"/>
  <c r="K836" i="1"/>
  <c r="J836" i="1"/>
  <c r="I836" i="1"/>
  <c r="H836" i="1"/>
  <c r="G836" i="1"/>
  <c r="F836" i="1"/>
  <c r="E836" i="1"/>
  <c r="D836" i="1"/>
  <c r="C836" i="1"/>
  <c r="B836" i="1"/>
  <c r="A836" i="1"/>
  <c r="AK835" i="1"/>
  <c r="Q835" i="1"/>
  <c r="P835" i="1"/>
  <c r="O835" i="1"/>
  <c r="N835" i="1"/>
  <c r="M835" i="1"/>
  <c r="K835" i="1"/>
  <c r="J835" i="1"/>
  <c r="I835" i="1"/>
  <c r="H835" i="1"/>
  <c r="G835" i="1"/>
  <c r="F835" i="1"/>
  <c r="E835" i="1"/>
  <c r="D835" i="1"/>
  <c r="C835" i="1"/>
  <c r="B835" i="1"/>
  <c r="A835" i="1"/>
  <c r="AK834" i="1"/>
  <c r="Q834" i="1"/>
  <c r="P834" i="1"/>
  <c r="O834" i="1"/>
  <c r="N834" i="1"/>
  <c r="M834" i="1"/>
  <c r="K834" i="1"/>
  <c r="J834" i="1"/>
  <c r="I834" i="1"/>
  <c r="H834" i="1"/>
  <c r="G834" i="1"/>
  <c r="F834" i="1"/>
  <c r="E834" i="1"/>
  <c r="D834" i="1"/>
  <c r="C834" i="1"/>
  <c r="B834" i="1"/>
  <c r="A834" i="1"/>
  <c r="AK833" i="1"/>
  <c r="Q833" i="1"/>
  <c r="P833" i="1"/>
  <c r="N833" i="1"/>
  <c r="M833" i="1"/>
  <c r="K833" i="1"/>
  <c r="J833" i="1"/>
  <c r="I833" i="1"/>
  <c r="H833" i="1"/>
  <c r="G833" i="1"/>
  <c r="F833" i="1"/>
  <c r="E833" i="1"/>
  <c r="D833" i="1"/>
  <c r="C833" i="1"/>
  <c r="B833" i="1"/>
  <c r="A833" i="1"/>
  <c r="AK832" i="1"/>
  <c r="Q832" i="1"/>
  <c r="P832" i="1"/>
  <c r="N832" i="1"/>
  <c r="M832" i="1"/>
  <c r="K832" i="1"/>
  <c r="J832" i="1"/>
  <c r="I832" i="1"/>
  <c r="H832" i="1"/>
  <c r="G832" i="1"/>
  <c r="F832" i="1"/>
  <c r="E832" i="1"/>
  <c r="D832" i="1"/>
  <c r="C832" i="1"/>
  <c r="B832" i="1"/>
  <c r="A832" i="1"/>
  <c r="AK831" i="1"/>
  <c r="Q831" i="1"/>
  <c r="P831" i="1"/>
  <c r="O831" i="1"/>
  <c r="N831" i="1"/>
  <c r="M831" i="1"/>
  <c r="K831" i="1"/>
  <c r="J831" i="1"/>
  <c r="I831" i="1"/>
  <c r="H831" i="1"/>
  <c r="G831" i="1"/>
  <c r="F831" i="1"/>
  <c r="E831" i="1"/>
  <c r="D831" i="1"/>
  <c r="C831" i="1"/>
  <c r="B831" i="1"/>
  <c r="A831" i="1"/>
  <c r="AK830" i="1"/>
  <c r="Q830" i="1"/>
  <c r="P830" i="1"/>
  <c r="O830" i="1"/>
  <c r="N830" i="1"/>
  <c r="M830" i="1"/>
  <c r="K830" i="1"/>
  <c r="J830" i="1"/>
  <c r="I830" i="1"/>
  <c r="H830" i="1"/>
  <c r="G830" i="1"/>
  <c r="F830" i="1"/>
  <c r="E830" i="1"/>
  <c r="D830" i="1"/>
  <c r="C830" i="1"/>
  <c r="B830" i="1"/>
  <c r="A830" i="1"/>
  <c r="AK829" i="1"/>
  <c r="Q829" i="1"/>
  <c r="P829" i="1"/>
  <c r="N829" i="1"/>
  <c r="M829" i="1"/>
  <c r="K829" i="1"/>
  <c r="J829" i="1"/>
  <c r="I829" i="1"/>
  <c r="H829" i="1"/>
  <c r="G829" i="1"/>
  <c r="F829" i="1"/>
  <c r="E829" i="1"/>
  <c r="D829" i="1"/>
  <c r="C829" i="1"/>
  <c r="B829" i="1"/>
  <c r="A829" i="1"/>
  <c r="AK828" i="1"/>
  <c r="Q828" i="1"/>
  <c r="P828" i="1"/>
  <c r="N828" i="1"/>
  <c r="M828" i="1"/>
  <c r="K828" i="1"/>
  <c r="J828" i="1"/>
  <c r="I828" i="1"/>
  <c r="H828" i="1"/>
  <c r="G828" i="1"/>
  <c r="F828" i="1"/>
  <c r="E828" i="1"/>
  <c r="D828" i="1"/>
  <c r="C828" i="1"/>
  <c r="B828" i="1"/>
  <c r="A828" i="1"/>
  <c r="AK827" i="1"/>
  <c r="Q827" i="1"/>
  <c r="P827" i="1"/>
  <c r="N827" i="1"/>
  <c r="M827" i="1"/>
  <c r="K827" i="1"/>
  <c r="J827" i="1"/>
  <c r="I827" i="1"/>
  <c r="H827" i="1"/>
  <c r="G827" i="1"/>
  <c r="F827" i="1"/>
  <c r="E827" i="1"/>
  <c r="D827" i="1"/>
  <c r="C827" i="1"/>
  <c r="B827" i="1"/>
  <c r="A827" i="1"/>
  <c r="AK826" i="1"/>
  <c r="Q826" i="1"/>
  <c r="P826" i="1"/>
  <c r="O826" i="1"/>
  <c r="N826" i="1"/>
  <c r="M826" i="1"/>
  <c r="K826" i="1"/>
  <c r="I826" i="1"/>
  <c r="H826" i="1"/>
  <c r="G826" i="1"/>
  <c r="F826" i="1"/>
  <c r="E826" i="1"/>
  <c r="D826" i="1"/>
  <c r="C826" i="1"/>
  <c r="B826" i="1"/>
  <c r="A826" i="1"/>
  <c r="AK825" i="1"/>
  <c r="Q825" i="1"/>
  <c r="P825" i="1"/>
  <c r="O825" i="1"/>
  <c r="N825" i="1"/>
  <c r="M825" i="1"/>
  <c r="K825" i="1"/>
  <c r="J825" i="1"/>
  <c r="I825" i="1"/>
  <c r="H825" i="1"/>
  <c r="G825" i="1"/>
  <c r="F825" i="1"/>
  <c r="E825" i="1"/>
  <c r="D825" i="1"/>
  <c r="C825" i="1"/>
  <c r="B825" i="1"/>
  <c r="A825" i="1"/>
  <c r="AK824" i="1"/>
  <c r="Q824" i="1"/>
  <c r="P824" i="1"/>
  <c r="O824" i="1"/>
  <c r="N824" i="1"/>
  <c r="M824" i="1"/>
  <c r="K824" i="1"/>
  <c r="I824" i="1"/>
  <c r="H824" i="1"/>
  <c r="G824" i="1"/>
  <c r="F824" i="1"/>
  <c r="E824" i="1"/>
  <c r="D824" i="1"/>
  <c r="C824" i="1"/>
  <c r="B824" i="1"/>
  <c r="A824" i="1"/>
  <c r="AK823" i="1"/>
  <c r="Q823" i="1"/>
  <c r="P823" i="1"/>
  <c r="N823" i="1"/>
  <c r="M823" i="1"/>
  <c r="K823" i="1"/>
  <c r="J823" i="1"/>
  <c r="I823" i="1"/>
  <c r="H823" i="1"/>
  <c r="G823" i="1"/>
  <c r="F823" i="1"/>
  <c r="E823" i="1"/>
  <c r="D823" i="1"/>
  <c r="C823" i="1"/>
  <c r="B823" i="1"/>
  <c r="A823" i="1"/>
  <c r="AK822" i="1"/>
  <c r="Q822" i="1"/>
  <c r="P822" i="1"/>
  <c r="O822" i="1"/>
  <c r="N822" i="1"/>
  <c r="M822" i="1"/>
  <c r="K822" i="1"/>
  <c r="J822" i="1"/>
  <c r="I822" i="1"/>
  <c r="H822" i="1"/>
  <c r="G822" i="1"/>
  <c r="F822" i="1"/>
  <c r="E822" i="1"/>
  <c r="D822" i="1"/>
  <c r="C822" i="1"/>
  <c r="B822" i="1"/>
  <c r="A822" i="1"/>
  <c r="AK821" i="1"/>
  <c r="Q821" i="1"/>
  <c r="P821" i="1"/>
  <c r="O821" i="1"/>
  <c r="N821" i="1"/>
  <c r="M821" i="1"/>
  <c r="K821" i="1"/>
  <c r="J821" i="1"/>
  <c r="I821" i="1"/>
  <c r="H821" i="1"/>
  <c r="G821" i="1"/>
  <c r="F821" i="1"/>
  <c r="E821" i="1"/>
  <c r="D821" i="1"/>
  <c r="C821" i="1"/>
  <c r="B821" i="1"/>
  <c r="A821" i="1"/>
  <c r="AK820" i="1"/>
  <c r="Q820" i="1"/>
  <c r="P820" i="1"/>
  <c r="N820" i="1"/>
  <c r="M820" i="1"/>
  <c r="L820" i="1"/>
  <c r="K820" i="1"/>
  <c r="J820" i="1"/>
  <c r="I820" i="1"/>
  <c r="H820" i="1"/>
  <c r="G820" i="1"/>
  <c r="F820" i="1"/>
  <c r="E820" i="1"/>
  <c r="D820" i="1"/>
  <c r="C820" i="1"/>
  <c r="B820" i="1"/>
  <c r="A820" i="1"/>
  <c r="AK819" i="1"/>
  <c r="Q819" i="1"/>
  <c r="P819" i="1"/>
  <c r="O819" i="1"/>
  <c r="N819" i="1"/>
  <c r="M819" i="1"/>
  <c r="K819" i="1"/>
  <c r="J819" i="1"/>
  <c r="I819" i="1"/>
  <c r="H819" i="1"/>
  <c r="G819" i="1"/>
  <c r="F819" i="1"/>
  <c r="E819" i="1"/>
  <c r="D819" i="1"/>
  <c r="C819" i="1"/>
  <c r="B819" i="1"/>
  <c r="A819" i="1"/>
  <c r="AK818" i="1"/>
  <c r="Q818" i="1"/>
  <c r="P818" i="1"/>
  <c r="O818" i="1"/>
  <c r="N818" i="1"/>
  <c r="M818" i="1"/>
  <c r="K818" i="1"/>
  <c r="J818" i="1"/>
  <c r="I818" i="1"/>
  <c r="H818" i="1"/>
  <c r="G818" i="1"/>
  <c r="F818" i="1"/>
  <c r="E818" i="1"/>
  <c r="D818" i="1"/>
  <c r="C818" i="1"/>
  <c r="B818" i="1"/>
  <c r="A818" i="1"/>
  <c r="AK817" i="1"/>
  <c r="AE817" i="1"/>
  <c r="AD817" i="1"/>
  <c r="Q817" i="1"/>
  <c r="P817" i="1"/>
  <c r="O817" i="1"/>
  <c r="N817" i="1"/>
  <c r="M817" i="1"/>
  <c r="L817" i="1"/>
  <c r="K817" i="1"/>
  <c r="J817" i="1"/>
  <c r="I817" i="1"/>
  <c r="H817" i="1"/>
  <c r="G817" i="1"/>
  <c r="F817" i="1"/>
  <c r="E817" i="1"/>
  <c r="D817" i="1"/>
  <c r="C817" i="1"/>
  <c r="B817" i="1"/>
  <c r="A817" i="1"/>
  <c r="AK816" i="1"/>
  <c r="Q816" i="1"/>
  <c r="P816" i="1"/>
  <c r="O816" i="1"/>
  <c r="N816" i="1"/>
  <c r="M816" i="1"/>
  <c r="K816" i="1"/>
  <c r="J816" i="1"/>
  <c r="I816" i="1"/>
  <c r="H816" i="1"/>
  <c r="G816" i="1"/>
  <c r="F816" i="1"/>
  <c r="E816" i="1"/>
  <c r="D816" i="1"/>
  <c r="C816" i="1"/>
  <c r="B816" i="1"/>
  <c r="A816" i="1"/>
  <c r="AK815" i="1"/>
  <c r="Q815" i="1"/>
  <c r="P815" i="1"/>
  <c r="O815" i="1"/>
  <c r="N815" i="1"/>
  <c r="M815" i="1"/>
  <c r="K815" i="1"/>
  <c r="J815" i="1"/>
  <c r="I815" i="1"/>
  <c r="H815" i="1"/>
  <c r="G815" i="1"/>
  <c r="F815" i="1"/>
  <c r="E815" i="1"/>
  <c r="D815" i="1"/>
  <c r="C815" i="1"/>
  <c r="B815" i="1"/>
  <c r="A815" i="1"/>
  <c r="AK814" i="1"/>
  <c r="Q814" i="1"/>
  <c r="P814" i="1"/>
  <c r="N814" i="1"/>
  <c r="M814" i="1"/>
  <c r="K814" i="1"/>
  <c r="J814" i="1"/>
  <c r="I814" i="1"/>
  <c r="H814" i="1"/>
  <c r="G814" i="1"/>
  <c r="F814" i="1"/>
  <c r="E814" i="1"/>
  <c r="D814" i="1"/>
  <c r="C814" i="1"/>
  <c r="B814" i="1"/>
  <c r="A814" i="1"/>
  <c r="AK813" i="1"/>
  <c r="Q813" i="1"/>
  <c r="P813" i="1"/>
  <c r="O813" i="1"/>
  <c r="N813" i="1"/>
  <c r="M813" i="1"/>
  <c r="K813" i="1"/>
  <c r="J813" i="1"/>
  <c r="I813" i="1"/>
  <c r="H813" i="1"/>
  <c r="G813" i="1"/>
  <c r="F813" i="1"/>
  <c r="E813" i="1"/>
  <c r="D813" i="1"/>
  <c r="C813" i="1"/>
  <c r="B813" i="1"/>
  <c r="A813" i="1"/>
  <c r="AK812" i="1"/>
  <c r="Q812" i="1"/>
  <c r="P812" i="1"/>
  <c r="O812" i="1"/>
  <c r="N812" i="1"/>
  <c r="M812" i="1"/>
  <c r="K812" i="1"/>
  <c r="J812" i="1"/>
  <c r="I812" i="1"/>
  <c r="H812" i="1"/>
  <c r="G812" i="1"/>
  <c r="F812" i="1"/>
  <c r="E812" i="1"/>
  <c r="D812" i="1"/>
  <c r="C812" i="1"/>
  <c r="B812" i="1"/>
  <c r="A812" i="1"/>
  <c r="AK811" i="1"/>
  <c r="Q811" i="1"/>
  <c r="P811" i="1"/>
  <c r="O811" i="1"/>
  <c r="N811" i="1"/>
  <c r="M811" i="1"/>
  <c r="K811" i="1"/>
  <c r="J811" i="1"/>
  <c r="I811" i="1"/>
  <c r="H811" i="1"/>
  <c r="G811" i="1"/>
  <c r="F811" i="1"/>
  <c r="E811" i="1"/>
  <c r="D811" i="1"/>
  <c r="C811" i="1"/>
  <c r="B811" i="1"/>
  <c r="A811" i="1"/>
  <c r="AK810" i="1"/>
  <c r="Q810" i="1"/>
  <c r="P810" i="1"/>
  <c r="N810" i="1"/>
  <c r="M810" i="1"/>
  <c r="K810" i="1"/>
  <c r="J810" i="1"/>
  <c r="I810" i="1"/>
  <c r="H810" i="1"/>
  <c r="G810" i="1"/>
  <c r="F810" i="1"/>
  <c r="E810" i="1"/>
  <c r="D810" i="1"/>
  <c r="C810" i="1"/>
  <c r="B810" i="1"/>
  <c r="A810" i="1"/>
  <c r="AK809" i="1"/>
  <c r="Q809" i="1"/>
  <c r="P809" i="1"/>
  <c r="O809" i="1"/>
  <c r="N809" i="1"/>
  <c r="M809" i="1"/>
  <c r="K809" i="1"/>
  <c r="J809" i="1"/>
  <c r="I809" i="1"/>
  <c r="H809" i="1"/>
  <c r="G809" i="1"/>
  <c r="F809" i="1"/>
  <c r="E809" i="1"/>
  <c r="D809" i="1"/>
  <c r="C809" i="1"/>
  <c r="B809" i="1"/>
  <c r="A809" i="1"/>
  <c r="AK808" i="1"/>
  <c r="Q808" i="1"/>
  <c r="P808" i="1"/>
  <c r="O808" i="1"/>
  <c r="N808" i="1"/>
  <c r="M808" i="1"/>
  <c r="K808" i="1"/>
  <c r="I808" i="1"/>
  <c r="H808" i="1"/>
  <c r="G808" i="1"/>
  <c r="F808" i="1"/>
  <c r="E808" i="1"/>
  <c r="D808" i="1"/>
  <c r="C808" i="1"/>
  <c r="B808" i="1"/>
  <c r="A808" i="1"/>
  <c r="AK807" i="1"/>
  <c r="Q807" i="1"/>
  <c r="P807" i="1"/>
  <c r="O807" i="1"/>
  <c r="N807" i="1"/>
  <c r="M807" i="1"/>
  <c r="K807" i="1"/>
  <c r="J807" i="1"/>
  <c r="I807" i="1"/>
  <c r="H807" i="1"/>
  <c r="G807" i="1"/>
  <c r="F807" i="1"/>
  <c r="E807" i="1"/>
  <c r="D807" i="1"/>
  <c r="C807" i="1"/>
  <c r="B807" i="1"/>
  <c r="A807" i="1"/>
  <c r="AK806" i="1"/>
  <c r="Q806" i="1"/>
  <c r="P806" i="1"/>
  <c r="O806" i="1"/>
  <c r="N806" i="1"/>
  <c r="M806" i="1"/>
  <c r="K806" i="1"/>
  <c r="I806" i="1"/>
  <c r="H806" i="1"/>
  <c r="G806" i="1"/>
  <c r="F806" i="1"/>
  <c r="E806" i="1"/>
  <c r="D806" i="1"/>
  <c r="C806" i="1"/>
  <c r="B806" i="1"/>
  <c r="A806" i="1"/>
  <c r="AK805" i="1"/>
  <c r="Q805" i="1"/>
  <c r="P805" i="1"/>
  <c r="O805" i="1"/>
  <c r="N805" i="1"/>
  <c r="M805" i="1"/>
  <c r="K805" i="1"/>
  <c r="J805" i="1"/>
  <c r="I805" i="1"/>
  <c r="H805" i="1"/>
  <c r="G805" i="1"/>
  <c r="F805" i="1"/>
  <c r="E805" i="1"/>
  <c r="D805" i="1"/>
  <c r="C805" i="1"/>
  <c r="B805" i="1"/>
  <c r="A805" i="1"/>
  <c r="AK804" i="1"/>
  <c r="Q804" i="1"/>
  <c r="P804" i="1"/>
  <c r="O804" i="1"/>
  <c r="N804" i="1"/>
  <c r="M804" i="1"/>
  <c r="K804" i="1"/>
  <c r="J804" i="1"/>
  <c r="I804" i="1"/>
  <c r="H804" i="1"/>
  <c r="G804" i="1"/>
  <c r="F804" i="1"/>
  <c r="E804" i="1"/>
  <c r="D804" i="1"/>
  <c r="C804" i="1"/>
  <c r="B804" i="1"/>
  <c r="A804" i="1"/>
  <c r="AK803" i="1"/>
  <c r="Q803" i="1"/>
  <c r="P803" i="1"/>
  <c r="O803" i="1"/>
  <c r="N803" i="1"/>
  <c r="M803" i="1"/>
  <c r="K803" i="1"/>
  <c r="I803" i="1"/>
  <c r="H803" i="1"/>
  <c r="G803" i="1"/>
  <c r="F803" i="1"/>
  <c r="E803" i="1"/>
  <c r="D803" i="1"/>
  <c r="C803" i="1"/>
  <c r="B803" i="1"/>
  <c r="A803" i="1"/>
  <c r="AK802" i="1"/>
  <c r="Q802" i="1"/>
  <c r="P802" i="1"/>
  <c r="O802" i="1"/>
  <c r="N802" i="1"/>
  <c r="M802" i="1"/>
  <c r="K802" i="1"/>
  <c r="I802" i="1"/>
  <c r="H802" i="1"/>
  <c r="G802" i="1"/>
  <c r="F802" i="1"/>
  <c r="E802" i="1"/>
  <c r="D802" i="1"/>
  <c r="C802" i="1"/>
  <c r="B802" i="1"/>
  <c r="A802" i="1"/>
  <c r="AK801" i="1"/>
  <c r="Q801" i="1"/>
  <c r="P801" i="1"/>
  <c r="O801" i="1"/>
  <c r="N801" i="1"/>
  <c r="M801" i="1"/>
  <c r="K801" i="1"/>
  <c r="I801" i="1"/>
  <c r="H801" i="1"/>
  <c r="G801" i="1"/>
  <c r="F801" i="1"/>
  <c r="E801" i="1"/>
  <c r="D801" i="1"/>
  <c r="C801" i="1"/>
  <c r="B801" i="1"/>
  <c r="A801" i="1"/>
  <c r="AK800" i="1"/>
  <c r="Q800" i="1"/>
  <c r="P800" i="1"/>
  <c r="O800" i="1"/>
  <c r="N800" i="1"/>
  <c r="M800" i="1"/>
  <c r="K800" i="1"/>
  <c r="J800" i="1"/>
  <c r="I800" i="1"/>
  <c r="H800" i="1"/>
  <c r="G800" i="1"/>
  <c r="F800" i="1"/>
  <c r="E800" i="1"/>
  <c r="D800" i="1"/>
  <c r="C800" i="1"/>
  <c r="B800" i="1"/>
  <c r="A800" i="1"/>
  <c r="AK799" i="1"/>
  <c r="Q799" i="1"/>
  <c r="P799" i="1"/>
  <c r="O799" i="1"/>
  <c r="N799" i="1"/>
  <c r="M799" i="1"/>
  <c r="K799" i="1"/>
  <c r="I799" i="1"/>
  <c r="H799" i="1"/>
  <c r="G799" i="1"/>
  <c r="F799" i="1"/>
  <c r="E799" i="1"/>
  <c r="D799" i="1"/>
  <c r="C799" i="1"/>
  <c r="B799" i="1"/>
  <c r="A799" i="1"/>
  <c r="AK798" i="1"/>
  <c r="Q798" i="1"/>
  <c r="P798" i="1"/>
  <c r="O798" i="1"/>
  <c r="N798" i="1"/>
  <c r="M798" i="1"/>
  <c r="K798" i="1"/>
  <c r="J798" i="1"/>
  <c r="I798" i="1"/>
  <c r="H798" i="1"/>
  <c r="G798" i="1"/>
  <c r="F798" i="1"/>
  <c r="E798" i="1"/>
  <c r="D798" i="1"/>
  <c r="C798" i="1"/>
  <c r="B798" i="1"/>
  <c r="A798" i="1"/>
  <c r="AK797" i="1"/>
  <c r="Q797" i="1"/>
  <c r="P797" i="1"/>
  <c r="O797" i="1"/>
  <c r="N797" i="1"/>
  <c r="M797" i="1"/>
  <c r="K797" i="1"/>
  <c r="J797" i="1"/>
  <c r="I797" i="1"/>
  <c r="H797" i="1"/>
  <c r="G797" i="1"/>
  <c r="F797" i="1"/>
  <c r="E797" i="1"/>
  <c r="D797" i="1"/>
  <c r="C797" i="1"/>
  <c r="B797" i="1"/>
  <c r="A797" i="1"/>
  <c r="AK796" i="1"/>
  <c r="Q796" i="1"/>
  <c r="P796" i="1"/>
  <c r="O796" i="1"/>
  <c r="N796" i="1"/>
  <c r="M796" i="1"/>
  <c r="K796" i="1"/>
  <c r="J796" i="1"/>
  <c r="I796" i="1"/>
  <c r="H796" i="1"/>
  <c r="G796" i="1"/>
  <c r="F796" i="1"/>
  <c r="E796" i="1"/>
  <c r="D796" i="1"/>
  <c r="C796" i="1"/>
  <c r="B796" i="1"/>
  <c r="A796" i="1"/>
  <c r="AK795" i="1"/>
  <c r="Q795" i="1"/>
  <c r="P795" i="1"/>
  <c r="O795" i="1"/>
  <c r="N795" i="1"/>
  <c r="M795" i="1"/>
  <c r="K795" i="1"/>
  <c r="J795" i="1"/>
  <c r="I795" i="1"/>
  <c r="H795" i="1"/>
  <c r="G795" i="1"/>
  <c r="F795" i="1"/>
  <c r="E795" i="1"/>
  <c r="D795" i="1"/>
  <c r="C795" i="1"/>
  <c r="B795" i="1"/>
  <c r="A795" i="1"/>
  <c r="AK794" i="1"/>
  <c r="Q794" i="1"/>
  <c r="P794" i="1"/>
  <c r="O794" i="1"/>
  <c r="N794" i="1"/>
  <c r="M794" i="1"/>
  <c r="K794" i="1"/>
  <c r="J794" i="1"/>
  <c r="I794" i="1"/>
  <c r="H794" i="1"/>
  <c r="G794" i="1"/>
  <c r="F794" i="1"/>
  <c r="E794" i="1"/>
  <c r="D794" i="1"/>
  <c r="C794" i="1"/>
  <c r="B794" i="1"/>
  <c r="A794" i="1"/>
  <c r="AK793" i="1"/>
  <c r="Q793" i="1"/>
  <c r="P793" i="1"/>
  <c r="O793" i="1"/>
  <c r="N793" i="1"/>
  <c r="M793" i="1"/>
  <c r="K793" i="1"/>
  <c r="J793" i="1"/>
  <c r="I793" i="1"/>
  <c r="H793" i="1"/>
  <c r="G793" i="1"/>
  <c r="F793" i="1"/>
  <c r="E793" i="1"/>
  <c r="D793" i="1"/>
  <c r="C793" i="1"/>
  <c r="B793" i="1"/>
  <c r="A793" i="1"/>
  <c r="AK792" i="1"/>
  <c r="Q792" i="1"/>
  <c r="P792" i="1"/>
  <c r="O792" i="1"/>
  <c r="N792" i="1"/>
  <c r="M792" i="1"/>
  <c r="K792" i="1"/>
  <c r="J792" i="1"/>
  <c r="I792" i="1"/>
  <c r="H792" i="1"/>
  <c r="G792" i="1"/>
  <c r="F792" i="1"/>
  <c r="E792" i="1"/>
  <c r="D792" i="1"/>
  <c r="C792" i="1"/>
  <c r="B792" i="1"/>
  <c r="A792" i="1"/>
  <c r="AK791" i="1"/>
  <c r="Q791" i="1"/>
  <c r="P791" i="1"/>
  <c r="O791" i="1"/>
  <c r="N791" i="1"/>
  <c r="M791" i="1"/>
  <c r="K791" i="1"/>
  <c r="I791" i="1"/>
  <c r="H791" i="1"/>
  <c r="G791" i="1"/>
  <c r="F791" i="1"/>
  <c r="E791" i="1"/>
  <c r="D791" i="1"/>
  <c r="C791" i="1"/>
  <c r="B791" i="1"/>
  <c r="A791" i="1"/>
  <c r="AK790" i="1"/>
  <c r="Q790" i="1"/>
  <c r="P790" i="1"/>
  <c r="N790" i="1"/>
  <c r="M790" i="1"/>
  <c r="K790" i="1"/>
  <c r="J790" i="1"/>
  <c r="I790" i="1"/>
  <c r="H790" i="1"/>
  <c r="G790" i="1"/>
  <c r="F790" i="1"/>
  <c r="E790" i="1"/>
  <c r="D790" i="1"/>
  <c r="C790" i="1"/>
  <c r="B790" i="1"/>
  <c r="A790" i="1"/>
  <c r="AK789" i="1"/>
  <c r="Q789" i="1"/>
  <c r="P789" i="1"/>
  <c r="O789" i="1"/>
  <c r="N789" i="1"/>
  <c r="M789" i="1"/>
  <c r="K789" i="1"/>
  <c r="I789" i="1"/>
  <c r="H789" i="1"/>
  <c r="G789" i="1"/>
  <c r="F789" i="1"/>
  <c r="E789" i="1"/>
  <c r="D789" i="1"/>
  <c r="C789" i="1"/>
  <c r="B789" i="1"/>
  <c r="A789" i="1"/>
  <c r="AK788" i="1"/>
  <c r="Q788" i="1"/>
  <c r="P788" i="1"/>
  <c r="O788" i="1"/>
  <c r="N788" i="1"/>
  <c r="M788" i="1"/>
  <c r="K788" i="1"/>
  <c r="J788" i="1"/>
  <c r="I788" i="1"/>
  <c r="H788" i="1"/>
  <c r="G788" i="1"/>
  <c r="F788" i="1"/>
  <c r="E788" i="1"/>
  <c r="D788" i="1"/>
  <c r="C788" i="1"/>
  <c r="B788" i="1"/>
  <c r="A788" i="1"/>
  <c r="AK787" i="1"/>
  <c r="Q787" i="1"/>
  <c r="P787" i="1"/>
  <c r="O787" i="1"/>
  <c r="N787" i="1"/>
  <c r="M787" i="1"/>
  <c r="K787" i="1"/>
  <c r="J787" i="1"/>
  <c r="I787" i="1"/>
  <c r="H787" i="1"/>
  <c r="G787" i="1"/>
  <c r="F787" i="1"/>
  <c r="E787" i="1"/>
  <c r="D787" i="1"/>
  <c r="C787" i="1"/>
  <c r="B787" i="1"/>
  <c r="A787" i="1"/>
  <c r="AK786" i="1"/>
  <c r="Q786" i="1"/>
  <c r="P786" i="1"/>
  <c r="O786" i="1"/>
  <c r="N786" i="1"/>
  <c r="M786" i="1"/>
  <c r="K786" i="1"/>
  <c r="J786" i="1"/>
  <c r="I786" i="1"/>
  <c r="H786" i="1"/>
  <c r="G786" i="1"/>
  <c r="F786" i="1"/>
  <c r="E786" i="1"/>
  <c r="D786" i="1"/>
  <c r="C786" i="1"/>
  <c r="B786" i="1"/>
  <c r="A786" i="1"/>
  <c r="AK785" i="1"/>
  <c r="Q785" i="1"/>
  <c r="P785" i="1"/>
  <c r="O785" i="1"/>
  <c r="N785" i="1"/>
  <c r="M785" i="1"/>
  <c r="K785" i="1"/>
  <c r="J785" i="1"/>
  <c r="I785" i="1"/>
  <c r="H785" i="1"/>
  <c r="G785" i="1"/>
  <c r="F785" i="1"/>
  <c r="E785" i="1"/>
  <c r="D785" i="1"/>
  <c r="C785" i="1"/>
  <c r="B785" i="1"/>
  <c r="A785" i="1"/>
  <c r="AK784" i="1"/>
  <c r="Q784" i="1"/>
  <c r="P784" i="1"/>
  <c r="O784" i="1"/>
  <c r="N784" i="1"/>
  <c r="M784" i="1"/>
  <c r="K784" i="1"/>
  <c r="J784" i="1"/>
  <c r="I784" i="1"/>
  <c r="H784" i="1"/>
  <c r="G784" i="1"/>
  <c r="F784" i="1"/>
  <c r="E784" i="1"/>
  <c r="D784" i="1"/>
  <c r="C784" i="1"/>
  <c r="B784" i="1"/>
  <c r="A784" i="1"/>
  <c r="AK783" i="1"/>
  <c r="Q783" i="1"/>
  <c r="P783" i="1"/>
  <c r="O783" i="1"/>
  <c r="N783" i="1"/>
  <c r="M783" i="1"/>
  <c r="K783" i="1"/>
  <c r="J783" i="1"/>
  <c r="I783" i="1"/>
  <c r="H783" i="1"/>
  <c r="G783" i="1"/>
  <c r="F783" i="1"/>
  <c r="E783" i="1"/>
  <c r="D783" i="1"/>
  <c r="C783" i="1"/>
  <c r="B783" i="1"/>
  <c r="A783" i="1"/>
  <c r="AK782" i="1"/>
  <c r="AE782" i="1"/>
  <c r="AD782" i="1"/>
  <c r="Q782" i="1"/>
  <c r="P782" i="1"/>
  <c r="O782" i="1"/>
  <c r="N782" i="1"/>
  <c r="M782" i="1"/>
  <c r="L782" i="1"/>
  <c r="K782" i="1"/>
  <c r="J782" i="1"/>
  <c r="I782" i="1"/>
  <c r="H782" i="1"/>
  <c r="G782" i="1"/>
  <c r="F782" i="1"/>
  <c r="E782" i="1"/>
  <c r="D782" i="1"/>
  <c r="C782" i="1"/>
  <c r="B782" i="1"/>
  <c r="A782" i="1"/>
  <c r="AK781" i="1"/>
  <c r="AE781" i="1"/>
  <c r="AD781" i="1"/>
  <c r="Q781" i="1"/>
  <c r="P781" i="1"/>
  <c r="N781" i="1"/>
  <c r="M781" i="1"/>
  <c r="L781" i="1"/>
  <c r="K781" i="1"/>
  <c r="J781" i="1"/>
  <c r="I781" i="1"/>
  <c r="H781" i="1"/>
  <c r="G781" i="1"/>
  <c r="F781" i="1"/>
  <c r="E781" i="1"/>
  <c r="D781" i="1"/>
  <c r="C781" i="1"/>
  <c r="B781" i="1"/>
  <c r="A781" i="1"/>
  <c r="AK780" i="1"/>
  <c r="Q780" i="1"/>
  <c r="P780" i="1"/>
  <c r="O780" i="1"/>
  <c r="N780" i="1"/>
  <c r="M780" i="1"/>
  <c r="K780" i="1"/>
  <c r="J780" i="1"/>
  <c r="I780" i="1"/>
  <c r="H780" i="1"/>
  <c r="G780" i="1"/>
  <c r="F780" i="1"/>
  <c r="E780" i="1"/>
  <c r="D780" i="1"/>
  <c r="C780" i="1"/>
  <c r="B780" i="1"/>
  <c r="A780" i="1"/>
  <c r="AK779" i="1"/>
  <c r="Q779" i="1"/>
  <c r="P779" i="1"/>
  <c r="O779" i="1"/>
  <c r="N779" i="1"/>
  <c r="M779" i="1"/>
  <c r="K779" i="1"/>
  <c r="J779" i="1"/>
  <c r="I779" i="1"/>
  <c r="H779" i="1"/>
  <c r="G779" i="1"/>
  <c r="F779" i="1"/>
  <c r="E779" i="1"/>
  <c r="D779" i="1"/>
  <c r="C779" i="1"/>
  <c r="B779" i="1"/>
  <c r="A779" i="1"/>
  <c r="AK778" i="1"/>
  <c r="Q778" i="1"/>
  <c r="P778" i="1"/>
  <c r="O778" i="1"/>
  <c r="N778" i="1"/>
  <c r="M778" i="1"/>
  <c r="K778" i="1"/>
  <c r="J778" i="1"/>
  <c r="I778" i="1"/>
  <c r="H778" i="1"/>
  <c r="G778" i="1"/>
  <c r="F778" i="1"/>
  <c r="E778" i="1"/>
  <c r="D778" i="1"/>
  <c r="C778" i="1"/>
  <c r="B778" i="1"/>
  <c r="A778" i="1"/>
  <c r="AK777" i="1"/>
  <c r="Q777" i="1"/>
  <c r="P777" i="1"/>
  <c r="O777" i="1"/>
  <c r="N777" i="1"/>
  <c r="M777" i="1"/>
  <c r="K777" i="1"/>
  <c r="J777" i="1"/>
  <c r="I777" i="1"/>
  <c r="H777" i="1"/>
  <c r="G777" i="1"/>
  <c r="F777" i="1"/>
  <c r="E777" i="1"/>
  <c r="D777" i="1"/>
  <c r="C777" i="1"/>
  <c r="B777" i="1"/>
  <c r="A777" i="1"/>
  <c r="AK776" i="1"/>
  <c r="Q776" i="1"/>
  <c r="P776" i="1"/>
  <c r="N776" i="1"/>
  <c r="M776" i="1"/>
  <c r="K776" i="1"/>
  <c r="J776" i="1"/>
  <c r="I776" i="1"/>
  <c r="H776" i="1"/>
  <c r="G776" i="1"/>
  <c r="F776" i="1"/>
  <c r="E776" i="1"/>
  <c r="D776" i="1"/>
  <c r="C776" i="1"/>
  <c r="B776" i="1"/>
  <c r="A776" i="1"/>
  <c r="AK775" i="1"/>
  <c r="Q775" i="1"/>
  <c r="P775" i="1"/>
  <c r="O775" i="1"/>
  <c r="N775" i="1"/>
  <c r="M775" i="1"/>
  <c r="K775" i="1"/>
  <c r="J775" i="1"/>
  <c r="I775" i="1"/>
  <c r="H775" i="1"/>
  <c r="G775" i="1"/>
  <c r="F775" i="1"/>
  <c r="E775" i="1"/>
  <c r="D775" i="1"/>
  <c r="C775" i="1"/>
  <c r="B775" i="1"/>
  <c r="A775" i="1"/>
  <c r="AK774" i="1"/>
  <c r="Q774" i="1"/>
  <c r="P774" i="1"/>
  <c r="N774" i="1"/>
  <c r="M774" i="1"/>
  <c r="K774" i="1"/>
  <c r="J774" i="1"/>
  <c r="I774" i="1"/>
  <c r="H774" i="1"/>
  <c r="G774" i="1"/>
  <c r="F774" i="1"/>
  <c r="E774" i="1"/>
  <c r="D774" i="1"/>
  <c r="C774" i="1"/>
  <c r="B774" i="1"/>
  <c r="A774" i="1"/>
  <c r="AK773" i="1"/>
  <c r="Q773" i="1"/>
  <c r="P773" i="1"/>
  <c r="O773" i="1"/>
  <c r="N773" i="1"/>
  <c r="M773" i="1"/>
  <c r="K773" i="1"/>
  <c r="J773" i="1"/>
  <c r="I773" i="1"/>
  <c r="H773" i="1"/>
  <c r="G773" i="1"/>
  <c r="F773" i="1"/>
  <c r="E773" i="1"/>
  <c r="D773" i="1"/>
  <c r="C773" i="1"/>
  <c r="B773" i="1"/>
  <c r="A773" i="1"/>
  <c r="AK772" i="1"/>
  <c r="Q772" i="1"/>
  <c r="P772" i="1"/>
  <c r="N772" i="1"/>
  <c r="M772" i="1"/>
  <c r="K772" i="1"/>
  <c r="J772" i="1"/>
  <c r="I772" i="1"/>
  <c r="H772" i="1"/>
  <c r="G772" i="1"/>
  <c r="F772" i="1"/>
  <c r="E772" i="1"/>
  <c r="D772" i="1"/>
  <c r="C772" i="1"/>
  <c r="B772" i="1"/>
  <c r="A772" i="1"/>
  <c r="AK771" i="1"/>
  <c r="Q771" i="1"/>
  <c r="P771" i="1"/>
  <c r="N771" i="1"/>
  <c r="M771" i="1"/>
  <c r="K771" i="1"/>
  <c r="J771" i="1"/>
  <c r="I771" i="1"/>
  <c r="H771" i="1"/>
  <c r="G771" i="1"/>
  <c r="F771" i="1"/>
  <c r="E771" i="1"/>
  <c r="D771" i="1"/>
  <c r="C771" i="1"/>
  <c r="B771" i="1"/>
  <c r="A771" i="1"/>
  <c r="AK770" i="1"/>
  <c r="Q770" i="1"/>
  <c r="P770" i="1"/>
  <c r="N770" i="1"/>
  <c r="M770" i="1"/>
  <c r="K770" i="1"/>
  <c r="J770" i="1"/>
  <c r="I770" i="1"/>
  <c r="H770" i="1"/>
  <c r="G770" i="1"/>
  <c r="F770" i="1"/>
  <c r="E770" i="1"/>
  <c r="D770" i="1"/>
  <c r="C770" i="1"/>
  <c r="B770" i="1"/>
  <c r="A770" i="1"/>
  <c r="AK769" i="1"/>
  <c r="Q769" i="1"/>
  <c r="P769" i="1"/>
  <c r="O769" i="1"/>
  <c r="N769" i="1"/>
  <c r="M769" i="1"/>
  <c r="K769" i="1"/>
  <c r="J769" i="1"/>
  <c r="I769" i="1"/>
  <c r="H769" i="1"/>
  <c r="G769" i="1"/>
  <c r="F769" i="1"/>
  <c r="E769" i="1"/>
  <c r="D769" i="1"/>
  <c r="C769" i="1"/>
  <c r="B769" i="1"/>
  <c r="A769" i="1"/>
  <c r="AK768" i="1"/>
  <c r="Q768" i="1"/>
  <c r="P768" i="1"/>
  <c r="O768" i="1"/>
  <c r="N768" i="1"/>
  <c r="M768" i="1"/>
  <c r="K768" i="1"/>
  <c r="I768" i="1"/>
  <c r="H768" i="1"/>
  <c r="G768" i="1"/>
  <c r="F768" i="1"/>
  <c r="E768" i="1"/>
  <c r="D768" i="1"/>
  <c r="C768" i="1"/>
  <c r="B768" i="1"/>
  <c r="A768" i="1"/>
  <c r="AK767" i="1"/>
  <c r="Q767" i="1"/>
  <c r="P767" i="1"/>
  <c r="N767" i="1"/>
  <c r="M767" i="1"/>
  <c r="K767" i="1"/>
  <c r="J767" i="1"/>
  <c r="I767" i="1"/>
  <c r="H767" i="1"/>
  <c r="G767" i="1"/>
  <c r="F767" i="1"/>
  <c r="E767" i="1"/>
  <c r="D767" i="1"/>
  <c r="C767" i="1"/>
  <c r="B767" i="1"/>
  <c r="A767" i="1"/>
  <c r="AK766" i="1"/>
  <c r="Q766" i="1"/>
  <c r="P766" i="1"/>
  <c r="O766" i="1"/>
  <c r="N766" i="1"/>
  <c r="M766" i="1"/>
  <c r="K766" i="1"/>
  <c r="J766" i="1"/>
  <c r="I766" i="1"/>
  <c r="H766" i="1"/>
  <c r="G766" i="1"/>
  <c r="F766" i="1"/>
  <c r="E766" i="1"/>
  <c r="D766" i="1"/>
  <c r="C766" i="1"/>
  <c r="B766" i="1"/>
  <c r="A766" i="1"/>
  <c r="AK765" i="1"/>
  <c r="Q765" i="1"/>
  <c r="P765" i="1"/>
  <c r="O765" i="1"/>
  <c r="N765" i="1"/>
  <c r="M765" i="1"/>
  <c r="K765" i="1"/>
  <c r="J765" i="1"/>
  <c r="I765" i="1"/>
  <c r="H765" i="1"/>
  <c r="G765" i="1"/>
  <c r="F765" i="1"/>
  <c r="E765" i="1"/>
  <c r="D765" i="1"/>
  <c r="C765" i="1"/>
  <c r="B765" i="1"/>
  <c r="A765" i="1"/>
  <c r="AK764" i="1"/>
  <c r="Q764" i="1"/>
  <c r="P764" i="1"/>
  <c r="N764" i="1"/>
  <c r="M764" i="1"/>
  <c r="K764" i="1"/>
  <c r="J764" i="1"/>
  <c r="I764" i="1"/>
  <c r="H764" i="1"/>
  <c r="G764" i="1"/>
  <c r="F764" i="1"/>
  <c r="E764" i="1"/>
  <c r="D764" i="1"/>
  <c r="C764" i="1"/>
  <c r="B764" i="1"/>
  <c r="A764" i="1"/>
  <c r="AK763" i="1"/>
  <c r="Q763" i="1"/>
  <c r="P763" i="1"/>
  <c r="N763" i="1"/>
  <c r="M763" i="1"/>
  <c r="K763" i="1"/>
  <c r="J763" i="1"/>
  <c r="I763" i="1"/>
  <c r="H763" i="1"/>
  <c r="G763" i="1"/>
  <c r="F763" i="1"/>
  <c r="E763" i="1"/>
  <c r="D763" i="1"/>
  <c r="C763" i="1"/>
  <c r="B763" i="1"/>
  <c r="A763" i="1"/>
  <c r="AK762" i="1"/>
  <c r="Q762" i="1"/>
  <c r="P762" i="1"/>
  <c r="O762" i="1"/>
  <c r="N762" i="1"/>
  <c r="M762" i="1"/>
  <c r="K762" i="1"/>
  <c r="I762" i="1"/>
  <c r="H762" i="1"/>
  <c r="G762" i="1"/>
  <c r="F762" i="1"/>
  <c r="E762" i="1"/>
  <c r="D762" i="1"/>
  <c r="C762" i="1"/>
  <c r="B762" i="1"/>
  <c r="A762" i="1"/>
  <c r="AK761" i="1"/>
  <c r="Q761" i="1"/>
  <c r="P761" i="1"/>
  <c r="O761" i="1"/>
  <c r="N761" i="1"/>
  <c r="M761" i="1"/>
  <c r="K761" i="1"/>
  <c r="I761" i="1"/>
  <c r="H761" i="1"/>
  <c r="G761" i="1"/>
  <c r="F761" i="1"/>
  <c r="E761" i="1"/>
  <c r="D761" i="1"/>
  <c r="C761" i="1"/>
  <c r="B761" i="1"/>
  <c r="A761" i="1"/>
  <c r="AK760" i="1"/>
  <c r="Q760" i="1"/>
  <c r="P760" i="1"/>
  <c r="O760" i="1"/>
  <c r="N760" i="1"/>
  <c r="M760" i="1"/>
  <c r="K760" i="1"/>
  <c r="J760" i="1"/>
  <c r="I760" i="1"/>
  <c r="H760" i="1"/>
  <c r="G760" i="1"/>
  <c r="F760" i="1"/>
  <c r="E760" i="1"/>
  <c r="D760" i="1"/>
  <c r="C760" i="1"/>
  <c r="B760" i="1"/>
  <c r="A760" i="1"/>
  <c r="AK759" i="1"/>
  <c r="Q759" i="1"/>
  <c r="P759" i="1"/>
  <c r="O759" i="1"/>
  <c r="N759" i="1"/>
  <c r="M759" i="1"/>
  <c r="K759" i="1"/>
  <c r="I759" i="1"/>
  <c r="H759" i="1"/>
  <c r="G759" i="1"/>
  <c r="F759" i="1"/>
  <c r="E759" i="1"/>
  <c r="D759" i="1"/>
  <c r="C759" i="1"/>
  <c r="B759" i="1"/>
  <c r="A759" i="1"/>
  <c r="AK758" i="1"/>
  <c r="Q758" i="1"/>
  <c r="P758" i="1"/>
  <c r="O758" i="1"/>
  <c r="N758" i="1"/>
  <c r="M758" i="1"/>
  <c r="K758" i="1"/>
  <c r="J758" i="1"/>
  <c r="I758" i="1"/>
  <c r="H758" i="1"/>
  <c r="G758" i="1"/>
  <c r="F758" i="1"/>
  <c r="E758" i="1"/>
  <c r="D758" i="1"/>
  <c r="C758" i="1"/>
  <c r="B758" i="1"/>
  <c r="A758" i="1"/>
  <c r="AK757" i="1"/>
  <c r="Q757" i="1"/>
  <c r="P757" i="1"/>
  <c r="O757" i="1"/>
  <c r="N757" i="1"/>
  <c r="M757" i="1"/>
  <c r="K757" i="1"/>
  <c r="I757" i="1"/>
  <c r="H757" i="1"/>
  <c r="G757" i="1"/>
  <c r="F757" i="1"/>
  <c r="E757" i="1"/>
  <c r="D757" i="1"/>
  <c r="C757" i="1"/>
  <c r="B757" i="1"/>
  <c r="A757" i="1"/>
  <c r="AK756" i="1"/>
  <c r="Q756" i="1"/>
  <c r="P756" i="1"/>
  <c r="O756" i="1"/>
  <c r="N756" i="1"/>
  <c r="M756" i="1"/>
  <c r="K756" i="1"/>
  <c r="J756" i="1"/>
  <c r="I756" i="1"/>
  <c r="H756" i="1"/>
  <c r="G756" i="1"/>
  <c r="F756" i="1"/>
  <c r="E756" i="1"/>
  <c r="D756" i="1"/>
  <c r="C756" i="1"/>
  <c r="B756" i="1"/>
  <c r="A756" i="1"/>
  <c r="AK755" i="1"/>
  <c r="Q755" i="1"/>
  <c r="P755" i="1"/>
  <c r="O755" i="1"/>
  <c r="N755" i="1"/>
  <c r="M755" i="1"/>
  <c r="K755" i="1"/>
  <c r="J755" i="1"/>
  <c r="I755" i="1"/>
  <c r="H755" i="1"/>
  <c r="G755" i="1"/>
  <c r="F755" i="1"/>
  <c r="E755" i="1"/>
  <c r="D755" i="1"/>
  <c r="C755" i="1"/>
  <c r="B755" i="1"/>
  <c r="A755" i="1"/>
  <c r="AK754" i="1"/>
  <c r="Q754" i="1"/>
  <c r="P754" i="1"/>
  <c r="N754" i="1"/>
  <c r="M754" i="1"/>
  <c r="K754" i="1"/>
  <c r="J754" i="1"/>
  <c r="I754" i="1"/>
  <c r="H754" i="1"/>
  <c r="G754" i="1"/>
  <c r="F754" i="1"/>
  <c r="E754" i="1"/>
  <c r="D754" i="1"/>
  <c r="C754" i="1"/>
  <c r="B754" i="1"/>
  <c r="A754" i="1"/>
  <c r="AK753" i="1"/>
  <c r="Q753" i="1"/>
  <c r="P753" i="1"/>
  <c r="N753" i="1"/>
  <c r="M753" i="1"/>
  <c r="K753" i="1"/>
  <c r="J753" i="1"/>
  <c r="I753" i="1"/>
  <c r="H753" i="1"/>
  <c r="G753" i="1"/>
  <c r="F753" i="1"/>
  <c r="E753" i="1"/>
  <c r="D753" i="1"/>
  <c r="C753" i="1"/>
  <c r="B753" i="1"/>
  <c r="A753" i="1"/>
  <c r="AK752" i="1"/>
  <c r="Q752" i="1"/>
  <c r="P752" i="1"/>
  <c r="N752" i="1"/>
  <c r="M752" i="1"/>
  <c r="K752" i="1"/>
  <c r="J752" i="1"/>
  <c r="I752" i="1"/>
  <c r="H752" i="1"/>
  <c r="G752" i="1"/>
  <c r="F752" i="1"/>
  <c r="E752" i="1"/>
  <c r="D752" i="1"/>
  <c r="C752" i="1"/>
  <c r="B752" i="1"/>
  <c r="A752" i="1"/>
  <c r="AK751" i="1"/>
  <c r="Q751" i="1"/>
  <c r="P751" i="1"/>
  <c r="N751" i="1"/>
  <c r="M751" i="1"/>
  <c r="K751" i="1"/>
  <c r="J751" i="1"/>
  <c r="I751" i="1"/>
  <c r="H751" i="1"/>
  <c r="G751" i="1"/>
  <c r="F751" i="1"/>
  <c r="E751" i="1"/>
  <c r="D751" i="1"/>
  <c r="C751" i="1"/>
  <c r="B751" i="1"/>
  <c r="A751" i="1"/>
  <c r="AK750" i="1"/>
  <c r="Q750" i="1"/>
  <c r="P750" i="1"/>
  <c r="O750" i="1"/>
  <c r="N750" i="1"/>
  <c r="M750" i="1"/>
  <c r="K750" i="1"/>
  <c r="J750" i="1"/>
  <c r="I750" i="1"/>
  <c r="H750" i="1"/>
  <c r="G750" i="1"/>
  <c r="F750" i="1"/>
  <c r="E750" i="1"/>
  <c r="D750" i="1"/>
  <c r="C750" i="1"/>
  <c r="B750" i="1"/>
  <c r="A750" i="1"/>
  <c r="AK749" i="1"/>
  <c r="Q749" i="1"/>
  <c r="P749" i="1"/>
  <c r="N749" i="1"/>
  <c r="M749" i="1"/>
  <c r="K749" i="1"/>
  <c r="J749" i="1"/>
  <c r="I749" i="1"/>
  <c r="H749" i="1"/>
  <c r="G749" i="1"/>
  <c r="F749" i="1"/>
  <c r="E749" i="1"/>
  <c r="D749" i="1"/>
  <c r="C749" i="1"/>
  <c r="B749" i="1"/>
  <c r="A749" i="1"/>
  <c r="AK748" i="1"/>
  <c r="Q748" i="1"/>
  <c r="P748" i="1"/>
  <c r="N748" i="1"/>
  <c r="M748" i="1"/>
  <c r="K748" i="1"/>
  <c r="J748" i="1"/>
  <c r="I748" i="1"/>
  <c r="H748" i="1"/>
  <c r="G748" i="1"/>
  <c r="F748" i="1"/>
  <c r="E748" i="1"/>
  <c r="D748" i="1"/>
  <c r="C748" i="1"/>
  <c r="B748" i="1"/>
  <c r="A748" i="1"/>
  <c r="AK747" i="1"/>
  <c r="Q747" i="1"/>
  <c r="P747" i="1"/>
  <c r="O747" i="1"/>
  <c r="N747" i="1"/>
  <c r="M747" i="1"/>
  <c r="K747" i="1"/>
  <c r="J747" i="1"/>
  <c r="I747" i="1"/>
  <c r="H747" i="1"/>
  <c r="G747" i="1"/>
  <c r="F747" i="1"/>
  <c r="E747" i="1"/>
  <c r="D747" i="1"/>
  <c r="C747" i="1"/>
  <c r="B747" i="1"/>
  <c r="A747" i="1"/>
  <c r="AK746" i="1"/>
  <c r="Q746" i="1"/>
  <c r="P746" i="1"/>
  <c r="O746" i="1"/>
  <c r="N746" i="1"/>
  <c r="M746" i="1"/>
  <c r="K746" i="1"/>
  <c r="J746" i="1"/>
  <c r="I746" i="1"/>
  <c r="H746" i="1"/>
  <c r="G746" i="1"/>
  <c r="F746" i="1"/>
  <c r="E746" i="1"/>
  <c r="D746" i="1"/>
  <c r="C746" i="1"/>
  <c r="B746" i="1"/>
  <c r="A746" i="1"/>
  <c r="AK745" i="1"/>
  <c r="Q745" i="1"/>
  <c r="P745" i="1"/>
  <c r="O745" i="1"/>
  <c r="N745" i="1"/>
  <c r="M745" i="1"/>
  <c r="K745" i="1"/>
  <c r="J745" i="1"/>
  <c r="I745" i="1"/>
  <c r="H745" i="1"/>
  <c r="G745" i="1"/>
  <c r="F745" i="1"/>
  <c r="E745" i="1"/>
  <c r="D745" i="1"/>
  <c r="C745" i="1"/>
  <c r="B745" i="1"/>
  <c r="A745" i="1"/>
  <c r="AK744" i="1"/>
  <c r="Q744" i="1"/>
  <c r="P744" i="1"/>
  <c r="O744" i="1"/>
  <c r="N744" i="1"/>
  <c r="M744" i="1"/>
  <c r="K744" i="1"/>
  <c r="J744" i="1"/>
  <c r="I744" i="1"/>
  <c r="H744" i="1"/>
  <c r="G744" i="1"/>
  <c r="F744" i="1"/>
  <c r="E744" i="1"/>
  <c r="D744" i="1"/>
  <c r="C744" i="1"/>
  <c r="B744" i="1"/>
  <c r="A744" i="1"/>
  <c r="AK743" i="1"/>
  <c r="Q743" i="1"/>
  <c r="P743" i="1"/>
  <c r="O743" i="1"/>
  <c r="N743" i="1"/>
  <c r="M743" i="1"/>
  <c r="K743" i="1"/>
  <c r="J743" i="1"/>
  <c r="I743" i="1"/>
  <c r="H743" i="1"/>
  <c r="G743" i="1"/>
  <c r="F743" i="1"/>
  <c r="E743" i="1"/>
  <c r="D743" i="1"/>
  <c r="C743" i="1"/>
  <c r="B743" i="1"/>
  <c r="A743" i="1"/>
  <c r="AK742" i="1"/>
  <c r="Q742" i="1"/>
  <c r="P742" i="1"/>
  <c r="O742" i="1"/>
  <c r="N742" i="1"/>
  <c r="M742" i="1"/>
  <c r="K742" i="1"/>
  <c r="J742" i="1"/>
  <c r="I742" i="1"/>
  <c r="H742" i="1"/>
  <c r="G742" i="1"/>
  <c r="F742" i="1"/>
  <c r="E742" i="1"/>
  <c r="D742" i="1"/>
  <c r="C742" i="1"/>
  <c r="B742" i="1"/>
  <c r="A742" i="1"/>
  <c r="AK741" i="1"/>
  <c r="Q741" i="1"/>
  <c r="P741" i="1"/>
  <c r="O741" i="1"/>
  <c r="N741" i="1"/>
  <c r="M741" i="1"/>
  <c r="K741" i="1"/>
  <c r="J741" i="1"/>
  <c r="I741" i="1"/>
  <c r="H741" i="1"/>
  <c r="G741" i="1"/>
  <c r="F741" i="1"/>
  <c r="E741" i="1"/>
  <c r="D741" i="1"/>
  <c r="C741" i="1"/>
  <c r="B741" i="1"/>
  <c r="A741" i="1"/>
  <c r="AK740" i="1"/>
  <c r="Q740" i="1"/>
  <c r="P740" i="1"/>
  <c r="O740" i="1"/>
  <c r="N740" i="1"/>
  <c r="M740" i="1"/>
  <c r="K740" i="1"/>
  <c r="J740" i="1"/>
  <c r="I740" i="1"/>
  <c r="H740" i="1"/>
  <c r="G740" i="1"/>
  <c r="F740" i="1"/>
  <c r="E740" i="1"/>
  <c r="D740" i="1"/>
  <c r="C740" i="1"/>
  <c r="B740" i="1"/>
  <c r="A740" i="1"/>
  <c r="AK739" i="1"/>
  <c r="Q739" i="1"/>
  <c r="P739" i="1"/>
  <c r="O739" i="1"/>
  <c r="N739" i="1"/>
  <c r="M739" i="1"/>
  <c r="K739" i="1"/>
  <c r="I739" i="1"/>
  <c r="H739" i="1"/>
  <c r="G739" i="1"/>
  <c r="F739" i="1"/>
  <c r="E739" i="1"/>
  <c r="D739" i="1"/>
  <c r="C739" i="1"/>
  <c r="B739" i="1"/>
  <c r="A739" i="1"/>
  <c r="AK738" i="1"/>
  <c r="Q738" i="1"/>
  <c r="P738" i="1"/>
  <c r="O738" i="1"/>
  <c r="N738" i="1"/>
  <c r="M738" i="1"/>
  <c r="K738" i="1"/>
  <c r="J738" i="1"/>
  <c r="I738" i="1"/>
  <c r="H738" i="1"/>
  <c r="G738" i="1"/>
  <c r="F738" i="1"/>
  <c r="E738" i="1"/>
  <c r="D738" i="1"/>
  <c r="C738" i="1"/>
  <c r="B738" i="1"/>
  <c r="A738" i="1"/>
  <c r="AK737" i="1"/>
  <c r="Q737" i="1"/>
  <c r="P737" i="1"/>
  <c r="N737" i="1"/>
  <c r="M737" i="1"/>
  <c r="K737" i="1"/>
  <c r="J737" i="1"/>
  <c r="I737" i="1"/>
  <c r="H737" i="1"/>
  <c r="G737" i="1"/>
  <c r="F737" i="1"/>
  <c r="E737" i="1"/>
  <c r="D737" i="1"/>
  <c r="C737" i="1"/>
  <c r="B737" i="1"/>
  <c r="A737" i="1"/>
  <c r="AK736" i="1"/>
  <c r="Q736" i="1"/>
  <c r="P736" i="1"/>
  <c r="O736" i="1"/>
  <c r="N736" i="1"/>
  <c r="M736" i="1"/>
  <c r="K736" i="1"/>
  <c r="I736" i="1"/>
  <c r="H736" i="1"/>
  <c r="G736" i="1"/>
  <c r="F736" i="1"/>
  <c r="E736" i="1"/>
  <c r="D736" i="1"/>
  <c r="C736" i="1"/>
  <c r="B736" i="1"/>
  <c r="A736" i="1"/>
  <c r="AK735" i="1"/>
  <c r="Q735" i="1"/>
  <c r="P735" i="1"/>
  <c r="N735" i="1"/>
  <c r="M735" i="1"/>
  <c r="K735" i="1"/>
  <c r="J735" i="1"/>
  <c r="I735" i="1"/>
  <c r="H735" i="1"/>
  <c r="G735" i="1"/>
  <c r="F735" i="1"/>
  <c r="E735" i="1"/>
  <c r="D735" i="1"/>
  <c r="C735" i="1"/>
  <c r="B735" i="1"/>
  <c r="A735" i="1"/>
  <c r="AK734" i="1"/>
  <c r="Q734" i="1"/>
  <c r="P734" i="1"/>
  <c r="O734" i="1"/>
  <c r="N734" i="1"/>
  <c r="M734" i="1"/>
  <c r="K734" i="1"/>
  <c r="J734" i="1"/>
  <c r="I734" i="1"/>
  <c r="H734" i="1"/>
  <c r="G734" i="1"/>
  <c r="F734" i="1"/>
  <c r="E734" i="1"/>
  <c r="D734" i="1"/>
  <c r="C734" i="1"/>
  <c r="B734" i="1"/>
  <c r="A734" i="1"/>
  <c r="AK733" i="1"/>
  <c r="Q733" i="1"/>
  <c r="P733" i="1"/>
  <c r="O733" i="1"/>
  <c r="N733" i="1"/>
  <c r="M733" i="1"/>
  <c r="K733" i="1"/>
  <c r="J733" i="1"/>
  <c r="I733" i="1"/>
  <c r="H733" i="1"/>
  <c r="G733" i="1"/>
  <c r="F733" i="1"/>
  <c r="E733" i="1"/>
  <c r="D733" i="1"/>
  <c r="C733" i="1"/>
  <c r="B733" i="1"/>
  <c r="A733" i="1"/>
  <c r="AK732" i="1"/>
  <c r="Q732" i="1"/>
  <c r="P732" i="1"/>
  <c r="N732" i="1"/>
  <c r="M732" i="1"/>
  <c r="K732" i="1"/>
  <c r="J732" i="1"/>
  <c r="I732" i="1"/>
  <c r="H732" i="1"/>
  <c r="G732" i="1"/>
  <c r="F732" i="1"/>
  <c r="E732" i="1"/>
  <c r="D732" i="1"/>
  <c r="C732" i="1"/>
  <c r="B732" i="1"/>
  <c r="A732" i="1"/>
  <c r="AK731" i="1"/>
  <c r="Q731" i="1"/>
  <c r="P731" i="1"/>
  <c r="N731" i="1"/>
  <c r="M731" i="1"/>
  <c r="K731" i="1"/>
  <c r="J731" i="1"/>
  <c r="I731" i="1"/>
  <c r="H731" i="1"/>
  <c r="G731" i="1"/>
  <c r="F731" i="1"/>
  <c r="E731" i="1"/>
  <c r="D731" i="1"/>
  <c r="C731" i="1"/>
  <c r="B731" i="1"/>
  <c r="A731" i="1"/>
  <c r="AK730" i="1"/>
  <c r="Q730" i="1"/>
  <c r="P730" i="1"/>
  <c r="O730" i="1"/>
  <c r="N730" i="1"/>
  <c r="M730" i="1"/>
  <c r="K730" i="1"/>
  <c r="J730" i="1"/>
  <c r="I730" i="1"/>
  <c r="H730" i="1"/>
  <c r="G730" i="1"/>
  <c r="F730" i="1"/>
  <c r="E730" i="1"/>
  <c r="D730" i="1"/>
  <c r="C730" i="1"/>
  <c r="B730" i="1"/>
  <c r="A730" i="1"/>
  <c r="AK729" i="1"/>
  <c r="Q729" i="1"/>
  <c r="P729" i="1"/>
  <c r="O729" i="1"/>
  <c r="N729" i="1"/>
  <c r="M729" i="1"/>
  <c r="K729" i="1"/>
  <c r="I729" i="1"/>
  <c r="H729" i="1"/>
  <c r="G729" i="1"/>
  <c r="F729" i="1"/>
  <c r="E729" i="1"/>
  <c r="D729" i="1"/>
  <c r="C729" i="1"/>
  <c r="B729" i="1"/>
  <c r="A729" i="1"/>
  <c r="AK728" i="1"/>
  <c r="Q728" i="1"/>
  <c r="P728" i="1"/>
  <c r="N728" i="1"/>
  <c r="M728" i="1"/>
  <c r="K728" i="1"/>
  <c r="J728" i="1"/>
  <c r="I728" i="1"/>
  <c r="H728" i="1"/>
  <c r="G728" i="1"/>
  <c r="F728" i="1"/>
  <c r="E728" i="1"/>
  <c r="D728" i="1"/>
  <c r="C728" i="1"/>
  <c r="B728" i="1"/>
  <c r="A728" i="1"/>
  <c r="AK727" i="1"/>
  <c r="Q727" i="1"/>
  <c r="P727" i="1"/>
  <c r="N727" i="1"/>
  <c r="M727" i="1"/>
  <c r="K727" i="1"/>
  <c r="J727" i="1"/>
  <c r="I727" i="1"/>
  <c r="H727" i="1"/>
  <c r="G727" i="1"/>
  <c r="F727" i="1"/>
  <c r="E727" i="1"/>
  <c r="D727" i="1"/>
  <c r="C727" i="1"/>
  <c r="B727" i="1"/>
  <c r="A727" i="1"/>
  <c r="AK726" i="1"/>
  <c r="Q726" i="1"/>
  <c r="P726" i="1"/>
  <c r="O726" i="1"/>
  <c r="N726" i="1"/>
  <c r="M726" i="1"/>
  <c r="K726" i="1"/>
  <c r="J726" i="1"/>
  <c r="I726" i="1"/>
  <c r="H726" i="1"/>
  <c r="G726" i="1"/>
  <c r="F726" i="1"/>
  <c r="E726" i="1"/>
  <c r="D726" i="1"/>
  <c r="C726" i="1"/>
  <c r="B726" i="1"/>
  <c r="A726" i="1"/>
  <c r="AK725" i="1"/>
  <c r="Q725" i="1"/>
  <c r="P725" i="1"/>
  <c r="N725" i="1"/>
  <c r="M725" i="1"/>
  <c r="K725" i="1"/>
  <c r="J725" i="1"/>
  <c r="I725" i="1"/>
  <c r="H725" i="1"/>
  <c r="G725" i="1"/>
  <c r="F725" i="1"/>
  <c r="E725" i="1"/>
  <c r="D725" i="1"/>
  <c r="C725" i="1"/>
  <c r="B725" i="1"/>
  <c r="A725" i="1"/>
  <c r="AK724" i="1"/>
  <c r="Q724" i="1"/>
  <c r="P724" i="1"/>
  <c r="N724" i="1"/>
  <c r="M724" i="1"/>
  <c r="K724" i="1"/>
  <c r="J724" i="1"/>
  <c r="I724" i="1"/>
  <c r="H724" i="1"/>
  <c r="G724" i="1"/>
  <c r="F724" i="1"/>
  <c r="E724" i="1"/>
  <c r="D724" i="1"/>
  <c r="C724" i="1"/>
  <c r="B724" i="1"/>
  <c r="A724" i="1"/>
  <c r="AK723" i="1"/>
  <c r="Q723" i="1"/>
  <c r="P723" i="1"/>
  <c r="N723" i="1"/>
  <c r="M723" i="1"/>
  <c r="K723" i="1"/>
  <c r="J723" i="1"/>
  <c r="I723" i="1"/>
  <c r="H723" i="1"/>
  <c r="G723" i="1"/>
  <c r="F723" i="1"/>
  <c r="E723" i="1"/>
  <c r="D723" i="1"/>
  <c r="C723" i="1"/>
  <c r="B723" i="1"/>
  <c r="A723" i="1"/>
  <c r="AK722" i="1"/>
  <c r="Q722" i="1"/>
  <c r="P722" i="1"/>
  <c r="O722" i="1"/>
  <c r="N722" i="1"/>
  <c r="M722" i="1"/>
  <c r="K722" i="1"/>
  <c r="J722" i="1"/>
  <c r="I722" i="1"/>
  <c r="H722" i="1"/>
  <c r="G722" i="1"/>
  <c r="F722" i="1"/>
  <c r="E722" i="1"/>
  <c r="D722" i="1"/>
  <c r="C722" i="1"/>
  <c r="B722" i="1"/>
  <c r="A722" i="1"/>
  <c r="AK721" i="1"/>
  <c r="Q721" i="1"/>
  <c r="P721" i="1"/>
  <c r="O721" i="1"/>
  <c r="N721" i="1"/>
  <c r="M721" i="1"/>
  <c r="K721" i="1"/>
  <c r="J721" i="1"/>
  <c r="I721" i="1"/>
  <c r="H721" i="1"/>
  <c r="G721" i="1"/>
  <c r="F721" i="1"/>
  <c r="E721" i="1"/>
  <c r="D721" i="1"/>
  <c r="C721" i="1"/>
  <c r="B721" i="1"/>
  <c r="A721" i="1"/>
  <c r="AK720" i="1"/>
  <c r="Q720" i="1"/>
  <c r="P720" i="1"/>
  <c r="O720" i="1"/>
  <c r="N720" i="1"/>
  <c r="M720" i="1"/>
  <c r="K720" i="1"/>
  <c r="J720" i="1"/>
  <c r="I720" i="1"/>
  <c r="H720" i="1"/>
  <c r="G720" i="1"/>
  <c r="F720" i="1"/>
  <c r="E720" i="1"/>
  <c r="D720" i="1"/>
  <c r="C720" i="1"/>
  <c r="B720" i="1"/>
  <c r="A720" i="1"/>
  <c r="AK719" i="1"/>
  <c r="Q719" i="1"/>
  <c r="P719" i="1"/>
  <c r="O719" i="1"/>
  <c r="N719" i="1"/>
  <c r="M719" i="1"/>
  <c r="K719" i="1"/>
  <c r="J719" i="1"/>
  <c r="I719" i="1"/>
  <c r="H719" i="1"/>
  <c r="G719" i="1"/>
  <c r="F719" i="1"/>
  <c r="E719" i="1"/>
  <c r="D719" i="1"/>
  <c r="C719" i="1"/>
  <c r="B719" i="1"/>
  <c r="A719" i="1"/>
  <c r="AK718" i="1"/>
  <c r="Q718" i="1"/>
  <c r="P718" i="1"/>
  <c r="N718" i="1"/>
  <c r="M718" i="1"/>
  <c r="K718" i="1"/>
  <c r="J718" i="1"/>
  <c r="I718" i="1"/>
  <c r="H718" i="1"/>
  <c r="G718" i="1"/>
  <c r="F718" i="1"/>
  <c r="E718" i="1"/>
  <c r="D718" i="1"/>
  <c r="C718" i="1"/>
  <c r="B718" i="1"/>
  <c r="A718" i="1"/>
  <c r="AK717" i="1"/>
  <c r="Q717" i="1"/>
  <c r="P717" i="1"/>
  <c r="O717" i="1"/>
  <c r="N717" i="1"/>
  <c r="M717" i="1"/>
  <c r="K717" i="1"/>
  <c r="J717" i="1"/>
  <c r="I717" i="1"/>
  <c r="H717" i="1"/>
  <c r="G717" i="1"/>
  <c r="F717" i="1"/>
  <c r="E717" i="1"/>
  <c r="D717" i="1"/>
  <c r="C717" i="1"/>
  <c r="B717" i="1"/>
  <c r="A717" i="1"/>
  <c r="AK716" i="1"/>
  <c r="Q716" i="1"/>
  <c r="P716" i="1"/>
  <c r="O716" i="1"/>
  <c r="N716" i="1"/>
  <c r="M716" i="1"/>
  <c r="K716" i="1"/>
  <c r="J716" i="1"/>
  <c r="I716" i="1"/>
  <c r="H716" i="1"/>
  <c r="G716" i="1"/>
  <c r="F716" i="1"/>
  <c r="E716" i="1"/>
  <c r="D716" i="1"/>
  <c r="C716" i="1"/>
  <c r="B716" i="1"/>
  <c r="A716" i="1"/>
  <c r="AK715" i="1"/>
  <c r="Q715" i="1"/>
  <c r="P715" i="1"/>
  <c r="N715" i="1"/>
  <c r="M715" i="1"/>
  <c r="K715" i="1"/>
  <c r="J715" i="1"/>
  <c r="I715" i="1"/>
  <c r="H715" i="1"/>
  <c r="G715" i="1"/>
  <c r="F715" i="1"/>
  <c r="E715" i="1"/>
  <c r="D715" i="1"/>
  <c r="C715" i="1"/>
  <c r="B715" i="1"/>
  <c r="A715" i="1"/>
  <c r="AK714" i="1"/>
  <c r="Q714" i="1"/>
  <c r="P714" i="1"/>
  <c r="N714" i="1"/>
  <c r="M714" i="1"/>
  <c r="K714" i="1"/>
  <c r="J714" i="1"/>
  <c r="I714" i="1"/>
  <c r="H714" i="1"/>
  <c r="G714" i="1"/>
  <c r="F714" i="1"/>
  <c r="E714" i="1"/>
  <c r="D714" i="1"/>
  <c r="C714" i="1"/>
  <c r="B714" i="1"/>
  <c r="A714" i="1"/>
  <c r="AK713" i="1"/>
  <c r="Q713" i="1"/>
  <c r="P713" i="1"/>
  <c r="O713" i="1"/>
  <c r="N713" i="1"/>
  <c r="M713" i="1"/>
  <c r="K713" i="1"/>
  <c r="J713" i="1"/>
  <c r="I713" i="1"/>
  <c r="H713" i="1"/>
  <c r="G713" i="1"/>
  <c r="F713" i="1"/>
  <c r="E713" i="1"/>
  <c r="D713" i="1"/>
  <c r="C713" i="1"/>
  <c r="B713" i="1"/>
  <c r="A713" i="1"/>
  <c r="AK712" i="1"/>
  <c r="Q712" i="1"/>
  <c r="P712" i="1"/>
  <c r="O712" i="1"/>
  <c r="N712" i="1"/>
  <c r="M712" i="1"/>
  <c r="K712" i="1"/>
  <c r="J712" i="1"/>
  <c r="I712" i="1"/>
  <c r="H712" i="1"/>
  <c r="G712" i="1"/>
  <c r="F712" i="1"/>
  <c r="E712" i="1"/>
  <c r="D712" i="1"/>
  <c r="C712" i="1"/>
  <c r="B712" i="1"/>
  <c r="A712" i="1"/>
  <c r="AK711" i="1"/>
  <c r="Q711" i="1"/>
  <c r="P711" i="1"/>
  <c r="N711" i="1"/>
  <c r="M711" i="1"/>
  <c r="K711" i="1"/>
  <c r="J711" i="1"/>
  <c r="I711" i="1"/>
  <c r="H711" i="1"/>
  <c r="G711" i="1"/>
  <c r="F711" i="1"/>
  <c r="E711" i="1"/>
  <c r="D711" i="1"/>
  <c r="C711" i="1"/>
  <c r="B711" i="1"/>
  <c r="A711" i="1"/>
  <c r="AK710" i="1"/>
  <c r="Q710" i="1"/>
  <c r="P710" i="1"/>
  <c r="N710" i="1"/>
  <c r="M710" i="1"/>
  <c r="K710" i="1"/>
  <c r="J710" i="1"/>
  <c r="I710" i="1"/>
  <c r="H710" i="1"/>
  <c r="G710" i="1"/>
  <c r="F710" i="1"/>
  <c r="E710" i="1"/>
  <c r="D710" i="1"/>
  <c r="C710" i="1"/>
  <c r="B710" i="1"/>
  <c r="A710" i="1"/>
  <c r="AK709" i="1"/>
  <c r="Q709" i="1"/>
  <c r="P709" i="1"/>
  <c r="O709" i="1"/>
  <c r="N709" i="1"/>
  <c r="M709" i="1"/>
  <c r="K709" i="1"/>
  <c r="J709" i="1"/>
  <c r="I709" i="1"/>
  <c r="H709" i="1"/>
  <c r="G709" i="1"/>
  <c r="F709" i="1"/>
  <c r="E709" i="1"/>
  <c r="D709" i="1"/>
  <c r="C709" i="1"/>
  <c r="B709" i="1"/>
  <c r="A709" i="1"/>
  <c r="AK708" i="1"/>
  <c r="Q708" i="1"/>
  <c r="P708" i="1"/>
  <c r="N708" i="1"/>
  <c r="M708" i="1"/>
  <c r="K708" i="1"/>
  <c r="J708" i="1"/>
  <c r="I708" i="1"/>
  <c r="H708" i="1"/>
  <c r="G708" i="1"/>
  <c r="F708" i="1"/>
  <c r="E708" i="1"/>
  <c r="D708" i="1"/>
  <c r="C708" i="1"/>
  <c r="B708" i="1"/>
  <c r="A708" i="1"/>
  <c r="AK707" i="1"/>
  <c r="Q707" i="1"/>
  <c r="P707" i="1"/>
  <c r="O707" i="1"/>
  <c r="N707" i="1"/>
  <c r="M707" i="1"/>
  <c r="K707" i="1"/>
  <c r="J707" i="1"/>
  <c r="I707" i="1"/>
  <c r="H707" i="1"/>
  <c r="G707" i="1"/>
  <c r="F707" i="1"/>
  <c r="E707" i="1"/>
  <c r="D707" i="1"/>
  <c r="C707" i="1"/>
  <c r="B707" i="1"/>
  <c r="A707" i="1"/>
  <c r="AK706" i="1"/>
  <c r="Q706" i="1"/>
  <c r="P706" i="1"/>
  <c r="O706" i="1"/>
  <c r="N706" i="1"/>
  <c r="M706" i="1"/>
  <c r="L706" i="1"/>
  <c r="K706" i="1"/>
  <c r="I706" i="1"/>
  <c r="H706" i="1"/>
  <c r="G706" i="1"/>
  <c r="F706" i="1"/>
  <c r="E706" i="1"/>
  <c r="D706" i="1"/>
  <c r="C706" i="1"/>
  <c r="B706" i="1"/>
  <c r="A706" i="1"/>
  <c r="AK705" i="1"/>
  <c r="Q705" i="1"/>
  <c r="P705" i="1"/>
  <c r="O705" i="1"/>
  <c r="N705" i="1"/>
  <c r="M705" i="1"/>
  <c r="K705" i="1"/>
  <c r="J705" i="1"/>
  <c r="I705" i="1"/>
  <c r="H705" i="1"/>
  <c r="G705" i="1"/>
  <c r="F705" i="1"/>
  <c r="E705" i="1"/>
  <c r="D705" i="1"/>
  <c r="C705" i="1"/>
  <c r="B705" i="1"/>
  <c r="A705" i="1"/>
  <c r="AK704" i="1"/>
  <c r="Q704" i="1"/>
  <c r="P704" i="1"/>
  <c r="O704" i="1"/>
  <c r="N704" i="1"/>
  <c r="M704" i="1"/>
  <c r="L704" i="1"/>
  <c r="K704" i="1"/>
  <c r="I704" i="1"/>
  <c r="H704" i="1"/>
  <c r="G704" i="1"/>
  <c r="F704" i="1"/>
  <c r="E704" i="1"/>
  <c r="D704" i="1"/>
  <c r="C704" i="1"/>
  <c r="B704" i="1"/>
  <c r="A704" i="1"/>
  <c r="AK703" i="1"/>
  <c r="Q703" i="1"/>
  <c r="P703" i="1"/>
  <c r="N703" i="1"/>
  <c r="M703" i="1"/>
  <c r="K703" i="1"/>
  <c r="J703" i="1"/>
  <c r="I703" i="1"/>
  <c r="H703" i="1"/>
  <c r="G703" i="1"/>
  <c r="F703" i="1"/>
  <c r="E703" i="1"/>
  <c r="D703" i="1"/>
  <c r="C703" i="1"/>
  <c r="B703" i="1"/>
  <c r="A703" i="1"/>
  <c r="AK702" i="1"/>
  <c r="Q702" i="1"/>
  <c r="P702" i="1"/>
  <c r="O702" i="1"/>
  <c r="N702" i="1"/>
  <c r="M702" i="1"/>
  <c r="K702" i="1"/>
  <c r="J702" i="1"/>
  <c r="I702" i="1"/>
  <c r="H702" i="1"/>
  <c r="G702" i="1"/>
  <c r="F702" i="1"/>
  <c r="E702" i="1"/>
  <c r="D702" i="1"/>
  <c r="C702" i="1"/>
  <c r="B702" i="1"/>
  <c r="A702" i="1"/>
  <c r="AK701" i="1"/>
  <c r="AE701" i="1"/>
  <c r="AD701" i="1"/>
  <c r="Q701" i="1"/>
  <c r="P701" i="1"/>
  <c r="O701" i="1"/>
  <c r="N701" i="1"/>
  <c r="M701" i="1"/>
  <c r="K701" i="1"/>
  <c r="J701" i="1"/>
  <c r="I701" i="1"/>
  <c r="H701" i="1"/>
  <c r="G701" i="1"/>
  <c r="F701" i="1"/>
  <c r="E701" i="1"/>
  <c r="D701" i="1"/>
  <c r="C701" i="1"/>
  <c r="B701" i="1"/>
  <c r="A701" i="1"/>
  <c r="AK700" i="1"/>
  <c r="Q700" i="1"/>
  <c r="P700" i="1"/>
  <c r="O700" i="1"/>
  <c r="N700" i="1"/>
  <c r="M700" i="1"/>
  <c r="K700" i="1"/>
  <c r="J700" i="1"/>
  <c r="I700" i="1"/>
  <c r="H700" i="1"/>
  <c r="G700" i="1"/>
  <c r="F700" i="1"/>
  <c r="E700" i="1"/>
  <c r="D700" i="1"/>
  <c r="C700" i="1"/>
  <c r="B700" i="1"/>
  <c r="A700" i="1"/>
  <c r="AK699" i="1"/>
  <c r="Q699" i="1"/>
  <c r="P699" i="1"/>
  <c r="O699" i="1"/>
  <c r="N699" i="1"/>
  <c r="M699" i="1"/>
  <c r="K699" i="1"/>
  <c r="I699" i="1"/>
  <c r="H699" i="1"/>
  <c r="F699" i="1"/>
  <c r="E699" i="1"/>
  <c r="D699" i="1"/>
  <c r="C699" i="1"/>
  <c r="B699" i="1"/>
  <c r="A699" i="1"/>
  <c r="AK698" i="1"/>
  <c r="Q698" i="1"/>
  <c r="P698" i="1"/>
  <c r="O698" i="1"/>
  <c r="N698" i="1"/>
  <c r="M698" i="1"/>
  <c r="K698" i="1"/>
  <c r="J698" i="1"/>
  <c r="I698" i="1"/>
  <c r="H698" i="1"/>
  <c r="G698" i="1"/>
  <c r="F698" i="1"/>
  <c r="E698" i="1"/>
  <c r="D698" i="1"/>
  <c r="C698" i="1"/>
  <c r="B698" i="1"/>
  <c r="A698" i="1"/>
  <c r="AK697" i="1"/>
  <c r="Q697" i="1"/>
  <c r="P697" i="1"/>
  <c r="O697" i="1"/>
  <c r="N697" i="1"/>
  <c r="M697" i="1"/>
  <c r="K697" i="1"/>
  <c r="J697" i="1"/>
  <c r="I697" i="1"/>
  <c r="H697" i="1"/>
  <c r="G697" i="1"/>
  <c r="F697" i="1"/>
  <c r="E697" i="1"/>
  <c r="D697" i="1"/>
  <c r="C697" i="1"/>
  <c r="B697" i="1"/>
  <c r="A697" i="1"/>
  <c r="AK696" i="1"/>
  <c r="Q696" i="1"/>
  <c r="P696" i="1"/>
  <c r="O696" i="1"/>
  <c r="N696" i="1"/>
  <c r="M696" i="1"/>
  <c r="K696" i="1"/>
  <c r="J696" i="1"/>
  <c r="I696" i="1"/>
  <c r="H696" i="1"/>
  <c r="G696" i="1"/>
  <c r="F696" i="1"/>
  <c r="E696" i="1"/>
  <c r="D696" i="1"/>
  <c r="C696" i="1"/>
  <c r="B696" i="1"/>
  <c r="A696" i="1"/>
  <c r="AK695" i="1"/>
  <c r="Q695" i="1"/>
  <c r="P695" i="1"/>
  <c r="O695" i="1"/>
  <c r="N695" i="1"/>
  <c r="M695" i="1"/>
  <c r="K695" i="1"/>
  <c r="J695" i="1"/>
  <c r="I695" i="1"/>
  <c r="H695" i="1"/>
  <c r="G695" i="1"/>
  <c r="F695" i="1"/>
  <c r="E695" i="1"/>
  <c r="D695" i="1"/>
  <c r="C695" i="1"/>
  <c r="B695" i="1"/>
  <c r="A695" i="1"/>
  <c r="AK694" i="1"/>
  <c r="Q694" i="1"/>
  <c r="P694" i="1"/>
  <c r="O694" i="1"/>
  <c r="N694" i="1"/>
  <c r="M694" i="1"/>
  <c r="K694" i="1"/>
  <c r="J694" i="1"/>
  <c r="I694" i="1"/>
  <c r="H694" i="1"/>
  <c r="G694" i="1"/>
  <c r="F694" i="1"/>
  <c r="E694" i="1"/>
  <c r="D694" i="1"/>
  <c r="C694" i="1"/>
  <c r="B694" i="1"/>
  <c r="A694" i="1"/>
  <c r="AK693" i="1"/>
  <c r="Q693" i="1"/>
  <c r="P693" i="1"/>
  <c r="N693" i="1"/>
  <c r="M693" i="1"/>
  <c r="K693" i="1"/>
  <c r="J693" i="1"/>
  <c r="I693" i="1"/>
  <c r="H693" i="1"/>
  <c r="G693" i="1"/>
  <c r="F693" i="1"/>
  <c r="E693" i="1"/>
  <c r="D693" i="1"/>
  <c r="C693" i="1"/>
  <c r="B693" i="1"/>
  <c r="A693" i="1"/>
  <c r="AK692" i="1"/>
  <c r="Q692" i="1"/>
  <c r="P692" i="1"/>
  <c r="O692" i="1"/>
  <c r="N692" i="1"/>
  <c r="M692" i="1"/>
  <c r="K692" i="1"/>
  <c r="J692" i="1"/>
  <c r="I692" i="1"/>
  <c r="H692" i="1"/>
  <c r="G692" i="1"/>
  <c r="F692" i="1"/>
  <c r="E692" i="1"/>
  <c r="D692" i="1"/>
  <c r="C692" i="1"/>
  <c r="B692" i="1"/>
  <c r="A692" i="1"/>
  <c r="AK691" i="1"/>
  <c r="Q691" i="1"/>
  <c r="P691" i="1"/>
  <c r="O691" i="1"/>
  <c r="N691" i="1"/>
  <c r="M691" i="1"/>
  <c r="K691" i="1"/>
  <c r="J691" i="1"/>
  <c r="I691" i="1"/>
  <c r="H691" i="1"/>
  <c r="G691" i="1"/>
  <c r="F691" i="1"/>
  <c r="E691" i="1"/>
  <c r="D691" i="1"/>
  <c r="C691" i="1"/>
  <c r="B691" i="1"/>
  <c r="A691" i="1"/>
  <c r="AK690" i="1"/>
  <c r="Q690" i="1"/>
  <c r="P690" i="1"/>
  <c r="O690" i="1"/>
  <c r="N690" i="1"/>
  <c r="M690" i="1"/>
  <c r="K690" i="1"/>
  <c r="J690" i="1"/>
  <c r="I690" i="1"/>
  <c r="H690" i="1"/>
  <c r="G690" i="1"/>
  <c r="F690" i="1"/>
  <c r="E690" i="1"/>
  <c r="D690" i="1"/>
  <c r="C690" i="1"/>
  <c r="B690" i="1"/>
  <c r="A690" i="1"/>
  <c r="Q689" i="1"/>
  <c r="P689" i="1"/>
  <c r="O689" i="1"/>
  <c r="N689" i="1"/>
  <c r="M689" i="1"/>
  <c r="K689" i="1"/>
  <c r="J689" i="1"/>
  <c r="I689" i="1"/>
  <c r="H689" i="1"/>
  <c r="G689" i="1"/>
  <c r="F689" i="1"/>
  <c r="E689" i="1"/>
  <c r="D689" i="1"/>
  <c r="C689" i="1"/>
  <c r="B689" i="1"/>
  <c r="A689" i="1"/>
  <c r="Q688" i="1"/>
  <c r="P688" i="1"/>
  <c r="O688" i="1"/>
  <c r="N688" i="1"/>
  <c r="M688" i="1"/>
  <c r="K688" i="1"/>
  <c r="J688" i="1"/>
  <c r="I688" i="1"/>
  <c r="H688" i="1"/>
  <c r="G688" i="1"/>
  <c r="F688" i="1"/>
  <c r="E688" i="1"/>
  <c r="D688" i="1"/>
  <c r="C688" i="1"/>
  <c r="B688" i="1"/>
  <c r="A688" i="1"/>
  <c r="AK687" i="1"/>
  <c r="Q687" i="1"/>
  <c r="P687" i="1"/>
  <c r="O687" i="1"/>
  <c r="N687" i="1"/>
  <c r="M687" i="1"/>
  <c r="K687" i="1"/>
  <c r="J687" i="1"/>
  <c r="I687" i="1"/>
  <c r="H687" i="1"/>
  <c r="G687" i="1"/>
  <c r="F687" i="1"/>
  <c r="E687" i="1"/>
  <c r="D687" i="1"/>
  <c r="C687" i="1"/>
  <c r="B687" i="1"/>
  <c r="A687" i="1"/>
  <c r="AK686" i="1"/>
  <c r="Q686" i="1"/>
  <c r="P686" i="1"/>
  <c r="O686" i="1"/>
  <c r="N686" i="1"/>
  <c r="M686" i="1"/>
  <c r="K686" i="1"/>
  <c r="J686" i="1"/>
  <c r="I686" i="1"/>
  <c r="H686" i="1"/>
  <c r="G686" i="1"/>
  <c r="F686" i="1"/>
  <c r="E686" i="1"/>
  <c r="D686" i="1"/>
  <c r="C686" i="1"/>
  <c r="B686" i="1"/>
  <c r="A686" i="1"/>
  <c r="AK685" i="1"/>
  <c r="Q685" i="1"/>
  <c r="P685" i="1"/>
  <c r="O685" i="1"/>
  <c r="N685" i="1"/>
  <c r="M685" i="1"/>
  <c r="K685" i="1"/>
  <c r="J685" i="1"/>
  <c r="I685" i="1"/>
  <c r="H685" i="1"/>
  <c r="G685" i="1"/>
  <c r="F685" i="1"/>
  <c r="E685" i="1"/>
  <c r="D685" i="1"/>
  <c r="C685" i="1"/>
  <c r="B685" i="1"/>
  <c r="A685" i="1"/>
  <c r="AK684" i="1"/>
  <c r="Q684" i="1"/>
  <c r="P684" i="1"/>
  <c r="O684" i="1"/>
  <c r="N684" i="1"/>
  <c r="M684" i="1"/>
  <c r="K684" i="1"/>
  <c r="J684" i="1"/>
  <c r="I684" i="1"/>
  <c r="H684" i="1"/>
  <c r="G684" i="1"/>
  <c r="F684" i="1"/>
  <c r="E684" i="1"/>
  <c r="D684" i="1"/>
  <c r="C684" i="1"/>
  <c r="B684" i="1"/>
  <c r="A684" i="1"/>
  <c r="AK683" i="1"/>
  <c r="Q683" i="1"/>
  <c r="P683" i="1"/>
  <c r="O683" i="1"/>
  <c r="N683" i="1"/>
  <c r="M683" i="1"/>
  <c r="K683" i="1"/>
  <c r="J683" i="1"/>
  <c r="I683" i="1"/>
  <c r="H683" i="1"/>
  <c r="G683" i="1"/>
  <c r="F683" i="1"/>
  <c r="E683" i="1"/>
  <c r="D683" i="1"/>
  <c r="C683" i="1"/>
  <c r="B683" i="1"/>
  <c r="A683" i="1"/>
  <c r="AK682" i="1"/>
  <c r="Q682" i="1"/>
  <c r="P682" i="1"/>
  <c r="O682" i="1"/>
  <c r="N682" i="1"/>
  <c r="M682" i="1"/>
  <c r="K682" i="1"/>
  <c r="J682" i="1"/>
  <c r="I682" i="1"/>
  <c r="H682" i="1"/>
  <c r="G682" i="1"/>
  <c r="F682" i="1"/>
  <c r="E682" i="1"/>
  <c r="D682" i="1"/>
  <c r="C682" i="1"/>
  <c r="B682" i="1"/>
  <c r="A682" i="1"/>
  <c r="AK681" i="1"/>
  <c r="Q681" i="1"/>
  <c r="P681" i="1"/>
  <c r="O681" i="1"/>
  <c r="N681" i="1"/>
  <c r="M681" i="1"/>
  <c r="K681" i="1"/>
  <c r="J681" i="1"/>
  <c r="I681" i="1"/>
  <c r="H681" i="1"/>
  <c r="G681" i="1"/>
  <c r="F681" i="1"/>
  <c r="E681" i="1"/>
  <c r="D681" i="1"/>
  <c r="C681" i="1"/>
  <c r="B681" i="1"/>
  <c r="A681" i="1"/>
  <c r="AK680" i="1"/>
  <c r="Q680" i="1"/>
  <c r="P680" i="1"/>
  <c r="O680" i="1"/>
  <c r="N680" i="1"/>
  <c r="M680" i="1"/>
  <c r="K680" i="1"/>
  <c r="J680" i="1"/>
  <c r="I680" i="1"/>
  <c r="H680" i="1"/>
  <c r="G680" i="1"/>
  <c r="F680" i="1"/>
  <c r="E680" i="1"/>
  <c r="D680" i="1"/>
  <c r="C680" i="1"/>
  <c r="B680" i="1"/>
  <c r="A680" i="1"/>
  <c r="AK679" i="1"/>
  <c r="Q679" i="1"/>
  <c r="P679" i="1"/>
  <c r="O679" i="1"/>
  <c r="N679" i="1"/>
  <c r="M679" i="1"/>
  <c r="K679" i="1"/>
  <c r="J679" i="1"/>
  <c r="I679" i="1"/>
  <c r="H679" i="1"/>
  <c r="G679" i="1"/>
  <c r="F679" i="1"/>
  <c r="E679" i="1"/>
  <c r="D679" i="1"/>
  <c r="C679" i="1"/>
  <c r="B679" i="1"/>
  <c r="A679" i="1"/>
  <c r="AK678" i="1"/>
  <c r="Q678" i="1"/>
  <c r="P678" i="1"/>
  <c r="O678" i="1"/>
  <c r="N678" i="1"/>
  <c r="M678" i="1"/>
  <c r="K678" i="1"/>
  <c r="J678" i="1"/>
  <c r="I678" i="1"/>
  <c r="H678" i="1"/>
  <c r="G678" i="1"/>
  <c r="F678" i="1"/>
  <c r="E678" i="1"/>
  <c r="D678" i="1"/>
  <c r="C678" i="1"/>
  <c r="B678" i="1"/>
  <c r="A678" i="1"/>
  <c r="AK677" i="1"/>
  <c r="Q677" i="1"/>
  <c r="P677" i="1"/>
  <c r="O677" i="1"/>
  <c r="N677" i="1"/>
  <c r="M677" i="1"/>
  <c r="K677" i="1"/>
  <c r="J677" i="1"/>
  <c r="I677" i="1"/>
  <c r="H677" i="1"/>
  <c r="G677" i="1"/>
  <c r="F677" i="1"/>
  <c r="E677" i="1"/>
  <c r="D677" i="1"/>
  <c r="C677" i="1"/>
  <c r="B677" i="1"/>
  <c r="A677" i="1"/>
  <c r="AK676" i="1"/>
  <c r="Q676" i="1"/>
  <c r="P676" i="1"/>
  <c r="O676" i="1"/>
  <c r="N676" i="1"/>
  <c r="M676" i="1"/>
  <c r="K676" i="1"/>
  <c r="J676" i="1"/>
  <c r="I676" i="1"/>
  <c r="H676" i="1"/>
  <c r="G676" i="1"/>
  <c r="F676" i="1"/>
  <c r="E676" i="1"/>
  <c r="D676" i="1"/>
  <c r="C676" i="1"/>
  <c r="B676" i="1"/>
  <c r="A676" i="1"/>
  <c r="AK675" i="1"/>
  <c r="Q675" i="1"/>
  <c r="P675" i="1"/>
  <c r="O675" i="1"/>
  <c r="N675" i="1"/>
  <c r="M675" i="1"/>
  <c r="K675" i="1"/>
  <c r="J675" i="1"/>
  <c r="I675" i="1"/>
  <c r="H675" i="1"/>
  <c r="G675" i="1"/>
  <c r="F675" i="1"/>
  <c r="E675" i="1"/>
  <c r="D675" i="1"/>
  <c r="C675" i="1"/>
  <c r="B675" i="1"/>
  <c r="A675" i="1"/>
  <c r="AK674" i="1"/>
  <c r="Q674" i="1"/>
  <c r="P674" i="1"/>
  <c r="O674" i="1"/>
  <c r="N674" i="1"/>
  <c r="M674" i="1"/>
  <c r="K674" i="1"/>
  <c r="J674" i="1"/>
  <c r="I674" i="1"/>
  <c r="H674" i="1"/>
  <c r="G674" i="1"/>
  <c r="F674" i="1"/>
  <c r="E674" i="1"/>
  <c r="D674" i="1"/>
  <c r="C674" i="1"/>
  <c r="B674" i="1"/>
  <c r="A674" i="1"/>
  <c r="AK673" i="1"/>
  <c r="Q673" i="1"/>
  <c r="P673" i="1"/>
  <c r="O673" i="1"/>
  <c r="N673" i="1"/>
  <c r="M673" i="1"/>
  <c r="K673" i="1"/>
  <c r="J673" i="1"/>
  <c r="I673" i="1"/>
  <c r="H673" i="1"/>
  <c r="G673" i="1"/>
  <c r="F673" i="1"/>
  <c r="E673" i="1"/>
  <c r="D673" i="1"/>
  <c r="C673" i="1"/>
  <c r="B673" i="1"/>
  <c r="A673" i="1"/>
  <c r="AK672" i="1"/>
  <c r="Q672" i="1"/>
  <c r="P672" i="1"/>
  <c r="O672" i="1"/>
  <c r="N672" i="1"/>
  <c r="M672" i="1"/>
  <c r="K672" i="1"/>
  <c r="J672" i="1"/>
  <c r="I672" i="1"/>
  <c r="H672" i="1"/>
  <c r="G672" i="1"/>
  <c r="F672" i="1"/>
  <c r="E672" i="1"/>
  <c r="D672" i="1"/>
  <c r="C672" i="1"/>
  <c r="B672" i="1"/>
  <c r="A672" i="1"/>
  <c r="AK671" i="1"/>
  <c r="Q671" i="1"/>
  <c r="P671" i="1"/>
  <c r="O671" i="1"/>
  <c r="N671" i="1"/>
  <c r="M671" i="1"/>
  <c r="K671" i="1"/>
  <c r="J671" i="1"/>
  <c r="I671" i="1"/>
  <c r="H671" i="1"/>
  <c r="G671" i="1"/>
  <c r="F671" i="1"/>
  <c r="E671" i="1"/>
  <c r="D671" i="1"/>
  <c r="C671" i="1"/>
  <c r="B671" i="1"/>
  <c r="A671" i="1"/>
  <c r="AK670" i="1"/>
  <c r="Q670" i="1"/>
  <c r="P670" i="1"/>
  <c r="N670" i="1"/>
  <c r="M670" i="1"/>
  <c r="K670" i="1"/>
  <c r="J670" i="1"/>
  <c r="I670" i="1"/>
  <c r="H670" i="1"/>
  <c r="G670" i="1"/>
  <c r="F670" i="1"/>
  <c r="E670" i="1"/>
  <c r="D670" i="1"/>
  <c r="C670" i="1"/>
  <c r="B670" i="1"/>
  <c r="A670" i="1"/>
  <c r="AK669" i="1"/>
  <c r="Q669" i="1"/>
  <c r="P669" i="1"/>
  <c r="O669" i="1"/>
  <c r="N669" i="1"/>
  <c r="M669" i="1"/>
  <c r="K669" i="1"/>
  <c r="J669" i="1"/>
  <c r="I669" i="1"/>
  <c r="H669" i="1"/>
  <c r="G669" i="1"/>
  <c r="F669" i="1"/>
  <c r="E669" i="1"/>
  <c r="D669" i="1"/>
  <c r="C669" i="1"/>
  <c r="B669" i="1"/>
  <c r="A669" i="1"/>
  <c r="AK668" i="1"/>
  <c r="Q668" i="1"/>
  <c r="P668" i="1"/>
  <c r="O668" i="1"/>
  <c r="N668" i="1"/>
  <c r="M668" i="1"/>
  <c r="K668" i="1"/>
  <c r="J668" i="1"/>
  <c r="I668" i="1"/>
  <c r="H668" i="1"/>
  <c r="G668" i="1"/>
  <c r="F668" i="1"/>
  <c r="E668" i="1"/>
  <c r="D668" i="1"/>
  <c r="C668" i="1"/>
  <c r="B668" i="1"/>
  <c r="A668" i="1"/>
  <c r="AK667" i="1"/>
  <c r="Q667" i="1"/>
  <c r="P667" i="1"/>
  <c r="O667" i="1"/>
  <c r="N667" i="1"/>
  <c r="M667" i="1"/>
  <c r="K667" i="1"/>
  <c r="J667" i="1"/>
  <c r="I667" i="1"/>
  <c r="H667" i="1"/>
  <c r="G667" i="1"/>
  <c r="F667" i="1"/>
  <c r="E667" i="1"/>
  <c r="D667" i="1"/>
  <c r="C667" i="1"/>
  <c r="B667" i="1"/>
  <c r="A667" i="1"/>
  <c r="AK666" i="1"/>
  <c r="Q666" i="1"/>
  <c r="P666" i="1"/>
  <c r="O666" i="1"/>
  <c r="N666" i="1"/>
  <c r="M666" i="1"/>
  <c r="K666" i="1"/>
  <c r="J666" i="1"/>
  <c r="I666" i="1"/>
  <c r="H666" i="1"/>
  <c r="G666" i="1"/>
  <c r="F666" i="1"/>
  <c r="E666" i="1"/>
  <c r="D666" i="1"/>
  <c r="C666" i="1"/>
  <c r="B666" i="1"/>
  <c r="A666" i="1"/>
  <c r="AK665" i="1"/>
  <c r="Q665" i="1"/>
  <c r="P665" i="1"/>
  <c r="O665" i="1"/>
  <c r="N665" i="1"/>
  <c r="M665" i="1"/>
  <c r="K665" i="1"/>
  <c r="J665" i="1"/>
  <c r="I665" i="1"/>
  <c r="H665" i="1"/>
  <c r="G665" i="1"/>
  <c r="F665" i="1"/>
  <c r="E665" i="1"/>
  <c r="D665" i="1"/>
  <c r="C665" i="1"/>
  <c r="B665" i="1"/>
  <c r="A665" i="1"/>
  <c r="AK664" i="1"/>
  <c r="Q664" i="1"/>
  <c r="P664" i="1"/>
  <c r="O664" i="1"/>
  <c r="N664" i="1"/>
  <c r="M664" i="1"/>
  <c r="K664" i="1"/>
  <c r="J664" i="1"/>
  <c r="I664" i="1"/>
  <c r="H664" i="1"/>
  <c r="G664" i="1"/>
  <c r="F664" i="1"/>
  <c r="E664" i="1"/>
  <c r="D664" i="1"/>
  <c r="C664" i="1"/>
  <c r="B664" i="1"/>
  <c r="A664" i="1"/>
  <c r="AK663" i="1"/>
  <c r="Q663" i="1"/>
  <c r="P663" i="1"/>
  <c r="O663" i="1"/>
  <c r="N663" i="1"/>
  <c r="M663" i="1"/>
  <c r="K663" i="1"/>
  <c r="J663" i="1"/>
  <c r="I663" i="1"/>
  <c r="H663" i="1"/>
  <c r="G663" i="1"/>
  <c r="F663" i="1"/>
  <c r="E663" i="1"/>
  <c r="D663" i="1"/>
  <c r="C663" i="1"/>
  <c r="B663" i="1"/>
  <c r="A663" i="1"/>
  <c r="AK662" i="1"/>
  <c r="Q662" i="1"/>
  <c r="P662" i="1"/>
  <c r="O662" i="1"/>
  <c r="N662" i="1"/>
  <c r="M662" i="1"/>
  <c r="K662" i="1"/>
  <c r="J662" i="1"/>
  <c r="I662" i="1"/>
  <c r="H662" i="1"/>
  <c r="G662" i="1"/>
  <c r="F662" i="1"/>
  <c r="E662" i="1"/>
  <c r="D662" i="1"/>
  <c r="C662" i="1"/>
  <c r="B662" i="1"/>
  <c r="A662" i="1"/>
  <c r="AK661" i="1"/>
  <c r="Q661" i="1"/>
  <c r="P661" i="1"/>
  <c r="O661" i="1"/>
  <c r="N661" i="1"/>
  <c r="M661" i="1"/>
  <c r="K661" i="1"/>
  <c r="J661" i="1"/>
  <c r="I661" i="1"/>
  <c r="H661" i="1"/>
  <c r="G661" i="1"/>
  <c r="F661" i="1"/>
  <c r="E661" i="1"/>
  <c r="D661" i="1"/>
  <c r="C661" i="1"/>
  <c r="B661" i="1"/>
  <c r="A661" i="1"/>
  <c r="AK660" i="1"/>
  <c r="Q660" i="1"/>
  <c r="P660" i="1"/>
  <c r="O660" i="1"/>
  <c r="N660" i="1"/>
  <c r="M660" i="1"/>
  <c r="K660" i="1"/>
  <c r="J660" i="1"/>
  <c r="I660" i="1"/>
  <c r="H660" i="1"/>
  <c r="G660" i="1"/>
  <c r="F660" i="1"/>
  <c r="E660" i="1"/>
  <c r="D660" i="1"/>
  <c r="C660" i="1"/>
  <c r="B660" i="1"/>
  <c r="A660" i="1"/>
  <c r="AK659" i="1"/>
  <c r="Q659" i="1"/>
  <c r="P659" i="1"/>
  <c r="O659" i="1"/>
  <c r="N659" i="1"/>
  <c r="M659" i="1"/>
  <c r="K659" i="1"/>
  <c r="J659" i="1"/>
  <c r="I659" i="1"/>
  <c r="H659" i="1"/>
  <c r="G659" i="1"/>
  <c r="F659" i="1"/>
  <c r="E659" i="1"/>
  <c r="D659" i="1"/>
  <c r="C659" i="1"/>
  <c r="B659" i="1"/>
  <c r="A659" i="1"/>
  <c r="AK658" i="1"/>
  <c r="Q658" i="1"/>
  <c r="P658" i="1"/>
  <c r="O658" i="1"/>
  <c r="N658" i="1"/>
  <c r="M658" i="1"/>
  <c r="K658" i="1"/>
  <c r="J658" i="1"/>
  <c r="I658" i="1"/>
  <c r="H658" i="1"/>
  <c r="G658" i="1"/>
  <c r="F658" i="1"/>
  <c r="E658" i="1"/>
  <c r="D658" i="1"/>
  <c r="C658" i="1"/>
  <c r="B658" i="1"/>
  <c r="A658" i="1"/>
  <c r="AK657" i="1"/>
  <c r="Q657" i="1"/>
  <c r="P657" i="1"/>
  <c r="O657" i="1"/>
  <c r="N657" i="1"/>
  <c r="M657" i="1"/>
  <c r="K657" i="1"/>
  <c r="J657" i="1"/>
  <c r="I657" i="1"/>
  <c r="H657" i="1"/>
  <c r="G657" i="1"/>
  <c r="F657" i="1"/>
  <c r="E657" i="1"/>
  <c r="D657" i="1"/>
  <c r="C657" i="1"/>
  <c r="B657" i="1"/>
  <c r="A657" i="1"/>
  <c r="AK656" i="1"/>
  <c r="Q656" i="1"/>
  <c r="P656" i="1"/>
  <c r="N656" i="1"/>
  <c r="M656" i="1"/>
  <c r="K656" i="1"/>
  <c r="J656" i="1"/>
  <c r="I656" i="1"/>
  <c r="H656" i="1"/>
  <c r="G656" i="1"/>
  <c r="F656" i="1"/>
  <c r="E656" i="1"/>
  <c r="D656" i="1"/>
  <c r="C656" i="1"/>
  <c r="B656" i="1"/>
  <c r="A656" i="1"/>
  <c r="AK655" i="1"/>
  <c r="Q655" i="1"/>
  <c r="P655" i="1"/>
  <c r="O655" i="1"/>
  <c r="N655" i="1"/>
  <c r="M655" i="1"/>
  <c r="K655" i="1"/>
  <c r="J655" i="1"/>
  <c r="I655" i="1"/>
  <c r="H655" i="1"/>
  <c r="F655" i="1"/>
  <c r="E655" i="1"/>
  <c r="D655" i="1"/>
  <c r="C655" i="1"/>
  <c r="B655" i="1"/>
  <c r="A655" i="1"/>
  <c r="AK654" i="1"/>
  <c r="Q654" i="1"/>
  <c r="P654" i="1"/>
  <c r="O654" i="1"/>
  <c r="N654" i="1"/>
  <c r="M654" i="1"/>
  <c r="K654" i="1"/>
  <c r="J654" i="1"/>
  <c r="I654" i="1"/>
  <c r="H654" i="1"/>
  <c r="F654" i="1"/>
  <c r="E654" i="1"/>
  <c r="D654" i="1"/>
  <c r="C654" i="1"/>
  <c r="B654" i="1"/>
  <c r="A654" i="1"/>
  <c r="AK653" i="1"/>
  <c r="Q653" i="1"/>
  <c r="P653" i="1"/>
  <c r="O653" i="1"/>
  <c r="N653" i="1"/>
  <c r="M653" i="1"/>
  <c r="K653" i="1"/>
  <c r="J653" i="1"/>
  <c r="I653" i="1"/>
  <c r="H653" i="1"/>
  <c r="G653" i="1"/>
  <c r="F653" i="1"/>
  <c r="E653" i="1"/>
  <c r="D653" i="1"/>
  <c r="C653" i="1"/>
  <c r="B653" i="1"/>
  <c r="A653" i="1"/>
  <c r="AK652" i="1"/>
  <c r="Q652" i="1"/>
  <c r="P652" i="1"/>
  <c r="O652" i="1"/>
  <c r="N652" i="1"/>
  <c r="M652" i="1"/>
  <c r="K652" i="1"/>
  <c r="J652" i="1"/>
  <c r="I652" i="1"/>
  <c r="H652" i="1"/>
  <c r="G652" i="1"/>
  <c r="F652" i="1"/>
  <c r="E652" i="1"/>
  <c r="D652" i="1"/>
  <c r="C652" i="1"/>
  <c r="B652" i="1"/>
  <c r="A652" i="1"/>
  <c r="AK651" i="1"/>
  <c r="Q651" i="1"/>
  <c r="P651" i="1"/>
  <c r="O651" i="1"/>
  <c r="N651" i="1"/>
  <c r="M651" i="1"/>
  <c r="K651" i="1"/>
  <c r="J651" i="1"/>
  <c r="I651" i="1"/>
  <c r="H651" i="1"/>
  <c r="G651" i="1"/>
  <c r="F651" i="1"/>
  <c r="E651" i="1"/>
  <c r="D651" i="1"/>
  <c r="C651" i="1"/>
  <c r="B651" i="1"/>
  <c r="A651" i="1"/>
  <c r="AK650" i="1"/>
  <c r="Q650" i="1"/>
  <c r="P650" i="1"/>
  <c r="O650" i="1"/>
  <c r="N650" i="1"/>
  <c r="M650" i="1"/>
  <c r="K650" i="1"/>
  <c r="J650" i="1"/>
  <c r="I650" i="1"/>
  <c r="H650" i="1"/>
  <c r="G650" i="1"/>
  <c r="F650" i="1"/>
  <c r="E650" i="1"/>
  <c r="D650" i="1"/>
  <c r="C650" i="1"/>
  <c r="B650" i="1"/>
  <c r="A650" i="1"/>
  <c r="AK649" i="1"/>
  <c r="Q649" i="1"/>
  <c r="P649" i="1"/>
  <c r="O649" i="1"/>
  <c r="N649" i="1"/>
  <c r="M649" i="1"/>
  <c r="K649" i="1"/>
  <c r="J649" i="1"/>
  <c r="I649" i="1"/>
  <c r="H649" i="1"/>
  <c r="G649" i="1"/>
  <c r="F649" i="1"/>
  <c r="E649" i="1"/>
  <c r="D649" i="1"/>
  <c r="C649" i="1"/>
  <c r="B649" i="1"/>
  <c r="A649" i="1"/>
  <c r="AK648" i="1"/>
  <c r="Q648" i="1"/>
  <c r="P648" i="1"/>
  <c r="O648" i="1"/>
  <c r="N648" i="1"/>
  <c r="M648" i="1"/>
  <c r="K648" i="1"/>
  <c r="J648" i="1"/>
  <c r="I648" i="1"/>
  <c r="H648" i="1"/>
  <c r="G648" i="1"/>
  <c r="F648" i="1"/>
  <c r="E648" i="1"/>
  <c r="D648" i="1"/>
  <c r="C648" i="1"/>
  <c r="B648" i="1"/>
  <c r="A648" i="1"/>
  <c r="AK647" i="1"/>
  <c r="Q647" i="1"/>
  <c r="P647" i="1"/>
  <c r="O647" i="1"/>
  <c r="N647" i="1"/>
  <c r="M647" i="1"/>
  <c r="K647" i="1"/>
  <c r="J647" i="1"/>
  <c r="I647" i="1"/>
  <c r="H647" i="1"/>
  <c r="G647" i="1"/>
  <c r="F647" i="1"/>
  <c r="E647" i="1"/>
  <c r="D647" i="1"/>
  <c r="C647" i="1"/>
  <c r="B647" i="1"/>
  <c r="A647" i="1"/>
  <c r="AK646" i="1"/>
  <c r="Q646" i="1"/>
  <c r="P646" i="1"/>
  <c r="O646" i="1"/>
  <c r="N646" i="1"/>
  <c r="M646" i="1"/>
  <c r="K646" i="1"/>
  <c r="J646" i="1"/>
  <c r="I646" i="1"/>
  <c r="H646" i="1"/>
  <c r="G646" i="1"/>
  <c r="F646" i="1"/>
  <c r="E646" i="1"/>
  <c r="D646" i="1"/>
  <c r="C646" i="1"/>
  <c r="B646" i="1"/>
  <c r="A646" i="1"/>
  <c r="AK645" i="1"/>
  <c r="Q645" i="1"/>
  <c r="P645" i="1"/>
  <c r="N645" i="1"/>
  <c r="M645" i="1"/>
  <c r="K645" i="1"/>
  <c r="J645" i="1"/>
  <c r="I645" i="1"/>
  <c r="H645" i="1"/>
  <c r="G645" i="1"/>
  <c r="F645" i="1"/>
  <c r="E645" i="1"/>
  <c r="D645" i="1"/>
  <c r="C645" i="1"/>
  <c r="B645" i="1"/>
  <c r="A645" i="1"/>
  <c r="AK644" i="1"/>
  <c r="Q644" i="1"/>
  <c r="P644" i="1"/>
  <c r="O644" i="1"/>
  <c r="N644" i="1"/>
  <c r="M644" i="1"/>
  <c r="K644" i="1"/>
  <c r="J644" i="1"/>
  <c r="I644" i="1"/>
  <c r="H644" i="1"/>
  <c r="G644" i="1"/>
  <c r="F644" i="1"/>
  <c r="E644" i="1"/>
  <c r="D644" i="1"/>
  <c r="C644" i="1"/>
  <c r="B644" i="1"/>
  <c r="A644" i="1"/>
  <c r="AK643" i="1"/>
  <c r="Q643" i="1"/>
  <c r="P643" i="1"/>
  <c r="O643" i="1"/>
  <c r="N643" i="1"/>
  <c r="M643" i="1"/>
  <c r="K643" i="1"/>
  <c r="J643" i="1"/>
  <c r="I643" i="1"/>
  <c r="H643" i="1"/>
  <c r="G643" i="1"/>
  <c r="F643" i="1"/>
  <c r="E643" i="1"/>
  <c r="D643" i="1"/>
  <c r="C643" i="1"/>
  <c r="B643" i="1"/>
  <c r="A643" i="1"/>
  <c r="AK642" i="1"/>
  <c r="Q642" i="1"/>
  <c r="P642" i="1"/>
  <c r="O642" i="1"/>
  <c r="N642" i="1"/>
  <c r="M642" i="1"/>
  <c r="K642" i="1"/>
  <c r="J642" i="1"/>
  <c r="I642" i="1"/>
  <c r="H642" i="1"/>
  <c r="G642" i="1"/>
  <c r="F642" i="1"/>
  <c r="E642" i="1"/>
  <c r="D642" i="1"/>
  <c r="C642" i="1"/>
  <c r="B642" i="1"/>
  <c r="A642" i="1"/>
  <c r="AK641" i="1"/>
  <c r="Q641" i="1"/>
  <c r="P641" i="1"/>
  <c r="O641" i="1"/>
  <c r="N641" i="1"/>
  <c r="M641" i="1"/>
  <c r="K641" i="1"/>
  <c r="J641" i="1"/>
  <c r="I641" i="1"/>
  <c r="H641" i="1"/>
  <c r="G641" i="1"/>
  <c r="F641" i="1"/>
  <c r="E641" i="1"/>
  <c r="D641" i="1"/>
  <c r="C641" i="1"/>
  <c r="B641" i="1"/>
  <c r="A641" i="1"/>
  <c r="AK640" i="1"/>
  <c r="Q640" i="1"/>
  <c r="P640" i="1"/>
  <c r="O640" i="1"/>
  <c r="N640" i="1"/>
  <c r="M640" i="1"/>
  <c r="K640" i="1"/>
  <c r="J640" i="1"/>
  <c r="I640" i="1"/>
  <c r="H640" i="1"/>
  <c r="G640" i="1"/>
  <c r="F640" i="1"/>
  <c r="E640" i="1"/>
  <c r="D640" i="1"/>
  <c r="C640" i="1"/>
  <c r="B640" i="1"/>
  <c r="A640" i="1"/>
  <c r="AK639" i="1"/>
  <c r="Q639" i="1"/>
  <c r="P639" i="1"/>
  <c r="O639" i="1"/>
  <c r="N639" i="1"/>
  <c r="M639" i="1"/>
  <c r="K639" i="1"/>
  <c r="J639" i="1"/>
  <c r="I639" i="1"/>
  <c r="H639" i="1"/>
  <c r="G639" i="1"/>
  <c r="F639" i="1"/>
  <c r="E639" i="1"/>
  <c r="D639" i="1"/>
  <c r="C639" i="1"/>
  <c r="B639" i="1"/>
  <c r="A639" i="1"/>
  <c r="AK638" i="1"/>
  <c r="Q638" i="1"/>
  <c r="P638" i="1"/>
  <c r="N638" i="1"/>
  <c r="M638" i="1"/>
  <c r="K638" i="1"/>
  <c r="J638" i="1"/>
  <c r="I638" i="1"/>
  <c r="H638" i="1"/>
  <c r="G638" i="1"/>
  <c r="F638" i="1"/>
  <c r="E638" i="1"/>
  <c r="D638" i="1"/>
  <c r="C638" i="1"/>
  <c r="B638" i="1"/>
  <c r="A638" i="1"/>
  <c r="AK637" i="1"/>
  <c r="Q637" i="1"/>
  <c r="P637" i="1"/>
  <c r="O637" i="1"/>
  <c r="N637" i="1"/>
  <c r="M637" i="1"/>
  <c r="K637" i="1"/>
  <c r="J637" i="1"/>
  <c r="I637" i="1"/>
  <c r="H637" i="1"/>
  <c r="G637" i="1"/>
  <c r="F637" i="1"/>
  <c r="E637" i="1"/>
  <c r="D637" i="1"/>
  <c r="C637" i="1"/>
  <c r="B637" i="1"/>
  <c r="A637" i="1"/>
  <c r="AK636" i="1"/>
  <c r="Q636" i="1"/>
  <c r="P636" i="1"/>
  <c r="O636" i="1"/>
  <c r="N636" i="1"/>
  <c r="M636" i="1"/>
  <c r="K636" i="1"/>
  <c r="J636" i="1"/>
  <c r="I636" i="1"/>
  <c r="H636" i="1"/>
  <c r="G636" i="1"/>
  <c r="F636" i="1"/>
  <c r="E636" i="1"/>
  <c r="D636" i="1"/>
  <c r="C636" i="1"/>
  <c r="B636" i="1"/>
  <c r="A636" i="1"/>
  <c r="AK635" i="1"/>
  <c r="Q635" i="1"/>
  <c r="P635" i="1"/>
  <c r="O635" i="1"/>
  <c r="N635" i="1"/>
  <c r="M635" i="1"/>
  <c r="K635" i="1"/>
  <c r="J635" i="1"/>
  <c r="I635" i="1"/>
  <c r="H635" i="1"/>
  <c r="G635" i="1"/>
  <c r="F635" i="1"/>
  <c r="E635" i="1"/>
  <c r="D635" i="1"/>
  <c r="C635" i="1"/>
  <c r="B635" i="1"/>
  <c r="A635" i="1"/>
  <c r="AK634" i="1"/>
  <c r="Q634" i="1"/>
  <c r="P634" i="1"/>
  <c r="O634" i="1"/>
  <c r="N634" i="1"/>
  <c r="M634" i="1"/>
  <c r="K634" i="1"/>
  <c r="J634" i="1"/>
  <c r="I634" i="1"/>
  <c r="H634" i="1"/>
  <c r="G634" i="1"/>
  <c r="F634" i="1"/>
  <c r="E634" i="1"/>
  <c r="D634" i="1"/>
  <c r="C634" i="1"/>
  <c r="B634" i="1"/>
  <c r="A634" i="1"/>
  <c r="AK633" i="1"/>
  <c r="Q633" i="1"/>
  <c r="P633" i="1"/>
  <c r="O633" i="1"/>
  <c r="N633" i="1"/>
  <c r="M633" i="1"/>
  <c r="K633" i="1"/>
  <c r="J633" i="1"/>
  <c r="I633" i="1"/>
  <c r="H633" i="1"/>
  <c r="G633" i="1"/>
  <c r="F633" i="1"/>
  <c r="E633" i="1"/>
  <c r="D633" i="1"/>
  <c r="C633" i="1"/>
  <c r="B633" i="1"/>
  <c r="A633" i="1"/>
  <c r="AK632" i="1"/>
  <c r="Q632" i="1"/>
  <c r="P632" i="1"/>
  <c r="O632" i="1"/>
  <c r="N632" i="1"/>
  <c r="M632" i="1"/>
  <c r="K632" i="1"/>
  <c r="J632" i="1"/>
  <c r="I632" i="1"/>
  <c r="H632" i="1"/>
  <c r="G632" i="1"/>
  <c r="F632" i="1"/>
  <c r="E632" i="1"/>
  <c r="D632" i="1"/>
  <c r="C632" i="1"/>
  <c r="B632" i="1"/>
  <c r="A632" i="1"/>
  <c r="AK631" i="1"/>
  <c r="Q631" i="1"/>
  <c r="P631" i="1"/>
  <c r="O631" i="1"/>
  <c r="N631" i="1"/>
  <c r="M631" i="1"/>
  <c r="K631" i="1"/>
  <c r="J631" i="1"/>
  <c r="I631" i="1"/>
  <c r="H631" i="1"/>
  <c r="G631" i="1"/>
  <c r="F631" i="1"/>
  <c r="E631" i="1"/>
  <c r="D631" i="1"/>
  <c r="C631" i="1"/>
  <c r="B631" i="1"/>
  <c r="A631" i="1"/>
  <c r="AK630" i="1"/>
  <c r="Q630" i="1"/>
  <c r="P630" i="1"/>
  <c r="O630" i="1"/>
  <c r="N630" i="1"/>
  <c r="M630" i="1"/>
  <c r="K630" i="1"/>
  <c r="J630" i="1"/>
  <c r="I630" i="1"/>
  <c r="H630" i="1"/>
  <c r="G630" i="1"/>
  <c r="F630" i="1"/>
  <c r="E630" i="1"/>
  <c r="D630" i="1"/>
  <c r="C630" i="1"/>
  <c r="B630" i="1"/>
  <c r="A630" i="1"/>
  <c r="AK629" i="1"/>
  <c r="Q629" i="1"/>
  <c r="P629" i="1"/>
  <c r="O629" i="1"/>
  <c r="N629" i="1"/>
  <c r="M629" i="1"/>
  <c r="K629" i="1"/>
  <c r="J629" i="1"/>
  <c r="I629" i="1"/>
  <c r="H629" i="1"/>
  <c r="G629" i="1"/>
  <c r="F629" i="1"/>
  <c r="E629" i="1"/>
  <c r="D629" i="1"/>
  <c r="C629" i="1"/>
  <c r="B629" i="1"/>
  <c r="A629" i="1"/>
  <c r="AK628" i="1"/>
  <c r="Q628" i="1"/>
  <c r="P628" i="1"/>
  <c r="N628" i="1"/>
  <c r="M628" i="1"/>
  <c r="K628" i="1"/>
  <c r="J628" i="1"/>
  <c r="I628" i="1"/>
  <c r="H628" i="1"/>
  <c r="G628" i="1"/>
  <c r="F628" i="1"/>
  <c r="E628" i="1"/>
  <c r="D628" i="1"/>
  <c r="C628" i="1"/>
  <c r="B628" i="1"/>
  <c r="A628" i="1"/>
  <c r="AK627" i="1"/>
  <c r="Q627" i="1"/>
  <c r="P627" i="1"/>
  <c r="N627" i="1"/>
  <c r="M627" i="1"/>
  <c r="K627" i="1"/>
  <c r="J627" i="1"/>
  <c r="I627" i="1"/>
  <c r="H627" i="1"/>
  <c r="G627" i="1"/>
  <c r="F627" i="1"/>
  <c r="E627" i="1"/>
  <c r="D627" i="1"/>
  <c r="C627" i="1"/>
  <c r="B627" i="1"/>
  <c r="A627" i="1"/>
  <c r="AK626" i="1"/>
  <c r="Q626" i="1"/>
  <c r="P626" i="1"/>
  <c r="N626" i="1"/>
  <c r="M626" i="1"/>
  <c r="K626" i="1"/>
  <c r="J626" i="1"/>
  <c r="I626" i="1"/>
  <c r="H626" i="1"/>
  <c r="G626" i="1"/>
  <c r="F626" i="1"/>
  <c r="E626" i="1"/>
  <c r="D626" i="1"/>
  <c r="C626" i="1"/>
  <c r="B626" i="1"/>
  <c r="A626" i="1"/>
  <c r="AK625" i="1"/>
  <c r="Q625" i="1"/>
  <c r="P625" i="1"/>
  <c r="N625" i="1"/>
  <c r="M625" i="1"/>
  <c r="K625" i="1"/>
  <c r="J625" i="1"/>
  <c r="I625" i="1"/>
  <c r="H625" i="1"/>
  <c r="G625" i="1"/>
  <c r="F625" i="1"/>
  <c r="E625" i="1"/>
  <c r="D625" i="1"/>
  <c r="C625" i="1"/>
  <c r="B625" i="1"/>
  <c r="A625" i="1"/>
  <c r="AK624" i="1"/>
  <c r="Q624" i="1"/>
  <c r="P624" i="1"/>
  <c r="O624" i="1"/>
  <c r="N624" i="1"/>
  <c r="M624" i="1"/>
  <c r="K624" i="1"/>
  <c r="J624" i="1"/>
  <c r="I624" i="1"/>
  <c r="H624" i="1"/>
  <c r="G624" i="1"/>
  <c r="F624" i="1"/>
  <c r="E624" i="1"/>
  <c r="D624" i="1"/>
  <c r="C624" i="1"/>
  <c r="B624" i="1"/>
  <c r="A624" i="1"/>
  <c r="AK623" i="1"/>
  <c r="Q623" i="1"/>
  <c r="P623" i="1"/>
  <c r="O623" i="1"/>
  <c r="N623" i="1"/>
  <c r="M623" i="1"/>
  <c r="K623" i="1"/>
  <c r="J623" i="1"/>
  <c r="I623" i="1"/>
  <c r="H623" i="1"/>
  <c r="G623" i="1"/>
  <c r="F623" i="1"/>
  <c r="E623" i="1"/>
  <c r="D623" i="1"/>
  <c r="C623" i="1"/>
  <c r="B623" i="1"/>
  <c r="A623" i="1"/>
  <c r="AK622" i="1"/>
  <c r="Q622" i="1"/>
  <c r="P622" i="1"/>
  <c r="O622" i="1"/>
  <c r="N622" i="1"/>
  <c r="M622" i="1"/>
  <c r="K622" i="1"/>
  <c r="J622" i="1"/>
  <c r="I622" i="1"/>
  <c r="H622" i="1"/>
  <c r="G622" i="1"/>
  <c r="F622" i="1"/>
  <c r="E622" i="1"/>
  <c r="D622" i="1"/>
  <c r="C622" i="1"/>
  <c r="B622" i="1"/>
  <c r="A622" i="1"/>
  <c r="AK621" i="1"/>
  <c r="Q621" i="1"/>
  <c r="P621" i="1"/>
  <c r="O621" i="1"/>
  <c r="N621" i="1"/>
  <c r="M621" i="1"/>
  <c r="K621" i="1"/>
  <c r="J621" i="1"/>
  <c r="I621" i="1"/>
  <c r="H621" i="1"/>
  <c r="G621" i="1"/>
  <c r="F621" i="1"/>
  <c r="E621" i="1"/>
  <c r="D621" i="1"/>
  <c r="C621" i="1"/>
  <c r="B621" i="1"/>
  <c r="A621" i="1"/>
  <c r="AK620" i="1"/>
  <c r="Q620" i="1"/>
  <c r="P620" i="1"/>
  <c r="O620" i="1"/>
  <c r="N620" i="1"/>
  <c r="M620" i="1"/>
  <c r="K620" i="1"/>
  <c r="J620" i="1"/>
  <c r="I620" i="1"/>
  <c r="H620" i="1"/>
  <c r="G620" i="1"/>
  <c r="F620" i="1"/>
  <c r="E620" i="1"/>
  <c r="D620" i="1"/>
  <c r="C620" i="1"/>
  <c r="B620" i="1"/>
  <c r="A620" i="1"/>
  <c r="AK619" i="1"/>
  <c r="Q619" i="1"/>
  <c r="P619" i="1"/>
  <c r="O619" i="1"/>
  <c r="N619" i="1"/>
  <c r="M619" i="1"/>
  <c r="K619" i="1"/>
  <c r="J619" i="1"/>
  <c r="I619" i="1"/>
  <c r="H619" i="1"/>
  <c r="G619" i="1"/>
  <c r="F619" i="1"/>
  <c r="E619" i="1"/>
  <c r="D619" i="1"/>
  <c r="C619" i="1"/>
  <c r="B619" i="1"/>
  <c r="A619" i="1"/>
  <c r="AK618" i="1"/>
  <c r="Q618" i="1"/>
  <c r="P618" i="1"/>
  <c r="O618" i="1"/>
  <c r="N618" i="1"/>
  <c r="M618" i="1"/>
  <c r="K618" i="1"/>
  <c r="J618" i="1"/>
  <c r="I618" i="1"/>
  <c r="H618" i="1"/>
  <c r="G618" i="1"/>
  <c r="F618" i="1"/>
  <c r="E618" i="1"/>
  <c r="D618" i="1"/>
  <c r="C618" i="1"/>
  <c r="B618" i="1"/>
  <c r="A618" i="1"/>
  <c r="AK617" i="1"/>
  <c r="Q617" i="1"/>
  <c r="P617" i="1"/>
  <c r="N617" i="1"/>
  <c r="M617" i="1"/>
  <c r="K617" i="1"/>
  <c r="J617" i="1"/>
  <c r="I617" i="1"/>
  <c r="H617" i="1"/>
  <c r="G617" i="1"/>
  <c r="F617" i="1"/>
  <c r="E617" i="1"/>
  <c r="D617" i="1"/>
  <c r="C617" i="1"/>
  <c r="B617" i="1"/>
  <c r="A617" i="1"/>
  <c r="AK616" i="1"/>
  <c r="Q616" i="1"/>
  <c r="P616" i="1"/>
  <c r="O616" i="1"/>
  <c r="N616" i="1"/>
  <c r="M616" i="1"/>
  <c r="K616" i="1"/>
  <c r="J616" i="1"/>
  <c r="I616" i="1"/>
  <c r="H616" i="1"/>
  <c r="G616" i="1"/>
  <c r="F616" i="1"/>
  <c r="E616" i="1"/>
  <c r="D616" i="1"/>
  <c r="C616" i="1"/>
  <c r="B616" i="1"/>
  <c r="A616" i="1"/>
  <c r="AK615" i="1"/>
  <c r="Q615" i="1"/>
  <c r="P615" i="1"/>
  <c r="O615" i="1"/>
  <c r="N615" i="1"/>
  <c r="M615" i="1"/>
  <c r="K615" i="1"/>
  <c r="J615" i="1"/>
  <c r="I615" i="1"/>
  <c r="H615" i="1"/>
  <c r="G615" i="1"/>
  <c r="F615" i="1"/>
  <c r="E615" i="1"/>
  <c r="D615" i="1"/>
  <c r="C615" i="1"/>
  <c r="B615" i="1"/>
  <c r="A615" i="1"/>
  <c r="AK614" i="1"/>
  <c r="Q614" i="1"/>
  <c r="P614" i="1"/>
  <c r="O614" i="1"/>
  <c r="N614" i="1"/>
  <c r="M614" i="1"/>
  <c r="K614" i="1"/>
  <c r="J614" i="1"/>
  <c r="I614" i="1"/>
  <c r="H614" i="1"/>
  <c r="G614" i="1"/>
  <c r="F614" i="1"/>
  <c r="E614" i="1"/>
  <c r="D614" i="1"/>
  <c r="C614" i="1"/>
  <c r="B614" i="1"/>
  <c r="A614" i="1"/>
  <c r="AK613" i="1"/>
  <c r="Q613" i="1"/>
  <c r="P613" i="1"/>
  <c r="O613" i="1"/>
  <c r="N613" i="1"/>
  <c r="M613" i="1"/>
  <c r="K613" i="1"/>
  <c r="J613" i="1"/>
  <c r="I613" i="1"/>
  <c r="H613" i="1"/>
  <c r="G613" i="1"/>
  <c r="F613" i="1"/>
  <c r="E613" i="1"/>
  <c r="D613" i="1"/>
  <c r="C613" i="1"/>
  <c r="B613" i="1"/>
  <c r="A613" i="1"/>
  <c r="AK612" i="1"/>
  <c r="Q612" i="1"/>
  <c r="P612" i="1"/>
  <c r="O612" i="1"/>
  <c r="N612" i="1"/>
  <c r="M612" i="1"/>
  <c r="K612" i="1"/>
  <c r="J612" i="1"/>
  <c r="I612" i="1"/>
  <c r="H612" i="1"/>
  <c r="G612" i="1"/>
  <c r="F612" i="1"/>
  <c r="E612" i="1"/>
  <c r="D612" i="1"/>
  <c r="C612" i="1"/>
  <c r="B612" i="1"/>
  <c r="A612" i="1"/>
  <c r="AK611" i="1"/>
  <c r="Q611" i="1"/>
  <c r="P611" i="1"/>
  <c r="O611" i="1"/>
  <c r="N611" i="1"/>
  <c r="M611" i="1"/>
  <c r="K611" i="1"/>
  <c r="J611" i="1"/>
  <c r="I611" i="1"/>
  <c r="H611" i="1"/>
  <c r="G611" i="1"/>
  <c r="F611" i="1"/>
  <c r="E611" i="1"/>
  <c r="D611" i="1"/>
  <c r="C611" i="1"/>
  <c r="B611" i="1"/>
  <c r="A611" i="1"/>
  <c r="AK610" i="1"/>
  <c r="Q610" i="1"/>
  <c r="P610" i="1"/>
  <c r="O610" i="1"/>
  <c r="N610" i="1"/>
  <c r="M610" i="1"/>
  <c r="K610" i="1"/>
  <c r="J610" i="1"/>
  <c r="I610" i="1"/>
  <c r="H610" i="1"/>
  <c r="G610" i="1"/>
  <c r="F610" i="1"/>
  <c r="D610" i="1"/>
  <c r="C610" i="1"/>
  <c r="B610" i="1"/>
  <c r="A610" i="1"/>
  <c r="AK609" i="1"/>
  <c r="Q609" i="1"/>
  <c r="P609" i="1"/>
  <c r="N609" i="1"/>
  <c r="M609" i="1"/>
  <c r="K609" i="1"/>
  <c r="J609" i="1"/>
  <c r="I609" i="1"/>
  <c r="H609" i="1"/>
  <c r="G609" i="1"/>
  <c r="F609" i="1"/>
  <c r="E609" i="1"/>
  <c r="D609" i="1"/>
  <c r="C609" i="1"/>
  <c r="B609" i="1"/>
  <c r="A609" i="1"/>
  <c r="AK608" i="1"/>
  <c r="Q608" i="1"/>
  <c r="P608" i="1"/>
  <c r="O608" i="1"/>
  <c r="N608" i="1"/>
  <c r="M608" i="1"/>
  <c r="K608" i="1"/>
  <c r="J608" i="1"/>
  <c r="I608" i="1"/>
  <c r="H608" i="1"/>
  <c r="G608" i="1"/>
  <c r="F608" i="1"/>
  <c r="E608" i="1"/>
  <c r="D608" i="1"/>
  <c r="C608" i="1"/>
  <c r="B608" i="1"/>
  <c r="A608" i="1"/>
  <c r="AK607" i="1"/>
  <c r="Q607" i="1"/>
  <c r="P607" i="1"/>
  <c r="O607" i="1"/>
  <c r="N607" i="1"/>
  <c r="M607" i="1"/>
  <c r="K607" i="1"/>
  <c r="J607" i="1"/>
  <c r="I607" i="1"/>
  <c r="H607" i="1"/>
  <c r="G607" i="1"/>
  <c r="F607" i="1"/>
  <c r="E607" i="1"/>
  <c r="D607" i="1"/>
  <c r="C607" i="1"/>
  <c r="B607" i="1"/>
  <c r="A607" i="1"/>
  <c r="AK606" i="1"/>
  <c r="Q606" i="1"/>
  <c r="P606" i="1"/>
  <c r="O606" i="1"/>
  <c r="N606" i="1"/>
  <c r="M606" i="1"/>
  <c r="K606" i="1"/>
  <c r="J606" i="1"/>
  <c r="I606" i="1"/>
  <c r="H606" i="1"/>
  <c r="G606" i="1"/>
  <c r="F606" i="1"/>
  <c r="E606" i="1"/>
  <c r="D606" i="1"/>
  <c r="C606" i="1"/>
  <c r="B606" i="1"/>
  <c r="A606" i="1"/>
  <c r="AK605" i="1"/>
  <c r="Q605" i="1"/>
  <c r="P605" i="1"/>
  <c r="N605" i="1"/>
  <c r="M605" i="1"/>
  <c r="K605" i="1"/>
  <c r="J605" i="1"/>
  <c r="I605" i="1"/>
  <c r="H605" i="1"/>
  <c r="G605" i="1"/>
  <c r="F605" i="1"/>
  <c r="E605" i="1"/>
  <c r="D605" i="1"/>
  <c r="C605" i="1"/>
  <c r="B605" i="1"/>
  <c r="A605" i="1"/>
  <c r="AK604" i="1"/>
  <c r="Q604" i="1"/>
  <c r="P604" i="1"/>
  <c r="O604" i="1"/>
  <c r="N604" i="1"/>
  <c r="M604" i="1"/>
  <c r="K604" i="1"/>
  <c r="J604" i="1"/>
  <c r="I604" i="1"/>
  <c r="H604" i="1"/>
  <c r="G604" i="1"/>
  <c r="F604" i="1"/>
  <c r="E604" i="1"/>
  <c r="D604" i="1"/>
  <c r="C604" i="1"/>
  <c r="B604" i="1"/>
  <c r="A604" i="1"/>
  <c r="AK603" i="1"/>
  <c r="Q603" i="1"/>
  <c r="P603" i="1"/>
  <c r="N603" i="1"/>
  <c r="M603" i="1"/>
  <c r="K603" i="1"/>
  <c r="J603" i="1"/>
  <c r="I603" i="1"/>
  <c r="H603" i="1"/>
  <c r="G603" i="1"/>
  <c r="F603" i="1"/>
  <c r="E603" i="1"/>
  <c r="D603" i="1"/>
  <c r="C603" i="1"/>
  <c r="B603" i="1"/>
  <c r="A603" i="1"/>
  <c r="AK602" i="1"/>
  <c r="Q602" i="1"/>
  <c r="P602" i="1"/>
  <c r="O602" i="1"/>
  <c r="N602" i="1"/>
  <c r="M602" i="1"/>
  <c r="K602" i="1"/>
  <c r="J602" i="1"/>
  <c r="I602" i="1"/>
  <c r="H602" i="1"/>
  <c r="G602" i="1"/>
  <c r="F602" i="1"/>
  <c r="E602" i="1"/>
  <c r="D602" i="1"/>
  <c r="C602" i="1"/>
  <c r="B602" i="1"/>
  <c r="A602" i="1"/>
  <c r="AK601" i="1"/>
  <c r="Q601" i="1"/>
  <c r="P601" i="1"/>
  <c r="N601" i="1"/>
  <c r="M601" i="1"/>
  <c r="K601" i="1"/>
  <c r="J601" i="1"/>
  <c r="I601" i="1"/>
  <c r="H601" i="1"/>
  <c r="G601" i="1"/>
  <c r="F601" i="1"/>
  <c r="E601" i="1"/>
  <c r="D601" i="1"/>
  <c r="C601" i="1"/>
  <c r="B601" i="1"/>
  <c r="A601" i="1"/>
  <c r="AK600" i="1"/>
  <c r="Q600" i="1"/>
  <c r="P600" i="1"/>
  <c r="O600" i="1"/>
  <c r="N600" i="1"/>
  <c r="M600" i="1"/>
  <c r="K600" i="1"/>
  <c r="J600" i="1"/>
  <c r="I600" i="1"/>
  <c r="H600" i="1"/>
  <c r="G600" i="1"/>
  <c r="F600" i="1"/>
  <c r="E600" i="1"/>
  <c r="D600" i="1"/>
  <c r="C600" i="1"/>
  <c r="B600" i="1"/>
  <c r="A600" i="1"/>
  <c r="AK599" i="1"/>
  <c r="Q599" i="1"/>
  <c r="P599" i="1"/>
  <c r="O599" i="1"/>
  <c r="N599" i="1"/>
  <c r="M599" i="1"/>
  <c r="K599" i="1"/>
  <c r="J599" i="1"/>
  <c r="I599" i="1"/>
  <c r="H599" i="1"/>
  <c r="G599" i="1"/>
  <c r="F599" i="1"/>
  <c r="E599" i="1"/>
  <c r="D599" i="1"/>
  <c r="C599" i="1"/>
  <c r="B599" i="1"/>
  <c r="A599" i="1"/>
  <c r="AK598" i="1"/>
  <c r="Q598" i="1"/>
  <c r="P598" i="1"/>
  <c r="O598" i="1"/>
  <c r="N598" i="1"/>
  <c r="M598" i="1"/>
  <c r="K598" i="1"/>
  <c r="J598" i="1"/>
  <c r="I598" i="1"/>
  <c r="H598" i="1"/>
  <c r="G598" i="1"/>
  <c r="F598" i="1"/>
  <c r="E598" i="1"/>
  <c r="D598" i="1"/>
  <c r="C598" i="1"/>
  <c r="B598" i="1"/>
  <c r="A598" i="1"/>
  <c r="AK597" i="1"/>
  <c r="Q597" i="1"/>
  <c r="P597" i="1"/>
  <c r="O597" i="1"/>
  <c r="N597" i="1"/>
  <c r="M597" i="1"/>
  <c r="K597" i="1"/>
  <c r="J597" i="1"/>
  <c r="I597" i="1"/>
  <c r="H597" i="1"/>
  <c r="G597" i="1"/>
  <c r="F597" i="1"/>
  <c r="E597" i="1"/>
  <c r="D597" i="1"/>
  <c r="C597" i="1"/>
  <c r="B597" i="1"/>
  <c r="A597" i="1"/>
  <c r="AK596" i="1"/>
  <c r="Q596" i="1"/>
  <c r="P596" i="1"/>
  <c r="O596" i="1"/>
  <c r="N596" i="1"/>
  <c r="M596" i="1"/>
  <c r="K596" i="1"/>
  <c r="J596" i="1"/>
  <c r="I596" i="1"/>
  <c r="H596" i="1"/>
  <c r="G596" i="1"/>
  <c r="F596" i="1"/>
  <c r="E596" i="1"/>
  <c r="D596" i="1"/>
  <c r="C596" i="1"/>
  <c r="B596" i="1"/>
  <c r="A596" i="1"/>
  <c r="AK595" i="1"/>
  <c r="Q595" i="1"/>
  <c r="P595" i="1"/>
  <c r="O595" i="1"/>
  <c r="N595" i="1"/>
  <c r="M595" i="1"/>
  <c r="K595" i="1"/>
  <c r="J595" i="1"/>
  <c r="I595" i="1"/>
  <c r="H595" i="1"/>
  <c r="G595" i="1"/>
  <c r="F595" i="1"/>
  <c r="E595" i="1"/>
  <c r="D595" i="1"/>
  <c r="C595" i="1"/>
  <c r="B595" i="1"/>
  <c r="A595" i="1"/>
  <c r="AK594" i="1"/>
  <c r="Q594" i="1"/>
  <c r="P594" i="1"/>
  <c r="O594" i="1"/>
  <c r="N594" i="1"/>
  <c r="M594" i="1"/>
  <c r="K594" i="1"/>
  <c r="J594" i="1"/>
  <c r="I594" i="1"/>
  <c r="H594" i="1"/>
  <c r="G594" i="1"/>
  <c r="F594" i="1"/>
  <c r="E594" i="1"/>
  <c r="D594" i="1"/>
  <c r="C594" i="1"/>
  <c r="B594" i="1"/>
  <c r="A594" i="1"/>
  <c r="AK593" i="1"/>
  <c r="Q593" i="1"/>
  <c r="P593" i="1"/>
  <c r="O593" i="1"/>
  <c r="N593" i="1"/>
  <c r="M593" i="1"/>
  <c r="K593" i="1"/>
  <c r="J593" i="1"/>
  <c r="I593" i="1"/>
  <c r="H593" i="1"/>
  <c r="G593" i="1"/>
  <c r="F593" i="1"/>
  <c r="E593" i="1"/>
  <c r="D593" i="1"/>
  <c r="C593" i="1"/>
  <c r="B593" i="1"/>
  <c r="A593" i="1"/>
  <c r="AK592" i="1"/>
  <c r="Q592" i="1"/>
  <c r="P592" i="1"/>
  <c r="O592" i="1"/>
  <c r="N592" i="1"/>
  <c r="M592" i="1"/>
  <c r="K592" i="1"/>
  <c r="J592" i="1"/>
  <c r="I592" i="1"/>
  <c r="H592" i="1"/>
  <c r="G592" i="1"/>
  <c r="F592" i="1"/>
  <c r="E592" i="1"/>
  <c r="D592" i="1"/>
  <c r="C592" i="1"/>
  <c r="B592" i="1"/>
  <c r="A592" i="1"/>
  <c r="AK591" i="1"/>
  <c r="Q591" i="1"/>
  <c r="P591" i="1"/>
  <c r="O591" i="1"/>
  <c r="N591" i="1"/>
  <c r="M591" i="1"/>
  <c r="K591" i="1"/>
  <c r="J591" i="1"/>
  <c r="I591" i="1"/>
  <c r="H591" i="1"/>
  <c r="G591" i="1"/>
  <c r="F591" i="1"/>
  <c r="E591" i="1"/>
  <c r="D591" i="1"/>
  <c r="C591" i="1"/>
  <c r="B591" i="1"/>
  <c r="A591" i="1"/>
  <c r="AK590" i="1"/>
  <c r="Q590" i="1"/>
  <c r="P590" i="1"/>
  <c r="O590" i="1"/>
  <c r="N590" i="1"/>
  <c r="M590" i="1"/>
  <c r="K590" i="1"/>
  <c r="J590" i="1"/>
  <c r="I590" i="1"/>
  <c r="H590" i="1"/>
  <c r="G590" i="1"/>
  <c r="F590" i="1"/>
  <c r="E590" i="1"/>
  <c r="D590" i="1"/>
  <c r="C590" i="1"/>
  <c r="B590" i="1"/>
  <c r="A590" i="1"/>
  <c r="AK589" i="1"/>
  <c r="Q589" i="1"/>
  <c r="P589" i="1"/>
  <c r="O589" i="1"/>
  <c r="N589" i="1"/>
  <c r="M589" i="1"/>
  <c r="K589" i="1"/>
  <c r="J589" i="1"/>
  <c r="I589" i="1"/>
  <c r="H589" i="1"/>
  <c r="G589" i="1"/>
  <c r="F589" i="1"/>
  <c r="E589" i="1"/>
  <c r="D589" i="1"/>
  <c r="C589" i="1"/>
  <c r="B589" i="1"/>
  <c r="A589" i="1"/>
  <c r="AK588" i="1"/>
  <c r="Q588" i="1"/>
  <c r="P588" i="1"/>
  <c r="O588" i="1"/>
  <c r="N588" i="1"/>
  <c r="M588" i="1"/>
  <c r="K588" i="1"/>
  <c r="J588" i="1"/>
  <c r="I588" i="1"/>
  <c r="H588" i="1"/>
  <c r="G588" i="1"/>
  <c r="F588" i="1"/>
  <c r="E588" i="1"/>
  <c r="D588" i="1"/>
  <c r="C588" i="1"/>
  <c r="B588" i="1"/>
  <c r="A588" i="1"/>
  <c r="AK587" i="1"/>
  <c r="Q587" i="1"/>
  <c r="P587" i="1"/>
  <c r="O587" i="1"/>
  <c r="N587" i="1"/>
  <c r="M587" i="1"/>
  <c r="K587" i="1"/>
  <c r="J587" i="1"/>
  <c r="I587" i="1"/>
  <c r="H587" i="1"/>
  <c r="G587" i="1"/>
  <c r="F587" i="1"/>
  <c r="E587" i="1"/>
  <c r="D587" i="1"/>
  <c r="C587" i="1"/>
  <c r="B587" i="1"/>
  <c r="A587" i="1"/>
  <c r="AK586" i="1"/>
  <c r="Q586" i="1"/>
  <c r="P586" i="1"/>
  <c r="O586" i="1"/>
  <c r="N586" i="1"/>
  <c r="M586" i="1"/>
  <c r="K586" i="1"/>
  <c r="J586" i="1"/>
  <c r="I586" i="1"/>
  <c r="H586" i="1"/>
  <c r="G586" i="1"/>
  <c r="F586" i="1"/>
  <c r="E586" i="1"/>
  <c r="D586" i="1"/>
  <c r="C586" i="1"/>
  <c r="B586" i="1"/>
  <c r="A586" i="1"/>
  <c r="AK585" i="1"/>
  <c r="Q585" i="1"/>
  <c r="P585" i="1"/>
  <c r="O585" i="1"/>
  <c r="N585" i="1"/>
  <c r="M585" i="1"/>
  <c r="K585" i="1"/>
  <c r="J585" i="1"/>
  <c r="I585" i="1"/>
  <c r="H585" i="1"/>
  <c r="G585" i="1"/>
  <c r="F585" i="1"/>
  <c r="E585" i="1"/>
  <c r="D585" i="1"/>
  <c r="C585" i="1"/>
  <c r="B585" i="1"/>
  <c r="A585" i="1"/>
  <c r="AK584" i="1"/>
  <c r="Q584" i="1"/>
  <c r="P584" i="1"/>
  <c r="O584" i="1"/>
  <c r="N584" i="1"/>
  <c r="M584" i="1"/>
  <c r="K584" i="1"/>
  <c r="J584" i="1"/>
  <c r="I584" i="1"/>
  <c r="H584" i="1"/>
  <c r="G584" i="1"/>
  <c r="F584" i="1"/>
  <c r="E584" i="1"/>
  <c r="D584" i="1"/>
  <c r="C584" i="1"/>
  <c r="B584" i="1"/>
  <c r="A584" i="1"/>
  <c r="AK583" i="1"/>
  <c r="Q583" i="1"/>
  <c r="P583" i="1"/>
  <c r="O583" i="1"/>
  <c r="N583" i="1"/>
  <c r="M583" i="1"/>
  <c r="K583" i="1"/>
  <c r="J583" i="1"/>
  <c r="I583" i="1"/>
  <c r="H583" i="1"/>
  <c r="G583" i="1"/>
  <c r="F583" i="1"/>
  <c r="E583" i="1"/>
  <c r="D583" i="1"/>
  <c r="C583" i="1"/>
  <c r="B583" i="1"/>
  <c r="A583" i="1"/>
  <c r="AK582" i="1"/>
  <c r="Q582" i="1"/>
  <c r="P582" i="1"/>
  <c r="O582" i="1"/>
  <c r="N582" i="1"/>
  <c r="M582" i="1"/>
  <c r="K582" i="1"/>
  <c r="J582" i="1"/>
  <c r="I582" i="1"/>
  <c r="H582" i="1"/>
  <c r="G582" i="1"/>
  <c r="F582" i="1"/>
  <c r="E582" i="1"/>
  <c r="D582" i="1"/>
  <c r="C582" i="1"/>
  <c r="B582" i="1"/>
  <c r="A582" i="1"/>
  <c r="AK581" i="1"/>
  <c r="Q581" i="1"/>
  <c r="P581" i="1"/>
  <c r="O581" i="1"/>
  <c r="N581" i="1"/>
  <c r="M581" i="1"/>
  <c r="K581" i="1"/>
  <c r="J581" i="1"/>
  <c r="I581" i="1"/>
  <c r="H581" i="1"/>
  <c r="G581" i="1"/>
  <c r="F581" i="1"/>
  <c r="E581" i="1"/>
  <c r="D581" i="1"/>
  <c r="C581" i="1"/>
  <c r="B581" i="1"/>
  <c r="A581" i="1"/>
  <c r="AK580" i="1"/>
  <c r="Q580" i="1"/>
  <c r="P580" i="1"/>
  <c r="O580" i="1"/>
  <c r="N580" i="1"/>
  <c r="M580" i="1"/>
  <c r="K580" i="1"/>
  <c r="J580" i="1"/>
  <c r="I580" i="1"/>
  <c r="H580" i="1"/>
  <c r="G580" i="1"/>
  <c r="F580" i="1"/>
  <c r="E580" i="1"/>
  <c r="D580" i="1"/>
  <c r="C580" i="1"/>
  <c r="B580" i="1"/>
  <c r="A580" i="1"/>
  <c r="AK579" i="1"/>
  <c r="Q579" i="1"/>
  <c r="P579" i="1"/>
  <c r="O579" i="1"/>
  <c r="N579" i="1"/>
  <c r="M579" i="1"/>
  <c r="K579" i="1"/>
  <c r="J579" i="1"/>
  <c r="I579" i="1"/>
  <c r="H579" i="1"/>
  <c r="G579" i="1"/>
  <c r="F579" i="1"/>
  <c r="E579" i="1"/>
  <c r="D579" i="1"/>
  <c r="C579" i="1"/>
  <c r="B579" i="1"/>
  <c r="A579" i="1"/>
  <c r="AK578" i="1"/>
  <c r="Q578" i="1"/>
  <c r="P578" i="1"/>
  <c r="O578" i="1"/>
  <c r="N578" i="1"/>
  <c r="M578" i="1"/>
  <c r="K578" i="1"/>
  <c r="J578" i="1"/>
  <c r="I578" i="1"/>
  <c r="H578" i="1"/>
  <c r="G578" i="1"/>
  <c r="F578" i="1"/>
  <c r="E578" i="1"/>
  <c r="D578" i="1"/>
  <c r="C578" i="1"/>
  <c r="B578" i="1"/>
  <c r="A578" i="1"/>
  <c r="AK577" i="1"/>
  <c r="Q577" i="1"/>
  <c r="P577" i="1"/>
  <c r="O577" i="1"/>
  <c r="N577" i="1"/>
  <c r="M577" i="1"/>
  <c r="K577" i="1"/>
  <c r="J577" i="1"/>
  <c r="I577" i="1"/>
  <c r="H577" i="1"/>
  <c r="G577" i="1"/>
  <c r="F577" i="1"/>
  <c r="E577" i="1"/>
  <c r="D577" i="1"/>
  <c r="C577" i="1"/>
  <c r="B577" i="1"/>
  <c r="A577" i="1"/>
  <c r="AK576" i="1"/>
  <c r="Q576" i="1"/>
  <c r="P576" i="1"/>
  <c r="O576" i="1"/>
  <c r="N576" i="1"/>
  <c r="M576" i="1"/>
  <c r="K576" i="1"/>
  <c r="J576" i="1"/>
  <c r="I576" i="1"/>
  <c r="H576" i="1"/>
  <c r="G576" i="1"/>
  <c r="F576" i="1"/>
  <c r="E576" i="1"/>
  <c r="D576" i="1"/>
  <c r="C576" i="1"/>
  <c r="B576" i="1"/>
  <c r="A576" i="1"/>
  <c r="AK575" i="1"/>
  <c r="Q575" i="1"/>
  <c r="P575" i="1"/>
  <c r="O575" i="1"/>
  <c r="N575" i="1"/>
  <c r="M575" i="1"/>
  <c r="K575" i="1"/>
  <c r="J575" i="1"/>
  <c r="I575" i="1"/>
  <c r="H575" i="1"/>
  <c r="G575" i="1"/>
  <c r="F575" i="1"/>
  <c r="E575" i="1"/>
  <c r="D575" i="1"/>
  <c r="C575" i="1"/>
  <c r="B575" i="1"/>
  <c r="A575" i="1"/>
  <c r="AK574" i="1"/>
  <c r="Q574" i="1"/>
  <c r="P574" i="1"/>
  <c r="O574" i="1"/>
  <c r="N574" i="1"/>
  <c r="M574" i="1"/>
  <c r="K574" i="1"/>
  <c r="J574" i="1"/>
  <c r="I574" i="1"/>
  <c r="H574" i="1"/>
  <c r="G574" i="1"/>
  <c r="F574" i="1"/>
  <c r="E574" i="1"/>
  <c r="D574" i="1"/>
  <c r="C574" i="1"/>
  <c r="B574" i="1"/>
  <c r="A574" i="1"/>
  <c r="AK573" i="1"/>
  <c r="Q573" i="1"/>
  <c r="P573" i="1"/>
  <c r="O573" i="1"/>
  <c r="N573" i="1"/>
  <c r="M573" i="1"/>
  <c r="K573" i="1"/>
  <c r="J573" i="1"/>
  <c r="I573" i="1"/>
  <c r="H573" i="1"/>
  <c r="G573" i="1"/>
  <c r="F573" i="1"/>
  <c r="E573" i="1"/>
  <c r="D573" i="1"/>
  <c r="C573" i="1"/>
  <c r="B573" i="1"/>
  <c r="A573" i="1"/>
  <c r="AK572" i="1"/>
  <c r="Q572" i="1"/>
  <c r="P572" i="1"/>
  <c r="O572" i="1"/>
  <c r="N572" i="1"/>
  <c r="M572" i="1"/>
  <c r="K572" i="1"/>
  <c r="J572" i="1"/>
  <c r="I572" i="1"/>
  <c r="H572" i="1"/>
  <c r="G572" i="1"/>
  <c r="F572" i="1"/>
  <c r="E572" i="1"/>
  <c r="D572" i="1"/>
  <c r="C572" i="1"/>
  <c r="B572" i="1"/>
  <c r="A572" i="1"/>
  <c r="AK571" i="1"/>
  <c r="Q571" i="1"/>
  <c r="P571" i="1"/>
  <c r="O571" i="1"/>
  <c r="N571" i="1"/>
  <c r="M571" i="1"/>
  <c r="K571" i="1"/>
  <c r="J571" i="1"/>
  <c r="I571" i="1"/>
  <c r="H571" i="1"/>
  <c r="G571" i="1"/>
  <c r="F571" i="1"/>
  <c r="E571" i="1"/>
  <c r="D571" i="1"/>
  <c r="C571" i="1"/>
  <c r="B571" i="1"/>
  <c r="A571" i="1"/>
  <c r="AK570" i="1"/>
  <c r="Q570" i="1"/>
  <c r="P570" i="1"/>
  <c r="O570" i="1"/>
  <c r="N570" i="1"/>
  <c r="M570" i="1"/>
  <c r="K570" i="1"/>
  <c r="J570" i="1"/>
  <c r="I570" i="1"/>
  <c r="H570" i="1"/>
  <c r="G570" i="1"/>
  <c r="F570" i="1"/>
  <c r="E570" i="1"/>
  <c r="D570" i="1"/>
  <c r="C570" i="1"/>
  <c r="B570" i="1"/>
  <c r="A570" i="1"/>
  <c r="AK569" i="1"/>
  <c r="Q569" i="1"/>
  <c r="P569" i="1"/>
  <c r="O569" i="1"/>
  <c r="N569" i="1"/>
  <c r="M569" i="1"/>
  <c r="K569" i="1"/>
  <c r="J569" i="1"/>
  <c r="I569" i="1"/>
  <c r="H569" i="1"/>
  <c r="G569" i="1"/>
  <c r="F569" i="1"/>
  <c r="E569" i="1"/>
  <c r="D569" i="1"/>
  <c r="C569" i="1"/>
  <c r="B569" i="1"/>
  <c r="A569" i="1"/>
  <c r="AK568" i="1"/>
  <c r="Q568" i="1"/>
  <c r="P568" i="1"/>
  <c r="O568" i="1"/>
  <c r="N568" i="1"/>
  <c r="M568" i="1"/>
  <c r="K568" i="1"/>
  <c r="J568" i="1"/>
  <c r="I568" i="1"/>
  <c r="H568" i="1"/>
  <c r="G568" i="1"/>
  <c r="F568" i="1"/>
  <c r="E568" i="1"/>
  <c r="D568" i="1"/>
  <c r="C568" i="1"/>
  <c r="B568" i="1"/>
  <c r="A568" i="1"/>
  <c r="AK567" i="1"/>
  <c r="Q567" i="1"/>
  <c r="P567" i="1"/>
  <c r="O567" i="1"/>
  <c r="N567" i="1"/>
  <c r="M567" i="1"/>
  <c r="K567" i="1"/>
  <c r="J567" i="1"/>
  <c r="I567" i="1"/>
  <c r="H567" i="1"/>
  <c r="G567" i="1"/>
  <c r="F567" i="1"/>
  <c r="E567" i="1"/>
  <c r="D567" i="1"/>
  <c r="C567" i="1"/>
  <c r="B567" i="1"/>
  <c r="A567" i="1"/>
  <c r="AK566" i="1"/>
  <c r="Q566" i="1"/>
  <c r="P566" i="1"/>
  <c r="O566" i="1"/>
  <c r="N566" i="1"/>
  <c r="M566" i="1"/>
  <c r="K566" i="1"/>
  <c r="J566" i="1"/>
  <c r="I566" i="1"/>
  <c r="H566" i="1"/>
  <c r="G566" i="1"/>
  <c r="F566" i="1"/>
  <c r="E566" i="1"/>
  <c r="D566" i="1"/>
  <c r="C566" i="1"/>
  <c r="B566" i="1"/>
  <c r="A566" i="1"/>
  <c r="AK565" i="1"/>
  <c r="Q565" i="1"/>
  <c r="P565" i="1"/>
  <c r="O565" i="1"/>
  <c r="N565" i="1"/>
  <c r="M565" i="1"/>
  <c r="K565" i="1"/>
  <c r="J565" i="1"/>
  <c r="I565" i="1"/>
  <c r="H565" i="1"/>
  <c r="G565" i="1"/>
  <c r="F565" i="1"/>
  <c r="E565" i="1"/>
  <c r="D565" i="1"/>
  <c r="C565" i="1"/>
  <c r="B565" i="1"/>
  <c r="A565" i="1"/>
  <c r="AK564" i="1"/>
  <c r="Q564" i="1"/>
  <c r="P564" i="1"/>
  <c r="O564" i="1"/>
  <c r="N564" i="1"/>
  <c r="M564" i="1"/>
  <c r="K564" i="1"/>
  <c r="J564" i="1"/>
  <c r="I564" i="1"/>
  <c r="H564" i="1"/>
  <c r="G564" i="1"/>
  <c r="F564" i="1"/>
  <c r="E564" i="1"/>
  <c r="D564" i="1"/>
  <c r="C564" i="1"/>
  <c r="B564" i="1"/>
  <c r="A564" i="1"/>
  <c r="AK563" i="1"/>
  <c r="Q563" i="1"/>
  <c r="P563" i="1"/>
  <c r="O563" i="1"/>
  <c r="N563" i="1"/>
  <c r="M563" i="1"/>
  <c r="K563" i="1"/>
  <c r="J563" i="1"/>
  <c r="I563" i="1"/>
  <c r="H563" i="1"/>
  <c r="G563" i="1"/>
  <c r="F563" i="1"/>
  <c r="E563" i="1"/>
  <c r="D563" i="1"/>
  <c r="C563" i="1"/>
  <c r="B563" i="1"/>
  <c r="A563" i="1"/>
  <c r="AK562" i="1"/>
  <c r="Q562" i="1"/>
  <c r="P562" i="1"/>
  <c r="O562" i="1"/>
  <c r="N562" i="1"/>
  <c r="M562" i="1"/>
  <c r="K562" i="1"/>
  <c r="J562" i="1"/>
  <c r="I562" i="1"/>
  <c r="H562" i="1"/>
  <c r="G562" i="1"/>
  <c r="F562" i="1"/>
  <c r="E562" i="1"/>
  <c r="D562" i="1"/>
  <c r="C562" i="1"/>
  <c r="B562" i="1"/>
  <c r="A562" i="1"/>
  <c r="AK561" i="1"/>
  <c r="Q561" i="1"/>
  <c r="P561" i="1"/>
  <c r="O561" i="1"/>
  <c r="N561" i="1"/>
  <c r="M561" i="1"/>
  <c r="K561" i="1"/>
  <c r="J561" i="1"/>
  <c r="I561" i="1"/>
  <c r="H561" i="1"/>
  <c r="G561" i="1"/>
  <c r="F561" i="1"/>
  <c r="E561" i="1"/>
  <c r="D561" i="1"/>
  <c r="C561" i="1"/>
  <c r="B561" i="1"/>
  <c r="A561" i="1"/>
  <c r="AK560" i="1"/>
  <c r="Q560" i="1"/>
  <c r="P560" i="1"/>
  <c r="O560" i="1"/>
  <c r="N560" i="1"/>
  <c r="M560" i="1"/>
  <c r="K560" i="1"/>
  <c r="J560" i="1"/>
  <c r="I560" i="1"/>
  <c r="H560" i="1"/>
  <c r="G560" i="1"/>
  <c r="F560" i="1"/>
  <c r="E560" i="1"/>
  <c r="D560" i="1"/>
  <c r="C560" i="1"/>
  <c r="B560" i="1"/>
  <c r="A560" i="1"/>
  <c r="AK559" i="1"/>
  <c r="Q559" i="1"/>
  <c r="P559" i="1"/>
  <c r="O559" i="1"/>
  <c r="N559" i="1"/>
  <c r="M559" i="1"/>
  <c r="K559" i="1"/>
  <c r="J559" i="1"/>
  <c r="I559" i="1"/>
  <c r="H559" i="1"/>
  <c r="G559" i="1"/>
  <c r="F559" i="1"/>
  <c r="E559" i="1"/>
  <c r="D559" i="1"/>
  <c r="C559" i="1"/>
  <c r="B559" i="1"/>
  <c r="A559" i="1"/>
  <c r="AK558" i="1"/>
  <c r="Q558" i="1"/>
  <c r="P558" i="1"/>
  <c r="O558" i="1"/>
  <c r="N558" i="1"/>
  <c r="M558" i="1"/>
  <c r="K558" i="1"/>
  <c r="J558" i="1"/>
  <c r="I558" i="1"/>
  <c r="H558" i="1"/>
  <c r="G558" i="1"/>
  <c r="F558" i="1"/>
  <c r="E558" i="1"/>
  <c r="D558" i="1"/>
  <c r="C558" i="1"/>
  <c r="B558" i="1"/>
  <c r="A558" i="1"/>
  <c r="AK557" i="1"/>
  <c r="Q557" i="1"/>
  <c r="P557" i="1"/>
  <c r="O557" i="1"/>
  <c r="N557" i="1"/>
  <c r="M557" i="1"/>
  <c r="K557" i="1"/>
  <c r="J557" i="1"/>
  <c r="I557" i="1"/>
  <c r="H557" i="1"/>
  <c r="G557" i="1"/>
  <c r="F557" i="1"/>
  <c r="E557" i="1"/>
  <c r="D557" i="1"/>
  <c r="C557" i="1"/>
  <c r="B557" i="1"/>
  <c r="A557" i="1"/>
  <c r="AK556" i="1"/>
  <c r="Q556" i="1"/>
  <c r="P556" i="1"/>
  <c r="O556" i="1"/>
  <c r="N556" i="1"/>
  <c r="M556" i="1"/>
  <c r="K556" i="1"/>
  <c r="J556" i="1"/>
  <c r="I556" i="1"/>
  <c r="H556" i="1"/>
  <c r="G556" i="1"/>
  <c r="F556" i="1"/>
  <c r="E556" i="1"/>
  <c r="D556" i="1"/>
  <c r="C556" i="1"/>
  <c r="B556" i="1"/>
  <c r="A556" i="1"/>
  <c r="AK555" i="1"/>
  <c r="Q555" i="1"/>
  <c r="P555" i="1"/>
  <c r="O555" i="1"/>
  <c r="N555" i="1"/>
  <c r="M555" i="1"/>
  <c r="K555" i="1"/>
  <c r="J555" i="1"/>
  <c r="I555" i="1"/>
  <c r="H555" i="1"/>
  <c r="G555" i="1"/>
  <c r="F555" i="1"/>
  <c r="E555" i="1"/>
  <c r="D555" i="1"/>
  <c r="C555" i="1"/>
  <c r="B555" i="1"/>
  <c r="A555" i="1"/>
  <c r="AK554" i="1"/>
  <c r="Q554" i="1"/>
  <c r="P554" i="1"/>
  <c r="O554" i="1"/>
  <c r="N554" i="1"/>
  <c r="M554" i="1"/>
  <c r="K554" i="1"/>
  <c r="J554" i="1"/>
  <c r="I554" i="1"/>
  <c r="H554" i="1"/>
  <c r="G554" i="1"/>
  <c r="F554" i="1"/>
  <c r="E554" i="1"/>
  <c r="D554" i="1"/>
  <c r="C554" i="1"/>
  <c r="B554" i="1"/>
  <c r="A554" i="1"/>
  <c r="AK553" i="1"/>
  <c r="Q553" i="1"/>
  <c r="P553" i="1"/>
  <c r="O553" i="1"/>
  <c r="N553" i="1"/>
  <c r="M553" i="1"/>
  <c r="K553" i="1"/>
  <c r="J553" i="1"/>
  <c r="I553" i="1"/>
  <c r="H553" i="1"/>
  <c r="G553" i="1"/>
  <c r="F553" i="1"/>
  <c r="E553" i="1"/>
  <c r="D553" i="1"/>
  <c r="C553" i="1"/>
  <c r="B553" i="1"/>
  <c r="A553" i="1"/>
  <c r="AK552" i="1"/>
  <c r="Q552" i="1"/>
  <c r="P552" i="1"/>
  <c r="O552" i="1"/>
  <c r="N552" i="1"/>
  <c r="M552" i="1"/>
  <c r="K552" i="1"/>
  <c r="J552" i="1"/>
  <c r="I552" i="1"/>
  <c r="H552" i="1"/>
  <c r="G552" i="1"/>
  <c r="F552" i="1"/>
  <c r="E552" i="1"/>
  <c r="D552" i="1"/>
  <c r="C552" i="1"/>
  <c r="B552" i="1"/>
  <c r="A552" i="1"/>
  <c r="AK551" i="1"/>
  <c r="Q551" i="1"/>
  <c r="P551" i="1"/>
  <c r="O551" i="1"/>
  <c r="N551" i="1"/>
  <c r="M551" i="1"/>
  <c r="K551" i="1"/>
  <c r="J551" i="1"/>
  <c r="I551" i="1"/>
  <c r="H551" i="1"/>
  <c r="G551" i="1"/>
  <c r="F551" i="1"/>
  <c r="E551" i="1"/>
  <c r="D551" i="1"/>
  <c r="C551" i="1"/>
  <c r="B551" i="1"/>
  <c r="A551" i="1"/>
  <c r="AK550" i="1"/>
  <c r="Q550" i="1"/>
  <c r="P550" i="1"/>
  <c r="O550" i="1"/>
  <c r="N550" i="1"/>
  <c r="M550" i="1"/>
  <c r="K550" i="1"/>
  <c r="J550" i="1"/>
  <c r="I550" i="1"/>
  <c r="H550" i="1"/>
  <c r="F550" i="1"/>
  <c r="E550" i="1"/>
  <c r="D550" i="1"/>
  <c r="C550" i="1"/>
  <c r="B550" i="1"/>
  <c r="A550" i="1"/>
  <c r="AK549" i="1"/>
  <c r="Q549" i="1"/>
  <c r="P549" i="1"/>
  <c r="O549" i="1"/>
  <c r="N549" i="1"/>
  <c r="M549" i="1"/>
  <c r="K549" i="1"/>
  <c r="J549" i="1"/>
  <c r="I549" i="1"/>
  <c r="H549" i="1"/>
  <c r="G549" i="1"/>
  <c r="F549" i="1"/>
  <c r="E549" i="1"/>
  <c r="D549" i="1"/>
  <c r="C549" i="1"/>
  <c r="B549" i="1"/>
  <c r="A549" i="1"/>
  <c r="AK548" i="1"/>
  <c r="Q548" i="1"/>
  <c r="P548" i="1"/>
  <c r="O548" i="1"/>
  <c r="N548" i="1"/>
  <c r="M548" i="1"/>
  <c r="K548" i="1"/>
  <c r="J548" i="1"/>
  <c r="I548" i="1"/>
  <c r="H548" i="1"/>
  <c r="G548" i="1"/>
  <c r="F548" i="1"/>
  <c r="E548" i="1"/>
  <c r="D548" i="1"/>
  <c r="C548" i="1"/>
  <c r="B548" i="1"/>
  <c r="A548" i="1"/>
  <c r="AK547" i="1"/>
  <c r="Q547" i="1"/>
  <c r="P547" i="1"/>
  <c r="O547" i="1"/>
  <c r="N547" i="1"/>
  <c r="M547" i="1"/>
  <c r="K547" i="1"/>
  <c r="J547" i="1"/>
  <c r="I547" i="1"/>
  <c r="H547" i="1"/>
  <c r="G547" i="1"/>
  <c r="F547" i="1"/>
  <c r="E547" i="1"/>
  <c r="D547" i="1"/>
  <c r="C547" i="1"/>
  <c r="B547" i="1"/>
  <c r="A547" i="1"/>
  <c r="AK546" i="1"/>
  <c r="Q546" i="1"/>
  <c r="P546" i="1"/>
  <c r="O546" i="1"/>
  <c r="N546" i="1"/>
  <c r="M546" i="1"/>
  <c r="K546" i="1"/>
  <c r="J546" i="1"/>
  <c r="I546" i="1"/>
  <c r="H546" i="1"/>
  <c r="G546" i="1"/>
  <c r="F546" i="1"/>
  <c r="E546" i="1"/>
  <c r="D546" i="1"/>
  <c r="C546" i="1"/>
  <c r="B546" i="1"/>
  <c r="A546" i="1"/>
  <c r="AK545" i="1"/>
  <c r="Q545" i="1"/>
  <c r="P545" i="1"/>
  <c r="O545" i="1"/>
  <c r="N545" i="1"/>
  <c r="M545" i="1"/>
  <c r="K545" i="1"/>
  <c r="J545" i="1"/>
  <c r="I545" i="1"/>
  <c r="H545" i="1"/>
  <c r="G545" i="1"/>
  <c r="F545" i="1"/>
  <c r="E545" i="1"/>
  <c r="D545" i="1"/>
  <c r="C545" i="1"/>
  <c r="B545" i="1"/>
  <c r="A545" i="1"/>
  <c r="AK544" i="1"/>
  <c r="Q544" i="1"/>
  <c r="P544" i="1"/>
  <c r="O544" i="1"/>
  <c r="N544" i="1"/>
  <c r="M544" i="1"/>
  <c r="K544" i="1"/>
  <c r="J544" i="1"/>
  <c r="I544" i="1"/>
  <c r="H544" i="1"/>
  <c r="G544" i="1"/>
  <c r="F544" i="1"/>
  <c r="E544" i="1"/>
  <c r="D544" i="1"/>
  <c r="C544" i="1"/>
  <c r="B544" i="1"/>
  <c r="A544" i="1"/>
  <c r="AK543" i="1"/>
  <c r="Q543" i="1"/>
  <c r="P543" i="1"/>
  <c r="O543" i="1"/>
  <c r="N543" i="1"/>
  <c r="M543" i="1"/>
  <c r="K543" i="1"/>
  <c r="J543" i="1"/>
  <c r="I543" i="1"/>
  <c r="H543" i="1"/>
  <c r="F543" i="1"/>
  <c r="E543" i="1"/>
  <c r="D543" i="1"/>
  <c r="C543" i="1"/>
  <c r="B543" i="1"/>
  <c r="A543" i="1"/>
  <c r="AK542" i="1"/>
  <c r="Q542" i="1"/>
  <c r="P542" i="1"/>
  <c r="O542" i="1"/>
  <c r="N542" i="1"/>
  <c r="M542" i="1"/>
  <c r="K542" i="1"/>
  <c r="J542" i="1"/>
  <c r="I542" i="1"/>
  <c r="H542" i="1"/>
  <c r="G542" i="1"/>
  <c r="F542" i="1"/>
  <c r="E542" i="1"/>
  <c r="D542" i="1"/>
  <c r="C542" i="1"/>
  <c r="B542" i="1"/>
  <c r="A542" i="1"/>
  <c r="AK541" i="1"/>
  <c r="Q541" i="1"/>
  <c r="P541" i="1"/>
  <c r="O541" i="1"/>
  <c r="N541" i="1"/>
  <c r="M541" i="1"/>
  <c r="K541" i="1"/>
  <c r="J541" i="1"/>
  <c r="I541" i="1"/>
  <c r="H541" i="1"/>
  <c r="G541" i="1"/>
  <c r="F541" i="1"/>
  <c r="E541" i="1"/>
  <c r="D541" i="1"/>
  <c r="C541" i="1"/>
  <c r="B541" i="1"/>
  <c r="A541" i="1"/>
  <c r="AK540" i="1"/>
  <c r="Q540" i="1"/>
  <c r="P540" i="1"/>
  <c r="O540" i="1"/>
  <c r="N540" i="1"/>
  <c r="M540" i="1"/>
  <c r="K540" i="1"/>
  <c r="J540" i="1"/>
  <c r="I540" i="1"/>
  <c r="H540" i="1"/>
  <c r="G540" i="1"/>
  <c r="F540" i="1"/>
  <c r="E540" i="1"/>
  <c r="D540" i="1"/>
  <c r="C540" i="1"/>
  <c r="B540" i="1"/>
  <c r="A540" i="1"/>
  <c r="AK539" i="1"/>
  <c r="Q539" i="1"/>
  <c r="P539" i="1"/>
  <c r="O539" i="1"/>
  <c r="N539" i="1"/>
  <c r="M539" i="1"/>
  <c r="K539" i="1"/>
  <c r="J539" i="1"/>
  <c r="I539" i="1"/>
  <c r="H539" i="1"/>
  <c r="G539" i="1"/>
  <c r="F539" i="1"/>
  <c r="E539" i="1"/>
  <c r="D539" i="1"/>
  <c r="C539" i="1"/>
  <c r="B539" i="1"/>
  <c r="A539" i="1"/>
  <c r="AK538" i="1"/>
  <c r="Q538" i="1"/>
  <c r="P538" i="1"/>
  <c r="N538" i="1"/>
  <c r="M538" i="1"/>
  <c r="K538" i="1"/>
  <c r="J538" i="1"/>
  <c r="I538" i="1"/>
  <c r="H538" i="1"/>
  <c r="G538" i="1"/>
  <c r="F538" i="1"/>
  <c r="E538" i="1"/>
  <c r="D538" i="1"/>
  <c r="C538" i="1"/>
  <c r="B538" i="1"/>
  <c r="A538" i="1"/>
  <c r="AK537" i="1"/>
  <c r="Q537" i="1"/>
  <c r="P537" i="1"/>
  <c r="N537" i="1"/>
  <c r="M537" i="1"/>
  <c r="K537" i="1"/>
  <c r="J537" i="1"/>
  <c r="I537" i="1"/>
  <c r="H537" i="1"/>
  <c r="G537" i="1"/>
  <c r="F537" i="1"/>
  <c r="E537" i="1"/>
  <c r="D537" i="1"/>
  <c r="C537" i="1"/>
  <c r="B537" i="1"/>
  <c r="A537" i="1"/>
  <c r="AK536" i="1"/>
  <c r="Q536" i="1"/>
  <c r="P536" i="1"/>
  <c r="O536" i="1"/>
  <c r="N536" i="1"/>
  <c r="M536" i="1"/>
  <c r="K536" i="1"/>
  <c r="J536" i="1"/>
  <c r="I536" i="1"/>
  <c r="H536" i="1"/>
  <c r="G536" i="1"/>
  <c r="F536" i="1"/>
  <c r="E536" i="1"/>
  <c r="D536" i="1"/>
  <c r="C536" i="1"/>
  <c r="B536" i="1"/>
  <c r="A536" i="1"/>
  <c r="AK535" i="1"/>
  <c r="Q535" i="1"/>
  <c r="P535" i="1"/>
  <c r="N535" i="1"/>
  <c r="M535" i="1"/>
  <c r="K535" i="1"/>
  <c r="J535" i="1"/>
  <c r="I535" i="1"/>
  <c r="H535" i="1"/>
  <c r="G535" i="1"/>
  <c r="F535" i="1"/>
  <c r="E535" i="1"/>
  <c r="D535" i="1"/>
  <c r="C535" i="1"/>
  <c r="B535" i="1"/>
  <c r="A535" i="1"/>
  <c r="AK534" i="1"/>
  <c r="Q534" i="1"/>
  <c r="P534" i="1"/>
  <c r="O534" i="1"/>
  <c r="N534" i="1"/>
  <c r="M534" i="1"/>
  <c r="K534" i="1"/>
  <c r="J534" i="1"/>
  <c r="I534" i="1"/>
  <c r="H534" i="1"/>
  <c r="G534" i="1"/>
  <c r="F534" i="1"/>
  <c r="E534" i="1"/>
  <c r="D534" i="1"/>
  <c r="C534" i="1"/>
  <c r="B534" i="1"/>
  <c r="A534" i="1"/>
  <c r="AK533" i="1"/>
  <c r="Q533" i="1"/>
  <c r="P533" i="1"/>
  <c r="O533" i="1"/>
  <c r="N533" i="1"/>
  <c r="M533" i="1"/>
  <c r="K533" i="1"/>
  <c r="J533" i="1"/>
  <c r="I533" i="1"/>
  <c r="H533" i="1"/>
  <c r="G533" i="1"/>
  <c r="F533" i="1"/>
  <c r="E533" i="1"/>
  <c r="D533" i="1"/>
  <c r="C533" i="1"/>
  <c r="B533" i="1"/>
  <c r="A533" i="1"/>
  <c r="AK532" i="1"/>
  <c r="Q532" i="1"/>
  <c r="P532" i="1"/>
  <c r="O532" i="1"/>
  <c r="N532" i="1"/>
  <c r="M532" i="1"/>
  <c r="K532" i="1"/>
  <c r="J532" i="1"/>
  <c r="I532" i="1"/>
  <c r="H532" i="1"/>
  <c r="G532" i="1"/>
  <c r="F532" i="1"/>
  <c r="E532" i="1"/>
  <c r="D532" i="1"/>
  <c r="C532" i="1"/>
  <c r="B532" i="1"/>
  <c r="A532" i="1"/>
  <c r="AK531" i="1"/>
  <c r="Q531" i="1"/>
  <c r="P531" i="1"/>
  <c r="O531" i="1"/>
  <c r="N531" i="1"/>
  <c r="M531" i="1"/>
  <c r="K531" i="1"/>
  <c r="J531" i="1"/>
  <c r="I531" i="1"/>
  <c r="H531" i="1"/>
  <c r="G531" i="1"/>
  <c r="F531" i="1"/>
  <c r="E531" i="1"/>
  <c r="D531" i="1"/>
  <c r="C531" i="1"/>
  <c r="B531" i="1"/>
  <c r="A531" i="1"/>
  <c r="AK530" i="1"/>
  <c r="Q530" i="1"/>
  <c r="P530" i="1"/>
  <c r="O530" i="1"/>
  <c r="N530" i="1"/>
  <c r="M530" i="1"/>
  <c r="K530" i="1"/>
  <c r="J530" i="1"/>
  <c r="I530" i="1"/>
  <c r="H530" i="1"/>
  <c r="G530" i="1"/>
  <c r="F530" i="1"/>
  <c r="E530" i="1"/>
  <c r="D530" i="1"/>
  <c r="C530" i="1"/>
  <c r="B530" i="1"/>
  <c r="A530" i="1"/>
  <c r="AK529" i="1"/>
  <c r="Q529" i="1"/>
  <c r="P529" i="1"/>
  <c r="O529" i="1"/>
  <c r="N529" i="1"/>
  <c r="M529" i="1"/>
  <c r="K529" i="1"/>
  <c r="J529" i="1"/>
  <c r="I529" i="1"/>
  <c r="H529" i="1"/>
  <c r="G529" i="1"/>
  <c r="F529" i="1"/>
  <c r="E529" i="1"/>
  <c r="D529" i="1"/>
  <c r="C529" i="1"/>
  <c r="B529" i="1"/>
  <c r="A529" i="1"/>
  <c r="AK528" i="1"/>
  <c r="Q528" i="1"/>
  <c r="P528" i="1"/>
  <c r="O528" i="1"/>
  <c r="N528" i="1"/>
  <c r="M528" i="1"/>
  <c r="K528" i="1"/>
  <c r="J528" i="1"/>
  <c r="I528" i="1"/>
  <c r="H528" i="1"/>
  <c r="G528" i="1"/>
  <c r="F528" i="1"/>
  <c r="E528" i="1"/>
  <c r="D528" i="1"/>
  <c r="C528" i="1"/>
  <c r="B528" i="1"/>
  <c r="A528" i="1"/>
  <c r="AK527" i="1"/>
  <c r="Q527" i="1"/>
  <c r="P527" i="1"/>
  <c r="N527" i="1"/>
  <c r="M527" i="1"/>
  <c r="K527" i="1"/>
  <c r="J527" i="1"/>
  <c r="I527" i="1"/>
  <c r="H527" i="1"/>
  <c r="G527" i="1"/>
  <c r="F527" i="1"/>
  <c r="E527" i="1"/>
  <c r="D527" i="1"/>
  <c r="C527" i="1"/>
  <c r="B527" i="1"/>
  <c r="A527" i="1"/>
  <c r="AK526" i="1"/>
  <c r="Q526" i="1"/>
  <c r="P526" i="1"/>
  <c r="O526" i="1"/>
  <c r="N526" i="1"/>
  <c r="M526" i="1"/>
  <c r="K526" i="1"/>
  <c r="J526" i="1"/>
  <c r="I526" i="1"/>
  <c r="H526" i="1"/>
  <c r="G526" i="1"/>
  <c r="F526" i="1"/>
  <c r="E526" i="1"/>
  <c r="D526" i="1"/>
  <c r="C526" i="1"/>
  <c r="B526" i="1"/>
  <c r="A526" i="1"/>
  <c r="AK525" i="1"/>
  <c r="Q525" i="1"/>
  <c r="P525" i="1"/>
  <c r="O525" i="1"/>
  <c r="N525" i="1"/>
  <c r="M525" i="1"/>
  <c r="K525" i="1"/>
  <c r="J525" i="1"/>
  <c r="I525" i="1"/>
  <c r="H525" i="1"/>
  <c r="G525" i="1"/>
  <c r="F525" i="1"/>
  <c r="E525" i="1"/>
  <c r="D525" i="1"/>
  <c r="C525" i="1"/>
  <c r="B525" i="1"/>
  <c r="A525" i="1"/>
  <c r="AK524" i="1"/>
  <c r="Q524" i="1"/>
  <c r="P524" i="1"/>
  <c r="N524" i="1"/>
  <c r="M524" i="1"/>
  <c r="K524" i="1"/>
  <c r="J524" i="1"/>
  <c r="I524" i="1"/>
  <c r="H524" i="1"/>
  <c r="G524" i="1"/>
  <c r="F524" i="1"/>
  <c r="E524" i="1"/>
  <c r="D524" i="1"/>
  <c r="C524" i="1"/>
  <c r="B524" i="1"/>
  <c r="A524" i="1"/>
  <c r="AK523" i="1"/>
  <c r="Q523" i="1"/>
  <c r="P523" i="1"/>
  <c r="N523" i="1"/>
  <c r="M523" i="1"/>
  <c r="K523" i="1"/>
  <c r="J523" i="1"/>
  <c r="I523" i="1"/>
  <c r="H523" i="1"/>
  <c r="G523" i="1"/>
  <c r="F523" i="1"/>
  <c r="E523" i="1"/>
  <c r="D523" i="1"/>
  <c r="C523" i="1"/>
  <c r="B523" i="1"/>
  <c r="A523" i="1"/>
  <c r="AK522" i="1"/>
  <c r="Q522" i="1"/>
  <c r="P522" i="1"/>
  <c r="O522" i="1"/>
  <c r="N522" i="1"/>
  <c r="M522" i="1"/>
  <c r="K522" i="1"/>
  <c r="J522" i="1"/>
  <c r="I522" i="1"/>
  <c r="H522" i="1"/>
  <c r="G522" i="1"/>
  <c r="F522" i="1"/>
  <c r="E522" i="1"/>
  <c r="D522" i="1"/>
  <c r="C522" i="1"/>
  <c r="B522" i="1"/>
  <c r="A522" i="1"/>
  <c r="AK521" i="1"/>
  <c r="Q521" i="1"/>
  <c r="P521" i="1"/>
  <c r="O521" i="1"/>
  <c r="N521" i="1"/>
  <c r="M521" i="1"/>
  <c r="K521" i="1"/>
  <c r="J521" i="1"/>
  <c r="I521" i="1"/>
  <c r="H521" i="1"/>
  <c r="G521" i="1"/>
  <c r="F521" i="1"/>
  <c r="E521" i="1"/>
  <c r="D521" i="1"/>
  <c r="C521" i="1"/>
  <c r="B521" i="1"/>
  <c r="A521" i="1"/>
  <c r="AK520" i="1"/>
  <c r="Q520" i="1"/>
  <c r="P520" i="1"/>
  <c r="O520" i="1"/>
  <c r="N520" i="1"/>
  <c r="M520" i="1"/>
  <c r="K520" i="1"/>
  <c r="J520" i="1"/>
  <c r="I520" i="1"/>
  <c r="H520" i="1"/>
  <c r="G520" i="1"/>
  <c r="F520" i="1"/>
  <c r="E520" i="1"/>
  <c r="D520" i="1"/>
  <c r="C520" i="1"/>
  <c r="B520" i="1"/>
  <c r="A520" i="1"/>
  <c r="AK519" i="1"/>
  <c r="Q519" i="1"/>
  <c r="P519" i="1"/>
  <c r="O519" i="1"/>
  <c r="N519" i="1"/>
  <c r="M519" i="1"/>
  <c r="K519" i="1"/>
  <c r="J519" i="1"/>
  <c r="I519" i="1"/>
  <c r="H519" i="1"/>
  <c r="G519" i="1"/>
  <c r="F519" i="1"/>
  <c r="E519" i="1"/>
  <c r="D519" i="1"/>
  <c r="C519" i="1"/>
  <c r="B519" i="1"/>
  <c r="A519" i="1"/>
  <c r="AK518" i="1"/>
  <c r="Q518" i="1"/>
  <c r="P518" i="1"/>
  <c r="O518" i="1"/>
  <c r="N518" i="1"/>
  <c r="M518" i="1"/>
  <c r="K518" i="1"/>
  <c r="J518" i="1"/>
  <c r="I518" i="1"/>
  <c r="H518" i="1"/>
  <c r="G518" i="1"/>
  <c r="F518" i="1"/>
  <c r="E518" i="1"/>
  <c r="D518" i="1"/>
  <c r="C518" i="1"/>
  <c r="B518" i="1"/>
  <c r="A518" i="1"/>
  <c r="AK517" i="1"/>
  <c r="Q517" i="1"/>
  <c r="P517" i="1"/>
  <c r="O517" i="1"/>
  <c r="N517" i="1"/>
  <c r="M517" i="1"/>
  <c r="K517" i="1"/>
  <c r="J517" i="1"/>
  <c r="I517" i="1"/>
  <c r="H517" i="1"/>
  <c r="G517" i="1"/>
  <c r="F517" i="1"/>
  <c r="E517" i="1"/>
  <c r="D517" i="1"/>
  <c r="C517" i="1"/>
  <c r="B517" i="1"/>
  <c r="A517" i="1"/>
  <c r="AK516" i="1"/>
  <c r="Q516" i="1"/>
  <c r="P516" i="1"/>
  <c r="O516" i="1"/>
  <c r="N516" i="1"/>
  <c r="M516" i="1"/>
  <c r="K516" i="1"/>
  <c r="J516" i="1"/>
  <c r="I516" i="1"/>
  <c r="H516" i="1"/>
  <c r="G516" i="1"/>
  <c r="F516" i="1"/>
  <c r="E516" i="1"/>
  <c r="D516" i="1"/>
  <c r="C516" i="1"/>
  <c r="B516" i="1"/>
  <c r="A516" i="1"/>
  <c r="AK515" i="1"/>
  <c r="Q515" i="1"/>
  <c r="P515" i="1"/>
  <c r="O515" i="1"/>
  <c r="N515" i="1"/>
  <c r="M515" i="1"/>
  <c r="K515" i="1"/>
  <c r="J515" i="1"/>
  <c r="I515" i="1"/>
  <c r="H515" i="1"/>
  <c r="G515" i="1"/>
  <c r="F515" i="1"/>
  <c r="E515" i="1"/>
  <c r="D515" i="1"/>
  <c r="C515" i="1"/>
  <c r="B515" i="1"/>
  <c r="A515" i="1"/>
  <c r="AK514" i="1"/>
  <c r="Q514" i="1"/>
  <c r="P514" i="1"/>
  <c r="O514" i="1"/>
  <c r="N514" i="1"/>
  <c r="M514" i="1"/>
  <c r="K514" i="1"/>
  <c r="J514" i="1"/>
  <c r="I514" i="1"/>
  <c r="H514" i="1"/>
  <c r="G514" i="1"/>
  <c r="F514" i="1"/>
  <c r="E514" i="1"/>
  <c r="D514" i="1"/>
  <c r="C514" i="1"/>
  <c r="B514" i="1"/>
  <c r="A514" i="1"/>
  <c r="AK513" i="1"/>
  <c r="Q513" i="1"/>
  <c r="P513" i="1"/>
  <c r="O513" i="1"/>
  <c r="N513" i="1"/>
  <c r="M513" i="1"/>
  <c r="K513" i="1"/>
  <c r="J513" i="1"/>
  <c r="I513" i="1"/>
  <c r="H513" i="1"/>
  <c r="G513" i="1"/>
  <c r="F513" i="1"/>
  <c r="E513" i="1"/>
  <c r="D513" i="1"/>
  <c r="C513" i="1"/>
  <c r="B513" i="1"/>
  <c r="A513" i="1"/>
  <c r="AK512" i="1"/>
  <c r="Q512" i="1"/>
  <c r="P512" i="1"/>
  <c r="N512" i="1"/>
  <c r="M512" i="1"/>
  <c r="K512" i="1"/>
  <c r="J512" i="1"/>
  <c r="I512" i="1"/>
  <c r="H512" i="1"/>
  <c r="G512" i="1"/>
  <c r="F512" i="1"/>
  <c r="E512" i="1"/>
  <c r="D512" i="1"/>
  <c r="C512" i="1"/>
  <c r="B512" i="1"/>
  <c r="A512" i="1"/>
  <c r="AK511" i="1"/>
  <c r="Q511" i="1"/>
  <c r="P511" i="1"/>
  <c r="O511" i="1"/>
  <c r="N511" i="1"/>
  <c r="M511" i="1"/>
  <c r="K511" i="1"/>
  <c r="J511" i="1"/>
  <c r="I511" i="1"/>
  <c r="H511" i="1"/>
  <c r="G511" i="1"/>
  <c r="F511" i="1"/>
  <c r="E511" i="1"/>
  <c r="D511" i="1"/>
  <c r="C511" i="1"/>
  <c r="B511" i="1"/>
  <c r="A511" i="1"/>
  <c r="AK510" i="1"/>
  <c r="Q510" i="1"/>
  <c r="P510" i="1"/>
  <c r="O510" i="1"/>
  <c r="N510" i="1"/>
  <c r="M510" i="1"/>
  <c r="K510" i="1"/>
  <c r="J510" i="1"/>
  <c r="I510" i="1"/>
  <c r="H510" i="1"/>
  <c r="G510" i="1"/>
  <c r="F510" i="1"/>
  <c r="E510" i="1"/>
  <c r="D510" i="1"/>
  <c r="C510" i="1"/>
  <c r="B510" i="1"/>
  <c r="A510" i="1"/>
  <c r="AK509" i="1"/>
  <c r="Q509" i="1"/>
  <c r="P509" i="1"/>
  <c r="O509" i="1"/>
  <c r="N509" i="1"/>
  <c r="M509" i="1"/>
  <c r="K509" i="1"/>
  <c r="J509" i="1"/>
  <c r="I509" i="1"/>
  <c r="H509" i="1"/>
  <c r="G509" i="1"/>
  <c r="F509" i="1"/>
  <c r="E509" i="1"/>
  <c r="D509" i="1"/>
  <c r="C509" i="1"/>
  <c r="B509" i="1"/>
  <c r="A509" i="1"/>
  <c r="AK508" i="1"/>
  <c r="Q508" i="1"/>
  <c r="P508" i="1"/>
  <c r="O508" i="1"/>
  <c r="N508" i="1"/>
  <c r="M508" i="1"/>
  <c r="K508" i="1"/>
  <c r="J508" i="1"/>
  <c r="I508" i="1"/>
  <c r="H508" i="1"/>
  <c r="G508" i="1"/>
  <c r="F508" i="1"/>
  <c r="E508" i="1"/>
  <c r="D508" i="1"/>
  <c r="C508" i="1"/>
  <c r="B508" i="1"/>
  <c r="A508" i="1"/>
  <c r="AK507" i="1"/>
  <c r="Q507" i="1"/>
  <c r="P507" i="1"/>
  <c r="O507" i="1"/>
  <c r="N507" i="1"/>
  <c r="M507" i="1"/>
  <c r="K507" i="1"/>
  <c r="J507" i="1"/>
  <c r="I507" i="1"/>
  <c r="H507" i="1"/>
  <c r="G507" i="1"/>
  <c r="F507" i="1"/>
  <c r="E507" i="1"/>
  <c r="D507" i="1"/>
  <c r="C507" i="1"/>
  <c r="B507" i="1"/>
  <c r="A507" i="1"/>
  <c r="AK506" i="1"/>
  <c r="Q506" i="1"/>
  <c r="P506" i="1"/>
  <c r="N506" i="1"/>
  <c r="M506" i="1"/>
  <c r="K506" i="1"/>
  <c r="J506" i="1"/>
  <c r="I506" i="1"/>
  <c r="H506" i="1"/>
  <c r="G506" i="1"/>
  <c r="F506" i="1"/>
  <c r="E506" i="1"/>
  <c r="D506" i="1"/>
  <c r="C506" i="1"/>
  <c r="B506" i="1"/>
  <c r="A506" i="1"/>
  <c r="AK505" i="1"/>
  <c r="Q505" i="1"/>
  <c r="P505" i="1"/>
  <c r="N505" i="1"/>
  <c r="M505" i="1"/>
  <c r="K505" i="1"/>
  <c r="J505" i="1"/>
  <c r="I505" i="1"/>
  <c r="H505" i="1"/>
  <c r="G505" i="1"/>
  <c r="F505" i="1"/>
  <c r="E505" i="1"/>
  <c r="D505" i="1"/>
  <c r="C505" i="1"/>
  <c r="B505" i="1"/>
  <c r="A505" i="1"/>
  <c r="AK504" i="1"/>
  <c r="Q504" i="1"/>
  <c r="P504" i="1"/>
  <c r="O504" i="1"/>
  <c r="N504" i="1"/>
  <c r="M504" i="1"/>
  <c r="K504" i="1"/>
  <c r="J504" i="1"/>
  <c r="I504" i="1"/>
  <c r="H504" i="1"/>
  <c r="G504" i="1"/>
  <c r="F504" i="1"/>
  <c r="E504" i="1"/>
  <c r="D504" i="1"/>
  <c r="C504" i="1"/>
  <c r="B504" i="1"/>
  <c r="A504" i="1"/>
  <c r="AK503" i="1"/>
  <c r="Q503" i="1"/>
  <c r="P503" i="1"/>
  <c r="N503" i="1"/>
  <c r="M503" i="1"/>
  <c r="K503" i="1"/>
  <c r="J503" i="1"/>
  <c r="I503" i="1"/>
  <c r="H503" i="1"/>
  <c r="G503" i="1"/>
  <c r="F503" i="1"/>
  <c r="E503" i="1"/>
  <c r="D503" i="1"/>
  <c r="C503" i="1"/>
  <c r="B503" i="1"/>
  <c r="A503" i="1"/>
  <c r="AK502" i="1"/>
  <c r="Q502" i="1"/>
  <c r="P502" i="1"/>
  <c r="N502" i="1"/>
  <c r="M502" i="1"/>
  <c r="K502" i="1"/>
  <c r="J502" i="1"/>
  <c r="I502" i="1"/>
  <c r="H502" i="1"/>
  <c r="G502" i="1"/>
  <c r="F502" i="1"/>
  <c r="E502" i="1"/>
  <c r="D502" i="1"/>
  <c r="C502" i="1"/>
  <c r="B502" i="1"/>
  <c r="A502" i="1"/>
  <c r="AK501" i="1"/>
  <c r="Q501" i="1"/>
  <c r="P501" i="1"/>
  <c r="N501" i="1"/>
  <c r="M501" i="1"/>
  <c r="K501" i="1"/>
  <c r="J501" i="1"/>
  <c r="I501" i="1"/>
  <c r="H501" i="1"/>
  <c r="G501" i="1"/>
  <c r="F501" i="1"/>
  <c r="E501" i="1"/>
  <c r="D501" i="1"/>
  <c r="C501" i="1"/>
  <c r="B501" i="1"/>
  <c r="A501" i="1"/>
  <c r="AK500" i="1"/>
  <c r="Q500" i="1"/>
  <c r="P500" i="1"/>
  <c r="N500" i="1"/>
  <c r="M500" i="1"/>
  <c r="K500" i="1"/>
  <c r="J500" i="1"/>
  <c r="I500" i="1"/>
  <c r="H500" i="1"/>
  <c r="G500" i="1"/>
  <c r="F500" i="1"/>
  <c r="E500" i="1"/>
  <c r="D500" i="1"/>
  <c r="C500" i="1"/>
  <c r="B500" i="1"/>
  <c r="A500" i="1"/>
  <c r="AK499" i="1"/>
  <c r="Q499" i="1"/>
  <c r="P499" i="1"/>
  <c r="N499" i="1"/>
  <c r="M499" i="1"/>
  <c r="K499" i="1"/>
  <c r="J499" i="1"/>
  <c r="I499" i="1"/>
  <c r="H499" i="1"/>
  <c r="G499" i="1"/>
  <c r="F499" i="1"/>
  <c r="E499" i="1"/>
  <c r="D499" i="1"/>
  <c r="C499" i="1"/>
  <c r="B499" i="1"/>
  <c r="A499" i="1"/>
  <c r="AK498" i="1"/>
  <c r="Q498" i="1"/>
  <c r="P498" i="1"/>
  <c r="O498" i="1"/>
  <c r="N498" i="1"/>
  <c r="M498" i="1"/>
  <c r="K498" i="1"/>
  <c r="J498" i="1"/>
  <c r="I498" i="1"/>
  <c r="H498" i="1"/>
  <c r="G498" i="1"/>
  <c r="F498" i="1"/>
  <c r="E498" i="1"/>
  <c r="D498" i="1"/>
  <c r="C498" i="1"/>
  <c r="B498" i="1"/>
  <c r="A498" i="1"/>
  <c r="AK497" i="1"/>
  <c r="Q497" i="1"/>
  <c r="P497" i="1"/>
  <c r="O497" i="1"/>
  <c r="N497" i="1"/>
  <c r="M497" i="1"/>
  <c r="K497" i="1"/>
  <c r="J497" i="1"/>
  <c r="I497" i="1"/>
  <c r="H497" i="1"/>
  <c r="G497" i="1"/>
  <c r="F497" i="1"/>
  <c r="E497" i="1"/>
  <c r="D497" i="1"/>
  <c r="C497" i="1"/>
  <c r="B497" i="1"/>
  <c r="A497" i="1"/>
  <c r="AK496" i="1"/>
  <c r="Q496" i="1"/>
  <c r="P496" i="1"/>
  <c r="O496" i="1"/>
  <c r="N496" i="1"/>
  <c r="M496" i="1"/>
  <c r="K496" i="1"/>
  <c r="J496" i="1"/>
  <c r="I496" i="1"/>
  <c r="H496" i="1"/>
  <c r="G496" i="1"/>
  <c r="F496" i="1"/>
  <c r="E496" i="1"/>
  <c r="D496" i="1"/>
  <c r="C496" i="1"/>
  <c r="B496" i="1"/>
  <c r="A496" i="1"/>
  <c r="AK495" i="1"/>
  <c r="Q495" i="1"/>
  <c r="P495" i="1"/>
  <c r="O495" i="1"/>
  <c r="N495" i="1"/>
  <c r="M495" i="1"/>
  <c r="K495" i="1"/>
  <c r="J495" i="1"/>
  <c r="I495" i="1"/>
  <c r="H495" i="1"/>
  <c r="G495" i="1"/>
  <c r="F495" i="1"/>
  <c r="E495" i="1"/>
  <c r="D495" i="1"/>
  <c r="C495" i="1"/>
  <c r="B495" i="1"/>
  <c r="A495" i="1"/>
  <c r="AK494" i="1"/>
  <c r="Q494" i="1"/>
  <c r="P494" i="1"/>
  <c r="O494" i="1"/>
  <c r="N494" i="1"/>
  <c r="M494" i="1"/>
  <c r="K494" i="1"/>
  <c r="J494" i="1"/>
  <c r="I494" i="1"/>
  <c r="H494" i="1"/>
  <c r="G494" i="1"/>
  <c r="F494" i="1"/>
  <c r="E494" i="1"/>
  <c r="D494" i="1"/>
  <c r="C494" i="1"/>
  <c r="B494" i="1"/>
  <c r="A494" i="1"/>
  <c r="AK493" i="1"/>
  <c r="Q493" i="1"/>
  <c r="P493" i="1"/>
  <c r="O493" i="1"/>
  <c r="N493" i="1"/>
  <c r="M493" i="1"/>
  <c r="K493" i="1"/>
  <c r="J493" i="1"/>
  <c r="I493" i="1"/>
  <c r="H493" i="1"/>
  <c r="G493" i="1"/>
  <c r="F493" i="1"/>
  <c r="E493" i="1"/>
  <c r="D493" i="1"/>
  <c r="C493" i="1"/>
  <c r="B493" i="1"/>
  <c r="A493" i="1"/>
  <c r="AK492" i="1"/>
  <c r="Q492" i="1"/>
  <c r="P492" i="1"/>
  <c r="O492" i="1"/>
  <c r="N492" i="1"/>
  <c r="M492" i="1"/>
  <c r="K492" i="1"/>
  <c r="J492" i="1"/>
  <c r="I492" i="1"/>
  <c r="H492" i="1"/>
  <c r="G492" i="1"/>
  <c r="F492" i="1"/>
  <c r="E492" i="1"/>
  <c r="D492" i="1"/>
  <c r="C492" i="1"/>
  <c r="B492" i="1"/>
  <c r="A492" i="1"/>
  <c r="AK491" i="1"/>
  <c r="Q491" i="1"/>
  <c r="P491" i="1"/>
  <c r="O491" i="1"/>
  <c r="N491" i="1"/>
  <c r="M491" i="1"/>
  <c r="K491" i="1"/>
  <c r="J491" i="1"/>
  <c r="I491" i="1"/>
  <c r="H491" i="1"/>
  <c r="G491" i="1"/>
  <c r="F491" i="1"/>
  <c r="E491" i="1"/>
  <c r="D491" i="1"/>
  <c r="C491" i="1"/>
  <c r="B491" i="1"/>
  <c r="A491" i="1"/>
  <c r="AK490" i="1"/>
  <c r="Q490" i="1"/>
  <c r="P490" i="1"/>
  <c r="O490" i="1"/>
  <c r="N490" i="1"/>
  <c r="M490" i="1"/>
  <c r="K490" i="1"/>
  <c r="J490" i="1"/>
  <c r="I490" i="1"/>
  <c r="H490" i="1"/>
  <c r="G490" i="1"/>
  <c r="F490" i="1"/>
  <c r="E490" i="1"/>
  <c r="D490" i="1"/>
  <c r="C490" i="1"/>
  <c r="B490" i="1"/>
  <c r="A490" i="1"/>
  <c r="AK489" i="1"/>
  <c r="Q489" i="1"/>
  <c r="P489" i="1"/>
  <c r="O489" i="1"/>
  <c r="N489" i="1"/>
  <c r="M489" i="1"/>
  <c r="K489" i="1"/>
  <c r="J489" i="1"/>
  <c r="I489" i="1"/>
  <c r="H489" i="1"/>
  <c r="G489" i="1"/>
  <c r="F489" i="1"/>
  <c r="E489" i="1"/>
  <c r="D489" i="1"/>
  <c r="C489" i="1"/>
  <c r="B489" i="1"/>
  <c r="A489" i="1"/>
  <c r="AK488" i="1"/>
  <c r="Q488" i="1"/>
  <c r="P488" i="1"/>
  <c r="O488" i="1"/>
  <c r="N488" i="1"/>
  <c r="M488" i="1"/>
  <c r="K488" i="1"/>
  <c r="J488" i="1"/>
  <c r="I488" i="1"/>
  <c r="H488" i="1"/>
  <c r="G488" i="1"/>
  <c r="F488" i="1"/>
  <c r="E488" i="1"/>
  <c r="D488" i="1"/>
  <c r="C488" i="1"/>
  <c r="B488" i="1"/>
  <c r="A488" i="1"/>
  <c r="AK487" i="1"/>
  <c r="Q487" i="1"/>
  <c r="P487" i="1"/>
  <c r="O487" i="1"/>
  <c r="N487" i="1"/>
  <c r="M487" i="1"/>
  <c r="K487" i="1"/>
  <c r="J487" i="1"/>
  <c r="I487" i="1"/>
  <c r="H487" i="1"/>
  <c r="G487" i="1"/>
  <c r="F487" i="1"/>
  <c r="E487" i="1"/>
  <c r="D487" i="1"/>
  <c r="C487" i="1"/>
  <c r="B487" i="1"/>
  <c r="A487" i="1"/>
  <c r="AK486" i="1"/>
  <c r="Q486" i="1"/>
  <c r="P486" i="1"/>
  <c r="O486" i="1"/>
  <c r="N486" i="1"/>
  <c r="M486" i="1"/>
  <c r="K486" i="1"/>
  <c r="J486" i="1"/>
  <c r="I486" i="1"/>
  <c r="H486" i="1"/>
  <c r="G486" i="1"/>
  <c r="F486" i="1"/>
  <c r="E486" i="1"/>
  <c r="D486" i="1"/>
  <c r="C486" i="1"/>
  <c r="B486" i="1"/>
  <c r="A486" i="1"/>
  <c r="AK485" i="1"/>
  <c r="Q485" i="1"/>
  <c r="P485" i="1"/>
  <c r="O485" i="1"/>
  <c r="N485" i="1"/>
  <c r="M485" i="1"/>
  <c r="K485" i="1"/>
  <c r="J485" i="1"/>
  <c r="I485" i="1"/>
  <c r="H485" i="1"/>
  <c r="G485" i="1"/>
  <c r="F485" i="1"/>
  <c r="E485" i="1"/>
  <c r="D485" i="1"/>
  <c r="C485" i="1"/>
  <c r="B485" i="1"/>
  <c r="A485" i="1"/>
  <c r="AK484" i="1"/>
  <c r="Q484" i="1"/>
  <c r="P484" i="1"/>
  <c r="O484" i="1"/>
  <c r="N484" i="1"/>
  <c r="M484" i="1"/>
  <c r="K484" i="1"/>
  <c r="J484" i="1"/>
  <c r="I484" i="1"/>
  <c r="H484" i="1"/>
  <c r="G484" i="1"/>
  <c r="F484" i="1"/>
  <c r="E484" i="1"/>
  <c r="D484" i="1"/>
  <c r="C484" i="1"/>
  <c r="B484" i="1"/>
  <c r="A484" i="1"/>
  <c r="AK483" i="1"/>
  <c r="Q483" i="1"/>
  <c r="P483" i="1"/>
  <c r="N483" i="1"/>
  <c r="M483" i="1"/>
  <c r="K483" i="1"/>
  <c r="J483" i="1"/>
  <c r="I483" i="1"/>
  <c r="H483" i="1"/>
  <c r="G483" i="1"/>
  <c r="F483" i="1"/>
  <c r="E483" i="1"/>
  <c r="D483" i="1"/>
  <c r="C483" i="1"/>
  <c r="B483" i="1"/>
  <c r="A483" i="1"/>
  <c r="AK482" i="1"/>
  <c r="Q482" i="1"/>
  <c r="P482" i="1"/>
  <c r="O482" i="1"/>
  <c r="N482" i="1"/>
  <c r="M482" i="1"/>
  <c r="K482" i="1"/>
  <c r="J482" i="1"/>
  <c r="I482" i="1"/>
  <c r="H482" i="1"/>
  <c r="G482" i="1"/>
  <c r="F482" i="1"/>
  <c r="E482" i="1"/>
  <c r="D482" i="1"/>
  <c r="C482" i="1"/>
  <c r="B482" i="1"/>
  <c r="A482" i="1"/>
  <c r="AK481" i="1"/>
  <c r="Q481" i="1"/>
  <c r="P481" i="1"/>
  <c r="N481" i="1"/>
  <c r="M481" i="1"/>
  <c r="K481" i="1"/>
  <c r="J481" i="1"/>
  <c r="I481" i="1"/>
  <c r="H481" i="1"/>
  <c r="G481" i="1"/>
  <c r="F481" i="1"/>
  <c r="E481" i="1"/>
  <c r="D481" i="1"/>
  <c r="C481" i="1"/>
  <c r="B481" i="1"/>
  <c r="A481" i="1"/>
  <c r="AK480" i="1"/>
  <c r="Q480" i="1"/>
  <c r="P480" i="1"/>
  <c r="O480" i="1"/>
  <c r="N480" i="1"/>
  <c r="M480" i="1"/>
  <c r="K480" i="1"/>
  <c r="I480" i="1"/>
  <c r="H480" i="1"/>
  <c r="G480" i="1"/>
  <c r="F480" i="1"/>
  <c r="E480" i="1"/>
  <c r="D480" i="1"/>
  <c r="C480" i="1"/>
  <c r="B480" i="1"/>
  <c r="A480" i="1"/>
  <c r="AK479" i="1"/>
  <c r="Q479" i="1"/>
  <c r="P479" i="1"/>
  <c r="O479" i="1"/>
  <c r="N479" i="1"/>
  <c r="M479" i="1"/>
  <c r="K479" i="1"/>
  <c r="J479" i="1"/>
  <c r="I479" i="1"/>
  <c r="H479" i="1"/>
  <c r="G479" i="1"/>
  <c r="F479" i="1"/>
  <c r="E479" i="1"/>
  <c r="D479" i="1"/>
  <c r="C479" i="1"/>
  <c r="B479" i="1"/>
  <c r="A479" i="1"/>
  <c r="AK478" i="1"/>
  <c r="Q478" i="1"/>
  <c r="P478" i="1"/>
  <c r="O478" i="1"/>
  <c r="N478" i="1"/>
  <c r="M478" i="1"/>
  <c r="K478" i="1"/>
  <c r="J478" i="1"/>
  <c r="I478" i="1"/>
  <c r="H478" i="1"/>
  <c r="G478" i="1"/>
  <c r="F478" i="1"/>
  <c r="E478" i="1"/>
  <c r="D478" i="1"/>
  <c r="C478" i="1"/>
  <c r="B478" i="1"/>
  <c r="A478" i="1"/>
  <c r="AK477" i="1"/>
  <c r="Q477" i="1"/>
  <c r="P477" i="1"/>
  <c r="O477" i="1"/>
  <c r="N477" i="1"/>
  <c r="M477" i="1"/>
  <c r="K477" i="1"/>
  <c r="J477" i="1"/>
  <c r="I477" i="1"/>
  <c r="H477" i="1"/>
  <c r="G477" i="1"/>
  <c r="F477" i="1"/>
  <c r="E477" i="1"/>
  <c r="D477" i="1"/>
  <c r="C477" i="1"/>
  <c r="B477" i="1"/>
  <c r="A477" i="1"/>
  <c r="AK476" i="1"/>
  <c r="Q476" i="1"/>
  <c r="P476" i="1"/>
  <c r="O476" i="1"/>
  <c r="N476" i="1"/>
  <c r="M476" i="1"/>
  <c r="K476" i="1"/>
  <c r="J476" i="1"/>
  <c r="I476" i="1"/>
  <c r="H476" i="1"/>
  <c r="G476" i="1"/>
  <c r="F476" i="1"/>
  <c r="E476" i="1"/>
  <c r="D476" i="1"/>
  <c r="C476" i="1"/>
  <c r="B476" i="1"/>
  <c r="A476" i="1"/>
  <c r="AK475" i="1"/>
  <c r="Q475" i="1"/>
  <c r="P475" i="1"/>
  <c r="O475" i="1"/>
  <c r="N475" i="1"/>
  <c r="M475" i="1"/>
  <c r="K475" i="1"/>
  <c r="J475" i="1"/>
  <c r="I475" i="1"/>
  <c r="H475" i="1"/>
  <c r="G475" i="1"/>
  <c r="F475" i="1"/>
  <c r="E475" i="1"/>
  <c r="D475" i="1"/>
  <c r="C475" i="1"/>
  <c r="B475" i="1"/>
  <c r="A475" i="1"/>
  <c r="AK474" i="1"/>
  <c r="Q474" i="1"/>
  <c r="P474" i="1"/>
  <c r="O474" i="1"/>
  <c r="N474" i="1"/>
  <c r="M474" i="1"/>
  <c r="K474" i="1"/>
  <c r="J474" i="1"/>
  <c r="I474" i="1"/>
  <c r="H474" i="1"/>
  <c r="G474" i="1"/>
  <c r="F474" i="1"/>
  <c r="E474" i="1"/>
  <c r="D474" i="1"/>
  <c r="C474" i="1"/>
  <c r="B474" i="1"/>
  <c r="A474" i="1"/>
  <c r="AK473" i="1"/>
  <c r="Q473" i="1"/>
  <c r="P473" i="1"/>
  <c r="O473" i="1"/>
  <c r="N473" i="1"/>
  <c r="M473" i="1"/>
  <c r="K473" i="1"/>
  <c r="J473" i="1"/>
  <c r="I473" i="1"/>
  <c r="H473" i="1"/>
  <c r="G473" i="1"/>
  <c r="F473" i="1"/>
  <c r="E473" i="1"/>
  <c r="D473" i="1"/>
  <c r="C473" i="1"/>
  <c r="B473" i="1"/>
  <c r="A473" i="1"/>
  <c r="AK472" i="1"/>
  <c r="Q472" i="1"/>
  <c r="P472" i="1"/>
  <c r="O472" i="1"/>
  <c r="N472" i="1"/>
  <c r="M472" i="1"/>
  <c r="K472" i="1"/>
  <c r="J472" i="1"/>
  <c r="I472" i="1"/>
  <c r="H472" i="1"/>
  <c r="G472" i="1"/>
  <c r="F472" i="1"/>
  <c r="E472" i="1"/>
  <c r="D472" i="1"/>
  <c r="C472" i="1"/>
  <c r="B472" i="1"/>
  <c r="A472" i="1"/>
  <c r="AK471" i="1"/>
  <c r="Q471" i="1"/>
  <c r="P471" i="1"/>
  <c r="O471" i="1"/>
  <c r="N471" i="1"/>
  <c r="M471" i="1"/>
  <c r="K471" i="1"/>
  <c r="I471" i="1"/>
  <c r="H471" i="1"/>
  <c r="G471" i="1"/>
  <c r="F471" i="1"/>
  <c r="E471" i="1"/>
  <c r="D471" i="1"/>
  <c r="C471" i="1"/>
  <c r="B471" i="1"/>
  <c r="A471" i="1"/>
  <c r="AK470" i="1"/>
  <c r="Q470" i="1"/>
  <c r="P470" i="1"/>
  <c r="O470" i="1"/>
  <c r="N470" i="1"/>
  <c r="M470" i="1"/>
  <c r="K470" i="1"/>
  <c r="J470" i="1"/>
  <c r="I470" i="1"/>
  <c r="H470" i="1"/>
  <c r="G470" i="1"/>
  <c r="F470" i="1"/>
  <c r="E470" i="1"/>
  <c r="D470" i="1"/>
  <c r="C470" i="1"/>
  <c r="B470" i="1"/>
  <c r="A470" i="1"/>
  <c r="AK469" i="1"/>
  <c r="Q469" i="1"/>
  <c r="P469" i="1"/>
  <c r="O469" i="1"/>
  <c r="N469" i="1"/>
  <c r="M469" i="1"/>
  <c r="K469" i="1"/>
  <c r="J469" i="1"/>
  <c r="I469" i="1"/>
  <c r="H469" i="1"/>
  <c r="G469" i="1"/>
  <c r="F469" i="1"/>
  <c r="E469" i="1"/>
  <c r="D469" i="1"/>
  <c r="C469" i="1"/>
  <c r="B469" i="1"/>
  <c r="A469" i="1"/>
  <c r="AK468" i="1"/>
  <c r="Q468" i="1"/>
  <c r="P468" i="1"/>
  <c r="O468" i="1"/>
  <c r="N468" i="1"/>
  <c r="M468" i="1"/>
  <c r="K468" i="1"/>
  <c r="J468" i="1"/>
  <c r="I468" i="1"/>
  <c r="H468" i="1"/>
  <c r="G468" i="1"/>
  <c r="F468" i="1"/>
  <c r="E468" i="1"/>
  <c r="D468" i="1"/>
  <c r="C468" i="1"/>
  <c r="B468" i="1"/>
  <c r="A468" i="1"/>
  <c r="AK467" i="1"/>
  <c r="Q467" i="1"/>
  <c r="P467" i="1"/>
  <c r="O467" i="1"/>
  <c r="N467" i="1"/>
  <c r="M467" i="1"/>
  <c r="K467" i="1"/>
  <c r="J467" i="1"/>
  <c r="I467" i="1"/>
  <c r="H467" i="1"/>
  <c r="G467" i="1"/>
  <c r="F467" i="1"/>
  <c r="E467" i="1"/>
  <c r="D467" i="1"/>
  <c r="C467" i="1"/>
  <c r="B467" i="1"/>
  <c r="A467" i="1"/>
  <c r="AK466" i="1"/>
  <c r="Q466" i="1"/>
  <c r="P466" i="1"/>
  <c r="O466" i="1"/>
  <c r="N466" i="1"/>
  <c r="M466" i="1"/>
  <c r="K466" i="1"/>
  <c r="J466" i="1"/>
  <c r="I466" i="1"/>
  <c r="H466" i="1"/>
  <c r="G466" i="1"/>
  <c r="F466" i="1"/>
  <c r="E466" i="1"/>
  <c r="D466" i="1"/>
  <c r="C466" i="1"/>
  <c r="B466" i="1"/>
  <c r="A466" i="1"/>
  <c r="AK465" i="1"/>
  <c r="Q465" i="1"/>
  <c r="P465" i="1"/>
  <c r="O465" i="1"/>
  <c r="N465" i="1"/>
  <c r="M465" i="1"/>
  <c r="K465" i="1"/>
  <c r="I465" i="1"/>
  <c r="H465" i="1"/>
  <c r="G465" i="1"/>
  <c r="F465" i="1"/>
  <c r="E465" i="1"/>
  <c r="D465" i="1"/>
  <c r="C465" i="1"/>
  <c r="B465" i="1"/>
  <c r="A465" i="1"/>
  <c r="AK464" i="1"/>
  <c r="Q464" i="1"/>
  <c r="P464" i="1"/>
  <c r="O464" i="1"/>
  <c r="N464" i="1"/>
  <c r="M464" i="1"/>
  <c r="K464" i="1"/>
  <c r="J464" i="1"/>
  <c r="I464" i="1"/>
  <c r="H464" i="1"/>
  <c r="G464" i="1"/>
  <c r="F464" i="1"/>
  <c r="E464" i="1"/>
  <c r="D464" i="1"/>
  <c r="C464" i="1"/>
  <c r="B464" i="1"/>
  <c r="A464" i="1"/>
  <c r="AK463" i="1"/>
  <c r="Q463" i="1"/>
  <c r="P463" i="1"/>
  <c r="O463" i="1"/>
  <c r="N463" i="1"/>
  <c r="M463" i="1"/>
  <c r="K463" i="1"/>
  <c r="J463" i="1"/>
  <c r="I463" i="1"/>
  <c r="H463" i="1"/>
  <c r="G463" i="1"/>
  <c r="F463" i="1"/>
  <c r="E463" i="1"/>
  <c r="D463" i="1"/>
  <c r="C463" i="1"/>
  <c r="B463" i="1"/>
  <c r="A463" i="1"/>
  <c r="AK462" i="1"/>
  <c r="Q462" i="1"/>
  <c r="P462" i="1"/>
  <c r="O462" i="1"/>
  <c r="N462" i="1"/>
  <c r="M462" i="1"/>
  <c r="K462" i="1"/>
  <c r="J462" i="1"/>
  <c r="I462" i="1"/>
  <c r="H462" i="1"/>
  <c r="G462" i="1"/>
  <c r="F462" i="1"/>
  <c r="E462" i="1"/>
  <c r="D462" i="1"/>
  <c r="C462" i="1"/>
  <c r="B462" i="1"/>
  <c r="A462" i="1"/>
  <c r="AK461" i="1"/>
  <c r="Q461" i="1"/>
  <c r="P461" i="1"/>
  <c r="O461" i="1"/>
  <c r="N461" i="1"/>
  <c r="M461" i="1"/>
  <c r="K461" i="1"/>
  <c r="J461" i="1"/>
  <c r="I461" i="1"/>
  <c r="H461" i="1"/>
  <c r="G461" i="1"/>
  <c r="F461" i="1"/>
  <c r="E461" i="1"/>
  <c r="D461" i="1"/>
  <c r="C461" i="1"/>
  <c r="B461" i="1"/>
  <c r="A461" i="1"/>
  <c r="AK460" i="1"/>
  <c r="Q460" i="1"/>
  <c r="P460" i="1"/>
  <c r="O460" i="1"/>
  <c r="N460" i="1"/>
  <c r="M460" i="1"/>
  <c r="K460" i="1"/>
  <c r="I460" i="1"/>
  <c r="H460" i="1"/>
  <c r="G460" i="1"/>
  <c r="F460" i="1"/>
  <c r="E460" i="1"/>
  <c r="D460" i="1"/>
  <c r="C460" i="1"/>
  <c r="B460" i="1"/>
  <c r="A460" i="1"/>
  <c r="AK459" i="1"/>
  <c r="AE459" i="1"/>
  <c r="AD459" i="1"/>
  <c r="Q459" i="1"/>
  <c r="P459" i="1"/>
  <c r="O459" i="1"/>
  <c r="N459" i="1"/>
  <c r="M459" i="1"/>
  <c r="K459" i="1"/>
  <c r="J459" i="1"/>
  <c r="I459" i="1"/>
  <c r="H459" i="1"/>
  <c r="G459" i="1"/>
  <c r="F459" i="1"/>
  <c r="E459" i="1"/>
  <c r="D459" i="1"/>
  <c r="C459" i="1"/>
  <c r="B459" i="1"/>
  <c r="A459" i="1"/>
  <c r="AK458" i="1"/>
  <c r="Q458" i="1"/>
  <c r="P458" i="1"/>
  <c r="O458" i="1"/>
  <c r="N458" i="1"/>
  <c r="M458" i="1"/>
  <c r="K458" i="1"/>
  <c r="J458" i="1"/>
  <c r="I458" i="1"/>
  <c r="H458" i="1"/>
  <c r="G458" i="1"/>
  <c r="F458" i="1"/>
  <c r="E458" i="1"/>
  <c r="D458" i="1"/>
  <c r="C458" i="1"/>
  <c r="B458" i="1"/>
  <c r="A458" i="1"/>
  <c r="AK457" i="1"/>
  <c r="Q457" i="1"/>
  <c r="P457" i="1"/>
  <c r="O457" i="1"/>
  <c r="N457" i="1"/>
  <c r="M457" i="1"/>
  <c r="K457" i="1"/>
  <c r="I457" i="1"/>
  <c r="H457" i="1"/>
  <c r="G457" i="1"/>
  <c r="F457" i="1"/>
  <c r="E457" i="1"/>
  <c r="D457" i="1"/>
  <c r="C457" i="1"/>
  <c r="B457" i="1"/>
  <c r="A457" i="1"/>
  <c r="AK456" i="1"/>
  <c r="Q456" i="1"/>
  <c r="P456" i="1"/>
  <c r="N456" i="1"/>
  <c r="M456" i="1"/>
  <c r="K456" i="1"/>
  <c r="J456" i="1"/>
  <c r="I456" i="1"/>
  <c r="H456" i="1"/>
  <c r="G456" i="1"/>
  <c r="F456" i="1"/>
  <c r="E456" i="1"/>
  <c r="D456" i="1"/>
  <c r="C456" i="1"/>
  <c r="B456" i="1"/>
  <c r="A456" i="1"/>
  <c r="AK455" i="1"/>
  <c r="Q455" i="1"/>
  <c r="P455" i="1"/>
  <c r="O455" i="1"/>
  <c r="N455" i="1"/>
  <c r="M455" i="1"/>
  <c r="K455" i="1"/>
  <c r="J455" i="1"/>
  <c r="I455" i="1"/>
  <c r="H455" i="1"/>
  <c r="G455" i="1"/>
  <c r="F455" i="1"/>
  <c r="E455" i="1"/>
  <c r="D455" i="1"/>
  <c r="C455" i="1"/>
  <c r="B455" i="1"/>
  <c r="A455" i="1"/>
  <c r="AK454" i="1"/>
  <c r="Q454" i="1"/>
  <c r="P454" i="1"/>
  <c r="O454" i="1"/>
  <c r="N454" i="1"/>
  <c r="M454" i="1"/>
  <c r="K454" i="1"/>
  <c r="J454" i="1"/>
  <c r="I454" i="1"/>
  <c r="H454" i="1"/>
  <c r="G454" i="1"/>
  <c r="F454" i="1"/>
  <c r="E454" i="1"/>
  <c r="D454" i="1"/>
  <c r="C454" i="1"/>
  <c r="B454" i="1"/>
  <c r="A454" i="1"/>
  <c r="AK453" i="1"/>
  <c r="Q453" i="1"/>
  <c r="P453" i="1"/>
  <c r="O453" i="1"/>
  <c r="N453" i="1"/>
  <c r="M453" i="1"/>
  <c r="K453" i="1"/>
  <c r="I453" i="1"/>
  <c r="H453" i="1"/>
  <c r="G453" i="1"/>
  <c r="F453" i="1"/>
  <c r="E453" i="1"/>
  <c r="D453" i="1"/>
  <c r="C453" i="1"/>
  <c r="B453" i="1"/>
  <c r="A453" i="1"/>
  <c r="AK452" i="1"/>
  <c r="Q452" i="1"/>
  <c r="P452" i="1"/>
  <c r="O452" i="1"/>
  <c r="N452" i="1"/>
  <c r="M452" i="1"/>
  <c r="K452" i="1"/>
  <c r="J452" i="1"/>
  <c r="I452" i="1"/>
  <c r="H452" i="1"/>
  <c r="G452" i="1"/>
  <c r="F452" i="1"/>
  <c r="E452" i="1"/>
  <c r="D452" i="1"/>
  <c r="C452" i="1"/>
  <c r="B452" i="1"/>
  <c r="A452" i="1"/>
  <c r="AK451" i="1"/>
  <c r="Q451" i="1"/>
  <c r="P451" i="1"/>
  <c r="O451" i="1"/>
  <c r="N451" i="1"/>
  <c r="M451" i="1"/>
  <c r="K451" i="1"/>
  <c r="J451" i="1"/>
  <c r="I451" i="1"/>
  <c r="H451" i="1"/>
  <c r="G451" i="1"/>
  <c r="F451" i="1"/>
  <c r="E451" i="1"/>
  <c r="D451" i="1"/>
  <c r="C451" i="1"/>
  <c r="B451" i="1"/>
  <c r="A451" i="1"/>
  <c r="AK450" i="1"/>
  <c r="Q450" i="1"/>
  <c r="P450" i="1"/>
  <c r="O450" i="1"/>
  <c r="N450" i="1"/>
  <c r="M450" i="1"/>
  <c r="K450" i="1"/>
  <c r="J450" i="1"/>
  <c r="I450" i="1"/>
  <c r="H450" i="1"/>
  <c r="G450" i="1"/>
  <c r="F450" i="1"/>
  <c r="E450" i="1"/>
  <c r="D450" i="1"/>
  <c r="C450" i="1"/>
  <c r="B450" i="1"/>
  <c r="A450" i="1"/>
  <c r="AK449" i="1"/>
  <c r="Q449" i="1"/>
  <c r="P449" i="1"/>
  <c r="O449" i="1"/>
  <c r="N449" i="1"/>
  <c r="M449" i="1"/>
  <c r="K449" i="1"/>
  <c r="J449" i="1"/>
  <c r="I449" i="1"/>
  <c r="H449" i="1"/>
  <c r="G449" i="1"/>
  <c r="F449" i="1"/>
  <c r="E449" i="1"/>
  <c r="D449" i="1"/>
  <c r="C449" i="1"/>
  <c r="B449" i="1"/>
  <c r="A449" i="1"/>
  <c r="AK448" i="1"/>
  <c r="Q448" i="1"/>
  <c r="P448" i="1"/>
  <c r="O448" i="1"/>
  <c r="N448" i="1"/>
  <c r="M448" i="1"/>
  <c r="K448" i="1"/>
  <c r="J448" i="1"/>
  <c r="I448" i="1"/>
  <c r="H448" i="1"/>
  <c r="G448" i="1"/>
  <c r="F448" i="1"/>
  <c r="E448" i="1"/>
  <c r="D448" i="1"/>
  <c r="C448" i="1"/>
  <c r="B448" i="1"/>
  <c r="A448" i="1"/>
  <c r="AK447" i="1"/>
  <c r="Q447" i="1"/>
  <c r="P447" i="1"/>
  <c r="O447" i="1"/>
  <c r="N447" i="1"/>
  <c r="M447" i="1"/>
  <c r="K447" i="1"/>
  <c r="I447" i="1"/>
  <c r="H447" i="1"/>
  <c r="G447" i="1"/>
  <c r="F447" i="1"/>
  <c r="E447" i="1"/>
  <c r="D447" i="1"/>
  <c r="C447" i="1"/>
  <c r="B447" i="1"/>
  <c r="A447" i="1"/>
  <c r="AK446" i="1"/>
  <c r="Q446" i="1"/>
  <c r="P446" i="1"/>
  <c r="N446" i="1"/>
  <c r="M446" i="1"/>
  <c r="K446" i="1"/>
  <c r="J446" i="1"/>
  <c r="I446" i="1"/>
  <c r="H446" i="1"/>
  <c r="G446" i="1"/>
  <c r="F446" i="1"/>
  <c r="E446" i="1"/>
  <c r="D446" i="1"/>
  <c r="C446" i="1"/>
  <c r="B446" i="1"/>
  <c r="A446" i="1"/>
  <c r="AK445" i="1"/>
  <c r="Q445" i="1"/>
  <c r="P445" i="1"/>
  <c r="N445" i="1"/>
  <c r="M445" i="1"/>
  <c r="K445" i="1"/>
  <c r="J445" i="1"/>
  <c r="I445" i="1"/>
  <c r="H445" i="1"/>
  <c r="G445" i="1"/>
  <c r="F445" i="1"/>
  <c r="E445" i="1"/>
  <c r="D445" i="1"/>
  <c r="C445" i="1"/>
  <c r="B445" i="1"/>
  <c r="A445" i="1"/>
  <c r="AK444" i="1"/>
  <c r="Q444" i="1"/>
  <c r="P444" i="1"/>
  <c r="N444" i="1"/>
  <c r="M444" i="1"/>
  <c r="K444" i="1"/>
  <c r="J444" i="1"/>
  <c r="I444" i="1"/>
  <c r="H444" i="1"/>
  <c r="G444" i="1"/>
  <c r="F444" i="1"/>
  <c r="E444" i="1"/>
  <c r="D444" i="1"/>
  <c r="C444" i="1"/>
  <c r="B444" i="1"/>
  <c r="A444" i="1"/>
  <c r="AK443" i="1"/>
  <c r="Q443" i="1"/>
  <c r="P443" i="1"/>
  <c r="O443" i="1"/>
  <c r="N443" i="1"/>
  <c r="M443" i="1"/>
  <c r="K443" i="1"/>
  <c r="J443" i="1"/>
  <c r="I443" i="1"/>
  <c r="H443" i="1"/>
  <c r="G443" i="1"/>
  <c r="F443" i="1"/>
  <c r="E443" i="1"/>
  <c r="D443" i="1"/>
  <c r="C443" i="1"/>
  <c r="B443" i="1"/>
  <c r="A443" i="1"/>
  <c r="AK442" i="1"/>
  <c r="AE442" i="1"/>
  <c r="AD442" i="1"/>
  <c r="Q442" i="1"/>
  <c r="P442" i="1"/>
  <c r="O442" i="1"/>
  <c r="M442" i="1"/>
  <c r="K442" i="1"/>
  <c r="J442" i="1"/>
  <c r="I442" i="1"/>
  <c r="H442" i="1"/>
  <c r="G442" i="1"/>
  <c r="E442" i="1"/>
  <c r="D442" i="1"/>
  <c r="C442" i="1"/>
  <c r="B442" i="1"/>
  <c r="A442" i="1"/>
  <c r="AK441" i="1"/>
  <c r="Q441" i="1"/>
  <c r="P441" i="1"/>
  <c r="N441" i="1"/>
  <c r="M441" i="1"/>
  <c r="K441" i="1"/>
  <c r="J441" i="1"/>
  <c r="I441" i="1"/>
  <c r="H441" i="1"/>
  <c r="G441" i="1"/>
  <c r="F441" i="1"/>
  <c r="E441" i="1"/>
  <c r="D441" i="1"/>
  <c r="C441" i="1"/>
  <c r="B441" i="1"/>
  <c r="A441" i="1"/>
  <c r="AK440" i="1"/>
  <c r="Q440" i="1"/>
  <c r="P440" i="1"/>
  <c r="O440" i="1"/>
  <c r="N440" i="1"/>
  <c r="M440" i="1"/>
  <c r="K440" i="1"/>
  <c r="J440" i="1"/>
  <c r="I440" i="1"/>
  <c r="H440" i="1"/>
  <c r="G440" i="1"/>
  <c r="F440" i="1"/>
  <c r="E440" i="1"/>
  <c r="D440" i="1"/>
  <c r="C440" i="1"/>
  <c r="B440" i="1"/>
  <c r="A440" i="1"/>
  <c r="AK439" i="1"/>
  <c r="Q439" i="1"/>
  <c r="P439" i="1"/>
  <c r="O439" i="1"/>
  <c r="N439" i="1"/>
  <c r="M439" i="1"/>
  <c r="K439" i="1"/>
  <c r="J439" i="1"/>
  <c r="I439" i="1"/>
  <c r="H439" i="1"/>
  <c r="G439" i="1"/>
  <c r="F439" i="1"/>
  <c r="E439" i="1"/>
  <c r="D439" i="1"/>
  <c r="C439" i="1"/>
  <c r="B439" i="1"/>
  <c r="A439" i="1"/>
  <c r="AK438" i="1"/>
  <c r="Q438" i="1"/>
  <c r="P438" i="1"/>
  <c r="O438" i="1"/>
  <c r="N438" i="1"/>
  <c r="M438" i="1"/>
  <c r="K438" i="1"/>
  <c r="J438" i="1"/>
  <c r="I438" i="1"/>
  <c r="H438" i="1"/>
  <c r="G438" i="1"/>
  <c r="F438" i="1"/>
  <c r="E438" i="1"/>
  <c r="D438" i="1"/>
  <c r="C438" i="1"/>
  <c r="B438" i="1"/>
  <c r="A438" i="1"/>
  <c r="AK437" i="1"/>
  <c r="Q437" i="1"/>
  <c r="P437" i="1"/>
  <c r="N437" i="1"/>
  <c r="M437" i="1"/>
  <c r="K437" i="1"/>
  <c r="J437" i="1"/>
  <c r="I437" i="1"/>
  <c r="H437" i="1"/>
  <c r="G437" i="1"/>
  <c r="F437" i="1"/>
  <c r="E437" i="1"/>
  <c r="D437" i="1"/>
  <c r="C437" i="1"/>
  <c r="B437" i="1"/>
  <c r="A437" i="1"/>
  <c r="AK436" i="1"/>
  <c r="Q436" i="1"/>
  <c r="P436" i="1"/>
  <c r="O436" i="1"/>
  <c r="N436" i="1"/>
  <c r="M436" i="1"/>
  <c r="K436" i="1"/>
  <c r="I436" i="1"/>
  <c r="H436" i="1"/>
  <c r="G436" i="1"/>
  <c r="F436" i="1"/>
  <c r="E436" i="1"/>
  <c r="D436" i="1"/>
  <c r="C436" i="1"/>
  <c r="B436" i="1"/>
  <c r="A436" i="1"/>
  <c r="AK435" i="1"/>
  <c r="Q435" i="1"/>
  <c r="P435" i="1"/>
  <c r="N435" i="1"/>
  <c r="M435" i="1"/>
  <c r="L435" i="1"/>
  <c r="K435" i="1"/>
  <c r="J435" i="1"/>
  <c r="I435" i="1"/>
  <c r="H435" i="1"/>
  <c r="G435" i="1"/>
  <c r="F435" i="1"/>
  <c r="E435" i="1"/>
  <c r="D435" i="1"/>
  <c r="C435" i="1"/>
  <c r="B435" i="1"/>
  <c r="A435" i="1"/>
  <c r="AK434" i="1"/>
  <c r="Q434" i="1"/>
  <c r="P434" i="1"/>
  <c r="O434" i="1"/>
  <c r="N434" i="1"/>
  <c r="M434" i="1"/>
  <c r="K434" i="1"/>
  <c r="I434" i="1"/>
  <c r="H434" i="1"/>
  <c r="G434" i="1"/>
  <c r="F434" i="1"/>
  <c r="E434" i="1"/>
  <c r="D434" i="1"/>
  <c r="C434" i="1"/>
  <c r="B434" i="1"/>
  <c r="A434" i="1"/>
  <c r="AK433" i="1"/>
  <c r="Q433" i="1"/>
  <c r="P433" i="1"/>
  <c r="O433" i="1"/>
  <c r="N433" i="1"/>
  <c r="M433" i="1"/>
  <c r="K433" i="1"/>
  <c r="J433" i="1"/>
  <c r="I433" i="1"/>
  <c r="H433" i="1"/>
  <c r="G433" i="1"/>
  <c r="F433" i="1"/>
  <c r="E433" i="1"/>
  <c r="D433" i="1"/>
  <c r="C433" i="1"/>
  <c r="B433" i="1"/>
  <c r="A433" i="1"/>
  <c r="AK432" i="1"/>
  <c r="Q432" i="1"/>
  <c r="P432" i="1"/>
  <c r="O432" i="1"/>
  <c r="N432" i="1"/>
  <c r="M432" i="1"/>
  <c r="K432" i="1"/>
  <c r="I432" i="1"/>
  <c r="H432" i="1"/>
  <c r="G432" i="1"/>
  <c r="F432" i="1"/>
  <c r="E432" i="1"/>
  <c r="D432" i="1"/>
  <c r="C432" i="1"/>
  <c r="B432" i="1"/>
  <c r="A432" i="1"/>
  <c r="AK431" i="1"/>
  <c r="Q431" i="1"/>
  <c r="P431" i="1"/>
  <c r="O431" i="1"/>
  <c r="N431" i="1"/>
  <c r="M431" i="1"/>
  <c r="K431" i="1"/>
  <c r="J431" i="1"/>
  <c r="I431" i="1"/>
  <c r="H431" i="1"/>
  <c r="G431" i="1"/>
  <c r="F431" i="1"/>
  <c r="E431" i="1"/>
  <c r="D431" i="1"/>
  <c r="C431" i="1"/>
  <c r="B431" i="1"/>
  <c r="A431" i="1"/>
  <c r="AK430" i="1"/>
  <c r="Q430" i="1"/>
  <c r="P430" i="1"/>
  <c r="O430" i="1"/>
  <c r="N430" i="1"/>
  <c r="M430" i="1"/>
  <c r="K430" i="1"/>
  <c r="I430" i="1"/>
  <c r="H430" i="1"/>
  <c r="G430" i="1"/>
  <c r="F430" i="1"/>
  <c r="E430" i="1"/>
  <c r="D430" i="1"/>
  <c r="C430" i="1"/>
  <c r="B430" i="1"/>
  <c r="A430" i="1"/>
  <c r="AK429" i="1"/>
  <c r="Q429" i="1"/>
  <c r="P429" i="1"/>
  <c r="O429" i="1"/>
  <c r="N429" i="1"/>
  <c r="M429" i="1"/>
  <c r="K429" i="1"/>
  <c r="I429" i="1"/>
  <c r="H429" i="1"/>
  <c r="G429" i="1"/>
  <c r="F429" i="1"/>
  <c r="E429" i="1"/>
  <c r="D429" i="1"/>
  <c r="C429" i="1"/>
  <c r="B429" i="1"/>
  <c r="A429" i="1"/>
  <c r="AK428" i="1"/>
  <c r="Q428" i="1"/>
  <c r="M428" i="1"/>
  <c r="K428" i="1"/>
  <c r="J428" i="1"/>
  <c r="I428" i="1"/>
  <c r="H428" i="1"/>
  <c r="G428" i="1"/>
  <c r="F428" i="1"/>
  <c r="E428" i="1"/>
  <c r="D428" i="1"/>
  <c r="C428" i="1"/>
  <c r="B428" i="1"/>
  <c r="A428" i="1"/>
  <c r="AK427" i="1"/>
  <c r="Q427" i="1"/>
  <c r="P427" i="1"/>
  <c r="N427" i="1"/>
  <c r="M427" i="1"/>
  <c r="K427" i="1"/>
  <c r="J427" i="1"/>
  <c r="I427" i="1"/>
  <c r="H427" i="1"/>
  <c r="G427" i="1"/>
  <c r="F427" i="1"/>
  <c r="E427" i="1"/>
  <c r="D427" i="1"/>
  <c r="C427" i="1"/>
  <c r="B427" i="1"/>
  <c r="A427" i="1"/>
  <c r="AK426" i="1"/>
  <c r="Q426" i="1"/>
  <c r="P426" i="1"/>
  <c r="O426" i="1"/>
  <c r="N426" i="1"/>
  <c r="M426" i="1"/>
  <c r="K426" i="1"/>
  <c r="I426" i="1"/>
  <c r="H426" i="1"/>
  <c r="G426" i="1"/>
  <c r="F426" i="1"/>
  <c r="E426" i="1"/>
  <c r="D426" i="1"/>
  <c r="C426" i="1"/>
  <c r="B426" i="1"/>
  <c r="A426" i="1"/>
  <c r="AK425" i="1"/>
  <c r="Q425" i="1"/>
  <c r="P425" i="1"/>
  <c r="O425" i="1"/>
  <c r="N425" i="1"/>
  <c r="M425" i="1"/>
  <c r="K425" i="1"/>
  <c r="J425" i="1"/>
  <c r="I425" i="1"/>
  <c r="H425" i="1"/>
  <c r="G425" i="1"/>
  <c r="F425" i="1"/>
  <c r="E425" i="1"/>
  <c r="D425" i="1"/>
  <c r="C425" i="1"/>
  <c r="B425" i="1"/>
  <c r="A425" i="1"/>
  <c r="AK424" i="1"/>
  <c r="Q424" i="1"/>
  <c r="P424" i="1"/>
  <c r="O424" i="1"/>
  <c r="N424" i="1"/>
  <c r="M424" i="1"/>
  <c r="K424" i="1"/>
  <c r="J424" i="1"/>
  <c r="I424" i="1"/>
  <c r="H424" i="1"/>
  <c r="G424" i="1"/>
  <c r="F424" i="1"/>
  <c r="E424" i="1"/>
  <c r="D424" i="1"/>
  <c r="C424" i="1"/>
  <c r="B424" i="1"/>
  <c r="A424" i="1"/>
  <c r="AK423" i="1"/>
  <c r="Q423" i="1"/>
  <c r="P423" i="1"/>
  <c r="O423" i="1"/>
  <c r="N423" i="1"/>
  <c r="M423" i="1"/>
  <c r="K423" i="1"/>
  <c r="J423" i="1"/>
  <c r="I423" i="1"/>
  <c r="H423" i="1"/>
  <c r="G423" i="1"/>
  <c r="F423" i="1"/>
  <c r="E423" i="1"/>
  <c r="D423" i="1"/>
  <c r="C423" i="1"/>
  <c r="B423" i="1"/>
  <c r="A423" i="1"/>
  <c r="AK422" i="1"/>
  <c r="Q422" i="1"/>
  <c r="P422" i="1"/>
  <c r="N422" i="1"/>
  <c r="M422" i="1"/>
  <c r="K422" i="1"/>
  <c r="J422" i="1"/>
  <c r="I422" i="1"/>
  <c r="H422" i="1"/>
  <c r="G422" i="1"/>
  <c r="F422" i="1"/>
  <c r="E422" i="1"/>
  <c r="D422" i="1"/>
  <c r="C422" i="1"/>
  <c r="B422" i="1"/>
  <c r="A422" i="1"/>
  <c r="AK421" i="1"/>
  <c r="Q421" i="1"/>
  <c r="P421" i="1"/>
  <c r="N421" i="1"/>
  <c r="M421" i="1"/>
  <c r="K421" i="1"/>
  <c r="I421" i="1"/>
  <c r="H421" i="1"/>
  <c r="G421" i="1"/>
  <c r="F421" i="1"/>
  <c r="E421" i="1"/>
  <c r="D421" i="1"/>
  <c r="C421" i="1"/>
  <c r="B421" i="1"/>
  <c r="A421" i="1"/>
  <c r="AK420" i="1"/>
  <c r="Q420" i="1"/>
  <c r="P420" i="1"/>
  <c r="O420" i="1"/>
  <c r="N420" i="1"/>
  <c r="M420" i="1"/>
  <c r="K420" i="1"/>
  <c r="I420" i="1"/>
  <c r="H420" i="1"/>
  <c r="G420" i="1"/>
  <c r="F420" i="1"/>
  <c r="E420" i="1"/>
  <c r="D420" i="1"/>
  <c r="C420" i="1"/>
  <c r="B420" i="1"/>
  <c r="A420" i="1"/>
  <c r="AK419" i="1"/>
  <c r="Q419" i="1"/>
  <c r="P419" i="1"/>
  <c r="O419" i="1"/>
  <c r="N419" i="1"/>
  <c r="M419" i="1"/>
  <c r="K419" i="1"/>
  <c r="J419" i="1"/>
  <c r="I419" i="1"/>
  <c r="H419" i="1"/>
  <c r="G419" i="1"/>
  <c r="F419" i="1"/>
  <c r="E419" i="1"/>
  <c r="D419" i="1"/>
  <c r="C419" i="1"/>
  <c r="B419" i="1"/>
  <c r="A419" i="1"/>
  <c r="AK418" i="1"/>
  <c r="Q418" i="1"/>
  <c r="P418" i="1"/>
  <c r="O418" i="1"/>
  <c r="N418" i="1"/>
  <c r="M418" i="1"/>
  <c r="K418" i="1"/>
  <c r="I418" i="1"/>
  <c r="H418" i="1"/>
  <c r="G418" i="1"/>
  <c r="F418" i="1"/>
  <c r="E418" i="1"/>
  <c r="D418" i="1"/>
  <c r="C418" i="1"/>
  <c r="B418" i="1"/>
  <c r="A418" i="1"/>
  <c r="AK417" i="1"/>
  <c r="Q417" i="1"/>
  <c r="P417" i="1"/>
  <c r="O417" i="1"/>
  <c r="N417" i="1"/>
  <c r="M417" i="1"/>
  <c r="K417" i="1"/>
  <c r="I417" i="1"/>
  <c r="H417" i="1"/>
  <c r="G417" i="1"/>
  <c r="F417" i="1"/>
  <c r="E417" i="1"/>
  <c r="D417" i="1"/>
  <c r="C417" i="1"/>
  <c r="B417" i="1"/>
  <c r="A417" i="1"/>
  <c r="AK416" i="1"/>
  <c r="Q416" i="1"/>
  <c r="P416" i="1"/>
  <c r="O416" i="1"/>
  <c r="N416" i="1"/>
  <c r="M416" i="1"/>
  <c r="K416" i="1"/>
  <c r="J416" i="1"/>
  <c r="I416" i="1"/>
  <c r="H416" i="1"/>
  <c r="G416" i="1"/>
  <c r="F416" i="1"/>
  <c r="E416" i="1"/>
  <c r="D416" i="1"/>
  <c r="C416" i="1"/>
  <c r="B416" i="1"/>
  <c r="A416" i="1"/>
  <c r="AK415" i="1"/>
  <c r="Q415" i="1"/>
  <c r="P415" i="1"/>
  <c r="O415" i="1"/>
  <c r="N415" i="1"/>
  <c r="M415" i="1"/>
  <c r="K415" i="1"/>
  <c r="I415" i="1"/>
  <c r="H415" i="1"/>
  <c r="G415" i="1"/>
  <c r="F415" i="1"/>
  <c r="E415" i="1"/>
  <c r="D415" i="1"/>
  <c r="C415" i="1"/>
  <c r="B415" i="1"/>
  <c r="A415" i="1"/>
  <c r="AK414" i="1"/>
  <c r="Q414" i="1"/>
  <c r="P414" i="1"/>
  <c r="O414" i="1"/>
  <c r="N414" i="1"/>
  <c r="M414" i="1"/>
  <c r="K414" i="1"/>
  <c r="J414" i="1"/>
  <c r="I414" i="1"/>
  <c r="H414" i="1"/>
  <c r="G414" i="1"/>
  <c r="F414" i="1"/>
  <c r="E414" i="1"/>
  <c r="D414" i="1"/>
  <c r="C414" i="1"/>
  <c r="B414" i="1"/>
  <c r="A414" i="1"/>
  <c r="AK413" i="1"/>
  <c r="AE413" i="1"/>
  <c r="AD413" i="1"/>
  <c r="Q413" i="1"/>
  <c r="P413" i="1"/>
  <c r="O413" i="1"/>
  <c r="N413" i="1"/>
  <c r="M413" i="1"/>
  <c r="K413" i="1"/>
  <c r="J413" i="1"/>
  <c r="I413" i="1"/>
  <c r="H413" i="1"/>
  <c r="G413" i="1"/>
  <c r="F413" i="1"/>
  <c r="E413" i="1"/>
  <c r="D413" i="1"/>
  <c r="C413" i="1"/>
  <c r="B413" i="1"/>
  <c r="A413" i="1"/>
  <c r="AK412" i="1"/>
  <c r="Q412" i="1"/>
  <c r="P412" i="1"/>
  <c r="O412" i="1"/>
  <c r="N412" i="1"/>
  <c r="M412" i="1"/>
  <c r="K412" i="1"/>
  <c r="J412" i="1"/>
  <c r="I412" i="1"/>
  <c r="H412" i="1"/>
  <c r="G412" i="1"/>
  <c r="F412" i="1"/>
  <c r="E412" i="1"/>
  <c r="D412" i="1"/>
  <c r="C412" i="1"/>
  <c r="B412" i="1"/>
  <c r="A412" i="1"/>
  <c r="AK411" i="1"/>
  <c r="Q411" i="1"/>
  <c r="P411" i="1"/>
  <c r="O411" i="1"/>
  <c r="N411" i="1"/>
  <c r="M411" i="1"/>
  <c r="K411" i="1"/>
  <c r="J411" i="1"/>
  <c r="I411" i="1"/>
  <c r="H411" i="1"/>
  <c r="G411" i="1"/>
  <c r="F411" i="1"/>
  <c r="E411" i="1"/>
  <c r="D411" i="1"/>
  <c r="C411" i="1"/>
  <c r="B411" i="1"/>
  <c r="A411" i="1"/>
  <c r="AK410" i="1"/>
  <c r="Q410" i="1"/>
  <c r="P410" i="1"/>
  <c r="O410" i="1"/>
  <c r="N410" i="1"/>
  <c r="M410" i="1"/>
  <c r="K410" i="1"/>
  <c r="I410" i="1"/>
  <c r="H410" i="1"/>
  <c r="G410" i="1"/>
  <c r="F410" i="1"/>
  <c r="E410" i="1"/>
  <c r="D410" i="1"/>
  <c r="C410" i="1"/>
  <c r="B410" i="1"/>
  <c r="A410" i="1"/>
  <c r="AK409" i="1"/>
  <c r="Q409" i="1"/>
  <c r="P409" i="1"/>
  <c r="O409" i="1"/>
  <c r="N409" i="1"/>
  <c r="M409" i="1"/>
  <c r="K409" i="1"/>
  <c r="I409" i="1"/>
  <c r="H409" i="1"/>
  <c r="G409" i="1"/>
  <c r="F409" i="1"/>
  <c r="E409" i="1"/>
  <c r="D409" i="1"/>
  <c r="C409" i="1"/>
  <c r="B409" i="1"/>
  <c r="A409" i="1"/>
  <c r="AK408" i="1"/>
  <c r="Q408" i="1"/>
  <c r="P408" i="1"/>
  <c r="O408" i="1"/>
  <c r="N408" i="1"/>
  <c r="M408" i="1"/>
  <c r="K408" i="1"/>
  <c r="J408" i="1"/>
  <c r="I408" i="1"/>
  <c r="H408" i="1"/>
  <c r="G408" i="1"/>
  <c r="F408" i="1"/>
  <c r="E408" i="1"/>
  <c r="D408" i="1"/>
  <c r="C408" i="1"/>
  <c r="B408" i="1"/>
  <c r="A408" i="1"/>
  <c r="AK407" i="1"/>
  <c r="Q407" i="1"/>
  <c r="P407" i="1"/>
  <c r="N407" i="1"/>
  <c r="M407" i="1"/>
  <c r="K407" i="1"/>
  <c r="J407" i="1"/>
  <c r="I407" i="1"/>
  <c r="H407" i="1"/>
  <c r="G407" i="1"/>
  <c r="F407" i="1"/>
  <c r="E407" i="1"/>
  <c r="D407" i="1"/>
  <c r="C407" i="1"/>
  <c r="B407" i="1"/>
  <c r="A407" i="1"/>
  <c r="AK406" i="1"/>
  <c r="Q406" i="1"/>
  <c r="P406" i="1"/>
  <c r="O406" i="1"/>
  <c r="N406" i="1"/>
  <c r="M406" i="1"/>
  <c r="K406" i="1"/>
  <c r="J406" i="1"/>
  <c r="I406" i="1"/>
  <c r="H406" i="1"/>
  <c r="G406" i="1"/>
  <c r="F406" i="1"/>
  <c r="E406" i="1"/>
  <c r="D406" i="1"/>
  <c r="C406" i="1"/>
  <c r="B406" i="1"/>
  <c r="A406" i="1"/>
  <c r="AK405" i="1"/>
  <c r="Q405" i="1"/>
  <c r="P405" i="1"/>
  <c r="O405" i="1"/>
  <c r="N405" i="1"/>
  <c r="M405" i="1"/>
  <c r="K405" i="1"/>
  <c r="J405" i="1"/>
  <c r="I405" i="1"/>
  <c r="H405" i="1"/>
  <c r="G405" i="1"/>
  <c r="F405" i="1"/>
  <c r="E405" i="1"/>
  <c r="D405" i="1"/>
  <c r="C405" i="1"/>
  <c r="B405" i="1"/>
  <c r="A405" i="1"/>
  <c r="AK404" i="1"/>
  <c r="Q404" i="1"/>
  <c r="P404" i="1"/>
  <c r="O404" i="1"/>
  <c r="N404" i="1"/>
  <c r="M404" i="1"/>
  <c r="K404" i="1"/>
  <c r="I404" i="1"/>
  <c r="H404" i="1"/>
  <c r="G404" i="1"/>
  <c r="F404" i="1"/>
  <c r="E404" i="1"/>
  <c r="D404" i="1"/>
  <c r="C404" i="1"/>
  <c r="B404" i="1"/>
  <c r="A404" i="1"/>
  <c r="AK403" i="1"/>
  <c r="Q403" i="1"/>
  <c r="P403" i="1"/>
  <c r="O403" i="1"/>
  <c r="N403" i="1"/>
  <c r="M403" i="1"/>
  <c r="K403" i="1"/>
  <c r="J403" i="1"/>
  <c r="I403" i="1"/>
  <c r="H403" i="1"/>
  <c r="G403" i="1"/>
  <c r="F403" i="1"/>
  <c r="E403" i="1"/>
  <c r="D403" i="1"/>
  <c r="C403" i="1"/>
  <c r="B403" i="1"/>
  <c r="A403" i="1"/>
  <c r="AK402" i="1"/>
  <c r="Q402" i="1"/>
  <c r="P402" i="1"/>
  <c r="O402" i="1"/>
  <c r="N402" i="1"/>
  <c r="M402" i="1"/>
  <c r="K402" i="1"/>
  <c r="J402" i="1"/>
  <c r="I402" i="1"/>
  <c r="H402" i="1"/>
  <c r="G402" i="1"/>
  <c r="F402" i="1"/>
  <c r="E402" i="1"/>
  <c r="D402" i="1"/>
  <c r="C402" i="1"/>
  <c r="B402" i="1"/>
  <c r="A402" i="1"/>
  <c r="AK401" i="1"/>
  <c r="Q401" i="1"/>
  <c r="P401" i="1"/>
  <c r="O401" i="1"/>
  <c r="N401" i="1"/>
  <c r="M401" i="1"/>
  <c r="K401" i="1"/>
  <c r="J401" i="1"/>
  <c r="I401" i="1"/>
  <c r="H401" i="1"/>
  <c r="G401" i="1"/>
  <c r="F401" i="1"/>
  <c r="E401" i="1"/>
  <c r="D401" i="1"/>
  <c r="C401" i="1"/>
  <c r="B401" i="1"/>
  <c r="A401" i="1"/>
  <c r="AK400" i="1"/>
  <c r="Q400" i="1"/>
  <c r="P400" i="1"/>
  <c r="O400" i="1"/>
  <c r="N400" i="1"/>
  <c r="M400" i="1"/>
  <c r="K400" i="1"/>
  <c r="J400" i="1"/>
  <c r="I400" i="1"/>
  <c r="H400" i="1"/>
  <c r="G400" i="1"/>
  <c r="F400" i="1"/>
  <c r="E400" i="1"/>
  <c r="D400" i="1"/>
  <c r="C400" i="1"/>
  <c r="B400" i="1"/>
  <c r="A400" i="1"/>
  <c r="AK399" i="1"/>
  <c r="Q399" i="1"/>
  <c r="P399" i="1"/>
  <c r="N399" i="1"/>
  <c r="M399" i="1"/>
  <c r="K399" i="1"/>
  <c r="J399" i="1"/>
  <c r="I399" i="1"/>
  <c r="H399" i="1"/>
  <c r="G399" i="1"/>
  <c r="F399" i="1"/>
  <c r="E399" i="1"/>
  <c r="D399" i="1"/>
  <c r="C399" i="1"/>
  <c r="B399" i="1"/>
  <c r="A399" i="1"/>
  <c r="AK398" i="1"/>
  <c r="Q398" i="1"/>
  <c r="P398" i="1"/>
  <c r="O398" i="1"/>
  <c r="N398" i="1"/>
  <c r="M398" i="1"/>
  <c r="K398" i="1"/>
  <c r="J398" i="1"/>
  <c r="I398" i="1"/>
  <c r="H398" i="1"/>
  <c r="G398" i="1"/>
  <c r="F398" i="1"/>
  <c r="E398" i="1"/>
  <c r="D398" i="1"/>
  <c r="C398" i="1"/>
  <c r="B398" i="1"/>
  <c r="A398" i="1"/>
  <c r="AK397" i="1"/>
  <c r="Q397" i="1"/>
  <c r="P397" i="1"/>
  <c r="O397" i="1"/>
  <c r="N397" i="1"/>
  <c r="M397" i="1"/>
  <c r="K397" i="1"/>
  <c r="I397" i="1"/>
  <c r="H397" i="1"/>
  <c r="G397" i="1"/>
  <c r="F397" i="1"/>
  <c r="E397" i="1"/>
  <c r="D397" i="1"/>
  <c r="C397" i="1"/>
  <c r="B397" i="1"/>
  <c r="A397" i="1"/>
  <c r="AK396" i="1"/>
  <c r="Q396" i="1"/>
  <c r="P396" i="1"/>
  <c r="O396" i="1"/>
  <c r="N396" i="1"/>
  <c r="M396" i="1"/>
  <c r="K396" i="1"/>
  <c r="I396" i="1"/>
  <c r="H396" i="1"/>
  <c r="G396" i="1"/>
  <c r="F396" i="1"/>
  <c r="E396" i="1"/>
  <c r="D396" i="1"/>
  <c r="C396" i="1"/>
  <c r="B396" i="1"/>
  <c r="A396" i="1"/>
  <c r="AK395" i="1"/>
  <c r="Q395" i="1"/>
  <c r="P395" i="1"/>
  <c r="N395" i="1"/>
  <c r="M395" i="1"/>
  <c r="K395" i="1"/>
  <c r="J395" i="1"/>
  <c r="I395" i="1"/>
  <c r="H395" i="1"/>
  <c r="G395" i="1"/>
  <c r="F395" i="1"/>
  <c r="E395" i="1"/>
  <c r="D395" i="1"/>
  <c r="C395" i="1"/>
  <c r="B395" i="1"/>
  <c r="A395" i="1"/>
  <c r="AK394" i="1"/>
  <c r="Q394" i="1"/>
  <c r="P394" i="1"/>
  <c r="O394" i="1"/>
  <c r="N394" i="1"/>
  <c r="M394" i="1"/>
  <c r="K394" i="1"/>
  <c r="J394" i="1"/>
  <c r="I394" i="1"/>
  <c r="H394" i="1"/>
  <c r="G394" i="1"/>
  <c r="F394" i="1"/>
  <c r="E394" i="1"/>
  <c r="D394" i="1"/>
  <c r="C394" i="1"/>
  <c r="B394" i="1"/>
  <c r="A394" i="1"/>
  <c r="AK393" i="1"/>
  <c r="Q393" i="1"/>
  <c r="P393" i="1"/>
  <c r="N393" i="1"/>
  <c r="M393" i="1"/>
  <c r="K393" i="1"/>
  <c r="J393" i="1"/>
  <c r="I393" i="1"/>
  <c r="H393" i="1"/>
  <c r="G393" i="1"/>
  <c r="F393" i="1"/>
  <c r="E393" i="1"/>
  <c r="D393" i="1"/>
  <c r="C393" i="1"/>
  <c r="B393" i="1"/>
  <c r="A393" i="1"/>
  <c r="AK392" i="1"/>
  <c r="AD392" i="1"/>
  <c r="Q392" i="1"/>
  <c r="P392" i="1"/>
  <c r="O392" i="1"/>
  <c r="N392" i="1"/>
  <c r="M392" i="1"/>
  <c r="K392" i="1"/>
  <c r="J392" i="1"/>
  <c r="I392" i="1"/>
  <c r="H392" i="1"/>
  <c r="G392" i="1"/>
  <c r="F392" i="1"/>
  <c r="E392" i="1"/>
  <c r="D392" i="1"/>
  <c r="C392" i="1"/>
  <c r="B392" i="1"/>
  <c r="A392" i="1"/>
  <c r="AK391" i="1"/>
  <c r="Q391" i="1"/>
  <c r="P391" i="1"/>
  <c r="O391" i="1"/>
  <c r="N391" i="1"/>
  <c r="M391" i="1"/>
  <c r="L391" i="1"/>
  <c r="K391" i="1"/>
  <c r="J391" i="1"/>
  <c r="I391" i="1"/>
  <c r="H391" i="1"/>
  <c r="G391" i="1"/>
  <c r="F391" i="1"/>
  <c r="E391" i="1"/>
  <c r="D391" i="1"/>
  <c r="C391" i="1"/>
  <c r="B391" i="1"/>
  <c r="A391" i="1"/>
  <c r="AK390" i="1"/>
  <c r="Q390" i="1"/>
  <c r="P390" i="1"/>
  <c r="N390" i="1"/>
  <c r="M390" i="1"/>
  <c r="L390" i="1"/>
  <c r="K390" i="1"/>
  <c r="J390" i="1"/>
  <c r="I390" i="1"/>
  <c r="H390" i="1"/>
  <c r="G390" i="1"/>
  <c r="F390" i="1"/>
  <c r="E390" i="1"/>
  <c r="D390" i="1"/>
  <c r="C390" i="1"/>
  <c r="B390" i="1"/>
  <c r="A390" i="1"/>
  <c r="AK389" i="1"/>
  <c r="Q389" i="1"/>
  <c r="P389" i="1"/>
  <c r="O389" i="1"/>
  <c r="N389" i="1"/>
  <c r="M389" i="1"/>
  <c r="K389" i="1"/>
  <c r="J389" i="1"/>
  <c r="I389" i="1"/>
  <c r="H389" i="1"/>
  <c r="G389" i="1"/>
  <c r="F389" i="1"/>
  <c r="E389" i="1"/>
  <c r="D389" i="1"/>
  <c r="C389" i="1"/>
  <c r="B389" i="1"/>
  <c r="A389" i="1"/>
  <c r="AK388" i="1"/>
  <c r="Q388" i="1"/>
  <c r="P388" i="1"/>
  <c r="O388" i="1"/>
  <c r="N388" i="1"/>
  <c r="M388" i="1"/>
  <c r="K388" i="1"/>
  <c r="J388" i="1"/>
  <c r="I388" i="1"/>
  <c r="H388" i="1"/>
  <c r="G388" i="1"/>
  <c r="F388" i="1"/>
  <c r="E388" i="1"/>
  <c r="D388" i="1"/>
  <c r="C388" i="1"/>
  <c r="B388" i="1"/>
  <c r="A388" i="1"/>
  <c r="AK387" i="1"/>
  <c r="Q387" i="1"/>
  <c r="P387" i="1"/>
  <c r="O387" i="1"/>
  <c r="N387" i="1"/>
  <c r="M387" i="1"/>
  <c r="K387" i="1"/>
  <c r="J387" i="1"/>
  <c r="I387" i="1"/>
  <c r="H387" i="1"/>
  <c r="G387" i="1"/>
  <c r="F387" i="1"/>
  <c r="E387" i="1"/>
  <c r="D387" i="1"/>
  <c r="C387" i="1"/>
  <c r="B387" i="1"/>
  <c r="A387" i="1"/>
  <c r="AK386" i="1"/>
  <c r="Q386" i="1"/>
  <c r="P386" i="1"/>
  <c r="O386" i="1"/>
  <c r="N386" i="1"/>
  <c r="M386" i="1"/>
  <c r="K386" i="1"/>
  <c r="J386" i="1"/>
  <c r="I386" i="1"/>
  <c r="H386" i="1"/>
  <c r="G386" i="1"/>
  <c r="F386" i="1"/>
  <c r="E386" i="1"/>
  <c r="D386" i="1"/>
  <c r="C386" i="1"/>
  <c r="B386" i="1"/>
  <c r="A386" i="1"/>
  <c r="AK385" i="1"/>
  <c r="Q385" i="1"/>
  <c r="P385" i="1"/>
  <c r="O385" i="1"/>
  <c r="N385" i="1"/>
  <c r="M385" i="1"/>
  <c r="K385" i="1"/>
  <c r="J385" i="1"/>
  <c r="I385" i="1"/>
  <c r="H385" i="1"/>
  <c r="G385" i="1"/>
  <c r="F385" i="1"/>
  <c r="E385" i="1"/>
  <c r="D385" i="1"/>
  <c r="C385" i="1"/>
  <c r="B385" i="1"/>
  <c r="A385" i="1"/>
  <c r="AK384" i="1"/>
  <c r="Q384" i="1"/>
  <c r="P384" i="1"/>
  <c r="O384" i="1"/>
  <c r="N384" i="1"/>
  <c r="M384" i="1"/>
  <c r="K384" i="1"/>
  <c r="J384" i="1"/>
  <c r="I384" i="1"/>
  <c r="H384" i="1"/>
  <c r="G384" i="1"/>
  <c r="F384" i="1"/>
  <c r="E384" i="1"/>
  <c r="D384" i="1"/>
  <c r="C384" i="1"/>
  <c r="B384" i="1"/>
  <c r="A384" i="1"/>
  <c r="AK383" i="1"/>
  <c r="Q383" i="1"/>
  <c r="P383" i="1"/>
  <c r="O383" i="1"/>
  <c r="N383" i="1"/>
  <c r="M383" i="1"/>
  <c r="K383" i="1"/>
  <c r="J383" i="1"/>
  <c r="I383" i="1"/>
  <c r="H383" i="1"/>
  <c r="G383" i="1"/>
  <c r="F383" i="1"/>
  <c r="E383" i="1"/>
  <c r="D383" i="1"/>
  <c r="C383" i="1"/>
  <c r="B383" i="1"/>
  <c r="A383" i="1"/>
  <c r="AK382" i="1"/>
  <c r="Q382" i="1"/>
  <c r="P382" i="1"/>
  <c r="O382" i="1"/>
  <c r="N382" i="1"/>
  <c r="M382" i="1"/>
  <c r="K382" i="1"/>
  <c r="J382" i="1"/>
  <c r="I382" i="1"/>
  <c r="H382" i="1"/>
  <c r="G382" i="1"/>
  <c r="F382" i="1"/>
  <c r="E382" i="1"/>
  <c r="D382" i="1"/>
  <c r="C382" i="1"/>
  <c r="B382" i="1"/>
  <c r="A382" i="1"/>
  <c r="AK381" i="1"/>
  <c r="AC381" i="1"/>
  <c r="AB381" i="1"/>
  <c r="AA381" i="1"/>
  <c r="Z381" i="1"/>
  <c r="Y381" i="1"/>
  <c r="X381" i="1"/>
  <c r="W381" i="1"/>
  <c r="V381" i="1"/>
  <c r="U381" i="1"/>
  <c r="T381" i="1"/>
  <c r="S381" i="1"/>
  <c r="R381" i="1"/>
  <c r="Q381" i="1"/>
  <c r="P381" i="1"/>
  <c r="O381" i="1"/>
  <c r="N381" i="1"/>
  <c r="M381" i="1"/>
  <c r="K381" i="1"/>
  <c r="J381" i="1"/>
  <c r="I381" i="1"/>
  <c r="H381" i="1"/>
  <c r="G381" i="1"/>
  <c r="F381" i="1"/>
  <c r="E381" i="1"/>
  <c r="D381" i="1"/>
  <c r="C381" i="1"/>
  <c r="B381" i="1"/>
  <c r="A381" i="1"/>
  <c r="AK380" i="1"/>
  <c r="AC380" i="1"/>
  <c r="AB380" i="1"/>
  <c r="AA380" i="1"/>
  <c r="Z380" i="1"/>
  <c r="Y380" i="1"/>
  <c r="X380" i="1"/>
  <c r="W380" i="1"/>
  <c r="V380" i="1"/>
  <c r="U380" i="1"/>
  <c r="T380" i="1"/>
  <c r="S380" i="1"/>
  <c r="R380" i="1"/>
  <c r="Q380" i="1"/>
  <c r="P380" i="1"/>
  <c r="O380" i="1"/>
  <c r="N380" i="1"/>
  <c r="M380" i="1"/>
  <c r="K380" i="1"/>
  <c r="J380" i="1"/>
  <c r="I380" i="1"/>
  <c r="H380" i="1"/>
  <c r="G380" i="1"/>
  <c r="F380" i="1"/>
  <c r="E380" i="1"/>
  <c r="D380" i="1"/>
  <c r="C380" i="1"/>
  <c r="B380" i="1"/>
  <c r="A380" i="1"/>
  <c r="AK379" i="1"/>
  <c r="AC379" i="1"/>
  <c r="AB379" i="1"/>
  <c r="AA379" i="1"/>
  <c r="Z379" i="1"/>
  <c r="Y379" i="1"/>
  <c r="X379" i="1"/>
  <c r="W379" i="1"/>
  <c r="V379" i="1"/>
  <c r="U379" i="1"/>
  <c r="T379" i="1"/>
  <c r="S379" i="1"/>
  <c r="R379" i="1"/>
  <c r="Q379" i="1"/>
  <c r="P379" i="1"/>
  <c r="O379" i="1"/>
  <c r="N379" i="1"/>
  <c r="M379" i="1"/>
  <c r="K379" i="1"/>
  <c r="J379" i="1"/>
  <c r="I379" i="1"/>
  <c r="H379" i="1"/>
  <c r="G379" i="1"/>
  <c r="F379" i="1"/>
  <c r="E379" i="1"/>
  <c r="D379" i="1"/>
  <c r="C379" i="1"/>
  <c r="B379" i="1"/>
  <c r="A379" i="1"/>
  <c r="AK378" i="1"/>
  <c r="AC378" i="1"/>
  <c r="AB378" i="1"/>
  <c r="AA378" i="1"/>
  <c r="Z378" i="1"/>
  <c r="Y378" i="1"/>
  <c r="X378" i="1"/>
  <c r="W378" i="1"/>
  <c r="V378" i="1"/>
  <c r="U378" i="1"/>
  <c r="T378" i="1"/>
  <c r="S378" i="1"/>
  <c r="R378" i="1"/>
  <c r="Q378" i="1"/>
  <c r="P378" i="1"/>
  <c r="N378" i="1"/>
  <c r="M378" i="1"/>
  <c r="K378" i="1"/>
  <c r="J378" i="1"/>
  <c r="I378" i="1"/>
  <c r="H378" i="1"/>
  <c r="G378" i="1"/>
  <c r="F378" i="1"/>
  <c r="E378" i="1"/>
  <c r="D378" i="1"/>
  <c r="C378" i="1"/>
  <c r="B378" i="1"/>
  <c r="A378" i="1"/>
  <c r="AK377" i="1"/>
  <c r="AC377" i="1"/>
  <c r="AB377" i="1"/>
  <c r="AA377" i="1"/>
  <c r="Z377" i="1"/>
  <c r="Y377" i="1"/>
  <c r="X377" i="1"/>
  <c r="W377" i="1"/>
  <c r="V377" i="1"/>
  <c r="U377" i="1"/>
  <c r="T377" i="1"/>
  <c r="S377" i="1"/>
  <c r="R377" i="1"/>
  <c r="Q377" i="1"/>
  <c r="P377" i="1"/>
  <c r="O377" i="1"/>
  <c r="N377" i="1"/>
  <c r="M377" i="1"/>
  <c r="K377" i="1"/>
  <c r="J377" i="1"/>
  <c r="I377" i="1"/>
  <c r="H377" i="1"/>
  <c r="G377" i="1"/>
  <c r="F377" i="1"/>
  <c r="E377" i="1"/>
  <c r="D377" i="1"/>
  <c r="C377" i="1"/>
  <c r="B377" i="1"/>
  <c r="A377" i="1"/>
  <c r="AK376" i="1"/>
  <c r="AC376" i="1"/>
  <c r="AB376" i="1"/>
  <c r="AA376" i="1"/>
  <c r="Z376" i="1"/>
  <c r="Y376" i="1"/>
  <c r="X376" i="1"/>
  <c r="W376" i="1"/>
  <c r="V376" i="1"/>
  <c r="U376" i="1"/>
  <c r="T376" i="1"/>
  <c r="S376" i="1"/>
  <c r="R376" i="1"/>
  <c r="Q376" i="1"/>
  <c r="P376" i="1"/>
  <c r="O376" i="1"/>
  <c r="N376" i="1"/>
  <c r="M376" i="1"/>
  <c r="K376" i="1"/>
  <c r="J376" i="1"/>
  <c r="I376" i="1"/>
  <c r="H376" i="1"/>
  <c r="G376" i="1"/>
  <c r="F376" i="1"/>
  <c r="E376" i="1"/>
  <c r="D376" i="1"/>
  <c r="C376" i="1"/>
  <c r="B376" i="1"/>
  <c r="A376" i="1"/>
  <c r="AK375" i="1"/>
  <c r="AC375" i="1"/>
  <c r="AB375" i="1"/>
  <c r="AA375" i="1"/>
  <c r="Z375" i="1"/>
  <c r="Y375" i="1"/>
  <c r="X375" i="1"/>
  <c r="W375" i="1"/>
  <c r="V375" i="1"/>
  <c r="U375" i="1"/>
  <c r="T375" i="1"/>
  <c r="S375" i="1"/>
  <c r="R375" i="1"/>
  <c r="Q375" i="1"/>
  <c r="P375" i="1"/>
  <c r="O375" i="1"/>
  <c r="N375" i="1"/>
  <c r="M375" i="1"/>
  <c r="K375" i="1"/>
  <c r="J375" i="1"/>
  <c r="I375" i="1"/>
  <c r="H375" i="1"/>
  <c r="G375" i="1"/>
  <c r="F375" i="1"/>
  <c r="E375" i="1"/>
  <c r="D375" i="1"/>
  <c r="C375" i="1"/>
  <c r="B375" i="1"/>
  <c r="A375" i="1"/>
  <c r="AK374" i="1"/>
  <c r="AC374" i="1"/>
  <c r="AB374" i="1"/>
  <c r="AA374" i="1"/>
  <c r="Z374" i="1"/>
  <c r="Y374" i="1"/>
  <c r="X374" i="1"/>
  <c r="W374" i="1"/>
  <c r="V374" i="1"/>
  <c r="U374" i="1"/>
  <c r="T374" i="1"/>
  <c r="S374" i="1"/>
  <c r="R374" i="1"/>
  <c r="Q374" i="1"/>
  <c r="P374" i="1"/>
  <c r="O374" i="1"/>
  <c r="N374" i="1"/>
  <c r="M374" i="1"/>
  <c r="K374" i="1"/>
  <c r="I374" i="1"/>
  <c r="H374" i="1"/>
  <c r="G374" i="1"/>
  <c r="F374" i="1"/>
  <c r="E374" i="1"/>
  <c r="D374" i="1"/>
  <c r="C374" i="1"/>
  <c r="B374" i="1"/>
  <c r="A374" i="1"/>
  <c r="AK373" i="1"/>
  <c r="AC373" i="1"/>
  <c r="AB373" i="1"/>
  <c r="AA373" i="1"/>
  <c r="Z373" i="1"/>
  <c r="Y373" i="1"/>
  <c r="X373" i="1"/>
  <c r="W373" i="1"/>
  <c r="V373" i="1"/>
  <c r="U373" i="1"/>
  <c r="T373" i="1"/>
  <c r="S373" i="1"/>
  <c r="R373" i="1"/>
  <c r="Q373" i="1"/>
  <c r="P373" i="1"/>
  <c r="N373" i="1"/>
  <c r="M373" i="1"/>
  <c r="K373" i="1"/>
  <c r="J373" i="1"/>
  <c r="I373" i="1"/>
  <c r="H373" i="1"/>
  <c r="G373" i="1"/>
  <c r="F373" i="1"/>
  <c r="E373" i="1"/>
  <c r="D373" i="1"/>
  <c r="C373" i="1"/>
  <c r="B373" i="1"/>
  <c r="A373" i="1"/>
  <c r="AK372" i="1"/>
  <c r="AC372" i="1"/>
  <c r="AB372" i="1"/>
  <c r="AA372" i="1"/>
  <c r="Z372" i="1"/>
  <c r="Y372" i="1"/>
  <c r="X372" i="1"/>
  <c r="W372" i="1"/>
  <c r="V372" i="1"/>
  <c r="U372" i="1"/>
  <c r="T372" i="1"/>
  <c r="S372" i="1"/>
  <c r="R372" i="1"/>
  <c r="Q372" i="1"/>
  <c r="P372" i="1"/>
  <c r="O372" i="1"/>
  <c r="N372" i="1"/>
  <c r="M372" i="1"/>
  <c r="K372" i="1"/>
  <c r="I372" i="1"/>
  <c r="H372" i="1"/>
  <c r="G372" i="1"/>
  <c r="F372" i="1"/>
  <c r="E372" i="1"/>
  <c r="D372" i="1"/>
  <c r="C372" i="1"/>
  <c r="B372" i="1"/>
  <c r="A372" i="1"/>
  <c r="AK371" i="1"/>
  <c r="AC371" i="1"/>
  <c r="AB371" i="1"/>
  <c r="AA371" i="1"/>
  <c r="Z371" i="1"/>
  <c r="Y371" i="1"/>
  <c r="X371" i="1"/>
  <c r="W371" i="1"/>
  <c r="V371" i="1"/>
  <c r="U371" i="1"/>
  <c r="T371" i="1"/>
  <c r="S371" i="1"/>
  <c r="R371" i="1"/>
  <c r="Q371" i="1"/>
  <c r="P371" i="1"/>
  <c r="O371" i="1"/>
  <c r="N371" i="1"/>
  <c r="M371" i="1"/>
  <c r="K371" i="1"/>
  <c r="J371" i="1"/>
  <c r="I371" i="1"/>
  <c r="H371" i="1"/>
  <c r="G371" i="1"/>
  <c r="F371" i="1"/>
  <c r="E371" i="1"/>
  <c r="D371" i="1"/>
  <c r="C371" i="1"/>
  <c r="B371" i="1"/>
  <c r="A371" i="1"/>
  <c r="AK370" i="1"/>
  <c r="AC370" i="1"/>
  <c r="AB370" i="1"/>
  <c r="AA370" i="1"/>
  <c r="Z370" i="1"/>
  <c r="Y370" i="1"/>
  <c r="X370" i="1"/>
  <c r="W370" i="1"/>
  <c r="V370" i="1"/>
  <c r="U370" i="1"/>
  <c r="T370" i="1"/>
  <c r="S370" i="1"/>
  <c r="R370" i="1"/>
  <c r="Q370" i="1"/>
  <c r="P370" i="1"/>
  <c r="O370" i="1"/>
  <c r="N370" i="1"/>
  <c r="M370" i="1"/>
  <c r="K370" i="1"/>
  <c r="J370" i="1"/>
  <c r="I370" i="1"/>
  <c r="H370" i="1"/>
  <c r="G370" i="1"/>
  <c r="F370" i="1"/>
  <c r="E370" i="1"/>
  <c r="D370" i="1"/>
  <c r="C370" i="1"/>
  <c r="B370" i="1"/>
  <c r="A370" i="1"/>
  <c r="AK369" i="1"/>
  <c r="AC369" i="1"/>
  <c r="AB369" i="1"/>
  <c r="AA369" i="1"/>
  <c r="Z369" i="1"/>
  <c r="Y369" i="1"/>
  <c r="X369" i="1"/>
  <c r="W369" i="1"/>
  <c r="V369" i="1"/>
  <c r="U369" i="1"/>
  <c r="T369" i="1"/>
  <c r="S369" i="1"/>
  <c r="R369" i="1"/>
  <c r="Q369" i="1"/>
  <c r="P369" i="1"/>
  <c r="N369" i="1"/>
  <c r="M369" i="1"/>
  <c r="K369" i="1"/>
  <c r="J369" i="1"/>
  <c r="I369" i="1"/>
  <c r="H369" i="1"/>
  <c r="G369" i="1"/>
  <c r="F369" i="1"/>
  <c r="E369" i="1"/>
  <c r="D369" i="1"/>
  <c r="C369" i="1"/>
  <c r="B369" i="1"/>
  <c r="A369" i="1"/>
  <c r="AK368" i="1"/>
  <c r="AC368" i="1"/>
  <c r="AB368" i="1"/>
  <c r="AA368" i="1"/>
  <c r="Z368" i="1"/>
  <c r="Y368" i="1"/>
  <c r="X368" i="1"/>
  <c r="W368" i="1"/>
  <c r="V368" i="1"/>
  <c r="U368" i="1"/>
  <c r="T368" i="1"/>
  <c r="S368" i="1"/>
  <c r="R368" i="1"/>
  <c r="Q368" i="1"/>
  <c r="P368" i="1"/>
  <c r="O368" i="1"/>
  <c r="N368" i="1"/>
  <c r="M368" i="1"/>
  <c r="K368" i="1"/>
  <c r="I368" i="1"/>
  <c r="H368" i="1"/>
  <c r="G368" i="1"/>
  <c r="F368" i="1"/>
  <c r="E368" i="1"/>
  <c r="D368" i="1"/>
  <c r="C368" i="1"/>
  <c r="B368" i="1"/>
  <c r="A368" i="1"/>
  <c r="AK367" i="1"/>
  <c r="AC367" i="1"/>
  <c r="AB367" i="1"/>
  <c r="AA367" i="1"/>
  <c r="Z367" i="1"/>
  <c r="Y367" i="1"/>
  <c r="X367" i="1"/>
  <c r="W367" i="1"/>
  <c r="V367" i="1"/>
  <c r="U367" i="1"/>
  <c r="T367" i="1"/>
  <c r="S367" i="1"/>
  <c r="R367" i="1"/>
  <c r="Q367" i="1"/>
  <c r="P367" i="1"/>
  <c r="O367" i="1"/>
  <c r="N367" i="1"/>
  <c r="M367" i="1"/>
  <c r="K367" i="1"/>
  <c r="J367" i="1"/>
  <c r="I367" i="1"/>
  <c r="H367" i="1"/>
  <c r="G367" i="1"/>
  <c r="F367" i="1"/>
  <c r="E367" i="1"/>
  <c r="D367" i="1"/>
  <c r="C367" i="1"/>
  <c r="B367" i="1"/>
  <c r="A367" i="1"/>
  <c r="AK366" i="1"/>
  <c r="AC366" i="1"/>
  <c r="AB366" i="1"/>
  <c r="AA366" i="1"/>
  <c r="Z366" i="1"/>
  <c r="Y366" i="1"/>
  <c r="X366" i="1"/>
  <c r="W366" i="1"/>
  <c r="V366" i="1"/>
  <c r="U366" i="1"/>
  <c r="T366" i="1"/>
  <c r="S366" i="1"/>
  <c r="R366" i="1"/>
  <c r="Q366" i="1"/>
  <c r="P366" i="1"/>
  <c r="O366" i="1"/>
  <c r="N366" i="1"/>
  <c r="M366" i="1"/>
  <c r="K366" i="1"/>
  <c r="J366" i="1"/>
  <c r="I366" i="1"/>
  <c r="H366" i="1"/>
  <c r="G366" i="1"/>
  <c r="F366" i="1"/>
  <c r="E366" i="1"/>
  <c r="D366" i="1"/>
  <c r="C366" i="1"/>
  <c r="B366" i="1"/>
  <c r="A366" i="1"/>
  <c r="AK365" i="1"/>
  <c r="AC365" i="1"/>
  <c r="AB365" i="1"/>
  <c r="AA365" i="1"/>
  <c r="Z365" i="1"/>
  <c r="Y365" i="1"/>
  <c r="X365" i="1"/>
  <c r="W365" i="1"/>
  <c r="V365" i="1"/>
  <c r="U365" i="1"/>
  <c r="T365" i="1"/>
  <c r="S365" i="1"/>
  <c r="R365" i="1"/>
  <c r="Q365" i="1"/>
  <c r="P365" i="1"/>
  <c r="O365" i="1"/>
  <c r="N365" i="1"/>
  <c r="M365" i="1"/>
  <c r="K365" i="1"/>
  <c r="I365" i="1"/>
  <c r="H365" i="1"/>
  <c r="G365" i="1"/>
  <c r="F365" i="1"/>
  <c r="E365" i="1"/>
  <c r="D365" i="1"/>
  <c r="C365" i="1"/>
  <c r="B365" i="1"/>
  <c r="A365" i="1"/>
  <c r="AK364" i="1"/>
  <c r="AC364" i="1"/>
  <c r="AB364" i="1"/>
  <c r="AA364" i="1"/>
  <c r="Z364" i="1"/>
  <c r="Y364" i="1"/>
  <c r="X364" i="1"/>
  <c r="W364" i="1"/>
  <c r="V364" i="1"/>
  <c r="U364" i="1"/>
  <c r="T364" i="1"/>
  <c r="S364" i="1"/>
  <c r="R364" i="1"/>
  <c r="Q364" i="1"/>
  <c r="P364" i="1"/>
  <c r="O364" i="1"/>
  <c r="N364" i="1"/>
  <c r="M364" i="1"/>
  <c r="K364" i="1"/>
  <c r="I364" i="1"/>
  <c r="H364" i="1"/>
  <c r="G364" i="1"/>
  <c r="F364" i="1"/>
  <c r="E364" i="1"/>
  <c r="D364" i="1"/>
  <c r="C364" i="1"/>
  <c r="B364" i="1"/>
  <c r="A364" i="1"/>
  <c r="AK363" i="1"/>
  <c r="AC363" i="1"/>
  <c r="AB363" i="1"/>
  <c r="AA363" i="1"/>
  <c r="Z363" i="1"/>
  <c r="Y363" i="1"/>
  <c r="X363" i="1"/>
  <c r="W363" i="1"/>
  <c r="V363" i="1"/>
  <c r="U363" i="1"/>
  <c r="T363" i="1"/>
  <c r="S363" i="1"/>
  <c r="R363" i="1"/>
  <c r="Q363" i="1"/>
  <c r="P363" i="1"/>
  <c r="O363" i="1"/>
  <c r="N363" i="1"/>
  <c r="M363" i="1"/>
  <c r="K363" i="1"/>
  <c r="J363" i="1"/>
  <c r="I363" i="1"/>
  <c r="H363" i="1"/>
  <c r="G363" i="1"/>
  <c r="F363" i="1"/>
  <c r="E363" i="1"/>
  <c r="D363" i="1"/>
  <c r="C363" i="1"/>
  <c r="B363" i="1"/>
  <c r="A363" i="1"/>
  <c r="AK362" i="1"/>
  <c r="AC362" i="1"/>
  <c r="AB362" i="1"/>
  <c r="AA362" i="1"/>
  <c r="Z362" i="1"/>
  <c r="Y362" i="1"/>
  <c r="X362" i="1"/>
  <c r="W362" i="1"/>
  <c r="V362" i="1"/>
  <c r="U362" i="1"/>
  <c r="T362" i="1"/>
  <c r="S362" i="1"/>
  <c r="R362" i="1"/>
  <c r="Q362" i="1"/>
  <c r="P362" i="1"/>
  <c r="N362" i="1"/>
  <c r="M362" i="1"/>
  <c r="K362" i="1"/>
  <c r="J362" i="1"/>
  <c r="I362" i="1"/>
  <c r="H362" i="1"/>
  <c r="G362" i="1"/>
  <c r="F362" i="1"/>
  <c r="E362" i="1"/>
  <c r="D362" i="1"/>
  <c r="C362" i="1"/>
  <c r="B362" i="1"/>
  <c r="A362" i="1"/>
  <c r="AK361" i="1"/>
  <c r="AC361" i="1"/>
  <c r="AB361" i="1"/>
  <c r="AA361" i="1"/>
  <c r="Z361" i="1"/>
  <c r="Y361" i="1"/>
  <c r="X361" i="1"/>
  <c r="W361" i="1"/>
  <c r="V361" i="1"/>
  <c r="U361" i="1"/>
  <c r="T361" i="1"/>
  <c r="S361" i="1"/>
  <c r="R361" i="1"/>
  <c r="Q361" i="1"/>
  <c r="P361" i="1"/>
  <c r="O361" i="1"/>
  <c r="N361" i="1"/>
  <c r="M361" i="1"/>
  <c r="K361" i="1"/>
  <c r="J361" i="1"/>
  <c r="I361" i="1"/>
  <c r="H361" i="1"/>
  <c r="G361" i="1"/>
  <c r="F361" i="1"/>
  <c r="E361" i="1"/>
  <c r="D361" i="1"/>
  <c r="C361" i="1"/>
  <c r="B361" i="1"/>
  <c r="A361" i="1"/>
  <c r="AK360" i="1"/>
  <c r="AC360" i="1"/>
  <c r="AB360" i="1"/>
  <c r="AA360" i="1"/>
  <c r="Z360" i="1"/>
  <c r="Y360" i="1"/>
  <c r="X360" i="1"/>
  <c r="W360" i="1"/>
  <c r="V360" i="1"/>
  <c r="U360" i="1"/>
  <c r="T360" i="1"/>
  <c r="S360" i="1"/>
  <c r="R360" i="1"/>
  <c r="Q360" i="1"/>
  <c r="P360" i="1"/>
  <c r="O360" i="1"/>
  <c r="N360" i="1"/>
  <c r="M360" i="1"/>
  <c r="K360" i="1"/>
  <c r="J360" i="1"/>
  <c r="I360" i="1"/>
  <c r="H360" i="1"/>
  <c r="G360" i="1"/>
  <c r="F360" i="1"/>
  <c r="E360" i="1"/>
  <c r="D360" i="1"/>
  <c r="C360" i="1"/>
  <c r="B360" i="1"/>
  <c r="A360" i="1"/>
  <c r="AK359" i="1"/>
  <c r="AC359" i="1"/>
  <c r="AB359" i="1"/>
  <c r="AA359" i="1"/>
  <c r="Z359" i="1"/>
  <c r="Y359" i="1"/>
  <c r="X359" i="1"/>
  <c r="W359" i="1"/>
  <c r="V359" i="1"/>
  <c r="U359" i="1"/>
  <c r="T359" i="1"/>
  <c r="S359" i="1"/>
  <c r="R359" i="1"/>
  <c r="Q359" i="1"/>
  <c r="P359" i="1"/>
  <c r="O359" i="1"/>
  <c r="N359" i="1"/>
  <c r="M359" i="1"/>
  <c r="K359" i="1"/>
  <c r="J359" i="1"/>
  <c r="I359" i="1"/>
  <c r="H359" i="1"/>
  <c r="G359" i="1"/>
  <c r="F359" i="1"/>
  <c r="E359" i="1"/>
  <c r="D359" i="1"/>
  <c r="C359" i="1"/>
  <c r="B359" i="1"/>
  <c r="A359" i="1"/>
  <c r="AK358" i="1"/>
  <c r="AC358" i="1"/>
  <c r="AB358" i="1"/>
  <c r="AA358" i="1"/>
  <c r="Z358" i="1"/>
  <c r="Y358" i="1"/>
  <c r="X358" i="1"/>
  <c r="W358" i="1"/>
  <c r="V358" i="1"/>
  <c r="U358" i="1"/>
  <c r="T358" i="1"/>
  <c r="S358" i="1"/>
  <c r="R358" i="1"/>
  <c r="Q358" i="1"/>
  <c r="P358" i="1"/>
  <c r="N358" i="1"/>
  <c r="M358" i="1"/>
  <c r="K358" i="1"/>
  <c r="J358" i="1"/>
  <c r="I358" i="1"/>
  <c r="H358" i="1"/>
  <c r="G358" i="1"/>
  <c r="F358" i="1"/>
  <c r="E358" i="1"/>
  <c r="D358" i="1"/>
  <c r="C358" i="1"/>
  <c r="B358" i="1"/>
  <c r="A358" i="1"/>
  <c r="AK357" i="1"/>
  <c r="AC357" i="1"/>
  <c r="AB357" i="1"/>
  <c r="AA357" i="1"/>
  <c r="Z357" i="1"/>
  <c r="Y357" i="1"/>
  <c r="X357" i="1"/>
  <c r="W357" i="1"/>
  <c r="V357" i="1"/>
  <c r="U357" i="1"/>
  <c r="T357" i="1"/>
  <c r="S357" i="1"/>
  <c r="R357" i="1"/>
  <c r="Q357" i="1"/>
  <c r="P357" i="1"/>
  <c r="N357" i="1"/>
  <c r="M357" i="1"/>
  <c r="K357" i="1"/>
  <c r="J357" i="1"/>
  <c r="I357" i="1"/>
  <c r="H357" i="1"/>
  <c r="G357" i="1"/>
  <c r="F357" i="1"/>
  <c r="E357" i="1"/>
  <c r="D357" i="1"/>
  <c r="C357" i="1"/>
  <c r="B357" i="1"/>
  <c r="A357" i="1"/>
  <c r="AK356" i="1"/>
  <c r="AC356" i="1"/>
  <c r="AB356" i="1"/>
  <c r="AA356" i="1"/>
  <c r="Z356" i="1"/>
  <c r="Y356" i="1"/>
  <c r="X356" i="1"/>
  <c r="W356" i="1"/>
  <c r="V356" i="1"/>
  <c r="U356" i="1"/>
  <c r="T356" i="1"/>
  <c r="S356" i="1"/>
  <c r="R356" i="1"/>
  <c r="Q356" i="1"/>
  <c r="P356" i="1"/>
  <c r="O356" i="1"/>
  <c r="N356" i="1"/>
  <c r="M356" i="1"/>
  <c r="K356" i="1"/>
  <c r="J356" i="1"/>
  <c r="I356" i="1"/>
  <c r="H356" i="1"/>
  <c r="G356" i="1"/>
  <c r="F356" i="1"/>
  <c r="E356" i="1"/>
  <c r="D356" i="1"/>
  <c r="C356" i="1"/>
  <c r="B356" i="1"/>
  <c r="A356" i="1"/>
  <c r="AK355" i="1"/>
  <c r="AC355" i="1"/>
  <c r="AB355" i="1"/>
  <c r="AA355" i="1"/>
  <c r="Z355" i="1"/>
  <c r="Y355" i="1"/>
  <c r="X355" i="1"/>
  <c r="W355" i="1"/>
  <c r="V355" i="1"/>
  <c r="U355" i="1"/>
  <c r="T355" i="1"/>
  <c r="S355" i="1"/>
  <c r="R355" i="1"/>
  <c r="Q355" i="1"/>
  <c r="P355" i="1"/>
  <c r="O355" i="1"/>
  <c r="N355" i="1"/>
  <c r="M355" i="1"/>
  <c r="K355" i="1"/>
  <c r="I355" i="1"/>
  <c r="H355" i="1"/>
  <c r="G355" i="1"/>
  <c r="F355" i="1"/>
  <c r="E355" i="1"/>
  <c r="D355" i="1"/>
  <c r="C355" i="1"/>
  <c r="B355" i="1"/>
  <c r="A355" i="1"/>
  <c r="AK354" i="1"/>
  <c r="AC354" i="1"/>
  <c r="AB354" i="1"/>
  <c r="AA354" i="1"/>
  <c r="Z354" i="1"/>
  <c r="Y354" i="1"/>
  <c r="X354" i="1"/>
  <c r="W354" i="1"/>
  <c r="V354" i="1"/>
  <c r="U354" i="1"/>
  <c r="T354" i="1"/>
  <c r="S354" i="1"/>
  <c r="R354" i="1"/>
  <c r="Q354" i="1"/>
  <c r="P354" i="1"/>
  <c r="O354" i="1"/>
  <c r="N354" i="1"/>
  <c r="M354" i="1"/>
  <c r="K354" i="1"/>
  <c r="I354" i="1"/>
  <c r="H354" i="1"/>
  <c r="G354" i="1"/>
  <c r="F354" i="1"/>
  <c r="E354" i="1"/>
  <c r="D354" i="1"/>
  <c r="C354" i="1"/>
  <c r="B354" i="1"/>
  <c r="A354" i="1"/>
  <c r="AK353" i="1"/>
  <c r="AC353" i="1"/>
  <c r="AB353" i="1"/>
  <c r="AA353" i="1"/>
  <c r="Z353" i="1"/>
  <c r="Y353" i="1"/>
  <c r="X353" i="1"/>
  <c r="W353" i="1"/>
  <c r="V353" i="1"/>
  <c r="U353" i="1"/>
  <c r="T353" i="1"/>
  <c r="S353" i="1"/>
  <c r="R353" i="1"/>
  <c r="Q353" i="1"/>
  <c r="P353" i="1"/>
  <c r="N353" i="1"/>
  <c r="M353" i="1"/>
  <c r="K353" i="1"/>
  <c r="J353" i="1"/>
  <c r="I353" i="1"/>
  <c r="H353" i="1"/>
  <c r="G353" i="1"/>
  <c r="F353" i="1"/>
  <c r="E353" i="1"/>
  <c r="D353" i="1"/>
  <c r="C353" i="1"/>
  <c r="B353" i="1"/>
  <c r="A353" i="1"/>
  <c r="AK352" i="1"/>
  <c r="AC352" i="1"/>
  <c r="AB352" i="1"/>
  <c r="AA352" i="1"/>
  <c r="Z352" i="1"/>
  <c r="Y352" i="1"/>
  <c r="X352" i="1"/>
  <c r="W352" i="1"/>
  <c r="V352" i="1"/>
  <c r="U352" i="1"/>
  <c r="T352" i="1"/>
  <c r="S352" i="1"/>
  <c r="R352" i="1"/>
  <c r="Q352" i="1"/>
  <c r="P352" i="1"/>
  <c r="N352" i="1"/>
  <c r="M352" i="1"/>
  <c r="K352" i="1"/>
  <c r="J352" i="1"/>
  <c r="I352" i="1"/>
  <c r="H352" i="1"/>
  <c r="G352" i="1"/>
  <c r="F352" i="1"/>
  <c r="E352" i="1"/>
  <c r="D352" i="1"/>
  <c r="C352" i="1"/>
  <c r="B352" i="1"/>
  <c r="A352" i="1"/>
  <c r="AK351" i="1"/>
  <c r="AC351" i="1"/>
  <c r="AB351" i="1"/>
  <c r="AA351" i="1"/>
  <c r="Z351" i="1"/>
  <c r="Y351" i="1"/>
  <c r="X351" i="1"/>
  <c r="W351" i="1"/>
  <c r="V351" i="1"/>
  <c r="U351" i="1"/>
  <c r="T351" i="1"/>
  <c r="S351" i="1"/>
  <c r="R351" i="1"/>
  <c r="Q351" i="1"/>
  <c r="P351" i="1"/>
  <c r="O351" i="1"/>
  <c r="N351" i="1"/>
  <c r="M351" i="1"/>
  <c r="K351" i="1"/>
  <c r="I351" i="1"/>
  <c r="H351" i="1"/>
  <c r="G351" i="1"/>
  <c r="F351" i="1"/>
  <c r="E351" i="1"/>
  <c r="D351" i="1"/>
  <c r="C351" i="1"/>
  <c r="B351" i="1"/>
  <c r="A351" i="1"/>
  <c r="AK350" i="1"/>
  <c r="AC350" i="1"/>
  <c r="AB350" i="1"/>
  <c r="AA350" i="1"/>
  <c r="Z350" i="1"/>
  <c r="Y350" i="1"/>
  <c r="X350" i="1"/>
  <c r="W350" i="1"/>
  <c r="V350" i="1"/>
  <c r="U350" i="1"/>
  <c r="T350" i="1"/>
  <c r="S350" i="1"/>
  <c r="R350" i="1"/>
  <c r="Q350" i="1"/>
  <c r="P350" i="1"/>
  <c r="O350" i="1"/>
  <c r="N350" i="1"/>
  <c r="M350" i="1"/>
  <c r="K350" i="1"/>
  <c r="I350" i="1"/>
  <c r="H350" i="1"/>
  <c r="G350" i="1"/>
  <c r="F350" i="1"/>
  <c r="E350" i="1"/>
  <c r="D350" i="1"/>
  <c r="C350" i="1"/>
  <c r="B350" i="1"/>
  <c r="A350" i="1"/>
  <c r="AK349" i="1"/>
  <c r="AC349" i="1"/>
  <c r="AB349" i="1"/>
  <c r="AA349" i="1"/>
  <c r="Z349" i="1"/>
  <c r="Y349" i="1"/>
  <c r="X349" i="1"/>
  <c r="W349" i="1"/>
  <c r="V349" i="1"/>
  <c r="U349" i="1"/>
  <c r="T349" i="1"/>
  <c r="S349" i="1"/>
  <c r="R349" i="1"/>
  <c r="Q349" i="1"/>
  <c r="P349" i="1"/>
  <c r="O349" i="1"/>
  <c r="N349" i="1"/>
  <c r="M349" i="1"/>
  <c r="K349" i="1"/>
  <c r="J349" i="1"/>
  <c r="I349" i="1"/>
  <c r="H349" i="1"/>
  <c r="G349" i="1"/>
  <c r="F349" i="1"/>
  <c r="E349" i="1"/>
  <c r="D349" i="1"/>
  <c r="C349" i="1"/>
  <c r="B349" i="1"/>
  <c r="A349" i="1"/>
  <c r="AK348" i="1"/>
  <c r="AC348" i="1"/>
  <c r="AB348" i="1"/>
  <c r="AA348" i="1"/>
  <c r="Z348" i="1"/>
  <c r="Y348" i="1"/>
  <c r="X348" i="1"/>
  <c r="W348" i="1"/>
  <c r="V348" i="1"/>
  <c r="U348" i="1"/>
  <c r="T348" i="1"/>
  <c r="S348" i="1"/>
  <c r="R348" i="1"/>
  <c r="Q348" i="1"/>
  <c r="P348" i="1"/>
  <c r="O348" i="1"/>
  <c r="N348" i="1"/>
  <c r="M348" i="1"/>
  <c r="K348" i="1"/>
  <c r="I348" i="1"/>
  <c r="H348" i="1"/>
  <c r="G348" i="1"/>
  <c r="F348" i="1"/>
  <c r="E348" i="1"/>
  <c r="D348" i="1"/>
  <c r="C348" i="1"/>
  <c r="B348" i="1"/>
  <c r="A348" i="1"/>
  <c r="AK347" i="1"/>
  <c r="AC347" i="1"/>
  <c r="AB347" i="1"/>
  <c r="AA347" i="1"/>
  <c r="Z347" i="1"/>
  <c r="Y347" i="1"/>
  <c r="X347" i="1"/>
  <c r="W347" i="1"/>
  <c r="V347" i="1"/>
  <c r="U347" i="1"/>
  <c r="T347" i="1"/>
  <c r="S347" i="1"/>
  <c r="R347" i="1"/>
  <c r="Q347" i="1"/>
  <c r="P347" i="1"/>
  <c r="O347" i="1"/>
  <c r="N347" i="1"/>
  <c r="M347" i="1"/>
  <c r="K347" i="1"/>
  <c r="J347" i="1"/>
  <c r="I347" i="1"/>
  <c r="H347" i="1"/>
  <c r="G347" i="1"/>
  <c r="F347" i="1"/>
  <c r="E347" i="1"/>
  <c r="D347" i="1"/>
  <c r="C347" i="1"/>
  <c r="B347" i="1"/>
  <c r="A347" i="1"/>
  <c r="AK346" i="1"/>
  <c r="AC346" i="1"/>
  <c r="AB346" i="1"/>
  <c r="AA346" i="1"/>
  <c r="Z346" i="1"/>
  <c r="Y346" i="1"/>
  <c r="X346" i="1"/>
  <c r="W346" i="1"/>
  <c r="V346" i="1"/>
  <c r="U346" i="1"/>
  <c r="T346" i="1"/>
  <c r="S346" i="1"/>
  <c r="R346" i="1"/>
  <c r="Q346" i="1"/>
  <c r="P346" i="1"/>
  <c r="O346" i="1"/>
  <c r="N346" i="1"/>
  <c r="M346" i="1"/>
  <c r="K346" i="1"/>
  <c r="I346" i="1"/>
  <c r="H346" i="1"/>
  <c r="G346" i="1"/>
  <c r="F346" i="1"/>
  <c r="E346" i="1"/>
  <c r="D346" i="1"/>
  <c r="C346" i="1"/>
  <c r="B346" i="1"/>
  <c r="A346" i="1"/>
  <c r="AK345" i="1"/>
  <c r="AC345" i="1"/>
  <c r="AB345" i="1"/>
  <c r="AA345" i="1"/>
  <c r="Z345" i="1"/>
  <c r="Y345" i="1"/>
  <c r="X345" i="1"/>
  <c r="W345" i="1"/>
  <c r="V345" i="1"/>
  <c r="U345" i="1"/>
  <c r="T345" i="1"/>
  <c r="S345" i="1"/>
  <c r="R345" i="1"/>
  <c r="Q345" i="1"/>
  <c r="P345" i="1"/>
  <c r="N345" i="1"/>
  <c r="M345" i="1"/>
  <c r="K345" i="1"/>
  <c r="J345" i="1"/>
  <c r="I345" i="1"/>
  <c r="H345" i="1"/>
  <c r="G345" i="1"/>
  <c r="F345" i="1"/>
  <c r="E345" i="1"/>
  <c r="D345" i="1"/>
  <c r="C345" i="1"/>
  <c r="B345" i="1"/>
  <c r="A345" i="1"/>
  <c r="AK344" i="1"/>
  <c r="AC344" i="1"/>
  <c r="AB344" i="1"/>
  <c r="AA344" i="1"/>
  <c r="Z344" i="1"/>
  <c r="Y344" i="1"/>
  <c r="X344" i="1"/>
  <c r="W344" i="1"/>
  <c r="V344" i="1"/>
  <c r="U344" i="1"/>
  <c r="T344" i="1"/>
  <c r="S344" i="1"/>
  <c r="R344" i="1"/>
  <c r="Q344" i="1"/>
  <c r="P344" i="1"/>
  <c r="O344" i="1"/>
  <c r="N344" i="1"/>
  <c r="M344" i="1"/>
  <c r="K344" i="1"/>
  <c r="J344" i="1"/>
  <c r="I344" i="1"/>
  <c r="H344" i="1"/>
  <c r="G344" i="1"/>
  <c r="F344" i="1"/>
  <c r="E344" i="1"/>
  <c r="D344" i="1"/>
  <c r="C344" i="1"/>
  <c r="B344" i="1"/>
  <c r="A344" i="1"/>
  <c r="AK343" i="1"/>
  <c r="AE343" i="1"/>
  <c r="AD343" i="1"/>
  <c r="AC343" i="1"/>
  <c r="AB343" i="1"/>
  <c r="AA343" i="1"/>
  <c r="Z343" i="1"/>
  <c r="Y343" i="1"/>
  <c r="X343" i="1"/>
  <c r="W343" i="1"/>
  <c r="V343" i="1"/>
  <c r="U343" i="1"/>
  <c r="T343" i="1"/>
  <c r="S343" i="1"/>
  <c r="R343" i="1"/>
  <c r="Q343" i="1"/>
  <c r="P343" i="1"/>
  <c r="O343" i="1"/>
  <c r="N343" i="1"/>
  <c r="M343" i="1"/>
  <c r="K343" i="1"/>
  <c r="J343" i="1"/>
  <c r="I343" i="1"/>
  <c r="H343" i="1"/>
  <c r="G343" i="1"/>
  <c r="F343" i="1"/>
  <c r="E343" i="1"/>
  <c r="D343" i="1"/>
  <c r="C343" i="1"/>
  <c r="B343" i="1"/>
  <c r="A343" i="1"/>
  <c r="AK342" i="1"/>
  <c r="AC342" i="1"/>
  <c r="AB342" i="1"/>
  <c r="AA342" i="1"/>
  <c r="Z342" i="1"/>
  <c r="Y342" i="1"/>
  <c r="X342" i="1"/>
  <c r="W342" i="1"/>
  <c r="V342" i="1"/>
  <c r="U342" i="1"/>
  <c r="T342" i="1"/>
  <c r="S342" i="1"/>
  <c r="R342" i="1"/>
  <c r="Q342" i="1"/>
  <c r="P342" i="1"/>
  <c r="O342" i="1"/>
  <c r="N342" i="1"/>
  <c r="M342" i="1"/>
  <c r="K342" i="1"/>
  <c r="J342" i="1"/>
  <c r="I342" i="1"/>
  <c r="H342" i="1"/>
  <c r="G342" i="1"/>
  <c r="F342" i="1"/>
  <c r="E342" i="1"/>
  <c r="D342" i="1"/>
  <c r="C342" i="1"/>
  <c r="B342" i="1"/>
  <c r="A342" i="1"/>
  <c r="AK341" i="1"/>
  <c r="AC341" i="1"/>
  <c r="AB341" i="1"/>
  <c r="AA341" i="1"/>
  <c r="Z341" i="1"/>
  <c r="Y341" i="1"/>
  <c r="X341" i="1"/>
  <c r="W341" i="1"/>
  <c r="V341" i="1"/>
  <c r="U341" i="1"/>
  <c r="T341" i="1"/>
  <c r="S341" i="1"/>
  <c r="R341" i="1"/>
  <c r="Q341" i="1"/>
  <c r="P341" i="1"/>
  <c r="O341" i="1"/>
  <c r="N341" i="1"/>
  <c r="M341" i="1"/>
  <c r="K341" i="1"/>
  <c r="J341" i="1"/>
  <c r="I341" i="1"/>
  <c r="H341" i="1"/>
  <c r="G341" i="1"/>
  <c r="F341" i="1"/>
  <c r="E341" i="1"/>
  <c r="D341" i="1"/>
  <c r="C341" i="1"/>
  <c r="B341" i="1"/>
  <c r="A341" i="1"/>
  <c r="AK340" i="1"/>
  <c r="AC340" i="1"/>
  <c r="AB340" i="1"/>
  <c r="AA340" i="1"/>
  <c r="Z340" i="1"/>
  <c r="Y340" i="1"/>
  <c r="X340" i="1"/>
  <c r="W340" i="1"/>
  <c r="V340" i="1"/>
  <c r="U340" i="1"/>
  <c r="T340" i="1"/>
  <c r="S340" i="1"/>
  <c r="R340" i="1"/>
  <c r="Q340" i="1"/>
  <c r="P340" i="1"/>
  <c r="O340" i="1"/>
  <c r="N340" i="1"/>
  <c r="M340" i="1"/>
  <c r="K340" i="1"/>
  <c r="I340" i="1"/>
  <c r="H340" i="1"/>
  <c r="G340" i="1"/>
  <c r="F340" i="1"/>
  <c r="E340" i="1"/>
  <c r="D340" i="1"/>
  <c r="C340" i="1"/>
  <c r="B340" i="1"/>
  <c r="A340" i="1"/>
  <c r="AK339" i="1"/>
  <c r="AC339" i="1"/>
  <c r="AB339" i="1"/>
  <c r="AA339" i="1"/>
  <c r="Z339" i="1"/>
  <c r="Y339" i="1"/>
  <c r="X339" i="1"/>
  <c r="W339" i="1"/>
  <c r="V339" i="1"/>
  <c r="U339" i="1"/>
  <c r="T339" i="1"/>
  <c r="S339" i="1"/>
  <c r="R339" i="1"/>
  <c r="Q339" i="1"/>
  <c r="P339" i="1"/>
  <c r="O339" i="1"/>
  <c r="N339" i="1"/>
  <c r="M339" i="1"/>
  <c r="K339" i="1"/>
  <c r="I339" i="1"/>
  <c r="H339" i="1"/>
  <c r="G339" i="1"/>
  <c r="F339" i="1"/>
  <c r="E339" i="1"/>
  <c r="D339" i="1"/>
  <c r="C339" i="1"/>
  <c r="B339" i="1"/>
  <c r="A339" i="1"/>
  <c r="AK338" i="1"/>
  <c r="AC338" i="1"/>
  <c r="AB338" i="1"/>
  <c r="AA338" i="1"/>
  <c r="Z338" i="1"/>
  <c r="Y338" i="1"/>
  <c r="X338" i="1"/>
  <c r="W338" i="1"/>
  <c r="V338" i="1"/>
  <c r="U338" i="1"/>
  <c r="T338" i="1"/>
  <c r="S338" i="1"/>
  <c r="R338" i="1"/>
  <c r="Q338" i="1"/>
  <c r="P338" i="1"/>
  <c r="O338" i="1"/>
  <c r="N338" i="1"/>
  <c r="M338" i="1"/>
  <c r="K338" i="1"/>
  <c r="I338" i="1"/>
  <c r="H338" i="1"/>
  <c r="G338" i="1"/>
  <c r="F338" i="1"/>
  <c r="E338" i="1"/>
  <c r="D338" i="1"/>
  <c r="C338" i="1"/>
  <c r="B338" i="1"/>
  <c r="A338" i="1"/>
  <c r="AK337" i="1"/>
  <c r="AC337" i="1"/>
  <c r="AB337" i="1"/>
  <c r="AA337" i="1"/>
  <c r="Z337" i="1"/>
  <c r="Y337" i="1"/>
  <c r="X337" i="1"/>
  <c r="W337" i="1"/>
  <c r="V337" i="1"/>
  <c r="U337" i="1"/>
  <c r="T337" i="1"/>
  <c r="S337" i="1"/>
  <c r="R337" i="1"/>
  <c r="Q337" i="1"/>
  <c r="P337" i="1"/>
  <c r="O337" i="1"/>
  <c r="N337" i="1"/>
  <c r="M337" i="1"/>
  <c r="K337" i="1"/>
  <c r="J337" i="1"/>
  <c r="I337" i="1"/>
  <c r="H337" i="1"/>
  <c r="G337" i="1"/>
  <c r="F337" i="1"/>
  <c r="E337" i="1"/>
  <c r="D337" i="1"/>
  <c r="C337" i="1"/>
  <c r="B337" i="1"/>
  <c r="A337" i="1"/>
  <c r="AK336" i="1"/>
  <c r="AC336" i="1"/>
  <c r="AB336" i="1"/>
  <c r="AA336" i="1"/>
  <c r="Z336" i="1"/>
  <c r="Y336" i="1"/>
  <c r="X336" i="1"/>
  <c r="W336" i="1"/>
  <c r="V336" i="1"/>
  <c r="U336" i="1"/>
  <c r="T336" i="1"/>
  <c r="S336" i="1"/>
  <c r="R336" i="1"/>
  <c r="Q336" i="1"/>
  <c r="P336" i="1"/>
  <c r="O336" i="1"/>
  <c r="N336" i="1"/>
  <c r="M336" i="1"/>
  <c r="K336" i="1"/>
  <c r="J336" i="1"/>
  <c r="I336" i="1"/>
  <c r="H336" i="1"/>
  <c r="G336" i="1"/>
  <c r="F336" i="1"/>
  <c r="E336" i="1"/>
  <c r="D336" i="1"/>
  <c r="C336" i="1"/>
  <c r="B336" i="1"/>
  <c r="A336" i="1"/>
  <c r="AK335" i="1"/>
  <c r="AC335" i="1"/>
  <c r="AB335" i="1"/>
  <c r="AA335" i="1"/>
  <c r="Z335" i="1"/>
  <c r="Y335" i="1"/>
  <c r="X335" i="1"/>
  <c r="W335" i="1"/>
  <c r="V335" i="1"/>
  <c r="U335" i="1"/>
  <c r="T335" i="1"/>
  <c r="S335" i="1"/>
  <c r="R335" i="1"/>
  <c r="Q335" i="1"/>
  <c r="P335" i="1"/>
  <c r="O335" i="1"/>
  <c r="N335" i="1"/>
  <c r="M335" i="1"/>
  <c r="K335" i="1"/>
  <c r="J335" i="1"/>
  <c r="I335" i="1"/>
  <c r="H335" i="1"/>
  <c r="G335" i="1"/>
  <c r="F335" i="1"/>
  <c r="E335" i="1"/>
  <c r="D335" i="1"/>
  <c r="C335" i="1"/>
  <c r="B335" i="1"/>
  <c r="A335" i="1"/>
  <c r="AK334" i="1"/>
  <c r="AC334" i="1"/>
  <c r="AB334" i="1"/>
  <c r="AA334" i="1"/>
  <c r="Z334" i="1"/>
  <c r="Y334" i="1"/>
  <c r="X334" i="1"/>
  <c r="W334" i="1"/>
  <c r="V334" i="1"/>
  <c r="U334" i="1"/>
  <c r="T334" i="1"/>
  <c r="S334" i="1"/>
  <c r="R334" i="1"/>
  <c r="Q334" i="1"/>
  <c r="P334" i="1"/>
  <c r="O334" i="1"/>
  <c r="N334" i="1"/>
  <c r="M334" i="1"/>
  <c r="K334" i="1"/>
  <c r="I334" i="1"/>
  <c r="H334" i="1"/>
  <c r="G334" i="1"/>
  <c r="F334" i="1"/>
  <c r="E334" i="1"/>
  <c r="D334" i="1"/>
  <c r="C334" i="1"/>
  <c r="B334" i="1"/>
  <c r="A334" i="1"/>
  <c r="AK333" i="1"/>
  <c r="AC333" i="1"/>
  <c r="AB333" i="1"/>
  <c r="AA333" i="1"/>
  <c r="Z333" i="1"/>
  <c r="Y333" i="1"/>
  <c r="X333" i="1"/>
  <c r="W333" i="1"/>
  <c r="V333" i="1"/>
  <c r="U333" i="1"/>
  <c r="T333" i="1"/>
  <c r="S333" i="1"/>
  <c r="R333" i="1"/>
  <c r="Q333" i="1"/>
  <c r="P333" i="1"/>
  <c r="O333" i="1"/>
  <c r="N333" i="1"/>
  <c r="M333" i="1"/>
  <c r="K333" i="1"/>
  <c r="J333" i="1"/>
  <c r="I333" i="1"/>
  <c r="H333" i="1"/>
  <c r="G333" i="1"/>
  <c r="F333" i="1"/>
  <c r="E333" i="1"/>
  <c r="D333" i="1"/>
  <c r="C333" i="1"/>
  <c r="B333" i="1"/>
  <c r="A333" i="1"/>
  <c r="AK332" i="1"/>
  <c r="AC332" i="1"/>
  <c r="AB332" i="1"/>
  <c r="AA332" i="1"/>
  <c r="Z332" i="1"/>
  <c r="Y332" i="1"/>
  <c r="X332" i="1"/>
  <c r="W332" i="1"/>
  <c r="V332" i="1"/>
  <c r="U332" i="1"/>
  <c r="T332" i="1"/>
  <c r="S332" i="1"/>
  <c r="R332" i="1"/>
  <c r="Q332" i="1"/>
  <c r="P332" i="1"/>
  <c r="O332" i="1"/>
  <c r="N332" i="1"/>
  <c r="M332" i="1"/>
  <c r="K332" i="1"/>
  <c r="J332" i="1"/>
  <c r="I332" i="1"/>
  <c r="H332" i="1"/>
  <c r="G332" i="1"/>
  <c r="F332" i="1"/>
  <c r="E332" i="1"/>
  <c r="D332" i="1"/>
  <c r="C332" i="1"/>
  <c r="B332" i="1"/>
  <c r="A332" i="1"/>
  <c r="AK331" i="1"/>
  <c r="AC331" i="1"/>
  <c r="AB331" i="1"/>
  <c r="AA331" i="1"/>
  <c r="Z331" i="1"/>
  <c r="Y331" i="1"/>
  <c r="X331" i="1"/>
  <c r="W331" i="1"/>
  <c r="V331" i="1"/>
  <c r="U331" i="1"/>
  <c r="T331" i="1"/>
  <c r="S331" i="1"/>
  <c r="R331" i="1"/>
  <c r="Q331" i="1"/>
  <c r="P331" i="1"/>
  <c r="O331" i="1"/>
  <c r="N331" i="1"/>
  <c r="M331" i="1"/>
  <c r="L331" i="1"/>
  <c r="K331" i="1"/>
  <c r="J331" i="1"/>
  <c r="I331" i="1"/>
  <c r="H331" i="1"/>
  <c r="G331" i="1"/>
  <c r="F331" i="1"/>
  <c r="E331" i="1"/>
  <c r="D331" i="1"/>
  <c r="C331" i="1"/>
  <c r="B331" i="1"/>
  <c r="A331" i="1"/>
  <c r="AK330" i="1"/>
  <c r="AE330" i="1"/>
  <c r="AD330" i="1"/>
  <c r="AC330" i="1"/>
  <c r="AB330" i="1"/>
  <c r="AA330" i="1"/>
  <c r="Z330" i="1"/>
  <c r="Y330" i="1"/>
  <c r="X330" i="1"/>
  <c r="W330" i="1"/>
  <c r="V330" i="1"/>
  <c r="U330" i="1"/>
  <c r="T330" i="1"/>
  <c r="S330" i="1"/>
  <c r="R330" i="1"/>
  <c r="Q330" i="1"/>
  <c r="P330" i="1"/>
  <c r="O330" i="1"/>
  <c r="N330" i="1"/>
  <c r="M330" i="1"/>
  <c r="K330" i="1"/>
  <c r="J330" i="1"/>
  <c r="I330" i="1"/>
  <c r="H330" i="1"/>
  <c r="G330" i="1"/>
  <c r="F330" i="1"/>
  <c r="E330" i="1"/>
  <c r="D330" i="1"/>
  <c r="C330" i="1"/>
  <c r="B330" i="1"/>
  <c r="A330" i="1"/>
  <c r="AK329" i="1"/>
  <c r="AC329" i="1"/>
  <c r="AB329" i="1"/>
  <c r="AA329" i="1"/>
  <c r="Z329" i="1"/>
  <c r="Y329" i="1"/>
  <c r="X329" i="1"/>
  <c r="W329" i="1"/>
  <c r="V329" i="1"/>
  <c r="U329" i="1"/>
  <c r="T329" i="1"/>
  <c r="S329" i="1"/>
  <c r="R329" i="1"/>
  <c r="Q329" i="1"/>
  <c r="P329" i="1"/>
  <c r="O329" i="1"/>
  <c r="N329" i="1"/>
  <c r="M329" i="1"/>
  <c r="K329" i="1"/>
  <c r="J329" i="1"/>
  <c r="I329" i="1"/>
  <c r="H329" i="1"/>
  <c r="G329" i="1"/>
  <c r="F329" i="1"/>
  <c r="E329" i="1"/>
  <c r="D329" i="1"/>
  <c r="C329" i="1"/>
  <c r="B329" i="1"/>
  <c r="A329" i="1"/>
  <c r="AK328" i="1"/>
  <c r="AC328" i="1"/>
  <c r="AB328" i="1"/>
  <c r="AA328" i="1"/>
  <c r="Z328" i="1"/>
  <c r="Y328" i="1"/>
  <c r="X328" i="1"/>
  <c r="W328" i="1"/>
  <c r="V328" i="1"/>
  <c r="U328" i="1"/>
  <c r="T328" i="1"/>
  <c r="S328" i="1"/>
  <c r="R328" i="1"/>
  <c r="Q328" i="1"/>
  <c r="P328" i="1"/>
  <c r="O328" i="1"/>
  <c r="N328" i="1"/>
  <c r="M328" i="1"/>
  <c r="K328" i="1"/>
  <c r="J328" i="1"/>
  <c r="I328" i="1"/>
  <c r="H328" i="1"/>
  <c r="G328" i="1"/>
  <c r="F328" i="1"/>
  <c r="E328" i="1"/>
  <c r="D328" i="1"/>
  <c r="C328" i="1"/>
  <c r="B328" i="1"/>
  <c r="A328" i="1"/>
  <c r="AK327" i="1"/>
  <c r="AC327" i="1"/>
  <c r="AB327" i="1"/>
  <c r="AA327" i="1"/>
  <c r="Z327" i="1"/>
  <c r="Y327" i="1"/>
  <c r="X327" i="1"/>
  <c r="W327" i="1"/>
  <c r="V327" i="1"/>
  <c r="U327" i="1"/>
  <c r="T327" i="1"/>
  <c r="S327" i="1"/>
  <c r="R327" i="1"/>
  <c r="Q327" i="1"/>
  <c r="P327" i="1"/>
  <c r="O327" i="1"/>
  <c r="N327" i="1"/>
  <c r="M327" i="1"/>
  <c r="K327" i="1"/>
  <c r="J327" i="1"/>
  <c r="I327" i="1"/>
  <c r="H327" i="1"/>
  <c r="G327" i="1"/>
  <c r="F327" i="1"/>
  <c r="E327" i="1"/>
  <c r="D327" i="1"/>
  <c r="C327" i="1"/>
  <c r="B327" i="1"/>
  <c r="A327" i="1"/>
  <c r="AK326" i="1"/>
  <c r="AC326" i="1"/>
  <c r="AB326" i="1"/>
  <c r="AA326" i="1"/>
  <c r="Z326" i="1"/>
  <c r="Y326" i="1"/>
  <c r="X326" i="1"/>
  <c r="W326" i="1"/>
  <c r="V326" i="1"/>
  <c r="U326" i="1"/>
  <c r="T326" i="1"/>
  <c r="S326" i="1"/>
  <c r="R326" i="1"/>
  <c r="Q326" i="1"/>
  <c r="P326" i="1"/>
  <c r="O326" i="1"/>
  <c r="N326" i="1"/>
  <c r="M326" i="1"/>
  <c r="K326" i="1"/>
  <c r="J326" i="1"/>
  <c r="I326" i="1"/>
  <c r="H326" i="1"/>
  <c r="G326" i="1"/>
  <c r="F326" i="1"/>
  <c r="E326" i="1"/>
  <c r="D326" i="1"/>
  <c r="C326" i="1"/>
  <c r="B326" i="1"/>
  <c r="A326" i="1"/>
  <c r="AK325" i="1"/>
  <c r="AC325" i="1"/>
  <c r="AB325" i="1"/>
  <c r="AA325" i="1"/>
  <c r="Z325" i="1"/>
  <c r="Y325" i="1"/>
  <c r="X325" i="1"/>
  <c r="W325" i="1"/>
  <c r="V325" i="1"/>
  <c r="U325" i="1"/>
  <c r="T325" i="1"/>
  <c r="S325" i="1"/>
  <c r="R325" i="1"/>
  <c r="Q325" i="1"/>
  <c r="P325" i="1"/>
  <c r="O325" i="1"/>
  <c r="N325" i="1"/>
  <c r="I325" i="1"/>
  <c r="H325" i="1"/>
  <c r="G325" i="1"/>
  <c r="F325" i="1"/>
  <c r="E325" i="1"/>
  <c r="D325" i="1"/>
  <c r="C325" i="1"/>
  <c r="B325" i="1"/>
  <c r="A325" i="1"/>
  <c r="AK324" i="1"/>
  <c r="AC324" i="1"/>
  <c r="AB324" i="1"/>
  <c r="AA324" i="1"/>
  <c r="Z324" i="1"/>
  <c r="Y324" i="1"/>
  <c r="X324" i="1"/>
  <c r="W324" i="1"/>
  <c r="V324" i="1"/>
  <c r="U324" i="1"/>
  <c r="T324" i="1"/>
  <c r="S324" i="1"/>
  <c r="R324" i="1"/>
  <c r="Q324" i="1"/>
  <c r="P324" i="1"/>
  <c r="O324" i="1"/>
  <c r="N324" i="1"/>
  <c r="M324" i="1"/>
  <c r="L324" i="1"/>
  <c r="K324" i="1"/>
  <c r="I324" i="1"/>
  <c r="H324" i="1"/>
  <c r="G324" i="1"/>
  <c r="F324" i="1"/>
  <c r="E324" i="1"/>
  <c r="D324" i="1"/>
  <c r="C324" i="1"/>
  <c r="B324" i="1"/>
  <c r="A324" i="1"/>
  <c r="AK323" i="1"/>
  <c r="AC323" i="1"/>
  <c r="AB323" i="1"/>
  <c r="AA323" i="1"/>
  <c r="Z323" i="1"/>
  <c r="Y323" i="1"/>
  <c r="X323" i="1"/>
  <c r="W323" i="1"/>
  <c r="V323" i="1"/>
  <c r="U323" i="1"/>
  <c r="T323" i="1"/>
  <c r="S323" i="1"/>
  <c r="R323" i="1"/>
  <c r="Q323" i="1"/>
  <c r="P323" i="1"/>
  <c r="O323" i="1"/>
  <c r="N323" i="1"/>
  <c r="M323" i="1"/>
  <c r="L323" i="1"/>
  <c r="K323" i="1"/>
  <c r="I323" i="1"/>
  <c r="H323" i="1"/>
  <c r="G323" i="1"/>
  <c r="F323" i="1"/>
  <c r="E323" i="1"/>
  <c r="D323" i="1"/>
  <c r="C323" i="1"/>
  <c r="B323" i="1"/>
  <c r="A323" i="1"/>
  <c r="AK322" i="1"/>
  <c r="AC322" i="1"/>
  <c r="AB322" i="1"/>
  <c r="AA322" i="1"/>
  <c r="Z322" i="1"/>
  <c r="Y322" i="1"/>
  <c r="X322" i="1"/>
  <c r="W322" i="1"/>
  <c r="V322" i="1"/>
  <c r="U322" i="1"/>
  <c r="T322" i="1"/>
  <c r="S322" i="1"/>
  <c r="R322" i="1"/>
  <c r="Q322" i="1"/>
  <c r="P322" i="1"/>
  <c r="O322" i="1"/>
  <c r="N322" i="1"/>
  <c r="M322" i="1"/>
  <c r="K322" i="1"/>
  <c r="J322" i="1"/>
  <c r="I322" i="1"/>
  <c r="H322" i="1"/>
  <c r="G322" i="1"/>
  <c r="F322" i="1"/>
  <c r="E322" i="1"/>
  <c r="D322" i="1"/>
  <c r="C322" i="1"/>
  <c r="B322" i="1"/>
  <c r="A322" i="1"/>
  <c r="AK321" i="1"/>
  <c r="AC321" i="1"/>
  <c r="AB321" i="1"/>
  <c r="AA321" i="1"/>
  <c r="Z321" i="1"/>
  <c r="Y321" i="1"/>
  <c r="X321" i="1"/>
  <c r="W321" i="1"/>
  <c r="V321" i="1"/>
  <c r="U321" i="1"/>
  <c r="T321" i="1"/>
  <c r="S321" i="1"/>
  <c r="R321" i="1"/>
  <c r="Q321" i="1"/>
  <c r="P321" i="1"/>
  <c r="O321" i="1"/>
  <c r="N321" i="1"/>
  <c r="M321" i="1"/>
  <c r="K321" i="1"/>
  <c r="I321" i="1"/>
  <c r="H321" i="1"/>
  <c r="G321" i="1"/>
  <c r="F321" i="1"/>
  <c r="E321" i="1"/>
  <c r="D321" i="1"/>
  <c r="C321" i="1"/>
  <c r="B321" i="1"/>
  <c r="A321" i="1"/>
  <c r="AK320" i="1"/>
  <c r="AC320" i="1"/>
  <c r="AB320" i="1"/>
  <c r="AA320" i="1"/>
  <c r="Z320" i="1"/>
  <c r="Y320" i="1"/>
  <c r="X320" i="1"/>
  <c r="W320" i="1"/>
  <c r="V320" i="1"/>
  <c r="U320" i="1"/>
  <c r="S320" i="1"/>
  <c r="R320" i="1"/>
  <c r="Q320" i="1"/>
  <c r="P320" i="1"/>
  <c r="O320" i="1"/>
  <c r="N320" i="1"/>
  <c r="M320" i="1"/>
  <c r="K320" i="1"/>
  <c r="I320" i="1"/>
  <c r="H320" i="1"/>
  <c r="G320" i="1"/>
  <c r="F320" i="1"/>
  <c r="E320" i="1"/>
  <c r="D320" i="1"/>
  <c r="C320" i="1"/>
  <c r="B320" i="1"/>
  <c r="A320" i="1"/>
  <c r="AK319" i="1"/>
  <c r="AC319" i="1"/>
  <c r="AB319" i="1"/>
  <c r="AA319" i="1"/>
  <c r="Z319" i="1"/>
  <c r="Y319" i="1"/>
  <c r="X319" i="1"/>
  <c r="W319" i="1"/>
  <c r="V319" i="1"/>
  <c r="U319" i="1"/>
  <c r="T319" i="1"/>
  <c r="S319" i="1"/>
  <c r="R319" i="1"/>
  <c r="Q319" i="1"/>
  <c r="P319" i="1"/>
  <c r="O319" i="1"/>
  <c r="N319" i="1"/>
  <c r="M319" i="1"/>
  <c r="K319" i="1"/>
  <c r="I319" i="1"/>
  <c r="H319" i="1"/>
  <c r="G319" i="1"/>
  <c r="F319" i="1"/>
  <c r="E319" i="1"/>
  <c r="D319" i="1"/>
  <c r="C319" i="1"/>
  <c r="B319" i="1"/>
  <c r="A319" i="1"/>
  <c r="AK318" i="1"/>
  <c r="AC318" i="1"/>
  <c r="AB318" i="1"/>
  <c r="AA318" i="1"/>
  <c r="Z318" i="1"/>
  <c r="Y318" i="1"/>
  <c r="X318" i="1"/>
  <c r="W318" i="1"/>
  <c r="V318" i="1"/>
  <c r="U318" i="1"/>
  <c r="T318" i="1"/>
  <c r="S318" i="1"/>
  <c r="R318" i="1"/>
  <c r="Q318" i="1"/>
  <c r="P318" i="1"/>
  <c r="O318" i="1"/>
  <c r="N318" i="1"/>
  <c r="M318" i="1"/>
  <c r="K318" i="1"/>
  <c r="J318" i="1"/>
  <c r="I318" i="1"/>
  <c r="H318" i="1"/>
  <c r="G318" i="1"/>
  <c r="F318" i="1"/>
  <c r="E318" i="1"/>
  <c r="D318" i="1"/>
  <c r="C318" i="1"/>
  <c r="B318" i="1"/>
  <c r="A318" i="1"/>
  <c r="AK317" i="1"/>
  <c r="AC317" i="1"/>
  <c r="AB317" i="1"/>
  <c r="AA317" i="1"/>
  <c r="Z317" i="1"/>
  <c r="Y317" i="1"/>
  <c r="X317" i="1"/>
  <c r="W317" i="1"/>
  <c r="V317" i="1"/>
  <c r="U317" i="1"/>
  <c r="T317" i="1"/>
  <c r="S317" i="1"/>
  <c r="R317" i="1"/>
  <c r="Q317" i="1"/>
  <c r="P317" i="1"/>
  <c r="O317" i="1"/>
  <c r="N317" i="1"/>
  <c r="M317" i="1"/>
  <c r="K317" i="1"/>
  <c r="J317" i="1"/>
  <c r="I317" i="1"/>
  <c r="H317" i="1"/>
  <c r="G317" i="1"/>
  <c r="F317" i="1"/>
  <c r="E317" i="1"/>
  <c r="D317" i="1"/>
  <c r="C317" i="1"/>
  <c r="B317" i="1"/>
  <c r="A317" i="1"/>
  <c r="AK316" i="1"/>
  <c r="AC316" i="1"/>
  <c r="AB316" i="1"/>
  <c r="AA316" i="1"/>
  <c r="Z316" i="1"/>
  <c r="Y316" i="1"/>
  <c r="X316" i="1"/>
  <c r="W316" i="1"/>
  <c r="V316" i="1"/>
  <c r="U316" i="1"/>
  <c r="T316" i="1"/>
  <c r="S316" i="1"/>
  <c r="R316" i="1"/>
  <c r="Q316" i="1"/>
  <c r="P316" i="1"/>
  <c r="O316" i="1"/>
  <c r="N316" i="1"/>
  <c r="M316" i="1"/>
  <c r="K316" i="1"/>
  <c r="J316" i="1"/>
  <c r="I316" i="1"/>
  <c r="H316" i="1"/>
  <c r="G316" i="1"/>
  <c r="F316" i="1"/>
  <c r="E316" i="1"/>
  <c r="D316" i="1"/>
  <c r="C316" i="1"/>
  <c r="B316" i="1"/>
  <c r="A316" i="1"/>
  <c r="AK315" i="1"/>
  <c r="AC315" i="1"/>
  <c r="AB315" i="1"/>
  <c r="AA315" i="1"/>
  <c r="Z315" i="1"/>
  <c r="Y315" i="1"/>
  <c r="X315" i="1"/>
  <c r="W315" i="1"/>
  <c r="V315" i="1"/>
  <c r="U315" i="1"/>
  <c r="T315" i="1"/>
  <c r="S315" i="1"/>
  <c r="R315" i="1"/>
  <c r="Q315" i="1"/>
  <c r="P315" i="1"/>
  <c r="O315" i="1"/>
  <c r="N315" i="1"/>
  <c r="M315" i="1"/>
  <c r="K315" i="1"/>
  <c r="J315" i="1"/>
  <c r="I315" i="1"/>
  <c r="H315" i="1"/>
  <c r="G315" i="1"/>
  <c r="F315" i="1"/>
  <c r="E315" i="1"/>
  <c r="D315" i="1"/>
  <c r="C315" i="1"/>
  <c r="B315" i="1"/>
  <c r="A315" i="1"/>
  <c r="AK314" i="1"/>
  <c r="AC314" i="1"/>
  <c r="AB314" i="1"/>
  <c r="AA314" i="1"/>
  <c r="Z314" i="1"/>
  <c r="Y314" i="1"/>
  <c r="X314" i="1"/>
  <c r="W314" i="1"/>
  <c r="V314" i="1"/>
  <c r="U314" i="1"/>
  <c r="T314" i="1"/>
  <c r="S314" i="1"/>
  <c r="R314" i="1"/>
  <c r="Q314" i="1"/>
  <c r="P314" i="1"/>
  <c r="O314" i="1"/>
  <c r="N314" i="1"/>
  <c r="M314" i="1"/>
  <c r="K314" i="1"/>
  <c r="I314" i="1"/>
  <c r="H314" i="1"/>
  <c r="G314" i="1"/>
  <c r="F314" i="1"/>
  <c r="E314" i="1"/>
  <c r="D314" i="1"/>
  <c r="C314" i="1"/>
  <c r="B314" i="1"/>
  <c r="A314" i="1"/>
  <c r="AK313" i="1"/>
  <c r="AC313" i="1"/>
  <c r="AB313" i="1"/>
  <c r="AA313" i="1"/>
  <c r="Z313" i="1"/>
  <c r="Y313" i="1"/>
  <c r="X313" i="1"/>
  <c r="W313" i="1"/>
  <c r="V313" i="1"/>
  <c r="U313" i="1"/>
  <c r="T313" i="1"/>
  <c r="S313" i="1"/>
  <c r="R313" i="1"/>
  <c r="Q313" i="1"/>
  <c r="P313" i="1"/>
  <c r="O313" i="1"/>
  <c r="N313" i="1"/>
  <c r="M313" i="1"/>
  <c r="K313" i="1"/>
  <c r="J313" i="1"/>
  <c r="I313" i="1"/>
  <c r="H313" i="1"/>
  <c r="G313" i="1"/>
  <c r="F313" i="1"/>
  <c r="E313" i="1"/>
  <c r="D313" i="1"/>
  <c r="C313" i="1"/>
  <c r="B313" i="1"/>
  <c r="A313" i="1"/>
  <c r="AK312" i="1"/>
  <c r="AC312" i="1"/>
  <c r="AB312" i="1"/>
  <c r="AA312" i="1"/>
  <c r="Z312" i="1"/>
  <c r="Y312" i="1"/>
  <c r="X312" i="1"/>
  <c r="W312" i="1"/>
  <c r="V312" i="1"/>
  <c r="U312" i="1"/>
  <c r="T312" i="1"/>
  <c r="S312" i="1"/>
  <c r="R312" i="1"/>
  <c r="Q312" i="1"/>
  <c r="P312" i="1"/>
  <c r="O312" i="1"/>
  <c r="N312" i="1"/>
  <c r="M312" i="1"/>
  <c r="K312" i="1"/>
  <c r="J312" i="1"/>
  <c r="I312" i="1"/>
  <c r="H312" i="1"/>
  <c r="G312" i="1"/>
  <c r="F312" i="1"/>
  <c r="E312" i="1"/>
  <c r="D312" i="1"/>
  <c r="C312" i="1"/>
  <c r="B312" i="1"/>
  <c r="A312" i="1"/>
  <c r="AK311" i="1"/>
  <c r="AC311" i="1"/>
  <c r="AB311" i="1"/>
  <c r="AA311" i="1"/>
  <c r="Z311" i="1"/>
  <c r="Y311" i="1"/>
  <c r="X311" i="1"/>
  <c r="W311" i="1"/>
  <c r="V311" i="1"/>
  <c r="U311" i="1"/>
  <c r="T311" i="1"/>
  <c r="S311" i="1"/>
  <c r="R311" i="1"/>
  <c r="Q311" i="1"/>
  <c r="P311" i="1"/>
  <c r="O311" i="1"/>
  <c r="N311" i="1"/>
  <c r="M311" i="1"/>
  <c r="K311" i="1"/>
  <c r="I311" i="1"/>
  <c r="H311" i="1"/>
  <c r="G311" i="1"/>
  <c r="F311" i="1"/>
  <c r="E311" i="1"/>
  <c r="D311" i="1"/>
  <c r="C311" i="1"/>
  <c r="B311" i="1"/>
  <c r="A311" i="1"/>
  <c r="AK310" i="1"/>
  <c r="AE310" i="1"/>
  <c r="AD310" i="1"/>
  <c r="AC310" i="1"/>
  <c r="AB310" i="1"/>
  <c r="AA310" i="1"/>
  <c r="Z310" i="1"/>
  <c r="Y310" i="1"/>
  <c r="X310" i="1"/>
  <c r="W310" i="1"/>
  <c r="V310" i="1"/>
  <c r="U310" i="1"/>
  <c r="T310" i="1"/>
  <c r="S310" i="1"/>
  <c r="R310" i="1"/>
  <c r="Q310" i="1"/>
  <c r="P310" i="1"/>
  <c r="O310" i="1"/>
  <c r="N310" i="1"/>
  <c r="M310" i="1"/>
  <c r="K310" i="1"/>
  <c r="J310" i="1"/>
  <c r="I310" i="1"/>
  <c r="H310" i="1"/>
  <c r="G310" i="1"/>
  <c r="F310" i="1"/>
  <c r="E310" i="1"/>
  <c r="D310" i="1"/>
  <c r="C310" i="1"/>
  <c r="B310" i="1"/>
  <c r="A310" i="1"/>
  <c r="AK309" i="1"/>
  <c r="AC309" i="1"/>
  <c r="AB309" i="1"/>
  <c r="AA309" i="1"/>
  <c r="Z309" i="1"/>
  <c r="Y309" i="1"/>
  <c r="X309" i="1"/>
  <c r="W309" i="1"/>
  <c r="V309" i="1"/>
  <c r="U309" i="1"/>
  <c r="T309" i="1"/>
  <c r="S309" i="1"/>
  <c r="R309" i="1"/>
  <c r="Q309" i="1"/>
  <c r="P309" i="1"/>
  <c r="O309" i="1"/>
  <c r="N309" i="1"/>
  <c r="M309" i="1"/>
  <c r="K309" i="1"/>
  <c r="J309" i="1"/>
  <c r="I309" i="1"/>
  <c r="H309" i="1"/>
  <c r="G309" i="1"/>
  <c r="F309" i="1"/>
  <c r="E309" i="1"/>
  <c r="D309" i="1"/>
  <c r="C309" i="1"/>
  <c r="B309" i="1"/>
  <c r="A309" i="1"/>
  <c r="AK308" i="1"/>
  <c r="AC308" i="1"/>
  <c r="AB308" i="1"/>
  <c r="AA308" i="1"/>
  <c r="Z308" i="1"/>
  <c r="Y308" i="1"/>
  <c r="X308" i="1"/>
  <c r="W308" i="1"/>
  <c r="V308" i="1"/>
  <c r="U308" i="1"/>
  <c r="T308" i="1"/>
  <c r="S308" i="1"/>
  <c r="R308" i="1"/>
  <c r="Q308" i="1"/>
  <c r="P308" i="1"/>
  <c r="O308" i="1"/>
  <c r="N308" i="1"/>
  <c r="M308" i="1"/>
  <c r="K308" i="1"/>
  <c r="J308" i="1"/>
  <c r="I308" i="1"/>
  <c r="H308" i="1"/>
  <c r="G308" i="1"/>
  <c r="F308" i="1"/>
  <c r="E308" i="1"/>
  <c r="D308" i="1"/>
  <c r="C308" i="1"/>
  <c r="B308" i="1"/>
  <c r="A308" i="1"/>
  <c r="AK307" i="1"/>
  <c r="AC307" i="1"/>
  <c r="AB307" i="1"/>
  <c r="AA307" i="1"/>
  <c r="Z307" i="1"/>
  <c r="Y307" i="1"/>
  <c r="X307" i="1"/>
  <c r="W307" i="1"/>
  <c r="V307" i="1"/>
  <c r="U307" i="1"/>
  <c r="T307" i="1"/>
  <c r="S307" i="1"/>
  <c r="R307" i="1"/>
  <c r="Q307" i="1"/>
  <c r="P307" i="1"/>
  <c r="N307" i="1"/>
  <c r="M307" i="1"/>
  <c r="K307" i="1"/>
  <c r="I307" i="1"/>
  <c r="H307" i="1"/>
  <c r="G307" i="1"/>
  <c r="F307" i="1"/>
  <c r="E307" i="1"/>
  <c r="D307" i="1"/>
  <c r="C307" i="1"/>
  <c r="B307" i="1"/>
  <c r="A307" i="1"/>
  <c r="AK306" i="1"/>
  <c r="AC306" i="1"/>
  <c r="AB306" i="1"/>
  <c r="AA306" i="1"/>
  <c r="Z306" i="1"/>
  <c r="Y306" i="1"/>
  <c r="X306" i="1"/>
  <c r="W306" i="1"/>
  <c r="V306" i="1"/>
  <c r="U306" i="1"/>
  <c r="T306" i="1"/>
  <c r="S306" i="1"/>
  <c r="R306" i="1"/>
  <c r="Q306" i="1"/>
  <c r="P306" i="1"/>
  <c r="O306" i="1"/>
  <c r="N306" i="1"/>
  <c r="M306" i="1"/>
  <c r="K306" i="1"/>
  <c r="J306" i="1"/>
  <c r="I306" i="1"/>
  <c r="H306" i="1"/>
  <c r="G306" i="1"/>
  <c r="F306" i="1"/>
  <c r="E306" i="1"/>
  <c r="D306" i="1"/>
  <c r="C306" i="1"/>
  <c r="B306" i="1"/>
  <c r="A306" i="1"/>
  <c r="AK305" i="1"/>
  <c r="AC305" i="1"/>
  <c r="AB305" i="1"/>
  <c r="AA305" i="1"/>
  <c r="Z305" i="1"/>
  <c r="Y305" i="1"/>
  <c r="X305" i="1"/>
  <c r="W305" i="1"/>
  <c r="V305" i="1"/>
  <c r="U305" i="1"/>
  <c r="T305" i="1"/>
  <c r="S305" i="1"/>
  <c r="R305" i="1"/>
  <c r="Q305" i="1"/>
  <c r="P305" i="1"/>
  <c r="O305" i="1"/>
  <c r="N305" i="1"/>
  <c r="M305" i="1"/>
  <c r="K305" i="1"/>
  <c r="I305" i="1"/>
  <c r="H305" i="1"/>
  <c r="G305" i="1"/>
  <c r="F305" i="1"/>
  <c r="E305" i="1"/>
  <c r="D305" i="1"/>
  <c r="C305" i="1"/>
  <c r="B305" i="1"/>
  <c r="A305" i="1"/>
  <c r="AK304" i="1"/>
  <c r="AC304" i="1"/>
  <c r="AB304" i="1"/>
  <c r="AA304" i="1"/>
  <c r="Z304" i="1"/>
  <c r="Y304" i="1"/>
  <c r="X304" i="1"/>
  <c r="W304" i="1"/>
  <c r="V304" i="1"/>
  <c r="U304" i="1"/>
  <c r="T304" i="1"/>
  <c r="S304" i="1"/>
  <c r="R304" i="1"/>
  <c r="Q304" i="1"/>
  <c r="P304" i="1"/>
  <c r="O304" i="1"/>
  <c r="N304" i="1"/>
  <c r="M304" i="1"/>
  <c r="K304" i="1"/>
  <c r="J304" i="1"/>
  <c r="I304" i="1"/>
  <c r="H304" i="1"/>
  <c r="G304" i="1"/>
  <c r="F304" i="1"/>
  <c r="E304" i="1"/>
  <c r="D304" i="1"/>
  <c r="C304" i="1"/>
  <c r="B304" i="1"/>
  <c r="A304" i="1"/>
  <c r="AK303" i="1"/>
  <c r="AC303" i="1"/>
  <c r="AB303" i="1"/>
  <c r="AA303" i="1"/>
  <c r="Z303" i="1"/>
  <c r="Y303" i="1"/>
  <c r="X303" i="1"/>
  <c r="W303" i="1"/>
  <c r="V303" i="1"/>
  <c r="U303" i="1"/>
  <c r="T303" i="1"/>
  <c r="S303" i="1"/>
  <c r="R303" i="1"/>
  <c r="Q303" i="1"/>
  <c r="P303" i="1"/>
  <c r="O303" i="1"/>
  <c r="N303" i="1"/>
  <c r="M303" i="1"/>
  <c r="K303" i="1"/>
  <c r="J303" i="1"/>
  <c r="I303" i="1"/>
  <c r="H303" i="1"/>
  <c r="G303" i="1"/>
  <c r="F303" i="1"/>
  <c r="E303" i="1"/>
  <c r="D303" i="1"/>
  <c r="C303" i="1"/>
  <c r="B303" i="1"/>
  <c r="A303" i="1"/>
  <c r="AK302" i="1"/>
  <c r="AC302" i="1"/>
  <c r="AB302" i="1"/>
  <c r="AA302" i="1"/>
  <c r="Z302" i="1"/>
  <c r="Y302" i="1"/>
  <c r="X302" i="1"/>
  <c r="W302" i="1"/>
  <c r="V302" i="1"/>
  <c r="U302" i="1"/>
  <c r="T302" i="1"/>
  <c r="S302" i="1"/>
  <c r="R302" i="1"/>
  <c r="Q302" i="1"/>
  <c r="P302" i="1"/>
  <c r="O302" i="1"/>
  <c r="N302" i="1"/>
  <c r="M302" i="1"/>
  <c r="K302" i="1"/>
  <c r="I302" i="1"/>
  <c r="H302" i="1"/>
  <c r="G302" i="1"/>
  <c r="F302" i="1"/>
  <c r="E302" i="1"/>
  <c r="D302" i="1"/>
  <c r="C302" i="1"/>
  <c r="B302" i="1"/>
  <c r="A302" i="1"/>
  <c r="AK301" i="1"/>
  <c r="AC301" i="1"/>
  <c r="AB301" i="1"/>
  <c r="AA301" i="1"/>
  <c r="Z301" i="1"/>
  <c r="Y301" i="1"/>
  <c r="X301" i="1"/>
  <c r="W301" i="1"/>
  <c r="V301" i="1"/>
  <c r="U301" i="1"/>
  <c r="T301" i="1"/>
  <c r="S301" i="1"/>
  <c r="R301" i="1"/>
  <c r="Q301" i="1"/>
  <c r="P301" i="1"/>
  <c r="O301" i="1"/>
  <c r="N301" i="1"/>
  <c r="M301" i="1"/>
  <c r="K301" i="1"/>
  <c r="J301" i="1"/>
  <c r="I301" i="1"/>
  <c r="H301" i="1"/>
  <c r="G301" i="1"/>
  <c r="F301" i="1"/>
  <c r="E301" i="1"/>
  <c r="D301" i="1"/>
  <c r="C301" i="1"/>
  <c r="B301" i="1"/>
  <c r="A301" i="1"/>
  <c r="AK300" i="1"/>
  <c r="AC300" i="1"/>
  <c r="AB300" i="1"/>
  <c r="AA300" i="1"/>
  <c r="Z300" i="1"/>
  <c r="Y300" i="1"/>
  <c r="X300" i="1"/>
  <c r="W300" i="1"/>
  <c r="V300" i="1"/>
  <c r="U300" i="1"/>
  <c r="T300" i="1"/>
  <c r="S300" i="1"/>
  <c r="R300" i="1"/>
  <c r="Q300" i="1"/>
  <c r="P300" i="1"/>
  <c r="O300" i="1"/>
  <c r="N300" i="1"/>
  <c r="M300" i="1"/>
  <c r="K300" i="1"/>
  <c r="I300" i="1"/>
  <c r="H300" i="1"/>
  <c r="G300" i="1"/>
  <c r="F300" i="1"/>
  <c r="E300" i="1"/>
  <c r="D300" i="1"/>
  <c r="C300" i="1"/>
  <c r="B300" i="1"/>
  <c r="A300" i="1"/>
  <c r="AK299" i="1"/>
  <c r="AC299" i="1"/>
  <c r="AB299" i="1"/>
  <c r="AA299" i="1"/>
  <c r="Z299" i="1"/>
  <c r="Y299" i="1"/>
  <c r="X299" i="1"/>
  <c r="W299" i="1"/>
  <c r="V299" i="1"/>
  <c r="U299" i="1"/>
  <c r="T299" i="1"/>
  <c r="S299" i="1"/>
  <c r="R299" i="1"/>
  <c r="Q299" i="1"/>
  <c r="P299" i="1"/>
  <c r="O299" i="1"/>
  <c r="N299" i="1"/>
  <c r="M299" i="1"/>
  <c r="K299" i="1"/>
  <c r="J299" i="1"/>
  <c r="I299" i="1"/>
  <c r="H299" i="1"/>
  <c r="G299" i="1"/>
  <c r="F299" i="1"/>
  <c r="E299" i="1"/>
  <c r="D299" i="1"/>
  <c r="C299" i="1"/>
  <c r="B299" i="1"/>
  <c r="A299" i="1"/>
  <c r="AK298" i="1"/>
  <c r="AC298" i="1"/>
  <c r="AB298" i="1"/>
  <c r="AA298" i="1"/>
  <c r="Z298" i="1"/>
  <c r="Y298" i="1"/>
  <c r="X298" i="1"/>
  <c r="W298" i="1"/>
  <c r="V298" i="1"/>
  <c r="U298" i="1"/>
  <c r="T298" i="1"/>
  <c r="S298" i="1"/>
  <c r="R298" i="1"/>
  <c r="Q298" i="1"/>
  <c r="P298" i="1"/>
  <c r="O298" i="1"/>
  <c r="N298" i="1"/>
  <c r="M298" i="1"/>
  <c r="K298" i="1"/>
  <c r="I298" i="1"/>
  <c r="H298" i="1"/>
  <c r="G298" i="1"/>
  <c r="F298" i="1"/>
  <c r="E298" i="1"/>
  <c r="D298" i="1"/>
  <c r="C298" i="1"/>
  <c r="B298" i="1"/>
  <c r="A298" i="1"/>
  <c r="AK297" i="1"/>
  <c r="AC297" i="1"/>
  <c r="AB297" i="1"/>
  <c r="AA297" i="1"/>
  <c r="Z297" i="1"/>
  <c r="Y297" i="1"/>
  <c r="X297" i="1"/>
  <c r="W297" i="1"/>
  <c r="V297" i="1"/>
  <c r="U297" i="1"/>
  <c r="T297" i="1"/>
  <c r="S297" i="1"/>
  <c r="R297" i="1"/>
  <c r="Q297" i="1"/>
  <c r="P297" i="1"/>
  <c r="O297" i="1"/>
  <c r="N297" i="1"/>
  <c r="M297" i="1"/>
  <c r="K297" i="1"/>
  <c r="J297" i="1"/>
  <c r="I297" i="1"/>
  <c r="H297" i="1"/>
  <c r="G297" i="1"/>
  <c r="F297" i="1"/>
  <c r="E297" i="1"/>
  <c r="D297" i="1"/>
  <c r="C297" i="1"/>
  <c r="B297" i="1"/>
  <c r="A297" i="1"/>
  <c r="AK296" i="1"/>
  <c r="AC296" i="1"/>
  <c r="AB296" i="1"/>
  <c r="AA296" i="1"/>
  <c r="Z296" i="1"/>
  <c r="Y296" i="1"/>
  <c r="X296" i="1"/>
  <c r="W296" i="1"/>
  <c r="V296" i="1"/>
  <c r="U296" i="1"/>
  <c r="T296" i="1"/>
  <c r="S296" i="1"/>
  <c r="R296" i="1"/>
  <c r="Q296" i="1"/>
  <c r="P296" i="1"/>
  <c r="O296" i="1"/>
  <c r="N296" i="1"/>
  <c r="M296" i="1"/>
  <c r="K296" i="1"/>
  <c r="J296" i="1"/>
  <c r="I296" i="1"/>
  <c r="H296" i="1"/>
  <c r="G296" i="1"/>
  <c r="F296" i="1"/>
  <c r="E296" i="1"/>
  <c r="D296" i="1"/>
  <c r="C296" i="1"/>
  <c r="B296" i="1"/>
  <c r="A296" i="1"/>
  <c r="AK295" i="1"/>
  <c r="AC295" i="1"/>
  <c r="AB295" i="1"/>
  <c r="AA295" i="1"/>
  <c r="Z295" i="1"/>
  <c r="Y295" i="1"/>
  <c r="X295" i="1"/>
  <c r="W295" i="1"/>
  <c r="V295" i="1"/>
  <c r="U295" i="1"/>
  <c r="T295" i="1"/>
  <c r="S295" i="1"/>
  <c r="R295" i="1"/>
  <c r="Q295" i="1"/>
  <c r="P295" i="1"/>
  <c r="O295" i="1"/>
  <c r="N295" i="1"/>
  <c r="M295" i="1"/>
  <c r="K295" i="1"/>
  <c r="J295" i="1"/>
  <c r="I295" i="1"/>
  <c r="H295" i="1"/>
  <c r="G295" i="1"/>
  <c r="F295" i="1"/>
  <c r="E295" i="1"/>
  <c r="D295" i="1"/>
  <c r="C295" i="1"/>
  <c r="B295" i="1"/>
  <c r="A295" i="1"/>
  <c r="AK294" i="1"/>
  <c r="AC294" i="1"/>
  <c r="AB294" i="1"/>
  <c r="AA294" i="1"/>
  <c r="Z294" i="1"/>
  <c r="Y294" i="1"/>
  <c r="X294" i="1"/>
  <c r="W294" i="1"/>
  <c r="V294" i="1"/>
  <c r="U294" i="1"/>
  <c r="T294" i="1"/>
  <c r="S294" i="1"/>
  <c r="R294" i="1"/>
  <c r="Q294" i="1"/>
  <c r="P294" i="1"/>
  <c r="O294" i="1"/>
  <c r="N294" i="1"/>
  <c r="M294" i="1"/>
  <c r="K294" i="1"/>
  <c r="J294" i="1"/>
  <c r="I294" i="1"/>
  <c r="H294" i="1"/>
  <c r="G294" i="1"/>
  <c r="F294" i="1"/>
  <c r="E294" i="1"/>
  <c r="D294" i="1"/>
  <c r="C294" i="1"/>
  <c r="B294" i="1"/>
  <c r="A294" i="1"/>
  <c r="AK293" i="1"/>
  <c r="AC293" i="1"/>
  <c r="AB293" i="1"/>
  <c r="AA293" i="1"/>
  <c r="Z293" i="1"/>
  <c r="Y293" i="1"/>
  <c r="X293" i="1"/>
  <c r="W293" i="1"/>
  <c r="V293" i="1"/>
  <c r="U293" i="1"/>
  <c r="T293" i="1"/>
  <c r="S293" i="1"/>
  <c r="R293" i="1"/>
  <c r="Q293" i="1"/>
  <c r="P293" i="1"/>
  <c r="O293" i="1"/>
  <c r="N293" i="1"/>
  <c r="M293" i="1"/>
  <c r="K293" i="1"/>
  <c r="J293" i="1"/>
  <c r="I293" i="1"/>
  <c r="H293" i="1"/>
  <c r="G293" i="1"/>
  <c r="F293" i="1"/>
  <c r="E293" i="1"/>
  <c r="D293" i="1"/>
  <c r="C293" i="1"/>
  <c r="B293" i="1"/>
  <c r="A293" i="1"/>
  <c r="AK292" i="1"/>
  <c r="AC292" i="1"/>
  <c r="AB292" i="1"/>
  <c r="AA292" i="1"/>
  <c r="Z292" i="1"/>
  <c r="Y292" i="1"/>
  <c r="X292" i="1"/>
  <c r="W292" i="1"/>
  <c r="V292" i="1"/>
  <c r="U292" i="1"/>
  <c r="T292" i="1"/>
  <c r="S292" i="1"/>
  <c r="R292" i="1"/>
  <c r="Q292" i="1"/>
  <c r="P292" i="1"/>
  <c r="O292" i="1"/>
  <c r="N292" i="1"/>
  <c r="M292" i="1"/>
  <c r="K292" i="1"/>
  <c r="J292" i="1"/>
  <c r="I292" i="1"/>
  <c r="H292" i="1"/>
  <c r="G292" i="1"/>
  <c r="F292" i="1"/>
  <c r="E292" i="1"/>
  <c r="D292" i="1"/>
  <c r="C292" i="1"/>
  <c r="B292" i="1"/>
  <c r="A292" i="1"/>
  <c r="AK291" i="1"/>
  <c r="AC291" i="1"/>
  <c r="AB291" i="1"/>
  <c r="AA291" i="1"/>
  <c r="Z291" i="1"/>
  <c r="Y291" i="1"/>
  <c r="X291" i="1"/>
  <c r="W291" i="1"/>
  <c r="V291" i="1"/>
  <c r="U291" i="1"/>
  <c r="T291" i="1"/>
  <c r="S291" i="1"/>
  <c r="R291" i="1"/>
  <c r="Q291" i="1"/>
  <c r="P291" i="1"/>
  <c r="O291" i="1"/>
  <c r="N291" i="1"/>
  <c r="M291" i="1"/>
  <c r="K291" i="1"/>
  <c r="J291" i="1"/>
  <c r="I291" i="1"/>
  <c r="H291" i="1"/>
  <c r="G291" i="1"/>
  <c r="F291" i="1"/>
  <c r="E291" i="1"/>
  <c r="D291" i="1"/>
  <c r="C291" i="1"/>
  <c r="B291" i="1"/>
  <c r="A291" i="1"/>
  <c r="AK290" i="1"/>
  <c r="AC290" i="1"/>
  <c r="AB290" i="1"/>
  <c r="AA290" i="1"/>
  <c r="Z290" i="1"/>
  <c r="Y290" i="1"/>
  <c r="X290" i="1"/>
  <c r="W290" i="1"/>
  <c r="V290" i="1"/>
  <c r="U290" i="1"/>
  <c r="T290" i="1"/>
  <c r="S290" i="1"/>
  <c r="R290" i="1"/>
  <c r="Q290" i="1"/>
  <c r="P290" i="1"/>
  <c r="O290" i="1"/>
  <c r="N290" i="1"/>
  <c r="M290" i="1"/>
  <c r="K290" i="1"/>
  <c r="J290" i="1"/>
  <c r="I290" i="1"/>
  <c r="H290" i="1"/>
  <c r="G290" i="1"/>
  <c r="F290" i="1"/>
  <c r="E290" i="1"/>
  <c r="D290" i="1"/>
  <c r="C290" i="1"/>
  <c r="B290" i="1"/>
  <c r="A290" i="1"/>
  <c r="AK289" i="1"/>
  <c r="AC289" i="1"/>
  <c r="AB289" i="1"/>
  <c r="AA289" i="1"/>
  <c r="Z289" i="1"/>
  <c r="Y289" i="1"/>
  <c r="X289" i="1"/>
  <c r="W289" i="1"/>
  <c r="V289" i="1"/>
  <c r="U289" i="1"/>
  <c r="T289" i="1"/>
  <c r="S289" i="1"/>
  <c r="R289" i="1"/>
  <c r="Q289" i="1"/>
  <c r="P289" i="1"/>
  <c r="O289" i="1"/>
  <c r="N289" i="1"/>
  <c r="M289" i="1"/>
  <c r="K289" i="1"/>
  <c r="I289" i="1"/>
  <c r="H289" i="1"/>
  <c r="G289" i="1"/>
  <c r="F289" i="1"/>
  <c r="E289" i="1"/>
  <c r="D289" i="1"/>
  <c r="C289" i="1"/>
  <c r="B289" i="1"/>
  <c r="A289" i="1"/>
  <c r="AK288" i="1"/>
  <c r="AC288" i="1"/>
  <c r="AB288" i="1"/>
  <c r="AA288" i="1"/>
  <c r="Z288" i="1"/>
  <c r="Y288" i="1"/>
  <c r="X288" i="1"/>
  <c r="W288" i="1"/>
  <c r="V288" i="1"/>
  <c r="U288" i="1"/>
  <c r="T288" i="1"/>
  <c r="S288" i="1"/>
  <c r="R288" i="1"/>
  <c r="Q288" i="1"/>
  <c r="P288" i="1"/>
  <c r="O288" i="1"/>
  <c r="N288" i="1"/>
  <c r="M288" i="1"/>
  <c r="K288" i="1"/>
  <c r="J288" i="1"/>
  <c r="I288" i="1"/>
  <c r="H288" i="1"/>
  <c r="G288" i="1"/>
  <c r="F288" i="1"/>
  <c r="E288" i="1"/>
  <c r="D288" i="1"/>
  <c r="C288" i="1"/>
  <c r="B288" i="1"/>
  <c r="A288" i="1"/>
  <c r="AK287" i="1"/>
  <c r="AC287" i="1"/>
  <c r="AB287" i="1"/>
  <c r="AA287" i="1"/>
  <c r="Z287" i="1"/>
  <c r="Y287" i="1"/>
  <c r="X287" i="1"/>
  <c r="W287" i="1"/>
  <c r="V287" i="1"/>
  <c r="U287" i="1"/>
  <c r="T287" i="1"/>
  <c r="S287" i="1"/>
  <c r="R287" i="1"/>
  <c r="Q287" i="1"/>
  <c r="P287" i="1"/>
  <c r="O287" i="1"/>
  <c r="N287" i="1"/>
  <c r="M287" i="1"/>
  <c r="K287" i="1"/>
  <c r="J287" i="1"/>
  <c r="I287" i="1"/>
  <c r="H287" i="1"/>
  <c r="G287" i="1"/>
  <c r="F287" i="1"/>
  <c r="E287" i="1"/>
  <c r="D287" i="1"/>
  <c r="B287" i="1"/>
  <c r="A287" i="1"/>
  <c r="AK286" i="1"/>
  <c r="AC286" i="1"/>
  <c r="AB286" i="1"/>
  <c r="AA286" i="1"/>
  <c r="Z286" i="1"/>
  <c r="Y286" i="1"/>
  <c r="X286" i="1"/>
  <c r="W286" i="1"/>
  <c r="V286" i="1"/>
  <c r="U286" i="1"/>
  <c r="T286" i="1"/>
  <c r="S286" i="1"/>
  <c r="R286" i="1"/>
  <c r="Q286" i="1"/>
  <c r="P286" i="1"/>
  <c r="O286" i="1"/>
  <c r="N286" i="1"/>
  <c r="M286" i="1"/>
  <c r="K286" i="1"/>
  <c r="J286" i="1"/>
  <c r="I286" i="1"/>
  <c r="H286" i="1"/>
  <c r="G286" i="1"/>
  <c r="F286" i="1"/>
  <c r="E286" i="1"/>
  <c r="D286" i="1"/>
  <c r="C286" i="1"/>
  <c r="B286" i="1"/>
  <c r="A286" i="1"/>
  <c r="AK285" i="1"/>
  <c r="AC285" i="1"/>
  <c r="AB285" i="1"/>
  <c r="AA285" i="1"/>
  <c r="Z285" i="1"/>
  <c r="Y285" i="1"/>
  <c r="X285" i="1"/>
  <c r="W285" i="1"/>
  <c r="V285" i="1"/>
  <c r="U285" i="1"/>
  <c r="T285" i="1"/>
  <c r="S285" i="1"/>
  <c r="R285" i="1"/>
  <c r="Q285" i="1"/>
  <c r="P285" i="1"/>
  <c r="O285" i="1"/>
  <c r="N285" i="1"/>
  <c r="M285" i="1"/>
  <c r="K285" i="1"/>
  <c r="J285" i="1"/>
  <c r="I285" i="1"/>
  <c r="H285" i="1"/>
  <c r="G285" i="1"/>
  <c r="F285" i="1"/>
  <c r="E285" i="1"/>
  <c r="D285" i="1"/>
  <c r="C285" i="1"/>
  <c r="B285" i="1"/>
  <c r="A285" i="1"/>
  <c r="AK284" i="1"/>
  <c r="AC284" i="1"/>
  <c r="AB284" i="1"/>
  <c r="AA284" i="1"/>
  <c r="Z284" i="1"/>
  <c r="Y284" i="1"/>
  <c r="X284" i="1"/>
  <c r="W284" i="1"/>
  <c r="V284" i="1"/>
  <c r="U284" i="1"/>
  <c r="T284" i="1"/>
  <c r="S284" i="1"/>
  <c r="R284" i="1"/>
  <c r="Q284" i="1"/>
  <c r="P284" i="1"/>
  <c r="O284" i="1"/>
  <c r="N284" i="1"/>
  <c r="M284" i="1"/>
  <c r="K284" i="1"/>
  <c r="J284" i="1"/>
  <c r="I284" i="1"/>
  <c r="H284" i="1"/>
  <c r="G284" i="1"/>
  <c r="F284" i="1"/>
  <c r="E284" i="1"/>
  <c r="D284" i="1"/>
  <c r="C284" i="1"/>
  <c r="B284" i="1"/>
  <c r="A284" i="1"/>
  <c r="AK283" i="1"/>
  <c r="AC283" i="1"/>
  <c r="AB283" i="1"/>
  <c r="AA283" i="1"/>
  <c r="Z283" i="1"/>
  <c r="Y283" i="1"/>
  <c r="X283" i="1"/>
  <c r="W283" i="1"/>
  <c r="V283" i="1"/>
  <c r="U283" i="1"/>
  <c r="T283" i="1"/>
  <c r="S283" i="1"/>
  <c r="R283" i="1"/>
  <c r="Q283" i="1"/>
  <c r="P283" i="1"/>
  <c r="O283" i="1"/>
  <c r="N283" i="1"/>
  <c r="M283" i="1"/>
  <c r="K283" i="1"/>
  <c r="J283" i="1"/>
  <c r="I283" i="1"/>
  <c r="H283" i="1"/>
  <c r="G283" i="1"/>
  <c r="F283" i="1"/>
  <c r="E283" i="1"/>
  <c r="D283" i="1"/>
  <c r="C283" i="1"/>
  <c r="B283" i="1"/>
  <c r="A283" i="1"/>
  <c r="AK282" i="1"/>
  <c r="AC282" i="1"/>
  <c r="AB282" i="1"/>
  <c r="AA282" i="1"/>
  <c r="Z282" i="1"/>
  <c r="Y282" i="1"/>
  <c r="X282" i="1"/>
  <c r="W282" i="1"/>
  <c r="V282" i="1"/>
  <c r="U282" i="1"/>
  <c r="T282" i="1"/>
  <c r="S282" i="1"/>
  <c r="R282" i="1"/>
  <c r="Q282" i="1"/>
  <c r="P282" i="1"/>
  <c r="O282" i="1"/>
  <c r="N282" i="1"/>
  <c r="M282" i="1"/>
  <c r="K282" i="1"/>
  <c r="J282" i="1"/>
  <c r="I282" i="1"/>
  <c r="H282" i="1"/>
  <c r="G282" i="1"/>
  <c r="F282" i="1"/>
  <c r="E282" i="1"/>
  <c r="D282" i="1"/>
  <c r="C282" i="1"/>
  <c r="B282" i="1"/>
  <c r="A282" i="1"/>
  <c r="AK281" i="1"/>
  <c r="AC281" i="1"/>
  <c r="AB281" i="1"/>
  <c r="AA281" i="1"/>
  <c r="Z281" i="1"/>
  <c r="Y281" i="1"/>
  <c r="X281" i="1"/>
  <c r="W281" i="1"/>
  <c r="V281" i="1"/>
  <c r="U281" i="1"/>
  <c r="T281" i="1"/>
  <c r="S281" i="1"/>
  <c r="R281" i="1"/>
  <c r="Q281" i="1"/>
  <c r="P281" i="1"/>
  <c r="O281" i="1"/>
  <c r="N281" i="1"/>
  <c r="M281" i="1"/>
  <c r="K281" i="1"/>
  <c r="J281" i="1"/>
  <c r="I281" i="1"/>
  <c r="H281" i="1"/>
  <c r="G281" i="1"/>
  <c r="F281" i="1"/>
  <c r="E281" i="1"/>
  <c r="D281" i="1"/>
  <c r="C281" i="1"/>
  <c r="B281" i="1"/>
  <c r="A281" i="1"/>
  <c r="AK280" i="1"/>
  <c r="AC280" i="1"/>
  <c r="AB280" i="1"/>
  <c r="AA280" i="1"/>
  <c r="Z280" i="1"/>
  <c r="Y280" i="1"/>
  <c r="X280" i="1"/>
  <c r="W280" i="1"/>
  <c r="V280" i="1"/>
  <c r="U280" i="1"/>
  <c r="T280" i="1"/>
  <c r="S280" i="1"/>
  <c r="R280" i="1"/>
  <c r="Q280" i="1"/>
  <c r="P280" i="1"/>
  <c r="O280" i="1"/>
  <c r="N280" i="1"/>
  <c r="M280" i="1"/>
  <c r="K280" i="1"/>
  <c r="J280" i="1"/>
  <c r="I280" i="1"/>
  <c r="H280" i="1"/>
  <c r="G280" i="1"/>
  <c r="F280" i="1"/>
  <c r="E280" i="1"/>
  <c r="D280" i="1"/>
  <c r="C280" i="1"/>
  <c r="B280" i="1"/>
  <c r="A280" i="1"/>
  <c r="AK279" i="1"/>
  <c r="AC279" i="1"/>
  <c r="AB279" i="1"/>
  <c r="AA279" i="1"/>
  <c r="Z279" i="1"/>
  <c r="Y279" i="1"/>
  <c r="X279" i="1"/>
  <c r="W279" i="1"/>
  <c r="V279" i="1"/>
  <c r="U279" i="1"/>
  <c r="T279" i="1"/>
  <c r="S279" i="1"/>
  <c r="R279" i="1"/>
  <c r="Q279" i="1"/>
  <c r="P279" i="1"/>
  <c r="O279" i="1"/>
  <c r="N279" i="1"/>
  <c r="M279" i="1"/>
  <c r="K279" i="1"/>
  <c r="I279" i="1"/>
  <c r="H279" i="1"/>
  <c r="G279" i="1"/>
  <c r="F279" i="1"/>
  <c r="E279" i="1"/>
  <c r="D279" i="1"/>
  <c r="C279" i="1"/>
  <c r="B279" i="1"/>
  <c r="A279" i="1"/>
  <c r="AK278" i="1"/>
  <c r="AC278" i="1"/>
  <c r="AB278" i="1"/>
  <c r="AA278" i="1"/>
  <c r="Z278" i="1"/>
  <c r="Y278" i="1"/>
  <c r="X278" i="1"/>
  <c r="W278" i="1"/>
  <c r="V278" i="1"/>
  <c r="U278" i="1"/>
  <c r="T278" i="1"/>
  <c r="S278" i="1"/>
  <c r="R278" i="1"/>
  <c r="Q278" i="1"/>
  <c r="P278" i="1"/>
  <c r="N278" i="1"/>
  <c r="M278" i="1"/>
  <c r="K278" i="1"/>
  <c r="J278" i="1"/>
  <c r="I278" i="1"/>
  <c r="H278" i="1"/>
  <c r="G278" i="1"/>
  <c r="F278" i="1"/>
  <c r="E278" i="1"/>
  <c r="D278" i="1"/>
  <c r="C278" i="1"/>
  <c r="B278" i="1"/>
  <c r="A278" i="1"/>
  <c r="AK277" i="1"/>
  <c r="AC277" i="1"/>
  <c r="AB277" i="1"/>
  <c r="AA277" i="1"/>
  <c r="Z277" i="1"/>
  <c r="Y277" i="1"/>
  <c r="X277" i="1"/>
  <c r="W277" i="1"/>
  <c r="V277" i="1"/>
  <c r="U277" i="1"/>
  <c r="T277" i="1"/>
  <c r="S277" i="1"/>
  <c r="R277" i="1"/>
  <c r="Q277" i="1"/>
  <c r="P277" i="1"/>
  <c r="O277" i="1"/>
  <c r="N277" i="1"/>
  <c r="M277" i="1"/>
  <c r="K277" i="1"/>
  <c r="I277" i="1"/>
  <c r="H277" i="1"/>
  <c r="G277" i="1"/>
  <c r="F277" i="1"/>
  <c r="E277" i="1"/>
  <c r="D277" i="1"/>
  <c r="C277" i="1"/>
  <c r="B277" i="1"/>
  <c r="A277" i="1"/>
  <c r="AK276" i="1"/>
  <c r="AC276" i="1"/>
  <c r="AB276" i="1"/>
  <c r="AA276" i="1"/>
  <c r="Z276" i="1"/>
  <c r="Y276" i="1"/>
  <c r="X276" i="1"/>
  <c r="W276" i="1"/>
  <c r="V276" i="1"/>
  <c r="U276" i="1"/>
  <c r="T276" i="1"/>
  <c r="S276" i="1"/>
  <c r="R276" i="1"/>
  <c r="Q276" i="1"/>
  <c r="P276" i="1"/>
  <c r="O276" i="1"/>
  <c r="N276" i="1"/>
  <c r="M276" i="1"/>
  <c r="K276" i="1"/>
  <c r="I276" i="1"/>
  <c r="H276" i="1"/>
  <c r="G276" i="1"/>
  <c r="F276" i="1"/>
  <c r="E276" i="1"/>
  <c r="D276" i="1"/>
  <c r="C276" i="1"/>
  <c r="B276" i="1"/>
  <c r="A276" i="1"/>
  <c r="AK275" i="1"/>
  <c r="AC275" i="1"/>
  <c r="AB275" i="1"/>
  <c r="AA275" i="1"/>
  <c r="Z275" i="1"/>
  <c r="Y275" i="1"/>
  <c r="X275" i="1"/>
  <c r="W275" i="1"/>
  <c r="V275" i="1"/>
  <c r="U275" i="1"/>
  <c r="T275" i="1"/>
  <c r="S275" i="1"/>
  <c r="R275" i="1"/>
  <c r="Q275" i="1"/>
  <c r="P275" i="1"/>
  <c r="O275" i="1"/>
  <c r="N275" i="1"/>
  <c r="M275" i="1"/>
  <c r="K275" i="1"/>
  <c r="J275" i="1"/>
  <c r="I275" i="1"/>
  <c r="H275" i="1"/>
  <c r="G275" i="1"/>
  <c r="F275" i="1"/>
  <c r="E275" i="1"/>
  <c r="D275" i="1"/>
  <c r="C275" i="1"/>
  <c r="B275" i="1"/>
  <c r="A275" i="1"/>
  <c r="AK274" i="1"/>
  <c r="AC274" i="1"/>
  <c r="AB274" i="1"/>
  <c r="AA274" i="1"/>
  <c r="Z274" i="1"/>
  <c r="Y274" i="1"/>
  <c r="X274" i="1"/>
  <c r="W274" i="1"/>
  <c r="V274" i="1"/>
  <c r="U274" i="1"/>
  <c r="T274" i="1"/>
  <c r="S274" i="1"/>
  <c r="R274" i="1"/>
  <c r="Q274" i="1"/>
  <c r="P274" i="1"/>
  <c r="N274" i="1"/>
  <c r="M274" i="1"/>
  <c r="L274" i="1"/>
  <c r="K274" i="1"/>
  <c r="J274" i="1"/>
  <c r="I274" i="1"/>
  <c r="H274" i="1"/>
  <c r="G274" i="1"/>
  <c r="F274" i="1"/>
  <c r="E274" i="1"/>
  <c r="D274" i="1"/>
  <c r="C274" i="1"/>
  <c r="B274" i="1"/>
  <c r="A274" i="1"/>
  <c r="AK273" i="1"/>
  <c r="AC273" i="1"/>
  <c r="AB273" i="1"/>
  <c r="AA273" i="1"/>
  <c r="Z273" i="1"/>
  <c r="Y273" i="1"/>
  <c r="X273" i="1"/>
  <c r="W273" i="1"/>
  <c r="V273" i="1"/>
  <c r="U273" i="1"/>
  <c r="T273" i="1"/>
  <c r="S273" i="1"/>
  <c r="R273" i="1"/>
  <c r="Q273" i="1"/>
  <c r="P273" i="1"/>
  <c r="O273" i="1"/>
  <c r="N273" i="1"/>
  <c r="M273" i="1"/>
  <c r="K273" i="1"/>
  <c r="J273" i="1"/>
  <c r="I273" i="1"/>
  <c r="H273" i="1"/>
  <c r="G273" i="1"/>
  <c r="F273" i="1"/>
  <c r="E273" i="1"/>
  <c r="D273" i="1"/>
  <c r="C273" i="1"/>
  <c r="B273" i="1"/>
  <c r="A273" i="1"/>
  <c r="AK272" i="1"/>
  <c r="AC272" i="1"/>
  <c r="AB272" i="1"/>
  <c r="AA272" i="1"/>
  <c r="Z272" i="1"/>
  <c r="Y272" i="1"/>
  <c r="X272" i="1"/>
  <c r="W272" i="1"/>
  <c r="V272" i="1"/>
  <c r="U272" i="1"/>
  <c r="T272" i="1"/>
  <c r="S272" i="1"/>
  <c r="R272" i="1"/>
  <c r="Q272" i="1"/>
  <c r="P272" i="1"/>
  <c r="O272" i="1"/>
  <c r="N272" i="1"/>
  <c r="M272" i="1"/>
  <c r="K272" i="1"/>
  <c r="I272" i="1"/>
  <c r="H272" i="1"/>
  <c r="G272" i="1"/>
  <c r="F272" i="1"/>
  <c r="E272" i="1"/>
  <c r="D272" i="1"/>
  <c r="C272" i="1"/>
  <c r="B272" i="1"/>
  <c r="A272" i="1"/>
  <c r="AK271" i="1"/>
  <c r="AC271" i="1"/>
  <c r="AB271" i="1"/>
  <c r="AA271" i="1"/>
  <c r="Z271" i="1"/>
  <c r="Y271" i="1"/>
  <c r="X271" i="1"/>
  <c r="W271" i="1"/>
  <c r="V271" i="1"/>
  <c r="U271" i="1"/>
  <c r="T271" i="1"/>
  <c r="S271" i="1"/>
  <c r="R271" i="1"/>
  <c r="Q271" i="1"/>
  <c r="P271" i="1"/>
  <c r="O271" i="1"/>
  <c r="N271" i="1"/>
  <c r="M271" i="1"/>
  <c r="K271" i="1"/>
  <c r="J271" i="1"/>
  <c r="I271" i="1"/>
  <c r="H271" i="1"/>
  <c r="G271" i="1"/>
  <c r="F271" i="1"/>
  <c r="E271" i="1"/>
  <c r="D271" i="1"/>
  <c r="C271" i="1"/>
  <c r="B271" i="1"/>
  <c r="A271" i="1"/>
  <c r="AK270" i="1"/>
  <c r="AC270" i="1"/>
  <c r="AB270" i="1"/>
  <c r="AA270" i="1"/>
  <c r="Z270" i="1"/>
  <c r="Y270" i="1"/>
  <c r="X270" i="1"/>
  <c r="W270" i="1"/>
  <c r="V270" i="1"/>
  <c r="U270" i="1"/>
  <c r="T270" i="1"/>
  <c r="S270" i="1"/>
  <c r="R270" i="1"/>
  <c r="Q270" i="1"/>
  <c r="P270" i="1"/>
  <c r="O270" i="1"/>
  <c r="N270" i="1"/>
  <c r="M270" i="1"/>
  <c r="K270" i="1"/>
  <c r="J270" i="1"/>
  <c r="I270" i="1"/>
  <c r="H270" i="1"/>
  <c r="G270" i="1"/>
  <c r="F270" i="1"/>
  <c r="E270" i="1"/>
  <c r="D270" i="1"/>
  <c r="C270" i="1"/>
  <c r="B270" i="1"/>
  <c r="A270" i="1"/>
  <c r="AK269" i="1"/>
  <c r="AC269" i="1"/>
  <c r="AB269" i="1"/>
  <c r="AA269" i="1"/>
  <c r="Z269" i="1"/>
  <c r="Y269" i="1"/>
  <c r="X269" i="1"/>
  <c r="W269" i="1"/>
  <c r="V269" i="1"/>
  <c r="U269" i="1"/>
  <c r="T269" i="1"/>
  <c r="S269" i="1"/>
  <c r="R269" i="1"/>
  <c r="Q269" i="1"/>
  <c r="P269" i="1"/>
  <c r="O269" i="1"/>
  <c r="N269" i="1"/>
  <c r="M269" i="1"/>
  <c r="K269" i="1"/>
  <c r="J269" i="1"/>
  <c r="I269" i="1"/>
  <c r="H269" i="1"/>
  <c r="G269" i="1"/>
  <c r="F269" i="1"/>
  <c r="E269" i="1"/>
  <c r="D269" i="1"/>
  <c r="C269" i="1"/>
  <c r="B269" i="1"/>
  <c r="A269" i="1"/>
  <c r="AK268" i="1"/>
  <c r="AC268" i="1"/>
  <c r="AB268" i="1"/>
  <c r="AA268" i="1"/>
  <c r="Z268" i="1"/>
  <c r="Y268" i="1"/>
  <c r="X268" i="1"/>
  <c r="W268" i="1"/>
  <c r="V268" i="1"/>
  <c r="U268" i="1"/>
  <c r="T268" i="1"/>
  <c r="S268" i="1"/>
  <c r="R268" i="1"/>
  <c r="Q268" i="1"/>
  <c r="P268" i="1"/>
  <c r="O268" i="1"/>
  <c r="N268" i="1"/>
  <c r="M268" i="1"/>
  <c r="K268" i="1"/>
  <c r="J268" i="1"/>
  <c r="I268" i="1"/>
  <c r="H268" i="1"/>
  <c r="G268" i="1"/>
  <c r="F268" i="1"/>
  <c r="E268" i="1"/>
  <c r="D268" i="1"/>
  <c r="C268" i="1"/>
  <c r="B268" i="1"/>
  <c r="A268" i="1"/>
  <c r="AK267" i="1"/>
  <c r="AC267" i="1"/>
  <c r="AB267" i="1"/>
  <c r="AA267" i="1"/>
  <c r="Z267" i="1"/>
  <c r="Y267" i="1"/>
  <c r="X267" i="1"/>
  <c r="W267" i="1"/>
  <c r="V267" i="1"/>
  <c r="U267" i="1"/>
  <c r="T267" i="1"/>
  <c r="S267" i="1"/>
  <c r="R267" i="1"/>
  <c r="Q267" i="1"/>
  <c r="P267" i="1"/>
  <c r="O267" i="1"/>
  <c r="N267" i="1"/>
  <c r="M267" i="1"/>
  <c r="K267" i="1"/>
  <c r="J267" i="1"/>
  <c r="I267" i="1"/>
  <c r="H267" i="1"/>
  <c r="G267" i="1"/>
  <c r="F267" i="1"/>
  <c r="E267" i="1"/>
  <c r="D267" i="1"/>
  <c r="C267" i="1"/>
  <c r="B267" i="1"/>
  <c r="A267" i="1"/>
  <c r="AK266" i="1"/>
  <c r="AC266" i="1"/>
  <c r="AB266" i="1"/>
  <c r="AA266" i="1"/>
  <c r="Z266" i="1"/>
  <c r="Y266" i="1"/>
  <c r="X266" i="1"/>
  <c r="W266" i="1"/>
  <c r="V266" i="1"/>
  <c r="U266" i="1"/>
  <c r="T266" i="1"/>
  <c r="S266" i="1"/>
  <c r="R266" i="1"/>
  <c r="Q266" i="1"/>
  <c r="P266" i="1"/>
  <c r="O266" i="1"/>
  <c r="N266" i="1"/>
  <c r="M266" i="1"/>
  <c r="K266" i="1"/>
  <c r="I266" i="1"/>
  <c r="H266" i="1"/>
  <c r="G266" i="1"/>
  <c r="F266" i="1"/>
  <c r="E266" i="1"/>
  <c r="D266" i="1"/>
  <c r="C266" i="1"/>
  <c r="B266" i="1"/>
  <c r="A266" i="1"/>
  <c r="AK265" i="1"/>
  <c r="AC265" i="1"/>
  <c r="AB265" i="1"/>
  <c r="AA265" i="1"/>
  <c r="Z265" i="1"/>
  <c r="Y265" i="1"/>
  <c r="X265" i="1"/>
  <c r="W265" i="1"/>
  <c r="V265" i="1"/>
  <c r="U265" i="1"/>
  <c r="T265" i="1"/>
  <c r="S265" i="1"/>
  <c r="R265" i="1"/>
  <c r="Q265" i="1"/>
  <c r="P265" i="1"/>
  <c r="O265" i="1"/>
  <c r="N265" i="1"/>
  <c r="M265" i="1"/>
  <c r="K265" i="1"/>
  <c r="I265" i="1"/>
  <c r="H265" i="1"/>
  <c r="G265" i="1"/>
  <c r="F265" i="1"/>
  <c r="E265" i="1"/>
  <c r="D265" i="1"/>
  <c r="C265" i="1"/>
  <c r="B265" i="1"/>
  <c r="A265" i="1"/>
  <c r="AK264" i="1"/>
  <c r="AC264" i="1"/>
  <c r="AB264" i="1"/>
  <c r="AA264" i="1"/>
  <c r="Z264" i="1"/>
  <c r="Y264" i="1"/>
  <c r="X264" i="1"/>
  <c r="W264" i="1"/>
  <c r="V264" i="1"/>
  <c r="U264" i="1"/>
  <c r="T264" i="1"/>
  <c r="S264" i="1"/>
  <c r="R264" i="1"/>
  <c r="Q264" i="1"/>
  <c r="P264" i="1"/>
  <c r="O264" i="1"/>
  <c r="N264" i="1"/>
  <c r="M264" i="1"/>
  <c r="K264" i="1"/>
  <c r="I264" i="1"/>
  <c r="H264" i="1"/>
  <c r="G264" i="1"/>
  <c r="F264" i="1"/>
  <c r="E264" i="1"/>
  <c r="D264" i="1"/>
  <c r="C264" i="1"/>
  <c r="B264" i="1"/>
  <c r="A264" i="1"/>
  <c r="AK263" i="1"/>
  <c r="AC263" i="1"/>
  <c r="AB263" i="1"/>
  <c r="AA263" i="1"/>
  <c r="Z263" i="1"/>
  <c r="Y263" i="1"/>
  <c r="X263" i="1"/>
  <c r="W263" i="1"/>
  <c r="V263" i="1"/>
  <c r="U263" i="1"/>
  <c r="T263" i="1"/>
  <c r="S263" i="1"/>
  <c r="R263" i="1"/>
  <c r="Q263" i="1"/>
  <c r="P263" i="1"/>
  <c r="O263" i="1"/>
  <c r="N263" i="1"/>
  <c r="M263" i="1"/>
  <c r="K263" i="1"/>
  <c r="J263" i="1"/>
  <c r="I263" i="1"/>
  <c r="H263" i="1"/>
  <c r="G263" i="1"/>
  <c r="F263" i="1"/>
  <c r="E263" i="1"/>
  <c r="D263" i="1"/>
  <c r="C263" i="1"/>
  <c r="B263" i="1"/>
  <c r="A263" i="1"/>
  <c r="AK262" i="1"/>
  <c r="AC262" i="1"/>
  <c r="AB262" i="1"/>
  <c r="AA262" i="1"/>
  <c r="Z262" i="1"/>
  <c r="Y262" i="1"/>
  <c r="X262" i="1"/>
  <c r="W262" i="1"/>
  <c r="V262" i="1"/>
  <c r="U262" i="1"/>
  <c r="T262" i="1"/>
  <c r="S262" i="1"/>
  <c r="R262" i="1"/>
  <c r="Q262" i="1"/>
  <c r="P262" i="1"/>
  <c r="O262" i="1"/>
  <c r="N262" i="1"/>
  <c r="M262" i="1"/>
  <c r="K262" i="1"/>
  <c r="I262" i="1"/>
  <c r="H262" i="1"/>
  <c r="G262" i="1"/>
  <c r="F262" i="1"/>
  <c r="E262" i="1"/>
  <c r="D262" i="1"/>
  <c r="C262" i="1"/>
  <c r="B262" i="1"/>
  <c r="A262" i="1"/>
  <c r="AK261" i="1"/>
  <c r="AC261" i="1"/>
  <c r="AB261" i="1"/>
  <c r="AA261" i="1"/>
  <c r="Z261" i="1"/>
  <c r="Y261" i="1"/>
  <c r="X261" i="1"/>
  <c r="W261" i="1"/>
  <c r="V261" i="1"/>
  <c r="U261" i="1"/>
  <c r="T261" i="1"/>
  <c r="S261" i="1"/>
  <c r="R261" i="1"/>
  <c r="Q261" i="1"/>
  <c r="P261" i="1"/>
  <c r="O261" i="1"/>
  <c r="N261" i="1"/>
  <c r="M261" i="1"/>
  <c r="K261" i="1"/>
  <c r="J261" i="1"/>
  <c r="I261" i="1"/>
  <c r="H261" i="1"/>
  <c r="G261" i="1"/>
  <c r="F261" i="1"/>
  <c r="E261" i="1"/>
  <c r="D261" i="1"/>
  <c r="C261" i="1"/>
  <c r="B261" i="1"/>
  <c r="A261" i="1"/>
  <c r="AK260" i="1"/>
  <c r="AC260" i="1"/>
  <c r="AB260" i="1"/>
  <c r="AA260" i="1"/>
  <c r="Z260" i="1"/>
  <c r="Y260" i="1"/>
  <c r="X260" i="1"/>
  <c r="W260" i="1"/>
  <c r="V260" i="1"/>
  <c r="U260" i="1"/>
  <c r="T260" i="1"/>
  <c r="S260" i="1"/>
  <c r="R260" i="1"/>
  <c r="Q260" i="1"/>
  <c r="P260" i="1"/>
  <c r="O260" i="1"/>
  <c r="N260" i="1"/>
  <c r="M260" i="1"/>
  <c r="K260" i="1"/>
  <c r="J260" i="1"/>
  <c r="I260" i="1"/>
  <c r="H260" i="1"/>
  <c r="G260" i="1"/>
  <c r="F260" i="1"/>
  <c r="E260" i="1"/>
  <c r="D260" i="1"/>
  <c r="C260" i="1"/>
  <c r="B260" i="1"/>
  <c r="A260" i="1"/>
  <c r="AK259" i="1"/>
  <c r="AC259" i="1"/>
  <c r="AB259" i="1"/>
  <c r="AA259" i="1"/>
  <c r="Z259" i="1"/>
  <c r="Y259" i="1"/>
  <c r="X259" i="1"/>
  <c r="W259" i="1"/>
  <c r="V259" i="1"/>
  <c r="U259" i="1"/>
  <c r="T259" i="1"/>
  <c r="S259" i="1"/>
  <c r="R259" i="1"/>
  <c r="Q259" i="1"/>
  <c r="P259" i="1"/>
  <c r="O259" i="1"/>
  <c r="N259" i="1"/>
  <c r="M259" i="1"/>
  <c r="K259" i="1"/>
  <c r="J259" i="1"/>
  <c r="I259" i="1"/>
  <c r="H259" i="1"/>
  <c r="G259" i="1"/>
  <c r="F259" i="1"/>
  <c r="E259" i="1"/>
  <c r="D259" i="1"/>
  <c r="C259" i="1"/>
  <c r="B259" i="1"/>
  <c r="A259" i="1"/>
  <c r="AK258" i="1"/>
  <c r="AC258" i="1"/>
  <c r="AB258" i="1"/>
  <c r="AA258" i="1"/>
  <c r="Z258" i="1"/>
  <c r="Y258" i="1"/>
  <c r="X258" i="1"/>
  <c r="W258" i="1"/>
  <c r="V258" i="1"/>
  <c r="U258" i="1"/>
  <c r="T258" i="1"/>
  <c r="S258" i="1"/>
  <c r="R258" i="1"/>
  <c r="Q258" i="1"/>
  <c r="P258" i="1"/>
  <c r="O258" i="1"/>
  <c r="N258" i="1"/>
  <c r="M258" i="1"/>
  <c r="K258" i="1"/>
  <c r="I258" i="1"/>
  <c r="H258" i="1"/>
  <c r="G258" i="1"/>
  <c r="F258" i="1"/>
  <c r="E258" i="1"/>
  <c r="D258" i="1"/>
  <c r="C258" i="1"/>
  <c r="B258" i="1"/>
  <c r="A258" i="1"/>
  <c r="AK257" i="1"/>
  <c r="AC257" i="1"/>
  <c r="AB257" i="1"/>
  <c r="AA257" i="1"/>
  <c r="Z257" i="1"/>
  <c r="Y257" i="1"/>
  <c r="X257" i="1"/>
  <c r="W257" i="1"/>
  <c r="V257" i="1"/>
  <c r="U257" i="1"/>
  <c r="T257" i="1"/>
  <c r="S257" i="1"/>
  <c r="R257" i="1"/>
  <c r="Q257" i="1"/>
  <c r="P257" i="1"/>
  <c r="O257" i="1"/>
  <c r="N257" i="1"/>
  <c r="M257" i="1"/>
  <c r="K257" i="1"/>
  <c r="J257" i="1"/>
  <c r="I257" i="1"/>
  <c r="H257" i="1"/>
  <c r="G257" i="1"/>
  <c r="F257" i="1"/>
  <c r="E257" i="1"/>
  <c r="D257" i="1"/>
  <c r="C257" i="1"/>
  <c r="B257" i="1"/>
  <c r="A257" i="1"/>
  <c r="AK256" i="1"/>
  <c r="AC256" i="1"/>
  <c r="AB256" i="1"/>
  <c r="AA256" i="1"/>
  <c r="Z256" i="1"/>
  <c r="Y256" i="1"/>
  <c r="X256" i="1"/>
  <c r="W256" i="1"/>
  <c r="V256" i="1"/>
  <c r="U256" i="1"/>
  <c r="T256" i="1"/>
  <c r="S256" i="1"/>
  <c r="R256" i="1"/>
  <c r="Q256" i="1"/>
  <c r="P256" i="1"/>
  <c r="O256" i="1"/>
  <c r="N256" i="1"/>
  <c r="M256" i="1"/>
  <c r="K256" i="1"/>
  <c r="J256" i="1"/>
  <c r="I256" i="1"/>
  <c r="H256" i="1"/>
  <c r="G256" i="1"/>
  <c r="F256" i="1"/>
  <c r="E256" i="1"/>
  <c r="D256" i="1"/>
  <c r="C256" i="1"/>
  <c r="B256" i="1"/>
  <c r="A256" i="1"/>
  <c r="AK255" i="1"/>
  <c r="AC255" i="1"/>
  <c r="AB255" i="1"/>
  <c r="AA255" i="1"/>
  <c r="Z255" i="1"/>
  <c r="Y255" i="1"/>
  <c r="X255" i="1"/>
  <c r="W255" i="1"/>
  <c r="V255" i="1"/>
  <c r="U255" i="1"/>
  <c r="T255" i="1"/>
  <c r="S255" i="1"/>
  <c r="R255" i="1"/>
  <c r="Q255" i="1"/>
  <c r="P255" i="1"/>
  <c r="O255" i="1"/>
  <c r="N255" i="1"/>
  <c r="M255" i="1"/>
  <c r="K255" i="1"/>
  <c r="I255" i="1"/>
  <c r="H255" i="1"/>
  <c r="G255" i="1"/>
  <c r="F255" i="1"/>
  <c r="E255" i="1"/>
  <c r="D255" i="1"/>
  <c r="C255" i="1"/>
  <c r="B255" i="1"/>
  <c r="A255" i="1"/>
  <c r="AK254" i="1"/>
  <c r="AC254" i="1"/>
  <c r="AB254" i="1"/>
  <c r="AA254" i="1"/>
  <c r="Z254" i="1"/>
  <c r="Y254" i="1"/>
  <c r="X254" i="1"/>
  <c r="W254" i="1"/>
  <c r="V254" i="1"/>
  <c r="U254" i="1"/>
  <c r="T254" i="1"/>
  <c r="S254" i="1"/>
  <c r="R254" i="1"/>
  <c r="Q254" i="1"/>
  <c r="P254" i="1"/>
  <c r="O254" i="1"/>
  <c r="N254" i="1"/>
  <c r="M254" i="1"/>
  <c r="K254" i="1"/>
  <c r="J254" i="1"/>
  <c r="I254" i="1"/>
  <c r="H254" i="1"/>
  <c r="G254" i="1"/>
  <c r="F254" i="1"/>
  <c r="E254" i="1"/>
  <c r="D254" i="1"/>
  <c r="C254" i="1"/>
  <c r="B254" i="1"/>
  <c r="A254" i="1"/>
  <c r="AK253" i="1"/>
  <c r="AC253" i="1"/>
  <c r="AB253" i="1"/>
  <c r="AA253" i="1"/>
  <c r="Z253" i="1"/>
  <c r="Y253" i="1"/>
  <c r="X253" i="1"/>
  <c r="W253" i="1"/>
  <c r="V253" i="1"/>
  <c r="U253" i="1"/>
  <c r="T253" i="1"/>
  <c r="S253" i="1"/>
  <c r="R253" i="1"/>
  <c r="Q253" i="1"/>
  <c r="P253" i="1"/>
  <c r="N253" i="1"/>
  <c r="M253" i="1"/>
  <c r="K253" i="1"/>
  <c r="J253" i="1"/>
  <c r="I253" i="1"/>
  <c r="H253" i="1"/>
  <c r="G253" i="1"/>
  <c r="F253" i="1"/>
  <c r="E253" i="1"/>
  <c r="D253" i="1"/>
  <c r="C253" i="1"/>
  <c r="B253" i="1"/>
  <c r="A253" i="1"/>
  <c r="AK252" i="1"/>
  <c r="AC252" i="1"/>
  <c r="AB252" i="1"/>
  <c r="AA252" i="1"/>
  <c r="Z252" i="1"/>
  <c r="Y252" i="1"/>
  <c r="X252" i="1"/>
  <c r="W252" i="1"/>
  <c r="V252" i="1"/>
  <c r="U252" i="1"/>
  <c r="T252" i="1"/>
  <c r="S252" i="1"/>
  <c r="R252" i="1"/>
  <c r="Q252" i="1"/>
  <c r="P252" i="1"/>
  <c r="O252" i="1"/>
  <c r="N252" i="1"/>
  <c r="M252" i="1"/>
  <c r="K252" i="1"/>
  <c r="J252" i="1"/>
  <c r="I252" i="1"/>
  <c r="H252" i="1"/>
  <c r="G252" i="1"/>
  <c r="F252" i="1"/>
  <c r="E252" i="1"/>
  <c r="D252" i="1"/>
  <c r="C252" i="1"/>
  <c r="B252" i="1"/>
  <c r="A252" i="1"/>
  <c r="AK251" i="1"/>
  <c r="AC251" i="1"/>
  <c r="AB251" i="1"/>
  <c r="AA251" i="1"/>
  <c r="Z251" i="1"/>
  <c r="Y251" i="1"/>
  <c r="X251" i="1"/>
  <c r="W251" i="1"/>
  <c r="V251" i="1"/>
  <c r="U251" i="1"/>
  <c r="T251" i="1"/>
  <c r="S251" i="1"/>
  <c r="R251" i="1"/>
  <c r="Q251" i="1"/>
  <c r="P251" i="1"/>
  <c r="O251" i="1"/>
  <c r="N251" i="1"/>
  <c r="M251" i="1"/>
  <c r="K251" i="1"/>
  <c r="J251" i="1"/>
  <c r="I251" i="1"/>
  <c r="H251" i="1"/>
  <c r="G251" i="1"/>
  <c r="F251" i="1"/>
  <c r="E251" i="1"/>
  <c r="D251" i="1"/>
  <c r="C251" i="1"/>
  <c r="B251" i="1"/>
  <c r="A251" i="1"/>
  <c r="AK250" i="1"/>
  <c r="AC250" i="1"/>
  <c r="AB250" i="1"/>
  <c r="AA250" i="1"/>
  <c r="Z250" i="1"/>
  <c r="Y250" i="1"/>
  <c r="X250" i="1"/>
  <c r="W250" i="1"/>
  <c r="V250" i="1"/>
  <c r="U250" i="1"/>
  <c r="T250" i="1"/>
  <c r="S250" i="1"/>
  <c r="R250" i="1"/>
  <c r="Q250" i="1"/>
  <c r="P250" i="1"/>
  <c r="N250" i="1"/>
  <c r="M250" i="1"/>
  <c r="K250" i="1"/>
  <c r="J250" i="1"/>
  <c r="I250" i="1"/>
  <c r="H250" i="1"/>
  <c r="G250" i="1"/>
  <c r="F250" i="1"/>
  <c r="E250" i="1"/>
  <c r="D250" i="1"/>
  <c r="C250" i="1"/>
  <c r="B250" i="1"/>
  <c r="A250" i="1"/>
  <c r="AK249" i="1"/>
  <c r="AC249" i="1"/>
  <c r="AB249" i="1"/>
  <c r="AA249" i="1"/>
  <c r="Z249" i="1"/>
  <c r="Y249" i="1"/>
  <c r="X249" i="1"/>
  <c r="W249" i="1"/>
  <c r="V249" i="1"/>
  <c r="U249" i="1"/>
  <c r="T249" i="1"/>
  <c r="S249" i="1"/>
  <c r="R249" i="1"/>
  <c r="Q249" i="1"/>
  <c r="P249" i="1"/>
  <c r="N249" i="1"/>
  <c r="M249" i="1"/>
  <c r="K249" i="1"/>
  <c r="J249" i="1"/>
  <c r="I249" i="1"/>
  <c r="H249" i="1"/>
  <c r="G249" i="1"/>
  <c r="F249" i="1"/>
  <c r="E249" i="1"/>
  <c r="D249" i="1"/>
  <c r="C249" i="1"/>
  <c r="B249" i="1"/>
  <c r="A249" i="1"/>
  <c r="AK248" i="1"/>
  <c r="AC248" i="1"/>
  <c r="AB248" i="1"/>
  <c r="AA248" i="1"/>
  <c r="Z248" i="1"/>
  <c r="Y248" i="1"/>
  <c r="X248" i="1"/>
  <c r="W248" i="1"/>
  <c r="V248" i="1"/>
  <c r="U248" i="1"/>
  <c r="T248" i="1"/>
  <c r="S248" i="1"/>
  <c r="R248" i="1"/>
  <c r="Q248" i="1"/>
  <c r="P248" i="1"/>
  <c r="N248" i="1"/>
  <c r="M248" i="1"/>
  <c r="K248" i="1"/>
  <c r="J248" i="1"/>
  <c r="I248" i="1"/>
  <c r="H248" i="1"/>
  <c r="G248" i="1"/>
  <c r="F248" i="1"/>
  <c r="E248" i="1"/>
  <c r="D248" i="1"/>
  <c r="C248" i="1"/>
  <c r="B248" i="1"/>
  <c r="A248" i="1"/>
  <c r="AK247" i="1"/>
  <c r="AC247" i="1"/>
  <c r="AB247" i="1"/>
  <c r="AA247" i="1"/>
  <c r="Z247" i="1"/>
  <c r="Y247" i="1"/>
  <c r="X247" i="1"/>
  <c r="W247" i="1"/>
  <c r="V247" i="1"/>
  <c r="U247" i="1"/>
  <c r="T247" i="1"/>
  <c r="S247" i="1"/>
  <c r="R247" i="1"/>
  <c r="Q247" i="1"/>
  <c r="P247" i="1"/>
  <c r="O247" i="1"/>
  <c r="N247" i="1"/>
  <c r="M247" i="1"/>
  <c r="K247" i="1"/>
  <c r="J247" i="1"/>
  <c r="I247" i="1"/>
  <c r="H247" i="1"/>
  <c r="G247" i="1"/>
  <c r="F247" i="1"/>
  <c r="E247" i="1"/>
  <c r="D247" i="1"/>
  <c r="C247" i="1"/>
  <c r="B247" i="1"/>
  <c r="A247" i="1"/>
  <c r="AK246" i="1"/>
  <c r="AC246" i="1"/>
  <c r="AB246" i="1"/>
  <c r="AA246" i="1"/>
  <c r="Z246" i="1"/>
  <c r="Y246" i="1"/>
  <c r="X246" i="1"/>
  <c r="W246" i="1"/>
  <c r="V246" i="1"/>
  <c r="U246" i="1"/>
  <c r="T246" i="1"/>
  <c r="S246" i="1"/>
  <c r="R246" i="1"/>
  <c r="Q246" i="1"/>
  <c r="P246" i="1"/>
  <c r="O246" i="1"/>
  <c r="N246" i="1"/>
  <c r="M246" i="1"/>
  <c r="K246" i="1"/>
  <c r="I246" i="1"/>
  <c r="H246" i="1"/>
  <c r="G246" i="1"/>
  <c r="F246" i="1"/>
  <c r="E246" i="1"/>
  <c r="D246" i="1"/>
  <c r="C246" i="1"/>
  <c r="B246" i="1"/>
  <c r="A246" i="1"/>
  <c r="AK245" i="1"/>
  <c r="AC245" i="1"/>
  <c r="AB245" i="1"/>
  <c r="AA245" i="1"/>
  <c r="Z245" i="1"/>
  <c r="Y245" i="1"/>
  <c r="X245" i="1"/>
  <c r="W245" i="1"/>
  <c r="V245" i="1"/>
  <c r="U245" i="1"/>
  <c r="T245" i="1"/>
  <c r="S245" i="1"/>
  <c r="R245" i="1"/>
  <c r="Q245" i="1"/>
  <c r="P245" i="1"/>
  <c r="N245" i="1"/>
  <c r="M245" i="1"/>
  <c r="K245" i="1"/>
  <c r="J245" i="1"/>
  <c r="I245" i="1"/>
  <c r="H245" i="1"/>
  <c r="G245" i="1"/>
  <c r="F245" i="1"/>
  <c r="E245" i="1"/>
  <c r="D245" i="1"/>
  <c r="C245" i="1"/>
  <c r="B245" i="1"/>
  <c r="A245" i="1"/>
  <c r="AK244" i="1"/>
  <c r="AC244" i="1"/>
  <c r="AB244" i="1"/>
  <c r="AA244" i="1"/>
  <c r="Z244" i="1"/>
  <c r="Y244" i="1"/>
  <c r="X244" i="1"/>
  <c r="W244" i="1"/>
  <c r="V244" i="1"/>
  <c r="U244" i="1"/>
  <c r="T244" i="1"/>
  <c r="S244" i="1"/>
  <c r="R244" i="1"/>
  <c r="Q244" i="1"/>
  <c r="P244" i="1"/>
  <c r="O244" i="1"/>
  <c r="N244" i="1"/>
  <c r="M244" i="1"/>
  <c r="K244" i="1"/>
  <c r="J244" i="1"/>
  <c r="I244" i="1"/>
  <c r="H244" i="1"/>
  <c r="G244" i="1"/>
  <c r="F244" i="1"/>
  <c r="E244" i="1"/>
  <c r="D244" i="1"/>
  <c r="C244" i="1"/>
  <c r="B244" i="1"/>
  <c r="A244" i="1"/>
  <c r="AK243" i="1"/>
  <c r="AC243" i="1"/>
  <c r="AB243" i="1"/>
  <c r="AA243" i="1"/>
  <c r="Z243" i="1"/>
  <c r="Y243" i="1"/>
  <c r="X243" i="1"/>
  <c r="W243" i="1"/>
  <c r="V243" i="1"/>
  <c r="U243" i="1"/>
  <c r="T243" i="1"/>
  <c r="S243" i="1"/>
  <c r="R243" i="1"/>
  <c r="Q243" i="1"/>
  <c r="P243" i="1"/>
  <c r="O243" i="1"/>
  <c r="N243" i="1"/>
  <c r="M243" i="1"/>
  <c r="K243" i="1"/>
  <c r="I243" i="1"/>
  <c r="H243" i="1"/>
  <c r="G243" i="1"/>
  <c r="F243" i="1"/>
  <c r="E243" i="1"/>
  <c r="D243" i="1"/>
  <c r="C243" i="1"/>
  <c r="B243" i="1"/>
  <c r="A243" i="1"/>
  <c r="AK242" i="1"/>
  <c r="AC242" i="1"/>
  <c r="AB242" i="1"/>
  <c r="AA242" i="1"/>
  <c r="Z242" i="1"/>
  <c r="Y242" i="1"/>
  <c r="X242" i="1"/>
  <c r="W242" i="1"/>
  <c r="V242" i="1"/>
  <c r="U242" i="1"/>
  <c r="T242" i="1"/>
  <c r="S242" i="1"/>
  <c r="R242" i="1"/>
  <c r="Q242" i="1"/>
  <c r="P242" i="1"/>
  <c r="O242" i="1"/>
  <c r="N242" i="1"/>
  <c r="M242" i="1"/>
  <c r="K242" i="1"/>
  <c r="J242" i="1"/>
  <c r="I242" i="1"/>
  <c r="H242" i="1"/>
  <c r="G242" i="1"/>
  <c r="F242" i="1"/>
  <c r="E242" i="1"/>
  <c r="D242" i="1"/>
  <c r="C242" i="1"/>
  <c r="B242" i="1"/>
  <c r="A242" i="1"/>
  <c r="AK241" i="1"/>
  <c r="AC241" i="1"/>
  <c r="AB241" i="1"/>
  <c r="AA241" i="1"/>
  <c r="Z241" i="1"/>
  <c r="Y241" i="1"/>
  <c r="X241" i="1"/>
  <c r="W241" i="1"/>
  <c r="V241" i="1"/>
  <c r="U241" i="1"/>
  <c r="T241" i="1"/>
  <c r="S241" i="1"/>
  <c r="R241" i="1"/>
  <c r="Q241" i="1"/>
  <c r="P241" i="1"/>
  <c r="O241" i="1"/>
  <c r="N241" i="1"/>
  <c r="M241" i="1"/>
  <c r="K241" i="1"/>
  <c r="J241" i="1"/>
  <c r="I241" i="1"/>
  <c r="H241" i="1"/>
  <c r="G241" i="1"/>
  <c r="F241" i="1"/>
  <c r="E241" i="1"/>
  <c r="D241" i="1"/>
  <c r="C241" i="1"/>
  <c r="B241" i="1"/>
  <c r="A241" i="1"/>
  <c r="AK240" i="1"/>
  <c r="AC240" i="1"/>
  <c r="AB240" i="1"/>
  <c r="AA240" i="1"/>
  <c r="Z240" i="1"/>
  <c r="Y240" i="1"/>
  <c r="X240" i="1"/>
  <c r="W240" i="1"/>
  <c r="V240" i="1"/>
  <c r="U240" i="1"/>
  <c r="T240" i="1"/>
  <c r="S240" i="1"/>
  <c r="R240" i="1"/>
  <c r="Q240" i="1"/>
  <c r="P240" i="1"/>
  <c r="N240" i="1"/>
  <c r="M240" i="1"/>
  <c r="K240" i="1"/>
  <c r="J240" i="1"/>
  <c r="I240" i="1"/>
  <c r="H240" i="1"/>
  <c r="G240" i="1"/>
  <c r="F240" i="1"/>
  <c r="E240" i="1"/>
  <c r="D240" i="1"/>
  <c r="C240" i="1"/>
  <c r="B240" i="1"/>
  <c r="A240" i="1"/>
  <c r="AK239" i="1"/>
  <c r="AC239" i="1"/>
  <c r="AB239" i="1"/>
  <c r="AA239" i="1"/>
  <c r="Z239" i="1"/>
  <c r="Y239" i="1"/>
  <c r="X239" i="1"/>
  <c r="W239" i="1"/>
  <c r="V239" i="1"/>
  <c r="U239" i="1"/>
  <c r="T239" i="1"/>
  <c r="S239" i="1"/>
  <c r="R239" i="1"/>
  <c r="Q239" i="1"/>
  <c r="P239" i="1"/>
  <c r="O239" i="1"/>
  <c r="N239" i="1"/>
  <c r="M239" i="1"/>
  <c r="K239" i="1"/>
  <c r="I239" i="1"/>
  <c r="H239" i="1"/>
  <c r="G239" i="1"/>
  <c r="F239" i="1"/>
  <c r="E239" i="1"/>
  <c r="D239" i="1"/>
  <c r="C239" i="1"/>
  <c r="B239" i="1"/>
  <c r="A239" i="1"/>
  <c r="AK238" i="1"/>
  <c r="AC238" i="1"/>
  <c r="AB238" i="1"/>
  <c r="AA238" i="1"/>
  <c r="Z238" i="1"/>
  <c r="Y238" i="1"/>
  <c r="X238" i="1"/>
  <c r="W238" i="1"/>
  <c r="V238" i="1"/>
  <c r="U238" i="1"/>
  <c r="T238" i="1"/>
  <c r="S238" i="1"/>
  <c r="R238" i="1"/>
  <c r="Q238" i="1"/>
  <c r="P238" i="1"/>
  <c r="N238" i="1"/>
  <c r="M238" i="1"/>
  <c r="K238" i="1"/>
  <c r="J238" i="1"/>
  <c r="I238" i="1"/>
  <c r="H238" i="1"/>
  <c r="G238" i="1"/>
  <c r="F238" i="1"/>
  <c r="E238" i="1"/>
  <c r="D238" i="1"/>
  <c r="C238" i="1"/>
  <c r="B238" i="1"/>
  <c r="A238" i="1"/>
  <c r="AK237" i="1"/>
  <c r="AC237" i="1"/>
  <c r="AB237" i="1"/>
  <c r="AA237" i="1"/>
  <c r="Z237" i="1"/>
  <c r="Y237" i="1"/>
  <c r="X237" i="1"/>
  <c r="W237" i="1"/>
  <c r="V237" i="1"/>
  <c r="U237" i="1"/>
  <c r="T237" i="1"/>
  <c r="S237" i="1"/>
  <c r="R237" i="1"/>
  <c r="Q237" i="1"/>
  <c r="P237" i="1"/>
  <c r="O237" i="1"/>
  <c r="N237" i="1"/>
  <c r="M237" i="1"/>
  <c r="K237" i="1"/>
  <c r="I237" i="1"/>
  <c r="H237" i="1"/>
  <c r="G237" i="1"/>
  <c r="F237" i="1"/>
  <c r="E237" i="1"/>
  <c r="D237" i="1"/>
  <c r="C237" i="1"/>
  <c r="B237" i="1"/>
  <c r="A237" i="1"/>
  <c r="AK236" i="1"/>
  <c r="AE236" i="1"/>
  <c r="AD236" i="1"/>
  <c r="AC236" i="1"/>
  <c r="AB236" i="1"/>
  <c r="AA236" i="1"/>
  <c r="Z236" i="1"/>
  <c r="Y236" i="1"/>
  <c r="X236" i="1"/>
  <c r="W236" i="1"/>
  <c r="V236" i="1"/>
  <c r="U236" i="1"/>
  <c r="T236" i="1"/>
  <c r="S236" i="1"/>
  <c r="R236" i="1"/>
  <c r="Q236" i="1"/>
  <c r="P236" i="1"/>
  <c r="O236" i="1"/>
  <c r="N236" i="1"/>
  <c r="M236" i="1"/>
  <c r="L236" i="1"/>
  <c r="K236" i="1"/>
  <c r="J236" i="1"/>
  <c r="I236" i="1"/>
  <c r="H236" i="1"/>
  <c r="G236" i="1"/>
  <c r="F236" i="1"/>
  <c r="E236" i="1"/>
  <c r="D236" i="1"/>
  <c r="C236" i="1"/>
  <c r="B236" i="1"/>
  <c r="A236" i="1"/>
  <c r="AK235" i="1"/>
  <c r="AC235" i="1"/>
  <c r="AB235" i="1"/>
  <c r="AA235" i="1"/>
  <c r="Z235" i="1"/>
  <c r="Y235" i="1"/>
  <c r="X235" i="1"/>
  <c r="W235" i="1"/>
  <c r="V235" i="1"/>
  <c r="U235" i="1"/>
  <c r="T235" i="1"/>
  <c r="S235" i="1"/>
  <c r="R235" i="1"/>
  <c r="Q235" i="1"/>
  <c r="P235" i="1"/>
  <c r="N235" i="1"/>
  <c r="M235" i="1"/>
  <c r="K235" i="1"/>
  <c r="J235" i="1"/>
  <c r="I235" i="1"/>
  <c r="H235" i="1"/>
  <c r="G235" i="1"/>
  <c r="F235" i="1"/>
  <c r="E235" i="1"/>
  <c r="D235" i="1"/>
  <c r="C235" i="1"/>
  <c r="B235" i="1"/>
  <c r="A235" i="1"/>
  <c r="AK234" i="1"/>
  <c r="AC234" i="1"/>
  <c r="AB234" i="1"/>
  <c r="AA234" i="1"/>
  <c r="Z234" i="1"/>
  <c r="Y234" i="1"/>
  <c r="X234" i="1"/>
  <c r="W234" i="1"/>
  <c r="V234" i="1"/>
  <c r="U234" i="1"/>
  <c r="T234" i="1"/>
  <c r="S234" i="1"/>
  <c r="R234" i="1"/>
  <c r="Q234" i="1"/>
  <c r="P234" i="1"/>
  <c r="N234" i="1"/>
  <c r="M234" i="1"/>
  <c r="K234" i="1"/>
  <c r="J234" i="1"/>
  <c r="I234" i="1"/>
  <c r="H234" i="1"/>
  <c r="G234" i="1"/>
  <c r="F234" i="1"/>
  <c r="E234" i="1"/>
  <c r="D234" i="1"/>
  <c r="C234" i="1"/>
  <c r="B234" i="1"/>
  <c r="A234" i="1"/>
  <c r="AK233" i="1"/>
  <c r="AC233" i="1"/>
  <c r="AB233" i="1"/>
  <c r="AA233" i="1"/>
  <c r="Z233" i="1"/>
  <c r="Y233" i="1"/>
  <c r="X233" i="1"/>
  <c r="W233" i="1"/>
  <c r="V233" i="1"/>
  <c r="U233" i="1"/>
  <c r="T233" i="1"/>
  <c r="S233" i="1"/>
  <c r="R233" i="1"/>
  <c r="Q233" i="1"/>
  <c r="P233" i="1"/>
  <c r="O233" i="1"/>
  <c r="N233" i="1"/>
  <c r="M233" i="1"/>
  <c r="K233" i="1"/>
  <c r="J233" i="1"/>
  <c r="I233" i="1"/>
  <c r="H233" i="1"/>
  <c r="G233" i="1"/>
  <c r="F233" i="1"/>
  <c r="E233" i="1"/>
  <c r="D233" i="1"/>
  <c r="C233" i="1"/>
  <c r="B233" i="1"/>
  <c r="A233" i="1"/>
  <c r="AK232" i="1"/>
  <c r="AC232" i="1"/>
  <c r="AB232" i="1"/>
  <c r="AA232" i="1"/>
  <c r="Z232" i="1"/>
  <c r="Y232" i="1"/>
  <c r="X232" i="1"/>
  <c r="W232" i="1"/>
  <c r="V232" i="1"/>
  <c r="U232" i="1"/>
  <c r="T232" i="1"/>
  <c r="S232" i="1"/>
  <c r="R232" i="1"/>
  <c r="Q232" i="1"/>
  <c r="P232" i="1"/>
  <c r="O232" i="1"/>
  <c r="N232" i="1"/>
  <c r="M232" i="1"/>
  <c r="K232" i="1"/>
  <c r="J232" i="1"/>
  <c r="I232" i="1"/>
  <c r="H232" i="1"/>
  <c r="G232" i="1"/>
  <c r="F232" i="1"/>
  <c r="E232" i="1"/>
  <c r="D232" i="1"/>
  <c r="C232" i="1"/>
  <c r="B232" i="1"/>
  <c r="A232" i="1"/>
  <c r="AK231" i="1"/>
  <c r="AC231" i="1"/>
  <c r="AB231" i="1"/>
  <c r="AA231" i="1"/>
  <c r="Z231" i="1"/>
  <c r="Y231" i="1"/>
  <c r="X231" i="1"/>
  <c r="W231" i="1"/>
  <c r="V231" i="1"/>
  <c r="U231" i="1"/>
  <c r="T231" i="1"/>
  <c r="S231" i="1"/>
  <c r="R231" i="1"/>
  <c r="Q231" i="1"/>
  <c r="P231" i="1"/>
  <c r="O231" i="1"/>
  <c r="N231" i="1"/>
  <c r="M231" i="1"/>
  <c r="K231" i="1"/>
  <c r="J231" i="1"/>
  <c r="I231" i="1"/>
  <c r="H231" i="1"/>
  <c r="G231" i="1"/>
  <c r="F231" i="1"/>
  <c r="E231" i="1"/>
  <c r="D231" i="1"/>
  <c r="C231" i="1"/>
  <c r="B231" i="1"/>
  <c r="A231" i="1"/>
  <c r="AK230" i="1"/>
  <c r="AC230" i="1"/>
  <c r="AB230" i="1"/>
  <c r="AA230" i="1"/>
  <c r="Z230" i="1"/>
  <c r="Y230" i="1"/>
  <c r="X230" i="1"/>
  <c r="W230" i="1"/>
  <c r="V230" i="1"/>
  <c r="U230" i="1"/>
  <c r="T230" i="1"/>
  <c r="S230" i="1"/>
  <c r="R230" i="1"/>
  <c r="Q230" i="1"/>
  <c r="P230" i="1"/>
  <c r="O230" i="1"/>
  <c r="N230" i="1"/>
  <c r="M230" i="1"/>
  <c r="K230" i="1"/>
  <c r="J230" i="1"/>
  <c r="I230" i="1"/>
  <c r="H230" i="1"/>
  <c r="G230" i="1"/>
  <c r="F230" i="1"/>
  <c r="E230" i="1"/>
  <c r="D230" i="1"/>
  <c r="C230" i="1"/>
  <c r="B230" i="1"/>
  <c r="A230" i="1"/>
  <c r="AK229" i="1"/>
  <c r="AC229" i="1"/>
  <c r="AB229" i="1"/>
  <c r="AA229" i="1"/>
  <c r="Z229" i="1"/>
  <c r="Y229" i="1"/>
  <c r="X229" i="1"/>
  <c r="W229" i="1"/>
  <c r="V229" i="1"/>
  <c r="U229" i="1"/>
  <c r="T229" i="1"/>
  <c r="S229" i="1"/>
  <c r="R229" i="1"/>
  <c r="Q229" i="1"/>
  <c r="P229" i="1"/>
  <c r="O229" i="1"/>
  <c r="N229" i="1"/>
  <c r="M229" i="1"/>
  <c r="K229" i="1"/>
  <c r="J229" i="1"/>
  <c r="I229" i="1"/>
  <c r="H229" i="1"/>
  <c r="G229" i="1"/>
  <c r="F229" i="1"/>
  <c r="E229" i="1"/>
  <c r="D229" i="1"/>
  <c r="C229" i="1"/>
  <c r="B229" i="1"/>
  <c r="A229" i="1"/>
  <c r="AK228" i="1"/>
  <c r="AC228" i="1"/>
  <c r="AB228" i="1"/>
  <c r="AA228" i="1"/>
  <c r="Z228" i="1"/>
  <c r="Y228" i="1"/>
  <c r="X228" i="1"/>
  <c r="W228" i="1"/>
  <c r="V228" i="1"/>
  <c r="U228" i="1"/>
  <c r="T228" i="1"/>
  <c r="S228" i="1"/>
  <c r="R228" i="1"/>
  <c r="Q228" i="1"/>
  <c r="P228" i="1"/>
  <c r="O228" i="1"/>
  <c r="N228" i="1"/>
  <c r="M228" i="1"/>
  <c r="K228" i="1"/>
  <c r="J228" i="1"/>
  <c r="I228" i="1"/>
  <c r="H228" i="1"/>
  <c r="G228" i="1"/>
  <c r="F228" i="1"/>
  <c r="E228" i="1"/>
  <c r="D228" i="1"/>
  <c r="C228" i="1"/>
  <c r="B228" i="1"/>
  <c r="A228" i="1"/>
  <c r="AK227" i="1"/>
  <c r="AC227" i="1"/>
  <c r="AB227" i="1"/>
  <c r="AA227" i="1"/>
  <c r="Z227" i="1"/>
  <c r="Y227" i="1"/>
  <c r="X227" i="1"/>
  <c r="W227" i="1"/>
  <c r="V227" i="1"/>
  <c r="U227" i="1"/>
  <c r="T227" i="1"/>
  <c r="S227" i="1"/>
  <c r="R227" i="1"/>
  <c r="Q227" i="1"/>
  <c r="P227" i="1"/>
  <c r="O227" i="1"/>
  <c r="N227" i="1"/>
  <c r="M227" i="1"/>
  <c r="K227" i="1"/>
  <c r="J227" i="1"/>
  <c r="I227" i="1"/>
  <c r="H227" i="1"/>
  <c r="G227" i="1"/>
  <c r="F227" i="1"/>
  <c r="E227" i="1"/>
  <c r="D227" i="1"/>
  <c r="C227" i="1"/>
  <c r="B227" i="1"/>
  <c r="A227" i="1"/>
  <c r="AK226" i="1"/>
  <c r="AC226" i="1"/>
  <c r="AB226" i="1"/>
  <c r="AA226" i="1"/>
  <c r="Z226" i="1"/>
  <c r="Y226" i="1"/>
  <c r="X226" i="1"/>
  <c r="W226" i="1"/>
  <c r="V226" i="1"/>
  <c r="U226" i="1"/>
  <c r="T226" i="1"/>
  <c r="S226" i="1"/>
  <c r="R226" i="1"/>
  <c r="Q226" i="1"/>
  <c r="P226" i="1"/>
  <c r="O226" i="1"/>
  <c r="N226" i="1"/>
  <c r="M226" i="1"/>
  <c r="K226" i="1"/>
  <c r="J226" i="1"/>
  <c r="I226" i="1"/>
  <c r="H226" i="1"/>
  <c r="G226" i="1"/>
  <c r="F226" i="1"/>
  <c r="E226" i="1"/>
  <c r="D226" i="1"/>
  <c r="C226" i="1"/>
  <c r="B226" i="1"/>
  <c r="A226" i="1"/>
  <c r="AK225" i="1"/>
  <c r="AC225" i="1"/>
  <c r="AB225" i="1"/>
  <c r="AA225" i="1"/>
  <c r="Z225" i="1"/>
  <c r="Y225" i="1"/>
  <c r="X225" i="1"/>
  <c r="W225" i="1"/>
  <c r="V225" i="1"/>
  <c r="U225" i="1"/>
  <c r="T225" i="1"/>
  <c r="S225" i="1"/>
  <c r="R225" i="1"/>
  <c r="Q225" i="1"/>
  <c r="P225" i="1"/>
  <c r="N225" i="1"/>
  <c r="M225" i="1"/>
  <c r="L225" i="1"/>
  <c r="K225" i="1"/>
  <c r="I225" i="1"/>
  <c r="H225" i="1"/>
  <c r="G225" i="1"/>
  <c r="F225" i="1"/>
  <c r="E225" i="1"/>
  <c r="D225" i="1"/>
  <c r="C225" i="1"/>
  <c r="B225" i="1"/>
  <c r="A225" i="1"/>
  <c r="AK224" i="1"/>
  <c r="AC224" i="1"/>
  <c r="AB224" i="1"/>
  <c r="AA224" i="1"/>
  <c r="Z224" i="1"/>
  <c r="Y224" i="1"/>
  <c r="X224" i="1"/>
  <c r="W224" i="1"/>
  <c r="V224" i="1"/>
  <c r="U224" i="1"/>
  <c r="T224" i="1"/>
  <c r="S224" i="1"/>
  <c r="R224" i="1"/>
  <c r="Q224" i="1"/>
  <c r="P224" i="1"/>
  <c r="O224" i="1"/>
  <c r="N224" i="1"/>
  <c r="M224" i="1"/>
  <c r="K224" i="1"/>
  <c r="J224" i="1"/>
  <c r="I224" i="1"/>
  <c r="H224" i="1"/>
  <c r="G224" i="1"/>
  <c r="F224" i="1"/>
  <c r="E224" i="1"/>
  <c r="D224" i="1"/>
  <c r="C224" i="1"/>
  <c r="B224" i="1"/>
  <c r="A224" i="1"/>
  <c r="AK223" i="1"/>
  <c r="AC223" i="1"/>
  <c r="AB223" i="1"/>
  <c r="AA223" i="1"/>
  <c r="Z223" i="1"/>
  <c r="Y223" i="1"/>
  <c r="X223" i="1"/>
  <c r="W223" i="1"/>
  <c r="V223" i="1"/>
  <c r="U223" i="1"/>
  <c r="T223" i="1"/>
  <c r="S223" i="1"/>
  <c r="R223" i="1"/>
  <c r="Q223" i="1"/>
  <c r="P223" i="1"/>
  <c r="O223" i="1"/>
  <c r="N223" i="1"/>
  <c r="M223" i="1"/>
  <c r="K223" i="1"/>
  <c r="J223" i="1"/>
  <c r="I223" i="1"/>
  <c r="H223" i="1"/>
  <c r="G223" i="1"/>
  <c r="F223" i="1"/>
  <c r="E223" i="1"/>
  <c r="D223" i="1"/>
  <c r="C223" i="1"/>
  <c r="B223" i="1"/>
  <c r="A223" i="1"/>
  <c r="AK222" i="1"/>
  <c r="AC222" i="1"/>
  <c r="AB222" i="1"/>
  <c r="AA222" i="1"/>
  <c r="Z222" i="1"/>
  <c r="Y222" i="1"/>
  <c r="X222" i="1"/>
  <c r="W222" i="1"/>
  <c r="V222" i="1"/>
  <c r="U222" i="1"/>
  <c r="T222" i="1"/>
  <c r="S222" i="1"/>
  <c r="R222" i="1"/>
  <c r="Q222" i="1"/>
  <c r="P222" i="1"/>
  <c r="O222" i="1"/>
  <c r="N222" i="1"/>
  <c r="M222" i="1"/>
  <c r="K222" i="1"/>
  <c r="I222" i="1"/>
  <c r="H222" i="1"/>
  <c r="G222" i="1"/>
  <c r="F222" i="1"/>
  <c r="E222" i="1"/>
  <c r="D222" i="1"/>
  <c r="C222" i="1"/>
  <c r="B222" i="1"/>
  <c r="A222" i="1"/>
  <c r="AK221" i="1"/>
  <c r="AC221" i="1"/>
  <c r="AB221" i="1"/>
  <c r="AA221" i="1"/>
  <c r="Z221" i="1"/>
  <c r="Y221" i="1"/>
  <c r="X221" i="1"/>
  <c r="W221" i="1"/>
  <c r="V221" i="1"/>
  <c r="U221" i="1"/>
  <c r="T221" i="1"/>
  <c r="S221" i="1"/>
  <c r="R221" i="1"/>
  <c r="Q221" i="1"/>
  <c r="P221" i="1"/>
  <c r="N221" i="1"/>
  <c r="M221" i="1"/>
  <c r="K221" i="1"/>
  <c r="J221" i="1"/>
  <c r="I221" i="1"/>
  <c r="H221" i="1"/>
  <c r="G221" i="1"/>
  <c r="F221" i="1"/>
  <c r="E221" i="1"/>
  <c r="D221" i="1"/>
  <c r="C221" i="1"/>
  <c r="B221" i="1"/>
  <c r="A221" i="1"/>
  <c r="AK220" i="1"/>
  <c r="AC220" i="1"/>
  <c r="AB220" i="1"/>
  <c r="AA220" i="1"/>
  <c r="Z220" i="1"/>
  <c r="Y220" i="1"/>
  <c r="X220" i="1"/>
  <c r="W220" i="1"/>
  <c r="V220" i="1"/>
  <c r="U220" i="1"/>
  <c r="T220" i="1"/>
  <c r="S220" i="1"/>
  <c r="R220" i="1"/>
  <c r="Q220" i="1"/>
  <c r="P220" i="1"/>
  <c r="O220" i="1"/>
  <c r="N220" i="1"/>
  <c r="M220" i="1"/>
  <c r="K220" i="1"/>
  <c r="J220" i="1"/>
  <c r="I220" i="1"/>
  <c r="H220" i="1"/>
  <c r="G220" i="1"/>
  <c r="F220" i="1"/>
  <c r="E220" i="1"/>
  <c r="D220" i="1"/>
  <c r="C220" i="1"/>
  <c r="B220" i="1"/>
  <c r="A220" i="1"/>
  <c r="AK219" i="1"/>
  <c r="AC219" i="1"/>
  <c r="AB219" i="1"/>
  <c r="AA219" i="1"/>
  <c r="Z219" i="1"/>
  <c r="Y219" i="1"/>
  <c r="X219" i="1"/>
  <c r="W219" i="1"/>
  <c r="V219" i="1"/>
  <c r="U219" i="1"/>
  <c r="T219" i="1"/>
  <c r="S219" i="1"/>
  <c r="R219" i="1"/>
  <c r="Q219" i="1"/>
  <c r="P219" i="1"/>
  <c r="O219" i="1"/>
  <c r="N219" i="1"/>
  <c r="M219" i="1"/>
  <c r="K219" i="1"/>
  <c r="I219" i="1"/>
  <c r="H219" i="1"/>
  <c r="G219" i="1"/>
  <c r="F219" i="1"/>
  <c r="E219" i="1"/>
  <c r="D219" i="1"/>
  <c r="C219" i="1"/>
  <c r="B219" i="1"/>
  <c r="A219" i="1"/>
  <c r="AK218" i="1"/>
  <c r="AC218" i="1"/>
  <c r="AB218" i="1"/>
  <c r="AA218" i="1"/>
  <c r="Z218" i="1"/>
  <c r="Y218" i="1"/>
  <c r="X218" i="1"/>
  <c r="W218" i="1"/>
  <c r="V218" i="1"/>
  <c r="U218" i="1"/>
  <c r="T218" i="1"/>
  <c r="S218" i="1"/>
  <c r="R218" i="1"/>
  <c r="Q218" i="1"/>
  <c r="P218" i="1"/>
  <c r="O218" i="1"/>
  <c r="N218" i="1"/>
  <c r="M218" i="1"/>
  <c r="K218" i="1"/>
  <c r="J218" i="1"/>
  <c r="I218" i="1"/>
  <c r="H218" i="1"/>
  <c r="G218" i="1"/>
  <c r="F218" i="1"/>
  <c r="E218" i="1"/>
  <c r="D218" i="1"/>
  <c r="C218" i="1"/>
  <c r="B218" i="1"/>
  <c r="A218" i="1"/>
  <c r="AK217" i="1"/>
  <c r="AC217" i="1"/>
  <c r="AB217" i="1"/>
  <c r="AA217" i="1"/>
  <c r="Z217" i="1"/>
  <c r="Y217" i="1"/>
  <c r="X217" i="1"/>
  <c r="W217" i="1"/>
  <c r="V217" i="1"/>
  <c r="U217" i="1"/>
  <c r="T217" i="1"/>
  <c r="S217" i="1"/>
  <c r="R217" i="1"/>
  <c r="Q217" i="1"/>
  <c r="P217" i="1"/>
  <c r="N217" i="1"/>
  <c r="M217" i="1"/>
  <c r="K217" i="1"/>
  <c r="J217" i="1"/>
  <c r="I217" i="1"/>
  <c r="H217" i="1"/>
  <c r="G217" i="1"/>
  <c r="F217" i="1"/>
  <c r="E217" i="1"/>
  <c r="D217" i="1"/>
  <c r="C217" i="1"/>
  <c r="B217" i="1"/>
  <c r="A217" i="1"/>
  <c r="AK216" i="1"/>
  <c r="AC216" i="1"/>
  <c r="AB216" i="1"/>
  <c r="AA216" i="1"/>
  <c r="Z216" i="1"/>
  <c r="Y216" i="1"/>
  <c r="X216" i="1"/>
  <c r="W216" i="1"/>
  <c r="V216" i="1"/>
  <c r="U216" i="1"/>
  <c r="T216" i="1"/>
  <c r="S216" i="1"/>
  <c r="R216" i="1"/>
  <c r="Q216" i="1"/>
  <c r="P216" i="1"/>
  <c r="O216" i="1"/>
  <c r="N216" i="1"/>
  <c r="M216" i="1"/>
  <c r="K216" i="1"/>
  <c r="J216" i="1"/>
  <c r="I216" i="1"/>
  <c r="H216" i="1"/>
  <c r="G216" i="1"/>
  <c r="F216" i="1"/>
  <c r="E216" i="1"/>
  <c r="D216" i="1"/>
  <c r="C216" i="1"/>
  <c r="B216" i="1"/>
  <c r="A216" i="1"/>
  <c r="AK215" i="1"/>
  <c r="AC215" i="1"/>
  <c r="AB215" i="1"/>
  <c r="AA215" i="1"/>
  <c r="Z215" i="1"/>
  <c r="Y215" i="1"/>
  <c r="X215" i="1"/>
  <c r="W215" i="1"/>
  <c r="V215" i="1"/>
  <c r="U215" i="1"/>
  <c r="T215" i="1"/>
  <c r="S215" i="1"/>
  <c r="R215" i="1"/>
  <c r="Q215" i="1"/>
  <c r="P215" i="1"/>
  <c r="O215" i="1"/>
  <c r="N215" i="1"/>
  <c r="M215" i="1"/>
  <c r="K215" i="1"/>
  <c r="J215" i="1"/>
  <c r="I215" i="1"/>
  <c r="H215" i="1"/>
  <c r="G215" i="1"/>
  <c r="F215" i="1"/>
  <c r="E215" i="1"/>
  <c r="D215" i="1"/>
  <c r="C215" i="1"/>
  <c r="B215" i="1"/>
  <c r="A215" i="1"/>
  <c r="AK214" i="1"/>
  <c r="AC214" i="1"/>
  <c r="AB214" i="1"/>
  <c r="AA214" i="1"/>
  <c r="Z214" i="1"/>
  <c r="Y214" i="1"/>
  <c r="X214" i="1"/>
  <c r="W214" i="1"/>
  <c r="V214" i="1"/>
  <c r="U214" i="1"/>
  <c r="T214" i="1"/>
  <c r="S214" i="1"/>
  <c r="R214" i="1"/>
  <c r="Q214" i="1"/>
  <c r="P214" i="1"/>
  <c r="O214" i="1"/>
  <c r="N214" i="1"/>
  <c r="M214" i="1"/>
  <c r="K214" i="1"/>
  <c r="J214" i="1"/>
  <c r="I214" i="1"/>
  <c r="H214" i="1"/>
  <c r="G214" i="1"/>
  <c r="F214" i="1"/>
  <c r="E214" i="1"/>
  <c r="D214" i="1"/>
  <c r="C214" i="1"/>
  <c r="B214" i="1"/>
  <c r="A214" i="1"/>
  <c r="AK213" i="1"/>
  <c r="AC213" i="1"/>
  <c r="AB213" i="1"/>
  <c r="AA213" i="1"/>
  <c r="Z213" i="1"/>
  <c r="Y213" i="1"/>
  <c r="X213" i="1"/>
  <c r="W213" i="1"/>
  <c r="V213" i="1"/>
  <c r="U213" i="1"/>
  <c r="T213" i="1"/>
  <c r="S213" i="1"/>
  <c r="R213" i="1"/>
  <c r="Q213" i="1"/>
  <c r="P213" i="1"/>
  <c r="O213" i="1"/>
  <c r="N213" i="1"/>
  <c r="M213" i="1"/>
  <c r="K213" i="1"/>
  <c r="I213" i="1"/>
  <c r="H213" i="1"/>
  <c r="G213" i="1"/>
  <c r="F213" i="1"/>
  <c r="E213" i="1"/>
  <c r="D213" i="1"/>
  <c r="C213" i="1"/>
  <c r="B213" i="1"/>
  <c r="A213" i="1"/>
  <c r="AK212" i="1"/>
  <c r="AC212" i="1"/>
  <c r="AB212" i="1"/>
  <c r="AA212" i="1"/>
  <c r="Z212" i="1"/>
  <c r="Y212" i="1"/>
  <c r="X212" i="1"/>
  <c r="W212" i="1"/>
  <c r="V212" i="1"/>
  <c r="U212" i="1"/>
  <c r="T212" i="1"/>
  <c r="S212" i="1"/>
  <c r="R212" i="1"/>
  <c r="Q212" i="1"/>
  <c r="P212" i="1"/>
  <c r="O212" i="1"/>
  <c r="N212" i="1"/>
  <c r="M212" i="1"/>
  <c r="K212" i="1"/>
  <c r="J212" i="1"/>
  <c r="I212" i="1"/>
  <c r="H212" i="1"/>
  <c r="G212" i="1"/>
  <c r="F212" i="1"/>
  <c r="E212" i="1"/>
  <c r="D212" i="1"/>
  <c r="C212" i="1"/>
  <c r="B212" i="1"/>
  <c r="A212" i="1"/>
  <c r="AK211" i="1"/>
  <c r="AC211" i="1"/>
  <c r="AB211" i="1"/>
  <c r="AA211" i="1"/>
  <c r="Z211" i="1"/>
  <c r="Y211" i="1"/>
  <c r="X211" i="1"/>
  <c r="W211" i="1"/>
  <c r="V211" i="1"/>
  <c r="U211" i="1"/>
  <c r="T211" i="1"/>
  <c r="S211" i="1"/>
  <c r="R211" i="1"/>
  <c r="Q211" i="1"/>
  <c r="P211" i="1"/>
  <c r="O211" i="1"/>
  <c r="N211" i="1"/>
  <c r="M211" i="1"/>
  <c r="K211" i="1"/>
  <c r="J211" i="1"/>
  <c r="I211" i="1"/>
  <c r="H211" i="1"/>
  <c r="G211" i="1"/>
  <c r="F211" i="1"/>
  <c r="E211" i="1"/>
  <c r="D211" i="1"/>
  <c r="C211" i="1"/>
  <c r="B211" i="1"/>
  <c r="A211" i="1"/>
  <c r="AK210" i="1"/>
  <c r="AC210" i="1"/>
  <c r="AB210" i="1"/>
  <c r="AA210" i="1"/>
  <c r="Z210" i="1"/>
  <c r="Y210" i="1"/>
  <c r="X210" i="1"/>
  <c r="W210" i="1"/>
  <c r="V210" i="1"/>
  <c r="U210" i="1"/>
  <c r="T210" i="1"/>
  <c r="S210" i="1"/>
  <c r="R210" i="1"/>
  <c r="Q210" i="1"/>
  <c r="P210" i="1"/>
  <c r="O210" i="1"/>
  <c r="N210" i="1"/>
  <c r="M210" i="1"/>
  <c r="K210" i="1"/>
  <c r="J210" i="1"/>
  <c r="I210" i="1"/>
  <c r="H210" i="1"/>
  <c r="G210" i="1"/>
  <c r="F210" i="1"/>
  <c r="E210" i="1"/>
  <c r="D210" i="1"/>
  <c r="C210" i="1"/>
  <c r="B210" i="1"/>
  <c r="A210" i="1"/>
  <c r="AK209" i="1"/>
  <c r="AC209" i="1"/>
  <c r="AB209" i="1"/>
  <c r="AA209" i="1"/>
  <c r="Z209" i="1"/>
  <c r="Y209" i="1"/>
  <c r="X209" i="1"/>
  <c r="W209" i="1"/>
  <c r="V209" i="1"/>
  <c r="U209" i="1"/>
  <c r="T209" i="1"/>
  <c r="S209" i="1"/>
  <c r="R209" i="1"/>
  <c r="Q209" i="1"/>
  <c r="P209" i="1"/>
  <c r="O209" i="1"/>
  <c r="N209" i="1"/>
  <c r="M209" i="1"/>
  <c r="K209" i="1"/>
  <c r="J209" i="1"/>
  <c r="I209" i="1"/>
  <c r="H209" i="1"/>
  <c r="G209" i="1"/>
  <c r="F209" i="1"/>
  <c r="E209" i="1"/>
  <c r="D209" i="1"/>
  <c r="C209" i="1"/>
  <c r="B209" i="1"/>
  <c r="A209" i="1"/>
  <c r="AK208" i="1"/>
  <c r="AC208" i="1"/>
  <c r="AB208" i="1"/>
  <c r="AA208" i="1"/>
  <c r="Z208" i="1"/>
  <c r="Y208" i="1"/>
  <c r="X208" i="1"/>
  <c r="W208" i="1"/>
  <c r="V208" i="1"/>
  <c r="U208" i="1"/>
  <c r="T208" i="1"/>
  <c r="S208" i="1"/>
  <c r="R208" i="1"/>
  <c r="Q208" i="1"/>
  <c r="P208" i="1"/>
  <c r="O208" i="1"/>
  <c r="N208" i="1"/>
  <c r="M208" i="1"/>
  <c r="K208" i="1"/>
  <c r="I208" i="1"/>
  <c r="H208" i="1"/>
  <c r="G208" i="1"/>
  <c r="F208" i="1"/>
  <c r="E208" i="1"/>
  <c r="D208" i="1"/>
  <c r="C208" i="1"/>
  <c r="B208" i="1"/>
  <c r="A208" i="1"/>
  <c r="AK207" i="1"/>
  <c r="AC207" i="1"/>
  <c r="AB207" i="1"/>
  <c r="AA207" i="1"/>
  <c r="Z207" i="1"/>
  <c r="Y207" i="1"/>
  <c r="X207" i="1"/>
  <c r="W207" i="1"/>
  <c r="V207" i="1"/>
  <c r="U207" i="1"/>
  <c r="T207" i="1"/>
  <c r="S207" i="1"/>
  <c r="R207" i="1"/>
  <c r="Q207" i="1"/>
  <c r="P207" i="1"/>
  <c r="O207" i="1"/>
  <c r="N207" i="1"/>
  <c r="M207" i="1"/>
  <c r="K207" i="1"/>
  <c r="J207" i="1"/>
  <c r="I207" i="1"/>
  <c r="H207" i="1"/>
  <c r="G207" i="1"/>
  <c r="F207" i="1"/>
  <c r="E207" i="1"/>
  <c r="D207" i="1"/>
  <c r="C207" i="1"/>
  <c r="B207" i="1"/>
  <c r="A207" i="1"/>
  <c r="AK206" i="1"/>
  <c r="AC206" i="1"/>
  <c r="AB206" i="1"/>
  <c r="AA206" i="1"/>
  <c r="Z206" i="1"/>
  <c r="Y206" i="1"/>
  <c r="X206" i="1"/>
  <c r="W206" i="1"/>
  <c r="V206" i="1"/>
  <c r="U206" i="1"/>
  <c r="T206" i="1"/>
  <c r="S206" i="1"/>
  <c r="R206" i="1"/>
  <c r="Q206" i="1"/>
  <c r="P206" i="1"/>
  <c r="O206" i="1"/>
  <c r="N206" i="1"/>
  <c r="M206" i="1"/>
  <c r="K206" i="1"/>
  <c r="J206" i="1"/>
  <c r="I206" i="1"/>
  <c r="H206" i="1"/>
  <c r="G206" i="1"/>
  <c r="F206" i="1"/>
  <c r="E206" i="1"/>
  <c r="D206" i="1"/>
  <c r="C206" i="1"/>
  <c r="B206" i="1"/>
  <c r="A206" i="1"/>
  <c r="AC205" i="1"/>
  <c r="AB205" i="1"/>
  <c r="AA205" i="1"/>
  <c r="Z205" i="1"/>
  <c r="Y205" i="1"/>
  <c r="X205" i="1"/>
  <c r="W205" i="1"/>
  <c r="V205" i="1"/>
  <c r="U205" i="1"/>
  <c r="T205" i="1"/>
  <c r="S205" i="1"/>
  <c r="R205" i="1"/>
  <c r="Q205" i="1"/>
  <c r="P205" i="1"/>
  <c r="O205" i="1"/>
  <c r="N205" i="1"/>
  <c r="M205" i="1"/>
  <c r="K205" i="1"/>
  <c r="J205" i="1"/>
  <c r="I205" i="1"/>
  <c r="H205" i="1"/>
  <c r="G205" i="1"/>
  <c r="F205" i="1"/>
  <c r="E205" i="1"/>
  <c r="D205" i="1"/>
  <c r="C205" i="1"/>
  <c r="B205" i="1"/>
  <c r="A205" i="1"/>
  <c r="AK204" i="1"/>
  <c r="AC204" i="1"/>
  <c r="AB204" i="1"/>
  <c r="AA204" i="1"/>
  <c r="Z204" i="1"/>
  <c r="Y204" i="1"/>
  <c r="X204" i="1"/>
  <c r="W204" i="1"/>
  <c r="V204" i="1"/>
  <c r="U204" i="1"/>
  <c r="T204" i="1"/>
  <c r="S204" i="1"/>
  <c r="R204" i="1"/>
  <c r="Q204" i="1"/>
  <c r="P204" i="1"/>
  <c r="O204" i="1"/>
  <c r="N204" i="1"/>
  <c r="M204" i="1"/>
  <c r="K204" i="1"/>
  <c r="J204" i="1"/>
  <c r="I204" i="1"/>
  <c r="H204" i="1"/>
  <c r="G204" i="1"/>
  <c r="F204" i="1"/>
  <c r="E204" i="1"/>
  <c r="D204" i="1"/>
  <c r="C204" i="1"/>
  <c r="B204" i="1"/>
  <c r="A204" i="1"/>
  <c r="AK203" i="1"/>
  <c r="AC203" i="1"/>
  <c r="AB203" i="1"/>
  <c r="AA203" i="1"/>
  <c r="Z203" i="1"/>
  <c r="Y203" i="1"/>
  <c r="X203" i="1"/>
  <c r="W203" i="1"/>
  <c r="V203" i="1"/>
  <c r="U203" i="1"/>
  <c r="T203" i="1"/>
  <c r="S203" i="1"/>
  <c r="R203" i="1"/>
  <c r="Q203" i="1"/>
  <c r="P203" i="1"/>
  <c r="O203" i="1"/>
  <c r="N203" i="1"/>
  <c r="M203" i="1"/>
  <c r="K203" i="1"/>
  <c r="J203" i="1"/>
  <c r="I203" i="1"/>
  <c r="H203" i="1"/>
  <c r="G203" i="1"/>
  <c r="F203" i="1"/>
  <c r="E203" i="1"/>
  <c r="D203" i="1"/>
  <c r="C203" i="1"/>
  <c r="B203" i="1"/>
  <c r="A203" i="1"/>
  <c r="AK202" i="1"/>
  <c r="AC202" i="1"/>
  <c r="AB202" i="1"/>
  <c r="AA202" i="1"/>
  <c r="Z202" i="1"/>
  <c r="Y202" i="1"/>
  <c r="X202" i="1"/>
  <c r="W202" i="1"/>
  <c r="V202" i="1"/>
  <c r="U202" i="1"/>
  <c r="T202" i="1"/>
  <c r="S202" i="1"/>
  <c r="R202" i="1"/>
  <c r="Q202" i="1"/>
  <c r="P202" i="1"/>
  <c r="O202" i="1"/>
  <c r="N202" i="1"/>
  <c r="M202" i="1"/>
  <c r="K202" i="1"/>
  <c r="J202" i="1"/>
  <c r="I202" i="1"/>
  <c r="H202" i="1"/>
  <c r="G202" i="1"/>
  <c r="F202" i="1"/>
  <c r="E202" i="1"/>
  <c r="D202" i="1"/>
  <c r="C202" i="1"/>
  <c r="B202" i="1"/>
  <c r="A202" i="1"/>
  <c r="AK201" i="1"/>
  <c r="AC201" i="1"/>
  <c r="AB201" i="1"/>
  <c r="AA201" i="1"/>
  <c r="Z201" i="1"/>
  <c r="Y201" i="1"/>
  <c r="X201" i="1"/>
  <c r="W201" i="1"/>
  <c r="V201" i="1"/>
  <c r="U201" i="1"/>
  <c r="T201" i="1"/>
  <c r="S201" i="1"/>
  <c r="R201" i="1"/>
  <c r="Q201" i="1"/>
  <c r="P201" i="1"/>
  <c r="O201" i="1"/>
  <c r="N201" i="1"/>
  <c r="M201" i="1"/>
  <c r="K201" i="1"/>
  <c r="J201" i="1"/>
  <c r="I201" i="1"/>
  <c r="H201" i="1"/>
  <c r="G201" i="1"/>
  <c r="F201" i="1"/>
  <c r="E201" i="1"/>
  <c r="D201" i="1"/>
  <c r="C201" i="1"/>
  <c r="B201" i="1"/>
  <c r="A201" i="1"/>
  <c r="AK200" i="1"/>
  <c r="AC200" i="1"/>
  <c r="AB200" i="1"/>
  <c r="AA200" i="1"/>
  <c r="Z200" i="1"/>
  <c r="Y200" i="1"/>
  <c r="X200" i="1"/>
  <c r="W200" i="1"/>
  <c r="V200" i="1"/>
  <c r="U200" i="1"/>
  <c r="T200" i="1"/>
  <c r="S200" i="1"/>
  <c r="R200" i="1"/>
  <c r="Q200" i="1"/>
  <c r="P200" i="1"/>
  <c r="O200" i="1"/>
  <c r="N200" i="1"/>
  <c r="M200" i="1"/>
  <c r="K200" i="1"/>
  <c r="J200" i="1"/>
  <c r="I200" i="1"/>
  <c r="H200" i="1"/>
  <c r="G200" i="1"/>
  <c r="F200" i="1"/>
  <c r="E200" i="1"/>
  <c r="D200" i="1"/>
  <c r="C200" i="1"/>
  <c r="B200" i="1"/>
  <c r="A200" i="1"/>
  <c r="AK199" i="1"/>
  <c r="AC199" i="1"/>
  <c r="AB199" i="1"/>
  <c r="AA199" i="1"/>
  <c r="Z199" i="1"/>
  <c r="Y199" i="1"/>
  <c r="X199" i="1"/>
  <c r="W199" i="1"/>
  <c r="V199" i="1"/>
  <c r="U199" i="1"/>
  <c r="T199" i="1"/>
  <c r="S199" i="1"/>
  <c r="R199" i="1"/>
  <c r="Q199" i="1"/>
  <c r="P199" i="1"/>
  <c r="O199" i="1"/>
  <c r="N199" i="1"/>
  <c r="M199" i="1"/>
  <c r="K199" i="1"/>
  <c r="J199" i="1"/>
  <c r="I199" i="1"/>
  <c r="H199" i="1"/>
  <c r="G199" i="1"/>
  <c r="F199" i="1"/>
  <c r="E199" i="1"/>
  <c r="D199" i="1"/>
  <c r="C199" i="1"/>
  <c r="B199" i="1"/>
  <c r="A199" i="1"/>
  <c r="AK198" i="1"/>
  <c r="AC198" i="1"/>
  <c r="AB198" i="1"/>
  <c r="AA198" i="1"/>
  <c r="Z198" i="1"/>
  <c r="Y198" i="1"/>
  <c r="X198" i="1"/>
  <c r="W198" i="1"/>
  <c r="V198" i="1"/>
  <c r="U198" i="1"/>
  <c r="T198" i="1"/>
  <c r="S198" i="1"/>
  <c r="R198" i="1"/>
  <c r="Q198" i="1"/>
  <c r="P198" i="1"/>
  <c r="O198" i="1"/>
  <c r="N198" i="1"/>
  <c r="M198" i="1"/>
  <c r="K198" i="1"/>
  <c r="J198" i="1"/>
  <c r="I198" i="1"/>
  <c r="H198" i="1"/>
  <c r="G198" i="1"/>
  <c r="F198" i="1"/>
  <c r="E198" i="1"/>
  <c r="D198" i="1"/>
  <c r="C198" i="1"/>
  <c r="B198" i="1"/>
  <c r="A198" i="1"/>
  <c r="AK197" i="1"/>
  <c r="AC197" i="1"/>
  <c r="AB197" i="1"/>
  <c r="AA197" i="1"/>
  <c r="Z197" i="1"/>
  <c r="Y197" i="1"/>
  <c r="X197" i="1"/>
  <c r="W197" i="1"/>
  <c r="V197" i="1"/>
  <c r="U197" i="1"/>
  <c r="T197" i="1"/>
  <c r="S197" i="1"/>
  <c r="R197" i="1"/>
  <c r="Q197" i="1"/>
  <c r="P197" i="1"/>
  <c r="O197" i="1"/>
  <c r="N197" i="1"/>
  <c r="M197" i="1"/>
  <c r="K197" i="1"/>
  <c r="J197" i="1"/>
  <c r="I197" i="1"/>
  <c r="H197" i="1"/>
  <c r="G197" i="1"/>
  <c r="F197" i="1"/>
  <c r="E197" i="1"/>
  <c r="D197" i="1"/>
  <c r="C197" i="1"/>
  <c r="B197" i="1"/>
  <c r="A197" i="1"/>
  <c r="AK196" i="1"/>
  <c r="AC196" i="1"/>
  <c r="AB196" i="1"/>
  <c r="AA196" i="1"/>
  <c r="Z196" i="1"/>
  <c r="Y196" i="1"/>
  <c r="X196" i="1"/>
  <c r="W196" i="1"/>
  <c r="V196" i="1"/>
  <c r="U196" i="1"/>
  <c r="T196" i="1"/>
  <c r="S196" i="1"/>
  <c r="R196" i="1"/>
  <c r="Q196" i="1"/>
  <c r="P196" i="1"/>
  <c r="N196" i="1"/>
  <c r="M196" i="1"/>
  <c r="K196" i="1"/>
  <c r="J196" i="1"/>
  <c r="I196" i="1"/>
  <c r="H196" i="1"/>
  <c r="G196" i="1"/>
  <c r="F196" i="1"/>
  <c r="E196" i="1"/>
  <c r="D196" i="1"/>
  <c r="C196" i="1"/>
  <c r="B196" i="1"/>
  <c r="A196" i="1"/>
  <c r="AK195" i="1"/>
  <c r="AC195" i="1"/>
  <c r="AB195" i="1"/>
  <c r="AA195" i="1"/>
  <c r="Z195" i="1"/>
  <c r="Y195" i="1"/>
  <c r="X195" i="1"/>
  <c r="W195" i="1"/>
  <c r="V195" i="1"/>
  <c r="U195" i="1"/>
  <c r="T195" i="1"/>
  <c r="S195" i="1"/>
  <c r="R195" i="1"/>
  <c r="Q195" i="1"/>
  <c r="P195" i="1"/>
  <c r="O195" i="1"/>
  <c r="N195" i="1"/>
  <c r="M195" i="1"/>
  <c r="K195" i="1"/>
  <c r="J195" i="1"/>
  <c r="I195" i="1"/>
  <c r="H195" i="1"/>
  <c r="G195" i="1"/>
  <c r="F195" i="1"/>
  <c r="E195" i="1"/>
  <c r="D195" i="1"/>
  <c r="C195" i="1"/>
  <c r="B195" i="1"/>
  <c r="A195" i="1"/>
  <c r="AK194" i="1"/>
  <c r="AC194" i="1"/>
  <c r="AB194" i="1"/>
  <c r="AA194" i="1"/>
  <c r="Z194" i="1"/>
  <c r="Y194" i="1"/>
  <c r="X194" i="1"/>
  <c r="W194" i="1"/>
  <c r="V194" i="1"/>
  <c r="U194" i="1"/>
  <c r="T194" i="1"/>
  <c r="S194" i="1"/>
  <c r="R194" i="1"/>
  <c r="Q194" i="1"/>
  <c r="P194" i="1"/>
  <c r="O194" i="1"/>
  <c r="N194" i="1"/>
  <c r="M194" i="1"/>
  <c r="K194" i="1"/>
  <c r="I194" i="1"/>
  <c r="H194" i="1"/>
  <c r="G194" i="1"/>
  <c r="F194" i="1"/>
  <c r="E194" i="1"/>
  <c r="D194" i="1"/>
  <c r="C194" i="1"/>
  <c r="B194" i="1"/>
  <c r="A194" i="1"/>
  <c r="AK193" i="1"/>
  <c r="AC193" i="1"/>
  <c r="AB193" i="1"/>
  <c r="AA193" i="1"/>
  <c r="Z193" i="1"/>
  <c r="Y193" i="1"/>
  <c r="X193" i="1"/>
  <c r="W193" i="1"/>
  <c r="V193" i="1"/>
  <c r="U193" i="1"/>
  <c r="T193" i="1"/>
  <c r="S193" i="1"/>
  <c r="R193" i="1"/>
  <c r="Q193" i="1"/>
  <c r="P193" i="1"/>
  <c r="O193" i="1"/>
  <c r="N193" i="1"/>
  <c r="M193" i="1"/>
  <c r="K193" i="1"/>
  <c r="J193" i="1"/>
  <c r="I193" i="1"/>
  <c r="H193" i="1"/>
  <c r="G193" i="1"/>
  <c r="F193" i="1"/>
  <c r="E193" i="1"/>
  <c r="D193" i="1"/>
  <c r="C193" i="1"/>
  <c r="B193" i="1"/>
  <c r="A193" i="1"/>
  <c r="AK192" i="1"/>
  <c r="AC192" i="1"/>
  <c r="AB192" i="1"/>
  <c r="AA192" i="1"/>
  <c r="Z192" i="1"/>
  <c r="Y192" i="1"/>
  <c r="X192" i="1"/>
  <c r="W192" i="1"/>
  <c r="V192" i="1"/>
  <c r="U192" i="1"/>
  <c r="T192" i="1"/>
  <c r="S192" i="1"/>
  <c r="R192" i="1"/>
  <c r="Q192" i="1"/>
  <c r="P192" i="1"/>
  <c r="O192" i="1"/>
  <c r="N192" i="1"/>
  <c r="M192" i="1"/>
  <c r="K192" i="1"/>
  <c r="J192" i="1"/>
  <c r="I192" i="1"/>
  <c r="H192" i="1"/>
  <c r="G192" i="1"/>
  <c r="F192" i="1"/>
  <c r="E192" i="1"/>
  <c r="D192" i="1"/>
  <c r="C192" i="1"/>
  <c r="B192" i="1"/>
  <c r="A192" i="1"/>
  <c r="AK191" i="1"/>
  <c r="AC191" i="1"/>
  <c r="AB191" i="1"/>
  <c r="AA191" i="1"/>
  <c r="Z191" i="1"/>
  <c r="Y191" i="1"/>
  <c r="X191" i="1"/>
  <c r="W191" i="1"/>
  <c r="V191" i="1"/>
  <c r="U191" i="1"/>
  <c r="T191" i="1"/>
  <c r="S191" i="1"/>
  <c r="R191" i="1"/>
  <c r="Q191" i="1"/>
  <c r="P191" i="1"/>
  <c r="O191" i="1"/>
  <c r="N191" i="1"/>
  <c r="M191" i="1"/>
  <c r="K191" i="1"/>
  <c r="J191" i="1"/>
  <c r="I191" i="1"/>
  <c r="H191" i="1"/>
  <c r="G191" i="1"/>
  <c r="F191" i="1"/>
  <c r="E191" i="1"/>
  <c r="D191" i="1"/>
  <c r="C191" i="1"/>
  <c r="B191" i="1"/>
  <c r="A191" i="1"/>
  <c r="AK190" i="1"/>
  <c r="AC190" i="1"/>
  <c r="AB190" i="1"/>
  <c r="AA190" i="1"/>
  <c r="Z190" i="1"/>
  <c r="Y190" i="1"/>
  <c r="X190" i="1"/>
  <c r="W190" i="1"/>
  <c r="V190" i="1"/>
  <c r="U190" i="1"/>
  <c r="T190" i="1"/>
  <c r="S190" i="1"/>
  <c r="R190" i="1"/>
  <c r="Q190" i="1"/>
  <c r="P190" i="1"/>
  <c r="O190" i="1"/>
  <c r="N190" i="1"/>
  <c r="M190" i="1"/>
  <c r="K190" i="1"/>
  <c r="J190" i="1"/>
  <c r="I190" i="1"/>
  <c r="H190" i="1"/>
  <c r="G190" i="1"/>
  <c r="F190" i="1"/>
  <c r="E190" i="1"/>
  <c r="D190" i="1"/>
  <c r="C190" i="1"/>
  <c r="B190" i="1"/>
  <c r="A190" i="1"/>
  <c r="AK189" i="1"/>
  <c r="AC189" i="1"/>
  <c r="AB189" i="1"/>
  <c r="AA189" i="1"/>
  <c r="Z189" i="1"/>
  <c r="Y189" i="1"/>
  <c r="X189" i="1"/>
  <c r="W189" i="1"/>
  <c r="V189" i="1"/>
  <c r="U189" i="1"/>
  <c r="T189" i="1"/>
  <c r="S189" i="1"/>
  <c r="R189" i="1"/>
  <c r="Q189" i="1"/>
  <c r="P189" i="1"/>
  <c r="O189" i="1"/>
  <c r="N189" i="1"/>
  <c r="M189" i="1"/>
  <c r="K189" i="1"/>
  <c r="J189" i="1"/>
  <c r="I189" i="1"/>
  <c r="H189" i="1"/>
  <c r="G189" i="1"/>
  <c r="F189" i="1"/>
  <c r="E189" i="1"/>
  <c r="D189" i="1"/>
  <c r="C189" i="1"/>
  <c r="B189" i="1"/>
  <c r="A189" i="1"/>
  <c r="AK188" i="1"/>
  <c r="AC188" i="1"/>
  <c r="AB188" i="1"/>
  <c r="AA188" i="1"/>
  <c r="Z188" i="1"/>
  <c r="Y188" i="1"/>
  <c r="X188" i="1"/>
  <c r="W188" i="1"/>
  <c r="V188" i="1"/>
  <c r="U188" i="1"/>
  <c r="T188" i="1"/>
  <c r="S188" i="1"/>
  <c r="R188" i="1"/>
  <c r="Q188" i="1"/>
  <c r="P188" i="1"/>
  <c r="O188" i="1"/>
  <c r="N188" i="1"/>
  <c r="M188" i="1"/>
  <c r="K188" i="1"/>
  <c r="J188" i="1"/>
  <c r="I188" i="1"/>
  <c r="H188" i="1"/>
  <c r="G188" i="1"/>
  <c r="F188" i="1"/>
  <c r="E188" i="1"/>
  <c r="D188" i="1"/>
  <c r="C188" i="1"/>
  <c r="B188" i="1"/>
  <c r="A188" i="1"/>
  <c r="AK187" i="1"/>
  <c r="AC187" i="1"/>
  <c r="AB187" i="1"/>
  <c r="AA187" i="1"/>
  <c r="Z187" i="1"/>
  <c r="Y187" i="1"/>
  <c r="X187" i="1"/>
  <c r="W187" i="1"/>
  <c r="V187" i="1"/>
  <c r="U187" i="1"/>
  <c r="T187" i="1"/>
  <c r="S187" i="1"/>
  <c r="R187" i="1"/>
  <c r="Q187" i="1"/>
  <c r="P187" i="1"/>
  <c r="O187" i="1"/>
  <c r="N187" i="1"/>
  <c r="M187" i="1"/>
  <c r="K187" i="1"/>
  <c r="J187" i="1"/>
  <c r="I187" i="1"/>
  <c r="H187" i="1"/>
  <c r="G187" i="1"/>
  <c r="F187" i="1"/>
  <c r="E187" i="1"/>
  <c r="D187" i="1"/>
  <c r="C187" i="1"/>
  <c r="B187" i="1"/>
  <c r="A187" i="1"/>
  <c r="AK186" i="1"/>
  <c r="AC186" i="1"/>
  <c r="AB186" i="1"/>
  <c r="AA186" i="1"/>
  <c r="Z186" i="1"/>
  <c r="Y186" i="1"/>
  <c r="X186" i="1"/>
  <c r="W186" i="1"/>
  <c r="V186" i="1"/>
  <c r="U186" i="1"/>
  <c r="T186" i="1"/>
  <c r="S186" i="1"/>
  <c r="R186" i="1"/>
  <c r="Q186" i="1"/>
  <c r="P186" i="1"/>
  <c r="O186" i="1"/>
  <c r="N186" i="1"/>
  <c r="M186" i="1"/>
  <c r="K186" i="1"/>
  <c r="J186" i="1"/>
  <c r="I186" i="1"/>
  <c r="H186" i="1"/>
  <c r="G186" i="1"/>
  <c r="F186" i="1"/>
  <c r="E186" i="1"/>
  <c r="D186" i="1"/>
  <c r="C186" i="1"/>
  <c r="B186" i="1"/>
  <c r="A186" i="1"/>
  <c r="AK185" i="1"/>
  <c r="AC185" i="1"/>
  <c r="AB185" i="1"/>
  <c r="AA185" i="1"/>
  <c r="Z185" i="1"/>
  <c r="Y185" i="1"/>
  <c r="X185" i="1"/>
  <c r="W185" i="1"/>
  <c r="V185" i="1"/>
  <c r="U185" i="1"/>
  <c r="T185" i="1"/>
  <c r="S185" i="1"/>
  <c r="R185" i="1"/>
  <c r="Q185" i="1"/>
  <c r="P185" i="1"/>
  <c r="O185" i="1"/>
  <c r="N185" i="1"/>
  <c r="M185" i="1"/>
  <c r="K185" i="1"/>
  <c r="J185" i="1"/>
  <c r="I185" i="1"/>
  <c r="H185" i="1"/>
  <c r="G185" i="1"/>
  <c r="F185" i="1"/>
  <c r="E185" i="1"/>
  <c r="D185" i="1"/>
  <c r="C185" i="1"/>
  <c r="B185" i="1"/>
  <c r="A185" i="1"/>
  <c r="AK184" i="1"/>
  <c r="AC184" i="1"/>
  <c r="AB184" i="1"/>
  <c r="AA184" i="1"/>
  <c r="Z184" i="1"/>
  <c r="Y184" i="1"/>
  <c r="X184" i="1"/>
  <c r="W184" i="1"/>
  <c r="V184" i="1"/>
  <c r="U184" i="1"/>
  <c r="T184" i="1"/>
  <c r="S184" i="1"/>
  <c r="R184" i="1"/>
  <c r="Q184" i="1"/>
  <c r="P184" i="1"/>
  <c r="O184" i="1"/>
  <c r="N184" i="1"/>
  <c r="M184" i="1"/>
  <c r="K184" i="1"/>
  <c r="J184" i="1"/>
  <c r="I184" i="1"/>
  <c r="H184" i="1"/>
  <c r="G184" i="1"/>
  <c r="F184" i="1"/>
  <c r="E184" i="1"/>
  <c r="D184" i="1"/>
  <c r="C184" i="1"/>
  <c r="B184" i="1"/>
  <c r="A184" i="1"/>
  <c r="AK183" i="1"/>
  <c r="AC183" i="1"/>
  <c r="AB183" i="1"/>
  <c r="AA183" i="1"/>
  <c r="Z183" i="1"/>
  <c r="Y183" i="1"/>
  <c r="X183" i="1"/>
  <c r="W183" i="1"/>
  <c r="V183" i="1"/>
  <c r="U183" i="1"/>
  <c r="T183" i="1"/>
  <c r="S183" i="1"/>
  <c r="R183" i="1"/>
  <c r="Q183" i="1"/>
  <c r="P183" i="1"/>
  <c r="O183" i="1"/>
  <c r="N183" i="1"/>
  <c r="M183" i="1"/>
  <c r="K183" i="1"/>
  <c r="J183" i="1"/>
  <c r="I183" i="1"/>
  <c r="H183" i="1"/>
  <c r="G183" i="1"/>
  <c r="F183" i="1"/>
  <c r="E183" i="1"/>
  <c r="D183" i="1"/>
  <c r="C183" i="1"/>
  <c r="B183" i="1"/>
  <c r="A183" i="1"/>
  <c r="AK182" i="1"/>
  <c r="AC182" i="1"/>
  <c r="AB182" i="1"/>
  <c r="AA182" i="1"/>
  <c r="Z182" i="1"/>
  <c r="Y182" i="1"/>
  <c r="X182" i="1"/>
  <c r="W182" i="1"/>
  <c r="V182" i="1"/>
  <c r="U182" i="1"/>
  <c r="T182" i="1"/>
  <c r="S182" i="1"/>
  <c r="R182" i="1"/>
  <c r="Q182" i="1"/>
  <c r="P182" i="1"/>
  <c r="O182" i="1"/>
  <c r="N182" i="1"/>
  <c r="M182" i="1"/>
  <c r="K182" i="1"/>
  <c r="J182" i="1"/>
  <c r="I182" i="1"/>
  <c r="H182" i="1"/>
  <c r="G182" i="1"/>
  <c r="F182" i="1"/>
  <c r="E182" i="1"/>
  <c r="D182" i="1"/>
  <c r="C182" i="1"/>
  <c r="B182" i="1"/>
  <c r="A182" i="1"/>
  <c r="AK181" i="1"/>
  <c r="AC181" i="1"/>
  <c r="AB181" i="1"/>
  <c r="AA181" i="1"/>
  <c r="Z181" i="1"/>
  <c r="Y181" i="1"/>
  <c r="X181" i="1"/>
  <c r="W181" i="1"/>
  <c r="V181" i="1"/>
  <c r="U181" i="1"/>
  <c r="T181" i="1"/>
  <c r="S181" i="1"/>
  <c r="R181" i="1"/>
  <c r="Q181" i="1"/>
  <c r="P181" i="1"/>
  <c r="O181" i="1"/>
  <c r="N181" i="1"/>
  <c r="M181" i="1"/>
  <c r="K181" i="1"/>
  <c r="J181" i="1"/>
  <c r="I181" i="1"/>
  <c r="H181" i="1"/>
  <c r="G181" i="1"/>
  <c r="F181" i="1"/>
  <c r="E181" i="1"/>
  <c r="D181" i="1"/>
  <c r="C181" i="1"/>
  <c r="B181" i="1"/>
  <c r="A181" i="1"/>
  <c r="AK180" i="1"/>
  <c r="AC180" i="1"/>
  <c r="AB180" i="1"/>
  <c r="AA180" i="1"/>
  <c r="Z180" i="1"/>
  <c r="Y180" i="1"/>
  <c r="X180" i="1"/>
  <c r="W180" i="1"/>
  <c r="V180" i="1"/>
  <c r="U180" i="1"/>
  <c r="T180" i="1"/>
  <c r="S180" i="1"/>
  <c r="R180" i="1"/>
  <c r="Q180" i="1"/>
  <c r="P180" i="1"/>
  <c r="O180" i="1"/>
  <c r="N180" i="1"/>
  <c r="M180" i="1"/>
  <c r="K180" i="1"/>
  <c r="J180" i="1"/>
  <c r="I180" i="1"/>
  <c r="H180" i="1"/>
  <c r="G180" i="1"/>
  <c r="F180" i="1"/>
  <c r="E180" i="1"/>
  <c r="D180" i="1"/>
  <c r="C180" i="1"/>
  <c r="B180" i="1"/>
  <c r="A180" i="1"/>
  <c r="AK179" i="1"/>
  <c r="AC179" i="1"/>
  <c r="AB179" i="1"/>
  <c r="AA179" i="1"/>
  <c r="Z179" i="1"/>
  <c r="Y179" i="1"/>
  <c r="X179" i="1"/>
  <c r="W179" i="1"/>
  <c r="V179" i="1"/>
  <c r="U179" i="1"/>
  <c r="T179" i="1"/>
  <c r="S179" i="1"/>
  <c r="R179" i="1"/>
  <c r="Q179" i="1"/>
  <c r="P179" i="1"/>
  <c r="O179" i="1"/>
  <c r="N179" i="1"/>
  <c r="M179" i="1"/>
  <c r="K179" i="1"/>
  <c r="I179" i="1"/>
  <c r="H179" i="1"/>
  <c r="G179" i="1"/>
  <c r="F179" i="1"/>
  <c r="E179" i="1"/>
  <c r="D179" i="1"/>
  <c r="C179" i="1"/>
  <c r="B179" i="1"/>
  <c r="A179" i="1"/>
  <c r="AK178" i="1"/>
  <c r="AC178" i="1"/>
  <c r="AB178" i="1"/>
  <c r="AA178" i="1"/>
  <c r="Z178" i="1"/>
  <c r="Y178" i="1"/>
  <c r="X178" i="1"/>
  <c r="W178" i="1"/>
  <c r="V178" i="1"/>
  <c r="U178" i="1"/>
  <c r="T178" i="1"/>
  <c r="S178" i="1"/>
  <c r="R178" i="1"/>
  <c r="Q178" i="1"/>
  <c r="P178" i="1"/>
  <c r="O178" i="1"/>
  <c r="N178" i="1"/>
  <c r="M178" i="1"/>
  <c r="K178" i="1"/>
  <c r="J178" i="1"/>
  <c r="I178" i="1"/>
  <c r="H178" i="1"/>
  <c r="G178" i="1"/>
  <c r="F178" i="1"/>
  <c r="E178" i="1"/>
  <c r="D178" i="1"/>
  <c r="C178" i="1"/>
  <c r="B178" i="1"/>
  <c r="A178" i="1"/>
  <c r="AK177" i="1"/>
  <c r="AC177" i="1"/>
  <c r="AB177" i="1"/>
  <c r="AA177" i="1"/>
  <c r="Z177" i="1"/>
  <c r="Y177" i="1"/>
  <c r="X177" i="1"/>
  <c r="W177" i="1"/>
  <c r="V177" i="1"/>
  <c r="U177" i="1"/>
  <c r="T177" i="1"/>
  <c r="S177" i="1"/>
  <c r="R177" i="1"/>
  <c r="Q177" i="1"/>
  <c r="P177" i="1"/>
  <c r="O177" i="1"/>
  <c r="N177" i="1"/>
  <c r="M177" i="1"/>
  <c r="K177" i="1"/>
  <c r="J177" i="1"/>
  <c r="I177" i="1"/>
  <c r="H177" i="1"/>
  <c r="G177" i="1"/>
  <c r="F177" i="1"/>
  <c r="E177" i="1"/>
  <c r="D177" i="1"/>
  <c r="C177" i="1"/>
  <c r="B177" i="1"/>
  <c r="A177" i="1"/>
  <c r="AK176" i="1"/>
  <c r="AC176" i="1"/>
  <c r="AB176" i="1"/>
  <c r="AA176" i="1"/>
  <c r="Z176" i="1"/>
  <c r="Y176" i="1"/>
  <c r="X176" i="1"/>
  <c r="W176" i="1"/>
  <c r="V176" i="1"/>
  <c r="U176" i="1"/>
  <c r="T176" i="1"/>
  <c r="S176" i="1"/>
  <c r="R176" i="1"/>
  <c r="Q176" i="1"/>
  <c r="P176" i="1"/>
  <c r="N176" i="1"/>
  <c r="M176" i="1"/>
  <c r="K176" i="1"/>
  <c r="J176" i="1"/>
  <c r="I176" i="1"/>
  <c r="H176" i="1"/>
  <c r="G176" i="1"/>
  <c r="F176" i="1"/>
  <c r="E176" i="1"/>
  <c r="D176" i="1"/>
  <c r="C176" i="1"/>
  <c r="B176" i="1"/>
  <c r="A176" i="1"/>
  <c r="AK175" i="1"/>
  <c r="AC175" i="1"/>
  <c r="AB175" i="1"/>
  <c r="AA175" i="1"/>
  <c r="Z175" i="1"/>
  <c r="Y175" i="1"/>
  <c r="X175" i="1"/>
  <c r="W175" i="1"/>
  <c r="V175" i="1"/>
  <c r="U175" i="1"/>
  <c r="T175" i="1"/>
  <c r="S175" i="1"/>
  <c r="R175" i="1"/>
  <c r="Q175" i="1"/>
  <c r="P175" i="1"/>
  <c r="O175" i="1"/>
  <c r="N175" i="1"/>
  <c r="M175" i="1"/>
  <c r="K175" i="1"/>
  <c r="J175" i="1"/>
  <c r="I175" i="1"/>
  <c r="H175" i="1"/>
  <c r="G175" i="1"/>
  <c r="F175" i="1"/>
  <c r="E175" i="1"/>
  <c r="D175" i="1"/>
  <c r="C175" i="1"/>
  <c r="B175" i="1"/>
  <c r="A175" i="1"/>
  <c r="AK174" i="1"/>
  <c r="AC174" i="1"/>
  <c r="AB174" i="1"/>
  <c r="AA174" i="1"/>
  <c r="Z174" i="1"/>
  <c r="Y174" i="1"/>
  <c r="X174" i="1"/>
  <c r="W174" i="1"/>
  <c r="V174" i="1"/>
  <c r="U174" i="1"/>
  <c r="T174" i="1"/>
  <c r="S174" i="1"/>
  <c r="R174" i="1"/>
  <c r="Q174" i="1"/>
  <c r="P174" i="1"/>
  <c r="O174" i="1"/>
  <c r="N174" i="1"/>
  <c r="M174" i="1"/>
  <c r="K174" i="1"/>
  <c r="J174" i="1"/>
  <c r="I174" i="1"/>
  <c r="H174" i="1"/>
  <c r="G174" i="1"/>
  <c r="F174" i="1"/>
  <c r="E174" i="1"/>
  <c r="D174" i="1"/>
  <c r="C174" i="1"/>
  <c r="B174" i="1"/>
  <c r="A174" i="1"/>
  <c r="AK173" i="1"/>
  <c r="AC173" i="1"/>
  <c r="AB173" i="1"/>
  <c r="AA173" i="1"/>
  <c r="Z173" i="1"/>
  <c r="Y173" i="1"/>
  <c r="X173" i="1"/>
  <c r="W173" i="1"/>
  <c r="V173" i="1"/>
  <c r="U173" i="1"/>
  <c r="T173" i="1"/>
  <c r="S173" i="1"/>
  <c r="R173" i="1"/>
  <c r="Q173" i="1"/>
  <c r="P173" i="1"/>
  <c r="O173" i="1"/>
  <c r="N173" i="1"/>
  <c r="M173" i="1"/>
  <c r="L173" i="1"/>
  <c r="K173" i="1"/>
  <c r="J173" i="1"/>
  <c r="I173" i="1"/>
  <c r="H173" i="1"/>
  <c r="G173" i="1"/>
  <c r="F173" i="1"/>
  <c r="E173" i="1"/>
  <c r="D173" i="1"/>
  <c r="C173" i="1"/>
  <c r="B173" i="1"/>
  <c r="A173" i="1"/>
  <c r="AK172" i="1"/>
  <c r="AC172" i="1"/>
  <c r="AB172" i="1"/>
  <c r="AA172" i="1"/>
  <c r="Z172" i="1"/>
  <c r="Y172" i="1"/>
  <c r="X172" i="1"/>
  <c r="W172" i="1"/>
  <c r="V172" i="1"/>
  <c r="U172" i="1"/>
  <c r="T172" i="1"/>
  <c r="S172" i="1"/>
  <c r="R172" i="1"/>
  <c r="Q172" i="1"/>
  <c r="P172" i="1"/>
  <c r="O172" i="1"/>
  <c r="N172" i="1"/>
  <c r="M172" i="1"/>
  <c r="K172" i="1"/>
  <c r="J172" i="1"/>
  <c r="I172" i="1"/>
  <c r="H172" i="1"/>
  <c r="G172" i="1"/>
  <c r="F172" i="1"/>
  <c r="E172" i="1"/>
  <c r="D172" i="1"/>
  <c r="C172" i="1"/>
  <c r="B172" i="1"/>
  <c r="A172" i="1"/>
  <c r="AK171" i="1"/>
  <c r="AC171" i="1"/>
  <c r="AB171" i="1"/>
  <c r="AA171" i="1"/>
  <c r="Z171" i="1"/>
  <c r="Y171" i="1"/>
  <c r="X171" i="1"/>
  <c r="W171" i="1"/>
  <c r="V171" i="1"/>
  <c r="U171" i="1"/>
  <c r="T171" i="1"/>
  <c r="S171" i="1"/>
  <c r="R171" i="1"/>
  <c r="Q171" i="1"/>
  <c r="P171" i="1"/>
  <c r="O171" i="1"/>
  <c r="N171" i="1"/>
  <c r="M171" i="1"/>
  <c r="K171" i="1"/>
  <c r="J171" i="1"/>
  <c r="I171" i="1"/>
  <c r="H171" i="1"/>
  <c r="G171" i="1"/>
  <c r="F171" i="1"/>
  <c r="E171" i="1"/>
  <c r="D171" i="1"/>
  <c r="C171" i="1"/>
  <c r="B171" i="1"/>
  <c r="A171" i="1"/>
  <c r="AK170" i="1"/>
  <c r="AC170" i="1"/>
  <c r="AB170" i="1"/>
  <c r="AA170" i="1"/>
  <c r="Z170" i="1"/>
  <c r="Y170" i="1"/>
  <c r="X170" i="1"/>
  <c r="W170" i="1"/>
  <c r="V170" i="1"/>
  <c r="U170" i="1"/>
  <c r="T170" i="1"/>
  <c r="S170" i="1"/>
  <c r="R170" i="1"/>
  <c r="Q170" i="1"/>
  <c r="P170" i="1"/>
  <c r="O170" i="1"/>
  <c r="N170" i="1"/>
  <c r="M170" i="1"/>
  <c r="K170" i="1"/>
  <c r="J170" i="1"/>
  <c r="I170" i="1"/>
  <c r="H170" i="1"/>
  <c r="G170" i="1"/>
  <c r="F170" i="1"/>
  <c r="E170" i="1"/>
  <c r="D170" i="1"/>
  <c r="C170" i="1"/>
  <c r="B170" i="1"/>
  <c r="A170" i="1"/>
  <c r="AK169" i="1"/>
  <c r="AC169" i="1"/>
  <c r="AB169" i="1"/>
  <c r="AA169" i="1"/>
  <c r="Z169" i="1"/>
  <c r="Y169" i="1"/>
  <c r="X169" i="1"/>
  <c r="W169" i="1"/>
  <c r="V169" i="1"/>
  <c r="U169" i="1"/>
  <c r="T169" i="1"/>
  <c r="S169" i="1"/>
  <c r="R169" i="1"/>
  <c r="Q169" i="1"/>
  <c r="P169" i="1"/>
  <c r="O169" i="1"/>
  <c r="N169" i="1"/>
  <c r="M169" i="1"/>
  <c r="K169" i="1"/>
  <c r="J169" i="1"/>
  <c r="I169" i="1"/>
  <c r="H169" i="1"/>
  <c r="G169" i="1"/>
  <c r="F169" i="1"/>
  <c r="E169" i="1"/>
  <c r="D169" i="1"/>
  <c r="C169" i="1"/>
  <c r="B169" i="1"/>
  <c r="A169" i="1"/>
  <c r="AK168" i="1"/>
  <c r="AC168" i="1"/>
  <c r="AB168" i="1"/>
  <c r="AA168" i="1"/>
  <c r="Z168" i="1"/>
  <c r="Y168" i="1"/>
  <c r="X168" i="1"/>
  <c r="W168" i="1"/>
  <c r="V168" i="1"/>
  <c r="U168" i="1"/>
  <c r="T168" i="1"/>
  <c r="S168" i="1"/>
  <c r="R168" i="1"/>
  <c r="Q168" i="1"/>
  <c r="P168" i="1"/>
  <c r="O168" i="1"/>
  <c r="N168" i="1"/>
  <c r="M168" i="1"/>
  <c r="K168" i="1"/>
  <c r="J168" i="1"/>
  <c r="I168" i="1"/>
  <c r="H168" i="1"/>
  <c r="G168" i="1"/>
  <c r="F168" i="1"/>
  <c r="E168" i="1"/>
  <c r="D168" i="1"/>
  <c r="C168" i="1"/>
  <c r="B168" i="1"/>
  <c r="A168" i="1"/>
  <c r="AK167" i="1"/>
  <c r="AC167" i="1"/>
  <c r="AB167" i="1"/>
  <c r="AA167" i="1"/>
  <c r="Z167" i="1"/>
  <c r="Y167" i="1"/>
  <c r="X167" i="1"/>
  <c r="W167" i="1"/>
  <c r="V167" i="1"/>
  <c r="U167" i="1"/>
  <c r="T167" i="1"/>
  <c r="S167" i="1"/>
  <c r="R167" i="1"/>
  <c r="Q167" i="1"/>
  <c r="P167" i="1"/>
  <c r="O167" i="1"/>
  <c r="N167" i="1"/>
  <c r="M167" i="1"/>
  <c r="K167" i="1"/>
  <c r="J167" i="1"/>
  <c r="I167" i="1"/>
  <c r="H167" i="1"/>
  <c r="G167" i="1"/>
  <c r="F167" i="1"/>
  <c r="E167" i="1"/>
  <c r="D167" i="1"/>
  <c r="C167" i="1"/>
  <c r="B167" i="1"/>
  <c r="A167" i="1"/>
  <c r="AK166" i="1"/>
  <c r="AC166" i="1"/>
  <c r="AB166" i="1"/>
  <c r="AA166" i="1"/>
  <c r="Z166" i="1"/>
  <c r="Y166" i="1"/>
  <c r="X166" i="1"/>
  <c r="W166" i="1"/>
  <c r="V166" i="1"/>
  <c r="U166" i="1"/>
  <c r="T166" i="1"/>
  <c r="S166" i="1"/>
  <c r="R166" i="1"/>
  <c r="Q166" i="1"/>
  <c r="P166" i="1"/>
  <c r="O166" i="1"/>
  <c r="N166" i="1"/>
  <c r="M166" i="1"/>
  <c r="K166" i="1"/>
  <c r="J166" i="1"/>
  <c r="I166" i="1"/>
  <c r="H166" i="1"/>
  <c r="G166" i="1"/>
  <c r="F166" i="1"/>
  <c r="E166" i="1"/>
  <c r="D166" i="1"/>
  <c r="C166" i="1"/>
  <c r="B166" i="1"/>
  <c r="A166" i="1"/>
  <c r="AK165" i="1"/>
  <c r="AC165" i="1"/>
  <c r="AB165" i="1"/>
  <c r="AA165" i="1"/>
  <c r="Z165" i="1"/>
  <c r="Y165" i="1"/>
  <c r="X165" i="1"/>
  <c r="W165" i="1"/>
  <c r="V165" i="1"/>
  <c r="U165" i="1"/>
  <c r="T165" i="1"/>
  <c r="S165" i="1"/>
  <c r="R165" i="1"/>
  <c r="Q165" i="1"/>
  <c r="P165" i="1"/>
  <c r="N165" i="1"/>
  <c r="M165" i="1"/>
  <c r="K165" i="1"/>
  <c r="J165" i="1"/>
  <c r="I165" i="1"/>
  <c r="H165" i="1"/>
  <c r="G165" i="1"/>
  <c r="F165" i="1"/>
  <c r="E165" i="1"/>
  <c r="D165" i="1"/>
  <c r="C165" i="1"/>
  <c r="B165" i="1"/>
  <c r="A165" i="1"/>
  <c r="AK164" i="1"/>
  <c r="AC164" i="1"/>
  <c r="AB164" i="1"/>
  <c r="AA164" i="1"/>
  <c r="Z164" i="1"/>
  <c r="Y164" i="1"/>
  <c r="X164" i="1"/>
  <c r="W164" i="1"/>
  <c r="V164" i="1"/>
  <c r="U164" i="1"/>
  <c r="T164" i="1"/>
  <c r="S164" i="1"/>
  <c r="R164" i="1"/>
  <c r="Q164" i="1"/>
  <c r="P164" i="1"/>
  <c r="O164" i="1"/>
  <c r="N164" i="1"/>
  <c r="M164" i="1"/>
  <c r="K164" i="1"/>
  <c r="J164" i="1"/>
  <c r="I164" i="1"/>
  <c r="H164" i="1"/>
  <c r="G164" i="1"/>
  <c r="F164" i="1"/>
  <c r="E164" i="1"/>
  <c r="D164" i="1"/>
  <c r="C164" i="1"/>
  <c r="B164" i="1"/>
  <c r="A164" i="1"/>
  <c r="AK163" i="1"/>
  <c r="AC163" i="1"/>
  <c r="AB163" i="1"/>
  <c r="AA163" i="1"/>
  <c r="Z163" i="1"/>
  <c r="Y163" i="1"/>
  <c r="X163" i="1"/>
  <c r="W163" i="1"/>
  <c r="V163" i="1"/>
  <c r="U163" i="1"/>
  <c r="T163" i="1"/>
  <c r="S163" i="1"/>
  <c r="R163" i="1"/>
  <c r="Q163" i="1"/>
  <c r="P163" i="1"/>
  <c r="O163" i="1"/>
  <c r="N163" i="1"/>
  <c r="M163" i="1"/>
  <c r="K163" i="1"/>
  <c r="J163" i="1"/>
  <c r="I163" i="1"/>
  <c r="H163" i="1"/>
  <c r="G163" i="1"/>
  <c r="F163" i="1"/>
  <c r="E163" i="1"/>
  <c r="D163" i="1"/>
  <c r="C163" i="1"/>
  <c r="B163" i="1"/>
  <c r="A163" i="1"/>
  <c r="AK162" i="1"/>
  <c r="AC162" i="1"/>
  <c r="AB162" i="1"/>
  <c r="AA162" i="1"/>
  <c r="Z162" i="1"/>
  <c r="Y162" i="1"/>
  <c r="X162" i="1"/>
  <c r="W162" i="1"/>
  <c r="V162" i="1"/>
  <c r="U162" i="1"/>
  <c r="T162" i="1"/>
  <c r="S162" i="1"/>
  <c r="R162" i="1"/>
  <c r="Q162" i="1"/>
  <c r="P162" i="1"/>
  <c r="O162" i="1"/>
  <c r="N162" i="1"/>
  <c r="M162" i="1"/>
  <c r="K162" i="1"/>
  <c r="J162" i="1"/>
  <c r="I162" i="1"/>
  <c r="H162" i="1"/>
  <c r="G162" i="1"/>
  <c r="F162" i="1"/>
  <c r="E162" i="1"/>
  <c r="D162" i="1"/>
  <c r="C162" i="1"/>
  <c r="B162" i="1"/>
  <c r="A162" i="1"/>
  <c r="AK161" i="1"/>
  <c r="AC161" i="1"/>
  <c r="AB161" i="1"/>
  <c r="AA161" i="1"/>
  <c r="Z161" i="1"/>
  <c r="Y161" i="1"/>
  <c r="X161" i="1"/>
  <c r="W161" i="1"/>
  <c r="V161" i="1"/>
  <c r="U161" i="1"/>
  <c r="T161" i="1"/>
  <c r="S161" i="1"/>
  <c r="R161" i="1"/>
  <c r="Q161" i="1"/>
  <c r="P161" i="1"/>
  <c r="O161" i="1"/>
  <c r="N161" i="1"/>
  <c r="M161" i="1"/>
  <c r="K161" i="1"/>
  <c r="J161" i="1"/>
  <c r="I161" i="1"/>
  <c r="H161" i="1"/>
  <c r="G161" i="1"/>
  <c r="F161" i="1"/>
  <c r="E161" i="1"/>
  <c r="D161" i="1"/>
  <c r="C161" i="1"/>
  <c r="B161" i="1"/>
  <c r="A161" i="1"/>
  <c r="AK160" i="1"/>
  <c r="AC160" i="1"/>
  <c r="AB160" i="1"/>
  <c r="AA160" i="1"/>
  <c r="Z160" i="1"/>
  <c r="Y160" i="1"/>
  <c r="X160" i="1"/>
  <c r="W160" i="1"/>
  <c r="V160" i="1"/>
  <c r="U160" i="1"/>
  <c r="T160" i="1"/>
  <c r="S160" i="1"/>
  <c r="R160" i="1"/>
  <c r="Q160" i="1"/>
  <c r="P160" i="1"/>
  <c r="O160" i="1"/>
  <c r="N160" i="1"/>
  <c r="M160" i="1"/>
  <c r="K160" i="1"/>
  <c r="J160" i="1"/>
  <c r="I160" i="1"/>
  <c r="H160" i="1"/>
  <c r="G160" i="1"/>
  <c r="F160" i="1"/>
  <c r="E160" i="1"/>
  <c r="D160" i="1"/>
  <c r="C160" i="1"/>
  <c r="B160" i="1"/>
  <c r="A160" i="1"/>
  <c r="AK159" i="1"/>
  <c r="AC159" i="1"/>
  <c r="AB159" i="1"/>
  <c r="AA159" i="1"/>
  <c r="Z159" i="1"/>
  <c r="Y159" i="1"/>
  <c r="X159" i="1"/>
  <c r="W159" i="1"/>
  <c r="V159" i="1"/>
  <c r="U159" i="1"/>
  <c r="T159" i="1"/>
  <c r="S159" i="1"/>
  <c r="R159" i="1"/>
  <c r="Q159" i="1"/>
  <c r="P159" i="1"/>
  <c r="O159" i="1"/>
  <c r="N159" i="1"/>
  <c r="M159" i="1"/>
  <c r="K159" i="1"/>
  <c r="I159" i="1"/>
  <c r="H159" i="1"/>
  <c r="G159" i="1"/>
  <c r="F159" i="1"/>
  <c r="E159" i="1"/>
  <c r="D159" i="1"/>
  <c r="C159" i="1"/>
  <c r="B159" i="1"/>
  <c r="A159" i="1"/>
  <c r="AK158" i="1"/>
  <c r="AC158" i="1"/>
  <c r="AB158" i="1"/>
  <c r="AA158" i="1"/>
  <c r="Z158" i="1"/>
  <c r="Y158" i="1"/>
  <c r="X158" i="1"/>
  <c r="W158" i="1"/>
  <c r="V158" i="1"/>
  <c r="U158" i="1"/>
  <c r="T158" i="1"/>
  <c r="S158" i="1"/>
  <c r="R158" i="1"/>
  <c r="Q158" i="1"/>
  <c r="P158" i="1"/>
  <c r="O158" i="1"/>
  <c r="N158" i="1"/>
  <c r="M158" i="1"/>
  <c r="K158" i="1"/>
  <c r="J158" i="1"/>
  <c r="I158" i="1"/>
  <c r="H158" i="1"/>
  <c r="G158" i="1"/>
  <c r="F158" i="1"/>
  <c r="E158" i="1"/>
  <c r="D158" i="1"/>
  <c r="C158" i="1"/>
  <c r="B158" i="1"/>
  <c r="A158" i="1"/>
  <c r="AK157" i="1"/>
  <c r="AC157" i="1"/>
  <c r="AB157" i="1"/>
  <c r="AA157" i="1"/>
  <c r="Z157" i="1"/>
  <c r="Y157" i="1"/>
  <c r="X157" i="1"/>
  <c r="W157" i="1"/>
  <c r="V157" i="1"/>
  <c r="U157" i="1"/>
  <c r="T157" i="1"/>
  <c r="S157" i="1"/>
  <c r="R157" i="1"/>
  <c r="Q157" i="1"/>
  <c r="P157" i="1"/>
  <c r="O157" i="1"/>
  <c r="N157" i="1"/>
  <c r="M157" i="1"/>
  <c r="K157" i="1"/>
  <c r="I157" i="1"/>
  <c r="H157" i="1"/>
  <c r="G157" i="1"/>
  <c r="F157" i="1"/>
  <c r="E157" i="1"/>
  <c r="D157" i="1"/>
  <c r="C157" i="1"/>
  <c r="B157" i="1"/>
  <c r="A157" i="1"/>
  <c r="AK156" i="1"/>
  <c r="AC156" i="1"/>
  <c r="AB156" i="1"/>
  <c r="AA156" i="1"/>
  <c r="Z156" i="1"/>
  <c r="Y156" i="1"/>
  <c r="X156" i="1"/>
  <c r="W156" i="1"/>
  <c r="V156" i="1"/>
  <c r="U156" i="1"/>
  <c r="T156" i="1"/>
  <c r="S156" i="1"/>
  <c r="R156" i="1"/>
  <c r="Q156" i="1"/>
  <c r="P156" i="1"/>
  <c r="O156" i="1"/>
  <c r="N156" i="1"/>
  <c r="M156" i="1"/>
  <c r="K156" i="1"/>
  <c r="J156" i="1"/>
  <c r="I156" i="1"/>
  <c r="H156" i="1"/>
  <c r="G156" i="1"/>
  <c r="F156" i="1"/>
  <c r="E156" i="1"/>
  <c r="D156" i="1"/>
  <c r="C156" i="1"/>
  <c r="B156" i="1"/>
  <c r="A156" i="1"/>
  <c r="AK155" i="1"/>
  <c r="AC155" i="1"/>
  <c r="AB155" i="1"/>
  <c r="AA155" i="1"/>
  <c r="Z155" i="1"/>
  <c r="Y155" i="1"/>
  <c r="X155" i="1"/>
  <c r="W155" i="1"/>
  <c r="V155" i="1"/>
  <c r="U155" i="1"/>
  <c r="T155" i="1"/>
  <c r="S155" i="1"/>
  <c r="R155" i="1"/>
  <c r="Q155" i="1"/>
  <c r="P155" i="1"/>
  <c r="O155" i="1"/>
  <c r="N155" i="1"/>
  <c r="M155" i="1"/>
  <c r="K155" i="1"/>
  <c r="J155" i="1"/>
  <c r="I155" i="1"/>
  <c r="H155" i="1"/>
  <c r="G155" i="1"/>
  <c r="F155" i="1"/>
  <c r="E155" i="1"/>
  <c r="D155" i="1"/>
  <c r="C155" i="1"/>
  <c r="B155" i="1"/>
  <c r="A155" i="1"/>
  <c r="AK154" i="1"/>
  <c r="AC154" i="1"/>
  <c r="AB154" i="1"/>
  <c r="AA154" i="1"/>
  <c r="Z154" i="1"/>
  <c r="Y154" i="1"/>
  <c r="X154" i="1"/>
  <c r="W154" i="1"/>
  <c r="V154" i="1"/>
  <c r="U154" i="1"/>
  <c r="T154" i="1"/>
  <c r="S154" i="1"/>
  <c r="R154" i="1"/>
  <c r="Q154" i="1"/>
  <c r="P154" i="1"/>
  <c r="O154" i="1"/>
  <c r="N154" i="1"/>
  <c r="M154" i="1"/>
  <c r="K154" i="1"/>
  <c r="J154" i="1"/>
  <c r="I154" i="1"/>
  <c r="H154" i="1"/>
  <c r="G154" i="1"/>
  <c r="F154" i="1"/>
  <c r="E154" i="1"/>
  <c r="D154" i="1"/>
  <c r="C154" i="1"/>
  <c r="B154" i="1"/>
  <c r="A154" i="1"/>
  <c r="AK153" i="1"/>
  <c r="AC153" i="1"/>
  <c r="AB153" i="1"/>
  <c r="AA153" i="1"/>
  <c r="Z153" i="1"/>
  <c r="Y153" i="1"/>
  <c r="X153" i="1"/>
  <c r="W153" i="1"/>
  <c r="V153" i="1"/>
  <c r="U153" i="1"/>
  <c r="T153" i="1"/>
  <c r="S153" i="1"/>
  <c r="R153" i="1"/>
  <c r="Q153" i="1"/>
  <c r="P153" i="1"/>
  <c r="O153" i="1"/>
  <c r="N153" i="1"/>
  <c r="M153" i="1"/>
  <c r="K153" i="1"/>
  <c r="J153" i="1"/>
  <c r="I153" i="1"/>
  <c r="H153" i="1"/>
  <c r="G153" i="1"/>
  <c r="F153" i="1"/>
  <c r="E153" i="1"/>
  <c r="D153" i="1"/>
  <c r="C153" i="1"/>
  <c r="B153" i="1"/>
  <c r="A153" i="1"/>
  <c r="AK152" i="1"/>
  <c r="AC152" i="1"/>
  <c r="AB152" i="1"/>
  <c r="AA152" i="1"/>
  <c r="Z152" i="1"/>
  <c r="Y152" i="1"/>
  <c r="X152" i="1"/>
  <c r="W152" i="1"/>
  <c r="V152" i="1"/>
  <c r="U152" i="1"/>
  <c r="T152" i="1"/>
  <c r="S152" i="1"/>
  <c r="R152" i="1"/>
  <c r="Q152" i="1"/>
  <c r="P152" i="1"/>
  <c r="O152" i="1"/>
  <c r="N152" i="1"/>
  <c r="M152" i="1"/>
  <c r="K152" i="1"/>
  <c r="J152" i="1"/>
  <c r="I152" i="1"/>
  <c r="H152" i="1"/>
  <c r="G152" i="1"/>
  <c r="F152" i="1"/>
  <c r="E152" i="1"/>
  <c r="D152" i="1"/>
  <c r="C152" i="1"/>
  <c r="B152" i="1"/>
  <c r="A152" i="1"/>
  <c r="AK151" i="1"/>
  <c r="AC151" i="1"/>
  <c r="AB151" i="1"/>
  <c r="AA151" i="1"/>
  <c r="Z151" i="1"/>
  <c r="Y151" i="1"/>
  <c r="X151" i="1"/>
  <c r="W151" i="1"/>
  <c r="V151" i="1"/>
  <c r="U151" i="1"/>
  <c r="T151" i="1"/>
  <c r="S151" i="1"/>
  <c r="R151" i="1"/>
  <c r="Q151" i="1"/>
  <c r="P151" i="1"/>
  <c r="O151" i="1"/>
  <c r="N151" i="1"/>
  <c r="M151" i="1"/>
  <c r="K151" i="1"/>
  <c r="J151" i="1"/>
  <c r="I151" i="1"/>
  <c r="H151" i="1"/>
  <c r="G151" i="1"/>
  <c r="F151" i="1"/>
  <c r="E151" i="1"/>
  <c r="D151" i="1"/>
  <c r="C151" i="1"/>
  <c r="B151" i="1"/>
  <c r="A151" i="1"/>
  <c r="AK150" i="1"/>
  <c r="AC150" i="1"/>
  <c r="AB150" i="1"/>
  <c r="AA150" i="1"/>
  <c r="Z150" i="1"/>
  <c r="Y150" i="1"/>
  <c r="X150" i="1"/>
  <c r="W150" i="1"/>
  <c r="V150" i="1"/>
  <c r="U150" i="1"/>
  <c r="T150" i="1"/>
  <c r="S150" i="1"/>
  <c r="R150" i="1"/>
  <c r="Q150" i="1"/>
  <c r="P150" i="1"/>
  <c r="O150" i="1"/>
  <c r="N150" i="1"/>
  <c r="M150" i="1"/>
  <c r="K150" i="1"/>
  <c r="J150" i="1"/>
  <c r="I150" i="1"/>
  <c r="H150" i="1"/>
  <c r="G150" i="1"/>
  <c r="F150" i="1"/>
  <c r="E150" i="1"/>
  <c r="D150" i="1"/>
  <c r="C150" i="1"/>
  <c r="B150" i="1"/>
  <c r="A150" i="1"/>
  <c r="AK149" i="1"/>
  <c r="AC149" i="1"/>
  <c r="AB149" i="1"/>
  <c r="AA149" i="1"/>
  <c r="Z149" i="1"/>
  <c r="Y149" i="1"/>
  <c r="X149" i="1"/>
  <c r="W149" i="1"/>
  <c r="V149" i="1"/>
  <c r="U149" i="1"/>
  <c r="T149" i="1"/>
  <c r="S149" i="1"/>
  <c r="R149" i="1"/>
  <c r="Q149" i="1"/>
  <c r="P149" i="1"/>
  <c r="O149" i="1"/>
  <c r="N149" i="1"/>
  <c r="M149" i="1"/>
  <c r="K149" i="1"/>
  <c r="J149" i="1"/>
  <c r="I149" i="1"/>
  <c r="H149" i="1"/>
  <c r="G149" i="1"/>
  <c r="F149" i="1"/>
  <c r="E149" i="1"/>
  <c r="D149" i="1"/>
  <c r="C149" i="1"/>
  <c r="B149" i="1"/>
  <c r="A149" i="1"/>
  <c r="AK148" i="1"/>
  <c r="AC148" i="1"/>
  <c r="AB148" i="1"/>
  <c r="AA148" i="1"/>
  <c r="Z148" i="1"/>
  <c r="Y148" i="1"/>
  <c r="X148" i="1"/>
  <c r="W148" i="1"/>
  <c r="V148" i="1"/>
  <c r="U148" i="1"/>
  <c r="T148" i="1"/>
  <c r="S148" i="1"/>
  <c r="R148" i="1"/>
  <c r="Q148" i="1"/>
  <c r="P148" i="1"/>
  <c r="O148" i="1"/>
  <c r="N148" i="1"/>
  <c r="M148" i="1"/>
  <c r="K148" i="1"/>
  <c r="J148" i="1"/>
  <c r="I148" i="1"/>
  <c r="H148" i="1"/>
  <c r="G148" i="1"/>
  <c r="F148" i="1"/>
  <c r="E148" i="1"/>
  <c r="D148" i="1"/>
  <c r="C148" i="1"/>
  <c r="B148" i="1"/>
  <c r="A148" i="1"/>
  <c r="AK147" i="1"/>
  <c r="AC147" i="1"/>
  <c r="AB147" i="1"/>
  <c r="AA147" i="1"/>
  <c r="Z147" i="1"/>
  <c r="Y147" i="1"/>
  <c r="X147" i="1"/>
  <c r="W147" i="1"/>
  <c r="V147" i="1"/>
  <c r="U147" i="1"/>
  <c r="T147" i="1"/>
  <c r="S147" i="1"/>
  <c r="R147" i="1"/>
  <c r="Q147" i="1"/>
  <c r="P147" i="1"/>
  <c r="O147" i="1"/>
  <c r="N147" i="1"/>
  <c r="M147" i="1"/>
  <c r="K147" i="1"/>
  <c r="J147" i="1"/>
  <c r="I147" i="1"/>
  <c r="H147" i="1"/>
  <c r="G147" i="1"/>
  <c r="F147" i="1"/>
  <c r="E147" i="1"/>
  <c r="D147" i="1"/>
  <c r="C147" i="1"/>
  <c r="B147" i="1"/>
  <c r="A147" i="1"/>
  <c r="AK146" i="1"/>
  <c r="AC146" i="1"/>
  <c r="AB146" i="1"/>
  <c r="AA146" i="1"/>
  <c r="Z146" i="1"/>
  <c r="Y146" i="1"/>
  <c r="X146" i="1"/>
  <c r="W146" i="1"/>
  <c r="V146" i="1"/>
  <c r="U146" i="1"/>
  <c r="T146" i="1"/>
  <c r="S146" i="1"/>
  <c r="R146" i="1"/>
  <c r="Q146" i="1"/>
  <c r="P146" i="1"/>
  <c r="O146" i="1"/>
  <c r="N146" i="1"/>
  <c r="M146" i="1"/>
  <c r="K146" i="1"/>
  <c r="J146" i="1"/>
  <c r="I146" i="1"/>
  <c r="H146" i="1"/>
  <c r="G146" i="1"/>
  <c r="F146" i="1"/>
  <c r="E146" i="1"/>
  <c r="D146" i="1"/>
  <c r="C146" i="1"/>
  <c r="B146" i="1"/>
  <c r="A146" i="1"/>
  <c r="AK145" i="1"/>
  <c r="AC145" i="1"/>
  <c r="AB145" i="1"/>
  <c r="AA145" i="1"/>
  <c r="Z145" i="1"/>
  <c r="Y145" i="1"/>
  <c r="X145" i="1"/>
  <c r="W145" i="1"/>
  <c r="V145" i="1"/>
  <c r="U145" i="1"/>
  <c r="T145" i="1"/>
  <c r="S145" i="1"/>
  <c r="R145" i="1"/>
  <c r="Q145" i="1"/>
  <c r="P145" i="1"/>
  <c r="O145" i="1"/>
  <c r="N145" i="1"/>
  <c r="M145" i="1"/>
  <c r="K145" i="1"/>
  <c r="J145" i="1"/>
  <c r="I145" i="1"/>
  <c r="H145" i="1"/>
  <c r="G145" i="1"/>
  <c r="F145" i="1"/>
  <c r="E145" i="1"/>
  <c r="D145" i="1"/>
  <c r="C145" i="1"/>
  <c r="B145" i="1"/>
  <c r="A145" i="1"/>
  <c r="AK144" i="1"/>
  <c r="AC144" i="1"/>
  <c r="AB144" i="1"/>
  <c r="AA144" i="1"/>
  <c r="Z144" i="1"/>
  <c r="Y144" i="1"/>
  <c r="X144" i="1"/>
  <c r="W144" i="1"/>
  <c r="V144" i="1"/>
  <c r="U144" i="1"/>
  <c r="T144" i="1"/>
  <c r="S144" i="1"/>
  <c r="R144" i="1"/>
  <c r="Q144" i="1"/>
  <c r="P144" i="1"/>
  <c r="O144" i="1"/>
  <c r="N144" i="1"/>
  <c r="M144" i="1"/>
  <c r="K144" i="1"/>
  <c r="J144" i="1"/>
  <c r="I144" i="1"/>
  <c r="H144" i="1"/>
  <c r="G144" i="1"/>
  <c r="F144" i="1"/>
  <c r="E144" i="1"/>
  <c r="D144" i="1"/>
  <c r="C144" i="1"/>
  <c r="B144" i="1"/>
  <c r="A144" i="1"/>
  <c r="AK143" i="1"/>
  <c r="AC143" i="1"/>
  <c r="AB143" i="1"/>
  <c r="AA143" i="1"/>
  <c r="Z143" i="1"/>
  <c r="Y143" i="1"/>
  <c r="X143" i="1"/>
  <c r="W143" i="1"/>
  <c r="V143" i="1"/>
  <c r="U143" i="1"/>
  <c r="T143" i="1"/>
  <c r="S143" i="1"/>
  <c r="R143" i="1"/>
  <c r="Q143" i="1"/>
  <c r="P143" i="1"/>
  <c r="O143" i="1"/>
  <c r="N143" i="1"/>
  <c r="M143" i="1"/>
  <c r="K143" i="1"/>
  <c r="I143" i="1"/>
  <c r="H143" i="1"/>
  <c r="G143" i="1"/>
  <c r="F143" i="1"/>
  <c r="E143" i="1"/>
  <c r="D143" i="1"/>
  <c r="C143" i="1"/>
  <c r="B143" i="1"/>
  <c r="A143" i="1"/>
  <c r="AK142" i="1"/>
  <c r="AC142" i="1"/>
  <c r="AB142" i="1"/>
  <c r="AA142" i="1"/>
  <c r="Z142" i="1"/>
  <c r="Y142" i="1"/>
  <c r="X142" i="1"/>
  <c r="W142" i="1"/>
  <c r="V142" i="1"/>
  <c r="U142" i="1"/>
  <c r="T142" i="1"/>
  <c r="S142" i="1"/>
  <c r="R142" i="1"/>
  <c r="Q142" i="1"/>
  <c r="P142" i="1"/>
  <c r="O142" i="1"/>
  <c r="N142" i="1"/>
  <c r="M142" i="1"/>
  <c r="K142" i="1"/>
  <c r="J142" i="1"/>
  <c r="I142" i="1"/>
  <c r="H142" i="1"/>
  <c r="G142" i="1"/>
  <c r="F142" i="1"/>
  <c r="E142" i="1"/>
  <c r="D142" i="1"/>
  <c r="C142" i="1"/>
  <c r="B142" i="1"/>
  <c r="A142" i="1"/>
  <c r="AK141" i="1"/>
  <c r="AC141" i="1"/>
  <c r="AB141" i="1"/>
  <c r="AA141" i="1"/>
  <c r="Z141" i="1"/>
  <c r="Y141" i="1"/>
  <c r="X141" i="1"/>
  <c r="W141" i="1"/>
  <c r="V141" i="1"/>
  <c r="U141" i="1"/>
  <c r="T141" i="1"/>
  <c r="S141" i="1"/>
  <c r="R141" i="1"/>
  <c r="Q141" i="1"/>
  <c r="P141" i="1"/>
  <c r="O141" i="1"/>
  <c r="N141" i="1"/>
  <c r="M141" i="1"/>
  <c r="K141" i="1"/>
  <c r="J141" i="1"/>
  <c r="I141" i="1"/>
  <c r="H141" i="1"/>
  <c r="G141" i="1"/>
  <c r="F141" i="1"/>
  <c r="E141" i="1"/>
  <c r="D141" i="1"/>
  <c r="C141" i="1"/>
  <c r="B141" i="1"/>
  <c r="A141" i="1"/>
  <c r="AK140" i="1"/>
  <c r="AC140" i="1"/>
  <c r="AB140" i="1"/>
  <c r="AA140" i="1"/>
  <c r="Z140" i="1"/>
  <c r="Y140" i="1"/>
  <c r="X140" i="1"/>
  <c r="W140" i="1"/>
  <c r="V140" i="1"/>
  <c r="U140" i="1"/>
  <c r="T140" i="1"/>
  <c r="S140" i="1"/>
  <c r="R140" i="1"/>
  <c r="Q140" i="1"/>
  <c r="P140" i="1"/>
  <c r="O140" i="1"/>
  <c r="N140" i="1"/>
  <c r="M140" i="1"/>
  <c r="K140" i="1"/>
  <c r="I140" i="1"/>
  <c r="H140" i="1"/>
  <c r="G140" i="1"/>
  <c r="F140" i="1"/>
  <c r="E140" i="1"/>
  <c r="D140" i="1"/>
  <c r="C140" i="1"/>
  <c r="B140" i="1"/>
  <c r="A140" i="1"/>
  <c r="AK139" i="1"/>
  <c r="AC139" i="1"/>
  <c r="AB139" i="1"/>
  <c r="AA139" i="1"/>
  <c r="Z139" i="1"/>
  <c r="Y139" i="1"/>
  <c r="X139" i="1"/>
  <c r="W139" i="1"/>
  <c r="V139" i="1"/>
  <c r="U139" i="1"/>
  <c r="T139" i="1"/>
  <c r="S139" i="1"/>
  <c r="R139" i="1"/>
  <c r="Q139" i="1"/>
  <c r="P139" i="1"/>
  <c r="O139" i="1"/>
  <c r="N139" i="1"/>
  <c r="M139" i="1"/>
  <c r="K139" i="1"/>
  <c r="J139" i="1"/>
  <c r="I139" i="1"/>
  <c r="H139" i="1"/>
  <c r="G139" i="1"/>
  <c r="F139" i="1"/>
  <c r="E139" i="1"/>
  <c r="D139" i="1"/>
  <c r="C139" i="1"/>
  <c r="B139" i="1"/>
  <c r="A139" i="1"/>
  <c r="AK138" i="1"/>
  <c r="AC138" i="1"/>
  <c r="AB138" i="1"/>
  <c r="AA138" i="1"/>
  <c r="Z138" i="1"/>
  <c r="Y138" i="1"/>
  <c r="X138" i="1"/>
  <c r="W138" i="1"/>
  <c r="V138" i="1"/>
  <c r="U138" i="1"/>
  <c r="T138" i="1"/>
  <c r="S138" i="1"/>
  <c r="R138" i="1"/>
  <c r="Q138" i="1"/>
  <c r="P138" i="1"/>
  <c r="O138" i="1"/>
  <c r="N138" i="1"/>
  <c r="M138" i="1"/>
  <c r="K138" i="1"/>
  <c r="I138" i="1"/>
  <c r="H138" i="1"/>
  <c r="G138" i="1"/>
  <c r="F138" i="1"/>
  <c r="E138" i="1"/>
  <c r="D138" i="1"/>
  <c r="C138" i="1"/>
  <c r="B138" i="1"/>
  <c r="A138" i="1"/>
  <c r="AK137" i="1"/>
  <c r="AC137" i="1"/>
  <c r="AB137" i="1"/>
  <c r="AA137" i="1"/>
  <c r="Z137" i="1"/>
  <c r="Y137" i="1"/>
  <c r="X137" i="1"/>
  <c r="W137" i="1"/>
  <c r="V137" i="1"/>
  <c r="U137" i="1"/>
  <c r="T137" i="1"/>
  <c r="S137" i="1"/>
  <c r="R137" i="1"/>
  <c r="Q137" i="1"/>
  <c r="P137" i="1"/>
  <c r="O137" i="1"/>
  <c r="N137" i="1"/>
  <c r="M137" i="1"/>
  <c r="K137" i="1"/>
  <c r="J137" i="1"/>
  <c r="I137" i="1"/>
  <c r="H137" i="1"/>
  <c r="G137" i="1"/>
  <c r="F137" i="1"/>
  <c r="E137" i="1"/>
  <c r="D137" i="1"/>
  <c r="C137" i="1"/>
  <c r="B137" i="1"/>
  <c r="A137" i="1"/>
  <c r="AK136" i="1"/>
  <c r="AC136" i="1"/>
  <c r="AB136" i="1"/>
  <c r="AA136" i="1"/>
  <c r="Z136" i="1"/>
  <c r="Y136" i="1"/>
  <c r="X136" i="1"/>
  <c r="W136" i="1"/>
  <c r="V136" i="1"/>
  <c r="U136" i="1"/>
  <c r="T136" i="1"/>
  <c r="S136" i="1"/>
  <c r="R136" i="1"/>
  <c r="Q136" i="1"/>
  <c r="P136" i="1"/>
  <c r="O136" i="1"/>
  <c r="N136" i="1"/>
  <c r="M136" i="1"/>
  <c r="K136" i="1"/>
  <c r="J136" i="1"/>
  <c r="I136" i="1"/>
  <c r="H136" i="1"/>
  <c r="G136" i="1"/>
  <c r="F136" i="1"/>
  <c r="E136" i="1"/>
  <c r="D136" i="1"/>
  <c r="C136" i="1"/>
  <c r="B136" i="1"/>
  <c r="A136" i="1"/>
  <c r="AK135" i="1"/>
  <c r="AC135" i="1"/>
  <c r="AB135" i="1"/>
  <c r="AA135" i="1"/>
  <c r="Z135" i="1"/>
  <c r="Y135" i="1"/>
  <c r="X135" i="1"/>
  <c r="W135" i="1"/>
  <c r="V135" i="1"/>
  <c r="U135" i="1"/>
  <c r="T135" i="1"/>
  <c r="S135" i="1"/>
  <c r="R135" i="1"/>
  <c r="Q135" i="1"/>
  <c r="P135" i="1"/>
  <c r="N135" i="1"/>
  <c r="M135" i="1"/>
  <c r="K135" i="1"/>
  <c r="J135" i="1"/>
  <c r="I135" i="1"/>
  <c r="H135" i="1"/>
  <c r="G135" i="1"/>
  <c r="F135" i="1"/>
  <c r="E135" i="1"/>
  <c r="D135" i="1"/>
  <c r="C135" i="1"/>
  <c r="B135" i="1"/>
  <c r="A135" i="1"/>
  <c r="AK134" i="1"/>
  <c r="AC134" i="1"/>
  <c r="AB134" i="1"/>
  <c r="AA134" i="1"/>
  <c r="Z134" i="1"/>
  <c r="Y134" i="1"/>
  <c r="X134" i="1"/>
  <c r="W134" i="1"/>
  <c r="V134" i="1"/>
  <c r="U134" i="1"/>
  <c r="T134" i="1"/>
  <c r="S134" i="1"/>
  <c r="R134" i="1"/>
  <c r="Q134" i="1"/>
  <c r="P134" i="1"/>
  <c r="O134" i="1"/>
  <c r="N134" i="1"/>
  <c r="M134" i="1"/>
  <c r="K134" i="1"/>
  <c r="J134" i="1"/>
  <c r="I134" i="1"/>
  <c r="H134" i="1"/>
  <c r="G134" i="1"/>
  <c r="F134" i="1"/>
  <c r="E134" i="1"/>
  <c r="D134" i="1"/>
  <c r="C134" i="1"/>
  <c r="B134" i="1"/>
  <c r="A134" i="1"/>
  <c r="AK133" i="1"/>
  <c r="AC133" i="1"/>
  <c r="AB133" i="1"/>
  <c r="AA133" i="1"/>
  <c r="Z133" i="1"/>
  <c r="Y133" i="1"/>
  <c r="X133" i="1"/>
  <c r="W133" i="1"/>
  <c r="V133" i="1"/>
  <c r="U133" i="1"/>
  <c r="T133" i="1"/>
  <c r="S133" i="1"/>
  <c r="R133" i="1"/>
  <c r="Q133" i="1"/>
  <c r="P133" i="1"/>
  <c r="O133" i="1"/>
  <c r="N133" i="1"/>
  <c r="M133" i="1"/>
  <c r="K133" i="1"/>
  <c r="I133" i="1"/>
  <c r="H133" i="1"/>
  <c r="G133" i="1"/>
  <c r="F133" i="1"/>
  <c r="E133" i="1"/>
  <c r="D133" i="1"/>
  <c r="C133" i="1"/>
  <c r="B133" i="1"/>
  <c r="A133" i="1"/>
  <c r="AK132" i="1"/>
  <c r="AC132" i="1"/>
  <c r="AB132" i="1"/>
  <c r="AA132" i="1"/>
  <c r="Z132" i="1"/>
  <c r="Y132" i="1"/>
  <c r="X132" i="1"/>
  <c r="W132" i="1"/>
  <c r="V132" i="1"/>
  <c r="U132" i="1"/>
  <c r="T132" i="1"/>
  <c r="S132" i="1"/>
  <c r="R132" i="1"/>
  <c r="Q132" i="1"/>
  <c r="P132" i="1"/>
  <c r="O132" i="1"/>
  <c r="N132" i="1"/>
  <c r="M132" i="1"/>
  <c r="K132" i="1"/>
  <c r="J132" i="1"/>
  <c r="I132" i="1"/>
  <c r="H132" i="1"/>
  <c r="G132" i="1"/>
  <c r="F132" i="1"/>
  <c r="E132" i="1"/>
  <c r="D132" i="1"/>
  <c r="C132" i="1"/>
  <c r="B132" i="1"/>
  <c r="A132" i="1"/>
  <c r="AK131" i="1"/>
  <c r="AC131" i="1"/>
  <c r="AB131" i="1"/>
  <c r="AA131" i="1"/>
  <c r="Z131" i="1"/>
  <c r="Y131" i="1"/>
  <c r="X131" i="1"/>
  <c r="W131" i="1"/>
  <c r="V131" i="1"/>
  <c r="U131" i="1"/>
  <c r="T131" i="1"/>
  <c r="S131" i="1"/>
  <c r="R131" i="1"/>
  <c r="Q131" i="1"/>
  <c r="P131" i="1"/>
  <c r="O131" i="1"/>
  <c r="N131" i="1"/>
  <c r="M131" i="1"/>
  <c r="K131" i="1"/>
  <c r="I131" i="1"/>
  <c r="H131" i="1"/>
  <c r="G131" i="1"/>
  <c r="F131" i="1"/>
  <c r="E131" i="1"/>
  <c r="D131" i="1"/>
  <c r="C131" i="1"/>
  <c r="B131" i="1"/>
  <c r="A131" i="1"/>
  <c r="AK130" i="1"/>
  <c r="AC130" i="1"/>
  <c r="AB130" i="1"/>
  <c r="AA130" i="1"/>
  <c r="Z130" i="1"/>
  <c r="Y130" i="1"/>
  <c r="X130" i="1"/>
  <c r="W130" i="1"/>
  <c r="V130" i="1"/>
  <c r="U130" i="1"/>
  <c r="T130" i="1"/>
  <c r="S130" i="1"/>
  <c r="R130" i="1"/>
  <c r="Q130" i="1"/>
  <c r="P130" i="1"/>
  <c r="O130" i="1"/>
  <c r="N130" i="1"/>
  <c r="M130" i="1"/>
  <c r="K130" i="1"/>
  <c r="I130" i="1"/>
  <c r="H130" i="1"/>
  <c r="G130" i="1"/>
  <c r="F130" i="1"/>
  <c r="E130" i="1"/>
  <c r="D130" i="1"/>
  <c r="C130" i="1"/>
  <c r="B130" i="1"/>
  <c r="A130" i="1"/>
  <c r="AK129" i="1"/>
  <c r="AC129" i="1"/>
  <c r="AB129" i="1"/>
  <c r="AA129" i="1"/>
  <c r="Z129" i="1"/>
  <c r="Y129" i="1"/>
  <c r="X129" i="1"/>
  <c r="W129" i="1"/>
  <c r="V129" i="1"/>
  <c r="U129" i="1"/>
  <c r="T129" i="1"/>
  <c r="S129" i="1"/>
  <c r="R129" i="1"/>
  <c r="Q129" i="1"/>
  <c r="P129" i="1"/>
  <c r="O129" i="1"/>
  <c r="N129" i="1"/>
  <c r="M129" i="1"/>
  <c r="K129" i="1"/>
  <c r="J129" i="1"/>
  <c r="I129" i="1"/>
  <c r="H129" i="1"/>
  <c r="G129" i="1"/>
  <c r="F129" i="1"/>
  <c r="E129" i="1"/>
  <c r="D129" i="1"/>
  <c r="C129" i="1"/>
  <c r="B129" i="1"/>
  <c r="A129" i="1"/>
  <c r="AK128" i="1"/>
  <c r="AC128" i="1"/>
  <c r="AB128" i="1"/>
  <c r="AA128" i="1"/>
  <c r="Z128" i="1"/>
  <c r="Y128" i="1"/>
  <c r="X128" i="1"/>
  <c r="W128" i="1"/>
  <c r="V128" i="1"/>
  <c r="U128" i="1"/>
  <c r="T128" i="1"/>
  <c r="S128" i="1"/>
  <c r="R128" i="1"/>
  <c r="Q128" i="1"/>
  <c r="P128" i="1"/>
  <c r="N128" i="1"/>
  <c r="M128" i="1"/>
  <c r="K128" i="1"/>
  <c r="J128" i="1"/>
  <c r="I128" i="1"/>
  <c r="H128" i="1"/>
  <c r="G128" i="1"/>
  <c r="F128" i="1"/>
  <c r="E128" i="1"/>
  <c r="D128" i="1"/>
  <c r="C128" i="1"/>
  <c r="B128" i="1"/>
  <c r="A128" i="1"/>
  <c r="AK127" i="1"/>
  <c r="AC127" i="1"/>
  <c r="AB127" i="1"/>
  <c r="AA127" i="1"/>
  <c r="Z127" i="1"/>
  <c r="Y127" i="1"/>
  <c r="X127" i="1"/>
  <c r="W127" i="1"/>
  <c r="V127" i="1"/>
  <c r="U127" i="1"/>
  <c r="T127" i="1"/>
  <c r="S127" i="1"/>
  <c r="R127" i="1"/>
  <c r="Q127" i="1"/>
  <c r="P127" i="1"/>
  <c r="O127" i="1"/>
  <c r="N127" i="1"/>
  <c r="M127" i="1"/>
  <c r="K127" i="1"/>
  <c r="J127" i="1"/>
  <c r="I127" i="1"/>
  <c r="H127" i="1"/>
  <c r="G127" i="1"/>
  <c r="F127" i="1"/>
  <c r="E127" i="1"/>
  <c r="D127" i="1"/>
  <c r="C127" i="1"/>
  <c r="B127" i="1"/>
  <c r="A127" i="1"/>
  <c r="AK126" i="1"/>
  <c r="AE126" i="1"/>
  <c r="AD126" i="1"/>
  <c r="AC126" i="1"/>
  <c r="AB126" i="1"/>
  <c r="AA126" i="1"/>
  <c r="Z126" i="1"/>
  <c r="Y126" i="1"/>
  <c r="X126" i="1"/>
  <c r="W126" i="1"/>
  <c r="V126" i="1"/>
  <c r="U126" i="1"/>
  <c r="T126" i="1"/>
  <c r="S126" i="1"/>
  <c r="R126" i="1"/>
  <c r="Q126" i="1"/>
  <c r="P126" i="1"/>
  <c r="O126" i="1"/>
  <c r="N126" i="1"/>
  <c r="M126" i="1"/>
  <c r="K126" i="1"/>
  <c r="J126" i="1"/>
  <c r="I126" i="1"/>
  <c r="H126" i="1"/>
  <c r="G126" i="1"/>
  <c r="F126" i="1"/>
  <c r="E126" i="1"/>
  <c r="D126" i="1"/>
  <c r="C126" i="1"/>
  <c r="B126" i="1"/>
  <c r="A126" i="1"/>
  <c r="AK125" i="1"/>
  <c r="AC125" i="1"/>
  <c r="AB125" i="1"/>
  <c r="AA125" i="1"/>
  <c r="Z125" i="1"/>
  <c r="Y125" i="1"/>
  <c r="X125" i="1"/>
  <c r="W125" i="1"/>
  <c r="V125" i="1"/>
  <c r="U125" i="1"/>
  <c r="T125" i="1"/>
  <c r="S125" i="1"/>
  <c r="R125" i="1"/>
  <c r="Q125" i="1"/>
  <c r="P125" i="1"/>
  <c r="N125" i="1"/>
  <c r="M125" i="1"/>
  <c r="K125" i="1"/>
  <c r="I125" i="1"/>
  <c r="H125" i="1"/>
  <c r="G125" i="1"/>
  <c r="F125" i="1"/>
  <c r="E125" i="1"/>
  <c r="D125" i="1"/>
  <c r="C125" i="1"/>
  <c r="B125" i="1"/>
  <c r="A125" i="1"/>
  <c r="AK124" i="1"/>
  <c r="AC124" i="1"/>
  <c r="AB124" i="1"/>
  <c r="AA124" i="1"/>
  <c r="Z124" i="1"/>
  <c r="Y124" i="1"/>
  <c r="X124" i="1"/>
  <c r="W124" i="1"/>
  <c r="V124" i="1"/>
  <c r="U124" i="1"/>
  <c r="T124" i="1"/>
  <c r="S124" i="1"/>
  <c r="R124" i="1"/>
  <c r="Q124" i="1"/>
  <c r="P124" i="1"/>
  <c r="O124" i="1"/>
  <c r="N124" i="1"/>
  <c r="M124" i="1"/>
  <c r="K124" i="1"/>
  <c r="J124" i="1"/>
  <c r="I124" i="1"/>
  <c r="H124" i="1"/>
  <c r="G124" i="1"/>
  <c r="F124" i="1"/>
  <c r="E124" i="1"/>
  <c r="D124" i="1"/>
  <c r="C124" i="1"/>
  <c r="B124" i="1"/>
  <c r="A124" i="1"/>
  <c r="AK123" i="1"/>
  <c r="AC123" i="1"/>
  <c r="AB123" i="1"/>
  <c r="AA123" i="1"/>
  <c r="Z123" i="1"/>
  <c r="Y123" i="1"/>
  <c r="X123" i="1"/>
  <c r="W123" i="1"/>
  <c r="V123" i="1"/>
  <c r="U123" i="1"/>
  <c r="T123" i="1"/>
  <c r="S123" i="1"/>
  <c r="R123" i="1"/>
  <c r="Q123" i="1"/>
  <c r="P123" i="1"/>
  <c r="O123" i="1"/>
  <c r="N123" i="1"/>
  <c r="M123" i="1"/>
  <c r="K123" i="1"/>
  <c r="J123" i="1"/>
  <c r="I123" i="1"/>
  <c r="H123" i="1"/>
  <c r="G123" i="1"/>
  <c r="F123" i="1"/>
  <c r="E123" i="1"/>
  <c r="D123" i="1"/>
  <c r="C123" i="1"/>
  <c r="B123" i="1"/>
  <c r="A123" i="1"/>
  <c r="AK122" i="1"/>
  <c r="AC122" i="1"/>
  <c r="AB122" i="1"/>
  <c r="AA122" i="1"/>
  <c r="Z122" i="1"/>
  <c r="Y122" i="1"/>
  <c r="X122" i="1"/>
  <c r="W122" i="1"/>
  <c r="V122" i="1"/>
  <c r="U122" i="1"/>
  <c r="T122" i="1"/>
  <c r="S122" i="1"/>
  <c r="R122" i="1"/>
  <c r="Q122" i="1"/>
  <c r="P122" i="1"/>
  <c r="O122" i="1"/>
  <c r="N122" i="1"/>
  <c r="M122" i="1"/>
  <c r="K122" i="1"/>
  <c r="I122" i="1"/>
  <c r="H122" i="1"/>
  <c r="G122" i="1"/>
  <c r="F122" i="1"/>
  <c r="E122" i="1"/>
  <c r="D122" i="1"/>
  <c r="C122" i="1"/>
  <c r="B122" i="1"/>
  <c r="A122" i="1"/>
  <c r="AK121" i="1"/>
  <c r="AC121" i="1"/>
  <c r="AB121" i="1"/>
  <c r="AA121" i="1"/>
  <c r="Z121" i="1"/>
  <c r="Y121" i="1"/>
  <c r="X121" i="1"/>
  <c r="W121" i="1"/>
  <c r="V121" i="1"/>
  <c r="U121" i="1"/>
  <c r="T121" i="1"/>
  <c r="S121" i="1"/>
  <c r="R121" i="1"/>
  <c r="Q121" i="1"/>
  <c r="P121" i="1"/>
  <c r="O121" i="1"/>
  <c r="N121" i="1"/>
  <c r="M121" i="1"/>
  <c r="K121" i="1"/>
  <c r="J121" i="1"/>
  <c r="I121" i="1"/>
  <c r="H121" i="1"/>
  <c r="G121" i="1"/>
  <c r="F121" i="1"/>
  <c r="E121" i="1"/>
  <c r="D121" i="1"/>
  <c r="C121" i="1"/>
  <c r="B121" i="1"/>
  <c r="A121" i="1"/>
  <c r="AK120" i="1"/>
  <c r="AC120" i="1"/>
  <c r="AB120" i="1"/>
  <c r="AA120" i="1"/>
  <c r="Z120" i="1"/>
  <c r="Y120" i="1"/>
  <c r="X120" i="1"/>
  <c r="W120" i="1"/>
  <c r="V120" i="1"/>
  <c r="U120" i="1"/>
  <c r="T120" i="1"/>
  <c r="S120" i="1"/>
  <c r="R120" i="1"/>
  <c r="Q120" i="1"/>
  <c r="P120" i="1"/>
  <c r="O120" i="1"/>
  <c r="N120" i="1"/>
  <c r="M120" i="1"/>
  <c r="K120" i="1"/>
  <c r="J120" i="1"/>
  <c r="I120" i="1"/>
  <c r="H120" i="1"/>
  <c r="G120" i="1"/>
  <c r="F120" i="1"/>
  <c r="E120" i="1"/>
  <c r="D120" i="1"/>
  <c r="C120" i="1"/>
  <c r="B120" i="1"/>
  <c r="A120" i="1"/>
  <c r="AK119" i="1"/>
  <c r="AC119" i="1"/>
  <c r="AB119" i="1"/>
  <c r="AA119" i="1"/>
  <c r="Z119" i="1"/>
  <c r="Y119" i="1"/>
  <c r="X119" i="1"/>
  <c r="W119" i="1"/>
  <c r="V119" i="1"/>
  <c r="U119" i="1"/>
  <c r="T119" i="1"/>
  <c r="S119" i="1"/>
  <c r="R119" i="1"/>
  <c r="Q119" i="1"/>
  <c r="P119" i="1"/>
  <c r="O119" i="1"/>
  <c r="N119" i="1"/>
  <c r="M119" i="1"/>
  <c r="K119" i="1"/>
  <c r="J119" i="1"/>
  <c r="I119" i="1"/>
  <c r="H119" i="1"/>
  <c r="G119" i="1"/>
  <c r="F119" i="1"/>
  <c r="E119" i="1"/>
  <c r="D119" i="1"/>
  <c r="C119" i="1"/>
  <c r="B119" i="1"/>
  <c r="A119" i="1"/>
  <c r="AK118" i="1"/>
  <c r="AC118" i="1"/>
  <c r="AB118" i="1"/>
  <c r="AA118" i="1"/>
  <c r="Z118" i="1"/>
  <c r="Y118" i="1"/>
  <c r="X118" i="1"/>
  <c r="W118" i="1"/>
  <c r="V118" i="1"/>
  <c r="U118" i="1"/>
  <c r="T118" i="1"/>
  <c r="S118" i="1"/>
  <c r="R118" i="1"/>
  <c r="Q118" i="1"/>
  <c r="P118" i="1"/>
  <c r="O118" i="1"/>
  <c r="N118" i="1"/>
  <c r="M118" i="1"/>
  <c r="K118" i="1"/>
  <c r="J118" i="1"/>
  <c r="I118" i="1"/>
  <c r="H118" i="1"/>
  <c r="G118" i="1"/>
  <c r="F118" i="1"/>
  <c r="E118" i="1"/>
  <c r="D118" i="1"/>
  <c r="C118" i="1"/>
  <c r="B118" i="1"/>
  <c r="A118" i="1"/>
  <c r="AK117" i="1"/>
  <c r="AC117" i="1"/>
  <c r="AB117" i="1"/>
  <c r="AA117" i="1"/>
  <c r="Z117" i="1"/>
  <c r="Y117" i="1"/>
  <c r="X117" i="1"/>
  <c r="W117" i="1"/>
  <c r="V117" i="1"/>
  <c r="U117" i="1"/>
  <c r="T117" i="1"/>
  <c r="S117" i="1"/>
  <c r="R117" i="1"/>
  <c r="Q117" i="1"/>
  <c r="P117" i="1"/>
  <c r="O117" i="1"/>
  <c r="N117" i="1"/>
  <c r="M117" i="1"/>
  <c r="K117" i="1"/>
  <c r="J117" i="1"/>
  <c r="I117" i="1"/>
  <c r="H117" i="1"/>
  <c r="G117" i="1"/>
  <c r="F117" i="1"/>
  <c r="E117" i="1"/>
  <c r="D117" i="1"/>
  <c r="C117" i="1"/>
  <c r="B117" i="1"/>
  <c r="A117" i="1"/>
  <c r="AK116" i="1"/>
  <c r="AC116" i="1"/>
  <c r="AB116" i="1"/>
  <c r="AA116" i="1"/>
  <c r="Z116" i="1"/>
  <c r="Y116" i="1"/>
  <c r="X116" i="1"/>
  <c r="W116" i="1"/>
  <c r="V116" i="1"/>
  <c r="U116" i="1"/>
  <c r="T116" i="1"/>
  <c r="S116" i="1"/>
  <c r="R116" i="1"/>
  <c r="Q116" i="1"/>
  <c r="P116" i="1"/>
  <c r="O116" i="1"/>
  <c r="N116" i="1"/>
  <c r="M116" i="1"/>
  <c r="K116" i="1"/>
  <c r="J116" i="1"/>
  <c r="I116" i="1"/>
  <c r="H116" i="1"/>
  <c r="G116" i="1"/>
  <c r="F116" i="1"/>
  <c r="E116" i="1"/>
  <c r="D116" i="1"/>
  <c r="C116" i="1"/>
  <c r="B116" i="1"/>
  <c r="A116" i="1"/>
  <c r="AK115" i="1"/>
  <c r="AE115" i="1"/>
  <c r="AD115" i="1"/>
  <c r="AC115" i="1"/>
  <c r="AB115" i="1"/>
  <c r="AA115" i="1"/>
  <c r="Z115" i="1"/>
  <c r="Y115" i="1"/>
  <c r="X115" i="1"/>
  <c r="W115" i="1"/>
  <c r="V115" i="1"/>
  <c r="U115" i="1"/>
  <c r="T115" i="1"/>
  <c r="S115" i="1"/>
  <c r="R115" i="1"/>
  <c r="Q115" i="1"/>
  <c r="P115" i="1"/>
  <c r="O115" i="1"/>
  <c r="N115" i="1"/>
  <c r="M115" i="1"/>
  <c r="K115" i="1"/>
  <c r="J115" i="1"/>
  <c r="I115" i="1"/>
  <c r="H115" i="1"/>
  <c r="G115" i="1"/>
  <c r="F115" i="1"/>
  <c r="E115" i="1"/>
  <c r="D115" i="1"/>
  <c r="C115" i="1"/>
  <c r="B115" i="1"/>
  <c r="A115" i="1"/>
  <c r="AK114" i="1"/>
  <c r="AC114" i="1"/>
  <c r="AB114" i="1"/>
  <c r="AA114" i="1"/>
  <c r="Z114" i="1"/>
  <c r="Y114" i="1"/>
  <c r="X114" i="1"/>
  <c r="W114" i="1"/>
  <c r="V114" i="1"/>
  <c r="U114" i="1"/>
  <c r="T114" i="1"/>
  <c r="S114" i="1"/>
  <c r="R114" i="1"/>
  <c r="Q114" i="1"/>
  <c r="P114" i="1"/>
  <c r="O114" i="1"/>
  <c r="N114" i="1"/>
  <c r="M114" i="1"/>
  <c r="K114" i="1"/>
  <c r="J114" i="1"/>
  <c r="I114" i="1"/>
  <c r="H114" i="1"/>
  <c r="G114" i="1"/>
  <c r="F114" i="1"/>
  <c r="E114" i="1"/>
  <c r="D114" i="1"/>
  <c r="C114" i="1"/>
  <c r="B114" i="1"/>
  <c r="A114" i="1"/>
  <c r="AK113" i="1"/>
  <c r="AC113" i="1"/>
  <c r="AB113" i="1"/>
  <c r="AA113" i="1"/>
  <c r="Z113" i="1"/>
  <c r="Y113" i="1"/>
  <c r="X113" i="1"/>
  <c r="W113" i="1"/>
  <c r="V113" i="1"/>
  <c r="U113" i="1"/>
  <c r="T113" i="1"/>
  <c r="S113" i="1"/>
  <c r="R113" i="1"/>
  <c r="Q113" i="1"/>
  <c r="P113" i="1"/>
  <c r="N113" i="1"/>
  <c r="M113" i="1"/>
  <c r="K113" i="1"/>
  <c r="J113" i="1"/>
  <c r="I113" i="1"/>
  <c r="H113" i="1"/>
  <c r="G113" i="1"/>
  <c r="F113" i="1"/>
  <c r="E113" i="1"/>
  <c r="D113" i="1"/>
  <c r="C113" i="1"/>
  <c r="B113" i="1"/>
  <c r="A113" i="1"/>
  <c r="AK112" i="1"/>
  <c r="AC112" i="1"/>
  <c r="AB112" i="1"/>
  <c r="AA112" i="1"/>
  <c r="Z112" i="1"/>
  <c r="Y112" i="1"/>
  <c r="X112" i="1"/>
  <c r="W112" i="1"/>
  <c r="V112" i="1"/>
  <c r="U112" i="1"/>
  <c r="T112" i="1"/>
  <c r="S112" i="1"/>
  <c r="R112" i="1"/>
  <c r="Q112" i="1"/>
  <c r="P112" i="1"/>
  <c r="O112" i="1"/>
  <c r="N112" i="1"/>
  <c r="M112" i="1"/>
  <c r="K112" i="1"/>
  <c r="J112" i="1"/>
  <c r="I112" i="1"/>
  <c r="H112" i="1"/>
  <c r="G112" i="1"/>
  <c r="F112" i="1"/>
  <c r="E112" i="1"/>
  <c r="D112" i="1"/>
  <c r="C112" i="1"/>
  <c r="B112" i="1"/>
  <c r="A112" i="1"/>
  <c r="AK111" i="1"/>
  <c r="AC111" i="1"/>
  <c r="AB111" i="1"/>
  <c r="AA111" i="1"/>
  <c r="Z111" i="1"/>
  <c r="Y111" i="1"/>
  <c r="X111" i="1"/>
  <c r="W111" i="1"/>
  <c r="V111" i="1"/>
  <c r="U111" i="1"/>
  <c r="T111" i="1"/>
  <c r="S111" i="1"/>
  <c r="R111" i="1"/>
  <c r="Q111" i="1"/>
  <c r="P111" i="1"/>
  <c r="O111" i="1"/>
  <c r="N111" i="1"/>
  <c r="M111" i="1"/>
  <c r="K111" i="1"/>
  <c r="J111" i="1"/>
  <c r="I111" i="1"/>
  <c r="H111" i="1"/>
  <c r="G111" i="1"/>
  <c r="F111" i="1"/>
  <c r="E111" i="1"/>
  <c r="D111" i="1"/>
  <c r="C111" i="1"/>
  <c r="B111" i="1"/>
  <c r="A111" i="1"/>
  <c r="AK110" i="1"/>
  <c r="AC110" i="1"/>
  <c r="AB110" i="1"/>
  <c r="AA110" i="1"/>
  <c r="Z110" i="1"/>
  <c r="Y110" i="1"/>
  <c r="X110" i="1"/>
  <c r="W110" i="1"/>
  <c r="V110" i="1"/>
  <c r="U110" i="1"/>
  <c r="T110" i="1"/>
  <c r="S110" i="1"/>
  <c r="R110" i="1"/>
  <c r="Q110" i="1"/>
  <c r="P110" i="1"/>
  <c r="N110" i="1"/>
  <c r="M110" i="1"/>
  <c r="K110" i="1"/>
  <c r="J110" i="1"/>
  <c r="I110" i="1"/>
  <c r="H110" i="1"/>
  <c r="G110" i="1"/>
  <c r="F110" i="1"/>
  <c r="E110" i="1"/>
  <c r="D110" i="1"/>
  <c r="C110" i="1"/>
  <c r="B110" i="1"/>
  <c r="A110" i="1"/>
  <c r="AK109" i="1"/>
  <c r="AC109" i="1"/>
  <c r="AB109" i="1"/>
  <c r="AA109" i="1"/>
  <c r="Z109" i="1"/>
  <c r="Y109" i="1"/>
  <c r="X109" i="1"/>
  <c r="W109" i="1"/>
  <c r="V109" i="1"/>
  <c r="U109" i="1"/>
  <c r="T109" i="1"/>
  <c r="S109" i="1"/>
  <c r="R109" i="1"/>
  <c r="Q109" i="1"/>
  <c r="P109" i="1"/>
  <c r="O109" i="1"/>
  <c r="N109" i="1"/>
  <c r="M109" i="1"/>
  <c r="K109" i="1"/>
  <c r="J109" i="1"/>
  <c r="I109" i="1"/>
  <c r="H109" i="1"/>
  <c r="G109" i="1"/>
  <c r="F109" i="1"/>
  <c r="E109" i="1"/>
  <c r="D109" i="1"/>
  <c r="C109" i="1"/>
  <c r="B109" i="1"/>
  <c r="A109" i="1"/>
  <c r="AK108" i="1"/>
  <c r="AC108" i="1"/>
  <c r="AB108" i="1"/>
  <c r="AA108" i="1"/>
  <c r="Z108" i="1"/>
  <c r="Y108" i="1"/>
  <c r="X108" i="1"/>
  <c r="W108" i="1"/>
  <c r="V108" i="1"/>
  <c r="U108" i="1"/>
  <c r="T108" i="1"/>
  <c r="S108" i="1"/>
  <c r="R108" i="1"/>
  <c r="Q108" i="1"/>
  <c r="P108" i="1"/>
  <c r="O108" i="1"/>
  <c r="N108" i="1"/>
  <c r="M108" i="1"/>
  <c r="K108" i="1"/>
  <c r="J108" i="1"/>
  <c r="I108" i="1"/>
  <c r="H108" i="1"/>
  <c r="G108" i="1"/>
  <c r="F108" i="1"/>
  <c r="E108" i="1"/>
  <c r="D108" i="1"/>
  <c r="C108" i="1"/>
  <c r="B108" i="1"/>
  <c r="A108" i="1"/>
  <c r="AK107" i="1"/>
  <c r="AC107" i="1"/>
  <c r="AB107" i="1"/>
  <c r="AA107" i="1"/>
  <c r="Z107" i="1"/>
  <c r="Y107" i="1"/>
  <c r="X107" i="1"/>
  <c r="W107" i="1"/>
  <c r="V107" i="1"/>
  <c r="U107" i="1"/>
  <c r="T107" i="1"/>
  <c r="S107" i="1"/>
  <c r="R107" i="1"/>
  <c r="Q107" i="1"/>
  <c r="P107" i="1"/>
  <c r="O107" i="1"/>
  <c r="N107" i="1"/>
  <c r="M107" i="1"/>
  <c r="K107" i="1"/>
  <c r="J107" i="1"/>
  <c r="I107" i="1"/>
  <c r="H107" i="1"/>
  <c r="G107" i="1"/>
  <c r="F107" i="1"/>
  <c r="E107" i="1"/>
  <c r="D107" i="1"/>
  <c r="C107" i="1"/>
  <c r="B107" i="1"/>
  <c r="A107" i="1"/>
  <c r="AK106" i="1"/>
  <c r="AC106" i="1"/>
  <c r="AB106" i="1"/>
  <c r="AA106" i="1"/>
  <c r="Z106" i="1"/>
  <c r="Y106" i="1"/>
  <c r="X106" i="1"/>
  <c r="W106" i="1"/>
  <c r="V106" i="1"/>
  <c r="U106" i="1"/>
  <c r="T106" i="1"/>
  <c r="S106" i="1"/>
  <c r="R106" i="1"/>
  <c r="Q106" i="1"/>
  <c r="P106" i="1"/>
  <c r="O106" i="1"/>
  <c r="N106" i="1"/>
  <c r="M106" i="1"/>
  <c r="K106" i="1"/>
  <c r="J106" i="1"/>
  <c r="I106" i="1"/>
  <c r="H106" i="1"/>
  <c r="G106" i="1"/>
  <c r="F106" i="1"/>
  <c r="E106" i="1"/>
  <c r="D106" i="1"/>
  <c r="C106" i="1"/>
  <c r="B106" i="1"/>
  <c r="A106" i="1"/>
  <c r="AK105" i="1"/>
  <c r="AE105" i="1"/>
  <c r="AD105" i="1"/>
  <c r="AC105" i="1"/>
  <c r="AB105" i="1"/>
  <c r="AA105" i="1"/>
  <c r="Z105" i="1"/>
  <c r="Y105" i="1"/>
  <c r="X105" i="1"/>
  <c r="W105" i="1"/>
  <c r="V105" i="1"/>
  <c r="U105" i="1"/>
  <c r="T105" i="1"/>
  <c r="S105" i="1"/>
  <c r="R105" i="1"/>
  <c r="Q105" i="1"/>
  <c r="P105" i="1"/>
  <c r="O105" i="1"/>
  <c r="N105" i="1"/>
  <c r="M105" i="1"/>
  <c r="K105" i="1"/>
  <c r="J105" i="1"/>
  <c r="I105" i="1"/>
  <c r="H105" i="1"/>
  <c r="G105" i="1"/>
  <c r="F105" i="1"/>
  <c r="E105" i="1"/>
  <c r="D105" i="1"/>
  <c r="C105" i="1"/>
  <c r="B105" i="1"/>
  <c r="A105" i="1"/>
  <c r="AK104" i="1"/>
  <c r="R104" i="1"/>
  <c r="Q104" i="1"/>
  <c r="P104" i="1"/>
  <c r="O104" i="1"/>
  <c r="N104" i="1"/>
  <c r="M104" i="1"/>
  <c r="K104" i="1"/>
  <c r="I104" i="1"/>
  <c r="H104" i="1"/>
  <c r="G104" i="1"/>
  <c r="F104" i="1"/>
  <c r="E104" i="1"/>
  <c r="D104" i="1"/>
  <c r="C104" i="1"/>
  <c r="B104" i="1"/>
  <c r="A104" i="1"/>
  <c r="AK103" i="1"/>
  <c r="AC103" i="1"/>
  <c r="AB103" i="1"/>
  <c r="AA103" i="1"/>
  <c r="Z103" i="1"/>
  <c r="Y103" i="1"/>
  <c r="X103" i="1"/>
  <c r="W103" i="1"/>
  <c r="V103" i="1"/>
  <c r="U103" i="1"/>
  <c r="T103" i="1"/>
  <c r="S103" i="1"/>
  <c r="R103" i="1"/>
  <c r="Q103" i="1"/>
  <c r="P103" i="1"/>
  <c r="O103" i="1"/>
  <c r="N103" i="1"/>
  <c r="M103" i="1"/>
  <c r="K103" i="1"/>
  <c r="J103" i="1"/>
  <c r="I103" i="1"/>
  <c r="H103" i="1"/>
  <c r="G103" i="1"/>
  <c r="F103" i="1"/>
  <c r="E103" i="1"/>
  <c r="D103" i="1"/>
  <c r="C103" i="1"/>
  <c r="B103" i="1"/>
  <c r="A103" i="1"/>
  <c r="AK102" i="1"/>
  <c r="AC102" i="1"/>
  <c r="AB102" i="1"/>
  <c r="AA102" i="1"/>
  <c r="Z102" i="1"/>
  <c r="Y102" i="1"/>
  <c r="X102" i="1"/>
  <c r="W102" i="1"/>
  <c r="V102" i="1"/>
  <c r="U102" i="1"/>
  <c r="T102" i="1"/>
  <c r="S102" i="1"/>
  <c r="R102" i="1"/>
  <c r="Q102" i="1"/>
  <c r="P102" i="1"/>
  <c r="O102" i="1"/>
  <c r="N102" i="1"/>
  <c r="M102" i="1"/>
  <c r="K102" i="1"/>
  <c r="I102" i="1"/>
  <c r="H102" i="1"/>
  <c r="G102" i="1"/>
  <c r="F102" i="1"/>
  <c r="E102" i="1"/>
  <c r="D102" i="1"/>
  <c r="C102" i="1"/>
  <c r="B102" i="1"/>
  <c r="A102" i="1"/>
  <c r="AK101" i="1"/>
  <c r="AC101" i="1"/>
  <c r="AB101" i="1"/>
  <c r="AA101" i="1"/>
  <c r="Z101" i="1"/>
  <c r="Y101" i="1"/>
  <c r="X101" i="1"/>
  <c r="W101" i="1"/>
  <c r="V101" i="1"/>
  <c r="U101" i="1"/>
  <c r="T101" i="1"/>
  <c r="S101" i="1"/>
  <c r="R101" i="1"/>
  <c r="Q101" i="1"/>
  <c r="P101" i="1"/>
  <c r="O101" i="1"/>
  <c r="N101" i="1"/>
  <c r="M101" i="1"/>
  <c r="K101" i="1"/>
  <c r="J101" i="1"/>
  <c r="I101" i="1"/>
  <c r="H101" i="1"/>
  <c r="G101" i="1"/>
  <c r="F101" i="1"/>
  <c r="E101" i="1"/>
  <c r="D101" i="1"/>
  <c r="C101" i="1"/>
  <c r="B101" i="1"/>
  <c r="A101" i="1"/>
  <c r="AK100" i="1"/>
  <c r="AC100" i="1"/>
  <c r="AB100" i="1"/>
  <c r="AA100" i="1"/>
  <c r="Z100" i="1"/>
  <c r="Y100" i="1"/>
  <c r="X100" i="1"/>
  <c r="W100" i="1"/>
  <c r="V100" i="1"/>
  <c r="U100" i="1"/>
  <c r="T100" i="1"/>
  <c r="S100" i="1"/>
  <c r="R100" i="1"/>
  <c r="Q100" i="1"/>
  <c r="P100" i="1"/>
  <c r="O100" i="1"/>
  <c r="N100" i="1"/>
  <c r="M100" i="1"/>
  <c r="K100" i="1"/>
  <c r="J100" i="1"/>
  <c r="I100" i="1"/>
  <c r="H100" i="1"/>
  <c r="G100" i="1"/>
  <c r="F100" i="1"/>
  <c r="E100" i="1"/>
  <c r="D100" i="1"/>
  <c r="C100" i="1"/>
  <c r="B100" i="1"/>
  <c r="A100" i="1"/>
  <c r="AK99" i="1"/>
  <c r="AC99" i="1"/>
  <c r="AB99" i="1"/>
  <c r="AA99" i="1"/>
  <c r="Z99" i="1"/>
  <c r="Y99" i="1"/>
  <c r="X99" i="1"/>
  <c r="W99" i="1"/>
  <c r="V99" i="1"/>
  <c r="U99" i="1"/>
  <c r="T99" i="1"/>
  <c r="S99" i="1"/>
  <c r="R99" i="1"/>
  <c r="Q99" i="1"/>
  <c r="P99" i="1"/>
  <c r="O99" i="1"/>
  <c r="N99" i="1"/>
  <c r="M99" i="1"/>
  <c r="K99" i="1"/>
  <c r="J99" i="1"/>
  <c r="I99" i="1"/>
  <c r="H99" i="1"/>
  <c r="G99" i="1"/>
  <c r="F99" i="1"/>
  <c r="E99" i="1"/>
  <c r="D99" i="1"/>
  <c r="C99" i="1"/>
  <c r="B99" i="1"/>
  <c r="A99" i="1"/>
  <c r="AK98" i="1"/>
  <c r="AC98" i="1"/>
  <c r="AB98" i="1"/>
  <c r="AA98" i="1"/>
  <c r="Z98" i="1"/>
  <c r="Y98" i="1"/>
  <c r="X98" i="1"/>
  <c r="W98" i="1"/>
  <c r="V98" i="1"/>
  <c r="U98" i="1"/>
  <c r="T98" i="1"/>
  <c r="S98" i="1"/>
  <c r="R98" i="1"/>
  <c r="Q98" i="1"/>
  <c r="P98" i="1"/>
  <c r="O98" i="1"/>
  <c r="N98" i="1"/>
  <c r="M98" i="1"/>
  <c r="K98" i="1"/>
  <c r="J98" i="1"/>
  <c r="I98" i="1"/>
  <c r="H98" i="1"/>
  <c r="G98" i="1"/>
  <c r="F98" i="1"/>
  <c r="E98" i="1"/>
  <c r="D98" i="1"/>
  <c r="C98" i="1"/>
  <c r="B98" i="1"/>
  <c r="A98" i="1"/>
  <c r="AK97" i="1"/>
  <c r="AC97" i="1"/>
  <c r="AB97" i="1"/>
  <c r="AA97" i="1"/>
  <c r="Z97" i="1"/>
  <c r="Y97" i="1"/>
  <c r="X97" i="1"/>
  <c r="W97" i="1"/>
  <c r="V97" i="1"/>
  <c r="U97" i="1"/>
  <c r="T97" i="1"/>
  <c r="S97" i="1"/>
  <c r="R97" i="1"/>
  <c r="Q97" i="1"/>
  <c r="P97" i="1"/>
  <c r="O97" i="1"/>
  <c r="N97" i="1"/>
  <c r="M97" i="1"/>
  <c r="K97" i="1"/>
  <c r="J97" i="1"/>
  <c r="I97" i="1"/>
  <c r="H97" i="1"/>
  <c r="G97" i="1"/>
  <c r="F97" i="1"/>
  <c r="E97" i="1"/>
  <c r="D97" i="1"/>
  <c r="C97" i="1"/>
  <c r="B97" i="1"/>
  <c r="A97" i="1"/>
  <c r="AK96" i="1"/>
  <c r="AC96" i="1"/>
  <c r="AB96" i="1"/>
  <c r="AA96" i="1"/>
  <c r="Z96" i="1"/>
  <c r="Y96" i="1"/>
  <c r="X96" i="1"/>
  <c r="W96" i="1"/>
  <c r="V96" i="1"/>
  <c r="U96" i="1"/>
  <c r="T96" i="1"/>
  <c r="S96" i="1"/>
  <c r="R96" i="1"/>
  <c r="Q96" i="1"/>
  <c r="P96" i="1"/>
  <c r="N96" i="1"/>
  <c r="M96" i="1"/>
  <c r="K96" i="1"/>
  <c r="J96" i="1"/>
  <c r="I96" i="1"/>
  <c r="H96" i="1"/>
  <c r="G96" i="1"/>
  <c r="F96" i="1"/>
  <c r="E96" i="1"/>
  <c r="D96" i="1"/>
  <c r="C96" i="1"/>
  <c r="B96" i="1"/>
  <c r="A96" i="1"/>
  <c r="AK95" i="1"/>
  <c r="AC95" i="1"/>
  <c r="AB95" i="1"/>
  <c r="AA95" i="1"/>
  <c r="Z95" i="1"/>
  <c r="Y95" i="1"/>
  <c r="X95" i="1"/>
  <c r="W95" i="1"/>
  <c r="V95" i="1"/>
  <c r="U95" i="1"/>
  <c r="T95" i="1"/>
  <c r="R95" i="1"/>
  <c r="Q95" i="1"/>
  <c r="P95" i="1"/>
  <c r="O95" i="1"/>
  <c r="N95" i="1"/>
  <c r="M95" i="1"/>
  <c r="K95" i="1"/>
  <c r="J95" i="1"/>
  <c r="I95" i="1"/>
  <c r="H95" i="1"/>
  <c r="G95" i="1"/>
  <c r="F95" i="1"/>
  <c r="E95" i="1"/>
  <c r="D95" i="1"/>
  <c r="C95" i="1"/>
  <c r="B95" i="1"/>
  <c r="A95" i="1"/>
  <c r="AK94" i="1"/>
  <c r="AC94" i="1"/>
  <c r="AB94" i="1"/>
  <c r="AA94" i="1"/>
  <c r="Z94" i="1"/>
  <c r="Y94" i="1"/>
  <c r="X94" i="1"/>
  <c r="W94" i="1"/>
  <c r="V94" i="1"/>
  <c r="U94" i="1"/>
  <c r="T94" i="1"/>
  <c r="S94" i="1"/>
  <c r="R94" i="1"/>
  <c r="Q94" i="1"/>
  <c r="P94" i="1"/>
  <c r="O94" i="1"/>
  <c r="N94" i="1"/>
  <c r="M94" i="1"/>
  <c r="K94" i="1"/>
  <c r="J94" i="1"/>
  <c r="I94" i="1"/>
  <c r="H94" i="1"/>
  <c r="G94" i="1"/>
  <c r="F94" i="1"/>
  <c r="E94" i="1"/>
  <c r="D94" i="1"/>
  <c r="C94" i="1"/>
  <c r="B94" i="1"/>
  <c r="A94" i="1"/>
  <c r="AK93" i="1"/>
  <c r="AC93" i="1"/>
  <c r="AB93" i="1"/>
  <c r="AA93" i="1"/>
  <c r="Z93" i="1"/>
  <c r="Y93" i="1"/>
  <c r="X93" i="1"/>
  <c r="W93" i="1"/>
  <c r="V93" i="1"/>
  <c r="U93" i="1"/>
  <c r="T93" i="1"/>
  <c r="S93" i="1"/>
  <c r="R93" i="1"/>
  <c r="Q93" i="1"/>
  <c r="P93" i="1"/>
  <c r="O93" i="1"/>
  <c r="N93" i="1"/>
  <c r="M93" i="1"/>
  <c r="K93" i="1"/>
  <c r="J93" i="1"/>
  <c r="I93" i="1"/>
  <c r="H93" i="1"/>
  <c r="G93" i="1"/>
  <c r="F93" i="1"/>
  <c r="E93" i="1"/>
  <c r="D93" i="1"/>
  <c r="C93" i="1"/>
  <c r="B93" i="1"/>
  <c r="A93" i="1"/>
  <c r="AK92" i="1"/>
  <c r="AC92" i="1"/>
  <c r="AB92" i="1"/>
  <c r="AA92" i="1"/>
  <c r="Z92" i="1"/>
  <c r="Y92" i="1"/>
  <c r="X92" i="1"/>
  <c r="W92" i="1"/>
  <c r="V92" i="1"/>
  <c r="U92" i="1"/>
  <c r="T92" i="1"/>
  <c r="S92" i="1"/>
  <c r="R92" i="1"/>
  <c r="Q92" i="1"/>
  <c r="P92" i="1"/>
  <c r="O92" i="1"/>
  <c r="N92" i="1"/>
  <c r="M92" i="1"/>
  <c r="K92" i="1"/>
  <c r="I92" i="1"/>
  <c r="H92" i="1"/>
  <c r="G92" i="1"/>
  <c r="F92" i="1"/>
  <c r="E92" i="1"/>
  <c r="D92" i="1"/>
  <c r="C92" i="1"/>
  <c r="B92" i="1"/>
  <c r="A92" i="1"/>
  <c r="AK91" i="1"/>
  <c r="AE91" i="1"/>
  <c r="AD91" i="1"/>
  <c r="AC91" i="1"/>
  <c r="AB91" i="1"/>
  <c r="AA91" i="1"/>
  <c r="Z91" i="1"/>
  <c r="Y91" i="1"/>
  <c r="X91" i="1"/>
  <c r="W91" i="1"/>
  <c r="V91" i="1"/>
  <c r="U91" i="1"/>
  <c r="T91" i="1"/>
  <c r="S91" i="1"/>
  <c r="R91" i="1"/>
  <c r="Q91" i="1"/>
  <c r="P91" i="1"/>
  <c r="O91" i="1"/>
  <c r="N91" i="1"/>
  <c r="M91" i="1"/>
  <c r="K91" i="1"/>
  <c r="J91" i="1"/>
  <c r="I91" i="1"/>
  <c r="H91" i="1"/>
  <c r="G91" i="1"/>
  <c r="F91" i="1"/>
  <c r="E91" i="1"/>
  <c r="D91" i="1"/>
  <c r="C91" i="1"/>
  <c r="B91" i="1"/>
  <c r="A91" i="1"/>
  <c r="AK90" i="1"/>
  <c r="AC90" i="1"/>
  <c r="AB90" i="1"/>
  <c r="AA90" i="1"/>
  <c r="Z90" i="1"/>
  <c r="Y90" i="1"/>
  <c r="X90" i="1"/>
  <c r="W90" i="1"/>
  <c r="V90" i="1"/>
  <c r="U90" i="1"/>
  <c r="T90" i="1"/>
  <c r="S90" i="1"/>
  <c r="R90" i="1"/>
  <c r="Q90" i="1"/>
  <c r="P90" i="1"/>
  <c r="O90" i="1"/>
  <c r="N90" i="1"/>
  <c r="M90" i="1"/>
  <c r="K90" i="1"/>
  <c r="J90" i="1"/>
  <c r="I90" i="1"/>
  <c r="H90" i="1"/>
  <c r="G90" i="1"/>
  <c r="F90" i="1"/>
  <c r="E90" i="1"/>
  <c r="D90" i="1"/>
  <c r="C90" i="1"/>
  <c r="B90" i="1"/>
  <c r="A90" i="1"/>
  <c r="AK89" i="1"/>
  <c r="AC89" i="1"/>
  <c r="AB89" i="1"/>
  <c r="AA89" i="1"/>
  <c r="Z89" i="1"/>
  <c r="Y89" i="1"/>
  <c r="X89" i="1"/>
  <c r="W89" i="1"/>
  <c r="V89" i="1"/>
  <c r="U89" i="1"/>
  <c r="T89" i="1"/>
  <c r="S89" i="1"/>
  <c r="R89" i="1"/>
  <c r="Q89" i="1"/>
  <c r="P89" i="1"/>
  <c r="O89" i="1"/>
  <c r="N89" i="1"/>
  <c r="M89" i="1"/>
  <c r="K89" i="1"/>
  <c r="I89" i="1"/>
  <c r="H89" i="1"/>
  <c r="G89" i="1"/>
  <c r="F89" i="1"/>
  <c r="E89" i="1"/>
  <c r="D89" i="1"/>
  <c r="C89" i="1"/>
  <c r="B89" i="1"/>
  <c r="A89" i="1"/>
  <c r="AK88" i="1"/>
  <c r="AC88" i="1"/>
  <c r="AB88" i="1"/>
  <c r="AA88" i="1"/>
  <c r="Z88" i="1"/>
  <c r="Y88" i="1"/>
  <c r="X88" i="1"/>
  <c r="W88" i="1"/>
  <c r="V88" i="1"/>
  <c r="U88" i="1"/>
  <c r="T88" i="1"/>
  <c r="S88" i="1"/>
  <c r="R88" i="1"/>
  <c r="Q88" i="1"/>
  <c r="P88" i="1"/>
  <c r="O88" i="1"/>
  <c r="N88" i="1"/>
  <c r="M88" i="1"/>
  <c r="L88" i="1"/>
  <c r="K88" i="1"/>
  <c r="J88" i="1"/>
  <c r="I88" i="1"/>
  <c r="H88" i="1"/>
  <c r="G88" i="1"/>
  <c r="F88" i="1"/>
  <c r="E88" i="1"/>
  <c r="D88" i="1"/>
  <c r="C88" i="1"/>
  <c r="B88" i="1"/>
  <c r="A88" i="1"/>
  <c r="AK87" i="1"/>
  <c r="AC87" i="1"/>
  <c r="AB87" i="1"/>
  <c r="AA87" i="1"/>
  <c r="Z87" i="1"/>
  <c r="Y87" i="1"/>
  <c r="X87" i="1"/>
  <c r="W87" i="1"/>
  <c r="V87" i="1"/>
  <c r="U87" i="1"/>
  <c r="T87" i="1"/>
  <c r="S87" i="1"/>
  <c r="R87" i="1"/>
  <c r="Q87" i="1"/>
  <c r="P87" i="1"/>
  <c r="O87" i="1"/>
  <c r="N87" i="1"/>
  <c r="M87" i="1"/>
  <c r="K87" i="1"/>
  <c r="J87" i="1"/>
  <c r="I87" i="1"/>
  <c r="H87" i="1"/>
  <c r="G87" i="1"/>
  <c r="F87" i="1"/>
  <c r="E87" i="1"/>
  <c r="D87" i="1"/>
  <c r="C87" i="1"/>
  <c r="B87" i="1"/>
  <c r="A87" i="1"/>
  <c r="AK86" i="1"/>
  <c r="AE86" i="1"/>
  <c r="AD86" i="1"/>
  <c r="AC86" i="1"/>
  <c r="AB86" i="1"/>
  <c r="AA86" i="1"/>
  <c r="Z86" i="1"/>
  <c r="Y86" i="1"/>
  <c r="X86" i="1"/>
  <c r="W86" i="1"/>
  <c r="V86" i="1"/>
  <c r="U86" i="1"/>
  <c r="T86" i="1"/>
  <c r="S86" i="1"/>
  <c r="R86" i="1"/>
  <c r="Q86" i="1"/>
  <c r="P86" i="1"/>
  <c r="O86" i="1"/>
  <c r="N86" i="1"/>
  <c r="M86" i="1"/>
  <c r="K86" i="1"/>
  <c r="J86" i="1"/>
  <c r="I86" i="1"/>
  <c r="H86" i="1"/>
  <c r="G86" i="1"/>
  <c r="F86" i="1"/>
  <c r="E86" i="1"/>
  <c r="D86" i="1"/>
  <c r="C86" i="1"/>
  <c r="B86" i="1"/>
  <c r="A86" i="1"/>
  <c r="AK85" i="1"/>
  <c r="AC85" i="1"/>
  <c r="AB85" i="1"/>
  <c r="AA85" i="1"/>
  <c r="Z85" i="1"/>
  <c r="Y85" i="1"/>
  <c r="X85" i="1"/>
  <c r="W85" i="1"/>
  <c r="V85" i="1"/>
  <c r="U85" i="1"/>
  <c r="T85" i="1"/>
  <c r="S85" i="1"/>
  <c r="R85" i="1"/>
  <c r="Q85" i="1"/>
  <c r="P85" i="1"/>
  <c r="O85" i="1"/>
  <c r="N85" i="1"/>
  <c r="M85" i="1"/>
  <c r="K85" i="1"/>
  <c r="J85" i="1"/>
  <c r="I85" i="1"/>
  <c r="H85" i="1"/>
  <c r="G85" i="1"/>
  <c r="F85" i="1"/>
  <c r="E85" i="1"/>
  <c r="D85" i="1"/>
  <c r="C85" i="1"/>
  <c r="B85" i="1"/>
  <c r="A85" i="1"/>
  <c r="AK84" i="1"/>
  <c r="AC84" i="1"/>
  <c r="AB84" i="1"/>
  <c r="AA84" i="1"/>
  <c r="Z84" i="1"/>
  <c r="Y84" i="1"/>
  <c r="X84" i="1"/>
  <c r="W84" i="1"/>
  <c r="V84" i="1"/>
  <c r="U84" i="1"/>
  <c r="T84" i="1"/>
  <c r="S84" i="1"/>
  <c r="R84" i="1"/>
  <c r="Q84" i="1"/>
  <c r="P84" i="1"/>
  <c r="O84" i="1"/>
  <c r="N84" i="1"/>
  <c r="M84" i="1"/>
  <c r="K84" i="1"/>
  <c r="I84" i="1"/>
  <c r="H84" i="1"/>
  <c r="G84" i="1"/>
  <c r="F84" i="1"/>
  <c r="E84" i="1"/>
  <c r="D84" i="1"/>
  <c r="C84" i="1"/>
  <c r="B84" i="1"/>
  <c r="A84" i="1"/>
  <c r="AK83" i="1"/>
  <c r="AC83" i="1"/>
  <c r="AB83" i="1"/>
  <c r="AA83" i="1"/>
  <c r="Z83" i="1"/>
  <c r="Y83" i="1"/>
  <c r="X83" i="1"/>
  <c r="W83" i="1"/>
  <c r="V83" i="1"/>
  <c r="U83" i="1"/>
  <c r="T83" i="1"/>
  <c r="S83" i="1"/>
  <c r="R83" i="1"/>
  <c r="Q83" i="1"/>
  <c r="P83" i="1"/>
  <c r="O83" i="1"/>
  <c r="N83" i="1"/>
  <c r="M83" i="1"/>
  <c r="K83" i="1"/>
  <c r="J83" i="1"/>
  <c r="I83" i="1"/>
  <c r="H83" i="1"/>
  <c r="G83" i="1"/>
  <c r="F83" i="1"/>
  <c r="E83" i="1"/>
  <c r="D83" i="1"/>
  <c r="C83" i="1"/>
  <c r="B83" i="1"/>
  <c r="A83" i="1"/>
  <c r="AK82" i="1"/>
  <c r="AE82" i="1"/>
  <c r="AD82" i="1"/>
  <c r="AC82" i="1"/>
  <c r="AB82" i="1"/>
  <c r="AA82" i="1"/>
  <c r="Z82" i="1"/>
  <c r="Y82" i="1"/>
  <c r="X82" i="1"/>
  <c r="W82" i="1"/>
  <c r="V82" i="1"/>
  <c r="U82" i="1"/>
  <c r="T82" i="1"/>
  <c r="S82" i="1"/>
  <c r="R82" i="1"/>
  <c r="Q82" i="1"/>
  <c r="P82" i="1"/>
  <c r="O82" i="1"/>
  <c r="N82" i="1"/>
  <c r="M82" i="1"/>
  <c r="K82" i="1"/>
  <c r="J82" i="1"/>
  <c r="I82" i="1"/>
  <c r="H82" i="1"/>
  <c r="G82" i="1"/>
  <c r="F82" i="1"/>
  <c r="E82" i="1"/>
  <c r="D82" i="1"/>
  <c r="C82" i="1"/>
  <c r="B82" i="1"/>
  <c r="A82" i="1"/>
  <c r="AK81" i="1"/>
  <c r="AC81" i="1"/>
  <c r="AB81" i="1"/>
  <c r="AA81" i="1"/>
  <c r="Z81" i="1"/>
  <c r="Y81" i="1"/>
  <c r="X81" i="1"/>
  <c r="W81" i="1"/>
  <c r="V81" i="1"/>
  <c r="U81" i="1"/>
  <c r="T81" i="1"/>
  <c r="S81" i="1"/>
  <c r="R81" i="1"/>
  <c r="Q81" i="1"/>
  <c r="P81" i="1"/>
  <c r="O81" i="1"/>
  <c r="N81" i="1"/>
  <c r="M81" i="1"/>
  <c r="K81" i="1"/>
  <c r="J81" i="1"/>
  <c r="I81" i="1"/>
  <c r="H81" i="1"/>
  <c r="G81" i="1"/>
  <c r="F81" i="1"/>
  <c r="E81" i="1"/>
  <c r="D81" i="1"/>
  <c r="C81" i="1"/>
  <c r="B81" i="1"/>
  <c r="A81" i="1"/>
  <c r="AK80" i="1"/>
  <c r="AC80" i="1"/>
  <c r="AB80" i="1"/>
  <c r="AA80" i="1"/>
  <c r="Z80" i="1"/>
  <c r="Y80" i="1"/>
  <c r="X80" i="1"/>
  <c r="W80" i="1"/>
  <c r="V80" i="1"/>
  <c r="U80" i="1"/>
  <c r="T80" i="1"/>
  <c r="S80" i="1"/>
  <c r="R80" i="1"/>
  <c r="Q80" i="1"/>
  <c r="P80" i="1"/>
  <c r="O80" i="1"/>
  <c r="N80" i="1"/>
  <c r="M80" i="1"/>
  <c r="K80" i="1"/>
  <c r="I80" i="1"/>
  <c r="H80" i="1"/>
  <c r="G80" i="1"/>
  <c r="F80" i="1"/>
  <c r="E80" i="1"/>
  <c r="D80" i="1"/>
  <c r="C80" i="1"/>
  <c r="B80" i="1"/>
  <c r="A80" i="1"/>
  <c r="AK79" i="1"/>
  <c r="AE79" i="1"/>
  <c r="AD79" i="1"/>
  <c r="AC79" i="1"/>
  <c r="AB79" i="1"/>
  <c r="AA79" i="1"/>
  <c r="Z79" i="1"/>
  <c r="Y79" i="1"/>
  <c r="X79" i="1"/>
  <c r="W79" i="1"/>
  <c r="V79" i="1"/>
  <c r="U79" i="1"/>
  <c r="T79" i="1"/>
  <c r="S79" i="1"/>
  <c r="R79" i="1"/>
  <c r="Q79" i="1"/>
  <c r="P79" i="1"/>
  <c r="O79" i="1"/>
  <c r="N79" i="1"/>
  <c r="M79" i="1"/>
  <c r="K79" i="1"/>
  <c r="J79" i="1"/>
  <c r="I79" i="1"/>
  <c r="H79" i="1"/>
  <c r="G79" i="1"/>
  <c r="F79" i="1"/>
  <c r="E79" i="1"/>
  <c r="D79" i="1"/>
  <c r="C79" i="1"/>
  <c r="B79" i="1"/>
  <c r="A79" i="1"/>
  <c r="AK78" i="1"/>
  <c r="AE78" i="1"/>
  <c r="AD78" i="1"/>
  <c r="AC78" i="1"/>
  <c r="AB78" i="1"/>
  <c r="AA78" i="1"/>
  <c r="Z78" i="1"/>
  <c r="Y78" i="1"/>
  <c r="X78" i="1"/>
  <c r="W78" i="1"/>
  <c r="V78" i="1"/>
  <c r="U78" i="1"/>
  <c r="T78" i="1"/>
  <c r="S78" i="1"/>
  <c r="R78" i="1"/>
  <c r="Q78" i="1"/>
  <c r="P78" i="1"/>
  <c r="O78" i="1"/>
  <c r="N78" i="1"/>
  <c r="M78" i="1"/>
  <c r="K78" i="1"/>
  <c r="J78" i="1"/>
  <c r="I78" i="1"/>
  <c r="H78" i="1"/>
  <c r="G78" i="1"/>
  <c r="F78" i="1"/>
  <c r="E78" i="1"/>
  <c r="D78" i="1"/>
  <c r="C78" i="1"/>
  <c r="B78" i="1"/>
  <c r="A78" i="1"/>
  <c r="AK77" i="1"/>
  <c r="AE77" i="1"/>
  <c r="AD77" i="1"/>
  <c r="AC77" i="1"/>
  <c r="AB77" i="1"/>
  <c r="AA77" i="1"/>
  <c r="Z77" i="1"/>
  <c r="Y77" i="1"/>
  <c r="X77" i="1"/>
  <c r="W77" i="1"/>
  <c r="V77" i="1"/>
  <c r="U77" i="1"/>
  <c r="T77" i="1"/>
  <c r="S77" i="1"/>
  <c r="R77" i="1"/>
  <c r="Q77" i="1"/>
  <c r="P77" i="1"/>
  <c r="O77" i="1"/>
  <c r="N77" i="1"/>
  <c r="M77" i="1"/>
  <c r="K77" i="1"/>
  <c r="J77" i="1"/>
  <c r="I77" i="1"/>
  <c r="H77" i="1"/>
  <c r="G77" i="1"/>
  <c r="F77" i="1"/>
  <c r="E77" i="1"/>
  <c r="D77" i="1"/>
  <c r="C77" i="1"/>
  <c r="B77" i="1"/>
  <c r="A77" i="1"/>
  <c r="AK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B76" i="1"/>
  <c r="A76" i="1"/>
  <c r="AK75" i="1"/>
  <c r="AC75" i="1"/>
  <c r="AB75" i="1"/>
  <c r="AA75" i="1"/>
  <c r="Z75" i="1"/>
  <c r="Y75" i="1"/>
  <c r="X75" i="1"/>
  <c r="W75" i="1"/>
  <c r="V75" i="1"/>
  <c r="U75" i="1"/>
  <c r="T75" i="1"/>
  <c r="S75" i="1"/>
  <c r="R75" i="1"/>
  <c r="Q75" i="1"/>
  <c r="P75" i="1"/>
  <c r="O75" i="1"/>
  <c r="N75" i="1"/>
  <c r="M75" i="1"/>
  <c r="K75" i="1"/>
  <c r="J75" i="1"/>
  <c r="I75" i="1"/>
  <c r="H75" i="1"/>
  <c r="G75" i="1"/>
  <c r="F75" i="1"/>
  <c r="E75" i="1"/>
  <c r="D75" i="1"/>
  <c r="C75" i="1"/>
  <c r="B75" i="1"/>
  <c r="A75" i="1"/>
  <c r="AK74" i="1"/>
  <c r="AC74" i="1"/>
  <c r="AB74" i="1"/>
  <c r="AA74" i="1"/>
  <c r="Z74" i="1"/>
  <c r="Y74" i="1"/>
  <c r="X74" i="1"/>
  <c r="W74" i="1"/>
  <c r="V74" i="1"/>
  <c r="U74" i="1"/>
  <c r="T74" i="1"/>
  <c r="S74" i="1"/>
  <c r="R74" i="1"/>
  <c r="Q74" i="1"/>
  <c r="P74" i="1"/>
  <c r="O74" i="1"/>
  <c r="N74" i="1"/>
  <c r="M74" i="1"/>
  <c r="K74" i="1"/>
  <c r="J74" i="1"/>
  <c r="I74" i="1"/>
  <c r="H74" i="1"/>
  <c r="G74" i="1"/>
  <c r="F74" i="1"/>
  <c r="E74" i="1"/>
  <c r="D74" i="1"/>
  <c r="C74" i="1"/>
  <c r="B74" i="1"/>
  <c r="A74" i="1"/>
  <c r="AK73" i="1"/>
  <c r="AC73" i="1"/>
  <c r="AB73" i="1"/>
  <c r="AA73" i="1"/>
  <c r="Z73" i="1"/>
  <c r="Y73" i="1"/>
  <c r="X73" i="1"/>
  <c r="W73" i="1"/>
  <c r="V73" i="1"/>
  <c r="U73" i="1"/>
  <c r="T73" i="1"/>
  <c r="S73" i="1"/>
  <c r="R73" i="1"/>
  <c r="Q73" i="1"/>
  <c r="P73" i="1"/>
  <c r="O73" i="1"/>
  <c r="N73" i="1"/>
  <c r="M73" i="1"/>
  <c r="L73" i="1"/>
  <c r="K73" i="1"/>
  <c r="J73" i="1"/>
  <c r="I73" i="1"/>
  <c r="H73" i="1"/>
  <c r="G73" i="1"/>
  <c r="F73" i="1"/>
  <c r="E73" i="1"/>
  <c r="D73" i="1"/>
  <c r="C73" i="1"/>
  <c r="B73" i="1"/>
  <c r="A73" i="1"/>
  <c r="AK72" i="1"/>
  <c r="AC72" i="1"/>
  <c r="AB72" i="1"/>
  <c r="AA72" i="1"/>
  <c r="Z72" i="1"/>
  <c r="Y72" i="1"/>
  <c r="X72" i="1"/>
  <c r="W72" i="1"/>
  <c r="V72" i="1"/>
  <c r="U72" i="1"/>
  <c r="T72" i="1"/>
  <c r="S72" i="1"/>
  <c r="R72" i="1"/>
  <c r="Q72" i="1"/>
  <c r="P72" i="1"/>
  <c r="N72" i="1"/>
  <c r="M72" i="1"/>
  <c r="K72" i="1"/>
  <c r="J72" i="1"/>
  <c r="I72" i="1"/>
  <c r="H72" i="1"/>
  <c r="G72" i="1"/>
  <c r="F72" i="1"/>
  <c r="E72" i="1"/>
  <c r="D72" i="1"/>
  <c r="C72" i="1"/>
  <c r="B72" i="1"/>
  <c r="A72" i="1"/>
  <c r="AK71" i="1"/>
  <c r="AC71" i="1"/>
  <c r="AB71" i="1"/>
  <c r="AA71" i="1"/>
  <c r="Z71" i="1"/>
  <c r="Y71" i="1"/>
  <c r="X71" i="1"/>
  <c r="W71" i="1"/>
  <c r="V71" i="1"/>
  <c r="U71" i="1"/>
  <c r="T71" i="1"/>
  <c r="S71" i="1"/>
  <c r="R71" i="1"/>
  <c r="Q71" i="1"/>
  <c r="P71" i="1"/>
  <c r="O71" i="1"/>
  <c r="N71" i="1"/>
  <c r="M71" i="1"/>
  <c r="L71" i="1"/>
  <c r="K71" i="1"/>
  <c r="J71" i="1"/>
  <c r="I71" i="1"/>
  <c r="H71" i="1"/>
  <c r="G71" i="1"/>
  <c r="F71" i="1"/>
  <c r="E71" i="1"/>
  <c r="D71" i="1"/>
  <c r="C71" i="1"/>
  <c r="B71" i="1"/>
  <c r="A71" i="1"/>
  <c r="AK70" i="1"/>
  <c r="AC70" i="1"/>
  <c r="AB70" i="1"/>
  <c r="AA70" i="1"/>
  <c r="Z70" i="1"/>
  <c r="Y70" i="1"/>
  <c r="X70" i="1"/>
  <c r="W70" i="1"/>
  <c r="V70" i="1"/>
  <c r="U70" i="1"/>
  <c r="T70" i="1"/>
  <c r="S70" i="1"/>
  <c r="R70" i="1"/>
  <c r="Q70" i="1"/>
  <c r="P70" i="1"/>
  <c r="O70" i="1"/>
  <c r="N70" i="1"/>
  <c r="M70" i="1"/>
  <c r="K70" i="1"/>
  <c r="I70" i="1"/>
  <c r="H70" i="1"/>
  <c r="G70" i="1"/>
  <c r="F70" i="1"/>
  <c r="E70" i="1"/>
  <c r="D70" i="1"/>
  <c r="C70" i="1"/>
  <c r="B70" i="1"/>
  <c r="A70" i="1"/>
  <c r="AK69" i="1"/>
  <c r="AC69" i="1"/>
  <c r="AB69" i="1"/>
  <c r="AA69" i="1"/>
  <c r="Z69" i="1"/>
  <c r="Y69" i="1"/>
  <c r="X69" i="1"/>
  <c r="W69" i="1"/>
  <c r="V69" i="1"/>
  <c r="U69" i="1"/>
  <c r="T69" i="1"/>
  <c r="S69" i="1"/>
  <c r="R69" i="1"/>
  <c r="Q69" i="1"/>
  <c r="P69" i="1"/>
  <c r="N69" i="1"/>
  <c r="M69" i="1"/>
  <c r="K69" i="1"/>
  <c r="J69" i="1"/>
  <c r="I69" i="1"/>
  <c r="H69" i="1"/>
  <c r="G69" i="1"/>
  <c r="F69" i="1"/>
  <c r="E69" i="1"/>
  <c r="D69" i="1"/>
  <c r="C69" i="1"/>
  <c r="B69" i="1"/>
  <c r="A69" i="1"/>
  <c r="AK68" i="1"/>
  <c r="AC68" i="1"/>
  <c r="AB68" i="1"/>
  <c r="AA68" i="1"/>
  <c r="Z68" i="1"/>
  <c r="Y68" i="1"/>
  <c r="X68" i="1"/>
  <c r="W68" i="1"/>
  <c r="V68" i="1"/>
  <c r="U68" i="1"/>
  <c r="T68" i="1"/>
  <c r="S68" i="1"/>
  <c r="R68" i="1"/>
  <c r="Q68" i="1"/>
  <c r="P68" i="1"/>
  <c r="O68" i="1"/>
  <c r="N68" i="1"/>
  <c r="M68" i="1"/>
  <c r="K68" i="1"/>
  <c r="J68" i="1"/>
  <c r="I68" i="1"/>
  <c r="H68" i="1"/>
  <c r="G68" i="1"/>
  <c r="F68" i="1"/>
  <c r="E68" i="1"/>
  <c r="D68" i="1"/>
  <c r="C68" i="1"/>
  <c r="B68" i="1"/>
  <c r="A68" i="1"/>
  <c r="AK67" i="1"/>
  <c r="AC67" i="1"/>
  <c r="AB67" i="1"/>
  <c r="AA67" i="1"/>
  <c r="Z67" i="1"/>
  <c r="Y67" i="1"/>
  <c r="X67" i="1"/>
  <c r="W67" i="1"/>
  <c r="V67" i="1"/>
  <c r="U67" i="1"/>
  <c r="T67" i="1"/>
  <c r="S67" i="1"/>
  <c r="R67" i="1"/>
  <c r="Q67" i="1"/>
  <c r="P67" i="1"/>
  <c r="O67" i="1"/>
  <c r="N67" i="1"/>
  <c r="M67" i="1"/>
  <c r="K67" i="1"/>
  <c r="J67" i="1"/>
  <c r="I67" i="1"/>
  <c r="H67" i="1"/>
  <c r="G67" i="1"/>
  <c r="F67" i="1"/>
  <c r="E67" i="1"/>
  <c r="D67" i="1"/>
  <c r="C67" i="1"/>
  <c r="B67" i="1"/>
  <c r="A67" i="1"/>
  <c r="AK66" i="1"/>
  <c r="AC66" i="1"/>
  <c r="AB66" i="1"/>
  <c r="AA66" i="1"/>
  <c r="Z66" i="1"/>
  <c r="Y66" i="1"/>
  <c r="X66" i="1"/>
  <c r="W66" i="1"/>
  <c r="V66" i="1"/>
  <c r="U66" i="1"/>
  <c r="T66" i="1"/>
  <c r="S66" i="1"/>
  <c r="R66" i="1"/>
  <c r="Q66" i="1"/>
  <c r="P66" i="1"/>
  <c r="O66" i="1"/>
  <c r="N66" i="1"/>
  <c r="M66" i="1"/>
  <c r="K66" i="1"/>
  <c r="J66" i="1"/>
  <c r="I66" i="1"/>
  <c r="H66" i="1"/>
  <c r="G66" i="1"/>
  <c r="F66" i="1"/>
  <c r="E66" i="1"/>
  <c r="D66" i="1"/>
  <c r="C66" i="1"/>
  <c r="B66" i="1"/>
  <c r="A66" i="1"/>
  <c r="AK65" i="1"/>
  <c r="AC65" i="1"/>
  <c r="AB65" i="1"/>
  <c r="AA65" i="1"/>
  <c r="Z65" i="1"/>
  <c r="Y65" i="1"/>
  <c r="X65" i="1"/>
  <c r="W65" i="1"/>
  <c r="V65" i="1"/>
  <c r="U65" i="1"/>
  <c r="T65" i="1"/>
  <c r="S65" i="1"/>
  <c r="R65" i="1"/>
  <c r="Q65" i="1"/>
  <c r="P65" i="1"/>
  <c r="O65" i="1"/>
  <c r="N65" i="1"/>
  <c r="M65" i="1"/>
  <c r="K65" i="1"/>
  <c r="J65" i="1"/>
  <c r="I65" i="1"/>
  <c r="H65" i="1"/>
  <c r="G65" i="1"/>
  <c r="F65" i="1"/>
  <c r="E65" i="1"/>
  <c r="D65" i="1"/>
  <c r="C65" i="1"/>
  <c r="B65" i="1"/>
  <c r="A65" i="1"/>
  <c r="AK64" i="1"/>
  <c r="AE64" i="1"/>
  <c r="AD64" i="1"/>
  <c r="AC64" i="1"/>
  <c r="AB64" i="1"/>
  <c r="AA64" i="1"/>
  <c r="Z64" i="1"/>
  <c r="Y64" i="1"/>
  <c r="X64" i="1"/>
  <c r="W64" i="1"/>
  <c r="V64" i="1"/>
  <c r="U64" i="1"/>
  <c r="T64" i="1"/>
  <c r="S64" i="1"/>
  <c r="R64" i="1"/>
  <c r="Q64" i="1"/>
  <c r="P64" i="1"/>
  <c r="O64" i="1"/>
  <c r="N64" i="1"/>
  <c r="M64" i="1"/>
  <c r="K64" i="1"/>
  <c r="J64" i="1"/>
  <c r="I64" i="1"/>
  <c r="H64" i="1"/>
  <c r="G64" i="1"/>
  <c r="F64" i="1"/>
  <c r="E64" i="1"/>
  <c r="D64" i="1"/>
  <c r="C64" i="1"/>
  <c r="B64" i="1"/>
  <c r="A64" i="1"/>
  <c r="AK63" i="1"/>
  <c r="AC63" i="1"/>
  <c r="AB63" i="1"/>
  <c r="AA63" i="1"/>
  <c r="Z63" i="1"/>
  <c r="Y63" i="1"/>
  <c r="X63" i="1"/>
  <c r="W63" i="1"/>
  <c r="V63" i="1"/>
  <c r="U63" i="1"/>
  <c r="T63" i="1"/>
  <c r="S63" i="1"/>
  <c r="R63" i="1"/>
  <c r="Q63" i="1"/>
  <c r="P63" i="1"/>
  <c r="O63" i="1"/>
  <c r="N63" i="1"/>
  <c r="M63" i="1"/>
  <c r="K63" i="1"/>
  <c r="J63" i="1"/>
  <c r="I63" i="1"/>
  <c r="H63" i="1"/>
  <c r="G63" i="1"/>
  <c r="F63" i="1"/>
  <c r="E63" i="1"/>
  <c r="D63" i="1"/>
  <c r="C63" i="1"/>
  <c r="B63" i="1"/>
  <c r="A63" i="1"/>
  <c r="AK62" i="1"/>
  <c r="AC62" i="1"/>
  <c r="AB62" i="1"/>
  <c r="AA62" i="1"/>
  <c r="Z62" i="1"/>
  <c r="Y62" i="1"/>
  <c r="X62" i="1"/>
  <c r="W62" i="1"/>
  <c r="V62" i="1"/>
  <c r="U62" i="1"/>
  <c r="T62" i="1"/>
  <c r="S62" i="1"/>
  <c r="R62" i="1"/>
  <c r="Q62" i="1"/>
  <c r="P62" i="1"/>
  <c r="O62" i="1"/>
  <c r="N62" i="1"/>
  <c r="M62" i="1"/>
  <c r="K62" i="1"/>
  <c r="J62" i="1"/>
  <c r="I62" i="1"/>
  <c r="H62" i="1"/>
  <c r="G62" i="1"/>
  <c r="F62" i="1"/>
  <c r="E62" i="1"/>
  <c r="D62" i="1"/>
  <c r="C62" i="1"/>
  <c r="B62" i="1"/>
  <c r="A62" i="1"/>
  <c r="AK61" i="1"/>
  <c r="AC61" i="1"/>
  <c r="AB61" i="1"/>
  <c r="AA61" i="1"/>
  <c r="Z61" i="1"/>
  <c r="Y61" i="1"/>
  <c r="X61" i="1"/>
  <c r="W61" i="1"/>
  <c r="V61" i="1"/>
  <c r="U61" i="1"/>
  <c r="T61" i="1"/>
  <c r="S61" i="1"/>
  <c r="R61" i="1"/>
  <c r="Q61" i="1"/>
  <c r="P61" i="1"/>
  <c r="O61" i="1"/>
  <c r="N61" i="1"/>
  <c r="M61" i="1"/>
  <c r="K61" i="1"/>
  <c r="J61" i="1"/>
  <c r="I61" i="1"/>
  <c r="H61" i="1"/>
  <c r="G61" i="1"/>
  <c r="F61" i="1"/>
  <c r="E61" i="1"/>
  <c r="D61" i="1"/>
  <c r="C61" i="1"/>
  <c r="B61" i="1"/>
  <c r="A61" i="1"/>
  <c r="AK60" i="1"/>
  <c r="AC60" i="1"/>
  <c r="AB60" i="1"/>
  <c r="AA60" i="1"/>
  <c r="Z60" i="1"/>
  <c r="Y60" i="1"/>
  <c r="X60" i="1"/>
  <c r="W60" i="1"/>
  <c r="V60" i="1"/>
  <c r="U60" i="1"/>
  <c r="T60" i="1"/>
  <c r="S60" i="1"/>
  <c r="R60" i="1"/>
  <c r="Q60" i="1"/>
  <c r="P60" i="1"/>
  <c r="O60" i="1"/>
  <c r="N60" i="1"/>
  <c r="M60" i="1"/>
  <c r="K60" i="1"/>
  <c r="J60" i="1"/>
  <c r="I60" i="1"/>
  <c r="H60" i="1"/>
  <c r="G60" i="1"/>
  <c r="F60" i="1"/>
  <c r="E60" i="1"/>
  <c r="D60" i="1"/>
  <c r="C60" i="1"/>
  <c r="B60" i="1"/>
  <c r="A60" i="1"/>
  <c r="AK59" i="1"/>
  <c r="AC59" i="1"/>
  <c r="AB59" i="1"/>
  <c r="AA59" i="1"/>
  <c r="Z59" i="1"/>
  <c r="Y59" i="1"/>
  <c r="X59" i="1"/>
  <c r="W59" i="1"/>
  <c r="V59" i="1"/>
  <c r="U59" i="1"/>
  <c r="T59" i="1"/>
  <c r="S59" i="1"/>
  <c r="R59" i="1"/>
  <c r="Q59" i="1"/>
  <c r="P59" i="1"/>
  <c r="O59" i="1"/>
  <c r="N59" i="1"/>
  <c r="M59" i="1"/>
  <c r="J59" i="1"/>
  <c r="I59" i="1"/>
  <c r="H59" i="1"/>
  <c r="G59" i="1"/>
  <c r="F59" i="1"/>
  <c r="E59" i="1"/>
  <c r="D59" i="1"/>
  <c r="C59" i="1"/>
  <c r="B59" i="1"/>
  <c r="A59" i="1"/>
  <c r="AK58" i="1"/>
  <c r="AC58" i="1"/>
  <c r="AB58" i="1"/>
  <c r="AA58" i="1"/>
  <c r="Z58" i="1"/>
  <c r="Y58" i="1"/>
  <c r="X58" i="1"/>
  <c r="W58" i="1"/>
  <c r="V58" i="1"/>
  <c r="U58" i="1"/>
  <c r="T58" i="1"/>
  <c r="S58" i="1"/>
  <c r="R58" i="1"/>
  <c r="Q58" i="1"/>
  <c r="P58" i="1"/>
  <c r="N58" i="1"/>
  <c r="M58" i="1"/>
  <c r="K58" i="1"/>
  <c r="J58" i="1"/>
  <c r="I58" i="1"/>
  <c r="H58" i="1"/>
  <c r="G58" i="1"/>
  <c r="F58" i="1"/>
  <c r="E58" i="1"/>
  <c r="D58" i="1"/>
  <c r="C58" i="1"/>
  <c r="B58" i="1"/>
  <c r="A58" i="1"/>
  <c r="AK57" i="1"/>
  <c r="AC57" i="1"/>
  <c r="AB57" i="1"/>
  <c r="AA57" i="1"/>
  <c r="Z57" i="1"/>
  <c r="Y57" i="1"/>
  <c r="X57" i="1"/>
  <c r="W57" i="1"/>
  <c r="V57" i="1"/>
  <c r="U57" i="1"/>
  <c r="T57" i="1"/>
  <c r="S57" i="1"/>
  <c r="R57" i="1"/>
  <c r="Q57" i="1"/>
  <c r="P57" i="1"/>
  <c r="O57" i="1"/>
  <c r="N57" i="1"/>
  <c r="M57" i="1"/>
  <c r="K57" i="1"/>
  <c r="J57" i="1"/>
  <c r="I57" i="1"/>
  <c r="H57" i="1"/>
  <c r="G57" i="1"/>
  <c r="F57" i="1"/>
  <c r="E57" i="1"/>
  <c r="D57" i="1"/>
  <c r="C57" i="1"/>
  <c r="B57" i="1"/>
  <c r="A57" i="1"/>
  <c r="AK56" i="1"/>
  <c r="AC56" i="1"/>
  <c r="AB56" i="1"/>
  <c r="AA56" i="1"/>
  <c r="Z56" i="1"/>
  <c r="Y56" i="1"/>
  <c r="X56" i="1"/>
  <c r="W56" i="1"/>
  <c r="V56" i="1"/>
  <c r="U56" i="1"/>
  <c r="T56" i="1"/>
  <c r="S56" i="1"/>
  <c r="R56" i="1"/>
  <c r="Q56" i="1"/>
  <c r="P56" i="1"/>
  <c r="O56" i="1"/>
  <c r="N56" i="1"/>
  <c r="M56" i="1"/>
  <c r="K56" i="1"/>
  <c r="J56" i="1"/>
  <c r="I56" i="1"/>
  <c r="H56" i="1"/>
  <c r="G56" i="1"/>
  <c r="F56" i="1"/>
  <c r="E56" i="1"/>
  <c r="D56" i="1"/>
  <c r="C56" i="1"/>
  <c r="B56" i="1"/>
  <c r="A56" i="1"/>
  <c r="AK55" i="1"/>
  <c r="AC55" i="1"/>
  <c r="AB55" i="1"/>
  <c r="AA55" i="1"/>
  <c r="Z55" i="1"/>
  <c r="Y55" i="1"/>
  <c r="X55" i="1"/>
  <c r="W55" i="1"/>
  <c r="V55" i="1"/>
  <c r="U55" i="1"/>
  <c r="T55" i="1"/>
  <c r="S55" i="1"/>
  <c r="R55" i="1"/>
  <c r="Q55" i="1"/>
  <c r="P55" i="1"/>
  <c r="N55" i="1"/>
  <c r="M55" i="1"/>
  <c r="K55" i="1"/>
  <c r="J55" i="1"/>
  <c r="I55" i="1"/>
  <c r="H55" i="1"/>
  <c r="G55" i="1"/>
  <c r="F55" i="1"/>
  <c r="E55" i="1"/>
  <c r="D55" i="1"/>
  <c r="C55" i="1"/>
  <c r="B55" i="1"/>
  <c r="A55" i="1"/>
  <c r="AK54" i="1"/>
  <c r="AC54" i="1"/>
  <c r="AB54" i="1"/>
  <c r="AA54" i="1"/>
  <c r="Z54" i="1"/>
  <c r="Y54" i="1"/>
  <c r="X54" i="1"/>
  <c r="W54" i="1"/>
  <c r="V54" i="1"/>
  <c r="U54" i="1"/>
  <c r="T54" i="1"/>
  <c r="S54" i="1"/>
  <c r="R54" i="1"/>
  <c r="Q54" i="1"/>
  <c r="P54" i="1"/>
  <c r="O54" i="1"/>
  <c r="N54" i="1"/>
  <c r="M54" i="1"/>
  <c r="K54" i="1"/>
  <c r="J54" i="1"/>
  <c r="I54" i="1"/>
  <c r="H54" i="1"/>
  <c r="G54" i="1"/>
  <c r="F54" i="1"/>
  <c r="E54" i="1"/>
  <c r="D54" i="1"/>
  <c r="C54" i="1"/>
  <c r="B54" i="1"/>
  <c r="A54" i="1"/>
  <c r="AK53" i="1"/>
  <c r="AC53" i="1"/>
  <c r="AB53" i="1"/>
  <c r="AA53" i="1"/>
  <c r="Z53" i="1"/>
  <c r="Y53" i="1"/>
  <c r="X53" i="1"/>
  <c r="W53" i="1"/>
  <c r="V53" i="1"/>
  <c r="U53" i="1"/>
  <c r="T53" i="1"/>
  <c r="S53" i="1"/>
  <c r="R53" i="1"/>
  <c r="Q53" i="1"/>
  <c r="P53" i="1"/>
  <c r="O53" i="1"/>
  <c r="N53" i="1"/>
  <c r="M53" i="1"/>
  <c r="K53" i="1"/>
  <c r="J53" i="1"/>
  <c r="I53" i="1"/>
  <c r="H53" i="1"/>
  <c r="G53" i="1"/>
  <c r="F53" i="1"/>
  <c r="E53" i="1"/>
  <c r="D53" i="1"/>
  <c r="C53" i="1"/>
  <c r="B53" i="1"/>
  <c r="A53" i="1"/>
  <c r="AK52" i="1"/>
  <c r="AC52" i="1"/>
  <c r="AB52" i="1"/>
  <c r="AA52" i="1"/>
  <c r="Z52" i="1"/>
  <c r="Y52" i="1"/>
  <c r="X52" i="1"/>
  <c r="W52" i="1"/>
  <c r="V52" i="1"/>
  <c r="U52" i="1"/>
  <c r="T52" i="1"/>
  <c r="S52" i="1"/>
  <c r="R52" i="1"/>
  <c r="Q52" i="1"/>
  <c r="P52" i="1"/>
  <c r="N52" i="1"/>
  <c r="M52" i="1"/>
  <c r="L52" i="1"/>
  <c r="K52" i="1"/>
  <c r="J52" i="1"/>
  <c r="I52" i="1"/>
  <c r="H52" i="1"/>
  <c r="G52" i="1"/>
  <c r="F52" i="1"/>
  <c r="E52" i="1"/>
  <c r="D52" i="1"/>
  <c r="C52" i="1"/>
  <c r="B52" i="1"/>
  <c r="A52" i="1"/>
  <c r="AK51" i="1"/>
  <c r="AC51" i="1"/>
  <c r="AB51" i="1"/>
  <c r="AA51" i="1"/>
  <c r="Z51" i="1"/>
  <c r="Y51" i="1"/>
  <c r="X51" i="1"/>
  <c r="W51" i="1"/>
  <c r="V51" i="1"/>
  <c r="U51" i="1"/>
  <c r="T51" i="1"/>
  <c r="S51" i="1"/>
  <c r="R51" i="1"/>
  <c r="Q51" i="1"/>
  <c r="P51" i="1"/>
  <c r="O51" i="1"/>
  <c r="N51" i="1"/>
  <c r="M51" i="1"/>
  <c r="K51" i="1"/>
  <c r="J51" i="1"/>
  <c r="I51" i="1"/>
  <c r="H51" i="1"/>
  <c r="G51" i="1"/>
  <c r="F51" i="1"/>
  <c r="E51" i="1"/>
  <c r="D51" i="1"/>
  <c r="C51" i="1"/>
  <c r="B51" i="1"/>
  <c r="A51" i="1"/>
  <c r="AK50" i="1"/>
  <c r="AC50" i="1"/>
  <c r="AB50" i="1"/>
  <c r="AA50" i="1"/>
  <c r="Z50" i="1"/>
  <c r="Y50" i="1"/>
  <c r="X50" i="1"/>
  <c r="W50" i="1"/>
  <c r="V50" i="1"/>
  <c r="U50" i="1"/>
  <c r="T50" i="1"/>
  <c r="S50" i="1"/>
  <c r="R50" i="1"/>
  <c r="Q50" i="1"/>
  <c r="P50" i="1"/>
  <c r="O50" i="1"/>
  <c r="N50" i="1"/>
  <c r="M50" i="1"/>
  <c r="K50" i="1"/>
  <c r="J50" i="1"/>
  <c r="I50" i="1"/>
  <c r="H50" i="1"/>
  <c r="G50" i="1"/>
  <c r="F50" i="1"/>
  <c r="E50" i="1"/>
  <c r="D50" i="1"/>
  <c r="C50" i="1"/>
  <c r="B50" i="1"/>
  <c r="A50" i="1"/>
  <c r="AK49" i="1"/>
  <c r="AC49" i="1"/>
  <c r="AB49" i="1"/>
  <c r="AA49" i="1"/>
  <c r="Z49" i="1"/>
  <c r="Y49" i="1"/>
  <c r="X49" i="1"/>
  <c r="W49" i="1"/>
  <c r="V49" i="1"/>
  <c r="U49" i="1"/>
  <c r="T49" i="1"/>
  <c r="S49" i="1"/>
  <c r="R49" i="1"/>
  <c r="Q49" i="1"/>
  <c r="P49" i="1"/>
  <c r="O49" i="1"/>
  <c r="N49" i="1"/>
  <c r="M49" i="1"/>
  <c r="K49" i="1"/>
  <c r="I49" i="1"/>
  <c r="H49" i="1"/>
  <c r="G49" i="1"/>
  <c r="F49" i="1"/>
  <c r="E49" i="1"/>
  <c r="D49" i="1"/>
  <c r="C49" i="1"/>
  <c r="B49" i="1"/>
  <c r="A49" i="1"/>
  <c r="AK48" i="1"/>
  <c r="AC48" i="1"/>
  <c r="AB48" i="1"/>
  <c r="AA48" i="1"/>
  <c r="Z48" i="1"/>
  <c r="Y48" i="1"/>
  <c r="X48" i="1"/>
  <c r="W48" i="1"/>
  <c r="V48" i="1"/>
  <c r="U48" i="1"/>
  <c r="T48" i="1"/>
  <c r="S48" i="1"/>
  <c r="R48" i="1"/>
  <c r="Q48" i="1"/>
  <c r="P48" i="1"/>
  <c r="O48" i="1"/>
  <c r="N48" i="1"/>
  <c r="M48" i="1"/>
  <c r="K48" i="1"/>
  <c r="J48" i="1"/>
  <c r="I48" i="1"/>
  <c r="H48" i="1"/>
  <c r="G48" i="1"/>
  <c r="F48" i="1"/>
  <c r="E48" i="1"/>
  <c r="D48" i="1"/>
  <c r="C48" i="1"/>
  <c r="B48" i="1"/>
  <c r="A48" i="1"/>
  <c r="AK47" i="1"/>
  <c r="AC47" i="1"/>
  <c r="AB47" i="1"/>
  <c r="AA47" i="1"/>
  <c r="Z47" i="1"/>
  <c r="Y47" i="1"/>
  <c r="X47" i="1"/>
  <c r="W47" i="1"/>
  <c r="V47" i="1"/>
  <c r="U47" i="1"/>
  <c r="T47" i="1"/>
  <c r="S47" i="1"/>
  <c r="R47" i="1"/>
  <c r="Q47" i="1"/>
  <c r="P47" i="1"/>
  <c r="O47" i="1"/>
  <c r="N47" i="1"/>
  <c r="M47" i="1"/>
  <c r="K47" i="1"/>
  <c r="J47" i="1"/>
  <c r="I47" i="1"/>
  <c r="H47" i="1"/>
  <c r="G47" i="1"/>
  <c r="F47" i="1"/>
  <c r="E47" i="1"/>
  <c r="D47" i="1"/>
  <c r="C47" i="1"/>
  <c r="B47" i="1"/>
  <c r="A47" i="1"/>
  <c r="AK46" i="1"/>
  <c r="AC46" i="1"/>
  <c r="AB46" i="1"/>
  <c r="AA46" i="1"/>
  <c r="Z46" i="1"/>
  <c r="Y46" i="1"/>
  <c r="X46" i="1"/>
  <c r="W46" i="1"/>
  <c r="V46" i="1"/>
  <c r="U46" i="1"/>
  <c r="T46" i="1"/>
  <c r="S46" i="1"/>
  <c r="R46" i="1"/>
  <c r="Q46" i="1"/>
  <c r="P46" i="1"/>
  <c r="O46" i="1"/>
  <c r="N46" i="1"/>
  <c r="M46" i="1"/>
  <c r="K46" i="1"/>
  <c r="J46" i="1"/>
  <c r="I46" i="1"/>
  <c r="H46" i="1"/>
  <c r="G46" i="1"/>
  <c r="F46" i="1"/>
  <c r="E46" i="1"/>
  <c r="D46" i="1"/>
  <c r="C46" i="1"/>
  <c r="B46" i="1"/>
  <c r="A46" i="1"/>
  <c r="AK45" i="1"/>
  <c r="AC45" i="1"/>
  <c r="AB45" i="1"/>
  <c r="AA45" i="1"/>
  <c r="Z45" i="1"/>
  <c r="Y45" i="1"/>
  <c r="X45" i="1"/>
  <c r="W45" i="1"/>
  <c r="V45" i="1"/>
  <c r="U45" i="1"/>
  <c r="T45" i="1"/>
  <c r="S45" i="1"/>
  <c r="R45" i="1"/>
  <c r="Q45" i="1"/>
  <c r="P45" i="1"/>
  <c r="O45" i="1"/>
  <c r="N45" i="1"/>
  <c r="M45" i="1"/>
  <c r="K45" i="1"/>
  <c r="J45" i="1"/>
  <c r="I45" i="1"/>
  <c r="H45" i="1"/>
  <c r="G45" i="1"/>
  <c r="F45" i="1"/>
  <c r="D45" i="1"/>
  <c r="C45" i="1"/>
  <c r="B45" i="1"/>
  <c r="A45" i="1"/>
  <c r="AK44" i="1"/>
  <c r="AC44" i="1"/>
  <c r="AB44" i="1"/>
  <c r="AA44" i="1"/>
  <c r="Z44" i="1"/>
  <c r="Y44" i="1"/>
  <c r="X44" i="1"/>
  <c r="W44" i="1"/>
  <c r="V44" i="1"/>
  <c r="U44" i="1"/>
  <c r="T44" i="1"/>
  <c r="S44" i="1"/>
  <c r="R44" i="1"/>
  <c r="Q44" i="1"/>
  <c r="P44" i="1"/>
  <c r="O44" i="1"/>
  <c r="N44" i="1"/>
  <c r="M44" i="1"/>
  <c r="K44" i="1"/>
  <c r="J44" i="1"/>
  <c r="I44" i="1"/>
  <c r="H44" i="1"/>
  <c r="G44" i="1"/>
  <c r="E44" i="1"/>
  <c r="D44" i="1"/>
  <c r="C44" i="1"/>
  <c r="B44" i="1"/>
  <c r="A44" i="1"/>
  <c r="AK43" i="1"/>
  <c r="AC43" i="1"/>
  <c r="AB43" i="1"/>
  <c r="AA43" i="1"/>
  <c r="Z43" i="1"/>
  <c r="Y43" i="1"/>
  <c r="X43" i="1"/>
  <c r="W43" i="1"/>
  <c r="V43" i="1"/>
  <c r="U43" i="1"/>
  <c r="T43" i="1"/>
  <c r="S43" i="1"/>
  <c r="R43" i="1"/>
  <c r="Q43" i="1"/>
  <c r="P43" i="1"/>
  <c r="O43" i="1"/>
  <c r="N43" i="1"/>
  <c r="M43" i="1"/>
  <c r="K43" i="1"/>
  <c r="J43" i="1"/>
  <c r="I43" i="1"/>
  <c r="H43" i="1"/>
  <c r="G43" i="1"/>
  <c r="E43" i="1"/>
  <c r="D43" i="1"/>
  <c r="C43" i="1"/>
  <c r="B43" i="1"/>
  <c r="A43" i="1"/>
  <c r="AK42" i="1"/>
  <c r="AE42" i="1"/>
  <c r="AD42" i="1"/>
  <c r="AC42" i="1"/>
  <c r="AB42" i="1"/>
  <c r="AA42" i="1"/>
  <c r="Z42" i="1"/>
  <c r="Y42" i="1"/>
  <c r="X42" i="1"/>
  <c r="W42" i="1"/>
  <c r="V42" i="1"/>
  <c r="U42" i="1"/>
  <c r="T42" i="1"/>
  <c r="S42" i="1"/>
  <c r="R42" i="1"/>
  <c r="Q42" i="1"/>
  <c r="P42" i="1"/>
  <c r="O42" i="1"/>
  <c r="N42" i="1"/>
  <c r="M42" i="1"/>
  <c r="K42" i="1"/>
  <c r="J42" i="1"/>
  <c r="I42" i="1"/>
  <c r="H42" i="1"/>
  <c r="G42" i="1"/>
  <c r="E42" i="1"/>
  <c r="D42" i="1"/>
  <c r="C42" i="1"/>
  <c r="B42" i="1"/>
  <c r="A42" i="1"/>
  <c r="AK41" i="1"/>
  <c r="AC41" i="1"/>
  <c r="AB41" i="1"/>
  <c r="AA41" i="1"/>
  <c r="Z41" i="1"/>
  <c r="Y41" i="1"/>
  <c r="X41" i="1"/>
  <c r="W41" i="1"/>
  <c r="V41" i="1"/>
  <c r="U41" i="1"/>
  <c r="T41" i="1"/>
  <c r="S41" i="1"/>
  <c r="R41" i="1"/>
  <c r="Q41" i="1"/>
  <c r="P41" i="1"/>
  <c r="N41" i="1"/>
  <c r="M41" i="1"/>
  <c r="K41" i="1"/>
  <c r="J41" i="1"/>
  <c r="I41" i="1"/>
  <c r="H41" i="1"/>
  <c r="G41" i="1"/>
  <c r="E41" i="1"/>
  <c r="D41" i="1"/>
  <c r="C41" i="1"/>
  <c r="B41" i="1"/>
  <c r="A41" i="1"/>
  <c r="AE40" i="1"/>
  <c r="AD40" i="1"/>
  <c r="AC40" i="1"/>
  <c r="AB40" i="1"/>
  <c r="AA40" i="1"/>
  <c r="Z40" i="1"/>
  <c r="Y40" i="1"/>
  <c r="X40" i="1"/>
  <c r="W40" i="1"/>
  <c r="V40" i="1"/>
  <c r="U40" i="1"/>
  <c r="T40" i="1"/>
  <c r="S40" i="1"/>
  <c r="R40" i="1"/>
  <c r="Q40" i="1"/>
  <c r="P40" i="1"/>
  <c r="O40" i="1"/>
  <c r="N40" i="1"/>
  <c r="M40" i="1"/>
  <c r="K40" i="1"/>
  <c r="J40" i="1"/>
  <c r="I40" i="1"/>
  <c r="H40" i="1"/>
  <c r="G40" i="1"/>
  <c r="E40" i="1"/>
  <c r="D40" i="1"/>
  <c r="C40" i="1"/>
  <c r="B40" i="1"/>
  <c r="A40" i="1"/>
  <c r="AK39" i="1"/>
  <c r="AC39" i="1"/>
  <c r="AB39" i="1"/>
  <c r="AA39" i="1"/>
  <c r="Z39" i="1"/>
  <c r="Y39" i="1"/>
  <c r="X39" i="1"/>
  <c r="W39" i="1"/>
  <c r="V39" i="1"/>
  <c r="U39" i="1"/>
  <c r="T39" i="1"/>
  <c r="S39" i="1"/>
  <c r="R39" i="1"/>
  <c r="Q39" i="1"/>
  <c r="P39" i="1"/>
  <c r="N39" i="1"/>
  <c r="M39" i="1"/>
  <c r="K39" i="1"/>
  <c r="J39" i="1"/>
  <c r="I39" i="1"/>
  <c r="H39" i="1"/>
  <c r="G39" i="1"/>
  <c r="E39" i="1"/>
  <c r="D39" i="1"/>
  <c r="C39" i="1"/>
  <c r="B39" i="1"/>
  <c r="A39" i="1"/>
  <c r="AK38" i="1"/>
  <c r="AC38" i="1"/>
  <c r="AB38" i="1"/>
  <c r="AA38" i="1"/>
  <c r="Z38" i="1"/>
  <c r="Y38" i="1"/>
  <c r="X38" i="1"/>
  <c r="W38" i="1"/>
  <c r="V38" i="1"/>
  <c r="U38" i="1"/>
  <c r="T38" i="1"/>
  <c r="S38" i="1"/>
  <c r="R38" i="1"/>
  <c r="Q38" i="1"/>
  <c r="P38" i="1"/>
  <c r="O38" i="1"/>
  <c r="N38" i="1"/>
  <c r="M38" i="1"/>
  <c r="K38" i="1"/>
  <c r="J38" i="1"/>
  <c r="I38" i="1"/>
  <c r="H38" i="1"/>
  <c r="G38" i="1"/>
  <c r="E38" i="1"/>
  <c r="D38" i="1"/>
  <c r="C38" i="1"/>
  <c r="B38" i="1"/>
  <c r="A38" i="1"/>
  <c r="AK37" i="1"/>
  <c r="AC37" i="1"/>
  <c r="AB37" i="1"/>
  <c r="AA37" i="1"/>
  <c r="Z37" i="1"/>
  <c r="Y37" i="1"/>
  <c r="X37" i="1"/>
  <c r="W37" i="1"/>
  <c r="V37" i="1"/>
  <c r="U37" i="1"/>
  <c r="T37" i="1"/>
  <c r="S37" i="1"/>
  <c r="R37" i="1"/>
  <c r="Q37" i="1"/>
  <c r="P37" i="1"/>
  <c r="O37" i="1"/>
  <c r="N37" i="1"/>
  <c r="M37" i="1"/>
  <c r="K37" i="1"/>
  <c r="J37" i="1"/>
  <c r="I37" i="1"/>
  <c r="H37" i="1"/>
  <c r="G37" i="1"/>
  <c r="E37" i="1"/>
  <c r="D37" i="1"/>
  <c r="C37" i="1"/>
  <c r="B37" i="1"/>
  <c r="A37" i="1"/>
  <c r="AK36" i="1"/>
  <c r="AC36" i="1"/>
  <c r="AB36" i="1"/>
  <c r="AA36" i="1"/>
  <c r="Z36" i="1"/>
  <c r="Y36" i="1"/>
  <c r="X36" i="1"/>
  <c r="W36" i="1"/>
  <c r="V36" i="1"/>
  <c r="U36" i="1"/>
  <c r="T36" i="1"/>
  <c r="S36" i="1"/>
  <c r="R36" i="1"/>
  <c r="Q36" i="1"/>
  <c r="P36" i="1"/>
  <c r="O36" i="1"/>
  <c r="N36" i="1"/>
  <c r="M36" i="1"/>
  <c r="K36" i="1"/>
  <c r="J36" i="1"/>
  <c r="I36" i="1"/>
  <c r="H36" i="1"/>
  <c r="G36" i="1"/>
  <c r="E36" i="1"/>
  <c r="D36" i="1"/>
  <c r="C36" i="1"/>
  <c r="B36" i="1"/>
  <c r="A36" i="1"/>
  <c r="AK35" i="1"/>
  <c r="AE35" i="1"/>
  <c r="AD35" i="1"/>
  <c r="AC35" i="1"/>
  <c r="AB35" i="1"/>
  <c r="AA35" i="1"/>
  <c r="Z35" i="1"/>
  <c r="Y35" i="1"/>
  <c r="X35" i="1"/>
  <c r="W35" i="1"/>
  <c r="V35" i="1"/>
  <c r="U35" i="1"/>
  <c r="T35" i="1"/>
  <c r="S35" i="1"/>
  <c r="R35" i="1"/>
  <c r="Q35" i="1"/>
  <c r="P35" i="1"/>
  <c r="O35" i="1"/>
  <c r="N35" i="1"/>
  <c r="M35" i="1"/>
  <c r="K35" i="1"/>
  <c r="J35" i="1"/>
  <c r="I35" i="1"/>
  <c r="H35" i="1"/>
  <c r="G35" i="1"/>
  <c r="E35" i="1"/>
  <c r="D35" i="1"/>
  <c r="C35" i="1"/>
  <c r="B35" i="1"/>
  <c r="A35" i="1"/>
  <c r="AK34" i="1"/>
  <c r="AC34" i="1"/>
  <c r="AB34" i="1"/>
  <c r="AA34" i="1"/>
  <c r="Z34" i="1"/>
  <c r="Y34" i="1"/>
  <c r="X34" i="1"/>
  <c r="W34" i="1"/>
  <c r="V34" i="1"/>
  <c r="U34" i="1"/>
  <c r="T34" i="1"/>
  <c r="S34" i="1"/>
  <c r="R34" i="1"/>
  <c r="Q34" i="1"/>
  <c r="P34" i="1"/>
  <c r="O34" i="1"/>
  <c r="N34" i="1"/>
  <c r="M34" i="1"/>
  <c r="K34" i="1"/>
  <c r="J34" i="1"/>
  <c r="I34" i="1"/>
  <c r="H34" i="1"/>
  <c r="G34" i="1"/>
  <c r="E34" i="1"/>
  <c r="D34" i="1"/>
  <c r="C34" i="1"/>
  <c r="B34" i="1"/>
  <c r="A34" i="1"/>
  <c r="AK33" i="1"/>
  <c r="AC33" i="1"/>
  <c r="AB33" i="1"/>
  <c r="AA33" i="1"/>
  <c r="Z33" i="1"/>
  <c r="Y33" i="1"/>
  <c r="X33" i="1"/>
  <c r="W33" i="1"/>
  <c r="V33" i="1"/>
  <c r="U33" i="1"/>
  <c r="T33" i="1"/>
  <c r="S33" i="1"/>
  <c r="R33" i="1"/>
  <c r="Q33" i="1"/>
  <c r="P33" i="1"/>
  <c r="N33" i="1"/>
  <c r="M33" i="1"/>
  <c r="K33" i="1"/>
  <c r="J33" i="1"/>
  <c r="I33" i="1"/>
  <c r="H33" i="1"/>
  <c r="G33" i="1"/>
  <c r="E33" i="1"/>
  <c r="D33" i="1"/>
  <c r="C33" i="1"/>
  <c r="B33" i="1"/>
  <c r="A33" i="1"/>
  <c r="AK32" i="1"/>
  <c r="AC32" i="1"/>
  <c r="AB32" i="1"/>
  <c r="AA32" i="1"/>
  <c r="Z32" i="1"/>
  <c r="Y32" i="1"/>
  <c r="X32" i="1"/>
  <c r="W32" i="1"/>
  <c r="V32" i="1"/>
  <c r="U32" i="1"/>
  <c r="T32" i="1"/>
  <c r="S32" i="1"/>
  <c r="R32" i="1"/>
  <c r="Q32" i="1"/>
  <c r="P32" i="1"/>
  <c r="O32" i="1"/>
  <c r="N32" i="1"/>
  <c r="M32" i="1"/>
  <c r="K32" i="1"/>
  <c r="J32" i="1"/>
  <c r="I32" i="1"/>
  <c r="H32" i="1"/>
  <c r="G32" i="1"/>
  <c r="E32" i="1"/>
  <c r="D32" i="1"/>
  <c r="C32" i="1"/>
  <c r="B32" i="1"/>
  <c r="A32" i="1"/>
  <c r="AK31" i="1"/>
  <c r="AC31" i="1"/>
  <c r="AB31" i="1"/>
  <c r="AA31" i="1"/>
  <c r="Z31" i="1"/>
  <c r="Y31" i="1"/>
  <c r="X31" i="1"/>
  <c r="W31" i="1"/>
  <c r="V31" i="1"/>
  <c r="U31" i="1"/>
  <c r="T31" i="1"/>
  <c r="S31" i="1"/>
  <c r="R31" i="1"/>
  <c r="Q31" i="1"/>
  <c r="P31" i="1"/>
  <c r="O31" i="1"/>
  <c r="N31" i="1"/>
  <c r="M31" i="1"/>
  <c r="K31" i="1"/>
  <c r="J31" i="1"/>
  <c r="I31" i="1"/>
  <c r="H31" i="1"/>
  <c r="G31" i="1"/>
  <c r="E31" i="1"/>
  <c r="D31" i="1"/>
  <c r="C31" i="1"/>
  <c r="B31" i="1"/>
  <c r="A31" i="1"/>
  <c r="AK30" i="1"/>
  <c r="AC30" i="1"/>
  <c r="AB30" i="1"/>
  <c r="AA30" i="1"/>
  <c r="Z30" i="1"/>
  <c r="Y30" i="1"/>
  <c r="X30" i="1"/>
  <c r="W30" i="1"/>
  <c r="V30" i="1"/>
  <c r="U30" i="1"/>
  <c r="T30" i="1"/>
  <c r="S30" i="1"/>
  <c r="R30" i="1"/>
  <c r="Q30" i="1"/>
  <c r="P30" i="1"/>
  <c r="O30" i="1"/>
  <c r="N30" i="1"/>
  <c r="M30" i="1"/>
  <c r="K30" i="1"/>
  <c r="J30" i="1"/>
  <c r="I30" i="1"/>
  <c r="H30" i="1"/>
  <c r="G30" i="1"/>
  <c r="E30" i="1"/>
  <c r="D30" i="1"/>
  <c r="C30" i="1"/>
  <c r="B30" i="1"/>
  <c r="A30" i="1"/>
  <c r="AK29" i="1"/>
  <c r="AC29" i="1"/>
  <c r="AB29" i="1"/>
  <c r="AA29" i="1"/>
  <c r="Z29" i="1"/>
  <c r="Y29" i="1"/>
  <c r="X29" i="1"/>
  <c r="W29" i="1"/>
  <c r="V29" i="1"/>
  <c r="U29" i="1"/>
  <c r="T29" i="1"/>
  <c r="S29" i="1"/>
  <c r="R29" i="1"/>
  <c r="Q29" i="1"/>
  <c r="P29" i="1"/>
  <c r="O29" i="1"/>
  <c r="N29" i="1"/>
  <c r="M29" i="1"/>
  <c r="K29" i="1"/>
  <c r="J29" i="1"/>
  <c r="I29" i="1"/>
  <c r="H29" i="1"/>
  <c r="G29" i="1"/>
  <c r="D29" i="1"/>
  <c r="C29" i="1"/>
  <c r="B29" i="1"/>
  <c r="A29" i="1"/>
  <c r="AK28" i="1"/>
  <c r="AD28" i="1"/>
  <c r="AC28" i="1"/>
  <c r="AB28" i="1"/>
  <c r="AA28" i="1"/>
  <c r="Z28" i="1"/>
  <c r="Y28" i="1"/>
  <c r="X28" i="1"/>
  <c r="W28" i="1"/>
  <c r="V28" i="1"/>
  <c r="U28" i="1"/>
  <c r="T28" i="1"/>
  <c r="S28" i="1"/>
  <c r="R28" i="1"/>
  <c r="Q28" i="1"/>
  <c r="P28" i="1"/>
  <c r="O28" i="1"/>
  <c r="N28" i="1"/>
  <c r="M28" i="1"/>
  <c r="K28" i="1"/>
  <c r="J28" i="1"/>
  <c r="I28" i="1"/>
  <c r="H28" i="1"/>
  <c r="G28" i="1"/>
  <c r="E28" i="1"/>
  <c r="D28" i="1"/>
  <c r="C28" i="1"/>
  <c r="B28" i="1"/>
  <c r="A28" i="1"/>
  <c r="AK27" i="1"/>
  <c r="AE27" i="1"/>
  <c r="AD27" i="1"/>
  <c r="AC27" i="1"/>
  <c r="AB27" i="1"/>
  <c r="AA27" i="1"/>
  <c r="Z27" i="1"/>
  <c r="Y27" i="1"/>
  <c r="X27" i="1"/>
  <c r="W27" i="1"/>
  <c r="V27" i="1"/>
  <c r="U27" i="1"/>
  <c r="T27" i="1"/>
  <c r="S27" i="1"/>
  <c r="R27" i="1"/>
  <c r="Q27" i="1"/>
  <c r="P27" i="1"/>
  <c r="O27" i="1"/>
  <c r="N27" i="1"/>
  <c r="M27" i="1"/>
  <c r="K27" i="1"/>
  <c r="J27" i="1"/>
  <c r="I27" i="1"/>
  <c r="H27" i="1"/>
  <c r="G27" i="1"/>
  <c r="E27" i="1"/>
  <c r="D27" i="1"/>
  <c r="C27" i="1"/>
  <c r="B27" i="1"/>
  <c r="A27" i="1"/>
  <c r="AE26" i="1"/>
  <c r="AD26" i="1"/>
  <c r="P26" i="1"/>
  <c r="O26" i="1"/>
  <c r="N26" i="1"/>
  <c r="M26" i="1"/>
  <c r="K26" i="1"/>
  <c r="J26" i="1"/>
  <c r="I26" i="1"/>
  <c r="H26" i="1"/>
  <c r="G26" i="1"/>
  <c r="E26" i="1"/>
  <c r="D26" i="1"/>
  <c r="C26" i="1"/>
  <c r="B26" i="1"/>
  <c r="A26" i="1"/>
  <c r="AD25" i="1"/>
  <c r="P25" i="1"/>
  <c r="O25" i="1"/>
  <c r="N25" i="1"/>
  <c r="M25" i="1"/>
  <c r="L25" i="1"/>
  <c r="K25" i="1"/>
  <c r="J25" i="1"/>
  <c r="I25" i="1"/>
  <c r="H25" i="1"/>
  <c r="G25" i="1"/>
  <c r="E25" i="1"/>
  <c r="D25" i="1"/>
  <c r="C25" i="1"/>
  <c r="B25" i="1"/>
  <c r="A25" i="1"/>
  <c r="AE24" i="1"/>
  <c r="AD24" i="1"/>
  <c r="P24" i="1"/>
  <c r="O24" i="1"/>
  <c r="N24" i="1"/>
  <c r="M24" i="1"/>
  <c r="K24" i="1"/>
  <c r="J24" i="1"/>
  <c r="I24" i="1"/>
  <c r="H24" i="1"/>
  <c r="G24" i="1"/>
  <c r="E24" i="1"/>
  <c r="D24" i="1"/>
  <c r="C24" i="1"/>
  <c r="B24" i="1"/>
  <c r="A24" i="1"/>
  <c r="AE23" i="1"/>
  <c r="AD23" i="1"/>
  <c r="P23" i="1"/>
  <c r="O23" i="1"/>
  <c r="N23" i="1"/>
  <c r="M23" i="1"/>
  <c r="K23" i="1"/>
  <c r="J23" i="1"/>
  <c r="I23" i="1"/>
  <c r="H23" i="1"/>
  <c r="G23" i="1"/>
  <c r="E23" i="1"/>
  <c r="D23" i="1"/>
  <c r="C23" i="1"/>
  <c r="B23" i="1"/>
  <c r="A23" i="1"/>
  <c r="AE22" i="1"/>
  <c r="AD22" i="1"/>
  <c r="P22" i="1"/>
  <c r="O22" i="1"/>
  <c r="N22" i="1"/>
  <c r="M22" i="1"/>
  <c r="K22" i="1"/>
  <c r="J22" i="1"/>
  <c r="I22" i="1"/>
  <c r="H22" i="1"/>
  <c r="G22" i="1"/>
  <c r="E22" i="1"/>
  <c r="D22" i="1"/>
  <c r="C22" i="1"/>
  <c r="B22" i="1"/>
  <c r="A22" i="1"/>
  <c r="P21" i="1"/>
  <c r="O21" i="1"/>
  <c r="N21" i="1"/>
  <c r="M21" i="1"/>
  <c r="K21" i="1"/>
  <c r="J21" i="1"/>
  <c r="I21" i="1"/>
  <c r="G21" i="1"/>
  <c r="D21" i="1"/>
  <c r="C21" i="1"/>
  <c r="B21" i="1"/>
  <c r="A21" i="1"/>
  <c r="P20" i="1"/>
  <c r="O20" i="1"/>
  <c r="N20" i="1"/>
  <c r="M20" i="1"/>
  <c r="K20" i="1"/>
  <c r="J20" i="1"/>
  <c r="I20" i="1"/>
  <c r="G20" i="1"/>
  <c r="D20" i="1"/>
  <c r="C20" i="1"/>
  <c r="B20" i="1"/>
  <c r="A20" i="1"/>
  <c r="P19" i="1"/>
  <c r="O19" i="1"/>
  <c r="N19" i="1"/>
  <c r="M19" i="1"/>
  <c r="K19" i="1"/>
  <c r="J19" i="1"/>
  <c r="I19" i="1"/>
  <c r="H19" i="1"/>
  <c r="G19" i="1"/>
  <c r="E19" i="1"/>
  <c r="D19" i="1"/>
  <c r="C19" i="1"/>
  <c r="B19" i="1"/>
  <c r="A19" i="1"/>
  <c r="O18" i="1"/>
  <c r="N18" i="1"/>
  <c r="M18" i="1"/>
  <c r="K18" i="1"/>
  <c r="J18" i="1"/>
  <c r="I18" i="1"/>
  <c r="H18" i="1"/>
  <c r="G18" i="1"/>
  <c r="E18" i="1"/>
  <c r="D18" i="1"/>
  <c r="C18" i="1"/>
  <c r="B18" i="1"/>
  <c r="A18" i="1"/>
  <c r="P17" i="1"/>
  <c r="O17" i="1"/>
  <c r="N17" i="1"/>
  <c r="M17" i="1"/>
  <c r="K17" i="1"/>
  <c r="J17" i="1"/>
  <c r="I17" i="1"/>
  <c r="H17" i="1"/>
  <c r="G17" i="1"/>
  <c r="E17" i="1"/>
  <c r="D17" i="1"/>
  <c r="C17" i="1"/>
  <c r="B17" i="1"/>
  <c r="A17" i="1"/>
  <c r="P16" i="1"/>
  <c r="O16" i="1"/>
  <c r="N16" i="1"/>
  <c r="M16" i="1"/>
  <c r="K16" i="1"/>
  <c r="J16" i="1"/>
  <c r="I16" i="1"/>
  <c r="H16" i="1"/>
  <c r="G16" i="1"/>
  <c r="E16" i="1"/>
  <c r="D16" i="1"/>
  <c r="C16" i="1"/>
  <c r="B16" i="1"/>
  <c r="A16" i="1"/>
  <c r="P15" i="1"/>
  <c r="O15" i="1"/>
  <c r="N15" i="1"/>
  <c r="K15" i="1"/>
  <c r="J15" i="1"/>
  <c r="I15" i="1"/>
  <c r="H15" i="1"/>
  <c r="G15" i="1"/>
  <c r="E15" i="1"/>
  <c r="D15" i="1"/>
  <c r="C15" i="1"/>
  <c r="B15" i="1"/>
  <c r="A15" i="1"/>
  <c r="P14" i="1"/>
  <c r="O14" i="1"/>
  <c r="N14" i="1"/>
  <c r="M14" i="1"/>
  <c r="K14" i="1"/>
  <c r="J14" i="1"/>
  <c r="I14" i="1"/>
  <c r="H14" i="1"/>
  <c r="G14" i="1"/>
  <c r="E14" i="1"/>
  <c r="D14" i="1"/>
  <c r="C14" i="1"/>
  <c r="B14" i="1"/>
  <c r="A14" i="1"/>
  <c r="P13" i="1"/>
  <c r="O13" i="1"/>
  <c r="N13" i="1"/>
  <c r="M13" i="1"/>
  <c r="J13" i="1"/>
  <c r="I13" i="1"/>
  <c r="H13" i="1"/>
  <c r="G13" i="1"/>
  <c r="E13" i="1"/>
  <c r="D13" i="1"/>
  <c r="C13" i="1"/>
  <c r="B13" i="1"/>
  <c r="A13" i="1"/>
  <c r="P12" i="1"/>
  <c r="O12" i="1"/>
  <c r="N12" i="1"/>
  <c r="M12" i="1"/>
  <c r="K12" i="1"/>
  <c r="J12" i="1"/>
  <c r="I12" i="1"/>
  <c r="H12" i="1"/>
  <c r="G12" i="1"/>
  <c r="E12" i="1"/>
  <c r="D12" i="1"/>
  <c r="C12" i="1"/>
  <c r="B12" i="1"/>
  <c r="A12" i="1"/>
  <c r="P11" i="1"/>
  <c r="O11" i="1"/>
  <c r="N11" i="1"/>
  <c r="M11" i="1"/>
  <c r="K11" i="1"/>
  <c r="J11" i="1"/>
  <c r="I11" i="1"/>
  <c r="H11" i="1"/>
  <c r="G11" i="1"/>
  <c r="E11" i="1"/>
  <c r="D11" i="1"/>
  <c r="C11" i="1"/>
  <c r="B11" i="1"/>
  <c r="A11" i="1"/>
  <c r="P10" i="1"/>
  <c r="O10" i="1"/>
  <c r="N10" i="1"/>
  <c r="M10" i="1"/>
  <c r="K10" i="1"/>
  <c r="J10" i="1"/>
  <c r="I10" i="1"/>
  <c r="H10" i="1"/>
  <c r="G10" i="1"/>
  <c r="E10" i="1"/>
  <c r="D10" i="1"/>
  <c r="C10" i="1"/>
  <c r="B10" i="1"/>
  <c r="A10" i="1"/>
  <c r="P9" i="1"/>
  <c r="O9" i="1"/>
  <c r="N9" i="1"/>
  <c r="M9" i="1"/>
  <c r="K9" i="1"/>
  <c r="J9" i="1"/>
  <c r="I9" i="1"/>
  <c r="H9" i="1"/>
  <c r="G9" i="1"/>
  <c r="E9" i="1"/>
  <c r="D9" i="1"/>
  <c r="C9" i="1"/>
  <c r="B9" i="1"/>
  <c r="A9" i="1"/>
  <c r="P8" i="1"/>
  <c r="O8" i="1"/>
  <c r="N8" i="1"/>
  <c r="M8" i="1"/>
  <c r="K8" i="1"/>
  <c r="J8" i="1"/>
  <c r="I8" i="1"/>
  <c r="H8" i="1"/>
  <c r="G8" i="1"/>
  <c r="E8" i="1"/>
  <c r="D8" i="1"/>
  <c r="C8" i="1"/>
  <c r="B8" i="1"/>
  <c r="A8" i="1"/>
  <c r="P7" i="1"/>
  <c r="O7" i="1"/>
  <c r="N7" i="1"/>
  <c r="M7" i="1"/>
  <c r="K7" i="1"/>
  <c r="J7" i="1"/>
  <c r="I7" i="1"/>
  <c r="H7" i="1"/>
  <c r="G7" i="1"/>
  <c r="E7" i="1"/>
  <c r="D7" i="1"/>
  <c r="C7" i="1"/>
  <c r="B7" i="1"/>
  <c r="A7" i="1"/>
  <c r="P6" i="1"/>
  <c r="O6" i="1"/>
  <c r="N6" i="1"/>
  <c r="M6" i="1"/>
  <c r="K6" i="1"/>
  <c r="J6" i="1"/>
  <c r="I6" i="1"/>
  <c r="H6" i="1"/>
  <c r="G6" i="1"/>
  <c r="E6" i="1"/>
  <c r="D6" i="1"/>
  <c r="C6" i="1"/>
  <c r="B6" i="1"/>
  <c r="A6" i="1"/>
  <c r="P5" i="1"/>
  <c r="O5" i="1"/>
  <c r="N5" i="1"/>
  <c r="M5" i="1"/>
  <c r="K5" i="1"/>
  <c r="J5" i="1"/>
  <c r="I5" i="1"/>
  <c r="H5" i="1"/>
  <c r="G5" i="1"/>
  <c r="E5" i="1"/>
  <c r="D5" i="1"/>
  <c r="C5" i="1"/>
  <c r="B5" i="1"/>
  <c r="A5" i="1"/>
  <c r="P4" i="1"/>
  <c r="O4" i="1"/>
  <c r="N4" i="1"/>
  <c r="M4" i="1"/>
  <c r="K4" i="1"/>
  <c r="J4" i="1"/>
  <c r="I4" i="1"/>
  <c r="H4" i="1"/>
  <c r="G4" i="1"/>
  <c r="E4" i="1"/>
  <c r="D4" i="1"/>
  <c r="C4" i="1"/>
  <c r="B4" i="1"/>
  <c r="A4" i="1"/>
  <c r="P3" i="1"/>
  <c r="O3" i="1"/>
  <c r="N3" i="1"/>
  <c r="M3" i="1"/>
  <c r="K3" i="1"/>
  <c r="J3" i="1"/>
  <c r="I3" i="1"/>
  <c r="H3" i="1"/>
  <c r="G3" i="1"/>
  <c r="E3" i="1"/>
  <c r="D3" i="1"/>
  <c r="C3" i="1"/>
  <c r="B3" i="1"/>
  <c r="A3" i="1"/>
  <c r="AF2" i="1" a="1"/>
  <c r="AF1186" i="1" s="1"/>
  <c r="P2" i="1"/>
  <c r="O2" i="1"/>
  <c r="N2" i="1"/>
  <c r="M2" i="1"/>
  <c r="K2" i="1"/>
  <c r="J2" i="1"/>
  <c r="I2" i="1"/>
  <c r="H2" i="1"/>
  <c r="G2" i="1"/>
  <c r="E2" i="1"/>
  <c r="D2" i="1"/>
  <c r="C2" i="1"/>
  <c r="B2" i="1"/>
  <c r="A2" i="1"/>
  <c r="AE1" i="1"/>
  <c r="AD1" i="1"/>
  <c r="AC1" i="1"/>
  <c r="AB1" i="1"/>
  <c r="AA1" i="1"/>
  <c r="Z1" i="1"/>
  <c r="Y1" i="1"/>
  <c r="X1" i="1"/>
  <c r="W1" i="1"/>
  <c r="V1" i="1"/>
  <c r="U1" i="1"/>
  <c r="T1" i="1"/>
  <c r="S1" i="1"/>
  <c r="R1" i="1"/>
  <c r="Q1" i="1"/>
  <c r="P1" i="1"/>
  <c r="O1" i="1"/>
  <c r="N1" i="1"/>
  <c r="M1" i="1"/>
  <c r="L1" i="1"/>
  <c r="K1" i="1"/>
  <c r="J1" i="1"/>
  <c r="I1" i="1"/>
  <c r="H1" i="1"/>
  <c r="G1" i="1"/>
  <c r="F1" i="1"/>
  <c r="E1" i="1"/>
  <c r="D1" i="1"/>
  <c r="C1" i="1"/>
  <c r="B1" i="1"/>
  <c r="A1" i="1"/>
  <c r="AF2" i="1" l="1"/>
  <c r="AF213" i="1"/>
  <c r="AF448" i="1"/>
  <c r="AF638" i="1"/>
  <c r="AF904" i="1"/>
  <c r="AF1129" i="1"/>
  <c r="AF111" i="1"/>
  <c r="AF362" i="1"/>
  <c r="AF554" i="1"/>
  <c r="AF748" i="1"/>
  <c r="AF917" i="1"/>
  <c r="AF1067" i="1"/>
  <c r="AF9" i="1"/>
  <c r="AF30" i="1"/>
  <c r="AF56" i="1"/>
  <c r="AF82" i="1"/>
  <c r="AF112" i="1"/>
  <c r="AF149" i="1"/>
  <c r="AF185" i="1"/>
  <c r="AF224" i="1"/>
  <c r="AF268" i="1"/>
  <c r="AF316" i="1"/>
  <c r="AF364" i="1"/>
  <c r="AF411" i="1"/>
  <c r="AF460" i="1"/>
  <c r="AF507" i="1"/>
  <c r="AF555" i="1"/>
  <c r="AF602" i="1"/>
  <c r="AF651" i="1"/>
  <c r="AF699" i="1"/>
  <c r="AF752" i="1"/>
  <c r="AF808" i="1"/>
  <c r="AF862" i="1"/>
  <c r="AF918" i="1"/>
  <c r="AF993" i="1"/>
  <c r="AF1068" i="1"/>
  <c r="AF1149" i="1"/>
  <c r="AF48" i="1"/>
  <c r="AF352" i="1"/>
  <c r="AF793" i="1"/>
  <c r="AF29" i="1"/>
  <c r="AF267" i="1"/>
  <c r="AF601" i="1"/>
  <c r="AF992" i="1"/>
  <c r="AF10" i="1"/>
  <c r="AF37" i="1"/>
  <c r="AF57" i="1"/>
  <c r="AF84" i="1"/>
  <c r="AF120" i="1"/>
  <c r="AF157" i="1"/>
  <c r="AF193" i="1"/>
  <c r="AF233" i="1"/>
  <c r="AF278" i="1"/>
  <c r="AF326" i="1"/>
  <c r="AF374" i="1"/>
  <c r="AF422" i="1"/>
  <c r="AF470" i="1"/>
  <c r="AF517" i="1"/>
  <c r="AF565" i="1"/>
  <c r="AF612" i="1"/>
  <c r="AF661" i="1"/>
  <c r="AF709" i="1"/>
  <c r="AF763" i="1"/>
  <c r="AF819" i="1"/>
  <c r="AF874" i="1"/>
  <c r="AF931" i="1"/>
  <c r="AF1009" i="1"/>
  <c r="AF1090" i="1"/>
  <c r="AF1165" i="1"/>
  <c r="AF140" i="1"/>
  <c r="AF544" i="1"/>
  <c r="AF315" i="1"/>
  <c r="AF806" i="1"/>
  <c r="AF12" i="1"/>
  <c r="AF158" i="1"/>
  <c r="AF281" i="1"/>
  <c r="AF377" i="1"/>
  <c r="AF424" i="1"/>
  <c r="AF472" i="1"/>
  <c r="AF518" i="1"/>
  <c r="AF566" i="1"/>
  <c r="AF616" i="1"/>
  <c r="AF662" i="1"/>
  <c r="AF710" i="1"/>
  <c r="AF764" i="1"/>
  <c r="AF820" i="1"/>
  <c r="AF875" i="1"/>
  <c r="AF934" i="1"/>
  <c r="AF1010" i="1"/>
  <c r="AF1091" i="1"/>
  <c r="AF1166" i="1"/>
  <c r="AF28" i="1"/>
  <c r="AF176" i="1"/>
  <c r="AF400" i="1"/>
  <c r="AF685" i="1"/>
  <c r="AF76" i="1"/>
  <c r="AF459" i="1"/>
  <c r="AF64" i="1"/>
  <c r="AF194" i="1"/>
  <c r="AF18" i="1"/>
  <c r="AF166" i="1"/>
  <c r="AF338" i="1"/>
  <c r="AF482" i="1"/>
  <c r="AF578" i="1"/>
  <c r="AF673" i="1"/>
  <c r="AF721" i="1"/>
  <c r="AF776" i="1"/>
  <c r="AF889" i="1"/>
  <c r="AF948" i="1"/>
  <c r="AF1029" i="1"/>
  <c r="AF1105" i="1"/>
  <c r="AF1199" i="1"/>
  <c r="AF1191" i="1"/>
  <c r="AF1183" i="1"/>
  <c r="AF1175" i="1"/>
  <c r="AF1167" i="1"/>
  <c r="AF1159" i="1"/>
  <c r="AF1151" i="1"/>
  <c r="AF1143" i="1"/>
  <c r="AF1135" i="1"/>
  <c r="AF1127" i="1"/>
  <c r="AF1119" i="1"/>
  <c r="AF1111" i="1"/>
  <c r="AF1103" i="1"/>
  <c r="AF1095" i="1"/>
  <c r="AF1087" i="1"/>
  <c r="AF1079" i="1"/>
  <c r="AF1071" i="1"/>
  <c r="AF1063" i="1"/>
  <c r="AF1055" i="1"/>
  <c r="AF1047" i="1"/>
  <c r="AF1039" i="1"/>
  <c r="AF1031" i="1"/>
  <c r="AF1023" i="1"/>
  <c r="AF1015" i="1"/>
  <c r="AF1007" i="1"/>
  <c r="AF999" i="1"/>
  <c r="AF991" i="1"/>
  <c r="AF983" i="1"/>
  <c r="AF975" i="1"/>
  <c r="AF967" i="1"/>
  <c r="AF959" i="1"/>
  <c r="AF951" i="1"/>
  <c r="AF943" i="1"/>
  <c r="AF935" i="1"/>
  <c r="AF927" i="1"/>
  <c r="AF919" i="1"/>
  <c r="AF911" i="1"/>
  <c r="AF903" i="1"/>
  <c r="AF895" i="1"/>
  <c r="AF887" i="1"/>
  <c r="AF879" i="1"/>
  <c r="AF871" i="1"/>
  <c r="AF863" i="1"/>
  <c r="AF855" i="1"/>
  <c r="AF847" i="1"/>
  <c r="AF839" i="1"/>
  <c r="AF831" i="1"/>
  <c r="AF823" i="1"/>
  <c r="AF815" i="1"/>
  <c r="AF807" i="1"/>
  <c r="AF799" i="1"/>
  <c r="AF791" i="1"/>
  <c r="AF783" i="1"/>
  <c r="AF775" i="1"/>
  <c r="AF767" i="1"/>
  <c r="AF759" i="1"/>
  <c r="AF751" i="1"/>
  <c r="AF743" i="1"/>
  <c r="AF735" i="1"/>
  <c r="AF727" i="1"/>
  <c r="AF719" i="1"/>
  <c r="AF711" i="1"/>
  <c r="AF703" i="1"/>
  <c r="AF695" i="1"/>
  <c r="AF687" i="1"/>
  <c r="AF679" i="1"/>
  <c r="AF671" i="1"/>
  <c r="AF663" i="1"/>
  <c r="AF655" i="1"/>
  <c r="AF647" i="1"/>
  <c r="AF639" i="1"/>
  <c r="AF631" i="1"/>
  <c r="AF623" i="1"/>
  <c r="AF615" i="1"/>
  <c r="AF607" i="1"/>
  <c r="AF599" i="1"/>
  <c r="AF591" i="1"/>
  <c r="AF583" i="1"/>
  <c r="AF575" i="1"/>
  <c r="AF567" i="1"/>
  <c r="AF559" i="1"/>
  <c r="AF551" i="1"/>
  <c r="AF543" i="1"/>
  <c r="AF535" i="1"/>
  <c r="AF527" i="1"/>
  <c r="AF519" i="1"/>
  <c r="AF511" i="1"/>
  <c r="AF503" i="1"/>
  <c r="AF495" i="1"/>
  <c r="AF487" i="1"/>
  <c r="AF479" i="1"/>
  <c r="AF471" i="1"/>
  <c r="AF463" i="1"/>
  <c r="AF455" i="1"/>
  <c r="AF447" i="1"/>
  <c r="AF439" i="1"/>
  <c r="AF431" i="1"/>
  <c r="AF423" i="1"/>
  <c r="AF415" i="1"/>
  <c r="AF407" i="1"/>
  <c r="AF399" i="1"/>
  <c r="AF391" i="1"/>
  <c r="AF383" i="1"/>
  <c r="AF375" i="1"/>
  <c r="AF367" i="1"/>
  <c r="AF359" i="1"/>
  <c r="AF351" i="1"/>
  <c r="AF343" i="1"/>
  <c r="AF335" i="1"/>
  <c r="AF327" i="1"/>
  <c r="AF319" i="1"/>
  <c r="AF311" i="1"/>
  <c r="AF303" i="1"/>
  <c r="AF295" i="1"/>
  <c r="AF287" i="1"/>
  <c r="AF279" i="1"/>
  <c r="AF271" i="1"/>
  <c r="AF263" i="1"/>
  <c r="AF255" i="1"/>
  <c r="AF247" i="1"/>
  <c r="AF239" i="1"/>
  <c r="AF231" i="1"/>
  <c r="AF223" i="1"/>
  <c r="AF215" i="1"/>
  <c r="AF1198" i="1"/>
  <c r="AF1189" i="1"/>
  <c r="AF1180" i="1"/>
  <c r="AF1171" i="1"/>
  <c r="AF1162" i="1"/>
  <c r="AF1153" i="1"/>
  <c r="AF1144" i="1"/>
  <c r="AF1134" i="1"/>
  <c r="AF1125" i="1"/>
  <c r="AF1116" i="1"/>
  <c r="AF1107" i="1"/>
  <c r="AF1098" i="1"/>
  <c r="AF1089" i="1"/>
  <c r="AF1080" i="1"/>
  <c r="AF1070" i="1"/>
  <c r="AF1061" i="1"/>
  <c r="AF1052" i="1"/>
  <c r="AF1043" i="1"/>
  <c r="AF1034" i="1"/>
  <c r="AF1025" i="1"/>
  <c r="AF1016" i="1"/>
  <c r="AF1006" i="1"/>
  <c r="AF997" i="1"/>
  <c r="AF988" i="1"/>
  <c r="AF979" i="1"/>
  <c r="AF970" i="1"/>
  <c r="AF961" i="1"/>
  <c r="AF952" i="1"/>
  <c r="AF942" i="1"/>
  <c r="AF933" i="1"/>
  <c r="AF924" i="1"/>
  <c r="AF915" i="1"/>
  <c r="AF906" i="1"/>
  <c r="AF897" i="1"/>
  <c r="AF888" i="1"/>
  <c r="AF878" i="1"/>
  <c r="AF869" i="1"/>
  <c r="AF860" i="1"/>
  <c r="AF851" i="1"/>
  <c r="AF842" i="1"/>
  <c r="AF833" i="1"/>
  <c r="AF824" i="1"/>
  <c r="AF814" i="1"/>
  <c r="AF805" i="1"/>
  <c r="AF796" i="1"/>
  <c r="AF787" i="1"/>
  <c r="AF778" i="1"/>
  <c r="AF769" i="1"/>
  <c r="AF760" i="1"/>
  <c r="AF750" i="1"/>
  <c r="AF741" i="1"/>
  <c r="AF732" i="1"/>
  <c r="AF723" i="1"/>
  <c r="AF714" i="1"/>
  <c r="AF705" i="1"/>
  <c r="AF696" i="1"/>
  <c r="AF686" i="1"/>
  <c r="AF677" i="1"/>
  <c r="AF668" i="1"/>
  <c r="AF659" i="1"/>
  <c r="AF650" i="1"/>
  <c r="AF641" i="1"/>
  <c r="AF632" i="1"/>
  <c r="AF622" i="1"/>
  <c r="AF613" i="1"/>
  <c r="AF604" i="1"/>
  <c r="AF595" i="1"/>
  <c r="AF586" i="1"/>
  <c r="AF577" i="1"/>
  <c r="AF568" i="1"/>
  <c r="AF558" i="1"/>
  <c r="AF549" i="1"/>
  <c r="AF540" i="1"/>
  <c r="AF531" i="1"/>
  <c r="AF522" i="1"/>
  <c r="AF513" i="1"/>
  <c r="AF504" i="1"/>
  <c r="AF494" i="1"/>
  <c r="AF485" i="1"/>
  <c r="AF476" i="1"/>
  <c r="AF467" i="1"/>
  <c r="AF458" i="1"/>
  <c r="AF449" i="1"/>
  <c r="AF440" i="1"/>
  <c r="AF430" i="1"/>
  <c r="AF421" i="1"/>
  <c r="AF412" i="1"/>
  <c r="AF403" i="1"/>
  <c r="AF394" i="1"/>
  <c r="AF385" i="1"/>
  <c r="AF376" i="1"/>
  <c r="AF366" i="1"/>
  <c r="AF357" i="1"/>
  <c r="AF348" i="1"/>
  <c r="AF339" i="1"/>
  <c r="AF330" i="1"/>
  <c r="AF321" i="1"/>
  <c r="AF312" i="1"/>
  <c r="AF302" i="1"/>
  <c r="AF293" i="1"/>
  <c r="AF284" i="1"/>
  <c r="AF275" i="1"/>
  <c r="AF266" i="1"/>
  <c r="AF257" i="1"/>
  <c r="AF248" i="1"/>
  <c r="AF238" i="1"/>
  <c r="AF229" i="1"/>
  <c r="AF220" i="1"/>
  <c r="AF211" i="1"/>
  <c r="AF203" i="1"/>
  <c r="AF195" i="1"/>
  <c r="AF187" i="1"/>
  <c r="AF179" i="1"/>
  <c r="AF171" i="1"/>
  <c r="AF163" i="1"/>
  <c r="AF155" i="1"/>
  <c r="AF147" i="1"/>
  <c r="AF139" i="1"/>
  <c r="AF131" i="1"/>
  <c r="AF123" i="1"/>
  <c r="AF115" i="1"/>
  <c r="AF107" i="1"/>
  <c r="AF99" i="1"/>
  <c r="AF91" i="1"/>
  <c r="AF83" i="1"/>
  <c r="AF75" i="1"/>
  <c r="AF67" i="1"/>
  <c r="AF59" i="1"/>
  <c r="AF51" i="1"/>
  <c r="AF43" i="1"/>
  <c r="AF35" i="1"/>
  <c r="AF27" i="1"/>
  <c r="AF19" i="1"/>
  <c r="AF11" i="1"/>
  <c r="AF3" i="1"/>
  <c r="AF1197" i="1"/>
  <c r="AF1188" i="1"/>
  <c r="AF1179" i="1"/>
  <c r="AF1161" i="1"/>
  <c r="AF1152" i="1"/>
  <c r="AF1142" i="1"/>
  <c r="AF1133" i="1"/>
  <c r="AF1124" i="1"/>
  <c r="AF1115" i="1"/>
  <c r="AF1097" i="1"/>
  <c r="AF1088" i="1"/>
  <c r="AF1078" i="1"/>
  <c r="AF1060" i="1"/>
  <c r="AF1042" i="1"/>
  <c r="AF1024" i="1"/>
  <c r="AF1014" i="1"/>
  <c r="AF996" i="1"/>
  <c r="AF987" i="1"/>
  <c r="AF969" i="1"/>
  <c r="AF950" i="1"/>
  <c r="AF941" i="1"/>
  <c r="AF923" i="1"/>
  <c r="AF905" i="1"/>
  <c r="AF886" i="1"/>
  <c r="AF868" i="1"/>
  <c r="AF859" i="1"/>
  <c r="AF841" i="1"/>
  <c r="AF832" i="1"/>
  <c r="AF813" i="1"/>
  <c r="AF795" i="1"/>
  <c r="AF786" i="1"/>
  <c r="AF768" i="1"/>
  <c r="AF758" i="1"/>
  <c r="AF740" i="1"/>
  <c r="AF722" i="1"/>
  <c r="AF1170" i="1"/>
  <c r="AF1106" i="1"/>
  <c r="AF1069" i="1"/>
  <c r="AF1051" i="1"/>
  <c r="AF1033" i="1"/>
  <c r="AF1005" i="1"/>
  <c r="AF978" i="1"/>
  <c r="AF960" i="1"/>
  <c r="AF932" i="1"/>
  <c r="AF914" i="1"/>
  <c r="AF896" i="1"/>
  <c r="AF877" i="1"/>
  <c r="AF850" i="1"/>
  <c r="AF822" i="1"/>
  <c r="AF804" i="1"/>
  <c r="AF777" i="1"/>
  <c r="AF749" i="1"/>
  <c r="AF731" i="1"/>
  <c r="AF1196" i="1"/>
  <c r="AF1185" i="1"/>
  <c r="AF1173" i="1"/>
  <c r="AF1160" i="1"/>
  <c r="AF1148" i="1"/>
  <c r="AF1137" i="1"/>
  <c r="AF1123" i="1"/>
  <c r="AF1112" i="1"/>
  <c r="AF1100" i="1"/>
  <c r="AF1086" i="1"/>
  <c r="AF1075" i="1"/>
  <c r="AF1064" i="1"/>
  <c r="AF1050" i="1"/>
  <c r="AF1038" i="1"/>
  <c r="AF1027" i="1"/>
  <c r="AF1013" i="1"/>
  <c r="AF1002" i="1"/>
  <c r="AF990" i="1"/>
  <c r="AF977" i="1"/>
  <c r="AF965" i="1"/>
  <c r="AF954" i="1"/>
  <c r="AF940" i="1"/>
  <c r="AF929" i="1"/>
  <c r="AF1195" i="1"/>
  <c r="AF1184" i="1"/>
  <c r="AF1172" i="1"/>
  <c r="AF1158" i="1"/>
  <c r="AF1147" i="1"/>
  <c r="AF1136" i="1"/>
  <c r="AF1122" i="1"/>
  <c r="AF1110" i="1"/>
  <c r="AF1099" i="1"/>
  <c r="AF1085" i="1"/>
  <c r="AF1074" i="1"/>
  <c r="AF1062" i="1"/>
  <c r="AF1049" i="1"/>
  <c r="AF1037" i="1"/>
  <c r="AF1026" i="1"/>
  <c r="AF1012" i="1"/>
  <c r="AF1001" i="1"/>
  <c r="AF989" i="1"/>
  <c r="AF976" i="1"/>
  <c r="AF964" i="1"/>
  <c r="AF953" i="1"/>
  <c r="AF939" i="1"/>
  <c r="AF1194" i="1"/>
  <c r="AF1182" i="1"/>
  <c r="AF1169" i="1"/>
  <c r="AF1157" i="1"/>
  <c r="AF1146" i="1"/>
  <c r="AF1132" i="1"/>
  <c r="AF1121" i="1"/>
  <c r="AF1109" i="1"/>
  <c r="AF1096" i="1"/>
  <c r="AF1084" i="1"/>
  <c r="AF1073" i="1"/>
  <c r="AF1059" i="1"/>
  <c r="AF1048" i="1"/>
  <c r="AF1036" i="1"/>
  <c r="AF1022" i="1"/>
  <c r="AF1011" i="1"/>
  <c r="AF1000" i="1"/>
  <c r="AF986" i="1"/>
  <c r="AF974" i="1"/>
  <c r="AF963" i="1"/>
  <c r="AF949" i="1"/>
  <c r="AF938" i="1"/>
  <c r="AF926" i="1"/>
  <c r="AF913" i="1"/>
  <c r="AF901" i="1"/>
  <c r="AF890" i="1"/>
  <c r="AF876" i="1"/>
  <c r="AF865" i="1"/>
  <c r="AF853" i="1"/>
  <c r="AF840" i="1"/>
  <c r="AF828" i="1"/>
  <c r="AF817" i="1"/>
  <c r="AF803" i="1"/>
  <c r="AF792" i="1"/>
  <c r="AF780" i="1"/>
  <c r="AF766" i="1"/>
  <c r="AF755" i="1"/>
  <c r="AF744" i="1"/>
  <c r="AF730" i="1"/>
  <c r="AF718" i="1"/>
  <c r="AF708" i="1"/>
  <c r="AF698" i="1"/>
  <c r="AF688" i="1"/>
  <c r="AF676" i="1"/>
  <c r="AF666" i="1"/>
  <c r="AF656" i="1"/>
  <c r="AF645" i="1"/>
  <c r="AF635" i="1"/>
  <c r="AF625" i="1"/>
  <c r="AF614" i="1"/>
  <c r="AF603" i="1"/>
  <c r="AF593" i="1"/>
  <c r="AF582" i="1"/>
  <c r="AF572" i="1"/>
  <c r="AF562" i="1"/>
  <c r="AF552" i="1"/>
  <c r="AF541" i="1"/>
  <c r="AF530" i="1"/>
  <c r="AF520" i="1"/>
  <c r="AF509" i="1"/>
  <c r="AF499" i="1"/>
  <c r="AF489" i="1"/>
  <c r="AF478" i="1"/>
  <c r="AF468" i="1"/>
  <c r="AF457" i="1"/>
  <c r="AF446" i="1"/>
  <c r="AF436" i="1"/>
  <c r="AF426" i="1"/>
  <c r="AF416" i="1"/>
  <c r="AF405" i="1"/>
  <c r="AF395" i="1"/>
  <c r="AF384" i="1"/>
  <c r="AF373" i="1"/>
  <c r="AF363" i="1"/>
  <c r="AF353" i="1"/>
  <c r="AF342" i="1"/>
  <c r="AF332" i="1"/>
  <c r="AF322" i="1"/>
  <c r="AF310" i="1"/>
  <c r="AF300" i="1"/>
  <c r="AF290" i="1"/>
  <c r="AF280" i="1"/>
  <c r="AF269" i="1"/>
  <c r="AF259" i="1"/>
  <c r="AF249" i="1"/>
  <c r="AF1181" i="1"/>
  <c r="AF1164" i="1"/>
  <c r="AF1141" i="1"/>
  <c r="AF1126" i="1"/>
  <c r="AF1104" i="1"/>
  <c r="AF1083" i="1"/>
  <c r="AF1066" i="1"/>
  <c r="AF1045" i="1"/>
  <c r="AF1028" i="1"/>
  <c r="AF1008" i="1"/>
  <c r="AF985" i="1"/>
  <c r="AF968" i="1"/>
  <c r="AF947" i="1"/>
  <c r="AF930" i="1"/>
  <c r="AF916" i="1"/>
  <c r="AF900" i="1"/>
  <c r="AF885" i="1"/>
  <c r="AF873" i="1"/>
  <c r="AF858" i="1"/>
  <c r="AF845" i="1"/>
  <c r="AF830" i="1"/>
  <c r="AF818" i="1"/>
  <c r="AF802" i="1"/>
  <c r="AF789" i="1"/>
  <c r="AF774" i="1"/>
  <c r="AF762" i="1"/>
  <c r="AF747" i="1"/>
  <c r="AF734" i="1"/>
  <c r="AF720" i="1"/>
  <c r="AF707" i="1"/>
  <c r="AF694" i="1"/>
  <c r="AF683" i="1"/>
  <c r="AF672" i="1"/>
  <c r="AF660" i="1"/>
  <c r="AF648" i="1"/>
  <c r="AF636" i="1"/>
  <c r="AF624" i="1"/>
  <c r="AF611" i="1"/>
  <c r="AF600" i="1"/>
  <c r="AF588" i="1"/>
  <c r="AF576" i="1"/>
  <c r="AF564" i="1"/>
  <c r="AF553" i="1"/>
  <c r="AF539" i="1"/>
  <c r="AF528" i="1"/>
  <c r="AF516" i="1"/>
  <c r="AF505" i="1"/>
  <c r="AF492" i="1"/>
  <c r="AF481" i="1"/>
  <c r="AF469" i="1"/>
  <c r="AF456" i="1"/>
  <c r="AF444" i="1"/>
  <c r="AF433" i="1"/>
  <c r="AF420" i="1"/>
  <c r="AF409" i="1"/>
  <c r="AF397" i="1"/>
  <c r="AF386" i="1"/>
  <c r="AF372" i="1"/>
  <c r="AF361" i="1"/>
  <c r="AF349" i="1"/>
  <c r="AF337" i="1"/>
  <c r="AF325" i="1"/>
  <c r="AF314" i="1"/>
  <c r="AF301" i="1"/>
  <c r="AF289" i="1"/>
  <c r="AF277" i="1"/>
  <c r="AF265" i="1"/>
  <c r="AF253" i="1"/>
  <c r="AF242" i="1"/>
  <c r="AF232" i="1"/>
  <c r="AF221" i="1"/>
  <c r="AF210" i="1"/>
  <c r="AF201" i="1"/>
  <c r="AF192" i="1"/>
  <c r="AF183" i="1"/>
  <c r="AF174" i="1"/>
  <c r="AF165" i="1"/>
  <c r="AF156" i="1"/>
  <c r="AF146" i="1"/>
  <c r="AF137" i="1"/>
  <c r="AF128" i="1"/>
  <c r="AF119" i="1"/>
  <c r="AF110" i="1"/>
  <c r="AF101" i="1"/>
  <c r="AF92" i="1"/>
  <c r="AF1201" i="1"/>
  <c r="AF1178" i="1"/>
  <c r="AF1163" i="1"/>
  <c r="AF1140" i="1"/>
  <c r="AF1120" i="1"/>
  <c r="AF1102" i="1"/>
  <c r="AF1082" i="1"/>
  <c r="AF1065" i="1"/>
  <c r="AF1044" i="1"/>
  <c r="AF1021" i="1"/>
  <c r="AF1004" i="1"/>
  <c r="AF984" i="1"/>
  <c r="AF966" i="1"/>
  <c r="AF946" i="1"/>
  <c r="AF928" i="1"/>
  <c r="AF912" i="1"/>
  <c r="AF899" i="1"/>
  <c r="AF884" i="1"/>
  <c r="AF872" i="1"/>
  <c r="AF857" i="1"/>
  <c r="AF844" i="1"/>
  <c r="AF829" i="1"/>
  <c r="AF816" i="1"/>
  <c r="AF801" i="1"/>
  <c r="AF788" i="1"/>
  <c r="AF773" i="1"/>
  <c r="AF761" i="1"/>
  <c r="AF746" i="1"/>
  <c r="AF733" i="1"/>
  <c r="AF717" i="1"/>
  <c r="AF706" i="1"/>
  <c r="AF693" i="1"/>
  <c r="AF682" i="1"/>
  <c r="AF670" i="1"/>
  <c r="AF658" i="1"/>
  <c r="AF646" i="1"/>
  <c r="AF634" i="1"/>
  <c r="AF621" i="1"/>
  <c r="AF610" i="1"/>
  <c r="AF598" i="1"/>
  <c r="AF587" i="1"/>
  <c r="AF574" i="1"/>
  <c r="AF563" i="1"/>
  <c r="AF550" i="1"/>
  <c r="AF538" i="1"/>
  <c r="AF526" i="1"/>
  <c r="AF515" i="1"/>
  <c r="AF502" i="1"/>
  <c r="AF491" i="1"/>
  <c r="AF480" i="1"/>
  <c r="AF466" i="1"/>
  <c r="AF454" i="1"/>
  <c r="AF443" i="1"/>
  <c r="AF432" i="1"/>
  <c r="AF419" i="1"/>
  <c r="AF408" i="1"/>
  <c r="AF396" i="1"/>
  <c r="AF382" i="1"/>
  <c r="AF371" i="1"/>
  <c r="AF360" i="1"/>
  <c r="AF347" i="1"/>
  <c r="AF336" i="1"/>
  <c r="AF324" i="1"/>
  <c r="AF313" i="1"/>
  <c r="AF299" i="1"/>
  <c r="AF288" i="1"/>
  <c r="AF276" i="1"/>
  <c r="AF264" i="1"/>
  <c r="AF252" i="1"/>
  <c r="AF241" i="1"/>
  <c r="AF230" i="1"/>
  <c r="AF219" i="1"/>
  <c r="AF209" i="1"/>
  <c r="AF200" i="1"/>
  <c r="AF191" i="1"/>
  <c r="AF182" i="1"/>
  <c r="AF173" i="1"/>
  <c r="AF164" i="1"/>
  <c r="AF154" i="1"/>
  <c r="AF145" i="1"/>
  <c r="AF136" i="1"/>
  <c r="AF127" i="1"/>
  <c r="AF118" i="1"/>
  <c r="AF109" i="1"/>
  <c r="AF100" i="1"/>
  <c r="AF90" i="1"/>
  <c r="AF81" i="1"/>
  <c r="AF72" i="1"/>
  <c r="AF63" i="1"/>
  <c r="AF54" i="1"/>
  <c r="AF45" i="1"/>
  <c r="AF36" i="1"/>
  <c r="AF26" i="1"/>
  <c r="AF17" i="1"/>
  <c r="AF8" i="1"/>
  <c r="AF1200" i="1"/>
  <c r="AF1177" i="1"/>
  <c r="AF1139" i="1"/>
  <c r="AF1118" i="1"/>
  <c r="AF1101" i="1"/>
  <c r="AF1081" i="1"/>
  <c r="AF1058" i="1"/>
  <c r="AF1020" i="1"/>
  <c r="AF1003" i="1"/>
  <c r="AF982" i="1"/>
  <c r="AF945" i="1"/>
  <c r="AF925" i="1"/>
  <c r="AF910" i="1"/>
  <c r="AF883" i="1"/>
  <c r="AF856" i="1"/>
  <c r="AF827" i="1"/>
  <c r="AF812" i="1"/>
  <c r="AF785" i="1"/>
  <c r="AF772" i="1"/>
  <c r="AF745" i="1"/>
  <c r="AF729" i="1"/>
  <c r="AF704" i="1"/>
  <c r="AF692" i="1"/>
  <c r="AF669" i="1"/>
  <c r="AF657" i="1"/>
  <c r="AF633" i="1"/>
  <c r="AF620" i="1"/>
  <c r="AF609" i="1"/>
  <c r="AF585" i="1"/>
  <c r="AF573" i="1"/>
  <c r="AF548" i="1"/>
  <c r="AF525" i="1"/>
  <c r="AF501" i="1"/>
  <c r="AF477" i="1"/>
  <c r="AF465" i="1"/>
  <c r="AF442" i="1"/>
  <c r="AF429" i="1"/>
  <c r="AF406" i="1"/>
  <c r="AF381" i="1"/>
  <c r="AF358" i="1"/>
  <c r="AF346" i="1"/>
  <c r="AF323" i="1"/>
  <c r="AF309" i="1"/>
  <c r="AF286" i="1"/>
  <c r="AF262" i="1"/>
  <c r="AF251" i="1"/>
  <c r="AF228" i="1"/>
  <c r="AF218" i="1"/>
  <c r="AF199" i="1"/>
  <c r="AF181" i="1"/>
  <c r="AF172" i="1"/>
  <c r="AF153" i="1"/>
  <c r="AF135" i="1"/>
  <c r="AF117" i="1"/>
  <c r="AF98" i="1"/>
  <c r="AF80" i="1"/>
  <c r="AF71" i="1"/>
  <c r="AF53" i="1"/>
  <c r="AF34" i="1"/>
  <c r="AF25" i="1"/>
  <c r="AF7" i="1"/>
  <c r="AF1156" i="1"/>
  <c r="AF1041" i="1"/>
  <c r="AF962" i="1"/>
  <c r="AF898" i="1"/>
  <c r="AF870" i="1"/>
  <c r="AF843" i="1"/>
  <c r="AF800" i="1"/>
  <c r="AF757" i="1"/>
  <c r="AF716" i="1"/>
  <c r="AF681" i="1"/>
  <c r="AF644" i="1"/>
  <c r="AF597" i="1"/>
  <c r="AF561" i="1"/>
  <c r="AF537" i="1"/>
  <c r="AF514" i="1"/>
  <c r="AF490" i="1"/>
  <c r="AF453" i="1"/>
  <c r="AF418" i="1"/>
  <c r="AF393" i="1"/>
  <c r="AF370" i="1"/>
  <c r="AF334" i="1"/>
  <c r="AF298" i="1"/>
  <c r="AF274" i="1"/>
  <c r="AF240" i="1"/>
  <c r="AF208" i="1"/>
  <c r="AF190" i="1"/>
  <c r="AF162" i="1"/>
  <c r="AF144" i="1"/>
  <c r="AF126" i="1"/>
  <c r="AF108" i="1"/>
  <c r="AF89" i="1"/>
  <c r="AF62" i="1"/>
  <c r="AF44" i="1"/>
  <c r="AF16" i="1"/>
  <c r="AF1193" i="1"/>
  <c r="AF1176" i="1"/>
  <c r="AF1155" i="1"/>
  <c r="AF1138" i="1"/>
  <c r="AF1117" i="1"/>
  <c r="AF1094" i="1"/>
  <c r="AF1077" i="1"/>
  <c r="AF1057" i="1"/>
  <c r="AF1040" i="1"/>
  <c r="AF1019" i="1"/>
  <c r="AF998" i="1"/>
  <c r="AF981" i="1"/>
  <c r="AF958" i="1"/>
  <c r="AF944" i="1"/>
  <c r="AF922" i="1"/>
  <c r="AF909" i="1"/>
  <c r="AF894" i="1"/>
  <c r="AF882" i="1"/>
  <c r="AF867" i="1"/>
  <c r="AF854" i="1"/>
  <c r="AF838" i="1"/>
  <c r="AF826" i="1"/>
  <c r="AF811" i="1"/>
  <c r="AF798" i="1"/>
  <c r="AF784" i="1"/>
  <c r="AF771" i="1"/>
  <c r="AF756" i="1"/>
  <c r="AF742" i="1"/>
  <c r="AF728" i="1"/>
  <c r="AF715" i="1"/>
  <c r="AF702" i="1"/>
  <c r="AF691" i="1"/>
  <c r="AF680" i="1"/>
  <c r="AF667" i="1"/>
  <c r="AF654" i="1"/>
  <c r="AF643" i="1"/>
  <c r="AF630" i="1"/>
  <c r="AF619" i="1"/>
  <c r="AF608" i="1"/>
  <c r="AF596" i="1"/>
  <c r="AF584" i="1"/>
  <c r="AF571" i="1"/>
  <c r="AF560" i="1"/>
  <c r="AF547" i="1"/>
  <c r="AF536" i="1"/>
  <c r="AF524" i="1"/>
  <c r="AF512" i="1"/>
  <c r="AF500" i="1"/>
  <c r="AF488" i="1"/>
  <c r="AF475" i="1"/>
  <c r="AF464" i="1"/>
  <c r="AF452" i="1"/>
  <c r="AF441" i="1"/>
  <c r="AF428" i="1"/>
  <c r="AF417" i="1"/>
  <c r="AF404" i="1"/>
  <c r="AF392" i="1"/>
  <c r="AF380" i="1"/>
  <c r="AF369" i="1"/>
  <c r="AF356" i="1"/>
  <c r="AF345" i="1"/>
  <c r="AF333" i="1"/>
  <c r="AF320" i="1"/>
  <c r="AF308" i="1"/>
  <c r="AF297" i="1"/>
  <c r="AF285" i="1"/>
  <c r="AF273" i="1"/>
  <c r="AF261" i="1"/>
  <c r="AF250" i="1"/>
  <c r="AF237" i="1"/>
  <c r="AF227" i="1"/>
  <c r="AF217" i="1"/>
  <c r="AF207" i="1"/>
  <c r="AF198" i="1"/>
  <c r="AF189" i="1"/>
  <c r="AF180" i="1"/>
  <c r="AF170" i="1"/>
  <c r="AF161" i="1"/>
  <c r="AF152" i="1"/>
  <c r="AF143" i="1"/>
  <c r="AF134" i="1"/>
  <c r="AF125" i="1"/>
  <c r="AF116" i="1"/>
  <c r="AF106" i="1"/>
  <c r="AF97" i="1"/>
  <c r="AF88" i="1"/>
  <c r="AF79" i="1"/>
  <c r="AF70" i="1"/>
  <c r="AF61" i="1"/>
  <c r="AF52" i="1"/>
  <c r="AF42" i="1"/>
  <c r="AF33" i="1"/>
  <c r="AF24" i="1"/>
  <c r="AF15" i="1"/>
  <c r="AF6" i="1"/>
  <c r="AF1192" i="1"/>
  <c r="AF1174" i="1"/>
  <c r="AF1154" i="1"/>
  <c r="AF1131" i="1"/>
  <c r="AF1114" i="1"/>
  <c r="AF1093" i="1"/>
  <c r="AF1076" i="1"/>
  <c r="AF1056" i="1"/>
  <c r="AF1035" i="1"/>
  <c r="AF1018" i="1"/>
  <c r="AF995" i="1"/>
  <c r="AF980" i="1"/>
  <c r="AF957" i="1"/>
  <c r="AF937" i="1"/>
  <c r="AF921" i="1"/>
  <c r="AF908" i="1"/>
  <c r="AF893" i="1"/>
  <c r="AF881" i="1"/>
  <c r="AF866" i="1"/>
  <c r="AF852" i="1"/>
  <c r="AF837" i="1"/>
  <c r="AF825" i="1"/>
  <c r="AF810" i="1"/>
  <c r="AF797" i="1"/>
  <c r="AF782" i="1"/>
  <c r="AF770" i="1"/>
  <c r="AF754" i="1"/>
  <c r="AF739" i="1"/>
  <c r="AF726" i="1"/>
  <c r="AF713" i="1"/>
  <c r="AF701" i="1"/>
  <c r="AF690" i="1"/>
  <c r="AF678" i="1"/>
  <c r="AF665" i="1"/>
  <c r="AF653" i="1"/>
  <c r="AF642" i="1"/>
  <c r="AF629" i="1"/>
  <c r="AF618" i="1"/>
  <c r="AF606" i="1"/>
  <c r="AF594" i="1"/>
  <c r="AF581" i="1"/>
  <c r="AF570" i="1"/>
  <c r="AF557" i="1"/>
  <c r="AF546" i="1"/>
  <c r="AF534" i="1"/>
  <c r="AF523" i="1"/>
  <c r="AF510" i="1"/>
  <c r="AF498" i="1"/>
  <c r="AF486" i="1"/>
  <c r="AF474" i="1"/>
  <c r="AF462" i="1"/>
  <c r="AF451" i="1"/>
  <c r="AF438" i="1"/>
  <c r="AF427" i="1"/>
  <c r="AF414" i="1"/>
  <c r="AF402" i="1"/>
  <c r="AF390" i="1"/>
  <c r="AF379" i="1"/>
  <c r="AF368" i="1"/>
  <c r="AF355" i="1"/>
  <c r="AF344" i="1"/>
  <c r="AF331" i="1"/>
  <c r="AF318" i="1"/>
  <c r="AF307" i="1"/>
  <c r="AF296" i="1"/>
  <c r="AF283" i="1"/>
  <c r="AF272" i="1"/>
  <c r="AF260" i="1"/>
  <c r="AF246" i="1"/>
  <c r="AF236" i="1"/>
  <c r="AF226" i="1"/>
  <c r="AF216" i="1"/>
  <c r="AF206" i="1"/>
  <c r="AF197" i="1"/>
  <c r="AF188" i="1"/>
  <c r="AF178" i="1"/>
  <c r="AF169" i="1"/>
  <c r="AF160" i="1"/>
  <c r="AF151" i="1"/>
  <c r="AF142" i="1"/>
  <c r="AF133" i="1"/>
  <c r="AF124" i="1"/>
  <c r="AF114" i="1"/>
  <c r="AF105" i="1"/>
  <c r="AF96" i="1"/>
  <c r="AF87" i="1"/>
  <c r="AF78" i="1"/>
  <c r="AF69" i="1"/>
  <c r="AF60" i="1"/>
  <c r="AF50" i="1"/>
  <c r="AF41" i="1"/>
  <c r="AF32" i="1"/>
  <c r="AF23" i="1"/>
  <c r="AF14" i="1"/>
  <c r="AF5" i="1"/>
  <c r="AF1190" i="1"/>
  <c r="AF1168" i="1"/>
  <c r="AF1150" i="1"/>
  <c r="AF1130" i="1"/>
  <c r="AF1113" i="1"/>
  <c r="AF1092" i="1"/>
  <c r="AF1072" i="1"/>
  <c r="AF1054" i="1"/>
  <c r="AF1032" i="1"/>
  <c r="AF1017" i="1"/>
  <c r="AF994" i="1"/>
  <c r="AF973" i="1"/>
  <c r="AF956" i="1"/>
  <c r="AF936" i="1"/>
  <c r="AF920" i="1"/>
  <c r="AF907" i="1"/>
  <c r="AF892" i="1"/>
  <c r="AF880" i="1"/>
  <c r="AF864" i="1"/>
  <c r="AF849" i="1"/>
  <c r="AF836" i="1"/>
  <c r="AF821" i="1"/>
  <c r="AF809" i="1"/>
  <c r="AF794" i="1"/>
  <c r="AF781" i="1"/>
  <c r="AF765" i="1"/>
  <c r="AF753" i="1"/>
  <c r="AF738" i="1"/>
  <c r="AF725" i="1"/>
  <c r="AF712" i="1"/>
  <c r="AF700" i="1"/>
  <c r="AF689" i="1"/>
  <c r="AF675" i="1"/>
  <c r="AF664" i="1"/>
  <c r="AF652" i="1"/>
  <c r="AF640" i="1"/>
  <c r="AF628" i="1"/>
  <c r="AF617" i="1"/>
  <c r="AF605" i="1"/>
  <c r="AF592" i="1"/>
  <c r="AF580" i="1"/>
  <c r="AF569" i="1"/>
  <c r="AF556" i="1"/>
  <c r="AF545" i="1"/>
  <c r="AF533" i="1"/>
  <c r="AF521" i="1"/>
  <c r="AF508" i="1"/>
  <c r="AF497" i="1"/>
  <c r="AF484" i="1"/>
  <c r="AF473" i="1"/>
  <c r="AF461" i="1"/>
  <c r="AF450" i="1"/>
  <c r="AF437" i="1"/>
  <c r="AF425" i="1"/>
  <c r="AF413" i="1"/>
  <c r="AF401" i="1"/>
  <c r="AF389" i="1"/>
  <c r="AF378" i="1"/>
  <c r="AF365" i="1"/>
  <c r="AF354" i="1"/>
  <c r="AF341" i="1"/>
  <c r="AF329" i="1"/>
  <c r="AF317" i="1"/>
  <c r="AF306" i="1"/>
  <c r="AF294" i="1"/>
  <c r="AF282" i="1"/>
  <c r="AF270" i="1"/>
  <c r="AF258" i="1"/>
  <c r="AF245" i="1"/>
  <c r="AF235" i="1"/>
  <c r="AF225" i="1"/>
  <c r="AF214" i="1"/>
  <c r="AF205" i="1"/>
  <c r="AF196" i="1"/>
  <c r="AF186" i="1"/>
  <c r="AF177" i="1"/>
  <c r="AF168" i="1"/>
  <c r="AF159" i="1"/>
  <c r="AF150" i="1"/>
  <c r="AF141" i="1"/>
  <c r="AF132" i="1"/>
  <c r="AF122" i="1"/>
  <c r="AF113" i="1"/>
  <c r="AF104" i="1"/>
  <c r="AF95" i="1"/>
  <c r="AF86" i="1"/>
  <c r="AF77" i="1"/>
  <c r="AF68" i="1"/>
  <c r="AF58" i="1"/>
  <c r="AF49" i="1"/>
  <c r="AF40" i="1"/>
  <c r="AF31" i="1"/>
  <c r="AF22" i="1"/>
  <c r="AF13" i="1"/>
  <c r="AF4" i="1"/>
  <c r="AF148" i="1"/>
  <c r="AF410" i="1"/>
  <c r="AF697" i="1"/>
  <c r="AF38" i="1"/>
  <c r="AF85" i="1"/>
  <c r="AF121" i="1"/>
  <c r="AF234" i="1"/>
  <c r="AF328" i="1"/>
  <c r="AF39" i="1"/>
  <c r="AF65" i="1"/>
  <c r="AF93" i="1"/>
  <c r="AF129" i="1"/>
  <c r="AF202" i="1"/>
  <c r="AF243" i="1"/>
  <c r="AF291" i="1"/>
  <c r="AF387" i="1"/>
  <c r="AF434" i="1"/>
  <c r="AF529" i="1"/>
  <c r="AF626" i="1"/>
  <c r="AF834" i="1"/>
  <c r="AF20" i="1"/>
  <c r="AF46" i="1"/>
  <c r="AF66" i="1"/>
  <c r="AF94" i="1"/>
  <c r="AF130" i="1"/>
  <c r="AF167" i="1"/>
  <c r="AF204" i="1"/>
  <c r="AF244" i="1"/>
  <c r="AF292" i="1"/>
  <c r="AF340" i="1"/>
  <c r="AF388" i="1"/>
  <c r="AF435" i="1"/>
  <c r="AF483" i="1"/>
  <c r="AF532" i="1"/>
  <c r="AF579" i="1"/>
  <c r="AF627" i="1"/>
  <c r="AF674" i="1"/>
  <c r="AF724" i="1"/>
  <c r="AF779" i="1"/>
  <c r="AF835" i="1"/>
  <c r="AF891" i="1"/>
  <c r="AF955" i="1"/>
  <c r="AF1030" i="1"/>
  <c r="AF1108" i="1"/>
  <c r="AF1187" i="1"/>
  <c r="AF256" i="1"/>
  <c r="AF737" i="1"/>
  <c r="AF55" i="1"/>
  <c r="AF222" i="1"/>
  <c r="AF506" i="1"/>
  <c r="AF861" i="1"/>
  <c r="AF21" i="1"/>
  <c r="AF47" i="1"/>
  <c r="AF73" i="1"/>
  <c r="AF102" i="1"/>
  <c r="AF138" i="1"/>
  <c r="AF175" i="1"/>
  <c r="AF212" i="1"/>
  <c r="AF254" i="1"/>
  <c r="AF304" i="1"/>
  <c r="AF350" i="1"/>
  <c r="AF398" i="1"/>
  <c r="AF445" i="1"/>
  <c r="AF493" i="1"/>
  <c r="AF542" i="1"/>
  <c r="AF589" i="1"/>
  <c r="AF637" i="1"/>
  <c r="AF684" i="1"/>
  <c r="AF736" i="1"/>
  <c r="AF790" i="1"/>
  <c r="AF846" i="1"/>
  <c r="AF902" i="1"/>
  <c r="AF971" i="1"/>
  <c r="AF1046" i="1"/>
  <c r="AF1128" i="1"/>
  <c r="AF103" i="1"/>
  <c r="AF496" i="1"/>
  <c r="AF972" i="1"/>
  <c r="AF74" i="1"/>
  <c r="AF305" i="1"/>
  <c r="AF590" i="1"/>
  <c r="AF848" i="1"/>
  <c r="AF1053" i="1"/>
  <c r="AF184" i="1"/>
  <c r="AF649" i="1"/>
  <c r="AF1145" i="1"/>
  <c r="AF2" i="3"/>
  <c r="AF16" i="3"/>
  <c r="AF30" i="3"/>
  <c r="AF44" i="3"/>
  <c r="AF63" i="3"/>
  <c r="AF81" i="3"/>
  <c r="AF99" i="3"/>
  <c r="AF118" i="3"/>
  <c r="AF136" i="3"/>
  <c r="AF154" i="3"/>
  <c r="AF172" i="3"/>
  <c r="AF191" i="3"/>
  <c r="AF209" i="3"/>
  <c r="AF227" i="3"/>
  <c r="AF247" i="3"/>
  <c r="AF271" i="3"/>
  <c r="AF296" i="3"/>
  <c r="AF320" i="3"/>
  <c r="AF344" i="3"/>
  <c r="AF369" i="3"/>
  <c r="AF393" i="3"/>
  <c r="AF417" i="3"/>
  <c r="AF443" i="3"/>
  <c r="AF472" i="3"/>
  <c r="AF499" i="3"/>
  <c r="AF531" i="3"/>
  <c r="AF561" i="3"/>
  <c r="AF595" i="3"/>
  <c r="AF628" i="3"/>
  <c r="AF660" i="3"/>
  <c r="AF692" i="3"/>
  <c r="AF725" i="3"/>
  <c r="AF758" i="3"/>
  <c r="AF789" i="3"/>
  <c r="AF823" i="3"/>
  <c r="AF854" i="3"/>
  <c r="AF887" i="3"/>
  <c r="AF920" i="3"/>
  <c r="AF952" i="3"/>
  <c r="AF984" i="3"/>
  <c r="AF1017" i="3"/>
  <c r="AF1051" i="3"/>
  <c r="AF1081" i="3"/>
  <c r="AF1116" i="3"/>
  <c r="AF1147" i="3"/>
  <c r="AF1194" i="3"/>
  <c r="AF1186" i="3"/>
  <c r="AF1178" i="3"/>
  <c r="AF1170" i="3"/>
  <c r="AF1162" i="3"/>
  <c r="AF1154" i="3"/>
  <c r="AF1146" i="3"/>
  <c r="AF1138" i="3"/>
  <c r="AF1130" i="3"/>
  <c r="AF1122" i="3"/>
  <c r="AF1114" i="3"/>
  <c r="AF1106" i="3"/>
  <c r="AF1098" i="3"/>
  <c r="AF1090" i="3"/>
  <c r="AF1082" i="3"/>
  <c r="AF1074" i="3"/>
  <c r="AF1066" i="3"/>
  <c r="AF1058" i="3"/>
  <c r="AF1050" i="3"/>
  <c r="AF1042" i="3"/>
  <c r="AF1034" i="3"/>
  <c r="AF1026" i="3"/>
  <c r="AF1018" i="3"/>
  <c r="AF1010" i="3"/>
  <c r="AF1002" i="3"/>
  <c r="AF994" i="3"/>
  <c r="AF986" i="3"/>
  <c r="AF978" i="3"/>
  <c r="AF970" i="3"/>
  <c r="AF962" i="3"/>
  <c r="AF954" i="3"/>
  <c r="AF946" i="3"/>
  <c r="AF938" i="3"/>
  <c r="AF930" i="3"/>
  <c r="AF922" i="3"/>
  <c r="AF914" i="3"/>
  <c r="AF906" i="3"/>
  <c r="AF898" i="3"/>
  <c r="AF890" i="3"/>
  <c r="AF882" i="3"/>
  <c r="AF874" i="3"/>
  <c r="AF866" i="3"/>
  <c r="AF858" i="3"/>
  <c r="AF850" i="3"/>
  <c r="AF842" i="3"/>
  <c r="AF834" i="3"/>
  <c r="AF826" i="3"/>
  <c r="AF818" i="3"/>
  <c r="AF810" i="3"/>
  <c r="AF802" i="3"/>
  <c r="AF794" i="3"/>
  <c r="AF786" i="3"/>
  <c r="AF778" i="3"/>
  <c r="AF770" i="3"/>
  <c r="AF762" i="3"/>
  <c r="AF754" i="3"/>
  <c r="AF746" i="3"/>
  <c r="AF738" i="3"/>
  <c r="AF730" i="3"/>
  <c r="AF722" i="3"/>
  <c r="AF714" i="3"/>
  <c r="AF706" i="3"/>
  <c r="AF698" i="3"/>
  <c r="AF690" i="3"/>
  <c r="AF682" i="3"/>
  <c r="AF674" i="3"/>
  <c r="AF666" i="3"/>
  <c r="AF658" i="3"/>
  <c r="AF650" i="3"/>
  <c r="AF642" i="3"/>
  <c r="AF634" i="3"/>
  <c r="AF626" i="3"/>
  <c r="AF618" i="3"/>
  <c r="AF610" i="3"/>
  <c r="AF602" i="3"/>
  <c r="AF594" i="3"/>
  <c r="AF586" i="3"/>
  <c r="AF578" i="3"/>
  <c r="AF570" i="3"/>
  <c r="AF562" i="3"/>
  <c r="AF554" i="3"/>
  <c r="AF546" i="3"/>
  <c r="AF538" i="3"/>
  <c r="AF530" i="3"/>
  <c r="AF522" i="3"/>
  <c r="AF1193" i="3"/>
  <c r="AF1184" i="3"/>
  <c r="AF1175" i="3"/>
  <c r="AF1166" i="3"/>
  <c r="AF1157" i="3"/>
  <c r="AF1148" i="3"/>
  <c r="AF1139" i="3"/>
  <c r="AF1129" i="3"/>
  <c r="AF1120" i="3"/>
  <c r="AF1111" i="3"/>
  <c r="AF1102" i="3"/>
  <c r="AF1093" i="3"/>
  <c r="AF1084" i="3"/>
  <c r="AF1075" i="3"/>
  <c r="AF1065" i="3"/>
  <c r="AF1056" i="3"/>
  <c r="AF1047" i="3"/>
  <c r="AF1038" i="3"/>
  <c r="AF1029" i="3"/>
  <c r="AF1020" i="3"/>
  <c r="AF1011" i="3"/>
  <c r="AF1001" i="3"/>
  <c r="AF992" i="3"/>
  <c r="AF983" i="3"/>
  <c r="AF974" i="3"/>
  <c r="AF965" i="3"/>
  <c r="AF956" i="3"/>
  <c r="AF947" i="3"/>
  <c r="AF937" i="3"/>
  <c r="AF928" i="3"/>
  <c r="AF919" i="3"/>
  <c r="AF910" i="3"/>
  <c r="AF901" i="3"/>
  <c r="AF892" i="3"/>
  <c r="AF883" i="3"/>
  <c r="AF873" i="3"/>
  <c r="AF864" i="3"/>
  <c r="AF855" i="3"/>
  <c r="AF846" i="3"/>
  <c r="AF837" i="3"/>
  <c r="AF828" i="3"/>
  <c r="AF819" i="3"/>
  <c r="AF809" i="3"/>
  <c r="AF800" i="3"/>
  <c r="AF791" i="3"/>
  <c r="AF782" i="3"/>
  <c r="AF773" i="3"/>
  <c r="AF764" i="3"/>
  <c r="AF755" i="3"/>
  <c r="AF745" i="3"/>
  <c r="AF736" i="3"/>
  <c r="AF727" i="3"/>
  <c r="AF718" i="3"/>
  <c r="AF709" i="3"/>
  <c r="AF700" i="3"/>
  <c r="AF691" i="3"/>
  <c r="AF681" i="3"/>
  <c r="AF672" i="3"/>
  <c r="AF663" i="3"/>
  <c r="AF654" i="3"/>
  <c r="AF645" i="3"/>
  <c r="AF636" i="3"/>
  <c r="AF627" i="3"/>
  <c r="AF617" i="3"/>
  <c r="AF608" i="3"/>
  <c r="AF599" i="3"/>
  <c r="AF590" i="3"/>
  <c r="AF581" i="3"/>
  <c r="AF572" i="3"/>
  <c r="AF563" i="3"/>
  <c r="AF553" i="3"/>
  <c r="AF544" i="3"/>
  <c r="AF535" i="3"/>
  <c r="AF526" i="3"/>
  <c r="AF517" i="3"/>
  <c r="AF509" i="3"/>
  <c r="AF501" i="3"/>
  <c r="AF493" i="3"/>
  <c r="AF485" i="3"/>
  <c r="AF477" i="3"/>
  <c r="AF469" i="3"/>
  <c r="AF461" i="3"/>
  <c r="AF453" i="3"/>
  <c r="AF445" i="3"/>
  <c r="AF437" i="3"/>
  <c r="AF429" i="3"/>
  <c r="AF421" i="3"/>
  <c r="AF413" i="3"/>
  <c r="AF405" i="3"/>
  <c r="AF397" i="3"/>
  <c r="AF389" i="3"/>
  <c r="AF381" i="3"/>
  <c r="AF373" i="3"/>
  <c r="AF365" i="3"/>
  <c r="AF357" i="3"/>
  <c r="AF349" i="3"/>
  <c r="AF341" i="3"/>
  <c r="AF333" i="3"/>
  <c r="AF325" i="3"/>
  <c r="AF317" i="3"/>
  <c r="AF309" i="3"/>
  <c r="AF301" i="3"/>
  <c r="AF293" i="3"/>
  <c r="AF285" i="3"/>
  <c r="AF277" i="3"/>
  <c r="AF269" i="3"/>
  <c r="AF261" i="3"/>
  <c r="AF253" i="3"/>
  <c r="AF245" i="3"/>
  <c r="AF237" i="3"/>
  <c r="AF229" i="3"/>
  <c r="AF221" i="3"/>
  <c r="AF213" i="3"/>
  <c r="AF205" i="3"/>
  <c r="AF197" i="3"/>
  <c r="AF189" i="3"/>
  <c r="AF181" i="3"/>
  <c r="AF173" i="3"/>
  <c r="AF165" i="3"/>
  <c r="AF157" i="3"/>
  <c r="AF149" i="3"/>
  <c r="AF141" i="3"/>
  <c r="AF133" i="3"/>
  <c r="AF125" i="3"/>
  <c r="AF117" i="3"/>
  <c r="AF109" i="3"/>
  <c r="AF101" i="3"/>
  <c r="AF93" i="3"/>
  <c r="AF85" i="3"/>
  <c r="AF77" i="3"/>
  <c r="AF69" i="3"/>
  <c r="AF61" i="3"/>
  <c r="AF53" i="3"/>
  <c r="AF45" i="3"/>
  <c r="AF37" i="3"/>
  <c r="AF29" i="3"/>
  <c r="AF21" i="3"/>
  <c r="AF13" i="3"/>
  <c r="AF5" i="3"/>
  <c r="AF1196" i="3"/>
  <c r="AF1187" i="3"/>
  <c r="AF1177" i="3"/>
  <c r="AF1168" i="3"/>
  <c r="AF1159" i="3"/>
  <c r="AF1150" i="3"/>
  <c r="AF1141" i="3"/>
  <c r="AF1132" i="3"/>
  <c r="AF1123" i="3"/>
  <c r="AF1113" i="3"/>
  <c r="AF1104" i="3"/>
  <c r="AF1095" i="3"/>
  <c r="AF1086" i="3"/>
  <c r="AF1077" i="3"/>
  <c r="AF1068" i="3"/>
  <c r="AF1059" i="3"/>
  <c r="AF1049" i="3"/>
  <c r="AF1040" i="3"/>
  <c r="AF1031" i="3"/>
  <c r="AF1022" i="3"/>
  <c r="AF1013" i="3"/>
  <c r="AF1004" i="3"/>
  <c r="AF995" i="3"/>
  <c r="AF985" i="3"/>
  <c r="AF976" i="3"/>
  <c r="AF967" i="3"/>
  <c r="AF958" i="3"/>
  <c r="AF949" i="3"/>
  <c r="AF940" i="3"/>
  <c r="AF931" i="3"/>
  <c r="AF921" i="3"/>
  <c r="AF912" i="3"/>
  <c r="AF903" i="3"/>
  <c r="AF894" i="3"/>
  <c r="AF885" i="3"/>
  <c r="AF876" i="3"/>
  <c r="AF867" i="3"/>
  <c r="AF857" i="3"/>
  <c r="AF848" i="3"/>
  <c r="AF839" i="3"/>
  <c r="AF830" i="3"/>
  <c r="AF821" i="3"/>
  <c r="AF812" i="3"/>
  <c r="AF803" i="3"/>
  <c r="AF793" i="3"/>
  <c r="AF784" i="3"/>
  <c r="AF775" i="3"/>
  <c r="AF766" i="3"/>
  <c r="AF757" i="3"/>
  <c r="AF748" i="3"/>
  <c r="AF739" i="3"/>
  <c r="AF729" i="3"/>
  <c r="AF720" i="3"/>
  <c r="AF711" i="3"/>
  <c r="AF702" i="3"/>
  <c r="AF693" i="3"/>
  <c r="AF684" i="3"/>
  <c r="AF675" i="3"/>
  <c r="AF665" i="3"/>
  <c r="AF656" i="3"/>
  <c r="AF647" i="3"/>
  <c r="AF638" i="3"/>
  <c r="AF629" i="3"/>
  <c r="AF620" i="3"/>
  <c r="AF611" i="3"/>
  <c r="AF601" i="3"/>
  <c r="AF592" i="3"/>
  <c r="AF583" i="3"/>
  <c r="AF574" i="3"/>
  <c r="AF565" i="3"/>
  <c r="AF556" i="3"/>
  <c r="AF547" i="3"/>
  <c r="AF537" i="3"/>
  <c r="AF528" i="3"/>
  <c r="AF519" i="3"/>
  <c r="AF511" i="3"/>
  <c r="AF503" i="3"/>
  <c r="AF495" i="3"/>
  <c r="AF487" i="3"/>
  <c r="AF479" i="3"/>
  <c r="AF471" i="3"/>
  <c r="AF463" i="3"/>
  <c r="AF455" i="3"/>
  <c r="AF447" i="3"/>
  <c r="AF439" i="3"/>
  <c r="AF1199" i="3"/>
  <c r="AF1188" i="3"/>
  <c r="AF1174" i="3"/>
  <c r="AF1163" i="3"/>
  <c r="AF1151" i="3"/>
  <c r="AF1137" i="3"/>
  <c r="AF1126" i="3"/>
  <c r="AF1115" i="3"/>
  <c r="AF1101" i="3"/>
  <c r="AF1089" i="3"/>
  <c r="AF1078" i="3"/>
  <c r="AF1064" i="3"/>
  <c r="AF1053" i="3"/>
  <c r="AF1041" i="3"/>
  <c r="AF1028" i="3"/>
  <c r="AF1016" i="3"/>
  <c r="AF1005" i="3"/>
  <c r="AF991" i="3"/>
  <c r="AF980" i="3"/>
  <c r="AF968" i="3"/>
  <c r="AF955" i="3"/>
  <c r="AF943" i="3"/>
  <c r="AF932" i="3"/>
  <c r="AF918" i="3"/>
  <c r="AF907" i="3"/>
  <c r="AF895" i="3"/>
  <c r="AF881" i="3"/>
  <c r="AF870" i="3"/>
  <c r="AF859" i="3"/>
  <c r="AF845" i="3"/>
  <c r="AF833" i="3"/>
  <c r="AF822" i="3"/>
  <c r="AF808" i="3"/>
  <c r="AF797" i="3"/>
  <c r="AF785" i="3"/>
  <c r="AF772" i="3"/>
  <c r="AF760" i="3"/>
  <c r="AF749" i="3"/>
  <c r="AF735" i="3"/>
  <c r="AF724" i="3"/>
  <c r="AF712" i="3"/>
  <c r="AF699" i="3"/>
  <c r="AF687" i="3"/>
  <c r="AF676" i="3"/>
  <c r="AF662" i="3"/>
  <c r="AF651" i="3"/>
  <c r="AF639" i="3"/>
  <c r="AF625" i="3"/>
  <c r="AF614" i="3"/>
  <c r="AF603" i="3"/>
  <c r="AF589" i="3"/>
  <c r="AF577" i="3"/>
  <c r="AF566" i="3"/>
  <c r="AF552" i="3"/>
  <c r="AF541" i="3"/>
  <c r="AF529" i="3"/>
  <c r="AF516" i="3"/>
  <c r="AF506" i="3"/>
  <c r="AF496" i="3"/>
  <c r="AF484" i="3"/>
  <c r="AF474" i="3"/>
  <c r="AF464" i="3"/>
  <c r="AF452" i="3"/>
  <c r="AF442" i="3"/>
  <c r="AF432" i="3"/>
  <c r="AF423" i="3"/>
  <c r="AF414" i="3"/>
  <c r="AF404" i="3"/>
  <c r="AF395" i="3"/>
  <c r="AF386" i="3"/>
  <c r="AF377" i="3"/>
  <c r="AF368" i="3"/>
  <c r="AF359" i="3"/>
  <c r="AF350" i="3"/>
  <c r="AF340" i="3"/>
  <c r="AF331" i="3"/>
  <c r="AF322" i="3"/>
  <c r="AF313" i="3"/>
  <c r="AF304" i="3"/>
  <c r="AF295" i="3"/>
  <c r="AF286" i="3"/>
  <c r="AF276" i="3"/>
  <c r="AF267" i="3"/>
  <c r="AF258" i="3"/>
  <c r="AF249" i="3"/>
  <c r="AF1195" i="3"/>
  <c r="AF1182" i="3"/>
  <c r="AF1171" i="3"/>
  <c r="AF1158" i="3"/>
  <c r="AF1145" i="3"/>
  <c r="AF1134" i="3"/>
  <c r="AF1121" i="3"/>
  <c r="AF1109" i="3"/>
  <c r="AF1097" i="3"/>
  <c r="AF1085" i="3"/>
  <c r="AF1072" i="3"/>
  <c r="AF1061" i="3"/>
  <c r="AF1048" i="3"/>
  <c r="AF1036" i="3"/>
  <c r="AF1024" i="3"/>
  <c r="AF1012" i="3"/>
  <c r="AF999" i="3"/>
  <c r="AF988" i="3"/>
  <c r="AF975" i="3"/>
  <c r="AF963" i="3"/>
  <c r="AF951" i="3"/>
  <c r="AF939" i="3"/>
  <c r="AF926" i="3"/>
  <c r="AF915" i="3"/>
  <c r="AF902" i="3"/>
  <c r="AF889" i="3"/>
  <c r="AF878" i="3"/>
  <c r="AF865" i="3"/>
  <c r="AF853" i="3"/>
  <c r="AF841" i="3"/>
  <c r="AF829" i="3"/>
  <c r="AF816" i="3"/>
  <c r="AF805" i="3"/>
  <c r="AF792" i="3"/>
  <c r="AF780" i="3"/>
  <c r="AF768" i="3"/>
  <c r="AF756" i="3"/>
  <c r="AF743" i="3"/>
  <c r="AF732" i="3"/>
  <c r="AF719" i="3"/>
  <c r="AF707" i="3"/>
  <c r="AF695" i="3"/>
  <c r="AF683" i="3"/>
  <c r="AF670" i="3"/>
  <c r="AF659" i="3"/>
  <c r="AF646" i="3"/>
  <c r="AF633" i="3"/>
  <c r="AF622" i="3"/>
  <c r="AF609" i="3"/>
  <c r="AF597" i="3"/>
  <c r="AF585" i="3"/>
  <c r="AF573" i="3"/>
  <c r="AF560" i="3"/>
  <c r="AF549" i="3"/>
  <c r="AF536" i="3"/>
  <c r="AF524" i="3"/>
  <c r="AF513" i="3"/>
  <c r="AF502" i="3"/>
  <c r="AF491" i="3"/>
  <c r="AF481" i="3"/>
  <c r="AF470" i="3"/>
  <c r="AF459" i="3"/>
  <c r="AF449" i="3"/>
  <c r="AF438" i="3"/>
  <c r="AF428" i="3"/>
  <c r="AF419" i="3"/>
  <c r="AF410" i="3"/>
  <c r="AF401" i="3"/>
  <c r="AF392" i="3"/>
  <c r="AF383" i="3"/>
  <c r="AF374" i="3"/>
  <c r="AF364" i="3"/>
  <c r="AF355" i="3"/>
  <c r="AF346" i="3"/>
  <c r="AF337" i="3"/>
  <c r="AF328" i="3"/>
  <c r="AF319" i="3"/>
  <c r="AF310" i="3"/>
  <c r="AF300" i="3"/>
  <c r="AF291" i="3"/>
  <c r="AF282" i="3"/>
  <c r="AF273" i="3"/>
  <c r="AF264" i="3"/>
  <c r="AF255" i="3"/>
  <c r="AF246" i="3"/>
  <c r="AF1189" i="3"/>
  <c r="AF1172" i="3"/>
  <c r="AF1155" i="3"/>
  <c r="AF1140" i="3"/>
  <c r="AF1124" i="3"/>
  <c r="AF1107" i="3"/>
  <c r="AF1091" i="3"/>
  <c r="AF1073" i="3"/>
  <c r="AF1057" i="3"/>
  <c r="AF1043" i="3"/>
  <c r="AF1025" i="3"/>
  <c r="AF1008" i="3"/>
  <c r="AF993" i="3"/>
  <c r="AF977" i="3"/>
  <c r="AF960" i="3"/>
  <c r="AF944" i="3"/>
  <c r="AF927" i="3"/>
  <c r="AF911" i="3"/>
  <c r="AF896" i="3"/>
  <c r="AF879" i="3"/>
  <c r="AF862" i="3"/>
  <c r="AF847" i="3"/>
  <c r="AF831" i="3"/>
  <c r="AF814" i="3"/>
  <c r="AF798" i="3"/>
  <c r="AF781" i="3"/>
  <c r="AF765" i="3"/>
  <c r="AF750" i="3"/>
  <c r="AF733" i="3"/>
  <c r="AF716" i="3"/>
  <c r="AF701" i="3"/>
  <c r="AF685" i="3"/>
  <c r="AF668" i="3"/>
  <c r="AF652" i="3"/>
  <c r="AF635" i="3"/>
  <c r="AF619" i="3"/>
  <c r="AF604" i="3"/>
  <c r="AF587" i="3"/>
  <c r="AF569" i="3"/>
  <c r="AF555" i="3"/>
  <c r="AF539" i="3"/>
  <c r="AF521" i="3"/>
  <c r="AF507" i="3"/>
  <c r="AF492" i="3"/>
  <c r="AF478" i="3"/>
  <c r="AF465" i="3"/>
  <c r="AF450" i="3"/>
  <c r="AF435" i="3"/>
  <c r="AF424" i="3"/>
  <c r="AF411" i="3"/>
  <c r="AF399" i="3"/>
  <c r="AF387" i="3"/>
  <c r="AF375" i="3"/>
  <c r="AF362" i="3"/>
  <c r="AF351" i="3"/>
  <c r="AF338" i="3"/>
  <c r="AF326" i="3"/>
  <c r="AF314" i="3"/>
  <c r="AF302" i="3"/>
  <c r="AF289" i="3"/>
  <c r="AF278" i="3"/>
  <c r="AF265" i="3"/>
  <c r="AF252" i="3"/>
  <c r="AF241" i="3"/>
  <c r="AF232" i="3"/>
  <c r="AF223" i="3"/>
  <c r="AF214" i="3"/>
  <c r="AF204" i="3"/>
  <c r="AF195" i="3"/>
  <c r="AF186" i="3"/>
  <c r="AF177" i="3"/>
  <c r="AF168" i="3"/>
  <c r="AF159" i="3"/>
  <c r="AF150" i="3"/>
  <c r="AF140" i="3"/>
  <c r="AF131" i="3"/>
  <c r="AF122" i="3"/>
  <c r="AF113" i="3"/>
  <c r="AF104" i="3"/>
  <c r="AF95" i="3"/>
  <c r="AF86" i="3"/>
  <c r="AF76" i="3"/>
  <c r="AF67" i="3"/>
  <c r="AF58" i="3"/>
  <c r="AF49" i="3"/>
  <c r="AF40" i="3"/>
  <c r="AF31" i="3"/>
  <c r="AF22" i="3"/>
  <c r="AF12" i="3"/>
  <c r="AF3" i="3"/>
  <c r="AF1198" i="3"/>
  <c r="AF1181" i="3"/>
  <c r="AF1165" i="3"/>
  <c r="AF1149" i="3"/>
  <c r="AF1133" i="3"/>
  <c r="AF1117" i="3"/>
  <c r="AF1100" i="3"/>
  <c r="AF1083" i="3"/>
  <c r="AF1069" i="3"/>
  <c r="AF1052" i="3"/>
  <c r="AF1035" i="3"/>
  <c r="AF1019" i="3"/>
  <c r="AF1003" i="3"/>
  <c r="AF987" i="3"/>
  <c r="AF971" i="3"/>
  <c r="AF953" i="3"/>
  <c r="AF936" i="3"/>
  <c r="AF923" i="3"/>
  <c r="AF905" i="3"/>
  <c r="AF888" i="3"/>
  <c r="AF872" i="3"/>
  <c r="AF856" i="3"/>
  <c r="AF840" i="3"/>
  <c r="AF824" i="3"/>
  <c r="AF807" i="3"/>
  <c r="AF790" i="3"/>
  <c r="AF776" i="3"/>
  <c r="AF759" i="3"/>
  <c r="AF742" i="3"/>
  <c r="AF726" i="3"/>
  <c r="AF710" i="3"/>
  <c r="AF694" i="3"/>
  <c r="AF678" i="3"/>
  <c r="AF661" i="3"/>
  <c r="AF644" i="3"/>
  <c r="AF630" i="3"/>
  <c r="AF613" i="3"/>
  <c r="AF596" i="3"/>
  <c r="AF580" i="3"/>
  <c r="AF564" i="3"/>
  <c r="AF548" i="3"/>
  <c r="AF532" i="3"/>
  <c r="AF515" i="3"/>
  <c r="AF500" i="3"/>
  <c r="AF488" i="3"/>
  <c r="AF473" i="3"/>
  <c r="AF458" i="3"/>
  <c r="AF444" i="3"/>
  <c r="AF431" i="3"/>
  <c r="AF418" i="3"/>
  <c r="AF407" i="3"/>
  <c r="AF394" i="3"/>
  <c r="AF382" i="3"/>
  <c r="AF370" i="3"/>
  <c r="AF358" i="3"/>
  <c r="AF345" i="3"/>
  <c r="AF334" i="3"/>
  <c r="AF321" i="3"/>
  <c r="AF308" i="3"/>
  <c r="AF297" i="3"/>
  <c r="AF284" i="3"/>
  <c r="AF272" i="3"/>
  <c r="AF260" i="3"/>
  <c r="AF248" i="3"/>
  <c r="AF238" i="3"/>
  <c r="AF228" i="3"/>
  <c r="AF219" i="3"/>
  <c r="AF210" i="3"/>
  <c r="AF201" i="3"/>
  <c r="AF192" i="3"/>
  <c r="AF183" i="3"/>
  <c r="AF174" i="3"/>
  <c r="AF164" i="3"/>
  <c r="AF155" i="3"/>
  <c r="AF146" i="3"/>
  <c r="AF137" i="3"/>
  <c r="AF128" i="3"/>
  <c r="AF119" i="3"/>
  <c r="AF110" i="3"/>
  <c r="AF100" i="3"/>
  <c r="AF91" i="3"/>
  <c r="AF82" i="3"/>
  <c r="AF73" i="3"/>
  <c r="AF64" i="3"/>
  <c r="AF55" i="3"/>
  <c r="AF46" i="3"/>
  <c r="AF36" i="3"/>
  <c r="AF27" i="3"/>
  <c r="AF18" i="3"/>
  <c r="AF9" i="3"/>
  <c r="AF1192" i="3"/>
  <c r="AF1179" i="3"/>
  <c r="AF1161" i="3"/>
  <c r="AF1144" i="3"/>
  <c r="AF1128" i="3"/>
  <c r="AF1112" i="3"/>
  <c r="AF1096" i="3"/>
  <c r="AF1080" i="3"/>
  <c r="AF1063" i="3"/>
  <c r="AF1046" i="3"/>
  <c r="AF1032" i="3"/>
  <c r="AF1015" i="3"/>
  <c r="AF998" i="3"/>
  <c r="AF982" i="3"/>
  <c r="AF966" i="3"/>
  <c r="AF950" i="3"/>
  <c r="AF934" i="3"/>
  <c r="AF917" i="3"/>
  <c r="AF900" i="3"/>
  <c r="AF886" i="3"/>
  <c r="AF869" i="3"/>
  <c r="AF852" i="3"/>
  <c r="AF836" i="3"/>
  <c r="AF820" i="3"/>
  <c r="AF804" i="3"/>
  <c r="AF788" i="3"/>
  <c r="AF771" i="3"/>
  <c r="AF753" i="3"/>
  <c r="AF740" i="3"/>
  <c r="AF723" i="3"/>
  <c r="AF705" i="3"/>
  <c r="AF689" i="3"/>
  <c r="AF673" i="3"/>
  <c r="AF657" i="3"/>
  <c r="AF641" i="3"/>
  <c r="AF624" i="3"/>
  <c r="AF607" i="3"/>
  <c r="AF593" i="3"/>
  <c r="AF576" i="3"/>
  <c r="AF559" i="3"/>
  <c r="AF543" i="3"/>
  <c r="AF527" i="3"/>
  <c r="AF512" i="3"/>
  <c r="AF498" i="3"/>
  <c r="AF483" i="3"/>
  <c r="AF468" i="3"/>
  <c r="AF456" i="3"/>
  <c r="AF441" i="3"/>
  <c r="AF427" i="3"/>
  <c r="AF416" i="3"/>
  <c r="AF403" i="3"/>
  <c r="AF391" i="3"/>
  <c r="AF379" i="3"/>
  <c r="AF367" i="3"/>
  <c r="AF354" i="3"/>
  <c r="AF343" i="3"/>
  <c r="AF330" i="3"/>
  <c r="AF318" i="3"/>
  <c r="AF306" i="3"/>
  <c r="AF294" i="3"/>
  <c r="AF281" i="3"/>
  <c r="AF270" i="3"/>
  <c r="AF257" i="3"/>
  <c r="AF244" i="3"/>
  <c r="AF235" i="3"/>
  <c r="AF226" i="3"/>
  <c r="AF217" i="3"/>
  <c r="AF208" i="3"/>
  <c r="AF199" i="3"/>
  <c r="AF190" i="3"/>
  <c r="AF180" i="3"/>
  <c r="AF171" i="3"/>
  <c r="AF162" i="3"/>
  <c r="AF153" i="3"/>
  <c r="AF144" i="3"/>
  <c r="AF135" i="3"/>
  <c r="AF126" i="3"/>
  <c r="AF116" i="3"/>
  <c r="AF107" i="3"/>
  <c r="AF98" i="3"/>
  <c r="AF89" i="3"/>
  <c r="AF80" i="3"/>
  <c r="AF71" i="3"/>
  <c r="AF62" i="3"/>
  <c r="AF52" i="3"/>
  <c r="AF1191" i="3"/>
  <c r="AF1176" i="3"/>
  <c r="AF1160" i="3"/>
  <c r="AF1143" i="3"/>
  <c r="AF1127" i="3"/>
  <c r="AF1110" i="3"/>
  <c r="AF1094" i="3"/>
  <c r="AF1079" i="3"/>
  <c r="AF1062" i="3"/>
  <c r="AF1045" i="3"/>
  <c r="AF1030" i="3"/>
  <c r="AF1014" i="3"/>
  <c r="AF997" i="3"/>
  <c r="AF981" i="3"/>
  <c r="AF964" i="3"/>
  <c r="AF948" i="3"/>
  <c r="AF933" i="3"/>
  <c r="AF916" i="3"/>
  <c r="AF899" i="3"/>
  <c r="AF884" i="3"/>
  <c r="AF868" i="3"/>
  <c r="AF851" i="3"/>
  <c r="AF835" i="3"/>
  <c r="AF817" i="3"/>
  <c r="AF801" i="3"/>
  <c r="AF787" i="3"/>
  <c r="AF769" i="3"/>
  <c r="AF752" i="3"/>
  <c r="AF737" i="3"/>
  <c r="AF721" i="3"/>
  <c r="AF704" i="3"/>
  <c r="AF688" i="3"/>
  <c r="AF671" i="3"/>
  <c r="AF655" i="3"/>
  <c r="AF640" i="3"/>
  <c r="AF623" i="3"/>
  <c r="AF606" i="3"/>
  <c r="AF591" i="3"/>
  <c r="AF575" i="3"/>
  <c r="AF558" i="3"/>
  <c r="AF542" i="3"/>
  <c r="AF525" i="3"/>
  <c r="AF510" i="3"/>
  <c r="AF497" i="3"/>
  <c r="AF482" i="3"/>
  <c r="AF467" i="3"/>
  <c r="AF454" i="3"/>
  <c r="AF440" i="3"/>
  <c r="AF426" i="3"/>
  <c r="AF415" i="3"/>
  <c r="AF402" i="3"/>
  <c r="AF390" i="3"/>
  <c r="AF378" i="3"/>
  <c r="AF366" i="3"/>
  <c r="AF353" i="3"/>
  <c r="AF342" i="3"/>
  <c r="AF329" i="3"/>
  <c r="AF316" i="3"/>
  <c r="AF305" i="3"/>
  <c r="AF292" i="3"/>
  <c r="AF280" i="3"/>
  <c r="AF268" i="3"/>
  <c r="AF256" i="3"/>
  <c r="AF243" i="3"/>
  <c r="AF234" i="3"/>
  <c r="AF225" i="3"/>
  <c r="AF216" i="3"/>
  <c r="AF207" i="3"/>
  <c r="AF198" i="3"/>
  <c r="AF188" i="3"/>
  <c r="AF179" i="3"/>
  <c r="AF170" i="3"/>
  <c r="AF161" i="3"/>
  <c r="AF152" i="3"/>
  <c r="AF143" i="3"/>
  <c r="AF134" i="3"/>
  <c r="AF124" i="3"/>
  <c r="AF115" i="3"/>
  <c r="AF106" i="3"/>
  <c r="AF97" i="3"/>
  <c r="AF88" i="3"/>
  <c r="AF79" i="3"/>
  <c r="AF70" i="3"/>
  <c r="AF60" i="3"/>
  <c r="AF51" i="3"/>
  <c r="AF42" i="3"/>
  <c r="AF33" i="3"/>
  <c r="AF24" i="3"/>
  <c r="AF15" i="3"/>
  <c r="AF6" i="3"/>
  <c r="AF17" i="3"/>
  <c r="AF32" i="3"/>
  <c r="AF47" i="3"/>
  <c r="AF65" i="3"/>
  <c r="AF83" i="3"/>
  <c r="AF102" i="3"/>
  <c r="AF120" i="3"/>
  <c r="AF138" i="3"/>
  <c r="AF156" i="3"/>
  <c r="AF175" i="3"/>
  <c r="AF193" i="3"/>
  <c r="AF211" i="3"/>
  <c r="AF230" i="3"/>
  <c r="AF250" i="3"/>
  <c r="AF274" i="3"/>
  <c r="AF298" i="3"/>
  <c r="AF323" i="3"/>
  <c r="AF347" i="3"/>
  <c r="AF371" i="3"/>
  <c r="AF396" i="3"/>
  <c r="AF420" i="3"/>
  <c r="AF446" i="3"/>
  <c r="AF475" i="3"/>
  <c r="AF504" i="3"/>
  <c r="AF533" i="3"/>
  <c r="AF567" i="3"/>
  <c r="AF598" i="3"/>
  <c r="AF631" i="3"/>
  <c r="AF664" i="3"/>
  <c r="AF696" i="3"/>
  <c r="AF728" i="3"/>
  <c r="AF761" i="3"/>
  <c r="AF795" i="3"/>
  <c r="AF825" i="3"/>
  <c r="AF860" i="3"/>
  <c r="AF891" i="3"/>
  <c r="AF924" i="3"/>
  <c r="AF957" i="3"/>
  <c r="AF989" i="3"/>
  <c r="AF1021" i="3"/>
  <c r="AF1054" i="3"/>
  <c r="AF1087" i="3"/>
  <c r="AF1118" i="3"/>
  <c r="AF1152" i="3"/>
  <c r="AF1183" i="3"/>
  <c r="AF4" i="3"/>
  <c r="AF19" i="3"/>
  <c r="AF34" i="3"/>
  <c r="AF48" i="3"/>
  <c r="AF66" i="3"/>
  <c r="AF84" i="3"/>
  <c r="AF103" i="3"/>
  <c r="AF121" i="3"/>
  <c r="AF139" i="3"/>
  <c r="AF158" i="3"/>
  <c r="AF176" i="3"/>
  <c r="AF194" i="3"/>
  <c r="AF212" i="3"/>
  <c r="AF231" i="3"/>
  <c r="AF251" i="3"/>
  <c r="AF275" i="3"/>
  <c r="AF299" i="3"/>
  <c r="AF324" i="3"/>
  <c r="AF348" i="3"/>
  <c r="AF372" i="3"/>
  <c r="AF398" i="3"/>
  <c r="AF422" i="3"/>
  <c r="AF448" i="3"/>
  <c r="AF476" i="3"/>
  <c r="AF505" i="3"/>
  <c r="AF534" i="3"/>
  <c r="AF568" i="3"/>
  <c r="AF600" i="3"/>
  <c r="AF632" i="3"/>
  <c r="AF667" i="3"/>
  <c r="AF697" i="3"/>
  <c r="AF731" i="3"/>
  <c r="AF763" i="3"/>
  <c r="AF796" i="3"/>
  <c r="AF827" i="3"/>
  <c r="AF861" i="3"/>
  <c r="AF893" i="3"/>
  <c r="AF925" i="3"/>
  <c r="AF959" i="3"/>
  <c r="AF990" i="3"/>
  <c r="AF1023" i="3"/>
  <c r="AF1055" i="3"/>
  <c r="AF1088" i="3"/>
  <c r="AF1119" i="3"/>
  <c r="AF1153" i="3"/>
  <c r="AF1185" i="3"/>
  <c r="AF7" i="3"/>
  <c r="AF20" i="3"/>
  <c r="AF35" i="3"/>
  <c r="AF50" i="3"/>
  <c r="AF68" i="3"/>
  <c r="AF87" i="3"/>
  <c r="AF105" i="3"/>
  <c r="AF123" i="3"/>
  <c r="AF142" i="3"/>
  <c r="AF160" i="3"/>
  <c r="AF178" i="3"/>
  <c r="AF196" i="3"/>
  <c r="AF215" i="3"/>
  <c r="AF233" i="3"/>
  <c r="AF254" i="3"/>
  <c r="AF279" i="3"/>
  <c r="AF303" i="3"/>
  <c r="AF327" i="3"/>
  <c r="AF352" i="3"/>
  <c r="AF376" i="3"/>
  <c r="AF400" i="3"/>
  <c r="AF425" i="3"/>
  <c r="AF451" i="3"/>
  <c r="AF480" i="3"/>
  <c r="AF508" i="3"/>
  <c r="AF540" i="3"/>
  <c r="AF571" i="3"/>
  <c r="AF605" i="3"/>
  <c r="AF637" i="3"/>
  <c r="AF669" i="3"/>
  <c r="AF703" i="3"/>
  <c r="AF734" i="3"/>
  <c r="AF767" i="3"/>
  <c r="AF799" i="3"/>
  <c r="AF832" i="3"/>
  <c r="AF863" i="3"/>
  <c r="AF897" i="3"/>
  <c r="AF929" i="3"/>
  <c r="AF961" i="3"/>
  <c r="AF996" i="3"/>
  <c r="AF1027" i="3"/>
  <c r="AF1060" i="3"/>
  <c r="AF1092" i="3"/>
  <c r="AF1125" i="3"/>
  <c r="AF1156" i="3"/>
  <c r="AF1190" i="3"/>
  <c r="AF8" i="3"/>
  <c r="AF23" i="3"/>
  <c r="AF38" i="3"/>
  <c r="AF54" i="3"/>
  <c r="AF72" i="3"/>
  <c r="AF90" i="3"/>
  <c r="AF108" i="3"/>
  <c r="AF127" i="3"/>
  <c r="AF145" i="3"/>
  <c r="AF163" i="3"/>
  <c r="AF182" i="3"/>
  <c r="AF200" i="3"/>
  <c r="AF218" i="3"/>
  <c r="AF236" i="3"/>
  <c r="AF259" i="3"/>
  <c r="AF283" i="3"/>
  <c r="AF307" i="3"/>
  <c r="AF332" i="3"/>
  <c r="AF356" i="3"/>
  <c r="AF380" i="3"/>
  <c r="AF406" i="3"/>
  <c r="AF430" i="3"/>
  <c r="AF457" i="3"/>
  <c r="AF486" i="3"/>
  <c r="AF514" i="3"/>
  <c r="AF545" i="3"/>
  <c r="AF579" i="3"/>
  <c r="AF612" i="3"/>
  <c r="AF643" i="3"/>
  <c r="AF677" i="3"/>
  <c r="AF708" i="3"/>
  <c r="AF741" i="3"/>
  <c r="AF774" i="3"/>
  <c r="AF806" i="3"/>
  <c r="AF838" i="3"/>
  <c r="AF871" i="3"/>
  <c r="AF904" i="3"/>
  <c r="AF935" i="3"/>
  <c r="AF969" i="3"/>
  <c r="AF1000" i="3"/>
  <c r="AF1033" i="3"/>
  <c r="AF1067" i="3"/>
  <c r="AF1099" i="3"/>
  <c r="AF1131" i="3"/>
  <c r="AF1164" i="3"/>
  <c r="AF1197" i="3"/>
  <c r="AF10" i="3"/>
  <c r="AF25" i="3"/>
  <c r="AF39" i="3"/>
  <c r="AF56" i="3"/>
  <c r="AF74" i="3"/>
  <c r="AF92" i="3"/>
  <c r="AF111" i="3"/>
  <c r="AF129" i="3"/>
  <c r="AF147" i="3"/>
  <c r="AF166" i="3"/>
  <c r="AF184" i="3"/>
  <c r="AF202" i="3"/>
  <c r="AF220" i="3"/>
  <c r="AF239" i="3"/>
  <c r="AF262" i="3"/>
  <c r="AF287" i="3"/>
  <c r="AF311" i="3"/>
  <c r="AF335" i="3"/>
  <c r="AF360" i="3"/>
  <c r="AF384" i="3"/>
  <c r="AF408" i="3"/>
  <c r="AF433" i="3"/>
  <c r="AF460" i="3"/>
  <c r="AF489" i="3"/>
  <c r="AF518" i="3"/>
  <c r="AF550" i="3"/>
  <c r="AF582" i="3"/>
  <c r="AF615" i="3"/>
  <c r="AF648" i="3"/>
  <c r="AF679" i="3"/>
  <c r="AF713" i="3"/>
  <c r="AF744" i="3"/>
  <c r="AF777" i="3"/>
  <c r="AF811" i="3"/>
  <c r="AF843" i="3"/>
  <c r="AF875" i="3"/>
  <c r="AF908" i="3"/>
  <c r="AF941" i="3"/>
  <c r="AF972" i="3"/>
  <c r="AF1006" i="3"/>
  <c r="AF1037" i="3"/>
  <c r="AF1070" i="3"/>
  <c r="AF1103" i="3"/>
  <c r="AF1135" i="3"/>
  <c r="AF1167" i="3"/>
  <c r="AF1200" i="3"/>
  <c r="AF11" i="3"/>
  <c r="AF26" i="3"/>
  <c r="AF41" i="3"/>
  <c r="AF57" i="3"/>
  <c r="AF75" i="3"/>
  <c r="AF94" i="3"/>
  <c r="AF112" i="3"/>
  <c r="AF130" i="3"/>
  <c r="AF148" i="3"/>
  <c r="AF167" i="3"/>
  <c r="AF185" i="3"/>
  <c r="AF203" i="3"/>
  <c r="AF222" i="3"/>
  <c r="AF240" i="3"/>
  <c r="AF263" i="3"/>
  <c r="AF288" i="3"/>
  <c r="AF312" i="3"/>
  <c r="AF336" i="3"/>
  <c r="AF361" i="3"/>
  <c r="AF385" i="3"/>
  <c r="AF409" i="3"/>
  <c r="AF434" i="3"/>
  <c r="AF462" i="3"/>
  <c r="AF490" i="3"/>
  <c r="AF520" i="3"/>
  <c r="AF551" i="3"/>
  <c r="AF584" i="3"/>
  <c r="AF616" i="3"/>
  <c r="AF649" i="3"/>
  <c r="AF680" i="3"/>
  <c r="AF715" i="3"/>
  <c r="AF747" i="3"/>
  <c r="AF779" i="3"/>
  <c r="AF813" i="3"/>
  <c r="AF844" i="3"/>
  <c r="AF877" i="3"/>
  <c r="AF909" i="3"/>
  <c r="AF942" i="3"/>
  <c r="AF973" i="3"/>
  <c r="AF1007" i="3"/>
  <c r="AF1039" i="3"/>
  <c r="AF1071" i="3"/>
  <c r="AF1105" i="3"/>
  <c r="AF1136" i="3"/>
  <c r="AF1169" i="3"/>
  <c r="AF1201" i="3"/>
  <c r="AF14" i="3"/>
  <c r="AF28" i="3"/>
  <c r="AF43" i="3"/>
  <c r="AF59" i="3"/>
  <c r="AF78" i="3"/>
  <c r="AF96" i="3"/>
  <c r="AF114" i="3"/>
  <c r="AF132" i="3"/>
  <c r="AF151" i="3"/>
  <c r="AF169" i="3"/>
  <c r="AF187" i="3"/>
  <c r="AF206" i="3"/>
  <c r="AF224" i="3"/>
  <c r="AF242" i="3"/>
  <c r="AF266" i="3"/>
  <c r="AF290" i="3"/>
  <c r="AF315" i="3"/>
  <c r="AF339" i="3"/>
  <c r="AF363" i="3"/>
  <c r="AF388" i="3"/>
  <c r="AF412" i="3"/>
  <c r="AF436" i="3"/>
  <c r="AF466" i="3"/>
  <c r="AF494" i="3"/>
  <c r="AF523" i="3"/>
  <c r="AF557" i="3"/>
  <c r="AF588" i="3"/>
  <c r="AF621" i="3"/>
  <c r="AF653" i="3"/>
  <c r="AF686" i="3"/>
  <c r="AF717" i="3"/>
  <c r="AF751" i="3"/>
  <c r="AF783" i="3"/>
  <c r="AF815" i="3"/>
  <c r="AF849" i="3"/>
  <c r="AF880" i="3"/>
  <c r="AF913" i="3"/>
  <c r="AF945" i="3"/>
  <c r="AF979" i="3"/>
  <c r="AF1009" i="3"/>
  <c r="AF1044" i="3"/>
  <c r="AF1076" i="3"/>
  <c r="AF1108" i="3"/>
  <c r="AF1142" i="3"/>
  <c r="AF1173" i="3"/>
</calcChain>
</file>

<file path=xl/sharedStrings.xml><?xml version="1.0" encoding="utf-8"?>
<sst xmlns="http://schemas.openxmlformats.org/spreadsheetml/2006/main" count="23241" uniqueCount="5152">
  <si>
    <t>Supervisor Email</t>
  </si>
  <si>
    <t>Initial for Off Water</t>
  </si>
  <si>
    <t>Actual Time off Water</t>
  </si>
  <si>
    <t>Merged Doc ID - Float Plan Merge V2</t>
  </si>
  <si>
    <t>Merged Doc URL - Float Plan Merge V2</t>
  </si>
  <si>
    <t>Link to merged Doc - Float Plan Merge V2</t>
  </si>
  <si>
    <t>Document Merge Status - Float Plan Merge V2</t>
  </si>
  <si>
    <t>KR</t>
  </si>
  <si>
    <t>x</t>
  </si>
  <si>
    <t>Kenneth.Rainer@floridadep.gov</t>
  </si>
  <si>
    <t>1-xBJcM5t4rp1kF8CtiHFHCGIYOyemNCh</t>
  </si>
  <si>
    <t>https://drive.google.com/a/gtmnerr.org/file/d/1-xBJcM5t4rp1kF8CtiHFHCGIYOyemNCh/view?usp=drivesdk</t>
  </si>
  <si>
    <t>Document successfully created; Document successfully merged; PDF created; Emails Sent: [To: Kenneth.Rainer@floridadep.gov,Nikki.Dix@floridadep.gov; CC: Kenneth.Rainer@floridadep.gov; Reply To: Kenneth.Rainer@floridadep.gov]; Manually run by kenneth.rainer@gtmnerr.org; Timestamp: Mar 7 2018 10:38 AM</t>
  </si>
  <si>
    <t>KR/ SE</t>
  </si>
  <si>
    <t>1PoGr328HmybT9p6Khc3j48PbR5wcYaea</t>
  </si>
  <si>
    <t>https://drive.google.com/a/gtmnerr.org/file/d/1PoGr328HmybT9p6Khc3j48PbR5wcYaea/view?usp=drivesdk</t>
  </si>
  <si>
    <t>Document successfully created; Document successfully merged; PDF created; Emails Sent: [To: Nikki.Dix@floridadep.gov,Jennifer.Odzinski@dep.state.fl.us,Stephanie.Windham@dep.state.fl.us,Lia.Sansom@dep.state.fl.us; CC: Pamela.Marcum@Dep.state.fl.us; Reply To: Pamela.Marcum@Dep.state.fl.us]; Manually run by kenneth.rainer@gtmnerr.org; Timestamp: Mar 16 2018 5:28 PM</t>
  </si>
  <si>
    <t>JBO</t>
  </si>
  <si>
    <t>1lZDSHrj3qsq_O52lhKl_J8Ol3Ppm2wpf</t>
  </si>
  <si>
    <t>https://drive.google.com/a/gtmnerr.org/file/d/1lZDSHrj3qsq_O52lhKl_J8Ol3Ppm2wpf/view?usp=drivesdk</t>
  </si>
  <si>
    <t>Document successfully created; Document successfully merged; PDF created; Emails Sent: [To: Nikki.Dix@floridadep.gov,Jennifer.Odzinski@dep.state.fl.us,Stephanie.Windham@dep.state.fl.us,Lia.Sansom@dep.state.fl.us; CC: Pamela.Marcum@dep.state.fl.us; Reply To: Pamela.Marcum@dep.state.fl.us]; Run via form trigger as kenneth.rainer@gtmnerr.org; Timestamp: Mar 23 2018 8:40 AM</t>
  </si>
  <si>
    <t>SFE</t>
  </si>
  <si>
    <t>1QvAZ7R1p5_SFBt5mF93Am43VNlxMzFTn</t>
  </si>
  <si>
    <t>https://drive.google.com/a/gtmnerr.org/file/d/1QvAZ7R1p5_SFBt5mF93Am43VNlxMzFTn/view?usp=drivesdk</t>
  </si>
  <si>
    <t>Document successfully created; Document successfully merged; PDF created; Emails Sent: [To: Nikki.Dix@floridadep.gov,Jennifer.Odzinski@dep.state.fl.us,Stephanie.Windham@dep.state.fl.us,Lia.Sansom@dep.state.fl.us; CC: Pamela.Marcum@Dep.state.fl.us; Reply To: Pamela.Marcum@Dep.state.fl.us]; Run via form trigger as kenneth.rainer@gtmnerr.org; Timestamp: Mar 24 2018 8:56 AM</t>
  </si>
  <si>
    <t>1YinwlBsrG6skh50eUb96HFs4ROS8w5Vd</t>
  </si>
  <si>
    <t>https://drive.google.com/a/gtmnerr.org/file/d/1YinwlBsrG6skh50eUb96HFs4ROS8w5Vd/view?usp=drivesdk</t>
  </si>
  <si>
    <t>Document successfully created; Document successfully merged; PDF created; Emails Sent: [To: Nikki.Dix@floridadep.gov,Jennifer.Odzinski@dep.state.fl.us,Stephanie.Windham@dep.state.fl.us,Lia.Sansom@dep.state.fl.us; CC: silas.tanner@floridadep.gov; Reply To: silas.tanner@floridadep.gov]; Run via form trigger as kenneth.rainer@gtmnerr.org; Timestamp: Mar 26 2018 2:03 PM</t>
  </si>
  <si>
    <t>1UDcTZ57HVMirRLXojC9fGFCmlWToZDMk</t>
  </si>
  <si>
    <t>https://drive.google.com/a/gtmnerr.org/file/d/1UDcTZ57HVMirRLXojC9fGFCmlWToZDMk/view?usp=drivesdk</t>
  </si>
  <si>
    <t>Document successfully created; Document successfully merged; PDF created; Emails Sent: [To: Nikki.Dix@floridadep.gov,Jennifer.Odzinski@dep.state.fl.us,Stephanie.Windham@dep.state.fl.us,Lia.Sansom@dep.state.fl.us; CC: silas.tanner@floridadep.gov; Reply To: silas.tanner@floridadep.gov]; Run via form trigger as kenneth.rainer@gtmnerr.org; Timestamp: Mar 26 2018 2:07 PM</t>
  </si>
  <si>
    <t>1jgjcWdO9z2WyqZPvktwTx42rtdLSC_0a</t>
  </si>
  <si>
    <t>https://drive.google.com/a/gtmnerr.org/file/d/1jgjcWdO9z2WyqZPvktwTx42rtdLSC_0a/view?usp=drivesdk</t>
  </si>
  <si>
    <t>Document successfully created; Document successfully merged; PDF created; Emails Sent: [To: Scott.Eastman@floridadep.gov,Jennifer.Odzinski@dep.state.fl.us,Stephanie.Windham@dep.state.fl.us,Lia.Sansom@dep.state.fl.us; CC: james.tomazinis@floridadep.gov; Reply To: james.tomazinis@floridadep.gov]; Run via form trigger as kenneth.rainer@gtmnerr.org; Timestamp: Mar 28 2018 7:37 AM</t>
  </si>
  <si>
    <t>1xdZPUxBQL3Q04nu9hZKEqU5OAwvcXjY4</t>
  </si>
  <si>
    <t>https://drive.google.com/a/gtmnerr.org/file/d/1xdZPUxBQL3Q04nu9hZKEqU5OAwvcXjY4/view?usp=drivesdk</t>
  </si>
  <si>
    <t>Document successfully created; Document successfully merged; PDF created; Emails Sent: [To: Scott.Eastman@floridadep.gov,Jennifer.Odzinski@dep.state.fl.us,Stephanie.Windham@dep.state.fl.us,Lia.Sansom@dep.state.fl.us; CC: james.tomazinis@floridadep.gov; Reply To: james.tomazinis@floridadep.gov]; Run via form trigger as kenneth.rainer@gtmnerr.org; Timestamp: Mar 29 2018 8:40 AM</t>
  </si>
  <si>
    <t>JK</t>
  </si>
  <si>
    <t>1CqRffsFMJFT8y9LOWdRzM3m5rD9ZeP2D</t>
  </si>
  <si>
    <t>https://drive.google.com/a/gtmnerr.org/file/d/1CqRffsFMJFT8y9LOWdRzM3m5rD9ZeP2D/view?usp=drivesdk</t>
  </si>
  <si>
    <t>Document successfully created; Document successfully merged; PDF created; Emails Sent: [To: Kenneth.Rainer@floridadep.gov,Jennifer.Odzinski@dep.state.fl.us,Stephanie.Windham@dep.state.fl.us,Lia.Sansom@dep.state.fl.us; CC: Kenneth.Rainer@dep.state.fl.us; Reply To: Kenneth.Rainer@dep.state.fl.us]; Run via form trigger as kenneth.rainer@gtmnerr.org; Timestamp: Mar 30 2018 11:53 AM</t>
  </si>
  <si>
    <t>ND</t>
  </si>
  <si>
    <t>1VQkdorZRbfabc3AEa7o8ja86ZuyLfsIJ</t>
  </si>
  <si>
    <t>https://drive.google.com/a/gtmnerr.org/file/d/1VQkdorZRbfabc3AEa7o8ja86ZuyLfsIJ/view?usp=drivesdk</t>
  </si>
  <si>
    <t>Document successfully created; Document successfully merged; PDF created; Emails Sent: [To: Nikki.Dix@floridadep.gov,Jennifer.Odzinski@dep.state.fl.us,Stephanie.Windham@dep.state.fl.us,Lia.Sansom@dep.state.fl.us; CC: Pamela.Marcum@dep.state.fl.us; Reply To: Pamela.Marcum@dep.state.fl.us]; Run via form trigger as kenneth.rainer@gtmnerr.org; Timestamp: Apr 3 2018 7:34 AM</t>
  </si>
  <si>
    <t>1wwbmFLgI3rXytEVbNoq8P0VpSeSlZpZt</t>
  </si>
  <si>
    <t>https://drive.google.com/a/gtmnerr.org/file/d/1wwbmFLgI3rXytEVbNoq8P0VpSeSlZpZt/view?usp=drivesdk</t>
  </si>
  <si>
    <t>Document successfully created; Document successfully merged; PDF created; Emails Sent: [To: Nikki.Dix@floridadep.gov,Jennifer.Odzinski@dep.state.fl.us,Stephanie.Windham@dep.state.fl.us,Lia.Sansom@dep.state.fl.us; CC: Pamela.Marcum@dep.state.fl.us; Reply To: Pamela.Marcum@dep.state.fl.us]; Run via form trigger as kenneth.rainer@gtmnerr.org; Timestamp: Apr 5 2018 7:49 AM</t>
  </si>
  <si>
    <t>1PS5YPza6b0J9agPHBVTnWxTfvhLIFch7</t>
  </si>
  <si>
    <t>https://drive.google.com/a/gtmnerr.org/file/d/1PS5YPza6b0J9agPHBVTnWxTfvhLIFch7/view?usp=drivesdk</t>
  </si>
  <si>
    <t>Document successfully created; Document successfully merged; PDF created; Emails Sent: [To: Nikki.Dix@floridadep.gov,Jennifer.Odzinski@dep.state.fl.us,Stephanie.Windham@dep.state.fl.us,Lia.Sansom@dep.state.fl.us; CC: mowbraybenjamin@gmail.com; Reply To: mowbraybenjamin@gmail.com]; Run via form trigger as kenneth.rainer@gtmnerr.org; Timestamp: Apr 7 2018 8:54 AM</t>
  </si>
  <si>
    <t>1xtziDCcDw8NcS5SRk_17AU3Q8TKpQ1Z4</t>
  </si>
  <si>
    <t>https://drive.google.com/a/gtmnerr.org/file/d/1xtziDCcDw8NcS5SRk_17AU3Q8TKpQ1Z4/view?usp=drivesdk</t>
  </si>
  <si>
    <t>Document successfully created; Document successfully merged; PDF created; Emails Sent: [To: Nikki.Dix@floridadep.gov,Jennifer.Odzinski@dep.state.fl.us,Stephanie.Windham@dep.state.fl.us,Lia.Sansom@dep.state.fl.us; CC: mowbraybenjamin@gmail.com; Reply To: mowbraybenjamin@gmail.com]; Run via form trigger as kenneth.rainer@gtmnerr.org; Timestamp: Apr 7 2018 8:56 AM</t>
  </si>
  <si>
    <t>cancelled</t>
  </si>
  <si>
    <t>1dZ2zFneiLNJ-LVQ0meYVs4oB71EuzBH6</t>
  </si>
  <si>
    <t>https://drive.google.com/a/gtmnerr.org/file/d/1dZ2zFneiLNJ-LVQ0meYVs4oB71EuzBH6/view?usp=drivesdk</t>
  </si>
  <si>
    <t>Document successfully created; Document successfully merged; PDF created; Emails Sent: [To: Nikki.Dix@floridadep.gov,Jennifer.Odzinski@dep.state.fl.us,Stephanie.Windham@dep.state.fl.us,Lia.Sansom@dep.state.fl.us; CC: silas.tanner@floridadep.gov; Reply To: silas.tanner@floridadep.gov]; Manually run by research@gtmnerr.org; Timestamp: Apr 12 2018 9:13 AM</t>
  </si>
  <si>
    <t>SW</t>
  </si>
  <si>
    <t>1iSoKHDcZ4JzQNG4JwzRoVeKu0BXy7IBM</t>
  </si>
  <si>
    <t>https://drive.google.com/a/gtmnerr.org/file/d/1iSoKHDcZ4JzQNG4JwzRoVeKu0BXy7IBM/view?usp=drivesdk</t>
  </si>
  <si>
    <t>Document successfully created; Document successfully merged; PDF created; Emails Sent: [To: Nikki.Dix@floridadep.gov,Jennifer.Odzinski@dep.state.fl.us,Stephanie.Windham@dep.state.fl.us,Lia.Sansom@dep.state.fl.us; CC: silas.tanner@floridadep.gov; Reply To: silas.tanner@floridadep.gov]; Run via form trigger as kenneth.rainer@gtmnerr.org; Timestamp: Apr 11 2018 9:25 AM</t>
  </si>
  <si>
    <t>1X-tbMcKrUC7VZG_2B5PruW_7lMpu_1vI</t>
  </si>
  <si>
    <t>https://drive.google.com/a/gtmnerr.org/file/d/1X-tbMcKrUC7VZG_2B5PruW_7lMpu_1vI/view?usp=drivesdk</t>
  </si>
  <si>
    <t>Document successfully created; Document successfully merged; PDF created; Emails Sent: [To: Nikki.Dix@floridadep.gov,Jennifer.Odzinski@dep.state.fl.us,Stephanie.Windham@dep.state.fl.us,Lia.Sansom@dep.state.fl.us; CC: Pamela.Marcum@floridadep.gov; Reply To: Pamela.Marcum@floridadep.gov]; Run via form trigger as kenneth.rainer@gtmnerr.org; Timestamp: Apr 12 2018 8:00 AM</t>
  </si>
  <si>
    <t>1lvnFSpiVYr6imjfOlWlxPW2ouTpS9jO0pAxu4_Njk7M</t>
  </si>
  <si>
    <t>https://docs.google.com/document/d/1lvnFSpiVYr6imjfOlWlxPW2ouTpS9jO0pAxu4_Njk7M/edit?usp=drivesdk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</si>
  <si>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Apr 16 2018 1:02 PM</t>
  </si>
  <si>
    <t>1yuciw9UAQC0hXjE6C7ODRboAy7GXEhKwmAu3V1IstVw</t>
  </si>
  <si>
    <t>https://docs.google.com/document/d/1yuciw9UAQC0hXjE6C7ODRboAy7GXEhKwmAu3V1IstVw/edit?usp=drivesdk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</si>
  <si>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Apr 16 2018 5:40 PM</t>
  </si>
  <si>
    <t>1xUIhT2sRTDOWmpUEFwaZu47fXh5-6Kw9MpWVOIypX_Y</t>
  </si>
  <si>
    <t>https://docs.google.com/document/d/1xUIhT2sRTDOWmpUEFwaZu47fXh5-6Kw9MpWVOIypX_Y/edit?usp=drivesdk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</si>
  <si>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Apr 19 2018 7:14 AM</t>
  </si>
  <si>
    <t>1JEa1CEgHyehbkiQb0UeiGakohFPxlUdscuddwbzrIxE</t>
  </si>
  <si>
    <t>https://docs.google.com/document/d/1JEa1CEgHyehbkiQb0UeiGakohFPxlUdscuddwbzrIxE/edit?usp=drivesdk</t>
  </si>
  <si>
    <t>Document successfully created; Document successfully merged; Emails Sent: [To: Nikki.Dix@floridadep.gov,Jennifer.Odzinski@dep.state.fl.us,Stephanie.Windham@dep.state.fl.us,Lia.Sansom@dep.state.fl.us; CC: silas.tanner@dep.state.fl.us; Reply To: silas.tanner@dep.state.fl.us]; Run via form trigger as kenneth.rainer@gtmnerr.org; Timestamp: Apr 20 2018 8:18 AM</t>
  </si>
  <si>
    <t>1JFryXOw2InmmGmXxxzshvZNk4sdpEONK7hn7Y_AqJRE</t>
  </si>
  <si>
    <t>https://docs.google.com/document/d/1JFryXOw2InmmGmXxxzshvZNk4sdpEONK7hn7Y_AqJRE/edit?usp=drivesdk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</si>
  <si>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Apr 23 2018 9:40 AM</t>
  </si>
  <si>
    <t>1cZgdQ9Bkry7GfAi9UtVtg27Em-ne__SFXnsOQWLIXOg</t>
  </si>
  <si>
    <t>https://docs.google.com/document/d/1cZgdQ9Bkry7GfAi9UtVtg27Em-ne__SFXnsOQWLIXOg/edit?usp=drivesdk</t>
  </si>
  <si>
    <t>Document successfully created; Document successfully merged; Emails Sent: [To: Scott.Eastman@floridadep.gov,Jennifer.Odzinski@dep.state.fl.us,Stephanie.Windham@dep.state.fl.us,Lia.Sansom@dep.state.fl.us; CC: james.tomazinis@dep.state.fl.us; Reply To: james.tomazinis@dep.state.fl.us]; Run via form trigger as kenneth.rainer@gtmnerr.org; Timestamp: Apr 23 2018 5:09 PM</t>
  </si>
  <si>
    <t>141YwKW4KI8Q1dzT2ZpYz1hJTIpHl_K-P_b2fL-FVL80</t>
  </si>
  <si>
    <t>https://docs.google.com/document/d/141YwKW4KI8Q1dzT2ZpYz1hJTIpHl_K-P_b2fL-FVL80/edit?usp=drivesdk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</si>
  <si>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Apr 24 2018 8:37 AM</t>
  </si>
  <si>
    <t>11JZf3cCy2oWzUnb0sX9zgzWgWoI2_8xAwaHHjF2yHkM</t>
  </si>
  <si>
    <t>https://docs.google.com/document/d/11JZf3cCy2oWzUnb0sX9zgzWgWoI2_8xAwaHHjF2yHkM/edit?usp=drivesdk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</si>
  <si>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Apr 25 2018 6:20 AM</t>
  </si>
  <si>
    <t>1eL5Q6SNkiPmg7jIbli2gKBq4HNhYtjpYK0Xasr2D1E4</t>
  </si>
  <si>
    <t>https://docs.google.com/document/d/1eL5Q6SNkiPmg7jIbli2gKBq4HNhYtjpYK0Xasr2D1E4/edit?usp=drivesdk</t>
  </si>
  <si>
    <t>Document successfully created; Document successfully merged; Emails Sent: [To: Nikki.Dix@floridadep.gov,Jennifer.Odzinski@dep.state.fl.us,Stephanie.Windham@dep.state.fl.us,Lia.Sansom@dep.state.fl.us; CC: silas.tanner@dep.state.fl.us; Reply To: silas.tanner@dep.state.fl.us]; Run via form trigger as kenneth.rainer@gtmnerr.org; Timestamp: Apr 26 2018 12:49 PM</t>
  </si>
  <si>
    <t>1pqxIs0u3K7GhvcOKvyC8IjsZWvGnhWY4BbRyjvR0EHs</t>
  </si>
  <si>
    <t>https://docs.google.com/document/d/1pqxIs0u3K7GhvcOKvyC8IjsZWvGnhWY4BbRyjvR0EHs/edit?usp=drivesdk</t>
  </si>
  <si>
    <t>Document successfully created; Document successfully merged; Emails Sent: [To: Nikki.Dix@floridadep.gov,Jennifer.Odzinski@dep.state.fl.us,Stephanie.Windham@dep.state.fl.us,Lia.Sansom@dep.state.fl.us; CC: Shannon.Dunnigan@dep.state.fl.us; Reply To: Shannon.Dunnigan@dep.state.fl.us]; Run via form trigger as kenneth.rainer@gtmnerr.org; Timestamp: Apr 27 2018 8:58 AM</t>
  </si>
  <si>
    <t>1o_kh_Z-U6_tGhTgiT0C3Z1YHstpG_03KK-kY2lq7ebs</t>
  </si>
  <si>
    <t>https://docs.google.com/document/d/1o_kh_Z-U6_tGhTgiT0C3Z1YHstpG_03KK-kY2lq7ebs/edit?usp=drivesdk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</si>
  <si>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Apr 27 2018 11:27 AM</t>
  </si>
  <si>
    <t>15XlgdKXD7KIdSk2IIAY4JghUF2KIMnTCytAv-cTrJKA</t>
  </si>
  <si>
    <t>https://docs.google.com/document/d/15XlgdKXD7KIdSk2IIAY4JghUF2KIMnTCytAv-cTrJKA/edit?usp=drivesdk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</si>
  <si>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Apr 30 2018 9:58 AM</t>
  </si>
  <si>
    <t>1v2wrRH98Mb6W56K8yPZheM1Zp9pKLMkjPI3HLleM2-E</t>
  </si>
  <si>
    <t>https://docs.google.com/document/d/1v2wrRH98Mb6W56K8yPZheM1Zp9pKLMkjPI3HLleM2-E/edit?usp=drivesdk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</si>
  <si>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1 2018 9:51 AM</t>
  </si>
  <si>
    <t>1v_EdmdvVGzhAN3sdHRshOKc3HcBBu2-dgl8Cd4de5UM</t>
  </si>
  <si>
    <t>https://docs.google.com/document/d/1v_EdmdvVGzhAN3sdHRshOKc3HcBBu2-dgl8Cd4de5UM/edit?usp=drivesdk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</si>
  <si>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May 1 2018 5:08 PM</t>
  </si>
  <si>
    <t>1aRzzSkR4_IR2TrYGXtPq9lf_h_sywa9CZFinxHZ5IvA</t>
  </si>
  <si>
    <t>https://docs.google.com/document/d/1aRzzSkR4_IR2TrYGXtPq9lf_h_sywa9CZFinxHZ5IvA/edit?usp=drivesdk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</si>
  <si>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May 3 2018 8:58 AM</t>
  </si>
  <si>
    <t>1UxSihKYLLd3ptxsJHs_8U8O3j5OHfzHKbjnt5FECBbs</t>
  </si>
  <si>
    <t>https://docs.google.com/document/d/1UxSihKYLLd3ptxsJHs_8U8O3j5OHfzHKbjnt5FECBbs/edit?usp=drivesdk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</si>
  <si>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May 4 2018 9:21 AM</t>
  </si>
  <si>
    <t>LS</t>
  </si>
  <si>
    <t>1YVH9hAY0Il0DCK6rFfBHIM-B2FMeHXQEEJUjpA6N7-U</t>
  </si>
  <si>
    <t>https://docs.google.com/document/d/1YVH9hAY0Il0DCK6rFfBHIM-B2FMeHXQEEJUjpA6N7-U/edit?usp=drivesdk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</si>
  <si>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8 2018 8:25 AM</t>
  </si>
  <si>
    <t>12huri7tFQSawQjEXKj8ob1-TqT9eABr2dmxojMW4czY</t>
  </si>
  <si>
    <t>https://docs.google.com/document/d/12huri7tFQSawQjEXKj8ob1-TqT9eABr2dmxojMW4czY/edit?usp=drivesdk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</si>
  <si>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10 2018 8:41 AM</t>
  </si>
  <si>
    <t>1NVKICve706r0YkCzp__mT8BDMJdF4QnbOgxRSabgmKc</t>
  </si>
  <si>
    <t>https://docs.google.com/document/d/1NVKICve706r0YkCzp__mT8BDMJdF4QnbOgxRSabgmKc/edit?usp=drivesdk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</si>
  <si>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11 2018 7:12 AM</t>
  </si>
  <si>
    <t>1As9djMbo-ypJ-TIGH9yy3dPkMxR0WI1KMjZ3T-YgY3o</t>
  </si>
  <si>
    <t>https://docs.google.com/document/d/1As9djMbo-ypJ-TIGH9yy3dPkMxR0WI1KMjZ3T-YgY3o/edit?usp=drivesdk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</si>
  <si>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May 14 2018 3:21 PM</t>
  </si>
  <si>
    <t>sw</t>
  </si>
  <si>
    <t>1ZYCXLV6gt2oXgWl9Ziwcxz8bjA1d5w_O5I7Ap6ZOB2M</t>
  </si>
  <si>
    <t>https://docs.google.com/document/d/1ZYCXLV6gt2oXgWl9Ziwcxz8bjA1d5w_O5I7Ap6ZOB2M/edit?usp=drivesdk</t>
  </si>
  <si>
    <t>Document successfully created; Document successfully merged; Emails Sent: [To: Kenneth.Rainer@floridadep.gov,Jennifer.Odzinski@dep.state.fl.us,Stephanie.Windham@dep.state.fl.us,Lia.Sansom@dep.state.fl.us; CC: Kenneth.Rainer@dep.state.fl.us; Reply To: Kenneth.Rainer@dep.state.fl.us]; Run via form trigger as kenneth.rainer@gtmnerr.org; Timestamp: May 16 2018 3:55 PM</t>
  </si>
  <si>
    <t>10nnniawQVtJWr1j6dGtxHYuaPvjUZS_oEzRZ6f249BE</t>
  </si>
  <si>
    <t>https://docs.google.com/document/d/10nnniawQVtJWr1j6dGtxHYuaPvjUZS_oEzRZ6f249BE/edit?usp=drivesdk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</si>
  <si>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17 2018 7:35 AM</t>
  </si>
  <si>
    <t>1_HH9Z8-j5vEDahK3SVVb5cw1dwoAO7QFzxqAWGE-CnI</t>
  </si>
  <si>
    <t>https://docs.google.com/document/d/1_HH9Z8-j5vEDahK3SVVb5cw1dwoAO7QFzxqAWGE-CnI/edit?usp=drivesdk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</si>
  <si>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May 23 2018 7:33 PM</t>
  </si>
  <si>
    <t>1xPjlL2XpuJuVs9bhlQHaVaBJvaUVRrAiSl6QpD-EBQQ</t>
  </si>
  <si>
    <t>https://docs.google.com/document/d/1xPjlL2XpuJuVs9bhlQHaVaBJvaUVRrAiSl6QpD-EBQQ/edit?usp=drivesdk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</si>
  <si>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May 24 2018 10:43 AM</t>
  </si>
  <si>
    <t>PM</t>
  </si>
  <si>
    <t>1Z8dAn-NJRpmpNLlG1zkbjukS7RuYIXNvx0IZ730X_Lk</t>
  </si>
  <si>
    <t>https://docs.google.com/document/d/1Z8dAn-NJRpmpNLlG1zkbjukS7RuYIXNvx0IZ730X_Lk/edit?usp=drivesdk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</si>
  <si>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28 2018 8:40 AM</t>
  </si>
  <si>
    <t>1-UbK8hMJUW_5g5Rku1FY9ewcvvUW5AHNrwKQATrchv4</t>
  </si>
  <si>
    <t>https://docs.google.com/document/d/1-UbK8hMJUW_5g5Rku1FY9ewcvvUW5AHNrwKQATrchv4/edit?usp=drivesdk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</si>
  <si>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May 29 2018 7:37 AM</t>
  </si>
  <si>
    <t>1WsrMwbtq1vkTBudK_ew-NbpNttOyEo3T3Yuj3AdKLcs</t>
  </si>
  <si>
    <t>https://docs.google.com/document/d/1WsrMwbtq1vkTBudK_ew-NbpNttOyEo3T3Yuj3AdKLcs/edit?usp=drivesdk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</si>
  <si>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May 30 2018 9:34 AM</t>
  </si>
  <si>
    <t>1QBVhj8T9wlvA9MtmpE0nIHEBCK43PFkjVDTBjO99NHM</t>
  </si>
  <si>
    <t>https://docs.google.com/document/d/1QBVhj8T9wlvA9MtmpE0nIHEBCK43PFkjVDTBjO99NHM/edit?usp=drivesdk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</si>
  <si>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30 2018 10:38 AM</t>
  </si>
  <si>
    <t>18xsY3dGulHPGl_CAhmxP1foemiasC677-RRywmPh4mc</t>
  </si>
  <si>
    <t>https://docs.google.com/document/d/18xsY3dGulHPGl_CAhmxP1foemiasC677-RRywmPh4mc/edit?usp=drivesdk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</si>
  <si>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May 30 2018 11:44 AM</t>
  </si>
  <si>
    <t>1GGxNyt9MBnblp9Zx3L_z8an_bzsgGlS6W15cDVnm3fk</t>
  </si>
  <si>
    <t>https://docs.google.com/document/d/1GGxNyt9MBnblp9Zx3L_z8an_bzsgGlS6W15cDVnm3fk/edit?usp=drivesdk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</si>
  <si>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May 31 2018 11:25 AM</t>
  </si>
  <si>
    <t>1Meihg5Jrur5EeX5nc6SpgFu2CqSqHvOVRaDjMu8Kzjw</t>
  </si>
  <si>
    <t>https://docs.google.com/document/d/1Meihg5Jrur5EeX5nc6SpgFu2CqSqHvOVRaDjMu8Kzjw/edit?usp=drivesdk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</si>
  <si>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Jun 1 2018 9:54 AM</t>
  </si>
  <si>
    <t>1_BU8DyN37-pP7dXayBuVa2UgN4SSVZhJ2PswBb3iWpA</t>
  </si>
  <si>
    <t>https://docs.google.com/document/d/1_BU8DyN37-pP7dXayBuVa2UgN4SSVZhJ2PswBb3iWpA/edit?usp=drivesdk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</si>
  <si>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Jun 1 2018 11:18 PM</t>
  </si>
  <si>
    <t>1_99TZLD-k-C9EsSVpSJNccEWzt4WrxyVPB59pY1zq1c</t>
  </si>
  <si>
    <t>https://docs.google.com/document/d/1_99TZLD-k-C9EsSVpSJNccEWzt4WrxyVPB59pY1zq1c/edit?usp=drivesdk</t>
  </si>
  <si>
    <t>Document successfully created; Document successfully merged; Emails Sent: [To: Kenneth.Rainer@floridadep.gov,Jennifer.Odzinski@dep.state.fl.us,Stephanie.Windham@dep.state.fl.us,Lia.Sansom@dep.state.fl.us; CC: Kenneth.Rainer@dep.state.fl.us; Reply To: Kenneth.Rainer@dep.state.fl.us]; Run via form trigger as kenneth.rainer@gtmnerr.org; Timestamp: Jun 4 2018 12:10 PM</t>
  </si>
  <si>
    <t>1OT1kes3CIgU0ZoBNEpPtzP0zZ3y229Cg9-mTm6wn5UM</t>
  </si>
  <si>
    <t>https://docs.google.com/document/d/1OT1kes3CIgU0ZoBNEpPtzP0zZ3y229Cg9-mTm6wn5UM/edit?usp=drivesdk</t>
  </si>
  <si>
    <t>Document successfully created; Document successfully merged; Emails Sent: [To: Kenneth.Rainer@floridadep.gov,Jennifer.Odzinski@dep.state.fl.us,Stephanie.Windham@dep.state.fl.us,Lia.Sansom@dep.state.fl.us; CC: james.tomazinis@floridadep.gov; Reply To: james.tomazinis@floridadep.gov]; Run via form trigger as kenneth.rainer@gtmnerr.org; Timestamp: Jun 4 2018 12:13 PM</t>
  </si>
  <si>
    <t>1f4rCTUh5g2HKvT37iHIzLi2xkFwrlxrV8ZlB-EPRd_0</t>
  </si>
  <si>
    <t>https://docs.google.com/document/d/1f4rCTUh5g2HKvT37iHIzLi2xkFwrlxrV8ZlB-EPRd_0/edit?usp=drivesdk</t>
  </si>
  <si>
    <t>Document successfully created; Document successfully merged; Emails Sent: [To: Kenneth.Rainer@floridadep.gov,Jennifer.Odzinski@dep.state.fl.us,Stephanie.Windham@dep.state.fl.us,Lia.Sansom@dep.state.fl.us; CC: Kenneth.Rainer@dep.state.fl.us; Reply To: Kenneth.Rainer@dep.state.fl.us]; Run via form trigger as kenneth.rainer@gtmnerr.org; Timestamp: Jun 4 2018 12:17 PM</t>
  </si>
  <si>
    <t>1omI7AifJyv7VBder7xWpamlAqbP_DccSbkNyJKL1wJk</t>
  </si>
  <si>
    <t>https://docs.google.com/document/d/1omI7AifJyv7VBder7xWpamlAqbP_DccSbkNyJKL1wJk/edit?usp=drivesdk</t>
  </si>
  <si>
    <t>Document successfully created; Document successfully merged; Emails Sent: [To: Kenneth.Rainer@floridadep.gov,Jennifer.Odzinski@dep.state.fl.us,Stephanie.Windham@dep.state.fl.us,Lia.Sansom@dep.state.fl.us; CC: silas.tanner@floridadep.gov; Reply To: silas.tanner@floridadep.gov]; Run via form trigger as kenneth.rainer@gtmnerr.org; Timestamp: Jun 4 2018 12:20 PM</t>
  </si>
  <si>
    <t>1nhihx7WUJyq9xrne-IuE8z6M1bOCmJPhlEGshsFWGQU</t>
  </si>
  <si>
    <t>https://docs.google.com/document/d/1nhihx7WUJyq9xrne-IuE8z6M1bOCmJPhlEGshsFWGQU/edit?usp=drivesdk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</si>
  <si>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Jun 11 2018 8:41 AM</t>
  </si>
  <si>
    <t>14xL-FgR87Xdn5S8WoYx0_em_jRQvOEXqyE9kNUhAwZs</t>
  </si>
  <si>
    <t>https://docs.google.com/document/d/14xL-FgR87Xdn5S8WoYx0_em_jRQvOEXqyE9kNUhAwZs/edit?usp=drivesdk</t>
  </si>
  <si>
    <t>Document successfully created; Document successfully merged; Emails Sent: [To: Nikki.Dix@floridadep.gov,Jennifer.Odzinski@dep.state.fl.us,Stephanie.Windham@dep.state.fl.us,Lia.Sansom@dep.state.fl.us; CC: silas.tanner@dep.state.fl.us; Reply To: silas.tanner@dep.state.fl.us]; Run via form trigger as kenneth.rainer@gtmnerr.org; Timestamp: Jun 12 2018 7:06 AM</t>
  </si>
  <si>
    <t>1Ad-FJGyHWoa6R8teeyJx_5DdPsF8CvyTVaG0dnm6hzA</t>
  </si>
  <si>
    <t>https://docs.google.com/document/d/1Ad-FJGyHWoa6R8teeyJx_5DdPsF8CvyTVaG0dnm6hzA/edit?usp=drivesdk</t>
  </si>
  <si>
    <t>Document successfully created; Document successfully merged; Emails Sent: [To: Kenneth.Rainer@floridadep.gov,Jennifer.Odzinski@dep.state.fl.us,Stephanie.Windham@dep.state.fl.us,Lia.Sansom@dep.state.fl.us; CC: Kenneth.Rainer@floridadep.gov; Reply To: Kenneth.Rainer@floridadep.gov]; Run via form trigger as kenneth.rainer@gtmnerr.org; Timestamp: Jun 12 2018 1:06 PM</t>
  </si>
  <si>
    <t>1ZVWr_QqAdt-Iz7q9i3GNK8i0lyZgwCCfyxmlR1hJwkw</t>
  </si>
  <si>
    <t>https://docs.google.com/document/d/1ZVWr_QqAdt-Iz7q9i3GNK8i0lyZgwCCfyxmlR1hJwkw/edit?usp=drivesdk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</si>
  <si>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Jun 13 2018 4:27 PM</t>
  </si>
  <si>
    <t>1segsGRdC7iRishkJwC9X3suCxEE9-PDWq8OEnJz3WW4</t>
  </si>
  <si>
    <t>https://docs.google.com/document/d/1segsGRdC7iRishkJwC9X3suCxEE9-PDWq8OEnJz3WW4/edit?usp=drivesdk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</si>
  <si>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Jun 15 2018 9:26 AM</t>
  </si>
  <si>
    <t>1YErNHz-z5auJhRmMWf7quuIOf99gflm67GG5yE4XHtw</t>
  </si>
  <si>
    <t>https://docs.google.com/document/d/1YErNHz-z5auJhRmMWf7quuIOf99gflm67GG5yE4XHtw/edit?usp=drivesdk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</si>
  <si>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Jun 15 2018 11:11 AM</t>
  </si>
  <si>
    <t>1zx2ToY0GcjujicDXZiUTnvQUpIp0-oiJuQlUByUuEXk</t>
  </si>
  <si>
    <t>https://docs.google.com/document/d/1zx2ToY0GcjujicDXZiUTnvQUpIp0-oiJuQlUByUuEXk/edit?usp=drivesdk</t>
  </si>
  <si>
    <t>Document successfully created; Document successfully merged; Emails Sent: [To: Nikki.Dix@floridadep.gov,Jennifer.Odzinski@dep.state.fl.us,Stephanie.Windham@dep.state.fl.us,Lia.Sansom@dep.state.fl.us; CC: gabriela.canas@dep.state.fl.us; Reply To: gabriela.canas@dep.state.fl.us]; Run via form trigger as kenneth.rainer@gtmnerr.org; Timestamp: Jun 16 2018 9:57 AM</t>
  </si>
  <si>
    <t>1KwWbRZ0rfVkD6cgG4sahSuTzc2waIBHIwhs9aelaYeM</t>
  </si>
  <si>
    <t>https://docs.google.com/document/d/1KwWbRZ0rfVkD6cgG4sahSuTzc2waIBHIwhs9aelaYeM/edit?usp=drivesdk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</si>
  <si>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Jun 18 2018 6:08 AM</t>
  </si>
  <si>
    <t>18sH7tpcvRVPrnvu5INSV_e-yIKj2uGcQozGVLnx_pZU</t>
  </si>
  <si>
    <t>https://docs.google.com/document/d/18sH7tpcvRVPrnvu5INSV_e-yIKj2uGcQozGVLnx_pZU/edit?usp=drivesdk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</si>
  <si>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Jun 19 2018 5:32 AM</t>
  </si>
  <si>
    <t>1v7q-IULNLh2s7jlsl-iuhE7Fi_UIkWYnjOZQaPhKCSs</t>
  </si>
  <si>
    <t>https://docs.google.com/document/d/1v7q-IULNLh2s7jlsl-iuhE7Fi_UIkWYnjOZQaPhKCSs/edit?usp=drivesdk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</si>
  <si>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Jun 21 2018 8:38 AM</t>
  </si>
  <si>
    <t>canceled</t>
  </si>
  <si>
    <t>1L0kzkzO3R_dAJCQe55pzE_QXkWNAsyj-X0rnm0gVaQY</t>
  </si>
  <si>
    <t>https://docs.google.com/document/d/1L0kzkzO3R_dAJCQe55pzE_QXkWNAsyj-X0rnm0gVaQY/edit?usp=drivesdk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</si>
  <si>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Jun 25 2018 9:02 AM</t>
  </si>
  <si>
    <t>1ntrs6YFpK78CyX3JOrufebLGk1XUDopFAGN4tHmjzSY</t>
  </si>
  <si>
    <t>https://docs.google.com/document/d/1ntrs6YFpK78CyX3JOrufebLGk1XUDopFAGN4tHmjzSY/edit?usp=drivesdk</t>
  </si>
  <si>
    <t>Document successfully created; Document successfully merged; Emails Sent: [To: Kenneth.Rainer@floridadep.gov,Jennifer.Odzinski@dep.state.fl.us,Stephanie.Windham@dep.state.fl.us,Lia.Sansom@dep.state.fl.us; CC: Kenneth.Rainer@dep.state.fl.us; Reply To: Kenneth.Rainer@dep.state.fl.us]; Run via form trigger as kenneth.rainer@gtmnerr.org; Timestamp: Jun 25 2018 10:20 AM</t>
  </si>
  <si>
    <t>1FpILXcPLEtzulcfVT6SGTL70ibQT75O0hb2ZfXmGgmI</t>
  </si>
  <si>
    <t>https://docs.google.com/document/d/1FpILXcPLEtzulcfVT6SGTL70ibQT75O0hb2ZfXmGgmI/edit?usp=drivesdk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</si>
  <si>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Jun 27 2018 7:19 AM</t>
  </si>
  <si>
    <t>1XauK_Lwrv1Qt95jY2ZpwtpyOvOLtQrABuSS55AExW6U</t>
  </si>
  <si>
    <t>https://docs.google.com/document/d/1XauK_Lwrv1Qt95jY2ZpwtpyOvOLtQrABuSS55AExW6U/edit?usp=drivesdk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</si>
  <si>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Jun 27 2018 9:48 AM</t>
  </si>
  <si>
    <t>1jQ1Oq7IYAKkafOHydGGQLYmkCHw1ud0uqub5wzV9okc</t>
  </si>
  <si>
    <t>https://docs.google.com/document/d/1jQ1Oq7IYAKkafOHydGGQLYmkCHw1ud0uqub5wzV9okc/edit?usp=drivesdk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</si>
  <si>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Jun 29 2018 12:59 PM</t>
  </si>
  <si>
    <t>Cancelled</t>
  </si>
  <si>
    <t>1XiMLRnysfffxhmnRhmieWEnwz45lXHcfCtEJfVr3uy4</t>
  </si>
  <si>
    <t>https://docs.google.com/document/d/1XiMLRnysfffxhmnRhmieWEnwz45lXHcfCtEJfVr3uy4/edit?usp=drivesdk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</si>
  <si>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Jul 1 2018 3:27 AM</t>
  </si>
  <si>
    <t>1qsBp188AIvYYa7bWDNtbtdNGEWYhVYQXnzAKQ6cwFU4</t>
  </si>
  <si>
    <t>https://docs.google.com/document/d/1qsBp188AIvYYa7bWDNtbtdNGEWYhVYQXnzAKQ6cwFU4/edit?usp=drivesdk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</si>
  <si>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Jul 2 2018 4:39 AM</t>
  </si>
  <si>
    <t>1StEQUgg0DdG61MF8-4mfq09rrv9NLcT7qfqHE2eQsnQ</t>
  </si>
  <si>
    <t>https://docs.google.com/document/d/1StEQUgg0DdG61MF8-4mfq09rrv9NLcT7qfqHE2eQsnQ/edit?usp=drivesdk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</si>
  <si>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Jul 2 2018 12:49 PM</t>
  </si>
  <si>
    <t>1fdR1XrqTv5cgCvbuRnVbbi9FDd6k8Mk-S0hm8LSStSE</t>
  </si>
  <si>
    <t>https://docs.google.com/document/d/1fdR1XrqTv5cgCvbuRnVbbi9FDd6k8Mk-S0hm8LSStSE/edit?usp=drivesdk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</si>
  <si>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Jul 3 2018 4:44 AM</t>
  </si>
  <si>
    <t>1B6fzv88D5-nJ8bnEEW7BlQPXBFnv4G5EWzrYGS9Jm9w</t>
  </si>
  <si>
    <t>https://docs.google.com/document/d/1B6fzv88D5-nJ8bnEEW7BlQPXBFnv4G5EWzrYGS9Jm9w/edit?usp=drivesdk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</si>
  <si>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Jul 5 2018 5:21 AM</t>
  </si>
  <si>
    <t>1g5f9yPdc6uaO_l9y9K3YLZPe5ak-o0BxRUX5eZ2dmP0</t>
  </si>
  <si>
    <t>https://docs.google.com/document/d/1g5f9yPdc6uaO_l9y9K3YLZPe5ak-o0BxRUX5eZ2dmP0/edit?usp=drivesdk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</si>
  <si>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Jul 5 2018 9:40 AM</t>
  </si>
  <si>
    <t>1FGSJu50WpKVPQMMjfQsJgZFm6YVlPd9AmbZ7l5n8PbY</t>
  </si>
  <si>
    <t>https://docs.google.com/document/d/1FGSJu50WpKVPQMMjfQsJgZFm6YVlPd9AmbZ7l5n8PbY/edit?usp=drivesdk</t>
  </si>
  <si>
    <t>Document successfully created; Document successfully merged; Emails Sent: [To: Nikki.Dix@floridadep.gov,Jennifer.Odzinski@dep.state.fl.us,Stephanie.Windham@dep.state.fl.us,Lia.Sansom@dep.state.fl.us; CC: ben.mowbray@state.dep.fl.us; Reply To: ben.mowbray@state.dep.fl.us]; Run via form trigger as kenneth.rainer@gtmnerr.org; Timestamp: Jul 6 2018 11:32 AM</t>
  </si>
  <si>
    <t>1acVIuNRHP6o9EhpjLyK7BPUBmQo2wAa7dSOlClJFeIA</t>
  </si>
  <si>
    <t>https://docs.google.com/document/d/1acVIuNRHP6o9EhpjLyK7BPUBmQo2wAa7dSOlClJFeIA/edit?usp=drivesdk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</si>
  <si>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Jul 10 2018 9:04 AM</t>
  </si>
  <si>
    <t>1wU-ztvrplHNJ3Wq6k-7vP1L8aMRqh_hvA2p-U5wWUF0</t>
  </si>
  <si>
    <t>https://docs.google.com/document/d/1wU-ztvrplHNJ3Wq6k-7vP1L8aMRqh_hvA2p-U5wWUF0/edit?usp=drivesdk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</si>
  <si>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Jul 10 2018 9:05 AM</t>
  </si>
  <si>
    <t>1cWHC30uCG8clysPvFjcXE45CuDzXqmgLp_YEJ8TY14o</t>
  </si>
  <si>
    <t>https://docs.google.com/document/d/1cWHC30uCG8clysPvFjcXE45CuDzXqmgLp_YEJ8TY14o/edit?usp=drivesdk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</si>
  <si>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Jul 10 2018 7:24 PM</t>
  </si>
  <si>
    <t>15JSaSCbxrJwu6kwkLTnDA9-lYy2XQUHFjS2JiRUKLGM</t>
  </si>
  <si>
    <t>https://docs.google.com/document/d/15JSaSCbxrJwu6kwkLTnDA9-lYy2XQUHFjS2JiRUKLGM/edit?usp=drivesdk</t>
  </si>
  <si>
    <t>Document successfully created; Document successfully merged; Emails Sent: [To: Kenneth.Rainer@floridadep.gov,Jennifer.Odzinski@dep.state.fl.us,Stephanie.Windham@dep.state.fl.us,Lia.Sansom@dep.state.fl.us; CC: Kenneth.Rainer@dep.state.fl.us; Reply To: Kenneth.Rainer@dep.state.fl.us]; Run via form trigger as kenneth.rainer@gtmnerr.org; Timestamp: Jul 11 2018 2:41 PM</t>
  </si>
  <si>
    <t>1Gyx9ROaTKWuy-76rkui4kE2dTnRUDtMTJAqKpXUVmj4</t>
  </si>
  <si>
    <t>https://docs.google.com/document/d/1Gyx9ROaTKWuy-76rkui4kE2dTnRUDtMTJAqKpXUVmj4/edit?usp=drivesdk</t>
  </si>
  <si>
    <t>Document successfully created; Document successfully merged; Emails Sent: [To: Nikki.Dix@floridadep.gov,Jennifer.Odzinski@dep.state.fl.us,Stephanie.Windham@dep.state.fl.us,Lia.Sansom@dep.state.fl.us; CC: Shannon.Dunnigan@dep.state.fl.us; Reply To: Shannon.Dunnigan@dep.state.fl.us]; Run via form trigger as kenneth.rainer@gtmnerr.org; Timestamp: Jul 12 2018 9:05 AM</t>
  </si>
  <si>
    <t>Pamela.Marcum@floridadep.gov</t>
  </si>
  <si>
    <t>1B2B_zzU6VYd5JQ-56maF2bnECN2oN8ZVlQhWEyzl5pg</t>
  </si>
  <si>
    <t>https://docs.google.com/document/d/1B2B_zzU6VYd5JQ-56maF2bnECN2oN8ZVlQhWEyzl5pg/edit?usp=drivesdk</t>
  </si>
  <si>
    <t>Document successfully created; Document successfully merged; Emails Sent: [To: Pamela.Marcum@floridadep.gov,Jennifer.Odzinski@dep.state.fl.us,Stephanie.Windham@dep.state.fl.us,Lia.Sansom@dep.state.fl.us; CC: ben.mowbray@dep.state.fl.us; Reply To: ben.mowbray@dep.state.fl.us]; Run via form trigger as kenneth.rainer@gtmnerr.org; Timestamp: Jul 17 2018 2:30 PM</t>
  </si>
  <si>
    <t>1_Jz1cLc_0eyZ6COebIUYyR_BuSj6Ej0LPmwxx-PUG2s</t>
  </si>
  <si>
    <t>https://docs.google.com/document/d/1_Jz1cLc_0eyZ6COebIUYyR_BuSj6Ej0LPmwxx-PUG2s/edit?usp=drivesdk</t>
  </si>
  <si>
    <t>Document successfully created; Document successfully merged; Emails Sent: [To: Nikki.Dix@floridadep.gov,Jennifer.Odzinski@dep.state.fl.us,Stephanie.Windham@dep.state.fl.us,Lia.Sansom@dep.state.fl.us; CC: ben.mowbray@dep.state.fl.us; Reply To: ben.mowbray@dep.state.fl.us]; Run via form trigger as kenneth.rainer@gtmnerr.org; Timestamp: Jul 19 2018 5:31 AM</t>
  </si>
  <si>
    <t>1hYRN2pBVHw4Yusqyy9lepzKzhEppwr8z0-qaMhE2DYQ</t>
  </si>
  <si>
    <t>https://docs.google.com/document/d/1hYRN2pBVHw4Yusqyy9lepzKzhEppwr8z0-qaMhE2DYQ/edit?usp=drivesdk</t>
  </si>
  <si>
    <t>Document successfully created; Document successfully merged; !!Error Sending Emails: Invalid email: Shannon.Dunnigan@floridadep.gov",Jennifer.Odzinski@dep.state.fl.us,Stephanie.Windham@dep.state.fl.us,Lia.Sansom@dep.state.fl.us; Run via form trigger as kenneth.rainer@gtmnerr.org; Timestamp: Jul 24 2018 8:12 AM</t>
  </si>
  <si>
    <t>1Yf58Vo3igrV_L3FTGJfaglDeuNiDkG2mScsf6Af2oGg</t>
  </si>
  <si>
    <t>https://docs.google.com/document/d/1Yf58Vo3igrV_L3FTGJfaglDeuNiDkG2mScsf6Af2oGg/edit?usp=drivesdk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</si>
  <si>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Jul 25 2018 10:33 AM</t>
  </si>
  <si>
    <t>1BaYGUmqVMqP7K6yogEN7JA9Puier9G8taRo2F6LjQ64</t>
  </si>
  <si>
    <t>https://docs.google.com/document/d/1BaYGUmqVMqP7K6yogEN7JA9Puier9G8taRo2F6LjQ64/edit?usp=drivesdk</t>
  </si>
  <si>
    <t>Document successfully created; Document successfully merged; Emails Sent: [To: Shannon.Dunnigan@floridadep.gov,Jennifer.Odzinski@dep.state.fl.us,Stephanie.Windham@dep.state.fl.us,Lia.Sansom@dep.state.fl.us; CC: silas.tanner@floridadep.gov; Reply To: silas.tanner@floridadep.gov]; Manually run by kenneth.rainer@gtmnerr.org; Timestamp: Jul 26 2018 9:08 AM</t>
  </si>
  <si>
    <t>1tlC1SwEUPLpFXpij-oCM2rMilZlFExtd_0xZd7qUeZM</t>
  </si>
  <si>
    <t>https://docs.google.com/document/d/1tlC1SwEUPLpFXpij-oCM2rMilZlFExtd_0xZd7qUeZM/edit?usp=drivesdk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</si>
  <si>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Jul 26 2018 9:03 AM</t>
  </si>
  <si>
    <t>NA</t>
  </si>
  <si>
    <t>1cg_61x0Prb1H5bL7SShihaJ8nyb-k-Re1xSmZMw8yHQ</t>
  </si>
  <si>
    <t>https://docs.google.com/document/d/1cg_61x0Prb1H5bL7SShihaJ8nyb-k-Re1xSmZMw8yHQ/edit?usp=drivesdk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</si>
  <si>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Jul 26 2018 11:58 AM</t>
  </si>
  <si>
    <t>1g6-SDWzTDxEaT_6esAFl7Ag0FmdmW2RSeVn4yz_-SWI</t>
  </si>
  <si>
    <t>https://docs.google.com/document/d/1g6-SDWzTDxEaT_6esAFl7Ag0FmdmW2RSeVn4yz_-SWI/edit?usp=drivesdk</t>
  </si>
  <si>
    <t>Document successfully created; Document successfully merged; !!Error Sending Emails: Invalid email: &lt;&lt;Your Email&gt;&gt;; Manually run by kenneth.rainer@gtmnerr.org; Timestamp: Jul 31 2018 3:34 PM</t>
  </si>
  <si>
    <t>1DymsQ1HeGPgIcWUJTZNcP4_6Zo3y4_qnZSDka3MTvQk</t>
  </si>
  <si>
    <t>https://docs.google.com/document/d/1DymsQ1HeGPgIcWUJTZNcP4_6Zo3y4_qnZSDka3MTvQk/edit?usp=drivesdk</t>
  </si>
  <si>
    <t>Document successfully created; Document successfully merged; Emails Sent: [To: Kenneth.Rainer@floridadep.gov,Jennifer.Odzinski@dep.state.fl.us,Stephanie.Windham@dep.state.fl.us,Lia.Sansom@dep.state.fl.us; CC: Kenneth.Rainer@floridadep.gov; Reply To: Kenneth.Rainer@floridadep.gov]; Manually run by kenneth.rainer@gtmnerr.org; Timestamp: Jul 31 2018 3:38 PM</t>
  </si>
  <si>
    <t>1M1nSKDRh8KbBXalT-n5-pUJ-LMgc4RpRlvCNRApVBRo</t>
  </si>
  <si>
    <t>https://docs.google.com/document/d/1M1nSKDRh8KbBXalT-n5-pUJ-LMgc4RpRlvCNRApVBRo/edit?usp=drivesdk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</si>
  <si>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Aug 1 2018 9:36 AM</t>
  </si>
  <si>
    <t>18ANL2EAsbj-9X5mz0tRj4YzFgnSMdKPwDfVJotzLaHQ</t>
  </si>
  <si>
    <t>https://docs.google.com/document/d/18ANL2EAsbj-9X5mz0tRj4YzFgnSMdKPwDfVJotzLaHQ/edit?usp=drivesdk</t>
  </si>
  <si>
    <t>Document successfully created; Document successfully merged; Emails Sent: [To: Pamela.Marcum@floridadep.gov,Jennifer.Odzinski@dep.state.fl.us,Stephanie.Windham@dep.state.fl.us,Lia.Sansom@dep.state.fl.us; CC: ben.mowbray@dep.state.fl.us; Reply To: ben.mowbray@dep.state.fl.us]; Run via form trigger as kenneth.rainer@gtmnerr.org; Timestamp: Aug 2 2018 5:27 AM</t>
  </si>
  <si>
    <t>1_xpbSdAQxiV952g8DEviihzsJ9JvdoIja7XikkzE2jM</t>
  </si>
  <si>
    <t>https://docs.google.com/document/d/1_xpbSdAQxiV952g8DEviihzsJ9JvdoIja7XikkzE2jM/edit?usp=drivesdk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</si>
  <si>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Aug 2 2018 8:35 AM</t>
  </si>
  <si>
    <t>1CEf7cA2GIPp1xy65JDmnWfxQvW39taVTsOsaX1Ue6ho</t>
  </si>
  <si>
    <t>https://docs.google.com/document/d/1CEf7cA2GIPp1xy65JDmnWfxQvW39taVTsOsaX1Ue6ho/edit?usp=drivesdk</t>
  </si>
  <si>
    <t>Document successfully created; Document successfully merged; Emails Sent: [To: Pamela.Marcum@floridadep.gov,Jennifer.Odzinski@dep.state.fl.us,Stephanie.Windham@dep.state.fl.us,Lia.Sansom@dep.state.fl.us; CC: Ben.mowbray@dep.state.fl.us; Reply To: Ben.mowbray@dep.state.fl.us]; Run via form trigger as kenneth.rainer@gtmnerr.org; Timestamp: Aug 2 2018 2:29 PM</t>
  </si>
  <si>
    <t>1_f4X9tN9ILtz5QvdB_rIlrFD1AFhQW601asBRe7AfEg</t>
  </si>
  <si>
    <t>https://docs.google.com/document/d/1_f4X9tN9ILtz5QvdB_rIlrFD1AFhQW601asBRe7AfEg/edit?usp=drivesdk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</si>
  <si>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Aug 3 2018 6:44 AM</t>
  </si>
  <si>
    <t>1gFmRMe2zpH3j4wfW__4Oo9qMajLX3jmZ0kcbMSYh65A</t>
  </si>
  <si>
    <t>https://docs.google.com/document/d/1gFmRMe2zpH3j4wfW__4Oo9qMajLX3jmZ0kcbMSYh65A/edit?usp=drivesdk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</si>
  <si>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Aug 7 2018 5:51 AM</t>
  </si>
  <si>
    <t>1WiDFrx4D7wDtTG7xhG56FExYdRv-4DwwdP-wvUsnRMc</t>
  </si>
  <si>
    <t>https://docs.google.com/document/d/1WiDFrx4D7wDtTG7xhG56FExYdRv-4DwwdP-wvUsnRMc/edit?usp=drivesdk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</si>
  <si>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Aug 7 2018 5:41 PM</t>
  </si>
  <si>
    <t>1c5DkI6jJ5VBQm3EWgcA563cNGIBizGgTtaIKGIJ2dE8</t>
  </si>
  <si>
    <t>https://docs.google.com/document/d/1c5DkI6jJ5VBQm3EWgcA563cNGIBizGgTtaIKGIJ2dE8/edit?usp=drivesdk</t>
  </si>
  <si>
    <t>Document successfully created; Document successfully merged; Emails Sent: [To: Nikki.Dix@floridadep.gov,Jennifer.Odzinski@dep.state.fl.us,Stephanie.Windham@dep.state.fl.us,Lia.Sansom@dep.state.fl.us; CC: Pamela.Marcum@dep.state.fl.us; Reply To: Pamela.Marcum@dep.state.fl.us]; Run via form trigger as kenneth.rainer@gtmnerr.org; Timestamp: Aug 8 2018 8:32 AM</t>
  </si>
  <si>
    <t>17sdCynz09IpAwVH5o8CprezXdWWPeoNhVJw4691Iw8A</t>
  </si>
  <si>
    <t>https://docs.google.com/document/d/17sdCynz09IpAwVH5o8CprezXdWWPeoNhVJw4691Iw8A/edit?usp=drivesdk</t>
  </si>
  <si>
    <t>Document successfully created; Document successfully merged; Emails Sent: [To: Nikki.Dix@floridadep.gov,Jennifer.Odzinski@dep.state.fl.us,Stephanie.Windham@dep.state.fl.us,Lia.Sansom@dep.state.fl.us; CC: Silas.tanner@floridadep.gov; Reply To: Silas.tanner@floridadep.gov]; Run via form trigger as kenneth.rainer@gtmnerr.org; Timestamp: Aug 10 2018 8:30 AM</t>
  </si>
  <si>
    <t>1ewslJEYMYiLWpQVfKwKUIdB5aER5uzJ2SHLwyC5bnho</t>
  </si>
  <si>
    <t>https://docs.google.com/document/d/1ewslJEYMYiLWpQVfKwKUIdB5aER5uzJ2SHLwyC5bnho/edit?usp=drivesdk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</si>
  <si>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Aug 11 2018 12:58 PM</t>
  </si>
  <si>
    <t>1UoUokpEmpx5df0h6r4uANvSRcZZUW8I676NwUPCYPfg</t>
  </si>
  <si>
    <t>https://docs.google.com/document/d/1UoUokpEmpx5df0h6r4uANvSRcZZUW8I676NwUPCYPfg/edit?usp=drivesdk</t>
  </si>
  <si>
    <t>Document successfully created; Document successfully merged; Emails Sent: [To: Kenneth.Rainer@floridadep.gov,Jennifer.Odzinski@dep.state.fl.us,Stephanie.Windham@dep.state.fl.us,Lia.Sansom@dep.state.fl.us; CC: Kenneth.Rainer@dep.state.fl.us; Reply To: Kenneth.Rainer@dep.state.fl.us]; Run via form trigger as kenneth.rainer@gtmnerr.org; Timestamp: Aug 14 2018 10:50 AM</t>
  </si>
  <si>
    <t>1Zr-dHoYFPh8hWNtbTV1mMdu01l2o95lPBKDPC730sdw</t>
  </si>
  <si>
    <t>https://docs.google.com/document/d/1Zr-dHoYFPh8hWNtbTV1mMdu01l2o95lPBKDPC730sdw/edit?usp=drivesdk</t>
  </si>
  <si>
    <t>Document successfully created; Document successfully merged; Emails Sent: [To: Scott.Eastman@floridadep.gov,Jennifer.Odzinski@dep.state.fl.us,Stephanie.Windham@dep.state.fl.us,Lia.Sansom@dep.state.fl.us; CC: James.Tomazinis@floridadep.gov; Reply To: James.Tomazinis@floridadep.gov]; Run via form trigger as kenneth.rainer@gtmnerr.org; Timestamp: Aug 14 2018 11:59 AM</t>
  </si>
  <si>
    <t>1ERbNqlmZ7cO96gpNW3hInnDf7lFEo276aaUSKUXyTaw</t>
  </si>
  <si>
    <t>https://docs.google.com/document/d/1ERbNqlmZ7cO96gpNW3hInnDf7lFEo276aaUSKUXyTaw/edit?usp=drivesdk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</si>
  <si>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Aug 15 2018 10:52 AM</t>
  </si>
  <si>
    <t>1Xqh3FggsY2bltRwZowLuBS6_e56PQHzyI4rVU95A2Zg</t>
  </si>
  <si>
    <t>https://docs.google.com/document/d/1Xqh3FggsY2bltRwZowLuBS6_e56PQHzyI4rVU95A2Zg/edit?usp=drivesdk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</si>
  <si>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Aug 17 2018 11:27 AM</t>
  </si>
  <si>
    <t>1LabdHmssr2wUehcOV54gssrkT8MfwEnxZTasLs1gtgo</t>
  </si>
  <si>
    <t>https://docs.google.com/document/d/1LabdHmssr2wUehcOV54gssrkT8MfwEnxZTasLs1gtgo/edit?usp=drivesdk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</si>
  <si>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Aug 20 2018 8:33 AM</t>
  </si>
  <si>
    <t>1q53uSpEdchRnj-Rtxaj4hDDzRXe32da2SRUUmKfdEYs</t>
  </si>
  <si>
    <t>https://docs.google.com/document/d/1q53uSpEdchRnj-Rtxaj4hDDzRXe32da2SRUUmKfdEYs/edit?usp=drivesdk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</si>
  <si>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Aug 21 2018 8:34 AM</t>
  </si>
  <si>
    <t>1-b6Gewks7v19ieHsXcoC8h0jDEWW_u_gOcnr1iFkHVU</t>
  </si>
  <si>
    <t>https://docs.google.com/document/d/1-b6Gewks7v19ieHsXcoC8h0jDEWW_u_gOcnr1iFkHVU/edit?usp=drivesdk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</si>
  <si>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Aug 21 2018 9:08 AM</t>
  </si>
  <si>
    <t>1FbfrpXrmysodX8qvntPP4u8abx1oSvLdYgvdnAhlqV4</t>
  </si>
  <si>
    <t>https://docs.google.com/document/d/1FbfrpXrmysodX8qvntPP4u8abx1oSvLdYgvdnAhlqV4/edit?usp=drivesdk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</si>
  <si>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Aug 22 2018 9:17 AM</t>
  </si>
  <si>
    <t>1V_UjvbS_4beIAIbGI2rknHAZN_bkiraEkuj6Ua6mwWE</t>
  </si>
  <si>
    <t>https://docs.google.com/document/d/1V_UjvbS_4beIAIbGI2rknHAZN_bkiraEkuj6Ua6mwWE/edit?usp=drivesdk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</si>
  <si>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Aug 22 2018 3:43 PM</t>
  </si>
  <si>
    <t>1FoCPEaVaT4-aS9Qr0r4nW6zlRTuDNZoJ3QoyHDTqm4A</t>
  </si>
  <si>
    <t>https://docs.google.com/document/d/1FoCPEaVaT4-aS9Qr0r4nW6zlRTuDNZoJ3QoyHDTqm4A/edit?usp=drivesdk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</si>
  <si>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Aug 23 2018 9:22 AM</t>
  </si>
  <si>
    <t>1XqXDCS49mMlYjyDJhRRyb2rd--vYYMQZl9cTt1SyJXY</t>
  </si>
  <si>
    <t>https://docs.google.com/document/d/1XqXDCS49mMlYjyDJhRRyb2rd--vYYMQZl9cTt1SyJXY/edit?usp=drivesdk</t>
  </si>
  <si>
    <t>Document successfully created; Document successfully merged; Emails Sent: [To: Nikki.Dix@floridadep.gov,jennifer.odzinski@floridadep.gov,stephanie.windham@floridadep.gov,lia.sansom@floridadep.gov; CC: shannon.dunnigan@dep.state.fl.us; Reply To: shannon.dunnigan@dep.state.fl.us]; Run via form trigger as kenneth.rainer@gtmnerr.org; Timestamp: Aug 23 2018 10:08 PM</t>
  </si>
  <si>
    <t>12qKaqDTA40f8qxQAUU_wtTRdEwjpjOsa3wmJ7Cm-CR0</t>
  </si>
  <si>
    <t>https://docs.google.com/document/d/12qKaqDTA40f8qxQAUU_wtTRdEwjpjOsa3wmJ7Cm-CR0/edit?usp=drivesdk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</si>
  <si>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Aug 28 2018 4:27 PM</t>
  </si>
  <si>
    <t>1n6ckOJjtT5Kbqv-5GwvO7IK8Y_xs2-jWe9dPvarxoEo</t>
  </si>
  <si>
    <t>https://docs.google.com/document/d/1n6ckOJjtT5Kbqv-5GwvO7IK8Y_xs2-jWe9dPvarxoEo/edit?usp=drivesdk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</si>
  <si>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Aug 30 2018 9:45 AM</t>
  </si>
  <si>
    <t>1Lmr6ukcytK5A4BRLAWOczZ0_erfF7eQyrndmyQl55_4</t>
  </si>
  <si>
    <t>https://docs.google.com/document/d/1Lmr6ukcytK5A4BRLAWOczZ0_erfF7eQyrndmyQl55_4/edit?usp=drivesdk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</si>
  <si>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Sep 4 2018 8:17 AM</t>
  </si>
  <si>
    <t>1O7zNwJ7tD7cHfDAv1vY8YMgIs28bfzrPCLqAZVh0D54</t>
  </si>
  <si>
    <t>https://docs.google.com/document/d/1O7zNwJ7tD7cHfDAv1vY8YMgIs28bfzrPCLqAZVh0D54/edit?usp=drivesdk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</si>
  <si>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Sep 4 2018 3:52 PM</t>
  </si>
  <si>
    <t>1kJHcvyhgyIpKw8P9mBqauadO_E-MGaX1yx9HngVDcEU</t>
  </si>
  <si>
    <t>https://docs.google.com/document/d/1kJHcvyhgyIpKw8P9mBqauadO_E-MGaX1yx9HngVDcEU/edit?usp=drivesdk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</si>
  <si>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5 2018 7:35 AM</t>
  </si>
  <si>
    <t>1hlaZ7sS4mysE6nV8d7dJ53WrBvYx2rjjVBaLtrkEUXE</t>
  </si>
  <si>
    <t>https://docs.google.com/document/d/1hlaZ7sS4mysE6nV8d7dJ53WrBvYx2rjjVBaLtrkEUXE/edit?usp=drivesdk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</si>
  <si>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Sep 5 2018 8:07 AM</t>
  </si>
  <si>
    <t>1uWaH_X62R2Liuv1Udb-7AgjTcZgYdkQkjrG1FW0qql4</t>
  </si>
  <si>
    <t>https://docs.google.com/document/d/1uWaH_X62R2Liuv1Udb-7AgjTcZgYdkQkjrG1FW0qql4/edit?usp=drivesdk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</si>
  <si>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Sep 5 2018 2:37 PM</t>
  </si>
  <si>
    <t>1yedKFixA69V0VtSDY7-I0SVCLPtcIuBrNsPWlFA5t0Q</t>
  </si>
  <si>
    <t>https://docs.google.com/document/d/1yedKFixA69V0VtSDY7-I0SVCLPtcIuBrNsPWlFA5t0Q/edit?usp=drivesdk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</si>
  <si>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Sep 6 2018 8:05 AM</t>
  </si>
  <si>
    <t>17DVNObsevh1PglvOtUWG2_f9xR1DhwO97Kb9C_lXeyg</t>
  </si>
  <si>
    <t>https://docs.google.com/document/d/17DVNObsevh1PglvOtUWG2_f9xR1DhwO97Kb9C_lXeyg/edit?usp=drivesdk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</si>
  <si>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6 2018 9:07 AM</t>
  </si>
  <si>
    <t>1vK2OVKgBHmbnDyydJiI28-r72XA9d-1diz04IeBEKo4</t>
  </si>
  <si>
    <t>https://docs.google.com/document/d/1vK2OVKgBHmbnDyydJiI28-r72XA9d-1diz04IeBEKo4/edit?usp=drivesdk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</si>
  <si>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Sep 7 2018 8:58 AM</t>
  </si>
  <si>
    <t>1pOCINOcEnSuc-joWQ1QIg6quFm4xBtL_1Iljg7H-ldU</t>
  </si>
  <si>
    <t>https://docs.google.com/document/d/1pOCINOcEnSuc-joWQ1QIg6quFm4xBtL_1Iljg7H-ldU/edit?usp=drivesdk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</si>
  <si>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7 2018 11:38 AM</t>
  </si>
  <si>
    <t>1horU_i0hM4yRqRXVdDj8o-byRvvnkNKOrgAhhkzyH94</t>
  </si>
  <si>
    <t>https://docs.google.com/document/d/1horU_i0hM4yRqRXVdDj8o-byRvvnkNKOrgAhhkzyH94/edit?usp=drivesdk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</si>
  <si>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9 2018 10:05 AM</t>
  </si>
  <si>
    <t>1cwuPEokQaH8ROzsr7i8PtwhzKFzoCSG6aC6VvMPnr4c</t>
  </si>
  <si>
    <t>https://docs.google.com/document/d/1cwuPEokQaH8ROzsr7i8PtwhzKFzoCSG6aC6VvMPnr4c/edit?usp=drivesdk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</si>
  <si>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Sep 9 2018 12:51 PM</t>
  </si>
  <si>
    <t>18a8HUQtBa0oDSzts9fdeoJSPbEzLp3lUXgyOK0PBc3I</t>
  </si>
  <si>
    <t>https://docs.google.com/document/d/18a8HUQtBa0oDSzts9fdeoJSPbEzLp3lUXgyOK0PBc3I/edit?usp=drivesdk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</si>
  <si>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Sep 10 2018 11:15 AM</t>
  </si>
  <si>
    <t>1o5u6URG4eEL0bZO7Pcc_tA0H2uas6Y_qmD-HJgPbqg4</t>
  </si>
  <si>
    <t>https://docs.google.com/document/d/1o5u6URG4eEL0bZO7Pcc_tA0H2uas6Y_qmD-HJgPbqg4/edit?usp=drivesdk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</si>
  <si>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10 2018 1:12 PM</t>
  </si>
  <si>
    <t>13cBA5zcD8QJszQ_sgnLYt3r_hQFmNxCM9ctlDrF2yaI</t>
  </si>
  <si>
    <t>https://docs.google.com/document/d/13cBA5zcD8QJszQ_sgnLYt3r_hQFmNxCM9ctlDrF2yaI/edit?usp=drivesdk</t>
  </si>
  <si>
    <t>Document successfully created; Document successfully merged; Emails Sent: [To: Nikki.Dix@floridadep.gov,jennifer.odzinski@floridadep.gov,stephanie.windham@floridadep.gov,lia.sansom@floridadep.gov; CC: Pamela.Marcum@de.state.fl.us; Reply To: Pamela.Marcum@de.state.fl.us]; Run via form trigger as kenneth.rainer@gtmnerr.org; Timestamp: Sep 11 2018 6:29 AM</t>
  </si>
  <si>
    <t>1LQqlIwHGCF52aRRtJim0ILCgeeS8U4NH2xgD9iHPfTc</t>
  </si>
  <si>
    <t>https://docs.google.com/document/d/1LQqlIwHGCF52aRRtJim0ILCgeeS8U4NH2xgD9iHPfTc/edit?usp=drivesdk</t>
  </si>
  <si>
    <t>Document successfully created; Document successfully merged; Emails Sent: [To: Nikki.Dix@floridadep.gov,jennifer.odzinski@floridadep.gov,stephanie.windham@floridadep.gov,lia.sansom@floridadep.gov; CC: shannon.dunnigan@floridadep.gov; Reply To: shannon.dunnigan@floridadep.gov]; Run via form trigger as kenneth.rainer@gtmnerr.org; Timestamp: Sep 11 2018 11:03 AM</t>
  </si>
  <si>
    <t>19gtAry6vLFmaQvsDWVMoI53O_6Z53p6xfjK01wQTQ_Y</t>
  </si>
  <si>
    <t>https://docs.google.com/document/d/19gtAry6vLFmaQvsDWVMoI53O_6Z53p6xfjK01wQTQ_Y/edit?usp=drivesdk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</si>
  <si>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Sep 11 2018 11:53 AM</t>
  </si>
  <si>
    <t>1cwjqEBUaX4TZ2uiNweLlEFnrIqkIxDij-KCrl3jgdSs</t>
  </si>
  <si>
    <t>https://docs.google.com/document/d/1cwjqEBUaX4TZ2uiNweLlEFnrIqkIxDij-KCrl3jgdSs/edit?usp=drivesdk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</si>
  <si>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11 2018 12:05 PM</t>
  </si>
  <si>
    <t>1dbUQc-0YRcUCWv4ZLuAiuh-szs2P71qMm4cR0NVclQw</t>
  </si>
  <si>
    <t>https://docs.google.com/document/d/1dbUQc-0YRcUCWv4ZLuAiuh-szs2P71qMm4cR0NVclQw/edit?usp=drivesdk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</si>
  <si>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Sep 12 2018 8:13 AM</t>
  </si>
  <si>
    <t>1vSRqTWP7CmpWxXBMw2pni-Z1VXWQUibiRPAhtbpU00M</t>
  </si>
  <si>
    <t>https://docs.google.com/document/d/1vSRqTWP7CmpWxXBMw2pni-Z1VXWQUibiRPAhtbpU00M/edit?usp=drivesdk</t>
  </si>
  <si>
    <t>Document successfully created; Document successfully merged; Emails Sent: [To: Scott.Eastman@floridadep.gov,jennifer.odzinski@floridadep.gov,stephanie.windham@floridadep.gov,lia.sansom@floridadep.gov; CC: james.tomazinis@dep.state.fl.us; Reply To: james.tomazinis@dep.state.fl.us]; Run via form trigger as kenneth.rainer@gtmnerr.org; Timestamp: Sep 13 2018 4:50 PM</t>
  </si>
  <si>
    <t>1L1Qa-gJZob4LNqDWn65q46mBvDTDwlLwU3zjXy1ncsw</t>
  </si>
  <si>
    <t>https://docs.google.com/document/d/1L1Qa-gJZob4LNqDWn65q46mBvDTDwlLwU3zjXy1ncsw/edit?usp=drivesdk</t>
  </si>
  <si>
    <t>Document successfully created; Document successfully merged; Emails Sent: [To: Nikki.Dix@floridadep.gov,jennifer.odzinski@floridadep.gov,stephanie.windham@floridadep.gov,lia.sansom@floridadep.gov; CC: gabriela.canas@dep.state.fl.us; Reply To: gabriela.canas@dep.state.fl.us]; Run via form trigger as kenneth.rainer@gtmnerr.org; Timestamp: Sep 17 2018 11:57 AM</t>
  </si>
  <si>
    <t>1BEemg3yUgKS4kZmHueWdHy0Eq3TwI6BuvwXCR9oCHpE</t>
  </si>
  <si>
    <t>https://docs.google.com/document/d/1BEemg3yUgKS4kZmHueWdHy0Eq3TwI6BuvwXCR9oCHpE/edit?usp=drivesdk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</si>
  <si>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Sep 19 2018 7:25 AM</t>
  </si>
  <si>
    <t>13L1BLRxELDJtkWSeTmCGPwxwpJo_bGihEn16D1Ndh94</t>
  </si>
  <si>
    <t>https://docs.google.com/document/d/13L1BLRxELDJtkWSeTmCGPwxwpJo_bGihEn16D1Ndh94/edit?usp=drivesdk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</si>
  <si>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Sep 19 2018 9:24 AM</t>
  </si>
  <si>
    <t>1XgPHyLVaetsiT9yAxWjsIn05pUXXzoUT6oXrjFlL0YY</t>
  </si>
  <si>
    <t>https://docs.google.com/document/d/1XgPHyLVaetsiT9yAxWjsIn05pUXXzoUT6oXrjFlL0YY/edit?usp=drivesdk</t>
  </si>
  <si>
    <t>Document successfully created; Document successfully merged; Emails Sent: [To: Nikki.Dix@floridadep.gov,jennifer.odzinski@floridadep.gov,stephanie.windham@floridadep.gov,lia.sansom@floridadep.gov; CC: shannon.dunnigan@floridadep.gov; Reply To: shannon.dunnigan@floridadep.gov]; Run via form trigger as kenneth.rainer@gtmnerr.org; Timestamp: Sep 19 2018 8:36 PM</t>
  </si>
  <si>
    <t>19y2xBdaEYRCaUdOVOFVL8R13UVTXTgDmuMIsfnSUrpc</t>
  </si>
  <si>
    <t>https://docs.google.com/document/d/19y2xBdaEYRCaUdOVOFVL8R13UVTXTgDmuMIsfnSUrpc/edit?usp=drivesdk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</si>
  <si>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Sep 23 2018 5:50 PM</t>
  </si>
  <si>
    <t>1cZCSPnwhRfGhAyk0zgxcNQFgvBFuINflyXPMCG46zK4</t>
  </si>
  <si>
    <t>https://docs.google.com/document/d/1cZCSPnwhRfGhAyk0zgxcNQFgvBFuINflyXPMCG46zK4/edit?usp=drivesdk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</si>
  <si>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Sep 24 2018 3:12 PM</t>
  </si>
  <si>
    <t>10rU4XDlqfzQWaY9r_oxgwKKaIF7s4-1zNcxL46nYc7c</t>
  </si>
  <si>
    <t>https://docs.google.com/document/d/10rU4XDlqfzQWaY9r_oxgwKKaIF7s4-1zNcxL46nYc7c/edit?usp=drivesdk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</si>
  <si>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Sep 24 2018 3:16 PM</t>
  </si>
  <si>
    <t>1KDK2Lyv_0BANy_IEzxkUFIoBnnXj9uvp7TxHIpYvUyk</t>
  </si>
  <si>
    <t>https://docs.google.com/document/d/1KDK2Lyv_0BANy_IEzxkUFIoBnnXj9uvp7TxHIpYvUyk/edit?usp=drivesdk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</si>
  <si>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Sep 25 2018 7:13 AM</t>
  </si>
  <si>
    <t>1YbcgZerdP1LVsxnkBb1fZoOvlgu2Id6KK0LNMU632hw</t>
  </si>
  <si>
    <t>https://docs.google.com/document/d/1YbcgZerdP1LVsxnkBb1fZoOvlgu2Id6KK0LNMU632hw/edit?usp=drivesdk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</si>
  <si>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Sep 26 2018 9:11 AM</t>
  </si>
  <si>
    <t>10B-Y9mtzPJLK-Vl1R2A-xzT2AB0jOcgS4S3pnj8j_Ks</t>
  </si>
  <si>
    <t>https://docs.google.com/document/d/10B-Y9mtzPJLK-Vl1R2A-xzT2AB0jOcgS4S3pnj8j_Ks/edit?usp=drivesdk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</si>
  <si>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Oct 1 2018 7:31 AM</t>
  </si>
  <si>
    <t xml:space="preserve">JBO </t>
  </si>
  <si>
    <t>1JqTnJCbGjhbLNmpNm8MVKYBsWfwqFc2Spby_NHY6YBU</t>
  </si>
  <si>
    <t>https://docs.google.com/document/d/1JqTnJCbGjhbLNmpNm8MVKYBsWfwqFc2Spby_NHY6YBU/edit?usp=drivesdk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</si>
  <si>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Oct 2 2018 5:35 AM</t>
  </si>
  <si>
    <t>1OeQTHLSFGSAT31agDkq7pmB0XfjKbGB3H-0rpdiqzEk</t>
  </si>
  <si>
    <t>https://docs.google.com/document/d/1OeQTHLSFGSAT31agDkq7pmB0XfjKbGB3H-0rpdiqzEk/edit?usp=drivesdk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</si>
  <si>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Oct 2 2018 7:53 AM</t>
  </si>
  <si>
    <t>1h91QH6PngBZUaCNZ-MO08urM96IecrjSB_niSTukIOo</t>
  </si>
  <si>
    <t>https://docs.google.com/document/d/1h91QH6PngBZUaCNZ-MO08urM96IecrjSB_niSTukIOo/edit?usp=drivesdk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</si>
  <si>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Oct 3 2018 6:14 AM</t>
  </si>
  <si>
    <t>1JRlYA77vV_VIb-S6I2VOgzFmlAaoJSMri79y4krYTeg</t>
  </si>
  <si>
    <t>https://docs.google.com/document/d/1JRlYA77vV_VIb-S6I2VOgzFmlAaoJSMri79y4krYTeg/edit?usp=drivesdk</t>
  </si>
  <si>
    <t>Document successfully created; Document successfully merged; Emails Sent: [To: Pamela.Marcum@floridadep.gov,jennifer.odzinski@floridadep.gov,stephanie.windham@floridadep.gov,lia.sansom@floridadep.gov; CC: ben.mowbray@dep.state.fl; Reply To: ben.mowbray@dep.state.fl]; Run via form trigger as kenneth.rainer@gtmnerr.org; Timestamp: Oct 3 2018 7:12 AM</t>
  </si>
  <si>
    <t>1jLef7WH1ZWvUDuCPO5cYBeyKUgeRQ04zAG93ZEtwINk</t>
  </si>
  <si>
    <t>https://docs.google.com/document/d/1jLef7WH1ZWvUDuCPO5cYBeyKUgeRQ04zAG93ZEtwINk/edit?usp=drivesdk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</si>
  <si>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Oct 4 2018 7:06 AM</t>
  </si>
  <si>
    <t>1LuCtXJrW5W_uDwtAy3HfcI7oOa4lD8iG7UzSamPCoDk</t>
  </si>
  <si>
    <t>https://docs.google.com/document/d/1LuCtXJrW5W_uDwtAy3HfcI7oOa4lD8iG7UzSamPCoDk/edit?usp=drivesdk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</si>
  <si>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Oct 4 2018 7:31 AM</t>
  </si>
  <si>
    <t>165OlHMSD7QQspuLihMnA4iOz0DUxDdUqPxfmQ1cBeNs</t>
  </si>
  <si>
    <t>https://docs.google.com/document/d/165OlHMSD7QQspuLihMnA4iOz0DUxDdUqPxfmQ1cBeNs/edit?usp=drivesdk</t>
  </si>
  <si>
    <t>Document successfully created; Document successfully merged; Emails Sent: [To: Nikki.Dix@floridadep.gov,jennifer.odzinski@floridadep.gov,stephanie.windham@floridadep.gov,lia.sansom@floridadep.gov; CC: shannon.dunnigan@floridadep.gov; Reply To: shannon.dunnigan@floridadep.gov]; Run via form trigger as kenneth.rainer@gtmnerr.org; Timestamp: Oct 4 2018 8:07 AM</t>
  </si>
  <si>
    <t>1L1XIyzHuHRQHoWUjLZVh96I0pkX6GW-koS18WeV4S5A</t>
  </si>
  <si>
    <t>https://docs.google.com/document/d/1L1XIyzHuHRQHoWUjLZVh96I0pkX6GW-koS18WeV4S5A/edit?usp=drivesdk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</si>
  <si>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Oct 9 2018 2:28 PM</t>
  </si>
  <si>
    <t>1FPp7Ct0JiV_kWgKtlmLlCmGzPELIhER6zZ_PuQTEZXQ</t>
  </si>
  <si>
    <t>https://docs.google.com/document/d/1FPp7Ct0JiV_kWgKtlmLlCmGzPELIhER6zZ_PuQTEZXQ/edit?usp=drivesdk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</si>
  <si>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Oct 12 2018 10:01 AM</t>
  </si>
  <si>
    <t>1JGMIP5SQ2ZMKd8eDucsvIls3aSK9Tt3z-nF29BgavLw</t>
  </si>
  <si>
    <t>https://docs.google.com/document/d/1JGMIP5SQ2ZMKd8eDucsvIls3aSK9Tt3z-nF29BgavLw/edit?usp=drivesdk</t>
  </si>
  <si>
    <t>Document successfully created; Document successfully merged; Emails Sent: [To: Nikki.Dix@floridadep.gov,jennifer.odzinski@floridadep.gov,stephanie.windham@floridadep.gov,lia.sansom@floridadep.gov; CC: Pamela.Marcum@hotmail.com; Reply To: Pamela.Marcum@hotmail.com]; Run via form trigger as kenneth.rainer@gtmnerr.org; Timestamp: Oct 16 2018 6:48 AM</t>
  </si>
  <si>
    <t>1RDmcLZdwMIRHDuujQWjczrbdq11SFvJ7BvyZZWaLJ_M</t>
  </si>
  <si>
    <t>https://docs.google.com/document/d/1RDmcLZdwMIRHDuujQWjczrbdq11SFvJ7BvyZZWaLJ_M/edit?usp=drivesdk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</si>
  <si>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Oct 18 2018 2:06 PM</t>
  </si>
  <si>
    <t>1vhbaWsznObDXbxBjYZJm-c5mH0w0JZvCBOp-BzfpDKI</t>
  </si>
  <si>
    <t>https://docs.google.com/document/d/1vhbaWsznObDXbxBjYZJm-c5mH0w0JZvCBOp-BzfpDKI/edit?usp=drivesdk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</si>
  <si>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Oct 22 2018 8:00 AM</t>
  </si>
  <si>
    <t>1ZNjLR5XjuWTsIS-2tFfq5tQYsgGh-MACWxn2ZoDEOuU</t>
  </si>
  <si>
    <t>https://docs.google.com/document/d/1ZNjLR5XjuWTsIS-2tFfq5tQYsgGh-MACWxn2ZoDEOuU/edit?usp=drivesdk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</si>
  <si>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Oct 22 2018 1:29 PM</t>
  </si>
  <si>
    <t>1KDW4JIx-TDLtUs2oIxpu-004J3DLKclKRdUK1ysIZ4w</t>
  </si>
  <si>
    <t>https://docs.google.com/document/d/1KDW4JIx-TDLtUs2oIxpu-004J3DLKclKRdUK1ysIZ4w/edit?usp=drivesdk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</si>
  <si>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Oct 29 2018 6:27 AM</t>
  </si>
  <si>
    <t>1Qu9mmZmTv01KNWghm6u4OGUV88UmBjkTWh1ifHFSkZg</t>
  </si>
  <si>
    <t>https://docs.google.com/document/d/1Qu9mmZmTv01KNWghm6u4OGUV88UmBjkTWh1ifHFSkZg/edit?usp=drivesdk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</si>
  <si>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Oct 30 2018 6:23 AM</t>
  </si>
  <si>
    <t>1Piq9pUUSz179ys6kT1N1gc9p86TbMAxgV-Uv5HnwE5E</t>
  </si>
  <si>
    <t>https://docs.google.com/document/d/1Piq9pUUSz179ys6kT1N1gc9p86TbMAxgV-Uv5HnwE5E/edit?usp=drivesdk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</si>
  <si>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Oct 31 2018 6:48 AM</t>
  </si>
  <si>
    <t>1yRmCu21DibXxTmzuabRnKsTEkg4ImN6YDeiFUo9b1mQ</t>
  </si>
  <si>
    <t>https://docs.google.com/document/d/1yRmCu21DibXxTmzuabRnKsTEkg4ImN6YDeiFUo9b1mQ/edit?usp=drivesdk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</si>
  <si>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Oct 31 2018 6:50 AM</t>
  </si>
  <si>
    <t>1RX_gUfr2Cwzo06Md2uxfQ1lOEGgjQtJf8J9lleJZCOQ</t>
  </si>
  <si>
    <t>https://docs.google.com/document/d/1RX_gUfr2Cwzo06Md2uxfQ1lOEGgjQtJf8J9lleJZCOQ/edit?usp=drivesdk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</si>
  <si>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Oct 31 2018 11:41 AM</t>
  </si>
  <si>
    <t>email</t>
  </si>
  <si>
    <t>1s3JiwQ-KWulWysULpBhqbwpxDkxCnkakIu_ciCP-aHE</t>
  </si>
  <si>
    <t>https://docs.google.com/document/d/1s3JiwQ-KWulWysULpBhqbwpxDkxCnkakIu_ciCP-aHE/edit?usp=drivesdk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</si>
  <si>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Nov 1 2018 6:39 AM</t>
  </si>
  <si>
    <t>BE</t>
  </si>
  <si>
    <t>1wHN4Cbsn47rCWCLLPwvhvv0RSpz-ejSy8O1YNICpliM</t>
  </si>
  <si>
    <t>https://docs.google.com/document/d/1wHN4Cbsn47rCWCLLPwvhvv0RSpz-ejSy8O1YNICpliM/edit?usp=drivesdk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</si>
  <si>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Nov 1 2018 7:49 AM</t>
  </si>
  <si>
    <t>SKD</t>
  </si>
  <si>
    <t>1Rrrw9hXvd2dswIm7DTQzp7Bj3bZQddXoz6ZiVQaAymE</t>
  </si>
  <si>
    <t>https://docs.google.com/document/d/1Rrrw9hXvd2dswIm7DTQzp7Bj3bZQddXoz6ZiVQaAymE/edit?usp=drivesdk</t>
  </si>
  <si>
    <t>Document successfully created; Document successfully merged; Emails Sent: [To: Nikki.Dix@floridadep.gov,jennifer.odzinski@floridadep.gov,stephanie.windham@floridadep.gov,lia.sansom@floridadep.gov; CC: Silas.Tanner@dep.state.fl.us; Reply To: Silas.Tanner@dep.state.fl.us]; Run via form trigger as kenneth.rainer@gtmnerr.org; Timestamp: Nov 1 2018 8:20 AM</t>
  </si>
  <si>
    <t>1HISdHTEExN4zHmyd24EnNJE9re7ldowomCTkQ-w64zU</t>
  </si>
  <si>
    <t>https://docs.google.com/document/d/1HISdHTEExN4zHmyd24EnNJE9re7ldowomCTkQ-w64zU/edit?usp=drivesdk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</si>
  <si>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Nov 2 2018 7:51 AM</t>
  </si>
  <si>
    <t>1Gx8Cm5JStNGnczb9BENMG9AfAMxlxOh8pLjeAEIKSJ8</t>
  </si>
  <si>
    <t>https://docs.google.com/document/d/1Gx8Cm5JStNGnczb9BENMG9AfAMxlxOh8pLjeAEIKSJ8/edit?usp=drivesdk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</si>
  <si>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Nov 2 2018 9:10 AM</t>
  </si>
  <si>
    <t>17M5r-E0k9v_FKlTFq_QQgPbH7eVdZ0U53IGJR24U6D0</t>
  </si>
  <si>
    <t>https://docs.google.com/document/d/17M5r-E0k9v_FKlTFq_QQgPbH7eVdZ0U53IGJR24U6D0/edit?usp=drivesdk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</si>
  <si>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Nov 5 2018 7:24 AM</t>
  </si>
  <si>
    <t>1Hfjuh-87HyMgDwCqQ1yxd7fH8nLij__YzoKp6Zt-A88</t>
  </si>
  <si>
    <t>https://docs.google.com/document/d/1Hfjuh-87HyMgDwCqQ1yxd7fH8nLij__YzoKp6Zt-A88/edit?usp=drivesdk</t>
  </si>
  <si>
    <t>Document successfully created; Document successfully merged; Emails Sent: [To: Pamela.Marcum@floridadep.gov,jennifer.odzinski@floridadep.gov,stephanie.windham@floridadep.gov,lia.sansom@floridadep.gov; CC: emma.hanson@dep.state.fl.us; Reply To: emma.hanson@dep.state.fl.us]; Run via form trigger as kenneth.rainer@gtmnerr.org; Timestamp: Nov 5 2018 12:24 PM</t>
  </si>
  <si>
    <t>1OdROVKVnWNppbGnZBe8XQx4EcpL1Z_wheLxqjEAAvaY</t>
  </si>
  <si>
    <t>https://docs.google.com/document/d/1OdROVKVnWNppbGnZBe8XQx4EcpL1Z_wheLxqjEAAvaY/edit?usp=drivesdk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</si>
  <si>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Nov 6 2018 12:26 PM</t>
  </si>
  <si>
    <t>19Pl4hL-nT5KCVnZ4JEMGc1icTwYZpi4m7pzITqh2Uto</t>
  </si>
  <si>
    <t>https://docs.google.com/document/d/19Pl4hL-nT5KCVnZ4JEMGc1icTwYZpi4m7pzITqh2Uto/edit?usp=drivesdk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</si>
  <si>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Nov 7 2018 7:55 AM</t>
  </si>
  <si>
    <t>1i7gzGMRtKsIfqsAqJWP2driUwJ2sHFfr9kkmwR3CAzc</t>
  </si>
  <si>
    <t>https://docs.google.com/document/d/1i7gzGMRtKsIfqsAqJWP2driUwJ2sHFfr9kkmwR3CAzc/edit?usp=drivesdk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</si>
  <si>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Nov 8 2018 5:17 PM</t>
  </si>
  <si>
    <t>1633f9rTaCMPyS4IZy7tFzPfoCMpeoOCM4AqFBr6ZdaU</t>
  </si>
  <si>
    <t>https://docs.google.com/document/d/1633f9rTaCMPyS4IZy7tFzPfoCMpeoOCM4AqFBr6ZdaU/edit?usp=drivesdk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</si>
  <si>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Nov 10 2018 8:12 AM</t>
  </si>
  <si>
    <t>1PL271tW_lqAUNom36USh5xQ5-3Fx9KBM5GmY4JnYfd4</t>
  </si>
  <si>
    <t>https://docs.google.com/document/d/1PL271tW_lqAUNom36USh5xQ5-3Fx9KBM5GmY4JnYfd4/edit?usp=drivesdk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</si>
  <si>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Nov 13 2018 1:24 PM</t>
  </si>
  <si>
    <t>1kbvT1CsqWVSgIaGJKDYhYIm_4ojgiC2OS4qGLdNc4tI</t>
  </si>
  <si>
    <t>https://docs.google.com/document/d/1kbvT1CsqWVSgIaGJKDYhYIm_4ojgiC2OS4qGLdNc4tI/edit?usp=drivesdk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</si>
  <si>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Nov 13 2018 3:08 PM</t>
  </si>
  <si>
    <t>1Ro8NJhnFBHEkHT8r9UkoHcGushyxmf7T7UxF2d3EPTo</t>
  </si>
  <si>
    <t>https://docs.google.com/document/d/1Ro8NJhnFBHEkHT8r9UkoHcGushyxmf7T7UxF2d3EPTo/edit?usp=drivesdk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</si>
  <si>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Nov 15 2018 10:28 AM</t>
  </si>
  <si>
    <t>1oCIbNyJwXRwNMINWHnLOK0AHi7aUYV5hxePSeCyfP2Q</t>
  </si>
  <si>
    <t>https://docs.google.com/document/d/1oCIbNyJwXRwNMINWHnLOK0AHi7aUYV5hxePSeCyfP2Q/edit?usp=drivesdk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</si>
  <si>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Nov 26 2018 2:46 PM</t>
  </si>
  <si>
    <t>1UytU1qoyfwDOxvXCNFzuyxYJSlOMrr0F6BOQspPMTz0</t>
  </si>
  <si>
    <t>https://docs.google.com/document/d/1UytU1qoyfwDOxvXCNFzuyxYJSlOMrr0F6BOQspPMTz0/edit?usp=drivesdk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</si>
  <si>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Nov 27 2018 6:13 PM</t>
  </si>
  <si>
    <t>1WPXaA7dO7Ju4PLovG3d8P_hfoKL3mzHt2dO7NERh5Nc</t>
  </si>
  <si>
    <t>https://docs.google.com/document/d/1WPXaA7dO7Ju4PLovG3d8P_hfoKL3mzHt2dO7NERh5Nc/edit?usp=drivesdk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</si>
  <si>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Nov 29 2018 6:59 AM</t>
  </si>
  <si>
    <t>1-6d6hvJWvO6BYtbO2WWaqb1in49kdbEkIdMZcbPaJuo</t>
  </si>
  <si>
    <t>https://docs.google.com/document/d/1-6d6hvJWvO6BYtbO2WWaqb1in49kdbEkIdMZcbPaJuo/edit?usp=drivesdk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</si>
  <si>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Nov 30 2018 6:54 AM</t>
  </si>
  <si>
    <t>ls</t>
  </si>
  <si>
    <t>1GVAYZH_XWuygN1DJkmLahy2vWDXRXeAZcQd7hsb812o</t>
  </si>
  <si>
    <t>https://docs.google.com/document/d/1GVAYZH_XWuygN1DJkmLahy2vWDXRXeAZcQd7hsb812o/edit?usp=drivesdk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</si>
  <si>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Nov 30 2018 7:07 AM</t>
  </si>
  <si>
    <t>1A8RL1csPx-oiXdee1EdEvumxx2HabklDEO-iwGQ4XE4</t>
  </si>
  <si>
    <t>https://docs.google.com/document/d/1A8RL1csPx-oiXdee1EdEvumxx2HabklDEO-iwGQ4XE4/edit?usp=drivesdk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</si>
  <si>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Dec 4 2018 8:51 AM</t>
  </si>
  <si>
    <t>1oTcfsWZOgZYgI5Fy-XeM-Rzu-vTXU288StIZED4uEX8</t>
  </si>
  <si>
    <t>https://docs.google.com/document/d/1oTcfsWZOgZYgI5Fy-XeM-Rzu-vTXU288StIZED4uEX8/edit?usp=drivesdk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</si>
  <si>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Dec 4 2018 10:17 AM</t>
  </si>
  <si>
    <t>1hauw2vE5xdSX1EdBY3STcNLUeeUqh_H2hN1zo1cocKU</t>
  </si>
  <si>
    <t>https://docs.google.com/document/d/1hauw2vE5xdSX1EdBY3STcNLUeeUqh_H2hN1zo1cocKU/edit?usp=drivesdk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</si>
  <si>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Dec 4 2018 2:43 PM</t>
  </si>
  <si>
    <t>1uWbC2LTTPyzZ9D7G8dbN75G0kC0n3ExQXQUhFHsruTY</t>
  </si>
  <si>
    <t>https://docs.google.com/document/d/1uWbC2LTTPyzZ9D7G8dbN75G0kC0n3ExQXQUhFHsruTY/edit?usp=drivesdk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</si>
  <si>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Dec 5 2018 9:06 AM</t>
  </si>
  <si>
    <t>1MdfvTIYnceoqzhRGfam7t0apLcYPKCV83LbdbuAQAkg</t>
  </si>
  <si>
    <t>https://docs.google.com/document/d/1MdfvTIYnceoqzhRGfam7t0apLcYPKCV83LbdbuAQAkg/edit?usp=drivesdk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</si>
  <si>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Dec 10 2018 8:12 AM</t>
  </si>
  <si>
    <t>1h0R2PZU0rvgtqbs53JDBEKKuDogTM-nMHYHY7C7YB0Q</t>
  </si>
  <si>
    <t>https://docs.google.com/document/d/1h0R2PZU0rvgtqbs53JDBEKKuDogTM-nMHYHY7C7YB0Q/edit?usp=drivesdk</t>
  </si>
  <si>
    <t>Document successfully created; Document successfully merged; Emails Sent: [To: Scott.Eastman@floridadep.gov,jennifer.odzinski@floridadep.gov,stephanie.windham@floridadep.gov,lia.sansom@floridadep.gov; CC: Pamela.Marcum@dep.state.fl.us; Reply To: Pamela.Marcum@dep.state.fl.us]; Run via form trigger as kenneth.rainer@gtmnerr.org; Timestamp: Dec 11 2018 8:23 AM</t>
  </si>
  <si>
    <t>1zstXvM6CwDhboX8ljkxSJeWbw2aJlIOMC9rK3xtsd2U</t>
  </si>
  <si>
    <t>https://docs.google.com/document/d/1zstXvM6CwDhboX8ljkxSJeWbw2aJlIOMC9rK3xtsd2U/edit?usp=drivesdk</t>
  </si>
  <si>
    <t>Document successfully created; Document successfully merged; Emails Sent: [To: Scott.Eastman@floridadep.gov,jennifer.odzinski@floridadep.gov,stephanie.windham@floridadep.gov,lia.sansom@floridadep.gov; CC: Pamela.Marcum@dep.state.fl.us; Reply To: Pamela.Marcum@dep.state.fl.us]; Run via form trigger as kenneth.rainer@gtmnerr.org; Timestamp: Dec 13 2018 8:47 AM</t>
  </si>
  <si>
    <t>1YjoS9sKmNES22k8xi23oxX83WayzKLWesHbnmpWte98</t>
  </si>
  <si>
    <t>https://docs.google.com/document/d/1YjoS9sKmNES22k8xi23oxX83WayzKLWesHbnmpWte98/edit?usp=drivesdk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</si>
  <si>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Dec 17 2018 8:08 AM</t>
  </si>
  <si>
    <t>1YiWcFq3l08V3qBUS4JCJ18wDAAtAadOsJGTbNWJ7y0o</t>
  </si>
  <si>
    <t>https://docs.google.com/document/d/1YiWcFq3l08V3qBUS4JCJ18wDAAtAadOsJGTbNWJ7y0o/edit?usp=drivesdk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</si>
  <si>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Dec 19 2018 6:46 AM</t>
  </si>
  <si>
    <t>1urGKS6Hhgz61wxKnJxIwXPH6FT9q0n0PP04qBW5_huw</t>
  </si>
  <si>
    <t>https://docs.google.com/document/d/1urGKS6Hhgz61wxKnJxIwXPH6FT9q0n0PP04qBW5_huw/edit?usp=drivesdk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</si>
  <si>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kenneth.rainer@gtmnerr.org; Timestamp: Dec 26 2018 9:48 AM</t>
  </si>
  <si>
    <t>1Uul-M4yHrQoQPnrQFZYN9DfqLTVHhiUvwWZpw-wNmWI</t>
  </si>
  <si>
    <t>https://docs.google.com/document/d/1Uul-M4yHrQoQPnrQFZYN9DfqLTVHhiUvwWZpw-wNmWI/edit?usp=drivesdk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</si>
  <si>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Jan 2 2019 9:15 AM</t>
  </si>
  <si>
    <t>11wDe1iSta-uPiSj3aBwpM_PUcVB86619YC5CLL_mQ-I</t>
  </si>
  <si>
    <t>https://docs.google.com/document/d/11wDe1iSta-uPiSj3aBwpM_PUcVB86619YC5CLL_mQ-I/edit?usp=drivesdk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</si>
  <si>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Jan 2 2019 9:38 AM</t>
  </si>
  <si>
    <t>16OYOj5TIsxB7aLpe8-WmMHmeLPl3WJceZcqhaNcR8ug</t>
  </si>
  <si>
    <t>https://docs.google.com/document/d/16OYOj5TIsxB7aLpe8-WmMHmeLPl3WJceZcqhaNcR8ug/edit?usp=drivesdk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</si>
  <si>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Jan 2 2019 6:52 PM</t>
  </si>
  <si>
    <t>16SdYODC-uCZ2zFLn33qfp7Qjty_GYbog-ssGQaMREx8</t>
  </si>
  <si>
    <t>https://docs.google.com/document/d/16SdYODC-uCZ2zFLn33qfp7Qjty_GYbog-ssGQaMREx8/edit?usp=drivesdk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</si>
  <si>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Jan 4 2019 8:16 AM</t>
  </si>
  <si>
    <t>1p7s5sR34YXc9wg1z-_VVivHlRGZkuTUZxMHhBUHtCco</t>
  </si>
  <si>
    <t>https://docs.google.com/document/d/1p7s5sR34YXc9wg1z-_VVivHlRGZkuTUZxMHhBUHtCco/edit?usp=drivesdk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</si>
  <si>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kenneth.rainer@gtmnerr.org; Timestamp: Jan 4 2019 9:57 AM</t>
  </si>
  <si>
    <t>1w5yvrJDRg-YgyWDyeVMe6dpoKT5A2GMePvS1bvcmC00</t>
  </si>
  <si>
    <t>https://docs.google.com/document/d/1w5yvrJDRg-YgyWDyeVMe6dpoKT5A2GMePvS1bvcmC00/edit?usp=drivesdk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</si>
  <si>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Jan 7 2019 3:50 PM</t>
  </si>
  <si>
    <t>1UTMHhAq_kXygMb9yCTHtxEDXQXCiJxKdNDQMS38t11M</t>
  </si>
  <si>
    <t>https://docs.google.com/document/d/1UTMHhAq_kXygMb9yCTHtxEDXQXCiJxKdNDQMS38t11M/edit?usp=drivesdk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</si>
  <si>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Jan 9 2019 8:15 AM</t>
  </si>
  <si>
    <t>1SXZqdzN-q45bqHiSwks60gp_1yChmg6o0A3CtR_bRFY</t>
  </si>
  <si>
    <t>https://docs.google.com/document/d/1SXZqdzN-q45bqHiSwks60gp_1yChmg6o0A3CtR_bRFY/edit?usp=drivesdk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</si>
  <si>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kenneth.rainer@gtmnerr.org; Timestamp: Jan 10 2019 8:41 AM</t>
  </si>
  <si>
    <t>1gVI_jfcOWjzZEQMF4gbfgFQynt0Z5DO6MONlYJj8nUU</t>
  </si>
  <si>
    <t>https://docs.google.com/document/d/1gVI_jfcOWjzZEQMF4gbfgFQynt0Z5DO6MONlYJj8nUU/edit?usp=drivesdk</t>
  </si>
  <si>
    <t>Document successfully created; Document successfully merged; Emails Sent: [To: Nikki.Dix@floridadep.gov,jennifer.odzinski@floridadep.gov,stephanie.windham@floridadep.gov,lia.sansom@floridadep.gov; CC: ben.mowbray@dep.state.fl.us; Reply To: ben.mowbray@dep.state.fl.us]; Run via form trigger as kenneth.rainer@gtmnerr.org; Timestamp: Jan 10 2019 8:44 AM</t>
  </si>
  <si>
    <t>1IaxkgNOqPzkSPHLaQxOsCa-xiQoIeRtfPOqC3I0c1oI</t>
  </si>
  <si>
    <t>https://docs.google.com/document/d/1IaxkgNOqPzkSPHLaQxOsCa-xiQoIeRtfPOqC3I0c1oI/edit?usp=drivesdk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</si>
  <si>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kenneth.rainer@gtmnerr.org; Timestamp: Jan 11 2019 2:05 PM</t>
  </si>
  <si>
    <t>sd</t>
  </si>
  <si>
    <t>17RQ4Ys5vhUgH_js1ld3jCjcGkUV1G8rZmkNP458_zYM</t>
  </si>
  <si>
    <t>https://docs.google.com/document/d/17RQ4Ys5vhUgH_js1ld3jCjcGkUV1G8rZmkNP458_zYM/edit?usp=drivesdk</t>
  </si>
  <si>
    <t>Document successfully created; Document successfully merged; Emails Sent: [To: Shannon.Dunnigan@floridadep.gov,jennifer.odzinski@floridadep.gov,stephanie.windham@floridadep.gov,lia.sansom@floridadep.gov; CC: ben.mowbray@dep.state.fl.us; Reply To: ben.mowbray@dep.state.fl.us]; Run via form trigger as education@gtmnerr.org; Timestamp: Jan 18 2019 12:17 PM</t>
  </si>
  <si>
    <t>1sp3x5m3NjyONG81qm62pZZCQIhwJORfCMNu2kAoMkJc</t>
  </si>
  <si>
    <t>https://docs.google.com/document/d/1sp3x5m3NjyONG81qm62pZZCQIhwJORfCMNu2kAoMkJc/edit?usp=drivesdk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</si>
  <si>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Jan 18 2019 12:18 PM</t>
  </si>
  <si>
    <t>1-LNoiYtth3TFidddGkp-DIB0m_Gtbagw1nKdq4vBdXE</t>
  </si>
  <si>
    <t>https://docs.google.com/document/d/1-LNoiYtth3TFidddGkp-DIB0m_Gtbagw1nKdq4vBdXE/edit?usp=drivesdk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</si>
  <si>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Jan 18 2019 12:19 PM</t>
  </si>
  <si>
    <t>1BlhUooj52_5Yvz462SxTIX6_-Pjdb3OHBRmrvl_Ls6A</t>
  </si>
  <si>
    <t>https://docs.google.com/document/d/1BlhUooj52_5Yvz462SxTIX6_-Pjdb3OHBRmrvl_Ls6A/edit?usp=drivesdk</t>
  </si>
  <si>
    <t>Document successfully created; Document successfully merged; Emails Sent: [To: Nikki.Dix@floridadep.gov,jennifer.odzinski@floridadep.gov,stephanie.windham@floridadep.gov,lia.sansom@floridadep.gov; CC: silas.tanner@dep.state.fl.us; Reply To: silas.tanner@dep.state.fl.us]; Run via form trigger as education@gtmnerr.org; Timestamp: Jan 18 2019 12:20 PM</t>
  </si>
  <si>
    <t>1wCwibueR_wcJviqe1JCJpLlTRhJP87kkXm9YSbcKdXU</t>
  </si>
  <si>
    <t>https://docs.google.com/document/d/1wCwibueR_wcJviqe1JCJpLlTRhJP87kkXm9YSbcKdXU/edit?usp=drivesdk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</si>
  <si>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Jan 18 2019 12:21 PM</t>
  </si>
  <si>
    <t>1ashMolhPpUl0A5fQ5JeXWD9xog1UFTWMtXS3rIJnr9I</t>
  </si>
  <si>
    <t>https://docs.google.com/document/d/1ashMolhPpUl0A5fQ5JeXWD9xog1UFTWMtXS3rIJnr9I/edit?usp=drivesdk</t>
  </si>
  <si>
    <t>Document successfully created; Document successfully merged; Emails Sent: [To: Nikki.Dix@floridadep.gov,jennifer.odzinski@floridadep.gov,stephanie.windham@floridadep.gov,lia.sansom@floridadep.gov; CC: pamela.marcum@dep.state.fl.us; Reply To: pamela.marcum@dep.state.fl.us]; Manually run by education@gtmnerr.org; Timestamp: Jan 18 2019 12:26 PM</t>
  </si>
  <si>
    <t>SD</t>
  </si>
  <si>
    <t>1ySIzZqkUgYZOnUT2s6MMktH4mDF9DGVF0uvVl5xf4BM</t>
  </si>
  <si>
    <t>https://docs.google.com/document/d/1ySIzZqkUgYZOnUT2s6MMktH4mDF9DGVF0uvVl5xf4BM/edit?usp=drivesdk</t>
  </si>
  <si>
    <t>Document successfully created; Document successfully merged; Emails Sent: [To: Shannon.Dunnigan@floridadep.gov,jennifer.odzinski@floridadep.gov,stephanie.windham@floridadep.gov,lia.sansom@floridadep.gov; CC: pamela.marcum@dep.state.fl.us; Reply To: pamela.marcum@dep.state.fl.us]; Manually run by education@gtmnerr.org; Timestamp: Jan 18 2019 12:27 PM</t>
  </si>
  <si>
    <t>1BNVX05cr1434PSG7V5_vi5xdcMP9K4I0Om0n38jVaK0</t>
  </si>
  <si>
    <t>https://docs.google.com/document/d/1BNVX05cr1434PSG7V5_vi5xdcMP9K4I0Om0n38jVaK0/edit?usp=drivesdk</t>
  </si>
  <si>
    <t>Document successfully created; Document successfully merged; Emails Sent: [To: Nikki.Dix@floridadep.gov,jennifer.odzinski@floridadep.gov,stephanie.windham@floridadep.gov,lia.sansom@floridadep.gov; CC: Pamela.Marcum@dep.state.fl.us; Reply To: Pamela.Marcum@dep.state.fl.us]; Manually run by education@gtmnerr.org; Timestamp: Jan 18 2019 12:28 PM</t>
  </si>
  <si>
    <t>1y2UDORHMpvgGxnWKusUow10nn0yr4r-KxQFkrbWVVDg</t>
  </si>
  <si>
    <t>https://docs.google.com/document/d/1y2UDORHMpvgGxnWKusUow10nn0yr4r-KxQFkrbWVVDg/edit?usp=drivesdk</t>
  </si>
  <si>
    <t>Document successfully created; Document successfully merged; Emails Sent: [To: Nikki.Dix@floridadep.gov,jennifer.odzinski@floridadep.gov,stephanie.windham@floridadep.gov,lia.sansom@floridadep.gov; CC: shannon.dunnigan@floridadep.gov; Reply To: shannon.dunnigan@floridadep.gov]; Manually run by education@gtmnerr.org; Timestamp: Jan 18 2019 12:28 PM</t>
  </si>
  <si>
    <t>14yTxW_f-O_a2XG44MuzS7iWl79ZZNjt9kb-KH_PVWqg</t>
  </si>
  <si>
    <t>https://docs.google.com/document/d/14yTxW_f-O_a2XG44MuzS7iWl79ZZNjt9kb-KH_PVWqg/edit?usp=drivesdk</t>
  </si>
  <si>
    <t>Document successfully created; Document successfully merged; Emails Sent: [To: Nikki.Dix@floridadep.gov,jennifer.odzinski@floridadep.gov,stephanie.windham@floridadep.gov,lia.sansom@floridadep.gov; CC: shannon.dunnigan@floridadep.gov; Reply To: shannon.dunnigan@floridadep.gov]; Manually run by education@gtmnerr.org; Timestamp: Jan 18 2019 12:29 PM</t>
  </si>
  <si>
    <t>1Sid9zj_P_dXtirRpSMOa44APDNbBmBxfUhLaW12NacM</t>
  </si>
  <si>
    <t>https://docs.google.com/document/d/1Sid9zj_P_dXtirRpSMOa44APDNbBmBxfUhLaW12NacM/edit?usp=drivesdk</t>
  </si>
  <si>
    <t>Document successfully created; Document successfully merged; Emails Sent: [To: Nikki.Dix@floridadep.gov,jennifer.odzinski@floridadep.gov,stephanie.windham@floridadep.gov,lia.sansom@floridadep.gov; CC: kennethcrainer@gmail.com; Reply To: kennethcrainer@gmail.com]; Manually run by education@gtmnerr.org; Timestamp: Jan 18 2019 12:29 PM</t>
  </si>
  <si>
    <t>1XZEg-gWWPTOj9opQYdpz_9DxyzyU6y5Gp45RZpWYD4Q</t>
  </si>
  <si>
    <t>https://docs.google.com/document/d/1XZEg-gWWPTOj9opQYdpz_9DxyzyU6y5Gp45RZpWYD4Q/edit?usp=drivesdk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</si>
  <si>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Jan 21 2019 3:24 PM</t>
  </si>
  <si>
    <t>14k-y4LM7_8qVmY3d7q2kykDV05hX-vJ64NitEnXnQnc</t>
  </si>
  <si>
    <t>https://docs.google.com/document/d/14k-y4LM7_8qVmY3d7q2kykDV05hX-vJ64NitEnXnQnc/edit?usp=drivesdk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</si>
  <si>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Jan 22 2019 7:57 AM</t>
  </si>
  <si>
    <t>1VxyoSgDSUY1xZ5RK1eus2n0CN5AUTnIlYoMgzyp0JHQ</t>
  </si>
  <si>
    <t>https://docs.google.com/document/d/1VxyoSgDSUY1xZ5RK1eus2n0CN5AUTnIlYoMgzyp0JHQ/edit?usp=drivesdk</t>
  </si>
  <si>
    <t>Document successfully created; Document successfully merged; Emails Sent: [To: Scott.Eastman@floridadep.gov,jennifer.odzinski@floridadep.gov,stephanie.windham@floridadep.gov,lia.sansom@floridadep.gov; CC: james.tomazinis@dep.state.fl.us; Reply To: james.tomazinis@dep.state.fl.us]; Run via form trigger as education@gtmnerr.org; Timestamp: Jan 23 2019 8:41 AM</t>
  </si>
  <si>
    <t>1ySdWIilTOg-yyMQjktbgZWwdRIY5MumEp3vG29GzdsE</t>
  </si>
  <si>
    <t>https://docs.google.com/document/d/1ySdWIilTOg-yyMQjktbgZWwdRIY5MumEp3vG29GzdsE/edit?usp=drivesdk</t>
  </si>
  <si>
    <t>Document successfully created; Document successfully merged; Emails Sent: [To: Lia.Sansom@floridadep.gov,jennifer.odzinski@floridadep.gov,stephanie.windham@floridadep.gov,lia.sansom@floridadep.gov; CC: pamela.marcum@dep.state.fl.us; Reply To: pamela.marcum@dep.state.fl.us]; Run via form trigger as education@gtmnerr.org; Timestamp: Jan 24 2019 9:59 AM</t>
  </si>
  <si>
    <t>1CUCpLehHRWB0zqBa_QILwFpQoJRVitx2XHWrEXyFSLw</t>
  </si>
  <si>
    <t>https://docs.google.com/document/d/1CUCpLehHRWB0zqBa_QILwFpQoJRVitx2XHWrEXyFSLw/edit?usp=drivesdk</t>
  </si>
  <si>
    <t>Document successfully created; Document successfully merged; Emails Sent: [To: Shannon.Dunnigan@floridadep.gov,jennifer.odzinski@floridadep.gov,stephanie.windham@floridadep.gov,lia.sansom@floridadep.gov; CC: ben.mowbray@dep.state.fl.us; Reply To: ben.mowbray@dep.state.fl.us]; Run via form trigger as education@gtmnerr.org; Timestamp: Jan 31 2019 7:02 AM</t>
  </si>
  <si>
    <t>1GOBsFESX6f9qZ6TPdcc-u6UgUVmptfCcKPpgKqBe1ww</t>
  </si>
  <si>
    <t>https://docs.google.com/document/d/1GOBsFESX6f9qZ6TPdcc-u6UgUVmptfCcKPpgKqBe1ww/edit?usp=drivesdk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</si>
  <si>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Jan 31 2019 8:13 AM</t>
  </si>
  <si>
    <t>1cLJrO_7vYjsC5Las3DO7HiNkHwUoPLtkT1XEBLKwk2I</t>
  </si>
  <si>
    <t>https://docs.google.com/document/d/1cLJrO_7vYjsC5Las3DO7HiNkHwUoPLtkT1XEBLKwk2I/edit?usp=drivesdk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</si>
  <si>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Feb 4 2019 7:57 AM</t>
  </si>
  <si>
    <t>1fSs9eCOq3hWlcEUsnZCYxYLdt3MBFViSiMNmwpFrbqo</t>
  </si>
  <si>
    <t>https://docs.google.com/document/d/1fSs9eCOq3hWlcEUsnZCYxYLdt3MBFViSiMNmwpFrbqo/edit?usp=drivesdk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</si>
  <si>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Feb 5 2019 7:48 AM</t>
  </si>
  <si>
    <t>14VlWjsETlFQ2d5qk_szZ5WONt_dxnNxiUZBzsMiNW10</t>
  </si>
  <si>
    <t>https://docs.google.com/document/d/14VlWjsETlFQ2d5qk_szZ5WONt_dxnNxiUZBzsMiNW10/edit?usp=drivesdk</t>
  </si>
  <si>
    <t>Document successfully created; Document successfully merged; Emails Sent: [To: Pamela.Marcum@floridadep.gov,jennifer.odzinski@floridadep.gov,stephanie.windham@floridadep.gov,lia.sansom@floridadep.gov; CC: silas.tanner@floridadep.gov; Reply To: silas.tanner@floridadep.gov]; Run via form trigger as education@gtmnerr.org; Timestamp: Feb 11 2019 9:13 AM</t>
  </si>
  <si>
    <t>1Vt0pUicYELfU8R8zAnYq1oBkEo08TQq0YR1IqW-z6do</t>
  </si>
  <si>
    <t>https://docs.google.com/document/d/1Vt0pUicYELfU8R8zAnYq1oBkEo08TQq0YR1IqW-z6do/edit?usp=drivesdk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</si>
  <si>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Feb 11 2019 12:04 PM</t>
  </si>
  <si>
    <t>1R42heGi2q08QFfpu_TBe529dTzIeq4zdK5DrHcNnHbY</t>
  </si>
  <si>
    <t>https://docs.google.com/document/d/1R42heGi2q08QFfpu_TBe529dTzIeq4zdK5DrHcNnHbY/edit?usp=drivesdk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</si>
  <si>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Feb 11 2019 2:59 PM</t>
  </si>
  <si>
    <t>1itUqLCg4quoRnKKQPLsV-rj3IX1_eBmEhbjlCHZeqlc</t>
  </si>
  <si>
    <t>https://docs.google.com/document/d/1itUqLCg4quoRnKKQPLsV-rj3IX1_eBmEhbjlCHZeqlc/edit?usp=drivesdk</t>
  </si>
  <si>
    <t>Document successfully created; Document successfully merged; Emails Sent: [To: Pamela.Marcum@floridadep.gov,jennifer.odzinski@floridadep.gov,stephanie.windham@floridadep.gov,lia.sansom@floridadep.gov; CC: ben.mowbray@dep.state.fl.us; Reply To: ben.mowbray@dep.state.fl.us]; Run via form trigger as education@gtmnerr.org; Timestamp: Feb 12 2019 7:20 AM</t>
  </si>
  <si>
    <t>1bAeE-YdJ3DaWyl_d93o31dCFP2fpmOBW8VVlRCpTtr8</t>
  </si>
  <si>
    <t>https://docs.google.com/document/d/1bAeE-YdJ3DaWyl_d93o31dCFP2fpmOBW8VVlRCpTtr8/edit?usp=drivesdk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</si>
  <si>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Feb 13 2019 8:49 AM</t>
  </si>
  <si>
    <t>1f2_RdO7f651I6OZS4bfi5p2XdGlREoePCDX_MNDvHz0</t>
  </si>
  <si>
    <t>https://docs.google.com/document/d/1f2_RdO7f651I6OZS4bfi5p2XdGlREoePCDX_MNDvHz0/edit?usp=drivesdk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</si>
  <si>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Feb 14 2019 8:52 AM</t>
  </si>
  <si>
    <t>1vjgkI4Lfj1nbvK_7qvSxeRdAub1lhBKrshH59fnzSM4</t>
  </si>
  <si>
    <t>https://docs.google.com/document/d/1vjgkI4Lfj1nbvK_7qvSxeRdAub1lhBKrshH59fnzSM4/edit?usp=drivesdk</t>
  </si>
  <si>
    <t>Document successfully created; Document successfully merged; Emails Sent: [To: Shannon.Dunnigan@floridadep.gov,jennifer.odzinski@floridadep.gov,stephanie.windham@floridadep.gov,lia.sansom@floridadep.gov; CC: silas.tanner@floridadep.gov; Reply To: silas.tanner@floridadep.gov]; Run via form trigger as education@gtmnerr.org; Timestamp: Feb 15 2019 10:19 AM</t>
  </si>
  <si>
    <t>1Yt2HD3iejFIbR5_nzxBX4oSXL467Y0dEFPeCK--9RKY</t>
  </si>
  <si>
    <t>https://docs.google.com/document/d/1Yt2HD3iejFIbR5_nzxBX4oSXL467Y0dEFPeCK--9RKY/edit?usp=drivesdk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</si>
  <si>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Feb 18 2019 10:16 AM</t>
  </si>
  <si>
    <t>1eml75LLBrnwv1nCwBu_-OJNxHvJ3ubC1U_W3NBu9nRM</t>
  </si>
  <si>
    <t>https://docs.google.com/document/d/1eml75LLBrnwv1nCwBu_-OJNxHvJ3ubC1U_W3NBu9nRM/edit?usp=drivesdk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</si>
  <si>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Feb 20 2019 9:38 AM</t>
  </si>
  <si>
    <t>1vmmHbbEKOlfRp-_iKH2vKvCl0CVCLNAqtyyG8zrDGGo</t>
  </si>
  <si>
    <t>https://docs.google.com/document/d/1vmmHbbEKOlfRp-_iKH2vKvCl0CVCLNAqtyyG8zrDGGo/edit?usp=drivesdk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</si>
  <si>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Feb 20 2019 12:56 PM</t>
  </si>
  <si>
    <t>JBO/SFE</t>
  </si>
  <si>
    <t>14pAUYwsaSmzX3501xXPXCLv9Bc9CBsp_aTg69Fj2q_c</t>
  </si>
  <si>
    <t>https://docs.google.com/document/d/14pAUYwsaSmzX3501xXPXCLv9Bc9CBsp_aTg69Fj2q_c/edit?usp=drivesdk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</si>
  <si>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Feb 20 2019 1:52 PM</t>
  </si>
  <si>
    <t>1Wg9Zp0UHwlUm4go4IGLILI0V5u0WvC2wzcoeNBDzINg</t>
  </si>
  <si>
    <t>https://docs.google.com/document/d/1Wg9Zp0UHwlUm4go4IGLILI0V5u0WvC2wzcoeNBDzINg/edit?usp=drivesdk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</si>
  <si>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Feb 22 2019 12:30 PM</t>
  </si>
  <si>
    <t>1sDmDyYMJ_Z6YauBF7BJ7lbIu9r7ZI3aH4vnfTBeQ-Is</t>
  </si>
  <si>
    <t>https://docs.google.com/document/d/1sDmDyYMJ_Z6YauBF7BJ7lbIu9r7ZI3aH4vnfTBeQ-Is/edit?usp=drivesdk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</si>
  <si>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Feb 27 2019 7:13 AM</t>
  </si>
  <si>
    <t>1MF4XTFcMuFaeeAGZvcZGTrRDTufu4yqULGm4wOzvNHk</t>
  </si>
  <si>
    <t>https://docs.google.com/document/d/1MF4XTFcMuFaeeAGZvcZGTrRDTufu4yqULGm4wOzvNHk/edit?usp=drivesdk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</si>
  <si>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Feb 27 2019 3:58 PM</t>
  </si>
  <si>
    <t>1SSjQWnl-mwCpqOXHeWdGBalJD7IGHDPVfgJa0kDIzdE</t>
  </si>
  <si>
    <t>https://docs.google.com/document/d/1SSjQWnl-mwCpqOXHeWdGBalJD7IGHDPVfgJa0kDIzdE/edit?usp=drivesdk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</si>
  <si>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Feb 28 2019 8:40 AM</t>
  </si>
  <si>
    <t>13swHtX7gKJbnmI4FTAIM1Ytz2fAZaljKFxQgPpMXl7w</t>
  </si>
  <si>
    <t>https://docs.google.com/document/d/13swHtX7gKJbnmI4FTAIM1Ytz2fAZaljKFxQgPpMXl7w/edit?usp=drivesdk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</si>
  <si>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Mar 1 2019 8:27 AM</t>
  </si>
  <si>
    <t>1iJsN9moJpH-rG7n8WmHd_EvVphFOsQgH3l5bndDInzo</t>
  </si>
  <si>
    <t>https://docs.google.com/document/d/1iJsN9moJpH-rG7n8WmHd_EvVphFOsQgH3l5bndDInzo/edit?usp=drivesdk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</si>
  <si>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Mar 1 2019 2:26 PM</t>
  </si>
  <si>
    <t>1THJY9npUUObsa_EIxEJih_JhyMtxohl0xQnwoTdyRVE</t>
  </si>
  <si>
    <t>https://docs.google.com/document/d/1THJY9npUUObsa_EIxEJih_JhyMtxohl0xQnwoTdyRVE/edit?usp=drivesdk</t>
  </si>
  <si>
    <t>Document successfully created; Document successfully merged; Emails Sent: [To: Scott.Eastman@floridadep.gov,jennifer.odzinski@floridadep.gov,stephanie.windham@floridadep.gov,lia.sansom@floridadep.gov; CC: james.tomazinis@dep.state.fl.us; Reply To: james.tomazinis@dep.state.fl.us]; Run via form trigger as education@gtmnerr.org; Timestamp: Mar 4 2019 7:46 AM</t>
  </si>
  <si>
    <t>1TJtSa6lbULLrc9i4aU81PsSx6hsWL8HJ2uszk5W7kv8</t>
  </si>
  <si>
    <t>https://docs.google.com/document/d/1TJtSa6lbULLrc9i4aU81PsSx6hsWL8HJ2uszk5W7kv8/edit?usp=drivesdk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</si>
  <si>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Mar 4 2019 3:50 PM</t>
  </si>
  <si>
    <t>16vjClCoqC7m3akVttcJyh9s3Hbn-CzZ-MyVW-Lji67g</t>
  </si>
  <si>
    <t>https://docs.google.com/document/d/16vjClCoqC7m3akVttcJyh9s3Hbn-CzZ-MyVW-Lji67g/edit?usp=drivesdk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</si>
  <si>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Mar 11 2019 10:36 AM</t>
  </si>
  <si>
    <t>1odhTpTLuy9rmKb4m7VExrlFUjNvK50mcGTUs0hW18L8</t>
  </si>
  <si>
    <t>https://docs.google.com/document/d/1odhTpTLuy9rmKb4m7VExrlFUjNvK50mcGTUs0hW18L8/edit?usp=drivesdk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</si>
  <si>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Mar 12 2019 5:07 PM</t>
  </si>
  <si>
    <t>1CE7RpdJaTh2JD6fLOPYtoqWGdMGQ2c8KX9dL8l5pYSk</t>
  </si>
  <si>
    <t>https://docs.google.com/document/d/1CE7RpdJaTh2JD6fLOPYtoqWGdMGQ2c8KX9dL8l5pYSk/edit?usp=drivesdk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</si>
  <si>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Mar 13 2019 5:49 PM</t>
  </si>
  <si>
    <t>1jnJsXS29HDOhrHeQq8n7gliU6CgrEEMc5ofm0gMZrKk</t>
  </si>
  <si>
    <t>https://docs.google.com/document/d/1jnJsXS29HDOhrHeQq8n7gliU6CgrEEMc5ofm0gMZrKk/edit?usp=drivesdk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</si>
  <si>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Mar 15 2019 7:57 AM</t>
  </si>
  <si>
    <t>1VtQ18zcO7flR4xUlRI4xlQwk7HLbxifr5GREZNqxXeE</t>
  </si>
  <si>
    <t>https://docs.google.com/document/d/1VtQ18zcO7flR4xUlRI4xlQwk7HLbxifr5GREZNqxXeE/edit?usp=drivesdk</t>
  </si>
  <si>
    <t>Document successfully created; Document successfully merged; Emails Sent: [To: Shannon.Dunnigan@floridadep.gov,jennifer.odzinski@floridadep.gov,stephanie.windham@floridadep.gov,lia.sansom@floridadep.gov; CC: silas.tanner@floridadep.gov; Reply To: silas.tanner@floridadep.gov]; Run via form trigger as education@gtmnerr.org; Timestamp: Mar 19 2019 7:25 AM</t>
  </si>
  <si>
    <t>1L1BhSBkasbBc33FaIlGEUy1QJoKlaM_Jtc_EQeyB6rE</t>
  </si>
  <si>
    <t>https://docs.google.com/document/d/1L1BhSBkasbBc33FaIlGEUy1QJoKlaM_Jtc_EQeyB6rE/edit?usp=drivesdk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</si>
  <si>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Mar 29 2019 9:01 AM</t>
  </si>
  <si>
    <t>1Dzim86Y4YGT_YVul2rHTGacthfweWnqj2ROmmM8TFk0</t>
  </si>
  <si>
    <t>https://docs.google.com/document/d/1Dzim86Y4YGT_YVul2rHTGacthfweWnqj2ROmmM8TFk0/edit?usp=drivesdk</t>
  </si>
  <si>
    <t>Document successfully created; Document successfully merged; Emails Sent: [To: Nikki.Dix@floridadep.gov,jennifer.odzinski@floridadep.gov,stephanie.windham@floridadep.gov,lia.sansom@floridadep.gov; CC: Pamela.Marcum@floridadep.gov; Reply To: Pamela.Marcum@floridadep.gov]; Run via form trigger as education@gtmnerr.org; Timestamp: Mar 31 2019 10:18 AM</t>
  </si>
  <si>
    <t>1mBCEfKk4M0GnmEfttHkg7DYLU8NC9VAAZ_0zCFxBuws</t>
  </si>
  <si>
    <t>https://docs.google.com/document/d/1mBCEfKk4M0GnmEfttHkg7DYLU8NC9VAAZ_0zCFxBuws/edit?usp=drivesdk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</si>
  <si>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Apr 1 2019 9:52 AM</t>
  </si>
  <si>
    <t>1hBWPvOMDWDX1__sfEInbaoUfl4W3yrdgE2duMe0b6N8</t>
  </si>
  <si>
    <t>https://docs.google.com/document/d/1hBWPvOMDWDX1__sfEInbaoUfl4W3yrdgE2duMe0b6N8/edit?usp=drivesdk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</si>
  <si>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Apr 1 2019 5:56 PM</t>
  </si>
  <si>
    <t>1dGjXr-f0fBAgpju4CycNigpwZYO7y6akkSw-DyY80Hg</t>
  </si>
  <si>
    <t>https://docs.google.com/document/d/1dGjXr-f0fBAgpju4CycNigpwZYO7y6akkSw-DyY80Hg/edit?usp=drivesdk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</si>
  <si>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Apr 3 2019 7:19 AM</t>
  </si>
  <si>
    <t>1zpiiQnRk_ny2eghst2yO43NK7mtn9wSbSuVWKqfFa1w</t>
  </si>
  <si>
    <t>https://docs.google.com/document/d/1zpiiQnRk_ny2eghst2yO43NK7mtn9wSbSuVWKqfFa1w/edit?usp=drivesdk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</si>
  <si>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Apr 8 2019 6:39 AM</t>
  </si>
  <si>
    <t xml:space="preserve">Cancelled </t>
  </si>
  <si>
    <t>1AfS58goBppKK1dhcQ15scXNHmkmINsEIlKN629Yv3FA</t>
  </si>
  <si>
    <t>https://docs.google.com/document/d/1AfS58goBppKK1dhcQ15scXNHmkmINsEIlKN629Yv3FA/edit?usp=drivesdk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</si>
  <si>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Apr 8 2019 4:18 PM</t>
  </si>
  <si>
    <t>1I5BcUrGICWQ1wd-pOkEzau0SJ4sOIRHp-C2jzuUxtbg</t>
  </si>
  <si>
    <t>https://docs.google.com/document/d/1I5BcUrGICWQ1wd-pOkEzau0SJ4sOIRHp-C2jzuUxtbg/edit?usp=drivesdk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</si>
  <si>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Apr 9 2019 8:44 AM</t>
  </si>
  <si>
    <t>1Sn9bVL2GIklcZRZgPcVrs4YIzFCqYYDAXCMJVl9B1R0</t>
  </si>
  <si>
    <t>https://docs.google.com/document/d/1Sn9bVL2GIklcZRZgPcVrs4YIzFCqYYDAXCMJVl9B1R0/edit?usp=drivesdk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</si>
  <si>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Apr 9 2019 4:02 PM</t>
  </si>
  <si>
    <t>1hzl70eQJdCH-lpArjQbSGfHA1SGjOSraKKhyqg58B68</t>
  </si>
  <si>
    <t>https://docs.google.com/document/d/1hzl70eQJdCH-lpArjQbSGfHA1SGjOSraKKhyqg58B68/edit?usp=drivesdk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</si>
  <si>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Apr 10 2019 7:21 AM</t>
  </si>
  <si>
    <t>1uCFtG0-wU4D5kQQg_2QZmZQcdgRoCiQDn3rZkEBvv04</t>
  </si>
  <si>
    <t>https://docs.google.com/document/d/1uCFtG0-wU4D5kQQg_2QZmZQcdgRoCiQDn3rZkEBvv04/edit?usp=drivesdk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</si>
  <si>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Apr 10 2019 5:18 PM</t>
  </si>
  <si>
    <t>1vdwGK0Z5I5-j4ULO9LCgVjXiYeUTqd_O3ikT0-SRIwA</t>
  </si>
  <si>
    <t>https://docs.google.com/document/d/1vdwGK0Z5I5-j4ULO9LCgVjXiYeUTqd_O3ikT0-SRIwA/edit?usp=drivesdk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</si>
  <si>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Apr 10 2019 5:31 PM</t>
  </si>
  <si>
    <t>1ukzotZXuW2ove_jHqRm504KzOsplPkmvul8G0QbKoMY</t>
  </si>
  <si>
    <t>https://docs.google.com/document/d/1ukzotZXuW2ove_jHqRm504KzOsplPkmvul8G0QbKoMY/edit?usp=drivesdk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</si>
  <si>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Apr 11 2019 7:13 AM</t>
  </si>
  <si>
    <t>1oHYrfxnlmihGFpWtZ-1v641ONBZilcpq2UIDfKsPFDs</t>
  </si>
  <si>
    <t>https://docs.google.com/document/d/1oHYrfxnlmihGFpWtZ-1v641ONBZilcpq2UIDfKsPFDs/edit?usp=drivesdk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</si>
  <si>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Apr 11 2019 7:35 AM</t>
  </si>
  <si>
    <t>1j4CjBxVsEV7eiXaAaDkQ54i3LKlo5QbAlHvFo8FQYLI</t>
  </si>
  <si>
    <t>https://docs.google.com/document/d/1j4CjBxVsEV7eiXaAaDkQ54i3LKlo5QbAlHvFo8FQYLI/edit?usp=drivesdk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</si>
  <si>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Apr 12 2019 6:48 AM</t>
  </si>
  <si>
    <t>1TyLRb51S5K0bKOXgD50rIy_6EfG9cLwNzFQtV53qkSg</t>
  </si>
  <si>
    <t>https://docs.google.com/document/d/1TyLRb51S5K0bKOXgD50rIy_6EfG9cLwNzFQtV53qkSg/edit?usp=drivesdk</t>
  </si>
  <si>
    <t>Document successfully created; Document successfully merged; Emails Sent: [To: Pamela.Marcum@floridadep.gov,jennifer.odzinski@floridadep.gov,stephanie.windham@floridadep.gov,lia.sansom@floridadep.gov; CC: silas.tanner@floridadep.gov; Reply To: silas.tanner@floridadep.gov]; Run via form trigger as education@gtmnerr.org; Timestamp: Apr 15 2019 8:01 AM</t>
  </si>
  <si>
    <t>1Jwwqnazwww9YKvWyHVkc7djKCR6FkjdvBevqEEgTxgc</t>
  </si>
  <si>
    <t>https://docs.google.com/document/d/1Jwwqnazwww9YKvWyHVkc7djKCR6FkjdvBevqEEgTxgc/edit?usp=drivesdk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</si>
  <si>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Apr 17 2019 2:33 PM</t>
  </si>
  <si>
    <t>1u7s5sF6N4c08VUpD9QaNfb9XH2JWFuYc9n9uv0nmrXs</t>
  </si>
  <si>
    <t>https://docs.google.com/document/d/1u7s5sF6N4c08VUpD9QaNfb9XH2JWFuYc9n9uv0nmrXs/edit?usp=drivesdk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</si>
  <si>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Apr 26 2019 1:11 PM</t>
  </si>
  <si>
    <t>1yVYWUcznor89rZKLN7JNHkOJi-hKAXwvKPawozANPrs</t>
  </si>
  <si>
    <t>https://docs.google.com/document/d/1yVYWUcznor89rZKLN7JNHkOJi-hKAXwvKPawozANPrs/edit?usp=drivesdk</t>
  </si>
  <si>
    <t>Document successfully created; Document successfully merged; Emails Sent: [To: Nikki.Dix@floridadep.gov,jennifer.odzinski@floridadep.gov,stephanie.windham@floridadep.gov,lia.sansom@floridadep.gov]; Run via form trigger as education@gtmnerr.org; Timestamp: Apr 30 2019 8:57 AM</t>
  </si>
  <si>
    <t>1eXlcmMIv9zUf7k-HL1ZFahKVKf9u1qFeaJAyflX6R20</t>
  </si>
  <si>
    <t>https://docs.google.com/document/d/1eXlcmMIv9zUf7k-HL1ZFahKVKf9u1qFeaJAyflX6R20/edit?usp=drivesdk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</si>
  <si>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1 2019 8:49 AM</t>
  </si>
  <si>
    <t>1Si4U5YmHvfX7oP5-r6Jt3hFsP-8Kn9NMVMWY0BZp7kU</t>
  </si>
  <si>
    <t>https://docs.google.com/document/d/1Si4U5YmHvfX7oP5-r6Jt3hFsP-8Kn9NMVMWY0BZp7kU/edit?usp=drivesdk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</si>
  <si>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1 2019 4:18 PM</t>
  </si>
  <si>
    <t>1Q9ML7tL-eCbAh36Z_OcvQHcpvugY7Asf2P4_F6COnTE</t>
  </si>
  <si>
    <t>https://docs.google.com/document/d/1Q9ML7tL-eCbAh36Z_OcvQHcpvugY7Asf2P4_F6COnTE/edit?usp=drivesdk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</si>
  <si>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2 2019 9:35 AM</t>
  </si>
  <si>
    <t>1T405mthEps_AdPOWw3Iy-nbrUnZ7A60jSwUoncMXVKg</t>
  </si>
  <si>
    <t>https://docs.google.com/document/d/1T405mthEps_AdPOWw3Iy-nbrUnZ7A60jSwUoncMXVKg/edit?usp=drivesdk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</si>
  <si>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6 2019 2:21 PM</t>
  </si>
  <si>
    <t>1g4e1jL6_o4Bnaqlw071EP28KdZfsft1fTcxM7y5K3hY</t>
  </si>
  <si>
    <t>https://docs.google.com/document/d/1g4e1jL6_o4Bnaqlw071EP28KdZfsft1fTcxM7y5K3hY/edit?usp=drivesdk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</si>
  <si>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7 2019 6:18 AM</t>
  </si>
  <si>
    <t>1vkQaUeNfFpD_o02fHgg_xTiGVFe9jSGR2yTxiIOVFIE</t>
  </si>
  <si>
    <t>https://docs.google.com/document/d/1vkQaUeNfFpD_o02fHgg_xTiGVFe9jSGR2yTxiIOVFIE/edit?usp=drivesdk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</si>
  <si>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May 7 2019 7:56 AM</t>
  </si>
  <si>
    <t>1gYNhicIovTf1c9Zf3C3aODQwJQQizjlNU7MM4uM7Cq8</t>
  </si>
  <si>
    <t>https://docs.google.com/document/d/1gYNhicIovTf1c9Zf3C3aODQwJQQizjlNU7MM4uM7Cq8/edit?usp=drivesdk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</si>
  <si>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7 2019 2:40 PM</t>
  </si>
  <si>
    <t>1zlJ_Fo8-K64oCgIGfP5Aj5buqM1dyZx_BJk8QFySHVc</t>
  </si>
  <si>
    <t>https://docs.google.com/document/d/1zlJ_Fo8-K64oCgIGfP5Aj5buqM1dyZx_BJk8QFySHVc/edit?usp=drivesdk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</si>
  <si>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8 2019 6:07 AM</t>
  </si>
  <si>
    <t>190TNo4ZUiEWHJnPN5QI9eTlWaIaeW3i_-JNB6ri0AA4</t>
  </si>
  <si>
    <t>https://docs.google.com/document/d/190TNo4ZUiEWHJnPN5QI9eTlWaIaeW3i_-JNB6ri0AA4/edit?usp=drivesdk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</si>
  <si>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9 2019 6:24 AM</t>
  </si>
  <si>
    <t>1_V2iYWUNuyPpcY9McAiWWBOBaQ-9nnGnLE3AXu3Ways</t>
  </si>
  <si>
    <t>https://docs.google.com/document/d/1_V2iYWUNuyPpcY9McAiWWBOBaQ-9nnGnLE3AXu3Ways/edit?usp=drivesdk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</si>
  <si>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10 2019 6:22 AM</t>
  </si>
  <si>
    <t>1LBsjMCrOKskybnaVJZ8DrnF0haojvF7rUr38aeeaaBQ</t>
  </si>
  <si>
    <t>https://docs.google.com/document/d/1LBsjMCrOKskybnaVJZ8DrnF0haojvF7rUr38aeeaaBQ/edit?usp=drivesdk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</si>
  <si>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14 2019 8:14 AM</t>
  </si>
  <si>
    <t>1UEl-2dca8hhWbxoBq3pZJzZcixkeZmJLnspPZQ9oT-Q</t>
  </si>
  <si>
    <t>https://docs.google.com/document/d/1UEl-2dca8hhWbxoBq3pZJzZcixkeZmJLnspPZQ9oT-Q/edit?usp=drivesdk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</si>
  <si>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14 2019 10:17 AM</t>
  </si>
  <si>
    <t>SE</t>
  </si>
  <si>
    <t>1tRygHe_g-Mb2L8SiXS2htKn66bxuHvsx3mLZX6RrvRw</t>
  </si>
  <si>
    <t>https://docs.google.com/document/d/1tRygHe_g-Mb2L8SiXS2htKn66bxuHvsx3mLZX6RrvRw/edit?usp=drivesdk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</si>
  <si>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15 2019 8:36 AM</t>
  </si>
  <si>
    <t>1pqnHvRBe93jYVA63NlfI2hkZWWO8LEXrZ0jP21_TsIw</t>
  </si>
  <si>
    <t>https://docs.google.com/document/d/1pqnHvRBe93jYVA63NlfI2hkZWWO8LEXrZ0jP21_TsIw/edit?usp=drivesdk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</si>
  <si>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May 15 2019 11:58 AM</t>
  </si>
  <si>
    <t>1hNWRIRHrwQ2y_KjvuP6GF3lI-qpLwHP1zU8ba6Th2A8</t>
  </si>
  <si>
    <t>https://docs.google.com/document/d/1hNWRIRHrwQ2y_KjvuP6GF3lI-qpLwHP1zU8ba6Th2A8/edit?usp=drivesdk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</si>
  <si>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15 2019 5:29 PM</t>
  </si>
  <si>
    <t>1jQmJ2nmws9NbG4unV8L7tknjhGikOp5Wp60WoX0r9SU</t>
  </si>
  <si>
    <t>https://docs.google.com/document/d/1jQmJ2nmws9NbG4unV8L7tknjhGikOp5Wp60WoX0r9SU/edit?usp=drivesdk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</si>
  <si>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16 2019 1:09 PM</t>
  </si>
  <si>
    <t>1nwRxq9QzMWOE6F4rVgHmRuocKZ9SkDOahsobebfl3uQ</t>
  </si>
  <si>
    <t>https://docs.google.com/document/d/1nwRxq9QzMWOE6F4rVgHmRuocKZ9SkDOahsobebfl3uQ/edit?usp=drivesdk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</si>
  <si>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17 2019 2:08 PM</t>
  </si>
  <si>
    <t>1QBSxmJEW8haI9t5gOvOxhfJQdjnU8UExtzvNGSdRJeU</t>
  </si>
  <si>
    <t>https://docs.google.com/document/d/1QBSxmJEW8haI9t5gOvOxhfJQdjnU8UExtzvNGSdRJeU/edit?usp=drivesdk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</si>
  <si>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17 2019 4:55 PM</t>
  </si>
  <si>
    <t>1QxaRdHvDAJbUR2d5Aif51DAoEGlkAzlCnhkf3ioW5X8</t>
  </si>
  <si>
    <t>https://docs.google.com/document/d/1QxaRdHvDAJbUR2d5Aif51DAoEGlkAzlCnhkf3ioW5X8/edit?usp=drivesdk</t>
  </si>
  <si>
    <t>Document successfully created; Document successfully merged; Emails Sent: [To: Nikki.Dix@floridadep.gov,jennifer.odzinski@floridadep.gov,stephanie.windham@floridadep.gov,lia.sansom@floridadep.gov; CC: silas.tanner@dep.state.fl; Reply To: silas.tanner@dep.state.fl]; Run via form trigger as education@gtmnerr.org; Timestamp: May 20 2019 7:51 AM</t>
  </si>
  <si>
    <t>10yd_QWoX4-uGTi1hSALQIVk7-NQdFiPnAMvkiRZydsQ</t>
  </si>
  <si>
    <t>https://docs.google.com/document/d/10yd_QWoX4-uGTi1hSALQIVk7-NQdFiPnAMvkiRZydsQ/edit?usp=drivesdk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</si>
  <si>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20 2019 8:41 AM</t>
  </si>
  <si>
    <t>1oALdN25ww9lJ48fXJMH1m20lIQx2AKySaSRbjgF26Cc</t>
  </si>
  <si>
    <t>https://docs.google.com/document/d/1oALdN25ww9lJ48fXJMH1m20lIQx2AKySaSRbjgF26Cc/edit?usp=drivesdk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</si>
  <si>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21 2019 8:16 AM</t>
  </si>
  <si>
    <t>1TGJKwqK7tl-baAbH_IHsAK1BxN4w_NGJpCrIFFEFTWI</t>
  </si>
  <si>
    <t>https://docs.google.com/document/d/1TGJKwqK7tl-baAbH_IHsAK1BxN4w_NGJpCrIFFEFTWI/edit?usp=drivesdk</t>
  </si>
  <si>
    <t>Document successfully created; Document successfully merged; Emails Sent: [To: Nikki.Dix@floridadep.gov,jennifer.odzinski@floridadep.gov,stephanie.windham@floridadep.gov,lia.sansom@floridadep.gov; CC: Gabby.Canas@dep.state.fl.us; Reply To: Gabby.Canas@dep.state.fl.us]; Run via form trigger as education@gtmnerr.org; Timestamp: May 21 2019 8:21 AM</t>
  </si>
  <si>
    <t>1AE-X1g5JwYwKIewk8HKwamVWj8F3gqOdlwE6ACEbgo8</t>
  </si>
  <si>
    <t>https://docs.google.com/document/d/1AE-X1g5JwYwKIewk8HKwamVWj8F3gqOdlwE6ACEbgo8/edit?usp=drivesdk</t>
  </si>
  <si>
    <t>Document successfully created; Document successfully merged; Emails Sent: [To: Nikki.Dix@floridadep.gov,jennifer.odzinski@floridadep.gov,stephanie.windham@floridadep.gov,lia.sansom@floridadep.gov; CC: gabriela.canas@dep.state.fl.us; Reply To: gabriela.canas@dep.state.fl.us]; Run via form trigger as education@gtmnerr.org; Timestamp: May 23 2019 7:13 AM</t>
  </si>
  <si>
    <t>1dCEu2hsgN4CNpOXcvJv99aq_Gid7YoqeBDIpSpkQ4nU</t>
  </si>
  <si>
    <t>https://docs.google.com/document/d/1dCEu2hsgN4CNpOXcvJv99aq_Gid7YoqeBDIpSpkQ4nU/edit?usp=drivesdk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</si>
  <si>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May 30 2019 4:44 PM</t>
  </si>
  <si>
    <t>1Nk9n5eyGbsbIoXNmGFa0tJ56gRlGDnbkMU66Pzi_7zQ</t>
  </si>
  <si>
    <t>https://docs.google.com/document/d/1Nk9n5eyGbsbIoXNmGFa0tJ56gRlGDnbkMU66Pzi_7zQ/edit?usp=drivesdk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</si>
  <si>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31 2019 9:04 AM</t>
  </si>
  <si>
    <t>1pj9crTN-CZHYzkL4JhT9dLlzLTPl3Fqv8RKEmTo6R1g</t>
  </si>
  <si>
    <t>https://docs.google.com/document/d/1pj9crTN-CZHYzkL4JhT9dLlzLTPl3Fqv8RKEmTo6R1g/edit?usp=drivesdk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</si>
  <si>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May 31 2019 9:06 AM</t>
  </si>
  <si>
    <t>14h26rC8fooKg2LUPrRqgDafgqZqTt7bXcBEoYTV6AwQ</t>
  </si>
  <si>
    <t>https://docs.google.com/document/d/14h26rC8fooKg2LUPrRqgDafgqZqTt7bXcBEoYTV6AwQ/edit?usp=drivesdk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</si>
  <si>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3 2019 9:05 AM</t>
  </si>
  <si>
    <t>1vYPfTu_pYzTS1kX81IUb2Yn5ePGYoFRClmcO458xK2w</t>
  </si>
  <si>
    <t>https://docs.google.com/document/d/1vYPfTu_pYzTS1kX81IUb2Yn5ePGYoFRClmcO458xK2w/edit?usp=drivesdk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</si>
  <si>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Jun 4 2019 8:59 AM</t>
  </si>
  <si>
    <t>1qA0BXQylOFUw2Hvi7IhmXc7q1Hw-adob7CuuwLH6Z1g</t>
  </si>
  <si>
    <t>https://docs.google.com/document/d/1qA0BXQylOFUw2Hvi7IhmXc7q1Hw-adob7CuuwLH6Z1g/edit?usp=drivesdk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</si>
  <si>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Jun 5 2019 2:30 PM</t>
  </si>
  <si>
    <t>15x4EVSZ10MXuaxM4ij4M29WzWjxQAM3oj70GOLrnxF0</t>
  </si>
  <si>
    <t>https://docs.google.com/document/d/15x4EVSZ10MXuaxM4ij4M29WzWjxQAM3oj70GOLrnxF0/edit?usp=drivesdk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</si>
  <si>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Jun 10 2019 6:42 AM</t>
  </si>
  <si>
    <t>1EYWgKjtFQfT6Aj2PtcKOQtTPMo2fy52Im86yup5t7eA</t>
  </si>
  <si>
    <t>https://docs.google.com/document/d/1EYWgKjtFQfT6Aj2PtcKOQtTPMo2fy52Im86yup5t7eA/edit?usp=drivesdk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</si>
  <si>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Jun 11 2019 6:48 AM</t>
  </si>
  <si>
    <t>1nBWzBiDSsyiR3ju6LhrlU1ZVjn_PV5JBs4--S8E4a3Q</t>
  </si>
  <si>
    <t>https://docs.google.com/document/d/1nBWzBiDSsyiR3ju6LhrlU1ZVjn_PV5JBs4--S8E4a3Q/edit?usp=drivesdk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</si>
  <si>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12 2019 8:28 AM</t>
  </si>
  <si>
    <t>164X_Qm-57KZWpDwSlzujouQd4VaB5hOiv035HofNRW4</t>
  </si>
  <si>
    <t>https://docs.google.com/document/d/164X_Qm-57KZWpDwSlzujouQd4VaB5hOiv035HofNRW4/edit?usp=drivesdk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</si>
  <si>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13 2019 9:59 AM</t>
  </si>
  <si>
    <t>1vh9SYwexF7o-MJsnwZb4b3TupfyrNa39KjhqGok5m9c</t>
  </si>
  <si>
    <t>https://docs.google.com/document/d/1vh9SYwexF7o-MJsnwZb4b3TupfyrNa39KjhqGok5m9c/edit?usp=drivesdk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</si>
  <si>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14 2019 8:37 AM</t>
  </si>
  <si>
    <t>1qfUcmR9cqqC24YrVwYMSNWmDE13w6gaXtQiKLuEI16A</t>
  </si>
  <si>
    <t>https://docs.google.com/document/d/1qfUcmR9cqqC24YrVwYMSNWmDE13w6gaXtQiKLuEI16A/edit?usp=drivesdk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</si>
  <si>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Jun 17 2019 5:30 PM</t>
  </si>
  <si>
    <t>1YLWiNhI8NozGXmYo5gZ2IVUl2kOr9Ek5uLEd8Mb9Y4s</t>
  </si>
  <si>
    <t>https://docs.google.com/document/d/1YLWiNhI8NozGXmYo5gZ2IVUl2kOr9Ek5uLEd8Mb9Y4s/edit?usp=drivesdk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</si>
  <si>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18 2019 8:48 AM</t>
  </si>
  <si>
    <t>1VJnXPJs-V6D3x8ovy_Zxak_KhMiACK6sxW9bc_Tpvk4</t>
  </si>
  <si>
    <t>https://docs.google.com/document/d/1VJnXPJs-V6D3x8ovy_Zxak_KhMiACK6sxW9bc_Tpvk4/edit?usp=drivesdk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</si>
  <si>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18 2019 4:26 PM</t>
  </si>
  <si>
    <t>1LBlWKL2pKmxOCG6VVr5KzjV_Qs6EWYJnMRPZXBuCHyY</t>
  </si>
  <si>
    <t>https://docs.google.com/document/d/1LBlWKL2pKmxOCG6VVr5KzjV_Qs6EWYJnMRPZXBuCHyY/edit?usp=drivesdk</t>
  </si>
  <si>
    <t>Document successfully created; Document successfully merged; Emails Sent: [To: Scott.Eastman@floridadep.gov,jennifer.odzinski@floridadep.gov,stephanie.windham@floridadep.gov,lia.sansom@floridadep.gov; CC: james.tomazinis@floridadep.gov; Reply To: james.tomazinis@floridadep.gov]; Run via form trigger as education@gtmnerr.org; Timestamp: Jun 19 2019 5:34 PM</t>
  </si>
  <si>
    <t>1oFfq4LU7d1zTf_pe0yQ81_jHV2i5KQRSdELtjM6PJvU</t>
  </si>
  <si>
    <t>https://docs.google.com/document/d/1oFfq4LU7d1zTf_pe0yQ81_jHV2i5KQRSdELtjM6PJvU/edit?usp=drivesdk</t>
  </si>
  <si>
    <t>Document successfully created; Document successfully merged; Emails Sent: [To: Nikki.Dix@floridadep.gov,jennifer.odzinski@floridadep.gov,stephanie.windham@floridadep.gov,lia.sansom@floridadep.gov; CC: silas.tanner@floridadep.gov; Reply To: silas.tanner@floridadep.gov]; Run via form trigger as education@gtmnerr.org; Timestamp: Jun 26 2019 8:31 AM</t>
  </si>
  <si>
    <t>1KgtsJJKzhgVyGWsX20RlzbAQfyhax9XMYyQYU7_jT3Q</t>
  </si>
  <si>
    <t>https://docs.google.com/document/d/1KgtsJJKzhgVyGWsX20RlzbAQfyhax9XMYyQYU7_jT3Q/edit?usp=drivesdk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</si>
  <si>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Jun 28 2019 9:31 AM</t>
  </si>
  <si>
    <t>1d2XWI0EjkYtmDxCVNlEHb93pARhb9WKgiaWv_9QPQ1I</t>
  </si>
  <si>
    <t>https://docs.google.com/document/d/1d2XWI0EjkYtmDxCVNlEHb93pARhb9WKgiaWv_9QPQ1I/edit?usp=drivesdk</t>
  </si>
  <si>
    <t>Document successfully created; Document successfully merged; Emails Sent: [To: Nikki.Dix@floridadep.gov,jennifer.odzinski@floridadep.gov,stephanie.windham@floridadep.gov,lia.sansom@floridadep.gov; CC: Pamela.Marcum@dep.state.fl.us; Reply To: Pamela.Marcum@dep.state.fl.us]; Run via form trigger as education@gtmnerr.org; Timestamp: Jul 1 2019 12:22 PM</t>
  </si>
  <si>
    <t>1O2axMQA5xDTQpskdWm80p09JuUPVL5tfWcrGdGzBO5k</t>
  </si>
  <si>
    <t>https://docs.google.com/document/d/1O2axMQA5xDTQpskdWm80p09JuUPVL5tfWcrGdGzBO5k/edit?usp=drivesdk</t>
  </si>
  <si>
    <t>Document successfully created; Document successfully merged; Emails Sent: [To: Shannon.Dunnigan@floridadep.gov,jennifer.odzinski@floridadep.gov,stephanie.windham@floridadep.gov,lia.sansom@floridadep.gov; CC: silas.tanner@floridadep.gov; Reply To: silas.tanner@floridadep.gov]; Run via form trigger as education@gtmnerr.org; Timestamp: Jul 1 2019 3:59 PM</t>
  </si>
  <si>
    <t>1Lj3Corcrdfv8NhADDnB5MnFLc80Lp1cbT2jtyOaAzZg</t>
  </si>
  <si>
    <t>https://docs.google.com/document/d/1Lj3Corcrdfv8NhADDnB5MnFLc80Lp1cbT2jtyOaAzZg/edit?usp=drivesdk</t>
  </si>
  <si>
    <t>Document successfully created; Document successfully merged; Emails Sent: [To: Pamela.Marcum@floridadep.gov,jennifer.odzinski@floridadep.gov,stephanie.windham@floridadep.gov,lia.sansom@floridadep.gov; CC: Rubeall57@gmail.com; Reply To: Rubeall57@gmail.com]; Run via form trigger as education@gtmnerr.org; Timestamp: Jul 2 2019 4:25 PM</t>
  </si>
  <si>
    <t>1qXtK3oH7DmcQDkV7PcKHYbDz7zDrjKI0qG6ostGLO4o</t>
  </si>
  <si>
    <t>https://docs.google.com/document/d/1qXtK3oH7DmcQDkV7PcKHYbDz7zDrjKI0qG6ostGLO4o/edit?usp=drivesdk</t>
  </si>
  <si>
    <t>Document successfully created; Document successfully merged; Emails Sent: [To: Kenneth.Rainer@floridadep.gov,blythe.odzinski@floridadep.gov,stephanie.windham@floridadep.gov,lia.sansom@floridadep.gov; CC: josephine.spearman@FloridaDEP.org; Reply To: josephine.spearman@FloridaDEP.org]; Run via form trigger as education@gtmnerr.org; Timestamp: Jul 3 2019 2:19 PM</t>
  </si>
  <si>
    <t>1Obn3valZ5ZFWEdYba74PwGZ9qtkhWraIPZUu6aHGrnU</t>
  </si>
  <si>
    <t>https://docs.google.com/document/d/1Obn3valZ5ZFWEdYba74PwGZ9qtkhWraIPZUu6aHGrnU/edit?usp=drivesdk</t>
  </si>
  <si>
    <t>Document successfully created; Document successfully merged; Emails Sent: [To: Nikki.Dix@floridadep.gov,blythe.odzinski@floridadep.gov,stephanie.windham@floridadep.gov,lia.sansom@floridadep.gov; CC: silas.tanner@dep.state.fl; Reply To: silas.tanner@dep.state.fl]; Run via form trigger as education@gtmnerr.org; Timestamp: Jul 8 2019 6:50 AM</t>
  </si>
  <si>
    <t>1uTQ3cRptrbH2rU6bifYJQOp03goG-mR9xEJElr8rAvw</t>
  </si>
  <si>
    <t>https://docs.google.com/document/d/1uTQ3cRptrbH2rU6bifYJQOp03goG-mR9xEJElr8rAvw/edit?usp=drivesdk</t>
  </si>
  <si>
    <t>Document successfully created; Document successfully merged; Emails Sent: [To: Nikki.Dix@floridadep.gov,blythe.odzinski@floridadep.gov,stephanie.windham@floridadep.gov,lia.sansom@floridadep.gov; CC: silas.tanner@dep.state.fl; Reply To: silas.tanner@dep.state.fl]; Run via form trigger as education@gtmnerr.org; Timestamp: Jul 9 2019 11:04 AM</t>
  </si>
  <si>
    <t>1aBGvsEHCirIyyRknTERtRhpAFTNHS0JnXUlFaT1v4cE</t>
  </si>
  <si>
    <t>https://docs.google.com/document/d/1aBGvsEHCirIyyRknTERtRhpAFTNHS0JnXUlFaT1v4cE/edit?usp=drivesdk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</si>
  <si>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11 2019 8:19 AM</t>
  </si>
  <si>
    <t>1i930KaeCQlWUDAixF0akElGqD6KN0UM1R3AMA3CzBgU</t>
  </si>
  <si>
    <t>https://docs.google.com/document/d/1i930KaeCQlWUDAixF0akElGqD6KN0UM1R3AMA3CzBgU/edit?usp=drivesdk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</si>
  <si>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Jul 11 2019 10:03 AM</t>
  </si>
  <si>
    <t>1fsp2VE6J3eq1qlBaOs9_c3VwCKjWu0Kv5nHjHXrgkIw</t>
  </si>
  <si>
    <t>https://docs.google.com/document/d/1fsp2VE6J3eq1qlBaOs9_c3VwCKjWu0Kv5nHjHXrgkIw/edit?usp=drivesdk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</si>
  <si>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12 2019 10:04 AM</t>
  </si>
  <si>
    <t>1qfBh_O_GEYX9iCz3WJwlITP89zxKCd3VjFTCB8EEAZE</t>
  </si>
  <si>
    <t>https://docs.google.com/document/d/1qfBh_O_GEYX9iCz3WJwlITP89zxKCd3VjFTCB8EEAZE/edit?usp=drivesdk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</si>
  <si>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Jul 15 2019 7:27 AM</t>
  </si>
  <si>
    <t>1ZCXGxgcM0SMf47GDz2P2nEKQwWPen_IopWAdo9gZUe8</t>
  </si>
  <si>
    <t>https://docs.google.com/document/d/1ZCXGxgcM0SMf47GDz2P2nEKQwWPen_IopWAdo9gZUe8/edit?usp=drivesdk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</si>
  <si>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16 2019 2:42 PM</t>
  </si>
  <si>
    <t>1fe-2hVqu4qRXiK7uZpdjNWbt09bbNO2CMjpLNLRqic4</t>
  </si>
  <si>
    <t>https://docs.google.com/document/d/1fe-2hVqu4qRXiK7uZpdjNWbt09bbNO2CMjpLNLRqic4/edit?usp=drivesdk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</si>
  <si>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16 2019 2:50 PM</t>
  </si>
  <si>
    <t>1MyR0KwbVK6DLOQXHSWopn30pPwPKufzUXd-DVwHJfoc</t>
  </si>
  <si>
    <t>https://docs.google.com/document/d/1MyR0KwbVK6DLOQXHSWopn30pPwPKufzUXd-DVwHJfoc/edit?usp=drivesdk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</si>
  <si>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22 2019 5:36 PM</t>
  </si>
  <si>
    <t>1DEEZagV5EBkLzROR_9oxeIWIQiNWeE6h9eGZvDKJGBc</t>
  </si>
  <si>
    <t>https://docs.google.com/document/d/1DEEZagV5EBkLzROR_9oxeIWIQiNWeE6h9eGZvDKJGBc/edit?usp=drivesdk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</si>
  <si>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24 2019 6:47 AM</t>
  </si>
  <si>
    <t>1iIShRcHBMX9s2p9ixcmfD63N4BNpzZOhUMopEgZXVXU</t>
  </si>
  <si>
    <t>https://docs.google.com/document/d/1iIShRcHBMX9s2p9ixcmfD63N4BNpzZOhUMopEgZXVXU/edit?usp=drivesdk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</si>
  <si>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25 2019 7:41 AM</t>
  </si>
  <si>
    <t>Boat Breakdown</t>
  </si>
  <si>
    <t>19iCCJZ_O23GPhy55Pb4Tax0fp71UZC6HAdOjd8p_lds</t>
  </si>
  <si>
    <t>https://docs.google.com/document/d/19iCCJZ_O23GPhy55Pb4Tax0fp71UZC6HAdOjd8p_lds/edit?usp=drivesdk</t>
  </si>
  <si>
    <t>Document successfully created; Document successfully merged; Emails Sent: [To: Nikki.Dix@floridadep.gov,blythe.odzinski@floridadep.gov,stephanie.windham@floridadep.gov,lia.sansom@floridadep.gov; CC: gabriela.canas@dwp.state.fl.us; Reply To: gabriela.canas@dwp.state.fl.us]; Run via form trigger as education@gtmnerr.org; Timestamp: Jul 26 2019 10:30 AM</t>
  </si>
  <si>
    <t>1i6f7kHhOK6gs1CovzkHGRW2qcF_O4PSMw6GEfKJFoiI</t>
  </si>
  <si>
    <t>https://docs.google.com/document/d/1i6f7kHhOK6gs1CovzkHGRW2qcF_O4PSMw6GEfKJFoiI/edit?usp=drivesdk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</si>
  <si>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Jul 29 2019 5:25 PM</t>
  </si>
  <si>
    <t>1Id6Jld1KzxQlELFCsAZGsrQF5n3rtGtVgl9NJOHfP_4</t>
  </si>
  <si>
    <t>https://docs.google.com/document/d/1Id6Jld1KzxQlELFCsAZGsrQF5n3rtGtVgl9NJOHfP_4/edit?usp=drivesdk</t>
  </si>
  <si>
    <t>Document successfully created; Document successfully merged; Emails Sent: [To: Lia.Sansom@floridadep.gov,blythe.odzinski@floridadep.gov,stephanie.windham@floridadep.gov,lia.sansom@floridadep.gov; CC: pamela.marcum@floridadep.gov; Reply To: pamela.marcum@floridadep.gov]; Run via form trigger as education@gtmnerr.org; Timestamp: Jul 30 2019 11:05 AM</t>
  </si>
  <si>
    <t>1dcxw6xlXtPDlo4G3zVliHM7eYEMWU9U5ZU03DGzm4Y4</t>
  </si>
  <si>
    <t>https://docs.google.com/document/d/1dcxw6xlXtPDlo4G3zVliHM7eYEMWU9U5ZU03DGzm4Y4/edit?usp=drivesdk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</si>
  <si>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31 2019 8:29 AM</t>
  </si>
  <si>
    <t>1jxJbOyJ-efuz4tHXDy8L3GTN2d42synPAf0a9KwhPj4</t>
  </si>
  <si>
    <t>https://docs.google.com/document/d/1jxJbOyJ-efuz4tHXDy8L3GTN2d42synPAf0a9KwhPj4/edit?usp=drivesdk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</si>
  <si>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1 2019 2:22 PM</t>
  </si>
  <si>
    <t>1E9aNIH6mCOOIwAQV51kZmcxa6B48JuJxjrm7UDpXd2w</t>
  </si>
  <si>
    <t>https://docs.google.com/document/d/1E9aNIH6mCOOIwAQV51kZmcxa6B48JuJxjrm7UDpXd2w/edit?usp=drivesdk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</si>
  <si>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5 2019 2:16 PM</t>
  </si>
  <si>
    <t>1UHxq4c6sGkIXHA_Cj_Kx_dd2yABgFStnfCZ4va8AwCQ</t>
  </si>
  <si>
    <t>https://docs.google.com/document/d/1UHxq4c6sGkIXHA_Cj_Kx_dd2yABgFStnfCZ4va8AwCQ/edit?usp=drivesdk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</si>
  <si>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6 2019 6:51 AM</t>
  </si>
  <si>
    <t>1nsjrzaiK-XGxSSZHB42jsZNNYxbyV3RJtQXB9v-oEB4</t>
  </si>
  <si>
    <t>https://docs.google.com/document/d/1nsjrzaiK-XGxSSZHB42jsZNNYxbyV3RJtQXB9v-oEB4/edit?usp=drivesdk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</si>
  <si>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6 2019 4:51 PM</t>
  </si>
  <si>
    <t>1tLgUiv4bcn2V_cgRKNu_zZ5FGT2YBAuPzKuqiAXm0co</t>
  </si>
  <si>
    <t>https://docs.google.com/document/d/1tLgUiv4bcn2V_cgRKNu_zZ5FGT2YBAuPzKuqiAXm0co/edit?usp=drivesdk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</si>
  <si>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7 2019 4:33 PM</t>
  </si>
  <si>
    <t>1l4E_ZfLzH_eFlbh_M4aNR8syJtRhBDp7zPqitvKaIG0</t>
  </si>
  <si>
    <t>https://docs.google.com/document/d/1l4E_ZfLzH_eFlbh_M4aNR8syJtRhBDp7zPqitvKaIG0/edit?usp=drivesdk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</si>
  <si>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8 2019 7:00 AM</t>
  </si>
  <si>
    <t>1YMJWkZrunPkqcijQlnoJEDDw7X8P59lFxv9qbVzbaSY</t>
  </si>
  <si>
    <t>https://docs.google.com/document/d/1YMJWkZrunPkqcijQlnoJEDDw7X8P59lFxv9qbVzbaSY/edit?usp=drivesdk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</si>
  <si>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9 2019 11:06 AM</t>
  </si>
  <si>
    <t>1mAuPt1x3SC6PF8ujlRcp2_FSebhAGV02h612BkmlcNs</t>
  </si>
  <si>
    <t>https://docs.google.com/document/d/1mAuPt1x3SC6PF8ujlRcp2_FSebhAGV02h612BkmlcNs/edit?usp=drivesdk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</si>
  <si>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12 2019 7:55 AM</t>
  </si>
  <si>
    <t>11Q1zngHv0-P5AsO1ZgZYteXWIjY4Pp94rg3HG76Vfhk</t>
  </si>
  <si>
    <t>https://docs.google.com/a/gtmnerr.org/document/d/11Q1zngHv0-P5AsO1ZgZYteXWIjY4Pp94rg3HG76Vfhk/edit?usp=drivesdk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</si>
  <si>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12 2019 4:44 PM</t>
  </si>
  <si>
    <t>1PSs6PJxfHNvQL0Gdx2FpaTy-9EKgmxmmCEUvK9qcJiU</t>
  </si>
  <si>
    <t>https://docs.google.com/document/d/1PSs6PJxfHNvQL0Gdx2FpaTy-9EKgmxmmCEUvK9qcJiU/edit?usp=drivesdk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</si>
  <si>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12 2019 5:57 PM</t>
  </si>
  <si>
    <t>1RWIKtoOaMeyPaIs4hJT3bwRUK1PkwCCzdMFo1k4GAxk</t>
  </si>
  <si>
    <t>https://docs.google.com/document/d/1RWIKtoOaMeyPaIs4hJT3bwRUK1PkwCCzdMFo1k4GAxk/edit?usp=drivesdk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</si>
  <si>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20 2019 6:36 AM</t>
  </si>
  <si>
    <t>1KcgaayyBJ7F6uQm0nvdHRmo9_83OCOz8oj2qRca9CDM</t>
  </si>
  <si>
    <t>https://docs.google.com/document/d/1KcgaayyBJ7F6uQm0nvdHRmo9_83OCOz8oj2qRca9CDM/edit?usp=drivesdk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</si>
  <si>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20 2019 3:04 PM</t>
  </si>
  <si>
    <t>117UlOtSgj_kq7O1HZU85eiTPSysmyUGc-U29QvcaS3M</t>
  </si>
  <si>
    <t>https://docs.google.com/document/d/117UlOtSgj_kq7O1HZU85eiTPSysmyUGc-U29QvcaS3M/edit?usp=drivesdk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</si>
  <si>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22 2019 5:54 AM</t>
  </si>
  <si>
    <t>1sG4FS2pAmky1WC9QNvN3opCN2KZ3liAWKRz-jnsPPrY</t>
  </si>
  <si>
    <t>https://docs.google.com/document/d/1sG4FS2pAmky1WC9QNvN3opCN2KZ3liAWKRz-jnsPPrY/edit?usp=drivesdk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</si>
  <si>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23 2019 7:48 AM</t>
  </si>
  <si>
    <t>17k__OhYheTr3nYbx5FarCqsKPH8rt5B5IyLMdHihyxo</t>
  </si>
  <si>
    <t>https://docs.google.com/document/d/17k__OhYheTr3nYbx5FarCqsKPH8rt5B5IyLMdHihyxo/edit?usp=drivesdk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</si>
  <si>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27 2019 8:38 AM</t>
  </si>
  <si>
    <t>18J_oMGg9KxP1sUZubTUlVkgQbIimvibwL5Y_dskUwx4</t>
  </si>
  <si>
    <t>https://docs.google.com/document/d/18J_oMGg9KxP1sUZubTUlVkgQbIimvibwL5Y_dskUwx4/edit?usp=drivesdk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</si>
  <si>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28 2019 6:30 AM</t>
  </si>
  <si>
    <t>157atlnV4PfNUXltB_9nowSR6oPh6zVU7PPouDkoFvdw</t>
  </si>
  <si>
    <t>https://docs.google.com/document/d/157atlnV4PfNUXltB_9nowSR6oPh6zVU7PPouDkoFvdw/edit?usp=drivesdk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</si>
  <si>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Aug 28 2019 11:12 AM</t>
  </si>
  <si>
    <t>15hEqU8nv3aRpQI8ho-4D11gMDcOtqzF6M5xm45xB7GM</t>
  </si>
  <si>
    <t>https://docs.google.com/document/d/15hEqU8nv3aRpQI8ho-4D11gMDcOtqzF6M5xm45xB7GM/edit?usp=drivesdk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</si>
  <si>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Sep 9 2019 5:01 PM</t>
  </si>
  <si>
    <t>14fkCLW9hj_7t4_UA1zwCoY5Xee29jCtOYN7O8CObxMM</t>
  </si>
  <si>
    <t>https://docs.google.com/document/d/14fkCLW9hj_7t4_UA1zwCoY5Xee29jCtOYN7O8CObxMM/edit?usp=drivesdk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</si>
  <si>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Sep 10 2019 5:30 PM</t>
  </si>
  <si>
    <t>1PicdNXXQZ-9U5WxAltsBvLegzKfGcnA5Rh_W_l0A7Ss</t>
  </si>
  <si>
    <t>https://docs.google.com/document/d/1PicdNXXQZ-9U5WxAltsBvLegzKfGcnA5Rh_W_l0A7Ss/edit?usp=drivesdk</t>
  </si>
  <si>
    <t>Document successfully created; Document successfully merged; Emails Sent: [To: Nikki.Dix@floridadep.gov,blythe.odzinski@floridadep.gov,stephanie.windham@floridadep.gov,lia.sansom@floridadep.gov; CC: silas.tanner@flordiadep.gov; Reply To: silas.tanner@flordiadep.gov]; Run via form trigger as education@gtmnerr.org; Timestamp: Sep 11 2019 6:42 AM</t>
  </si>
  <si>
    <t>113DLTrCCyaw_Y3on57xBfNQ45zZm907eJeve6z6J0rk</t>
  </si>
  <si>
    <t>https://docs.google.com/document/d/113DLTrCCyaw_Y3on57xBfNQ45zZm907eJeve6z6J0rk/edit?usp=drivesdk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</si>
  <si>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16 2019 6:26 AM</t>
  </si>
  <si>
    <t>1llt-6l9NzJX6gjQSBbMbdkVYI69LprJx27c3azv2kbo</t>
  </si>
  <si>
    <t>https://docs.google.com/document/d/1llt-6l9NzJX6gjQSBbMbdkVYI69LprJx27c3azv2kbo/edit?usp=drivesdk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</si>
  <si>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Sep 16 2019 4:30 PM</t>
  </si>
  <si>
    <t>1CvkBjFbxX2vq9UR6Nu2rTcNsfr1a8UDMyRu0D7wuXhg</t>
  </si>
  <si>
    <t>https://docs.google.com/document/d/1CvkBjFbxX2vq9UR6Nu2rTcNsfr1a8UDMyRu0D7wuXhg/edit?usp=drivesdk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</si>
  <si>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17 2019 7:27 AM</t>
  </si>
  <si>
    <t>11x0CkR3ktEFIujcLW_1aRWhBz7-fh-ehKWEqiRQ6-Bs</t>
  </si>
  <si>
    <t>https://docs.google.com/document/d/11x0CkR3ktEFIujcLW_1aRWhBz7-fh-ehKWEqiRQ6-Bs/edit?usp=drivesdk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</si>
  <si>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Sep 17 2019 9:58 AM</t>
  </si>
  <si>
    <t>1waXJaaxuMbyg-WQ34-bf7iNATV2Cu-MmkLtMWtKzsvc</t>
  </si>
  <si>
    <t>https://docs.google.com/document/d/1waXJaaxuMbyg-WQ34-bf7iNATV2Cu-MmkLtMWtKzsvc/edit?usp=drivesdk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</si>
  <si>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18 2019 6:26 AM</t>
  </si>
  <si>
    <t>1VFwoXvxUp9esJMS9AjQJUjDLucKnSGwDdiqVmF5mxvQ</t>
  </si>
  <si>
    <t>https://docs.google.com/document/d/1VFwoXvxUp9esJMS9AjQJUjDLucKnSGwDdiqVmF5mxvQ/edit?usp=drivesdk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</si>
  <si>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Sep 18 2019 9:00 AM</t>
  </si>
  <si>
    <t>17-ejbLkrYmuOCBKs8rnXdpzSNQId2GnwAk45L75Y62U</t>
  </si>
  <si>
    <t>https://docs.google.com/document/d/17-ejbLkrYmuOCBKs8rnXdpzSNQId2GnwAk45L75Y62U/edit?usp=drivesdk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</si>
  <si>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19 2019 8:01 AM</t>
  </si>
  <si>
    <t>1_ixFUqqY3pBFYyko_LJxme1mlZsxKkUiApejiVxk4Vk</t>
  </si>
  <si>
    <t>https://docs.google.com/document/d/1_ixFUqqY3pBFYyko_LJxme1mlZsxKkUiApejiVxk4Vk/edit?usp=drivesdk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</si>
  <si>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Sep 19 2019 8:23 AM</t>
  </si>
  <si>
    <t>1XcVFZzDY85Qnprn6bdjN8xHXM896AB5RZfyIW2kUNRc</t>
  </si>
  <si>
    <t>https://docs.google.com/document/d/1XcVFZzDY85Qnprn6bdjN8xHXM896AB5RZfyIW2kUNRc/edit?usp=drivesdk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</si>
  <si>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19 2019 9:49 AM</t>
  </si>
  <si>
    <t>17A4uRgXYnvF9AqyKS1BltihQdj9B2XvMFNMWZqS165M</t>
  </si>
  <si>
    <t>https://docs.google.com/document/d/17A4uRgXYnvF9AqyKS1BltihQdj9B2XvMFNMWZqS165M/edit?usp=drivesdk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</si>
  <si>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Sep 20 2019 7:25 AM</t>
  </si>
  <si>
    <t>1A0N0MGKq44r4WVGGlz3AGJmeioeR0rtdAgdYTyR479E</t>
  </si>
  <si>
    <t>https://docs.google.com/document/d/1A0N0MGKq44r4WVGGlz3AGJmeioeR0rtdAgdYTyR479E/edit?usp=drivesdk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</si>
  <si>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23 2019 8:46 AM</t>
  </si>
  <si>
    <t>1yjBfH6H6zIFAi5tn-uHL0_Gz62OBYgYXcoJvx0NpG70</t>
  </si>
  <si>
    <t>https://docs.google.com/document/d/1yjBfH6H6zIFAi5tn-uHL0_Gz62OBYgYXcoJvx0NpG70/edit?usp=drivesdk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</si>
  <si>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26 2019 7:49 AM</t>
  </si>
  <si>
    <t>1bJrBzE-p53jYgZXJ7d09hgLAWsK4ad1EDQSCTIFLbx8</t>
  </si>
  <si>
    <t>https://docs.google.com/document/d/1bJrBzE-p53jYgZXJ7d09hgLAWsK4ad1EDQSCTIFLbx8/edit?usp=drivesdk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</si>
  <si>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Sep 26 2019 10:56 AM</t>
  </si>
  <si>
    <t>1DbejGbhJM7OWl5fFkV9jQyRGb9Sziytoa1OTAioADpQ</t>
  </si>
  <si>
    <t>https://docs.google.com/document/d/1DbejGbhJM7OWl5fFkV9jQyRGb9Sziytoa1OTAioADpQ/edit?usp=drivesdk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</si>
  <si>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30 2019 3:07 PM</t>
  </si>
  <si>
    <t>1qIaFzaKCnPb1lZek9agDPwVAvyZMEizaSV_xR-V6yDE</t>
  </si>
  <si>
    <t>https://docs.google.com/document/d/1qIaFzaKCnPb1lZek9agDPwVAvyZMEizaSV_xR-V6yDE/edit?usp=drivesdk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</si>
  <si>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 2019 12:49 PM</t>
  </si>
  <si>
    <t>1Z3xYCrnpat_lvHHxFDMS8j1Zd0EyO6PwPk4_SrgvZEg</t>
  </si>
  <si>
    <t>https://docs.google.com/document/d/1Z3xYCrnpat_lvHHxFDMS8j1Zd0EyO6PwPk4_SrgvZEg/edit?usp=drivesdk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</si>
  <si>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Oct 1 2019 1:01 PM</t>
  </si>
  <si>
    <t>1c3oIBDOSh2u6pFvXb4E_3APsR9Lem7S_3eSczmJQrGg</t>
  </si>
  <si>
    <t>https://docs.google.com/document/d/1c3oIBDOSh2u6pFvXb4E_3APsR9Lem7S_3eSczmJQrGg/edit?usp=drivesdk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</si>
  <si>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2 2019 7:30 AM</t>
  </si>
  <si>
    <t>1xJ9T5reUjpXl3feP0fqVH6FQi3ovB4PsTEfdY2ZNAcA</t>
  </si>
  <si>
    <t>https://docs.google.com/document/d/1xJ9T5reUjpXl3feP0fqVH6FQi3ovB4PsTEfdY2ZNAcA/edit?usp=drivesdk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</si>
  <si>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 2019 8:10 AM</t>
  </si>
  <si>
    <t>1gzBZ5HfQJnnJWXvG5NS6oS9z2fy4WrO3XnzB6x8mkYc</t>
  </si>
  <si>
    <t>https://docs.google.com/document/d/1gzBZ5HfQJnnJWXvG5NS6oS9z2fy4WrO3XnzB6x8mkYc/edit?usp=drivesdk</t>
  </si>
  <si>
    <t>Document successfully created; Document successfully merged; !!Error Sending Emails: Invalid email: &lt;&lt;YOUR EMAIL&gt;&gt;; Run via form trigger as education@gtmnerr.org; Timestamp: Oct 3 2019 7:07 AM</t>
  </si>
  <si>
    <t>1BAinsbnizosXnxABViaWb-GWFCx3cHjCFySCLmnYpts</t>
  </si>
  <si>
    <t>https://docs.google.com/document/d/1BAinsbnizosXnxABViaWb-GWFCx3cHjCFySCLmnYpts/edit?usp=drivesdk</t>
  </si>
  <si>
    <t>Document successfully created; Document successfully merged; !!Error Sending Emails: Invalid email: &lt;&lt;YOUR EMAIL&gt;&gt;; Run via form trigger as education@gtmnerr.org; Timestamp: Oct 3 2019 8:40 AM</t>
  </si>
  <si>
    <t>EMAIL</t>
  </si>
  <si>
    <t>1LTJH8ulRvbXzhhYPuyDroEp7Q2546Kpw3GyUZ3Rj3OQ</t>
  </si>
  <si>
    <t>https://docs.google.com/document/d/1LTJH8ulRvbXzhhYPuyDroEp7Q2546Kpw3GyUZ3Rj3OQ/edit?usp=drivesdk</t>
  </si>
  <si>
    <t>Document successfully created; Document successfully merged; !!Error Sending Emails: Invalid email: &lt;&lt;YOUR EMAIL&gt;&gt;; Run via form trigger as education@gtmnerr.org; Timestamp: Oct 3 2019 10:40 AM</t>
  </si>
  <si>
    <t>1CnmyIB1CMEK3y8oTsG8VVvIk28_ZM3rcS_hbz0BaXpM</t>
  </si>
  <si>
    <t>https://docs.google.com/document/d/1CnmyIB1CMEK3y8oTsG8VVvIk28_ZM3rcS_hbz0BaXpM/edit?usp=drivesdk</t>
  </si>
  <si>
    <t>Document successfully created; Document successfully merged; !!Error Sending Emails: Invalid email: &lt;&lt;YOUR EMAIL&gt;&gt;; Run via form trigger as education@gtmnerr.org; Timestamp: Oct 3 2019 11:09 AM</t>
  </si>
  <si>
    <t>1qxj8kHphmaIWg1tKrIOUvKkGlR3JL7DkmWriw0FlSr0</t>
  </si>
  <si>
    <t>https://docs.google.com/document/d/1qxj8kHphmaIWg1tKrIOUvKkGlR3JL7DkmWriw0FlSr0/edit?usp=drivesdk</t>
  </si>
  <si>
    <t>Document successfully created; Document successfully merged; !!Error Sending Emails: Invalid email: &lt;&lt;YOUR EMAIL&gt;&gt;; Run via form trigger as education@gtmnerr.org; Timestamp: Oct 3 2019 11:39 AM</t>
  </si>
  <si>
    <t>1a_HZ0U1E4XkOCKRPrQgoKZZY19dqXs-pCBV4X0YTWX8</t>
  </si>
  <si>
    <t>https://docs.google.com/document/d/1a_HZ0U1E4XkOCKRPrQgoKZZY19dqXs-pCBV4X0YTWX8/edit?usp=drivesdk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</si>
  <si>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3 2019 5:07 PM</t>
  </si>
  <si>
    <t>1JowoqJjlGGOkTTrpZAL3e8PWLUS-yZZHWCQCIh7zT0w</t>
  </si>
  <si>
    <t>https://docs.google.com/document/d/1JowoqJjlGGOkTTrpZAL3e8PWLUS-yZZHWCQCIh7zT0w/edit?usp=drivesdk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</si>
  <si>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4 2019 6:25 AM</t>
  </si>
  <si>
    <t>1Weo71KyE42pJv6eQho_VuZl_I_N1oT_tQDYaPUWJgXg</t>
  </si>
  <si>
    <t>https://docs.google.com/document/d/1Weo71KyE42pJv6eQho_VuZl_I_N1oT_tQDYaPUWJgXg/edit?usp=drivesdk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</si>
  <si>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8 2019 8:49 AM</t>
  </si>
  <si>
    <t>1Nkj7T_FeDiyVW9nQImrjvRaLtq2W7lwf3wsxD_brvdg</t>
  </si>
  <si>
    <t>https://docs.google.com/document/d/1Nkj7T_FeDiyVW9nQImrjvRaLtq2W7lwf3wsxD_brvdg/edit?usp=drivesdk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</si>
  <si>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9 2019 10:05 AM</t>
  </si>
  <si>
    <t>1R67aWa6YbeD9LJQCyYhLFFgo-n7BFuc4yGofXLj2i4s</t>
  </si>
  <si>
    <t>https://docs.google.com/document/d/1R67aWa6YbeD9LJQCyYhLFFgo-n7BFuc4yGofXLj2i4s/edit?usp=drivesdk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</si>
  <si>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Oct 10 2019 6:55 AM</t>
  </si>
  <si>
    <t>1i0dCUy4yeQ9EZHTLMk-Eqs7L_Kd-gV0olElUP-cbPpQ</t>
  </si>
  <si>
    <t>https://docs.google.com/document/d/1i0dCUy4yeQ9EZHTLMk-Eqs7L_Kd-gV0olElUP-cbPpQ/edit?usp=drivesdk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</si>
  <si>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10 2019 3:20 PM</t>
  </si>
  <si>
    <t>1_OnavftpgaDV9tNWiIoIvKJWpdcg19g3rscONyVRkDo</t>
  </si>
  <si>
    <t>https://docs.google.com/document/d/1_OnavftpgaDV9tNWiIoIvKJWpdcg19g3rscONyVRkDo/edit?usp=drivesdk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</si>
  <si>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Oct 14 2019 9:00 AM</t>
  </si>
  <si>
    <t>1T1xgt2ahMRDccE_WEFm_45PLgPC27Ub_s2m5i78_c2Q</t>
  </si>
  <si>
    <t>https://docs.google.com/document/d/1T1xgt2ahMRDccE_WEFm_45PLgPC27Ub_s2m5i78_c2Q/edit?usp=drivesdk</t>
  </si>
  <si>
    <t>Document successfully created; Document successfully merged; Emails Sent: [To: Scott.Eastman@floridadep.gov,blythe.odzinski@floridadep.gov,stephanie.windham@floridadep.gov,lia.sansom@floridadep.gov; CC: scott.eastman@floridadep.gov; Reply To: scott.eastman@floridadep.gov]; Run via form trigger as education@gtmnerr.org; Timestamp: Oct 14 2019 9:02 AM</t>
  </si>
  <si>
    <t>13H-CpRkpjg-LceS1ZdSkL48440YBkAfc0YrhA4v9dnk</t>
  </si>
  <si>
    <t>https://docs.google.com/document/d/13H-CpRkpjg-LceS1ZdSkL48440YBkAfc0YrhA4v9dnk/edit?usp=drivesdk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</si>
  <si>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15 2019 8:47 AM</t>
  </si>
  <si>
    <t>1QYU0K6Bg_b60Qb0JUgvwx83i12Fa5B9QcOUKDlg8KR4</t>
  </si>
  <si>
    <t>https://docs.google.com/document/d/1QYU0K6Bg_b60Qb0JUgvwx83i12Fa5B9QcOUKDlg8KR4/edit?usp=drivesdk</t>
  </si>
  <si>
    <t>Document successfully created; Document successfully merged; Emails Sent: [To: Shannon.Dunnigan@floridadep.gov,blythe.odzinski@floridadep.gov,stephanie.windham@floridadep.gov,lia.sansom@floridadep.gov; CC: jessica.lee@dep.state.fl.us; Reply To: jessica.lee@dep.state.fl.us]; Run via form trigger as education@gtmnerr.org; Timestamp: Oct 15 2019 1:49 PM</t>
  </si>
  <si>
    <t>1al6pBTAEsUyBSpAntmTSWLZzNIag_kw43aas-BmHQso</t>
  </si>
  <si>
    <t>https://docs.google.com/document/d/1al6pBTAEsUyBSpAntmTSWLZzNIag_kw43aas-BmHQso/edit?usp=drivesdk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</si>
  <si>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Oct 17 2019 6:51 AM</t>
  </si>
  <si>
    <t>1n-LG2HTy2qCWVs8L1YdkpPeRR8p2QgvCem4gUFsY-ls</t>
  </si>
  <si>
    <t>https://docs.google.com/document/d/1n-LG2HTy2qCWVs8L1YdkpPeRR8p2QgvCem4gUFsY-ls/edit?usp=drivesdk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</si>
  <si>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21 2019 8:16 AM</t>
  </si>
  <si>
    <t>1Y7vwOzLhn0eXI5u7d9d732R4pzu7_c-q0K5-TwlcbW0</t>
  </si>
  <si>
    <t>https://docs.google.com/document/d/1Y7vwOzLhn0eXI5u7d9d732R4pzu7_c-q0K5-TwlcbW0/edit?usp=drivesdk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</si>
  <si>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22 2019 9:44 AM</t>
  </si>
  <si>
    <t>1yjeYvgPYir5ZjPhpr6dgyr3QLWQtzniq9SwDgTcD6K4</t>
  </si>
  <si>
    <t>https://docs.google.com/document/d/1yjeYvgPYir5ZjPhpr6dgyr3QLWQtzniq9SwDgTcD6K4/edit?usp=drivesdk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</si>
  <si>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23 2019 12:16 PM</t>
  </si>
  <si>
    <t>1_FZkLDX6cpRq0sc7kubw9q1L4r-RNeHr1SqbZ9kcYEw</t>
  </si>
  <si>
    <t>https://docs.google.com/document/d/1_FZkLDX6cpRq0sc7kubw9q1L4r-RNeHr1SqbZ9kcYEw/edit?usp=drivesdk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</si>
  <si>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Oct 24 2019 8:46 AM</t>
  </si>
  <si>
    <t>1tSD6e648rzgMuzDP9hhqwOSc2wFY4LzC4gX0xMLr3mM</t>
  </si>
  <si>
    <t>https://docs.google.com/document/d/1tSD6e648rzgMuzDP9hhqwOSc2wFY4LzC4gX0xMLr3mM/edit?usp=drivesdk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</si>
  <si>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24 2019 3:01 PM</t>
  </si>
  <si>
    <t>1W0MUnKo0pddoDkyInqukilZfM2lV6gT-z8ANRIvhfzc</t>
  </si>
  <si>
    <t>https://docs.google.com/document/d/1W0MUnKo0pddoDkyInqukilZfM2lV6gT-z8ANRIvhfzc/edit?usp=drivesdk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</si>
  <si>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29 2019 7:49 AM</t>
  </si>
  <si>
    <t>1lEUCZ8jzWthvDEXI6Yb01Db7gioIfBmZbkRci61BKvw</t>
  </si>
  <si>
    <t>https://docs.google.com/document/d/1lEUCZ8jzWthvDEXI6Yb01Db7gioIfBmZbkRci61BKvw/edit?usp=drivesdk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</si>
  <si>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29 2019 8:08 AM</t>
  </si>
  <si>
    <t>1h83vbiy0qIUMEJu9na-S6xILq_JKNVe8nRk6se4XBmI</t>
  </si>
  <si>
    <t>https://docs.google.com/document/d/1h83vbiy0qIUMEJu9na-S6xILq_JKNVe8nRk6se4XBmI/edit?usp=drivesdk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</si>
  <si>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Oct 30 2019 8:16 AM</t>
  </si>
  <si>
    <t>15j64OI3l-9JOaYM-CSUcSma3Xa3KxC0IETHE3a7jyMY</t>
  </si>
  <si>
    <t>https://docs.google.com/document/d/15j64OI3l-9JOaYM-CSUcSma3Xa3KxC0IETHE3a7jyMY/edit?usp=drivesdk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</si>
  <si>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Oct 30 2019 8:59 AM</t>
  </si>
  <si>
    <t>1BjOP-8VPoeoJ2NRkI-tiC7P49H282nx17wHC2CG2JIc</t>
  </si>
  <si>
    <t>https://docs.google.com/document/d/1BjOP-8VPoeoJ2NRkI-tiC7P49H282nx17wHC2CG2JIc/edit?usp=drivesdk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</si>
  <si>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Oct 30 2019 4:41 PM</t>
  </si>
  <si>
    <t>1_d5fECny22GGiNZdf1tqjhG5JV1OTtPAjBfXMp_UcRA</t>
  </si>
  <si>
    <t>https://docs.google.com/document/d/1_d5fECny22GGiNZdf1tqjhG5JV1OTtPAjBfXMp_UcRA/edit?usp=drivesdk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</si>
  <si>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31 2019 9:39 AM</t>
  </si>
  <si>
    <t>1prWMueONgldddFzfRPQ9ygSaRH4jgTMVx9qL2sHIQOE</t>
  </si>
  <si>
    <t>https://docs.google.com/document/d/1prWMueONgldddFzfRPQ9ygSaRH4jgTMVx9qL2sHIQOE/edit?usp=drivesdk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</si>
  <si>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Nov 1 2019 8:35 AM</t>
  </si>
  <si>
    <t>15IRTJxlG3VjfsXhPDtxtYTDiALUXkRoyVsHI6xd9aOE</t>
  </si>
  <si>
    <t>https://docs.google.com/document/d/15IRTJxlG3VjfsXhPDtxtYTDiALUXkRoyVsHI6xd9aOE/edit?usp=drivesdk</t>
  </si>
  <si>
    <t>Document successfully created; Document successfully merged; Emails Sent: [To: Lia.Sansom@floridadep.gov,blythe.odzinski@floridadep.gov,stephanie.windham@floridadep.gov,lia.sansom@floridadep.gov; CC: rubeall57@gmail.com; Reply To: rubeall57@gmail.com]; Run via form trigger as education@gtmnerr.org; Timestamp: Nov 3 2019 7:04 AM</t>
  </si>
  <si>
    <t>1M7xpibvSmVbgcBf-KshDdhZJdbWlKw_O9smFLdfK_xY</t>
  </si>
  <si>
    <t>https://docs.google.com/document/d/1M7xpibvSmVbgcBf-KshDdhZJdbWlKw_O9smFLdfK_xY/edit?usp=drivesdk</t>
  </si>
  <si>
    <t>Document successfully created; Document successfully merged; Emails Sent: [To: Lia.Sansom@floridadep.gov,blythe.odzinski@floridadep.gov,stephanie.windham@floridadep.gov,lia.sansom@floridadep.gov; CC: pamela.marcum@floridadep.gov; Reply To: pamela.marcum@floridadep.gov]; Run via form trigger as education@gtmnerr.org; Timestamp: Nov 4 2019 7:25 AM</t>
  </si>
  <si>
    <t>1CRc4j6HLo0xqlKMTTNdvh8YrHb0mUQt_MH11cR4wB04</t>
  </si>
  <si>
    <t>https://docs.google.com/document/d/1CRc4j6HLo0xqlKMTTNdvh8YrHb0mUQt_MH11cR4wB04/edit?usp=drivesdk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</si>
  <si>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4 2019 4:54 PM</t>
  </si>
  <si>
    <t>18_-rvKQZAj4zj-xu5XIOunNjjc1B25_eNVm9KFoW9Dk</t>
  </si>
  <si>
    <t>https://docs.google.com/document/d/18_-rvKQZAj4zj-xu5XIOunNjjc1B25_eNVm9KFoW9Dk/edit?usp=drivesdk</t>
  </si>
  <si>
    <t>Document successfully created; Document successfully merged; Emails Sent: [To: Lia.Sansom@floridadep.gov,blythe.odzinski@floridadep.gov,stephanie.windham@floridadep.gov,lia.sansom@floridadep.gov; CC: Pamela.Marcum@FloridaDEP.gov; Reply To: Pamela.Marcum@FloridaDEP.gov]; Run via form trigger as education@gtmnerr.org; Timestamp: Nov 5 2019 8:17 AM</t>
  </si>
  <si>
    <t>1hRHCgSxbnv7hu6DeHUy5JI5pBcEgXO0l_jaGUl_e9dU</t>
  </si>
  <si>
    <t>https://docs.google.com/document/d/1hRHCgSxbnv7hu6DeHUy5JI5pBcEgXO0l_jaGUl_e9dU/edit?usp=drivesdk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</si>
  <si>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6 2019 9:34 AM</t>
  </si>
  <si>
    <t>1Sf_4ILjN5K-5V3F6cTF8vBnLuPZyBmGl95mM0XiRX78</t>
  </si>
  <si>
    <t>https://docs.google.com/document/d/1Sf_4ILjN5K-5V3F6cTF8vBnLuPZyBmGl95mM0XiRX78/edit?usp=drivesdk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</si>
  <si>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7 2019 8:31 AM</t>
  </si>
  <si>
    <t>1TTDgJwN76xiXWyDlFbbKJxZHE_M1_FnRC9jx-Hp0QS4</t>
  </si>
  <si>
    <t>https://docs.google.com/document/d/1TTDgJwN76xiXWyDlFbbKJxZHE_M1_FnRC9jx-Hp0QS4/edit?usp=drivesdk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</si>
  <si>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Nov 12 2019 7:22 AM</t>
  </si>
  <si>
    <t>1osvIdgKYUEM3b9J7rEXHR3TOqEWzRRqJwFNEr4ZGZwk</t>
  </si>
  <si>
    <t>https://docs.google.com/document/d/1osvIdgKYUEM3b9J7rEXHR3TOqEWzRRqJwFNEr4ZGZwk/edit?usp=drivesdk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</si>
  <si>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12 2019 8:16 AM</t>
  </si>
  <si>
    <t>1Fqg_cuyQPGZb6fNX36CPl90RsxTwCIBXz0rmsCxC0Bw</t>
  </si>
  <si>
    <t>https://docs.google.com/document/d/1Fqg_cuyQPGZb6fNX36CPl90RsxTwCIBXz0rmsCxC0Bw/edit?usp=drivesdk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</si>
  <si>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12 2019 5:05 PM</t>
  </si>
  <si>
    <t>128yGHiKh6RHRa87fgjOY9jOg9ivCVWoJzv7lAX_ujHQ</t>
  </si>
  <si>
    <t>https://docs.google.com/document/d/128yGHiKh6RHRa87fgjOY9jOg9ivCVWoJzv7lAX_ujHQ/edit?usp=drivesdk</t>
  </si>
  <si>
    <t>Document successfully created; Document successfully merged; !!Error Sending Emails: Invalid email: &lt;&lt;YOUR EMAIL&gt;&gt;; Run via form trigger as education@gtmnerr.org; Timestamp: Nov 19 2019 2:05 PM</t>
  </si>
  <si>
    <t>17Sljgu1FaFjQKGdaD1c81vRCgs0R4l8zXXHwviylLbc</t>
  </si>
  <si>
    <t>https://docs.google.com/document/d/17Sljgu1FaFjQKGdaD1c81vRCgs0R4l8zXXHwviylLbc/edit?usp=drivesdk</t>
  </si>
  <si>
    <t>Document successfully created; Document successfully merged; !!Error Sending Emails: Invalid email: &lt;&lt;YOUR EMAIL&gt;&gt;; Run via form trigger as education@gtmnerr.org; Timestamp: Nov 21 2019 1:47 PM</t>
  </si>
  <si>
    <t>1t6d4J_pxyGT889qf1VeYKuL_8J9rkyvXI5kFVzGtp5A</t>
  </si>
  <si>
    <t>https://docs.google.com/document/d/1t6d4J_pxyGT889qf1VeYKuL_8J9rkyvXI5kFVzGtp5A/edit?usp=drivesdk</t>
  </si>
  <si>
    <t>Document successfully created; Document successfully merged; !!Error Sending Emails: Invalid email: &lt;&lt;YOUR EMAIL&gt;&gt;; Run via form trigger as education@gtmnerr.org; Timestamp: Nov 22 2019 1:01 PM</t>
  </si>
  <si>
    <t>1ZdD5urJCsgWVyivnfEYQGGfYEd6NlfeS7KymF33zbS8</t>
  </si>
  <si>
    <t>https://docs.google.com/document/d/1ZdD5urJCsgWVyivnfEYQGGfYEd6NlfeS7KymF33zbS8/edit?usp=drivesdk</t>
  </si>
  <si>
    <t>Document successfully created; Document successfully merged; !!Error Sending Emails: Invalid email: &lt;&lt;YOUR EMAIL&gt;&gt;; Run via form trigger as education@gtmnerr.org; Timestamp: Nov 22 2019 1:52 PM</t>
  </si>
  <si>
    <t>1lpL-hACJ0SZheqs2xwrGh_IJID2VnoX1qU7kXTxNXF4</t>
  </si>
  <si>
    <t>https://docs.google.com/document/d/1lpL-hACJ0SZheqs2xwrGh_IJID2VnoX1qU7kXTxNXF4/edit?usp=drivesdk</t>
  </si>
  <si>
    <t>Document successfully created; Document successfully merged; !!Error Sending Emails: Invalid email: &lt;&lt;YOUR EMAIL&gt;&gt;; Run via form trigger as education@gtmnerr.org; Timestamp: Nov 25 2019 3:51 PM</t>
  </si>
  <si>
    <t>1VaWJIE3K1kYxS9ekiUDrgSvi82MS4ihWUVx1sk6R0Yk</t>
  </si>
  <si>
    <t>https://docs.google.com/document/d/1VaWJIE3K1kYxS9ekiUDrgSvi82MS4ihWUVx1sk6R0Yk/edit?usp=drivesdk</t>
  </si>
  <si>
    <t>Document successfully created; Document successfully merged; !!Error Sending Emails: Invalid email: &lt;&lt;YOUR EMAIL&gt;&gt;; Run via form trigger as education@gtmnerr.org; Timestamp: Nov 26 2019 9:30 AM</t>
  </si>
  <si>
    <t>1gYnYcrd2vVUnyywSfLpzSXQMaeBhGeh-LmrYZ9gNiQs</t>
  </si>
  <si>
    <t>https://docs.google.com/document/d/1gYnYcrd2vVUnyywSfLpzSXQMaeBhGeh-LmrYZ9gNiQs/edit?usp=drivesdk</t>
  </si>
  <si>
    <t>Document successfully created; Document successfully merged; Emails Sent: [To: Pamela.Marcum@floridadep.gov,blythe.odzinski@floridadep.gov,stephanie.windham@floridadep.gov,lia.sansom@floridadep.gov; CC: pamela.macum@floridadep.gov; Reply To: pamela.macum@floridadep.gov]; Run via form trigger as education@gtmnerr.org; Timestamp: Nov 26 2019 8:07 PM</t>
  </si>
  <si>
    <t>1lKFj_Q6V3_7Ks5Z3aYgaiu-zNZ1Tcvga3effVH7ur7o</t>
  </si>
  <si>
    <t>https://docs.google.com/document/d/1lKFj_Q6V3_7Ks5Z3aYgaiu-zNZ1Tcvga3effVH7ur7o/edit?usp=drivesdk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</si>
  <si>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Dec 2 2019 4:31 PM</t>
  </si>
  <si>
    <t>172vVxwop84YvNDb_72vQKInQJ2qcjf8BrLZ6GTgNcTo</t>
  </si>
  <si>
    <t>https://docs.google.com/document/d/172vVxwop84YvNDb_72vQKInQJ2qcjf8BrLZ6GTgNcTo/edit?usp=drivesdk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</si>
  <si>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Dec 4 2019 8:41 AM</t>
  </si>
  <si>
    <t>163XConguxRmfEJiz0qqtWQl8czIMwg0PZ_dbBQWiVoE</t>
  </si>
  <si>
    <t>https://docs.google.com/document/d/163XConguxRmfEJiz0qqtWQl8czIMwg0PZ_dbBQWiVoE/edit?usp=drivesdk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</si>
  <si>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Dec 5 2019 7:48 AM</t>
  </si>
  <si>
    <t>1_EblonXbm1yhjT1MEa_-F031_IGkFPSW7vWvu5Hsklg</t>
  </si>
  <si>
    <t>https://docs.google.com/document/d/1_EblonXbm1yhjT1MEa_-F031_IGkFPSW7vWvu5Hsklg/edit?usp=drivesdk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</si>
  <si>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Dec 5 2019 8:35 AM</t>
  </si>
  <si>
    <t>1kHlAOqzXYOdFmF5mwK116zmtf-WGoNyKYM7eg3XI8fI</t>
  </si>
  <si>
    <t>https://docs.google.com/document/d/1kHlAOqzXYOdFmF5mwK116zmtf-WGoNyKYM7eg3XI8fI/edit?usp=drivesdk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</si>
  <si>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Dec 9 2019 1:22 PM</t>
  </si>
  <si>
    <t>1IKbSBBabOKlmi4SgTvDk2__OUMhoNNZui34H6pmKKbs</t>
  </si>
  <si>
    <t>https://docs.google.com/document/d/1IKbSBBabOKlmi4SgTvDk2__OUMhoNNZui34H6pmKKbs/edit?usp=drivesdk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</si>
  <si>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Dec 11 2019 7:19 AM</t>
  </si>
  <si>
    <t>1qZ-a0BeL3hRyRq4l3YXrwKyyqKN5gkchWbLgF1XfHNo</t>
  </si>
  <si>
    <t>https://docs.google.com/document/d/1qZ-a0BeL3hRyRq4l3YXrwKyyqKN5gkchWbLgF1XfHNo/edit?usp=drivesdk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</si>
  <si>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Dec 16 2019 8:55 AM</t>
  </si>
  <si>
    <t>1OPJyWfnlaorB8XlVsMWimPBNc-pOQRB-7mepBOTyZ_U</t>
  </si>
  <si>
    <t>https://docs.google.com/document/d/1OPJyWfnlaorB8XlVsMWimPBNc-pOQRB-7mepBOTyZ_U/edit?usp=drivesdk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</si>
  <si>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Dec 16 2019 12:10 PM</t>
  </si>
  <si>
    <t>1LC1IYvAnDIH6sgJDDdHDIbOJPCKDdI8tSBH5EYeaN9I</t>
  </si>
  <si>
    <t>https://docs.google.com/document/d/1LC1IYvAnDIH6sgJDDdHDIbOJPCKDdI8tSBH5EYeaN9I/edit?usp=drivesdk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</si>
  <si>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Dec 18 2019 9:47 AM</t>
  </si>
  <si>
    <t>1txL1NkJIk-erA6B1p-O-zeeuqlFx5VgDXw_om0hByYQ</t>
  </si>
  <si>
    <t>https://docs.google.com/document/d/1txL1NkJIk-erA6B1p-O-zeeuqlFx5VgDXw_om0hByYQ/edit?usp=drivesdk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</si>
  <si>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Dec 19 2019 9:46 AM</t>
  </si>
  <si>
    <t>1NN0E003fhNBJAqT_4wA1n1fHv_OIrnwXZ5Cod5eNRaQ</t>
  </si>
  <si>
    <t>https://docs.google.com/document/d/1NN0E003fhNBJAqT_4wA1n1fHv_OIrnwXZ5Cod5eNRaQ/edit?usp=drivesdk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</si>
  <si>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Dec 19 2019 10:14 AM</t>
  </si>
  <si>
    <t>1zuFEsKkrq9M6ZGAYBwp5wojo8R4vd7PN6fTx65IXQLA</t>
  </si>
  <si>
    <t>https://docs.google.com/document/d/1zuFEsKkrq9M6ZGAYBwp5wojo8R4vd7PN6fTx65IXQLA/edit?usp=drivesdk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</si>
  <si>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Dec 20 2019 2:04 PM</t>
  </si>
  <si>
    <t>1sv52haYJAAYeV34nrDRRcelkEHhfK9YUVlfLYziSVak</t>
  </si>
  <si>
    <t>https://docs.google.com/document/d/1sv52haYJAAYeV34nrDRRcelkEHhfK9YUVlfLYziSVak/edit?usp=drivesdk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</si>
  <si>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Dec 30 2019 11:16 AM</t>
  </si>
  <si>
    <t>1JWAEHsDzvl7pbzZIbe-Lnfe9jqYcORBAu_2CLinmP9I</t>
  </si>
  <si>
    <t>https://docs.google.com/document/d/1JWAEHsDzvl7pbzZIbe-Lnfe9jqYcORBAu_2CLinmP9I/edit?usp=drivesdk</t>
  </si>
  <si>
    <t>Document successfully created; Document successfully merged; Emails Sent: [To: Pamela.Marcum@floridadep.gov,blythe.odzinski@floridadep.gov,stephanie.windham@floridadep.gov,lia.sansom@floridadep.gov; CC: rubeall57@gmail.com; Reply To: rubeall57@gmail.com]; Run via form trigger as education@gtmnerr.org; Timestamp: Jan 5 2020 2:57 PM</t>
  </si>
  <si>
    <t>1VRt0LSeu7WyUk5Y7qIS1MvLNZbbwax7OHCqNDHhV_5I</t>
  </si>
  <si>
    <t>https://docs.google.com/document/d/1VRt0LSeu7WyUk5Y7qIS1MvLNZbbwax7OHCqNDHhV_5I/edit?usp=drivesdk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</si>
  <si>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Jan 6 2020 9:30 AM</t>
  </si>
  <si>
    <t>1NYiCZEIo7QdI_MM5AwnxQK2cMAuJkE80A2NIC2gwWG0</t>
  </si>
  <si>
    <t>https://docs.google.com/document/d/1NYiCZEIo7QdI_MM5AwnxQK2cMAuJkE80A2NIC2gwWG0/edit?usp=drivesdk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</si>
  <si>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Jan 7 2020 6:42 AM</t>
  </si>
  <si>
    <t>1k0IdqPD1MwqAUXUbNoCmwSxEsgGIxR9bse9b6Hn5OQA</t>
  </si>
  <si>
    <t>https://docs.google.com/document/d/1k0IdqPD1MwqAUXUbNoCmwSxEsgGIxR9bse9b6Hn5OQA/edit?usp=drivesdk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</si>
  <si>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Jan 8 2020 9:46 AM</t>
  </si>
  <si>
    <t>1SY1AFQABS1m_0urwA1wQqKcjqLgVxHFlzqV64VS0i00</t>
  </si>
  <si>
    <t>https://docs.google.com/document/d/1SY1AFQABS1m_0urwA1wQqKcjqLgVxHFlzqV64VS0i00/edit?usp=drivesdk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</si>
  <si>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Jan 9 2020 1:50 PM</t>
  </si>
  <si>
    <t>1uIaj-Gpp7jUBol4xzTQxvQ0pO5aT50zo_NhfC8bR37g</t>
  </si>
  <si>
    <t>https://docs.google.com/document/d/1uIaj-Gpp7jUBol4xzTQxvQ0pO5aT50zo_NhfC8bR37g/edit?usp=drivesdk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</si>
  <si>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12 2020 9:41 PM</t>
  </si>
  <si>
    <t>1YcHhKdoml0dFm_B8BUS-a7DkgHQdzwhNiPXIvKAZZZQ</t>
  </si>
  <si>
    <t>https://docs.google.com/document/d/1YcHhKdoml0dFm_B8BUS-a7DkgHQdzwhNiPXIvKAZZZQ/edit?usp=drivesdk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</si>
  <si>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13 2020 9:29 AM</t>
  </si>
  <si>
    <t>1vxcCLU2G787dd9A-0n4xk2kuYKjTA12u0o60lx1iN80</t>
  </si>
  <si>
    <t>https://docs.google.com/document/d/1vxcCLU2G787dd9A-0n4xk2kuYKjTA12u0o60lx1iN80/edit?usp=drivesdk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</si>
  <si>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Jan 13 2020 9:58 AM</t>
  </si>
  <si>
    <t>1P-w6hP0JJ9aHdnVtE_cy6KvZFgiNy7248mQ9lxxED0E</t>
  </si>
  <si>
    <t>https://docs.google.com/document/d/1P-w6hP0JJ9aHdnVtE_cy6KvZFgiNy7248mQ9lxxED0E/edit?usp=drivesdk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</si>
  <si>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Jan 14 2020 7:16 AM</t>
  </si>
  <si>
    <t>1NYFBa2d_xJ4JGqNufDWqoEfYErT_YP-ItFLdDxsGPoY</t>
  </si>
  <si>
    <t>https://docs.google.com/document/d/1NYFBa2d_xJ4JGqNufDWqoEfYErT_YP-ItFLdDxsGPoY/edit?usp=drivesdk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</si>
  <si>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Jan 15 2020 10:07 AM</t>
  </si>
  <si>
    <t>1pWK2QB9i5Z5g8copLcUu0qRLufMVCIWz1GjpKGk2rrc</t>
  </si>
  <si>
    <t>https://docs.google.com/document/d/1pWK2QB9i5Z5g8copLcUu0qRLufMVCIWz1GjpKGk2rrc/edit?usp=drivesdk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</si>
  <si>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16 2020 9:35 AM</t>
  </si>
  <si>
    <t>1nm0g3cHNcN8q6vpEqBQxuQ23aekuvwwuSIK_-z3m66M</t>
  </si>
  <si>
    <t>https://docs.google.com/document/d/1nm0g3cHNcN8q6vpEqBQxuQ23aekuvwwuSIK_-z3m66M/edit?usp=drivesdk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</si>
  <si>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17 2020 6:56 AM</t>
  </si>
  <si>
    <t>1vr68pb_4DSQ2K_rUzUyFGyXqreH2BWPTyvGlQ3QgH5g</t>
  </si>
  <si>
    <t>https://docs.google.com/document/d/1vr68pb_4DSQ2K_rUzUyFGyXqreH2BWPTyvGlQ3QgH5g/edit?usp=drivesdk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</si>
  <si>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23 2020 11:42 AM</t>
  </si>
  <si>
    <t>1HSV531QesEHaEoEg2JNly_qNU43bFBGSW6qae_3nnUQ</t>
  </si>
  <si>
    <t>https://docs.google.com/document/d/1HSV531QesEHaEoEg2JNly_qNU43bFBGSW6qae_3nnUQ/edit?usp=drivesdk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</si>
  <si>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24 2020 11:08 AM</t>
  </si>
  <si>
    <t>15riDRQddFewoCtebM5b3K6E6ZRdQtOvmuVhW4mV5b2w</t>
  </si>
  <si>
    <t>https://docs.google.com/document/d/15riDRQddFewoCtebM5b3K6E6ZRdQtOvmuVhW4mV5b2w/edit?usp=drivesdk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</si>
  <si>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28 2020 8:12 AM</t>
  </si>
  <si>
    <t>1dYLg8a56TpS3ThfTK-kkrtwivojDdKrEDFi-Db6t4m8</t>
  </si>
  <si>
    <t>https://docs.google.com/document/d/1dYLg8a56TpS3ThfTK-kkrtwivojDdKrEDFi-Db6t4m8/edit?usp=drivesdk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</si>
  <si>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28 2020 8:42 AM</t>
  </si>
  <si>
    <t>1bOaRA6MwXwyJSUPqm-CvsNbw2NERAY_Pxr7kt3N14PE</t>
  </si>
  <si>
    <t>https://docs.google.com/document/d/1bOaRA6MwXwyJSUPqm-CvsNbw2NERAY_Pxr7kt3N14PE/edit?usp=drivesdk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</si>
  <si>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31 2020 6:16 AM</t>
  </si>
  <si>
    <t>1fV7ujv8mdM-qcN_Fc0mQNchgUTDr7W6eeg26ipk9aYg</t>
  </si>
  <si>
    <t>https://docs.google.com/document/d/1fV7ujv8mdM-qcN_Fc0mQNchgUTDr7W6eeg26ipk9aYg/edit?usp=drivesdk</t>
  </si>
  <si>
    <t>Document successfully created; Document successfully merged; Emails Sent: [To: Pamela.Marcum@floridadep.gov,blythe.odzinski@floridadep.gov,stephanie.windham@floridadep.gov,lia.sansom@floridadep.gov; CC: rubeall57@gmail.com; Reply To: rubeall57@gmail.com]; Run via form trigger as education@gtmnerr.org; Timestamp: Feb 2 2020 3:31 PM</t>
  </si>
  <si>
    <t>15pl5c0Q7XZuL6VPAZlgrx280SO-_yYzrHSEimuYcJPo</t>
  </si>
  <si>
    <t>https://docs.google.com/document/d/15pl5c0Q7XZuL6VPAZlgrx280SO-_yYzrHSEimuYcJPo/edit?usp=drivesdk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</si>
  <si>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2 2020 7:26 PM</t>
  </si>
  <si>
    <t>1cooWly9CdWRCoCXhOkU5l07MF3gtnaqhh5Nb1u9tu_s</t>
  </si>
  <si>
    <t>https://docs.google.com/document/d/1cooWly9CdWRCoCXhOkU5l07MF3gtnaqhh5Nb1u9tu_s/edit?usp=drivesdk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</si>
  <si>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3 2020 7:56 AM</t>
  </si>
  <si>
    <t>166DeXIgY-PkIiQZNK8YR4ZysxCR-mcL5zODZFyoTbHY</t>
  </si>
  <si>
    <t>https://docs.google.com/document/d/166DeXIgY-PkIiQZNK8YR4ZysxCR-mcL5zODZFyoTbHY/edit?usp=drivesdk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</si>
  <si>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4 2020 8:53 AM</t>
  </si>
  <si>
    <t>1TfKfUlB6Fa99T2erVf-h8lic_B7WvdB6pl8P347q30k</t>
  </si>
  <si>
    <t>https://docs.google.com/document/d/1TfKfUlB6Fa99T2erVf-h8lic_B7WvdB6pl8P347q30k/edit?usp=drivesdk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</si>
  <si>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6 2020 11:08 AM</t>
  </si>
  <si>
    <t>1m-gcMOonRqpC2CRrsxi78JIIPqqWlY38V9zr7EZlAqE</t>
  </si>
  <si>
    <t>https://docs.google.com/document/d/1m-gcMOonRqpC2CRrsxi78JIIPqqWlY38V9zr7EZlAqE/edit?usp=drivesdk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</si>
  <si>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7 2020 11:32 AM</t>
  </si>
  <si>
    <t>1GzkY8izK06JsClfLYPWUgMRmQ1z2XstFMkeF9ixlJuU</t>
  </si>
  <si>
    <t>https://docs.google.com/document/d/1GzkY8izK06JsClfLYPWUgMRmQ1z2XstFMkeF9ixlJuU/edit?usp=drivesdk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</si>
  <si>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10 2020 6:45 AM</t>
  </si>
  <si>
    <t>1Lso36k1FWGmJAnvnNYjIBwRDm4Ef21ZOWQtvphNocP4</t>
  </si>
  <si>
    <t>https://docs.google.com/document/d/1Lso36k1FWGmJAnvnNYjIBwRDm4Ef21ZOWQtvphNocP4/edit?usp=drivesdk</t>
  </si>
  <si>
    <t>Document successfully created; Document successfully merged; Emails Sent: [To: Shannon.Dunnigan@floridadep.gov,blythe.odzinski@floridadep.gov,stephanie.windham@floridadep.gov,lia.sansom@floridadep.gov; CC: jessica.lee@FloridaDEP.gov; Reply To: jessica.lee@FloridaDEP.gov]; Run via form trigger as education@gtmnerr.org; Timestamp: Feb 10 2020 9:02 AM</t>
  </si>
  <si>
    <t>1q2m23PjSyDH6cKMBxl2b-8RlAo5GVdJl2Ouenx5a5uo</t>
  </si>
  <si>
    <t>https://docs.google.com/document/d/1q2m23PjSyDH6cKMBxl2b-8RlAo5GVdJl2Ouenx5a5uo/edit?usp=drivesdk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</si>
  <si>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10 2020 1:35 PM</t>
  </si>
  <si>
    <t>1mNPO_GyVd2u4ik4BLnp61fbd_8_ai6qHicV6GLDH8k8</t>
  </si>
  <si>
    <t>https://docs.google.com/document/d/1mNPO_GyVd2u4ik4BLnp61fbd_8_ai6qHicV6GLDH8k8/edit?usp=drivesdk</t>
  </si>
  <si>
    <t>Document successfully created; Document successfully merged; Emails Sent: [To: Pamela.Marcum@floridadep.gov,blythe.odzinski@floridadep.gov,stephanie.windham@floridadep.gov,lia.sansom@floridadep.gov; CC: silas.tanner@floridadep.gov; Reply To: silas.tanner@floridadep.gov]; Run via form trigger as education@gtmnerr.org; Timestamp: Feb 13 2020 11:13 AM</t>
  </si>
  <si>
    <t>1ePCO4KHagTKnQfElL5MNB80sbs6Ckddhbe23E2ORdR4</t>
  </si>
  <si>
    <t>https://docs.google.com/document/d/1ePCO4KHagTKnQfElL5MNB80sbs6Ckddhbe23E2ORdR4/edit?usp=drivesdk</t>
  </si>
  <si>
    <t>Document successfully created; Document successfully merged; Emails Sent: [To: Lia.Sansom@floridadep.gov,blythe.odzinski@floridadep.gov,stephanie.windham@floridadep.gov,lia.sansom@floridadep.gov; CC: pamela.marcum@floridadep.govs; Reply To: pamela.marcum@floridadep.govs]; Run via form trigger as education@gtmnerr.org; Timestamp: Feb 14 2020 7:19 AM</t>
  </si>
  <si>
    <t>1ZpHNgTfwEUWpacFvXODvASHbr6p2nOLQFoJ0GljaYLs</t>
  </si>
  <si>
    <t>https://docs.google.com/document/d/1ZpHNgTfwEUWpacFvXODvASHbr6p2nOLQFoJ0GljaYLs/edit?usp=drivesdk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</si>
  <si>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Feb 17 2020 7:52 AM</t>
  </si>
  <si>
    <t>1LGB0_A8ZWtOqleEzjTfQHtsoVacH_5UR0QbIFYLaSwY</t>
  </si>
  <si>
    <t>https://docs.google.com/document/d/1LGB0_A8ZWtOqleEzjTfQHtsoVacH_5UR0QbIFYLaSwY/edit?usp=drivesdk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</si>
  <si>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17 2020 9:12 AM</t>
  </si>
  <si>
    <t>1RhI2g82fbFAKOgTn73GYXSoJOtPGjCugxGRLUVIJdgE</t>
  </si>
  <si>
    <t>https://docs.google.com/document/d/1RhI2g82fbFAKOgTn73GYXSoJOtPGjCugxGRLUVIJdgE/edit?usp=drivesdk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</si>
  <si>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18 2020 9:06 AM</t>
  </si>
  <si>
    <t>141-rvnc8rquWsEyt7uGttPzhVWom2_hCURpb5ShysQk</t>
  </si>
  <si>
    <t>https://docs.google.com/document/d/141-rvnc8rquWsEyt7uGttPzhVWom2_hCURpb5ShysQk/edit?usp=drivesdk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</si>
  <si>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19 2020 10:01 AM</t>
  </si>
  <si>
    <t>1Bpf7ojuRWo8Q2ilNRXfOzVHky-n3dnqdoLkTMDrGvlI</t>
  </si>
  <si>
    <t>https://docs.google.com/document/d/1Bpf7ojuRWo8Q2ilNRXfOzVHky-n3dnqdoLkTMDrGvlI/edit?usp=drivesdk</t>
  </si>
  <si>
    <t>Document successfully created; Document successfully merged; Emails Sent: [To: Lia.Sansom@floridadep.gov,blythe.odzinski@floridadep.gov,stephanie.windham@floridadep.gov,lia.sansom@floridadep.gov; CC: Pamela.Marcum@dep.state.fl.us; Reply To: Pamela.Marcum@dep.state.fl.us]; Run via form trigger as education@gtmnerr.org; Timestamp: Feb 20 2020 11:07 AM</t>
  </si>
  <si>
    <t>1GJCy6Iex1X0y338RB7zPqTEUS_P0oXSt368XSaXCcXo</t>
  </si>
  <si>
    <t>https://docs.google.com/document/d/1GJCy6Iex1X0y338RB7zPqTEUS_P0oXSt368XSaXCcXo/edit?usp=drivesdk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</si>
  <si>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25 2020 7:31 AM</t>
  </si>
  <si>
    <t>1I2AtTZU48vr_j58JnQ7CCqEsOX1W59aS-zCtRzHyvls</t>
  </si>
  <si>
    <t>https://docs.google.com/document/d/1I2AtTZU48vr_j58JnQ7CCqEsOX1W59aS-zCtRzHyvls/edit?usp=drivesdk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</si>
  <si>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26 2020 7:26 AM</t>
  </si>
  <si>
    <t>1ul8UQMETh26VSjI04pzTDRAA7H0Qdpy0QDoLfZHiKdQ</t>
  </si>
  <si>
    <t>https://docs.google.com/document/d/1ul8UQMETh26VSjI04pzTDRAA7H0Qdpy0QDoLfZHiKdQ/edit?usp=drivesdk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</si>
  <si>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3 2020 7:08 AM</t>
  </si>
  <si>
    <t>1QJ8qppcBqpikeIHSEle2xykj56OYREhWCr7N0Svg7Gw</t>
  </si>
  <si>
    <t>https://docs.google.com/document/d/1QJ8qppcBqpikeIHSEle2xykj56OYREhWCr7N0Svg7Gw/edit?usp=drivesdk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</si>
  <si>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Mar 4 2020 11:29 AM</t>
  </si>
  <si>
    <t>1t_HbU2KMIckKkFaXHUZlIFIY1bDLUHLlTkApJ2_oJx8</t>
  </si>
  <si>
    <t>https://docs.google.com/document/d/1t_HbU2KMIckKkFaXHUZlIFIY1bDLUHLlTkApJ2_oJx8/edit?usp=drivesdk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</si>
  <si>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Mar 6 2020 8:05 AM</t>
  </si>
  <si>
    <t>1P2c3NmveEvGKnZfUU2uvh3ndH8ul-gQOW4t1mqVBDUc</t>
  </si>
  <si>
    <t>https://docs.google.com/document/d/1P2c3NmveEvGKnZfUU2uvh3ndH8ul-gQOW4t1mqVBDUc/edit?usp=drivesdk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</si>
  <si>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Mar 9 2020 7:54 AM</t>
  </si>
  <si>
    <t>1e08sBtJqFFpwenXSA3mAXTmmgBTa13oAmwQ_-AZbT-o</t>
  </si>
  <si>
    <t>https://docs.google.com/document/d/1e08sBtJqFFpwenXSA3mAXTmmgBTa13oAmwQ_-AZbT-o/edit?usp=drivesdk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</si>
  <si>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Mar 9 2020 8:53 AM</t>
  </si>
  <si>
    <t>1PYruXjtnmoBwol6V6flRUmAVDTT2ew1vRytwXaJ8-S0</t>
  </si>
  <si>
    <t>https://docs.google.com/document/d/1PYruXjtnmoBwol6V6flRUmAVDTT2ew1vRytwXaJ8-S0/edit?usp=drivesdk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</si>
  <si>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Mar 10 2020 9:47 AM</t>
  </si>
  <si>
    <t>17DpJQQVWVYncHaLGLqF9eLNSJ1q7pYx7n6G7Wv-Qn8Y</t>
  </si>
  <si>
    <t>https://docs.google.com/document/d/17DpJQQVWVYncHaLGLqF9eLNSJ1q7pYx7n6G7Wv-Qn8Y/edit?usp=drivesdk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</si>
  <si>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Mar 11 2020 9:51 AM</t>
  </si>
  <si>
    <t>Email</t>
  </si>
  <si>
    <t>1QddUwrZdJV4ixLSWPW4dMpr5PP4hsvdstW26I4rlJwE</t>
  </si>
  <si>
    <t>https://docs.google.com/document/d/1QddUwrZdJV4ixLSWPW4dMpr5PP4hsvdstW26I4rlJwE/edit?usp=drivesdk</t>
  </si>
  <si>
    <t>Document successfully created; Document successfully merged; Emails Sent: [To: Lia.Sansom@floridadep.gov,blythe.odzinski@floridadep.gov,stephanie.windham@floridadep.gov,lia.sansom@floridadep.gov; CC: pamela.marcum@dep.state.fl.us; Reply To: pamela.marcum@dep.state.fl.us]; Run via form trigger as education@gtmnerr.org; Timestamp: Mar 16 2020 5:48 PM</t>
  </si>
  <si>
    <t>1rxH0rJ98dJK4X5bbJaoAGGflljfPw1gwfQL6B2O0ksM</t>
  </si>
  <si>
    <t>https://docs.google.com/document/d/1rxH0rJ98dJK4X5bbJaoAGGflljfPw1gwfQL6B2O0ksM/edit?usp=drivesdk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</si>
  <si>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17 2020 7:36 AM</t>
  </si>
  <si>
    <t>1F8W1BsCvrmv-v2LIuvU9wyI3HOyz_vu6ru4jTZf1DCY</t>
  </si>
  <si>
    <t>https://docs.google.com/document/d/1F8W1BsCvrmv-v2LIuvU9wyI3HOyz_vu6ru4jTZf1DCY/edit?usp=drivesdk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</si>
  <si>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18 2020 8:53 AM</t>
  </si>
  <si>
    <t>1exSR_49qEXTDF3RI0mOobFnMhkRjTAvhT5YDX3nR2bY</t>
  </si>
  <si>
    <t>https://docs.google.com/document/d/1exSR_49qEXTDF3RI0mOobFnMhkRjTAvhT5YDX3nR2bY/edit?usp=drivesdk</t>
  </si>
  <si>
    <t>Document successfully created; Document successfully merged; Emails Sent: [To: Lia.Sansom@floridadep.gov,blythe.odzinski@floridadep.gov,stephanie.windham@floridadep.gov,lia.sansom@floridadep.gov; CC: Pamela.Marcum@FloridaDEP.gov; Reply To: Pamela.Marcum@FloridaDEP.gov]; Run via form trigger as education@gtmnerr.org; Timestamp: Mar 18 2020 2:53 PM</t>
  </si>
  <si>
    <t>1RHiYVjY9-4YF0lckv35EaQ4iFUfcAeZtNCiaiKv_ifE</t>
  </si>
  <si>
    <t>https://docs.google.com/document/d/1RHiYVjY9-4YF0lckv35EaQ4iFUfcAeZtNCiaiKv_ifE/edit?usp=drivesdk</t>
  </si>
  <si>
    <t>Document successfully created; Document successfully merged; Emails Sent: [To: Scott.Eastman@floridadep.gov,blythe.odzinski@floridadep.gov,stephanie.windham@floridadep.gov,lia.sansom@floridadep.gov; CC: alee.knoell@floridadep.gov; Reply To: alee.knoell@floridadep.gov]; Run via form trigger as education@gtmnerr.org; Timestamp: Mar 20 2020 11:52 AM</t>
  </si>
  <si>
    <t>1ht4KR4PwKwVAbilS9T0Jtztvf1v3rhtaFwZhObvyNLw</t>
  </si>
  <si>
    <t>https://docs.google.com/document/d/1ht4KR4PwKwVAbilS9T0Jtztvf1v3rhtaFwZhObvyNLw/edit?usp=drivesdk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</si>
  <si>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Mar 20 2020 4:08 PM</t>
  </si>
  <si>
    <t>1cRqHYijxrV4_pPbX7RD-5IfiCLeFdjnQzlrF8IOye4A</t>
  </si>
  <si>
    <t>https://docs.google.com/document/d/1cRqHYijxrV4_pPbX7RD-5IfiCLeFdjnQzlrF8IOye4A/edit?usp=drivesdk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</si>
  <si>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23 2020 10:35 AM</t>
  </si>
  <si>
    <t>1bJjngFVPOFzo5ER4E-G5LhmHysIoL1jI-vCNoprStLg</t>
  </si>
  <si>
    <t>https://docs.google.com/document/d/1bJjngFVPOFzo5ER4E-G5LhmHysIoL1jI-vCNoprStLg/edit?usp=drivesdk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</si>
  <si>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23 2020 3:02 PM</t>
  </si>
  <si>
    <t>1SOV0UdB55rp9XaUmInRbqKUHRSOAHs5qFw6sitgs6Wk</t>
  </si>
  <si>
    <t>https://docs.google.com/document/d/1SOV0UdB55rp9XaUmInRbqKUHRSOAHs5qFw6sitgs6Wk/edit?usp=drivesdk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</si>
  <si>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24 2020 10:12 AM</t>
  </si>
  <si>
    <t>1mRsg8UU1_qBmth7c0i0zK_eqLA777I_HlUDbnNeoAu8</t>
  </si>
  <si>
    <t>https://docs.google.com/document/d/1mRsg8UU1_qBmth7c0i0zK_eqLA777I_HlUDbnNeoAu8/edit?usp=drivesdk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</si>
  <si>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24 2020 3:43 PM</t>
  </si>
  <si>
    <t>10Pq2dFcd8rSR6s3ZPl55x0eCQEeN13hjFpn0InKn-zA</t>
  </si>
  <si>
    <t>https://docs.google.com/document/d/10Pq2dFcd8rSR6s3ZPl55x0eCQEeN13hjFpn0InKn-zA/edit?usp=drivesdk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</si>
  <si>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Mar 25 2020 7:42 AM</t>
  </si>
  <si>
    <t>18ueYMCS9PuEcdj5e2Dexz71bQVfSkZh4Jcpu8cHWIEU</t>
  </si>
  <si>
    <t>https://docs.google.com/document/d/18ueYMCS9PuEcdj5e2Dexz71bQVfSkZh4Jcpu8cHWIEU/edit?usp=drivesdk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</si>
  <si>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Mar 25 2020 8:33 AM</t>
  </si>
  <si>
    <t>1eWQd0y-2Ifc1Jo3GIVsL30Yze6kP_BNpjmRFsdCugbA</t>
  </si>
  <si>
    <t>https://docs.google.com/document/d/1eWQd0y-2Ifc1Jo3GIVsL30Yze6kP_BNpjmRFsdCugbA/edit?usp=drivesdk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</si>
  <si>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26 2020 8:07 AM</t>
  </si>
  <si>
    <t>1ZNiHciiuxCGN-TrD_Oge6bnmI0cb_1j_xs7GOnxOotw</t>
  </si>
  <si>
    <t>https://docs.google.com/document/d/1ZNiHciiuxCGN-TrD_Oge6bnmI0cb_1j_xs7GOnxOotw/edit?usp=drivesdk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</si>
  <si>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 2020 6:43 AM</t>
  </si>
  <si>
    <t>Silas.Tanner@floridadep.gov</t>
  </si>
  <si>
    <t>1RKPchjyB_hbgCE_J8a9xDp9Nf5vICKyLYAqyTEmWwYQ</t>
  </si>
  <si>
    <t>https://docs.google.com/document/d/1RKPchjyB_hbgCE_J8a9xDp9Nf5vICKyLYAqyTEmWwYQ/edit?usp=drivesdk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</si>
  <si>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Apr 2 2020 10:57 AM</t>
  </si>
  <si>
    <t>1MWTFNf0Lhv2c92QgArvO22rI85RTsw1fU_8zSFOmfMY</t>
  </si>
  <si>
    <t>https://docs.google.com/document/d/1MWTFNf0Lhv2c92QgArvO22rI85RTsw1fU_8zSFOmfMY/edit?usp=drivesdk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</si>
  <si>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Apr 7 2020 9:32 AM</t>
  </si>
  <si>
    <t>14ChhDbWuhFadEfgUpMMpRE-DlfOhS-DAKG-MgVEaWf4</t>
  </si>
  <si>
    <t>https://docs.google.com/document/d/14ChhDbWuhFadEfgUpMMpRE-DlfOhS-DAKG-MgVEaWf4/edit?usp=drivesdk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</si>
  <si>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Apr 10 2020 6:46 AM</t>
  </si>
  <si>
    <t>1ySb_Wf_HDbpc0L6WS7Fvxm7BA3n0qsprVE5boNnOhyE</t>
  </si>
  <si>
    <t>https://docs.google.com/document/d/1ySb_Wf_HDbpc0L6WS7Fvxm7BA3n0qsprVE5boNnOhyE/edit?usp=drivesdk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</si>
  <si>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Apr 13 2020 9:03 AM</t>
  </si>
  <si>
    <t>1BD_3j3XqESf1MagD8d-LlTnX-jUffHUZziRlz10u5WA</t>
  </si>
  <si>
    <t>https://docs.google.com/document/d/1BD_3j3XqESf1MagD8d-LlTnX-jUffHUZziRlz10u5WA/edit?usp=drivesdk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</si>
  <si>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Apr 16 2020 9:27 AM</t>
  </si>
  <si>
    <t>1bvXVf8WmVpH3pfe3D8ofkoXxKTDl4PJARSkF_Gv3FGY</t>
  </si>
  <si>
    <t>https://docs.google.com/document/d/1bvXVf8WmVpH3pfe3D8ofkoXxKTDl4PJARSkF_Gv3FGY/edit?usp=drivesdk</t>
  </si>
  <si>
    <t>Document successfully created; Document successfully merged; Emails Sent: [To: Nikki.Dix@floridadep.gov,blythe.odzinski@floridadep.gov,stephanie.windham@floridadep.gov,lia.sansom@floridadep.gov; CC: silas.tanner@dep.state.fl; Reply To: silas.tanner@dep.state.fl]; Run via form trigger as education@gtmnerr.org; Timestamp: Apr 17 2020 10:47 AM</t>
  </si>
  <si>
    <t>1Sn_beP3kbP-m30Ouz34BZDqRb6UrdvloQgVA8tVVrJg</t>
  </si>
  <si>
    <t>https://docs.google.com/document/d/1Sn_beP3kbP-m30Ouz34BZDqRb6UrdvloQgVA8tVVrJg/edit?usp=drivesdk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</si>
  <si>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Apr 22 2020 8:17 AM</t>
  </si>
  <si>
    <t>1wWWw2_W3NFYQsTK6GU3NuVWpTJA30Wc6ARtYZq28A-8</t>
  </si>
  <si>
    <t>https://docs.google.com/document/d/1wWWw2_W3NFYQsTK6GU3NuVWpTJA30Wc6ARtYZq28A-8/edit?usp=drivesdk</t>
  </si>
  <si>
    <t>Document successfully created; Document successfully merged; Emails Sent: [To: Pamela.Marcum@floridadep.gov,blythe.odzinski@floridadep.gov,stephanie.windham@floridadep.gov,lia.sansom@floridadep.gov; CC: shannon.dunnigan@dep.state.fl.us; Reply To: shannon.dunnigan@dep.state.fl.us]; Run via form trigger as education@gtmnerr.org; Timestamp: Apr 29 2020 9:16 AM</t>
  </si>
  <si>
    <t>1Q3RnEnYWyufu63NNQ7-DOQFAqeNUadnCOGapTsd72fs</t>
  </si>
  <si>
    <t>https://docs.google.com/document/d/1Q3RnEnYWyufu63NNQ7-DOQFAqeNUadnCOGapTsd72fs/edit?usp=drivesdk</t>
  </si>
  <si>
    <t>Document successfully created; Document successfully merged; Emails Sent: [To: Pamela.Marcum@floridadep.gov,blythe.odzinski@floridadep.gov,stephanie.windham@floridadep.gov,lia.sansom@floridadep.gov; CC: shannon.dunnigan@dep.state.fl.us; Reply To: shannon.dunnigan@dep.state.fl.us]; Run via form trigger as education@gtmnerr.org; Timestamp: Apr 29 2020 1:10 PM</t>
  </si>
  <si>
    <t>1sdZXFy4O1v4OgayNenBQ6cwwXuCx4MWi_3l287LgZlE</t>
  </si>
  <si>
    <t>https://docs.google.com/document/d/1sdZXFy4O1v4OgayNenBQ6cwwXuCx4MWi_3l287LgZlE/edit?usp=drivesdk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</si>
  <si>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May 1 2020 8:08 AM</t>
  </si>
  <si>
    <t>1lhvDJUqQ6VbuHFWCSjOTx-d-WCodZhXGqGuhuyYPnIo</t>
  </si>
  <si>
    <t>https://docs.google.com/document/d/1lhvDJUqQ6VbuHFWCSjOTx-d-WCodZhXGqGuhuyYPnIo/edit?usp=drivesdk</t>
  </si>
  <si>
    <t>Document successfully created; Document successfully merged; Emails Sent: [To: Nikki.Dix@floridadep.gov,blythe.odzinski@floridadep.gov,stephanie.windham@floridadep.gov,lia.sansom@floridadep.gov; CC: silas.tanner@dep.state.fl.us; Reply To: silas.tanner@dep.state.fl.us]; Run via form trigger as education@gtmnerr.org; Timestamp: May 5 2020 7:33 AM</t>
  </si>
  <si>
    <t>18sqgyQ0lpg1V9eMGG7WJ7vmIQ_dgCxVILr4C4__E4IU</t>
  </si>
  <si>
    <t>https://docs.google.com/document/d/18sqgyQ0lpg1V9eMGG7WJ7vmIQ_dgCxVILr4C4__E4IU/edit?usp=drivesdk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</si>
  <si>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May 14 2020 11:30 AM</t>
  </si>
  <si>
    <t>1ya1ParIBtADBD_jkTpK00xrw3nvRI4NjwiCkgp2NY8k</t>
  </si>
  <si>
    <t>https://docs.google.com/document/d/1ya1ParIBtADBD_jkTpK00xrw3nvRI4NjwiCkgp2NY8k/edit?usp=drivesdk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</si>
  <si>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May 15 2020 10:11 AM</t>
  </si>
  <si>
    <t>1hfXJFXH3E1tUX8F2g62JVGeOxbDa7Lp7WOe8Xek4Lnc</t>
  </si>
  <si>
    <t>https://docs.google.com/document/d/1hfXJFXH3E1tUX8F2g62JVGeOxbDa7Lp7WOe8Xek4Lnc/edit?usp=drivesdk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</si>
  <si>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May 18 2020 7:27 AM</t>
  </si>
  <si>
    <t>1s9l85XooOHcl3JjhuW9mrAkWSXGvDtchsQtTw8Orqo4</t>
  </si>
  <si>
    <t>https://docs.google.com/document/d/1s9l85XooOHcl3JjhuW9mrAkWSXGvDtchsQtTw8Orqo4/edit?usp=drivesdk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</si>
  <si>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May 19 2020 8:11 AM</t>
  </si>
  <si>
    <t>1ZrYUuVw7eqkXKsFKh5X-XrXKTleWrzXt9HOCbjZ0qpA</t>
  </si>
  <si>
    <t>https://docs.google.com/document/d/1ZrYUuVw7eqkXKsFKh5X-XrXKTleWrzXt9HOCbjZ0qpA/edit?usp=drivesdk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</si>
  <si>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May 19 2020 10:04 AM</t>
  </si>
  <si>
    <t>1sioxX_7kAwKiYd29kdqEacmGxR4147m8O-gc6jdOMEk</t>
  </si>
  <si>
    <t>https://docs.google.com/document/d/1sioxX_7kAwKiYd29kdqEacmGxR4147m8O-gc6jdOMEk/edit?usp=drivesdk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</si>
  <si>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May 20 2020 8:28 AM</t>
  </si>
  <si>
    <t>1FXSJezVUTVrGBPpx3QrS2ASXwEakTDADX67cWCoa9q0</t>
  </si>
  <si>
    <t>https://docs.google.com/document/d/1FXSJezVUTVrGBPpx3QrS2ASXwEakTDADX67cWCoa9q0/edit?usp=drivesdk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</si>
  <si>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May 28 2020 7:17 AM</t>
  </si>
  <si>
    <t>164-ZNfriHZGOF3Ng0KgkJ2IITAy5FFA293vbwC-uTPc</t>
  </si>
  <si>
    <t>https://docs.google.com/document/d/164-ZNfriHZGOF3Ng0KgkJ2IITAy5FFA293vbwC-uTPc/edit?usp=drivesdk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</si>
  <si>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1 2020 6:48 AM</t>
  </si>
  <si>
    <t>1FKui5boxPY6pfdmYNthCze8TyBroadTSUwD9x_BkpMc</t>
  </si>
  <si>
    <t>https://docs.google.com/document/d/1FKui5boxPY6pfdmYNthCze8TyBroadTSUwD9x_BkpMc/edit?usp=drivesdk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</si>
  <si>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3 2020 8:04 AM</t>
  </si>
  <si>
    <t>1YX75KOVPU6rdPBgbPB-1WHfNjmb2BsEEb3dUR5-WNS8</t>
  </si>
  <si>
    <t>https://docs.google.com/document/d/1YX75KOVPU6rdPBgbPB-1WHfNjmb2BsEEb3dUR5-WNS8/edit?usp=drivesdk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</si>
  <si>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Jun 3 2020 8:22 AM</t>
  </si>
  <si>
    <t>1Fuxke1GPjmZmDti8kKZfOZoBG-lB5O6fQPlKVYK6pdI</t>
  </si>
  <si>
    <t>https://docs.google.com/document/d/1Fuxke1GPjmZmDti8kKZfOZoBG-lB5O6fQPlKVYK6pdI/edit?usp=drivesdk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</si>
  <si>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3 2020 9:02 AM</t>
  </si>
  <si>
    <t>1xSdsO7dggDnMOeFIiLazDilZ_Y5BHrvlys2M7MHoxh8</t>
  </si>
  <si>
    <t>https://docs.google.com/document/d/1xSdsO7dggDnMOeFIiLazDilZ_Y5BHrvlys2M7MHoxh8/edit?usp=drivesdk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</si>
  <si>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Jun 12 2020 8:53 AM</t>
  </si>
  <si>
    <t>1mPnOS7jC8kvI2BlgVe8wKc6eNG8V-sYOC5x1OCtyzH4</t>
  </si>
  <si>
    <t>https://docs.google.com/document/d/1mPnOS7jC8kvI2BlgVe8wKc6eNG8V-sYOC5x1OCtyzH4/edit?usp=drivesdk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</si>
  <si>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Jun 13 2020 6:44 AM</t>
  </si>
  <si>
    <t>1dTyYrnhwQjAX3sMStPl1AF6LrKuibSwBLYE9k-OH3q8</t>
  </si>
  <si>
    <t>https://docs.google.com/document/d/1dTyYrnhwQjAX3sMStPl1AF6LrKuibSwBLYE9k-OH3q8/edit?usp=drivesdk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</si>
  <si>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16 2020 11:45 AM</t>
  </si>
  <si>
    <t>1Dt-ZmkYh9sJc_5nz2kHJYETzZcNnYCNSEdUHBi5zbLk</t>
  </si>
  <si>
    <t>https://docs.google.com/document/d/1Dt-ZmkYh9sJc_5nz2kHJYETzZcNnYCNSEdUHBi5zbLk/edit?usp=drivesdk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</si>
  <si>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17 2020 7:09 AM</t>
  </si>
  <si>
    <t>1309XjGptEng1kObv6mfBGIue6lck8JxZZAAQB143m_Y</t>
  </si>
  <si>
    <t>https://docs.google.com/document/d/1309XjGptEng1kObv6mfBGIue6lck8JxZZAAQB143m_Y/edit?usp=drivesdk</t>
  </si>
  <si>
    <t>Document successfully created; Document successfully merged; Emails Sent: [To: Shannon.Dunnigan@floridadep.gov,blythe.odzinski@floridadep.gov,stephanie.windham@floridadep.gov,lia.sansom@floridadep.gov; CC: jessica.lee@floridadep.com; Reply To: jessica.lee@floridadep.com]; Run via form trigger as education@gtmnerr.org; Timestamp: Jun 17 2020 7:15 AM</t>
  </si>
  <si>
    <t>1OnbxaTXeSky7m3PTiGynbpPIuXLU4Lrrsd-orTI5bB4</t>
  </si>
  <si>
    <t>https://docs.google.com/document/d/1OnbxaTXeSky7m3PTiGynbpPIuXLU4Lrrsd-orTI5bB4/edit?usp=drivesdk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</si>
  <si>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17 2020 10:23 AM</t>
  </si>
  <si>
    <t>1Cjb2-AzU_NBOyur8SA9JrJCvulKVrrmuAbi3ag8a9ck</t>
  </si>
  <si>
    <t>https://docs.google.com/document/d/1Cjb2-AzU_NBOyur8SA9JrJCvulKVrrmuAbi3ag8a9ck/edit?usp=drivesdk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</si>
  <si>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17 2020 3:16 PM</t>
  </si>
  <si>
    <t>1OFTOfRzbVOT0chIp2JvpOjp3qyB-dRFsV1fMGvZ2YOc</t>
  </si>
  <si>
    <t>https://docs.google.com/document/d/1OFTOfRzbVOT0chIp2JvpOjp3qyB-dRFsV1fMGvZ2YOc/edit?usp=drivesdk</t>
  </si>
  <si>
    <t>Document successfully created; Document successfully merged; Emails Sent: [To: Shannon.Dunnigan@floridadep.gov,blythe.odzinski@floridadep.gov,stephanie.windham@floridadep.gov,lia.sansom@floridadep.gov; CC: jessica.lee@floridadep.com; Reply To: jessica.lee@floridadep.com]; Run via form trigger as education@gtmnerr.org; Timestamp: Jun 17 2020 8:54 PM</t>
  </si>
  <si>
    <t>1iz2Vel11zSDZsiIc26uFzdHrE5PzaLzl9KuvA_T_xSg</t>
  </si>
  <si>
    <t>https://docs.google.com/document/d/1iz2Vel11zSDZsiIc26uFzdHrE5PzaLzl9KuvA_T_xSg/edit?usp=drivesdk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</si>
  <si>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18 2020 9:41 AM</t>
  </si>
  <si>
    <t>178BSnhvFwmawHY74F6CtrmORuUcjGy0ztrYJWIOp00s</t>
  </si>
  <si>
    <t>https://docs.google.com/document/d/178BSnhvFwmawHY74F6CtrmORuUcjGy0ztrYJWIOp00s/edit?usp=drivesdk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</si>
  <si>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25 2020 7:58 AM</t>
  </si>
  <si>
    <t>1wBMLTcTzN9Zqq0u-IaOJHhOFQmOphW-iC0VzVbo5WnI</t>
  </si>
  <si>
    <t>https://docs.google.com/document/d/1wBMLTcTzN9Zqq0u-IaOJHhOFQmOphW-iC0VzVbo5WnI/edit?usp=drivesdk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</si>
  <si>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30 2020 8:56 AM</t>
  </si>
  <si>
    <t>1sorxRew_pzwegTFEaF7rvDo2cZ-5GSHY1uilWuQtjWQ</t>
  </si>
  <si>
    <t>https://docs.google.com/document/d/1sorxRew_pzwegTFEaF7rvDo2cZ-5GSHY1uilWuQtjWQ/edit?usp=drivesdk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</si>
  <si>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1 2020 9:10 AM</t>
  </si>
  <si>
    <t>1_E6_g5iposFy2WcBX--JAtTlDMw8mQI9CnaZjAGUTc4</t>
  </si>
  <si>
    <t>https://docs.google.com/document/d/1_E6_g5iposFy2WcBX--JAtTlDMw8mQI9CnaZjAGUTc4/edit?usp=drivesdk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</si>
  <si>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2 2020 7:51 AM</t>
  </si>
  <si>
    <t>1LKiFdPF2xoMtV-oMNwqBiUn6ICyiGtn1tnknYxYQ9Ls</t>
  </si>
  <si>
    <t>https://docs.google.com/document/d/1LKiFdPF2xoMtV-oMNwqBiUn6ICyiGtn1tnknYxYQ9Ls/edit?usp=drivesdk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</si>
  <si>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Jul 7 2020 8:31 AM</t>
  </si>
  <si>
    <t>1m1C7qH-RvtISodVTzFnc0zCfaESvlpdUWqL7qXa2jAI</t>
  </si>
  <si>
    <t>https://docs.google.com/document/d/1m1C7qH-RvtISodVTzFnc0zCfaESvlpdUWqL7qXa2jAI/edit?usp=drivesdk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</si>
  <si>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14 2020 8:04 AM</t>
  </si>
  <si>
    <t>1X9wfvTORjybGnVdhkI654jew_V9OeuF-Dtd6PT2PZgc</t>
  </si>
  <si>
    <t>https://docs.google.com/document/d/1X9wfvTORjybGnVdhkI654jew_V9OeuF-Dtd6PT2PZgc/edit?usp=drivesdk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</si>
  <si>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Jul 15 2020 6:26 AM</t>
  </si>
  <si>
    <t>1fXMWL0MZGV41kK88Fec-z8NpdovkfB2-VJnskCTii8Y</t>
  </si>
  <si>
    <t>https://docs.google.com/document/d/1fXMWL0MZGV41kK88Fec-z8NpdovkfB2-VJnskCTii8Y/edit?usp=drivesdk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</si>
  <si>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15 2020 6:39 AM</t>
  </si>
  <si>
    <t>1RJLYcS9IsMyhVVNWNhAD2e09aoyEC06a4739oiXVskI</t>
  </si>
  <si>
    <t>https://docs.google.com/document/d/1RJLYcS9IsMyhVVNWNhAD2e09aoyEC06a4739oiXVskI/edit?usp=drivesdk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</si>
  <si>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Jul 15 2020 6:40 PM</t>
  </si>
  <si>
    <t>1nN7xLUceiqkgIR5qXSYfcLXQYVdvjss9mABDETalDM0</t>
  </si>
  <si>
    <t>https://docs.google.com/document/d/1nN7xLUceiqkgIR5qXSYfcLXQYVdvjss9mABDETalDM0/edit?usp=drivesdk</t>
  </si>
  <si>
    <t>Document successfully created; Document successfully merged; Emails Sent: [To: Pamela.Marcum@floridadep.gov,blythe.odzinski@floridadep.gov,stephanie.windham@floridadep.gov,lia.sansom@floridadep.gov; CC: silas.tanner@dep.state.fl.us; Reply To: silas.tanner@dep.state.fl.us]; Run via form trigger as education@gtmnerr.org; Timestamp: Jul 21 2020 9:35 AM</t>
  </si>
  <si>
    <t>JST</t>
  </si>
  <si>
    <t>14oulgEg-yJPFmQSY4bD3bdsJ4sA8mYaLqVL8UtUMh5E</t>
  </si>
  <si>
    <t>https://docs.google.com/document/d/14oulgEg-yJPFmQSY4bD3bdsJ4sA8mYaLqVL8UtUMh5E/edit?usp=drivesdk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</si>
  <si>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Jul 22 2020 12:49 PM</t>
  </si>
  <si>
    <t>1byzPSWRScHvsiX5XKkYHTFEcYBwG1NT4fDZv-yHyYEk</t>
  </si>
  <si>
    <t>https://docs.google.com/document/d/1byzPSWRScHvsiX5XKkYHTFEcYBwG1NT4fDZv-yHyYEk/edit?usp=drivesdk</t>
  </si>
  <si>
    <t>Document successfully created; Document successfully merged; Emails Sent: [To: blythe.odzinski@floridadep.gov,stephanie.windham@floridadep.gov,lia.sansom@floridadep.gov; CC: pamela.marcum@floridadep.gov; Reply To: pamela.marcum@floridadep.gov]; Run via form trigger as education@gtmnerr.org; Timestamp: Jul 27 2020 10:56 AM</t>
  </si>
  <si>
    <t>141L8UhKJis0YSYB7-3YSCuAa6cFHq5iBXy0kgXy5xOI</t>
  </si>
  <si>
    <t>https://docs.google.com/document/d/141L8UhKJis0YSYB7-3YSCuAa6cFHq5iBXy0kgXy5xOI/edit?usp=drivesdk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</si>
  <si>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Jul 28 2020 9:50 AM</t>
  </si>
  <si>
    <t>1aYmJ0p8fesI4eujF2xZto-P721vPgu_tdrmmxkLjpus</t>
  </si>
  <si>
    <t>https://docs.google.com/document/d/1aYmJ0p8fesI4eujF2xZto-P721vPgu_tdrmmxkLjpus/edit?usp=drivesdk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</si>
  <si>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Jul 28 2020 9:46 PM</t>
  </si>
  <si>
    <t>15R6KDcAgMg4g32JX0yb0OtN7Ba7cEz3LJa5uRR2T0aA</t>
  </si>
  <si>
    <t>https://docs.google.com/document/d/15R6KDcAgMg4g32JX0yb0OtN7Ba7cEz3LJa5uRR2T0aA/edit?usp=drivesdk</t>
  </si>
  <si>
    <t>Document successfully created; Document successfully merged; Emails Sent: [To: Shannon.Dunnigan@floridadep.gov,blythe.odzinski@floridadep.gov,stephanie.windham@floridadep.gov,lia.sansom@floridadep.gov; CC: n00836133@unf.edu; Reply To: n00836133@unf.edu]; Run via form trigger as education@gtmnerr.org; Timestamp: Jul 29 2020 12:52 PM</t>
  </si>
  <si>
    <t>17vF5QGJAdkXF0jo3cLrIkESTJgy6NnF64YSJHcPUJFw</t>
  </si>
  <si>
    <t>https://docs.google.com/document/d/17vF5QGJAdkXF0jo3cLrIkESTJgy6NnF64YSJHcPUJFw/edit?usp=drivesdk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</si>
  <si>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Jul 30 2020 12:00 PM</t>
  </si>
  <si>
    <t>1fXNdiViRN6z3y0xshseURKXRj9NzGXSu-PJTr5mB4Bo</t>
  </si>
  <si>
    <t>https://docs.google.com/document/d/1fXNdiViRN6z3y0xshseURKXRj9NzGXSu-PJTr5mB4Bo/edit?usp=drivesdk</t>
  </si>
  <si>
    <t>Document successfully created; Document successfully merged; Emails Sent: [To: Scott.Eastman@floridadep.gov,blythe.odzinski@floridadep.gov,stephanie.windham@floridadep.gov,lia.sansom@floridadep.gov; CC: pamela.marcum@floridadep.gov; Reply To: pamela.marcum@floridadep.gov]; Run via form trigger as education@gtmnerr.org; Timestamp: Jul 31 2020 9:49 AM</t>
  </si>
  <si>
    <t>1feDKB5XJIcLW757JEVpNCpY7Nc9O763eK3hyEom3kzE</t>
  </si>
  <si>
    <t>https://docs.google.com/document/d/1feDKB5XJIcLW757JEVpNCpY7Nc9O763eK3hyEom3kzE/edit?usp=drivesdk</t>
  </si>
  <si>
    <t>Document successfully created; Document successfully merged; Emails Sent: [To: blythe.odzinski@floridadep.gov,stephanie.windham@floridadep.gov,lia.sansom@floridadep.gov; CC: pamela.marcum@floridadep.gov; Reply To: pamela.marcum@floridadep.gov]; Run via form trigger as education@gtmnerr.org; Timestamp: Jul 31 2020 10:48 AM</t>
  </si>
  <si>
    <t>1S15ptbHUUJq9aFc4SGFo2_I2sySu_Y8qRzPSL60d2DI</t>
  </si>
  <si>
    <t>https://docs.google.com/document/d/1S15ptbHUUJq9aFc4SGFo2_I2sySu_Y8qRzPSL60d2DI/edit?usp=drivesdk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</si>
  <si>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4 2020 9:11 AM</t>
  </si>
  <si>
    <t>1Jfu7MNTZxcWqcdmbBNfPU9qElNTyO5e-_VHY7GnFWzY</t>
  </si>
  <si>
    <t>https://docs.google.com/document/d/1Jfu7MNTZxcWqcdmbBNfPU9qElNTyO5e-_VHY7GnFWzY/edit?usp=drivesdk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</si>
  <si>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5 2020 6:50 AM</t>
  </si>
  <si>
    <t>1qma6puFFrt7NQoTtPamEsdozsztZmfmVmZUqUh87Dek</t>
  </si>
  <si>
    <t>https://docs.google.com/document/d/1qma6puFFrt7NQoTtPamEsdozsztZmfmVmZUqUh87Dek/edit?usp=drivesdk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</si>
  <si>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7 2020 8:28 AM</t>
  </si>
  <si>
    <t>duplicate.</t>
  </si>
  <si>
    <t>1THdyICZ1L8LA9MCvuwsx2tIuGityBrXTE6fqFyE5tQw</t>
  </si>
  <si>
    <t>https://docs.google.com/document/d/1THdyICZ1L8LA9MCvuwsx2tIuGityBrXTE6fqFyE5tQw/edit?usp=drivesdk</t>
  </si>
  <si>
    <t>Document successfully created; Document successfully merged; Emails Sent: [To: Shannon.Dunnigan@floridadep.gov,blythe.odzinski@floridadep.gov,stephanie.windham@floridadep.gov,lia.sansom@floridadep.gov; CC: n00836133@unf.edu; Reply To: n00836133@unf.edu]; Run via form trigger as education@gtmnerr.org; Timestamp: Aug 10 2020 9:36 AM</t>
  </si>
  <si>
    <t>146mwHouOjG7aheOjGaaxhClEhLGk3MCg5yq1yEL_oJI</t>
  </si>
  <si>
    <t>https://docs.google.com/document/d/146mwHouOjG7aheOjGaaxhClEhLGk3MCg5yq1yEL_oJI/edit?usp=drivesdk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</si>
  <si>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Aug 12 2020 7:10 AM</t>
  </si>
  <si>
    <t>1PZFxSVDVF3SJp95FztnTIEm9_SQlJX4zUpmcX1M4rdQ</t>
  </si>
  <si>
    <t>https://docs.google.com/document/d/1PZFxSVDVF3SJp95FztnTIEm9_SQlJX4zUpmcX1M4rdQ/edit?usp=drivesdk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</si>
  <si>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Aug 13 2020 8:38 AM</t>
  </si>
  <si>
    <t>1zkHBsV4qc-kLULeZhRe3eZljIkCzhWEvX5NqW3s8CUg</t>
  </si>
  <si>
    <t>https://docs.google.com/document/d/1zkHBsV4qc-kLULeZhRe3eZljIkCzhWEvX5NqW3s8CUg/edit?usp=drivesdk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</si>
  <si>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Aug 13 2020 8:40 AM</t>
  </si>
  <si>
    <t>1T0BVJzGfN8ijap99bejNCNJ_m3mJfzCO4wxnGf2pyO0</t>
  </si>
  <si>
    <t>https://docs.google.com/document/d/1T0BVJzGfN8ijap99bejNCNJ_m3mJfzCO4wxnGf2pyO0/edit?usp=drivesdk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</si>
  <si>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17 2020 8:06 AM</t>
  </si>
  <si>
    <t>1hPUo9axws3wB8I0xnB6B8DVDZrOClI1LSSWAHHnj03U</t>
  </si>
  <si>
    <t>https://docs.google.com/document/d/1hPUo9axws3wB8I0xnB6B8DVDZrOClI1LSSWAHHnj03U/edit?usp=drivesdk</t>
  </si>
  <si>
    <t>Document successfully created; Document successfully merged; Emails Sent: [To: Nikki.Dix@floridadep.gov,blythe.odzinski@floridadep.gov,stephanie.windham@floridadep.gov,lia.sansom@floridadep.gov; CC: gabby.canas@floridadep.gov; Reply To: gabby.canas@floridadep.gov]; Run via form trigger as education@gtmnerr.org; Timestamp: Aug 17 2020 8:07 AM</t>
  </si>
  <si>
    <t>1bpBNnEjekTILLoQsrtLwsvTXP7RiNHlmSJT6fKv6jds</t>
  </si>
  <si>
    <t>https://docs.google.com/document/d/1bpBNnEjekTILLoQsrtLwsvTXP7RiNHlmSJT6fKv6jds/edit?usp=drivesdk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</si>
  <si>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Aug 17 2020 8:46 AM</t>
  </si>
  <si>
    <t>1pkIBFW1gRbyD3YvB5xgGMFmoAjuEz1P_wLzVY3WATC0</t>
  </si>
  <si>
    <t>https://docs.google.com/document/d/1pkIBFW1gRbyD3YvB5xgGMFmoAjuEz1P_wLzVY3WATC0/edit?usp=drivesdk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</si>
  <si>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Aug 18 2020 8:16 AM</t>
  </si>
  <si>
    <t>1rrSGmV68uISMAff0uk69jI2s34_Bevu1XfRtLGITDII</t>
  </si>
  <si>
    <t>https://docs.google.com/document/d/1rrSGmV68uISMAff0uk69jI2s34_Bevu1XfRtLGITDII/edit?usp=drivesdk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</si>
  <si>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Aug 19 2020 10:10 AM</t>
  </si>
  <si>
    <t>1_Wz2iYYGxS3czoPUvpOlW6wXRw_EwOuHmPf2xF-kOyg</t>
  </si>
  <si>
    <t>https://docs.google.com/document/d/1_Wz2iYYGxS3czoPUvpOlW6wXRw_EwOuHmPf2xF-kOyg/edit?usp=drivesdk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</si>
  <si>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Aug 19 2020 10:12 AM</t>
  </si>
  <si>
    <t>1w-Th4TS4zE-uQxUEca1oUVi6cxWjnzp7NZVAwNDQxfI</t>
  </si>
  <si>
    <t>https://docs.google.com/document/d/1w-Th4TS4zE-uQxUEca1oUVi6cxWjnzp7NZVAwNDQxfI/edit?usp=drivesdk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</si>
  <si>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Aug 20 2020 8:55 AM</t>
  </si>
  <si>
    <t>15L_iCQOicXhAl3vT2wnaf11CQCwFh19IQjAbl8rU2LY</t>
  </si>
  <si>
    <t>https://docs.google.com/document/d/15L_iCQOicXhAl3vT2wnaf11CQCwFh19IQjAbl8rU2LY/edit?usp=drivesdk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</si>
  <si>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Aug 24 2020 10:41 AM</t>
  </si>
  <si>
    <t>1cqSJb_LUoFXMpxSrAgR_tyVbdhnOCkKSX-WcS6zC0IM</t>
  </si>
  <si>
    <t>https://docs.google.com/document/d/1cqSJb_LUoFXMpxSrAgR_tyVbdhnOCkKSX-WcS6zC0IM/edit?usp=drivesdk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</si>
  <si>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26 2020 10:04 AM</t>
  </si>
  <si>
    <t>1WXrznsaWYDGy2S6di5MDaVe9Y7EbAm73XW54OhLyVuk</t>
  </si>
  <si>
    <t>https://docs.google.com/document/d/1WXrznsaWYDGy2S6di5MDaVe9Y7EbAm73XW54OhLyVuk/edit?usp=drivesdk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</si>
  <si>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27 2020 9:13 AM</t>
  </si>
  <si>
    <t>1qCN09ct_Tsryz4yKClFzpJh4Y6JG8whq1y02TnLoOqY</t>
  </si>
  <si>
    <t>https://docs.google.com/document/d/1qCN09ct_Tsryz4yKClFzpJh4Y6JG8whq1y02TnLoOqY/edit?usp=drivesdk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</si>
  <si>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Aug 28 2020 8:40 AM</t>
  </si>
  <si>
    <t>1J3xLXhrXR36_4jQ6EunovXGNuHVzx2rMiTRe22qnvEM</t>
  </si>
  <si>
    <t>https://docs.google.com/document/d/1J3xLXhrXR36_4jQ6EunovXGNuHVzx2rMiTRe22qnvEM/edit?usp=drivesdk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</si>
  <si>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1 2020 9:13 AM</t>
  </si>
  <si>
    <t>1yC4UVIif0xCVbtIX2EldANeYUVysjsww0mXc3cHc884</t>
  </si>
  <si>
    <t>https://docs.google.com/document/d/1yC4UVIif0xCVbtIX2EldANeYUVysjsww0mXc3cHc884/edit?usp=drivesdk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</si>
  <si>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Sep 1 2020 10:45 AM</t>
  </si>
  <si>
    <t>1ID7fg6s-G87iRU8MQEMC-vVBeHs2jN30ywiO1N8Mwc4</t>
  </si>
  <si>
    <t>https://docs.google.com/document/d/1ID7fg6s-G87iRU8MQEMC-vVBeHs2jN30ywiO1N8Mwc4/edit?usp=drivesdk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</si>
  <si>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9 2020 6:53 AM</t>
  </si>
  <si>
    <t>1A1qYUPKO5Wb8iRIfFTId93wLRSQa7adkF6FTHhgTtVk</t>
  </si>
  <si>
    <t>https://docs.google.com/document/d/1A1qYUPKO5Wb8iRIfFTId93wLRSQa7adkF6FTHhgTtVk/edit?usp=drivesdk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</si>
  <si>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Sep 12 2020 7:03 PM</t>
  </si>
  <si>
    <t>1zF7-f8NZ3AjVZikFt1vAssZO2nNxzuZw0VJUebF8-rg</t>
  </si>
  <si>
    <t>https://docs.google.com/document/d/1zF7-f8NZ3AjVZikFt1vAssZO2nNxzuZw0VJUebF8-rg/edit?usp=drivesdk</t>
  </si>
  <si>
    <t>1t8PCzMtY-bxWrgPyelaUpH-ChTW3BmhoY3p8DzXwCP4</t>
  </si>
  <si>
    <t>https://docs.google.com/document/d/1t8PCzMtY-bxWrgPyelaUpH-ChTW3BmhoY3p8DzXwCP4/edit?usp=drivesdk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</si>
  <si>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Sep 14 2020 7:07 AM</t>
  </si>
  <si>
    <t>17YOndIeWKS2Vlzgq90Qn8xwwH2D8gJwRRBQD4mdkT-0</t>
  </si>
  <si>
    <t>https://docs.google.com/document/d/17YOndIeWKS2Vlzgq90Qn8xwwH2D8gJwRRBQD4mdkT-0/edit?usp=drivesdk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</si>
  <si>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15 2020 7:26 AM</t>
  </si>
  <si>
    <t>1kgGG-tmOF4vE1rwbJyS-NHuz4sIA_zAcScNG6fLNBzs</t>
  </si>
  <si>
    <t>https://docs.google.com/document/d/1kgGG-tmOF4vE1rwbJyS-NHuz4sIA_zAcScNG6fLNBzs/edit?usp=drivesdk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</si>
  <si>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16 2020 6:23 AM</t>
  </si>
  <si>
    <t>1UM-tv4Autoa-LbBAytPK6GrjF7Dl4nDONos8fGnYw-I</t>
  </si>
  <si>
    <t>https://docs.google.com/document/d/1UM-tv4Autoa-LbBAytPK6GrjF7Dl4nDONos8fGnYw-I/edit?usp=drivesdk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</si>
  <si>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Sep 16 2020 6:40 AM</t>
  </si>
  <si>
    <t>1KJQZc7MWi31FUMQ6MoPimX10w3FqrKaw_GGEZsAsJxU</t>
  </si>
  <si>
    <t>https://docs.google.com/document/d/1KJQZc7MWi31FUMQ6MoPimX10w3FqrKaw_GGEZsAsJxU/edit?usp=drivesdk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</si>
  <si>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Sep 16 2020 12:38 PM</t>
  </si>
  <si>
    <t>1oqQhugOAMAiLjKVROUPEbrRT-TGBz8sePgq8nddUv9A</t>
  </si>
  <si>
    <t>https://docs.google.com/document/d/1oqQhugOAMAiLjKVROUPEbrRT-TGBz8sePgq8nddUv9A/edit?usp=drivesdk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</si>
  <si>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Sep 17 2020 12:38 PM</t>
  </si>
  <si>
    <t>1_NTRpo7Fe0NailxzsAMix3W_BroHBORKhMB7p6Te6hM</t>
  </si>
  <si>
    <t>https://docs.google.com/document/d/1_NTRpo7Fe0NailxzsAMix3W_BroHBORKhMB7p6Te6hM/edit?usp=drivesdk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</si>
  <si>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18 2020 8:20 AM</t>
  </si>
  <si>
    <t>1nbL5P6Oo6a4QltxS3KZuALSx9YoVpCUbIVIJ8Xyf4xc</t>
  </si>
  <si>
    <t>https://docs.google.com/document/d/1nbL5P6Oo6a4QltxS3KZuALSx9YoVpCUbIVIJ8Xyf4xc/edit?usp=drivesdk</t>
  </si>
  <si>
    <t>Document successfully created; Document successfully merged; Emails Sent: [To: PMarcum3@gmail.com,blythe.odzinski@floridadep.gov,stephanie.windham@floridadep.gov,lia.sansom@floridadep.gov; CC: pamelamarcum@hotmail.com; Reply To: pamelamarcum@hotmail.com]; Run via form trigger as education@gtmnerr.org; Timestamp: Sep 18 2020 3:10 PM</t>
  </si>
  <si>
    <t>1inSaAuTtr9jzKd4uA5waRJvI8Dw1f1px2Is6n7ndkkI</t>
  </si>
  <si>
    <t>https://docs.google.com/document/d/1inSaAuTtr9jzKd4uA5waRJvI8Dw1f1px2Is6n7ndkkI/edit?usp=drivesdk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</si>
  <si>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Sep 18 2020 7:15 PM</t>
  </si>
  <si>
    <t>12oEpuM28DHseLo4rhITNUOBHZoSLauObccYEJGAhUec</t>
  </si>
  <si>
    <t>https://docs.google.com/document/d/12oEpuM28DHseLo4rhITNUOBHZoSLauObccYEJGAhUec/edit?usp=drivesdk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</si>
  <si>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Sep 22 2020 1:11 AM</t>
  </si>
  <si>
    <t>193RCU5aMClA-7dpfOEXam6HiYDyelIVdY52RcYkdoC8</t>
  </si>
  <si>
    <t>https://docs.google.com/document/d/193RCU5aMClA-7dpfOEXam6HiYDyelIVdY52RcYkdoC8/edit?usp=drivesdk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</si>
  <si>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25 2020 12:27 PM</t>
  </si>
  <si>
    <t>1M4VsU4s9QNEO5RqbkxtUqKB6O5EUCsaugCcgOh_4WmI</t>
  </si>
  <si>
    <t>https://docs.google.com/document/d/1M4VsU4s9QNEO5RqbkxtUqKB6O5EUCsaugCcgOh_4WmI/edit?usp=drivesdk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</si>
  <si>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25 2020 12:35 PM</t>
  </si>
  <si>
    <t>1v1d_ycMucf1LgqyFha5kYLpVsR2kxTPYqANN4NehAQk</t>
  </si>
  <si>
    <t>https://docs.google.com/document/d/1v1d_ycMucf1LgqyFha5kYLpVsR2kxTPYqANN4NehAQk/edit?usp=drivesdk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</si>
  <si>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30 2020 7:25 AM</t>
  </si>
  <si>
    <t>1ZGseZwHpr2fXn9K46E8ncC8WVsOQrNhgkb_tIOOwnEA</t>
  </si>
  <si>
    <t>https://docs.google.com/document/d/1ZGseZwHpr2fXn9K46E8ncC8WVsOQrNhgkb_tIOOwnEA/edit?usp=drivesdk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</si>
  <si>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30 2020 8:51 AM</t>
  </si>
  <si>
    <t>1-DTv4tpnzAJLpiiq2bxbja_Q9n8aYizvebb8SQq0X6s</t>
  </si>
  <si>
    <t>https://docs.google.com/document/d/1-DTv4tpnzAJLpiiq2bxbja_Q9n8aYizvebb8SQq0X6s/edit?usp=drivesdk</t>
  </si>
  <si>
    <t>Document successfully created; Document successfully merged; Emails Sent: [To: Nikki.Dix@floridadep.gov,blythe.odzinski@floridadep.gov,stephanie.windham@floridadep.gov,lia.sansom@floridadep.gov; CC: silas.tanner@gmail.com; Reply To: silas.tanner@gmail.com]; Run via form trigger as education@gtmnerr.org; Timestamp: Oct 2 2020 8:21 AM</t>
  </si>
  <si>
    <t>1y5WTWFqifjETBG_YAtuc4ulueWqT6rTkgabXyZiXOrE</t>
  </si>
  <si>
    <t>https://docs.google.com/document/d/1y5WTWFqifjETBG_YAtuc4ulueWqT6rTkgabXyZiXOrE/edit?usp=drivesdk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</si>
  <si>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5 2020 7:43 AM</t>
  </si>
  <si>
    <t>1YTxsxvQpkmQDEVI8_ZufADtHl0ik3MtOGt2A9H1NDrw</t>
  </si>
  <si>
    <t>https://docs.google.com/document/d/1YTxsxvQpkmQDEVI8_ZufADtHl0ik3MtOGt2A9H1NDrw/edit?usp=drivesdk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</si>
  <si>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6 2020 8:36 AM</t>
  </si>
  <si>
    <t>1Nk3rB_8qh2IsB-pbaM3d-wH8zo1dMTNyZP-zXDfi7_4</t>
  </si>
  <si>
    <t>https://docs.google.com/document/d/1Nk3rB_8qh2IsB-pbaM3d-wH8zo1dMTNyZP-zXDfi7_4/edit?usp=drivesdk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</si>
  <si>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7 2020 7:43 AM</t>
  </si>
  <si>
    <t>1-r_DNoJo_KUQycyzLE_bEaa2Vn1rqABASHGTK6Z4Y6g</t>
  </si>
  <si>
    <t>https://docs.google.com/document/d/1-r_DNoJo_KUQycyzLE_bEaa2Vn1rqABASHGTK6Z4Y6g/edit?usp=drivesdk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</si>
  <si>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7 2020 9:18 AM</t>
  </si>
  <si>
    <t>16HOj7sJiyhbt6sq30ZdNBTCsEQockfYRpJK3a2FFmgQ</t>
  </si>
  <si>
    <t>https://docs.google.com/document/d/16HOj7sJiyhbt6sq30ZdNBTCsEQockfYRpJK3a2FFmgQ/edit?usp=drivesdk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</si>
  <si>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7 2020 9:53 AM</t>
  </si>
  <si>
    <t>1wCAaC3FSDkVURqi_u3lTD-VMOlPEXHK4CgCm06OztsU</t>
  </si>
  <si>
    <t>https://docs.google.com/document/d/1wCAaC3FSDkVURqi_u3lTD-VMOlPEXHK4CgCm06OztsU/edit?usp=drivesdk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</si>
  <si>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8 2020 7:15 AM</t>
  </si>
  <si>
    <t>1uLp9r3K9CtvAKCI_QmB6JCOX1g9O6BGV7jC-9aCCvwQ</t>
  </si>
  <si>
    <t>https://docs.google.com/document/d/1uLp9r3K9CtvAKCI_QmB6JCOX1g9O6BGV7jC-9aCCvwQ/edit?usp=drivesdk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</si>
  <si>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8 2020 11:54 AM</t>
  </si>
  <si>
    <t>1SVywOAuNEjqW8IQh0YKIPSY2_88qhUGL-fE5jS68AJk</t>
  </si>
  <si>
    <t>https://docs.google.com/document/d/1SVywOAuNEjqW8IQh0YKIPSY2_88qhUGL-fE5jS68AJk/edit?usp=drivesdk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</si>
  <si>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8 2020 2:40 PM</t>
  </si>
  <si>
    <t>1L789FymMi2DngmcMH0taqrUpMK9Jscf1vat03FiTFSM</t>
  </si>
  <si>
    <t>https://docs.google.com/document/d/1L789FymMi2DngmcMH0taqrUpMK9Jscf1vat03FiTFSM/edit?usp=drivesdk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</si>
  <si>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8 2020 2:46 PM</t>
  </si>
  <si>
    <t>1ZJ_4v9rOEDVY1wjLCb3Zb4RGQysWf2bPIZ0l_jbWxxM</t>
  </si>
  <si>
    <t>https://docs.google.com/document/d/1ZJ_4v9rOEDVY1wjLCb3Zb4RGQysWf2bPIZ0l_jbWxxM/edit?usp=drivesdk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</si>
  <si>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9 2020 7:56 AM</t>
  </si>
  <si>
    <t>1GG45JwJCj6qjjnyoZcDEb3pcHAneGJOpHcTKu9x4jW0</t>
  </si>
  <si>
    <t>https://docs.google.com/document/d/1GG45JwJCj6qjjnyoZcDEb3pcHAneGJOpHcTKu9x4jW0/edit?usp=drivesdk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</si>
  <si>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9 2020 8:30 AM</t>
  </si>
  <si>
    <t>1STug514pNmA1jmFzYNDK6Ks1zoH4pwoWkMHTJFin0z4</t>
  </si>
  <si>
    <t>https://docs.google.com/document/d/1STug514pNmA1jmFzYNDK6Ks1zoH4pwoWkMHTJFin0z4/edit?usp=drivesdk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</si>
  <si>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12 2020 4:30 PM</t>
  </si>
  <si>
    <t>1gHgFgJT3c69j8bgWuRt8Qcizdn_c3Cb22fRg0SUqxSo</t>
  </si>
  <si>
    <t>https://docs.google.com/document/d/1gHgFgJT3c69j8bgWuRt8Qcizdn_c3Cb22fRg0SUqxSo/edit?usp=drivesdk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</si>
  <si>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Oct 12 2020 6:43 PM</t>
  </si>
  <si>
    <t>1_9TYzYNTexZWet25uDu5v-sa3zvx8p1b76jtzUnx3YU</t>
  </si>
  <si>
    <t>https://docs.google.com/document/d/1_9TYzYNTexZWet25uDu5v-sa3zvx8p1b76jtzUnx3YU/edit?usp=drivesdk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</si>
  <si>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Oct 15 2020 7:42 AM</t>
  </si>
  <si>
    <t>1E0Y7htd1WRAHZCyT7jglsno2V2-glfRZaXBZBxjLKbs</t>
  </si>
  <si>
    <t>https://docs.google.com/document/d/1E0Y7htd1WRAHZCyT7jglsno2V2-glfRZaXBZBxjLKbs/edit?usp=drivesdk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</si>
  <si>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Oct 15 2020 7:45 AM</t>
  </si>
  <si>
    <t>1eu1FQ3sTJQE4ZLjtetUWmjcyzwJpUo10MFWKwvPurdc</t>
  </si>
  <si>
    <t>https://docs.google.com/document/d/1eu1FQ3sTJQE4ZLjtetUWmjcyzwJpUo10MFWKwvPurdc/edit?usp=drivesdk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</si>
  <si>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19 2020 9:00 AM</t>
  </si>
  <si>
    <t>1MvlAKL96LDrRfUSWS-rFRacHhpjLC-Ft77AJyjsHHVY</t>
  </si>
  <si>
    <t>https://docs.google.com/document/d/1MvlAKL96LDrRfUSWS-rFRacHhpjLC-Ft77AJyjsHHVY/edit?usp=drivesdk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</si>
  <si>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Oct 22 2020 7:05 AM</t>
  </si>
  <si>
    <t>1jvH8r1Fpa1KBJ-q1DX7vnXuphAeceU8tQP7UXXboXes</t>
  </si>
  <si>
    <t>https://docs.google.com/document/d/1jvH8r1Fpa1KBJ-q1DX7vnXuphAeceU8tQP7UXXboXes/edit?usp=drivesdk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</si>
  <si>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26 2020 3:17 PM</t>
  </si>
  <si>
    <t>1EDMY_R8pHhhWthteTstMllE6C8RZfpEAqzU6qVACBhk</t>
  </si>
  <si>
    <t>https://docs.google.com/document/d/1EDMY_R8pHhhWthteTstMllE6C8RZfpEAqzU6qVACBhk/edit?usp=drivesdk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</si>
  <si>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28 2020 11:01 AM</t>
  </si>
  <si>
    <t>KP</t>
  </si>
  <si>
    <t>11G2NIvkxYhVMIfFC7TtPcuYqWq3dXscydx5rkc-BfL8</t>
  </si>
  <si>
    <t>https://docs.google.com/document/d/11G2NIvkxYhVMIfFC7TtPcuYqWq3dXscydx5rkc-BfL8/edit?usp=drivesdk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</si>
  <si>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Oct 30 2020 12:16 PM</t>
  </si>
  <si>
    <t>119RI9XLNctfmcjIUgZhLTr8MppA_bTUPhB_yDwqWXO4</t>
  </si>
  <si>
    <t>https://docs.google.com/document/d/119RI9XLNctfmcjIUgZhLTr8MppA_bTUPhB_yDwqWXO4/edit?usp=drivesdk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</si>
  <si>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Nov 4 2020 8:22 AM</t>
  </si>
  <si>
    <t>1MOA6wmcI4F1idx-EVZBeVOzYSTahLpXJr5yC3C875tE</t>
  </si>
  <si>
    <t>https://docs.google.com/document/d/1MOA6wmcI4F1idx-EVZBeVOzYSTahLpXJr5yC3C875tE/edit?usp=drivesdk</t>
  </si>
  <si>
    <t>Document successfully created; Document successfully merged; Emails Sent: [To: Shannon.Dunnigan@floridadep.gov,blythe.odzinski@floridadep.gov,stephanie.windham@floridadep.gov,lia.sansom@floridadep.gov; CC: jessica.lee@floridadep.gov; Reply To: jessica.lee@floridadep.gov]; Run via form trigger as education@gtmnerr.org; Timestamp: Nov 16 2020 8:44 AM</t>
  </si>
  <si>
    <t>1IUrMPD6iBY5CZuIacNfiprrWSoMydBaNlySHM8X-Ljo</t>
  </si>
  <si>
    <t>https://docs.google.com/document/d/1IUrMPD6iBY5CZuIacNfiprrWSoMydBaNlySHM8X-Ljo/edit?usp=drivesdk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</si>
  <si>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Nov 17 2020 11:42 AM</t>
  </si>
  <si>
    <t>1pgBAQ2jvyC83rl8gPNXci-lhigGemBEY5qh7x8qNjsA</t>
  </si>
  <si>
    <t>https://docs.google.com/document/d/1pgBAQ2jvyC83rl8gPNXci-lhigGemBEY5qh7x8qNjsA/edit?usp=drivesdk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</si>
  <si>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Nov 18 2020 5:12 PM</t>
  </si>
  <si>
    <t>1IpCUNTz-nrXo0XbxdOBvyZNhJC-jeDY3gBX6TvO3BIs</t>
  </si>
  <si>
    <t>https://docs.google.com/document/d/1IpCUNTz-nrXo0XbxdOBvyZNhJC-jeDY3gBX6TvO3BIs/edit?usp=drivesdk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</si>
  <si>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Nov 20 2020 9:33 AM</t>
  </si>
  <si>
    <t>1E-CD4sjerVVgprVtUwd_KzPzxuQxMZpRHPM_P2PT2i8</t>
  </si>
  <si>
    <t>https://docs.google.com/document/d/1E-CD4sjerVVgprVtUwd_KzPzxuQxMZpRHPM_P2PT2i8/edit?usp=drivesdk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</si>
  <si>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Nov 30 2020 11:35 AM</t>
  </si>
  <si>
    <t>1BayLoGvRo559NKAvGkryO6cFBrH2QW_I_JveRWh6FV4</t>
  </si>
  <si>
    <t>https://docs.google.com/document/d/1BayLoGvRo559NKAvGkryO6cFBrH2QW_I_JveRWh6FV4/edit?usp=drivesdk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</si>
  <si>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Nov 30 2020 12:05 PM</t>
  </si>
  <si>
    <t>1Wbjnn0Vhj7oSUtgx1TRihhEjbS0AcCtX1r8B6Sbu4GM</t>
  </si>
  <si>
    <t>https://docs.google.com/document/d/1Wbjnn0Vhj7oSUtgx1TRihhEjbS0AcCtX1r8B6Sbu4GM/edit?usp=drivesdk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</si>
  <si>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Dec 1 2020 8:13 AM</t>
  </si>
  <si>
    <t>1BJmSLkKjFx_1sCbe0kzJ1-dpaH0_WwRn3EE7cA5XpV8</t>
  </si>
  <si>
    <t>https://docs.google.com/document/d/1BJmSLkKjFx_1sCbe0kzJ1-dpaH0_WwRn3EE7cA5XpV8/edit?usp=drivesdk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</si>
  <si>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Dec 1 2020 9:03 AM</t>
  </si>
  <si>
    <t>1D5NuM5QHMUNjLHTG_vM5TPItsGAlpEoiW1qb3GRSDpo</t>
  </si>
  <si>
    <t>https://docs.google.com/document/d/1D5NuM5QHMUNjLHTG_vM5TPItsGAlpEoiW1qb3GRSDpo/edit?usp=drivesdk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</si>
  <si>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Dec 8 2020 9:00 AM</t>
  </si>
  <si>
    <t>1aTQ7YGe3tRxlPJOg63njfYo7QZVK1-wqIRVEKZ5pioA</t>
  </si>
  <si>
    <t>https://docs.google.com/document/d/1aTQ7YGe3tRxlPJOg63njfYo7QZVK1-wqIRVEKZ5pioA/edit?usp=drivesdk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</si>
  <si>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Dec 8 2020 12:08 PM</t>
  </si>
  <si>
    <t>1zfmqUNOfTYidIxcf3bAjnFIUUuYEyrKzNa1zayl2VXc</t>
  </si>
  <si>
    <t>https://docs.google.com/document/d/1zfmqUNOfTYidIxcf3bAjnFIUUuYEyrKzNa1zayl2VXc/edit?usp=drivesdk</t>
  </si>
  <si>
    <t>Document successfully created; Document successfully merged; Emails Sent: [To: Nikki.Dix@floridadep.gov,blythe.odzinski@floridadep.gov,stephanie.windham@floridadep.gov,lia.sansom@floridadep.gov; CC: pamela.marcum@dep.state.fl.us; Reply To: pamela.marcum@dep.state.fl.us]; Run via form trigger as education@gtmnerr.org; Timestamp: Dec 9 2020 1:49 PM</t>
  </si>
  <si>
    <t>1sDoSxpj6uiUxvHHddV8RSClFdRSmIw-6_SMBWjR1irk</t>
  </si>
  <si>
    <t>https://docs.google.com/document/d/1sDoSxpj6uiUxvHHddV8RSClFdRSmIw-6_SMBWjR1irk/edit?usp=drivesdk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</si>
  <si>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Dec 15 2020 3:49 PM</t>
  </si>
  <si>
    <t>1qbYPgp2vi6CI_xpE0ANuNz8XsoLPePktMEZ4Ka9tVLw</t>
  </si>
  <si>
    <t>https://docs.google.com/document/d/1qbYPgp2vi6CI_xpE0ANuNz8XsoLPePktMEZ4Ka9tVLw/edit?usp=drivesdk</t>
  </si>
  <si>
    <t>Document successfully created; Document successfully merged; Emails Sent: [To: Pamela.Marcum@floridadep.gov,blythe.odzinski@floridadep.gov,stephanie.windham@floridadep.gov,lia.sansom@floridadep.gov; CC: n00836133@unf.edu; Reply To: n00836133@unf.edu]; Run via form trigger as education@gtmnerr.org; Timestamp: Dec 17 2020 9:57 AM</t>
  </si>
  <si>
    <t>1bclUXTG86OjgHqyxkTi2lEId8CAgzItkLc86Mo3T0Hs</t>
  </si>
  <si>
    <t>https://docs.google.com/document/d/1bclUXTG86OjgHqyxkTi2lEId8CAgzItkLc86Mo3T0Hs/edit?usp=drivesdk</t>
  </si>
  <si>
    <t>Document successfully created; Document successfully merged; Emails Sent: [To: Pamela.Marcum@floridadep.gov,blythe.odzinski@floridadep.gov,stephanie.windham@floridadep.gov,lia.sansom@floridadep.gov; CC: n00836133@unf.edu; Reply To: n00836133@unf.edu]; Run via form trigger as education@gtmnerr.org; Timestamp: Dec 17 2020 9:01 PM</t>
  </si>
  <si>
    <t>1S5UXwtgI-UGlTvj6-7LNjO5pkrSsWf3PBkP2IaOClSQ</t>
  </si>
  <si>
    <t>https://docs.google.com/document/d/1S5UXwtgI-UGlTvj6-7LNjO5pkrSsWf3PBkP2IaOClSQ/edit?usp=drivesdk</t>
  </si>
  <si>
    <t>Document successfully created; Document successfully merged; Emails Sent: [To: Pamela.Marcum@floridadep.gov,blythe.odzinski@floridadep.gov,stephanie.windham@floridadep.gov,lia.sansom@floridadep.gov; CC: n00836133@unf.edu; Reply To: n00836133@unf.edu]; Run via form trigger as education@gtmnerr.org; Timestamp: Dec 17 2020 9:02 PM</t>
  </si>
  <si>
    <t>12Xh6PCNmuBUlDAzQSQeIvg_2kwveS3AgQxjGUTSrOSk</t>
  </si>
  <si>
    <t>https://docs.google.com/document/d/12Xh6PCNmuBUlDAzQSQeIvg_2kwveS3AgQxjGUTSrOSk/edit?usp=drivesdk</t>
  </si>
  <si>
    <t>156-PESRSxhrKbFjjSNL2hF0KI1smr4_Awd5_yna1gB0</t>
  </si>
  <si>
    <t>https://docs.google.com/document/d/156-PESRSxhrKbFjjSNL2hF0KI1smr4_Awd5_yna1gB0/edit?usp=drivesdk</t>
  </si>
  <si>
    <t>Document successfully created; Document successfully merged; Emails Sent: [To: Pamela.Marcum@floridadep.gov,blythe.odzinski@floridadep.gov,stephanie.windham@floridadep.gov,lia.sansom@floridadep.gov; CC: allie.knoell@hotmail.com; Reply To: allie.knoell@hotmail.com]; Run via form trigger as education@gtmnerr.org; Timestamp: Dec 30 2020 10:09 AM</t>
  </si>
  <si>
    <t>AK</t>
  </si>
  <si>
    <t>1BdQgdqFIL-GWM6dSSJcumLsPhQtGGYDS8sZVZhBC7dk</t>
  </si>
  <si>
    <t>https://docs.google.com/document/d/1BdQgdqFIL-GWM6dSSJcumLsPhQtGGYDS8sZVZhBC7dk/edit?usp=drivesdk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</si>
  <si>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Dec 30 2020 12:49 PM</t>
  </si>
  <si>
    <t>cancel</t>
  </si>
  <si>
    <t>1QvEU8ZgbIaydkHW7DKb620NOSlvCMul-bNvMGhlseqU</t>
  </si>
  <si>
    <t>https://docs.google.com/document/d/1QvEU8ZgbIaydkHW7DKb620NOSlvCMul-bNvMGhlseqU/edit?usp=drivesdk</t>
  </si>
  <si>
    <t>Document successfully created; Document successfully merged; Emails Sent: [To: Pamela.Marcum@floridadep.gov,blythe.odzinski@floridadep.gov,stephanie.windham@floridadep.gov,lia.sansom@floridadep.gov; CC: allie.knoell@hotmail.com; Reply To: allie.knoell@hotmail.com]; Run via form trigger as education@gtmnerr.org; Timestamp: Jan 1 2021 11:57 AM</t>
  </si>
  <si>
    <t>1I7LEisB-1pASg12QSSjk380h25k2tlfImd_bJKaRSGs</t>
  </si>
  <si>
    <t>https://docs.google.com/document/d/1I7LEisB-1pASg12QSSjk380h25k2tlfImd_bJKaRSGs/edit?usp=drivesdk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</si>
  <si>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6 2021 6:12 AM</t>
  </si>
  <si>
    <t>1fsmPwCnR-Gpjvdf97oiSrahoYo5h_yyHzbgNHqOtJLc</t>
  </si>
  <si>
    <t>https://docs.google.com/document/d/1fsmPwCnR-Gpjvdf97oiSrahoYo5h_yyHzbgNHqOtJLc/edit?usp=drivesdk</t>
  </si>
  <si>
    <t>Document successfully created; Document successfully merged; Emails Sent: [To: Pamela.Marcum@floridadep.gov,blythe.odzinski@floridadep.gov,stephanie.windham@floridadep.gov,lia.sansom@floridadep.gov; CC: nikki.dix@dep.state.fl.us; Reply To: nikki.dix@dep.state.fl.us]; Run via form trigger as education@gtmnerr.org; Timestamp: Jan 8 2021 8:33 AM</t>
  </si>
  <si>
    <t>1EGTWDi6rArU3Jo1f4GPYovDwu6apKGJ1nxqVzwdqZ-Q</t>
  </si>
  <si>
    <t>https://docs.google.com/document/d/1EGTWDi6rArU3Jo1f4GPYovDwu6apKGJ1nxqVzwdqZ-Q/edit?usp=drivesdk</t>
  </si>
  <si>
    <t>Document successfully created; Document successfully merged; Emails Sent: [To: Pamela.Marcum@floridadep.gov,blythe.odzinski@floridadep.gov,stephanie.windham@floridadep.gov,lia.sansom@floridadep.gov; CC: nikki.dix@dep.state.fl.us; Reply To: nikki.dix@dep.state.fl.us]; Run via form trigger as education@gtmnerr.org; Timestamp: Jan 8 2021 4:04 PM</t>
  </si>
  <si>
    <t>1Gn3ce4eF2_TQniGodtJS-zyBDXcXyTC6DufeG8v4j9U</t>
  </si>
  <si>
    <t>https://docs.google.com/document/d/1Gn3ce4eF2_TQniGodtJS-zyBDXcXyTC6DufeG8v4j9U/edit?usp=drivesdk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</si>
  <si>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Jan 11 2021 7:10 AM</t>
  </si>
  <si>
    <t>1crtF05F3q5CAMEyM-5WMtJzayv4sDJC-8hgNvvAP3dA</t>
  </si>
  <si>
    <t>https://docs.google.com/document/d/1crtF05F3q5CAMEyM-5WMtJzayv4sDJC-8hgNvvAP3dA/edit?usp=drivesdk</t>
  </si>
  <si>
    <t>Document successfully created; Document successfully merged; Emails Sent: [To: Pamela.Marcum@floridadep.gov,blythe.odzinski@floridadep.gov,stephanie.windham@floridadep.gov,lia.sansom@floridadep.gov; CC: alee.knoell@hotmail.com; Reply To: alee.knoell@hotmail.com]; Run via form trigger as education@gtmnerr.org; Timestamp: Jan 12 2021 9:30 AM</t>
  </si>
  <si>
    <t>1fp3M7lZP4AKNZunJEtxpBIXW6vynbXglsC04sK0zXY0</t>
  </si>
  <si>
    <t>https://docs.google.com/document/d/1fp3M7lZP4AKNZunJEtxpBIXW6vynbXglsC04sK0zXY0/edit?usp=drivesdk</t>
  </si>
  <si>
    <t>Document successfully created; Document successfully merged; Emails Sent: [To: Pamela.Marcum@floridadep.gov,blythe.odzinski@floridadep.gov,stephanie.windham@floridadep.gov,lia.sansom@floridadep.gov; CC: alee.knoell@hotmail.com; Reply To: alee.knoell@hotmail.com]; Run via form trigger as education@gtmnerr.org; Timestamp: Jan 12 2021 10:59 AM</t>
  </si>
  <si>
    <t>1Q9AR0hNi5W1l_JNEA55q1a385woNROh6LEzaMqLZCXk</t>
  </si>
  <si>
    <t>https://docs.google.com/document/d/1Q9AR0hNi5W1l_JNEA55q1a385woNROh6LEzaMqLZCXk/edit?usp=drivesdk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</si>
  <si>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Jan 12 2021 11:02 AM</t>
  </si>
  <si>
    <t>1_QL2GWUsfZlzAGXgUOXLioeNaCl-VQI4XH56wGvnpDo</t>
  </si>
  <si>
    <t>https://docs.google.com/document/d/1_QL2GWUsfZlzAGXgUOXLioeNaCl-VQI4XH56wGvnpDo/edit?usp=drivesdk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</si>
  <si>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Jan 12 2021 12:34 PM</t>
  </si>
  <si>
    <t>1myxKeon_x40RgP9PvrOf6lZzxP-gH7adTtx-_gxaK-s</t>
  </si>
  <si>
    <t>https://docs.google.com/document/d/1myxKeon_x40RgP9PvrOf6lZzxP-gH7adTtx-_gxaK-s/edit?usp=drivesdk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</si>
  <si>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Jan 27 2021 8:19 AM</t>
  </si>
  <si>
    <t>18ith3gtCPg5SHCe5eL28SQzY5fegvioTEbixkzDvkF4</t>
  </si>
  <si>
    <t>https://docs.google.com/document/d/18ith3gtCPg5SHCe5eL28SQzY5fegvioTEbixkzDvkF4/edit?usp=drivesdk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</si>
  <si>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Jan 27 2021 11:29 AM</t>
  </si>
  <si>
    <t>15ryWPaEC9QD9CGo79CYeu5aO05GgMvH3od9_9mdrlP0</t>
  </si>
  <si>
    <t>https://docs.google.com/document/d/15ryWPaEC9QD9CGo79CYeu5aO05GgMvH3od9_9mdrlP0/edit?usp=drivesdk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</si>
  <si>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4 2021 10:51 AM</t>
  </si>
  <si>
    <t>1jwuxhnk9VZeVeotGbhWE7_YtYkY4YoqlLNAIHsRPF0U</t>
  </si>
  <si>
    <t>https://docs.google.com/document/d/1jwuxhnk9VZeVeotGbhWE7_YtYkY4YoqlLNAIHsRPF0U/edit?usp=drivesdk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</si>
  <si>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5 2021 1:24 PM</t>
  </si>
  <si>
    <t>17N_ylvr_yUkSNe6xKQXU0mqwMZ1yslteAdiu1dDQRTs</t>
  </si>
  <si>
    <t>https://docs.google.com/document/d/17N_ylvr_yUkSNe6xKQXU0mqwMZ1yslteAdiu1dDQRTs/edit?usp=drivesdk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</si>
  <si>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Feb 9 2021 7:55 AM</t>
  </si>
  <si>
    <t>1LHaIygzSkWWa9gPRBovnDwiixCsnsg4ZaWHIN3lgKSg</t>
  </si>
  <si>
    <t>https://docs.google.com/document/d/1LHaIygzSkWWa9gPRBovnDwiixCsnsg4ZaWHIN3lgKSg/edit?usp=drivesdk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</si>
  <si>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Feb 15 2021 10:54 PM</t>
  </si>
  <si>
    <t>1zQ2OPNTBGvQK_WZ8BbS8vVDDUAaIHBqqAQBeIg9UfJ0</t>
  </si>
  <si>
    <t>https://docs.google.com/document/d/1zQ2OPNTBGvQK_WZ8BbS8vVDDUAaIHBqqAQBeIg9UfJ0/edit?usp=drivesdk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</si>
  <si>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Feb 17 2021 7:21 AM</t>
  </si>
  <si>
    <t>1MP60ilCjVEwOAG1TTQJKcVrj8LBuGw_aE8o6gk6K4UI</t>
  </si>
  <si>
    <t>https://docs.google.com/document/d/1MP60ilCjVEwOAG1TTQJKcVrj8LBuGw_aE8o6gk6K4UI/edit?usp=drivesdk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</si>
  <si>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Feb 23 2021 8:38 AM</t>
  </si>
  <si>
    <t>1X29Blr7Ms-Gv4TqA3MWy6JeS3NmGfdpiiIDbw-bzfYw</t>
  </si>
  <si>
    <t>https://docs.google.com/document/d/1X29Blr7Ms-Gv4TqA3MWy6JeS3NmGfdpiiIDbw-bzfYw/edit?usp=drivesdk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</si>
  <si>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Feb 24 2021 8:21 AM</t>
  </si>
  <si>
    <t>1Nw7EJM7t_j9vhqZSHgk3rEK6VHR3PwtNLff2zjJgJGI</t>
  </si>
  <si>
    <t>https://docs.google.com/document/d/1Nw7EJM7t_j9vhqZSHgk3rEK6VHR3PwtNLff2zjJgJGI/edit?usp=drivesdk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</si>
  <si>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24 2021 10:22 AM</t>
  </si>
  <si>
    <t>1GLkHyx96fjLQQp8wkpzq0eODy3ErqntnD24uni6JNcI</t>
  </si>
  <si>
    <t>https://docs.google.com/document/d/1GLkHyx96fjLQQp8wkpzq0eODy3ErqntnD24uni6JNcI/edit?usp=drivesdk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</si>
  <si>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24 2021 12:08 PM</t>
  </si>
  <si>
    <t>1LelJQCt9xhCaCvWsqB5qcSlE51HDB-stfFAndoITg9w</t>
  </si>
  <si>
    <t>https://docs.google.com/document/d/1LelJQCt9xhCaCvWsqB5qcSlE51HDB-stfFAndoITg9w/edit?usp=drivesdk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</si>
  <si>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25 2021 12:04 PM</t>
  </si>
  <si>
    <t>1IpvBzYhsibNEy6YAc7s2ivWn_xlPRXOVrvABIOJqkBQ</t>
  </si>
  <si>
    <t>https://docs.google.com/document/d/1IpvBzYhsibNEy6YAc7s2ivWn_xlPRXOVrvABIOJqkBQ/edit?usp=drivesdk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</si>
  <si>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Mar 3 2021 7:28 AM</t>
  </si>
  <si>
    <t>1zbyf1Ti39tstyzZoENWWgRG16TpZdz6rKhveKnCd6u8</t>
  </si>
  <si>
    <t>https://docs.google.com/document/d/1zbyf1Ti39tstyzZoENWWgRG16TpZdz6rKhveKnCd6u8/edit?usp=drivesdk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</si>
  <si>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4 2021 7:51 AM</t>
  </si>
  <si>
    <t>17ESLUd8LiCXpXnTLrCmLNuNBsD_kBxz56Og2l48ESxk</t>
  </si>
  <si>
    <t>https://docs.google.com/document/d/17ESLUd8LiCXpXnTLrCmLNuNBsD_kBxz56Og2l48ESxk/edit?usp=drivesdk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</si>
  <si>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4 2021 10:22 AM</t>
  </si>
  <si>
    <t>15ByomRlQMROlCgizmLzxCdO8MylRBYZcT1KY5d413W4</t>
  </si>
  <si>
    <t>https://docs.google.com/document/d/15ByomRlQMROlCgizmLzxCdO8MylRBYZcT1KY5d413W4/edit?usp=drivesdk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</si>
  <si>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5 2021 8:45 AM</t>
  </si>
  <si>
    <t>1FKAqMEY_g_rya7YlNv19G33M5CA5yaNeQJYdoczRH0M</t>
  </si>
  <si>
    <t>https://docs.google.com/document/d/1FKAqMEY_g_rya7YlNv19G33M5CA5yaNeQJYdoczRH0M/edit?usp=drivesdk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</si>
  <si>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5 2021 11:30 AM</t>
  </si>
  <si>
    <t>1obr-jGW9cIwNGsODO7PY8lMWa6oFoNT8h5C0AMSDqhA</t>
  </si>
  <si>
    <t>https://docs.google.com/document/d/1obr-jGW9cIwNGsODO7PY8lMWa6oFoNT8h5C0AMSDqhA/edit?usp=drivesdk</t>
  </si>
  <si>
    <t>Document successfully created; Document successfully merged; Emails Sent: [To: Nikki.Dix@floridadep.gov,blythe.odzinski@floridadep.gov,stephanie.windham@floridadep.gov,lia.sansom@floridadep.gov; CC: alee.knoell@hotmail.com; Reply To: alee.knoell@hotmail.com]; Run via form trigger as education@gtmnerr.org; Timestamp: Mar 10 2021 7:08 AM</t>
  </si>
  <si>
    <t>1zYVTfIrPvK_uRD84Bt1UP_XagwKsuCgN-ntGvUkIvXA</t>
  </si>
  <si>
    <t>https://docs.google.com/document/d/1zYVTfIrPvK_uRD84Bt1UP_XagwKsuCgN-ntGvUkIvXA/edit?usp=drivesdk</t>
  </si>
  <si>
    <t>Document successfully created; Document successfully merged; Emails Sent: [To: Shannon.Dunnigan@floridadep.gov,blythe.odzinski@floridadep.gov,stephanie.windham@floridadep.gov,lia.sansom@floridadep.gov; CC: jessica.lee@floridadep.gov; Reply To: jessica.lee@floridadep.gov]; Run via form trigger as education@gtmnerr.org; Timestamp: Mar 11 2021 7:34 AM</t>
  </si>
  <si>
    <t>1ilfIZrvO62UzSBALOu1mbx74xPf85fISvVYwYPw9Nj0</t>
  </si>
  <si>
    <t>https://docs.google.com/document/d/1ilfIZrvO62UzSBALOu1mbx74xPf85fISvVYwYPw9Nj0/edit?usp=drivesdk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</si>
  <si>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Mar 17 2021 6:12 AM</t>
  </si>
  <si>
    <t>1tTskTDAxujyZNr6Clu2EYfrHeo7SloH0j4KWIqM9LoQ</t>
  </si>
  <si>
    <t>https://docs.google.com/document/d/1tTskTDAxujyZNr6Clu2EYfrHeo7SloH0j4KWIqM9LoQ/edit?usp=drivesdk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</si>
  <si>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30 2021 8:07 AM</t>
  </si>
  <si>
    <t>1yRN5WZ2bCkiqgVZYjeW2Q_xF52lxdbO9mVIC4drDNzo</t>
  </si>
  <si>
    <t>https://docs.google.com/document/d/1yRN5WZ2bCkiqgVZYjeW2Q_xF52lxdbO9mVIC4drDNzo/edit?usp=drivesdk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</si>
  <si>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Mar 30 2021 8:44 AM</t>
  </si>
  <si>
    <t>1v6kVTGJ7y-AZCLEEsRweiQiMwBSa8h09Stv1Nc3ILb4</t>
  </si>
  <si>
    <t>https://docs.google.com/document/d/1v6kVTGJ7y-AZCLEEsRweiQiMwBSa8h09Stv1Nc3ILb4/edit?usp=drivesdk</t>
  </si>
  <si>
    <t>Document successfully created; Document successfully merged; Emails Sent: [To: Nikki.Dix@floridadep.gov,blythe.odzinski@floridadep.gov,stephanie.windham@floridadep.gov,lia.sansom@floridadep.gov; CC: n00836133@unf.edu; Reply To: n00836133@unf.edu]; Run via form trigger as education@gtmnerr.org; Timestamp: Mar 30 2021 11:12 PM</t>
  </si>
  <si>
    <t>1twDCYSGGFpjl3D-p31e3FyoXOxFRS9v116t7vvqrBoA</t>
  </si>
  <si>
    <t>https://docs.google.com/document/d/1twDCYSGGFpjl3D-p31e3FyoXOxFRS9v116t7vvqrBoA/edit?usp=drivesdk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</si>
  <si>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Mar 31 2021 7:05 AM</t>
  </si>
  <si>
    <t>1vUaCgm5Vq08qt30h83-tm3hv4O_T8KMl-U0Dn1Y-IJk</t>
  </si>
  <si>
    <t>https://docs.google.com/document/d/1vUaCgm5Vq08qt30h83-tm3hv4O_T8KMl-U0Dn1Y-IJk/edit?usp=drivesdk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</si>
  <si>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31 2021 7:56 AM</t>
  </si>
  <si>
    <t>1tMLiDIv4S7n30K1CYh_PT1j3tTcs7bR906peSLT1gOI</t>
  </si>
  <si>
    <t>https://docs.google.com/document/d/1tMLiDIv4S7n30K1CYh_PT1j3tTcs7bR906peSLT1gOI/edit?usp=drivesdk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</si>
  <si>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 2021 7:49 AM</t>
  </si>
  <si>
    <t>1YFxxQk4D0EGT_2gH6-8FYC6Fn9CtgINpzLrbTsWW8DY</t>
  </si>
  <si>
    <t>https://docs.google.com/document/d/1YFxxQk4D0EGT_2gH6-8FYC6Fn9CtgINpzLrbTsWW8DY/edit?usp=drivesdk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</si>
  <si>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Apr 7 2021 7:49 AM</t>
  </si>
  <si>
    <t>1CpOtr1dPIVZTlrRt4dFAvLFBIKCcDrIQYfPTFZo3Hsg</t>
  </si>
  <si>
    <t>https://docs.google.com/document/d/1CpOtr1dPIVZTlrRt4dFAvLFBIKCcDrIQYfPTFZo3Hsg/edit?usp=drivesdk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</si>
  <si>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Apr 7 2021 9:18 AM</t>
  </si>
  <si>
    <t>1Q5RQ6-0RoiSNWrs2IBjnfOVehYFzS128DUtEWeQ_JcA</t>
  </si>
  <si>
    <t>https://docs.google.com/document/d/1Q5RQ6-0RoiSNWrs2IBjnfOVehYFzS128DUtEWeQ_JcA/edit?usp=drivesdk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</si>
  <si>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8 2021 9:24 AM</t>
  </si>
  <si>
    <t>1ELAjhbKfJ6dxjIxIiB9pk-rrnV9g09_ZJTrVlDo-Rm0</t>
  </si>
  <si>
    <t>https://docs.google.com/document/d/1ELAjhbKfJ6dxjIxIiB9pk-rrnV9g09_ZJTrVlDo-Rm0/edit?usp=drivesdk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</si>
  <si>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13 2021 10:11 AM</t>
  </si>
  <si>
    <t>1-N7ObJnoiZ6WWTtQgIBBqcnMXL7_PPljaPW9vRpIXN8</t>
  </si>
  <si>
    <t>https://docs.google.com/document/d/1-N7ObJnoiZ6WWTtQgIBBqcnMXL7_PPljaPW9vRpIXN8/edit?usp=drivesdk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</si>
  <si>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14 2021 7:25 AM</t>
  </si>
  <si>
    <t>1LC04Ch1QGfkdW8eVl1oyjdPmP16OZnx4YKzo0egSr7c</t>
  </si>
  <si>
    <t>https://docs.google.com/document/d/1LC04Ch1QGfkdW8eVl1oyjdPmP16OZnx4YKzo0egSr7c/edit?usp=drivesdk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</si>
  <si>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15 2021 7:02 AM</t>
  </si>
  <si>
    <t>1ocg5_VguQ-eWqasvlpE9eF4YbobMluuDifsIm8x1hjs</t>
  </si>
  <si>
    <t>https://docs.google.com/document/d/1ocg5_VguQ-eWqasvlpE9eF4YbobMluuDifsIm8x1hjs/edit?usp=drivesdk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</si>
  <si>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Apr 16 2021 7:17 AM</t>
  </si>
  <si>
    <t>1uRhHSAGCJ80NopkLKRzX-7mrl_FPkcOqqzu9Kt-w3Y4</t>
  </si>
  <si>
    <t>https://docs.google.com/document/d/1uRhHSAGCJ80NopkLKRzX-7mrl_FPkcOqqzu9Kt-w3Y4/edit?usp=drivesdk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</si>
  <si>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19 2021 9:22 AM</t>
  </si>
  <si>
    <t>1OY1u1kAzGZswOAH1f0ciSguY53h0a1Tkr5T1dwo-nf8</t>
  </si>
  <si>
    <t>https://docs.google.com/document/d/1OY1u1kAzGZswOAH1f0ciSguY53h0a1Tkr5T1dwo-nf8/edit?usp=drivesdk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</si>
  <si>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20 2021 8:38 AM</t>
  </si>
  <si>
    <t>1F_A1Sdi5q3ONoxUN0nG0uquujAIUcQzwOq3TlHfElTs</t>
  </si>
  <si>
    <t>https://docs.google.com/document/d/1F_A1Sdi5q3ONoxUN0nG0uquujAIUcQzwOq3TlHfElTs/edit?usp=drivesdk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</si>
  <si>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21 2021 8:58 AM</t>
  </si>
  <si>
    <t>1UB-RFFrqN11JjwZn9UkiVebnT_rlycn7dUeaSiN5c88</t>
  </si>
  <si>
    <t>https://docs.google.com/document/d/1UB-RFFrqN11JjwZn9UkiVebnT_rlycn7dUeaSiN5c88/edit?usp=drivesdk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</si>
  <si>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Apr 27 2021 8:50 AM</t>
  </si>
  <si>
    <t>1OBpBycc2MsHQzx0oGoIdhCX8jbPw7eMcLWlrrKwiONA</t>
  </si>
  <si>
    <t>https://docs.google.com/document/d/1OBpBycc2MsHQzx0oGoIdhCX8jbPw7eMcLWlrrKwiONA/edit?usp=drivesdk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</si>
  <si>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Apr 27 2021 4:44 PM</t>
  </si>
  <si>
    <t>179EwcNsSeb5b-4mufHGtmSQB11MCBJG9X_-GaLVF65A</t>
  </si>
  <si>
    <t>https://docs.google.com/document/d/179EwcNsSeb5b-4mufHGtmSQB11MCBJG9X_-GaLVF65A/edit?usp=drivesdk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</si>
  <si>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28 2021 7:30 AM</t>
  </si>
  <si>
    <t>1NSXCOMs-mZ8gMXSva1KviVW_Iy7SaZL7JgeQ9duT2Dc</t>
  </si>
  <si>
    <t>https://docs.google.com/document/d/1NSXCOMs-mZ8gMXSva1KviVW_Iy7SaZL7JgeQ9duT2Dc/edit?usp=drivesdk</t>
  </si>
  <si>
    <t>Document successfully created; Document successfully merged; Emails Sent: [To: Shannon.Dunnigan@floridadep.gov,blythe.odzinski@floridadep.gov,stephanie.windham@floridadep.gov,lia.sansom@floridadep.gov; CC: jessica.lee@floridadep.gov; Reply To: jessica.lee@floridadep.gov]; Run via form trigger as education@gtmnerr.org; Timestamp: May 10 2021 8:41 AM</t>
  </si>
  <si>
    <t>11sRqTN3oRi0sr1ZNX-xmrrCRHXjR6DpZqWWdHWDM8PE</t>
  </si>
  <si>
    <t>https://docs.google.com/document/d/11sRqTN3oRi0sr1ZNX-xmrrCRHXjR6DpZqWWdHWDM8PE/edit?usp=drivesdk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</si>
  <si>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May 11 2021 8:34 AM</t>
  </si>
  <si>
    <t>1TaU5Q6Q7dqu44JV_8zNyJ2TrqrIGaPAwiQWNiqgtWx4</t>
  </si>
  <si>
    <t>https://docs.google.com/document/d/1TaU5Q6Q7dqu44JV_8zNyJ2TrqrIGaPAwiQWNiqgtWx4/edit?usp=drivesdk</t>
  </si>
  <si>
    <t>Document successfully created; Document successfully merged; Emails Sent: [To: Nikki.Dix@floridadep.gov,blythe.odzinski@floridadep.gov,stephanie.windham@floridadep.gov,lia.sansom@floridadep.gov; CC: shannon.dunnigan@floridadep.gov; Reply To: shannon.dunnigan@floridadep.gov]; Run via form trigger as education@gtmnerr.org; Timestamp: May 11 2021 3:58 PM</t>
  </si>
  <si>
    <t>1uacCpT17Uvo2Shbv0SkaCBW-M-J5taDBnBKyZXZ-gQs</t>
  </si>
  <si>
    <t>https://docs.google.com/document/d/1uacCpT17Uvo2Shbv0SkaCBW-M-J5taDBnBKyZXZ-gQs/edit?usp=drivesdk</t>
  </si>
  <si>
    <t>Document successfully created; Document successfully merged; Emails Sent: [To: Alee.Knoell@floridadep.gov,blythe.odzinski@floridadep.gov,stephanie.windham@floridadep.gov,lia.sansom@floridadep.gov; CC: silas.tanner@floridadep.gov; Reply To: silas.tanner@floridadep.gov]; Run via form trigger as education@gtmnerr.org; Timestamp: May 14 2021 9:21 AM</t>
  </si>
  <si>
    <t>1-HvzEkSelyXUpFWJkXgpVQCY3lfHfeKWT0TzFXeO9dc</t>
  </si>
  <si>
    <t>https://docs.google.com/document/d/1-HvzEkSelyXUpFWJkXgpVQCY3lfHfeKWT0TzFXeO9dc/edit?usp=drivesdk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</si>
  <si>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May 25 2021 8:07 AM</t>
  </si>
  <si>
    <t>1QVWN5IMPmVwsi0ToyQccgphuzufNnTdYPlN02idb2i4</t>
  </si>
  <si>
    <t>https://docs.google.com/document/d/1QVWN5IMPmVwsi0ToyQccgphuzufNnTdYPlN02idb2i4/edit?usp=drivesdk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</si>
  <si>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2 2021 6:51 AM</t>
  </si>
  <si>
    <t>1OXE2gmbJ2i6Ig_wjJoHe7NUwlbbuni5X2FYkzMzd0-o</t>
  </si>
  <si>
    <t>https://docs.google.com/document/d/1OXE2gmbJ2i6Ig_wjJoHe7NUwlbbuni5X2FYkzMzd0-o/edit?usp=drivesdk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</si>
  <si>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Jun 7 2021 8:18 AM</t>
  </si>
  <si>
    <t>1MhDUCG80v0Brcr6OO5iaJpQMB3G1L1mtGvU2n3_UN4s</t>
  </si>
  <si>
    <t>https://docs.google.com/document/d/1MhDUCG80v0Brcr6OO5iaJpQMB3G1L1mtGvU2n3_UN4s/edit?usp=drivesdk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</si>
  <si>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8 2021 6:30 AM</t>
  </si>
  <si>
    <t>1zC7icpZm6yNw-ML3h72vj-DHn7e8tsTP-avrs4nv6IU</t>
  </si>
  <si>
    <t>https://docs.google.com/document/d/1zC7icpZm6yNw-ML3h72vj-DHn7e8tsTP-avrs4nv6IU/edit?usp=drivesdk</t>
  </si>
  <si>
    <t>Document successfully created; Document successfully merged; Emails Sent: [To: Nikki.Dix@floridadep.gov,blythe.odzinski@floridadep.gov,stephanie.windham@floridadep.gov,lia.sansom@floridadep.gov; CC: aknoell@hotmail.com; Reply To: aknoell@hotmail.com]; Run via form trigger as education@gtmnerr.org; Timestamp: Jun 8 2021 7:31 AM</t>
  </si>
  <si>
    <t>1i68mLHJDHXNCzhURt3YtetfOjf4I85zzPmJ7Z6D1lkM</t>
  </si>
  <si>
    <t>https://docs.google.com/document/d/1i68mLHJDHXNCzhURt3YtetfOjf4I85zzPmJ7Z6D1lkM/edit?usp=drivesdk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</si>
  <si>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9 2021 6:14 AM</t>
  </si>
  <si>
    <t>1GxIs9p5uXK7zmSAlxjBRO0VxTiyBWhyxQkf29B3ufqI</t>
  </si>
  <si>
    <t>https://docs.google.com/document/d/1GxIs9p5uXK7zmSAlxjBRO0VxTiyBWhyxQkf29B3ufqI/edit?usp=drivesdk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</si>
  <si>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10 2021 6:49 AM</t>
  </si>
  <si>
    <t>1B6B6QtkGCAY1L3PnzTUl2BQ-wHzBgYmWN4hIEw06Ra4</t>
  </si>
  <si>
    <t>https://docs.google.com/document/d/1B6B6QtkGCAY1L3PnzTUl2BQ-wHzBgYmWN4hIEw06Ra4/edit?usp=drivesdk</t>
  </si>
  <si>
    <t>Document successfully created; Document successfully merged; Emails Sent: [To: Silas.Tanner@floridadep.gov,blythe.odzinski@floridadep.gov,stephanie.windham@floridadep.gov,lia.sansom@floridadep.gov; CC: aknoell@floridadep.gov; Reply To: aknoell@floridadep.gov]; Run via form trigger as education@gtmnerr.org; Timestamp: Jun 14 2021 8:35 AM</t>
  </si>
  <si>
    <t>1gvuC5caiDoExiO12fjDGLugLCZVhCZhuajekqhHA3SM</t>
  </si>
  <si>
    <t>https://docs.google.com/document/d/1gvuC5caiDoExiO12fjDGLugLCZVhCZhuajekqhHA3SM/edit?usp=drivesdk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</si>
  <si>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Jun 15 2021 7:58 AM</t>
  </si>
  <si>
    <t>13wQtzPBxDz9vVoPf8NMtxXTTHP3iJk71Maci3COefXs</t>
  </si>
  <si>
    <t>https://docs.google.com/document/d/13wQtzPBxDz9vVoPf8NMtxXTTHP3iJk71Maci3COefXs/edit?usp=drivesdk</t>
  </si>
  <si>
    <t>Document successfully created; Document successfully merged; Emails Sent: [To: Pamela.Marcum@floridadep.gov,blythe.odzinski@floridadep.gov,stephanie.windham@floridadep.gov,lia.sansom@floridadep.gov; CC: silas.tanner@floridadep.gov; Reply To: silas.tanner@floridadep.gov]; Run via form trigger as education@gtmnerr.org; Timestamp: Jun 16 2021 7:11 AM</t>
  </si>
  <si>
    <t>1hed7KvFcn3BsHc1lgAORkSljv9JYt2q2ixsyaM6glHU</t>
  </si>
  <si>
    <t>https://docs.google.com/document/d/1hed7KvFcn3BsHc1lgAORkSljv9JYt2q2ixsyaM6glHU/edit?usp=drivesdk</t>
  </si>
  <si>
    <t>Document successfully created; Document successfully merged; Emails Sent: [To: Katherine.Petrinec@floridadep.gov,blythe.odzinski@floridadep.gov,stephanie.windham@floridadep.gov,lia.sansom@floridadep.gov; CC: Pamela.Marcum@FloridaDEP.gov; Reply To: Pamela.Marcum@FloridaDEP.gov]; Run via form trigger as education@gtmnerr.org; Timestamp: Jun 18 2021 6:29 AM</t>
  </si>
  <si>
    <t>1DTuAK5qRGgWYbUbBaRiKz06NBbtl_a8ZdN6wbZqmm4s</t>
  </si>
  <si>
    <t>https://docs.google.com/document/d/1DTuAK5qRGgWYbUbBaRiKz06NBbtl_a8ZdN6wbZqmm4s/edit?usp=drivesdk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</si>
  <si>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Jun 28 2021 8:44 AM</t>
  </si>
  <si>
    <t>Starting at Tue Jun 29 2021 11:51:23 GMT-0400 (EDT)</t>
  </si>
  <si>
    <t>Starting at Wed Jun 30 2021 08:39:59 GMT-0400 (EDT)</t>
  </si>
  <si>
    <t>1ZdmjKKdJiREnW5Ncq3ZwQuf2ZogrztDCw_xRnm51fNA</t>
  </si>
  <si>
    <t>https://docs.google.com/document/d/1ZdmjKKdJiREnW5Ncq3ZwQuf2ZogrztDCw_xRnm51fNA/edit?usp=drivesdk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</si>
  <si>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9 2021 10:30 AM</t>
  </si>
  <si>
    <t>196g3nB_MsP2IVrGSLLlSQJL7veNpCGVYW-s9YNQQ9yQ</t>
  </si>
  <si>
    <t>https://docs.google.com/document/d/196g3nB_MsP2IVrGSLLlSQJL7veNpCGVYW-s9YNQQ9yQ/edit?usp=drivesdk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</si>
  <si>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13 2021 11:16 AM</t>
  </si>
  <si>
    <t>1Zs4KvJUKej0kkdrjCl5G6ohzBkxJFk15bC8U2eliQDI</t>
  </si>
  <si>
    <t>https://docs.google.com/document/d/1Zs4KvJUKej0kkdrjCl5G6ohzBkxJFk15bC8U2eliQDI/edit?usp=drivesdk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</si>
  <si>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Jul 14 2021 7:25 AM</t>
  </si>
  <si>
    <t>1ycI5xEFf1yEBO7dDvNut7gMIfOuux3hRYHJqrjI0Aik</t>
  </si>
  <si>
    <t>https://docs.google.com/document/d/1ycI5xEFf1yEBO7dDvNut7gMIfOuux3hRYHJqrjI0Aik/edit?usp=drivesdk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</si>
  <si>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Jul 14 2021 10:50 AM</t>
  </si>
  <si>
    <t>12fJKM8lnurmQLuj1oOk8vdzxrAlW_bVorBDrEpoRF6M</t>
  </si>
  <si>
    <t>https://docs.google.com/document/d/12fJKM8lnurmQLuj1oOk8vdzxrAlW_bVorBDrEpoRF6M/edit?usp=drivesdk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</si>
  <si>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Jul 15 2021 6:50 AM</t>
  </si>
  <si>
    <t>1qyUjwT3iwzNGQaHgNFOes6d3yMk-RoO2aAXz47estPY</t>
  </si>
  <si>
    <t>https://docs.google.com/document/d/1qyUjwT3iwzNGQaHgNFOes6d3yMk-RoO2aAXz47estPY/edit?usp=drivesdk</t>
  </si>
  <si>
    <t>Document successfully created; Document successfully merged; Emails Sent: [To: Shannon.Dunnigan@floridadep.gov,blythe.odzinski@floridadep.gov,stephanie.windham@floridadep.gov,lia.sansom@floridadep.gov; CC: shannon.dunnigan@floridadep.gov; Reply To: shannon.dunnigan@floridadep.gov]; Run via form trigger as education@gtmnerr.org; Timestamp: Jul 21 2021 6:53 AM</t>
  </si>
  <si>
    <t>1HzeuGXGV-RGYfPnn_4g7ezUAcz9GWFOlUNvh7Yr_Ixc</t>
  </si>
  <si>
    <t>https://docs.google.com/document/d/1HzeuGXGV-RGYfPnn_4g7ezUAcz9GWFOlUNvh7Yr_Ixc/edit?usp=drivesdk</t>
  </si>
  <si>
    <t>Document successfully created; Document successfully merged; Emails Sent: [To: Nikki.Dix@floridadep.gov,blythe.odzinski@floridadep.gov,stephanie.windham@floridadep.gov,lia.sansom@floridadep.gov; CC: olivia.roorbach@floridadep.gov; Reply To: olivia.roorbach@floridadep.gov]; Run via form trigger as education@gtmnerr.org; Timestamp: Jul 21 2021 7:11 AM</t>
  </si>
  <si>
    <t>1_t8gru1uuPW1CkoHi4MrxR1KKtoPb6q_NSp-naY5gso</t>
  </si>
  <si>
    <t>https://docs.google.com/document/d/1_t8gru1uuPW1CkoHi4MrxR1KKtoPb6q_NSp-naY5gso/edit?usp=drivesdk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</si>
  <si>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Jul 21 2021 12:17 PM</t>
  </si>
  <si>
    <t>1dBz4Scn8VY86c8Wql_fPiGbg4CHmPEk4l1foY2JKT80</t>
  </si>
  <si>
    <t>https://docs.google.com/document/d/1dBz4Scn8VY86c8Wql_fPiGbg4CHmPEk4l1foY2JKT80/edit?usp=drivesdk</t>
  </si>
  <si>
    <t>Document successfully created; Document successfully merged; Emails Sent: [To: Nikki.Dix@floridadep.gov,blythe.odzinski@floridadep.gov,stephanie.windham@floridadep.gov,lia.sansom@floridadep.gov; CC: olivia.roorbach@floridadep.gov; Reply To: olivia.roorbach@floridadep.gov]; Run via form trigger as education@gtmnerr.org; Timestamp: Jul 21 2021 3:03 PM</t>
  </si>
  <si>
    <t>1McYH7tSGP2luoR6sjuQCc2xH_rUQmHJkYi_wUAjnrbc</t>
  </si>
  <si>
    <t>https://docs.google.com/document/d/1McYH7tSGP2luoR6sjuQCc2xH_rUQmHJkYi_wUAjnrbc/edit?usp=drivesdk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</si>
  <si>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22 2021 10:32 AM</t>
  </si>
  <si>
    <t>1TQc4i12uH_161xXRN94WnjeTOLbwCwcuBfx7NrfkX28</t>
  </si>
  <si>
    <t>https://docs.google.com/document/d/1TQc4i12uH_161xXRN94WnjeTOLbwCwcuBfx7NrfkX28/edit?usp=drivesdk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</si>
  <si>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Jul 28 2021 7:41 AM</t>
  </si>
  <si>
    <t>1Z1JJQsQxov90O7KDYQkzO9IJgFs8Rdut8_rF5OImVCc</t>
  </si>
  <si>
    <t>https://docs.google.com/document/d/1Z1JJQsQxov90O7KDYQkzO9IJgFs8Rdut8_rF5OImVCc/edit?usp=drivesdk</t>
  </si>
  <si>
    <t>Document successfully created; Document successfully merged; Emails Sent: [To: Shannon.Dunnigan@floridadep.gov,blythe.odzinski@floridadep.gov,stephanie.windham@floridadep.gov,lia.sansom@floridadep.gov; CC: gabriela.canas@dep.state.fl.us; Reply To: gabriela.canas@dep.state.fl.us]; Run via form trigger as education@gtmnerr.org; Timestamp: Aug 3 2021 10:12 AM</t>
  </si>
  <si>
    <t>1NcjAe9J8MUl4hmY5gz32nPkoxrf1ZRydBqUWoudG8C4</t>
  </si>
  <si>
    <t>https://docs.google.com/document/d/1NcjAe9J8MUl4hmY5gz32nPkoxrf1ZRydBqUWoudG8C4/edit?usp=drivesdk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</si>
  <si>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Aug 10 2021 9:22 AM</t>
  </si>
  <si>
    <t>1DBlv64wyERSQ3DgN89FZCMQAkqKdXAak9Ukf97Oz2-M</t>
  </si>
  <si>
    <t>https://docs.google.com/document/d/1DBlv64wyERSQ3DgN89FZCMQAkqKdXAak9Ukf97Oz2-M/edit?usp=drivesdk</t>
  </si>
  <si>
    <t>Document successfully created; Document successfully merged; Emails Sent: [To: Silas.Tanner@floridadep.gov,blythe.odzinski@floridadep.gov,stephanie.windham@floridadep.gov,lia.sansom@floridadep.gov; CC: silas.tanner@dep.state.fl.us; Reply To: silas.tanner@dep.state.fl.us]; Run via form trigger as education@gtmnerr.org; Timestamp: Aug 11 2021 8:25 AM</t>
  </si>
  <si>
    <t>1EPlJPHUcZdFYl2FAAXzx5mCYJyVFid6O0-u_9hsdwGY</t>
  </si>
  <si>
    <t>https://docs.google.com/document/d/1EPlJPHUcZdFYl2FAAXzx5mCYJyVFid6O0-u_9hsdwGY/edit?usp=drivesdk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</si>
  <si>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17 2021 6:39 AM</t>
  </si>
  <si>
    <t>1Er-7G1hF-ryAb4u0yaNJXpwrtmmFUiji8neCakCNuN4</t>
  </si>
  <si>
    <t>https://docs.google.com/document/d/1Er-7G1hF-ryAb4u0yaNJXpwrtmmFUiji8neCakCNuN4/edit?usp=drivesdk</t>
  </si>
  <si>
    <t>Document successfully created; Document successfully merged; Emails Sent: [To: Pamela.Marcum@floridadep.gov,blythe.odzinski@floridadep.gov,stephanie.windham@floridadep.gov,lia.sansom@floridadep.gov; CC: olivia.roorbach@floridadep.gov; Reply To: olivia.roorbach@floridadep.gov]; Run via form trigger as education@gtmnerr.org; Timestamp: Aug 18 2021 6:18 AM</t>
  </si>
  <si>
    <t>1zzyALf_i9LQ3GrwWeJ38Atu3isOdvJBSEYTzU8TCpgc</t>
  </si>
  <si>
    <t>https://docs.google.com/document/d/1zzyALf_i9LQ3GrwWeJ38Atu3isOdvJBSEYTzU8TCpgc/edit?usp=drivesdk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</si>
  <si>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18 2021 7:17 AM</t>
  </si>
  <si>
    <t>1f9yAsZP_FphQOEaj_lW8tiYXaPado21emEUnLiPvMsw</t>
  </si>
  <si>
    <t>https://docs.google.com/document/d/1f9yAsZP_FphQOEaj_lW8tiYXaPado21emEUnLiPvMsw/edit?usp=drivesdk</t>
  </si>
  <si>
    <t>Document successfully created; Document successfully merged; Emails Sent: [To: Shannon.Dunnigan@floridadep.gov,blythe.odzinski@floridadep.gov,stephanie.windham@floridadep.gov,lia.sansom@floridadep.gov; CC: olivia.roorbach@floridadep.gov; Reply To: olivia.roorbach@floridadep.gov]; Run via form trigger as education@gtmnerr.org; Timestamp: Aug 19 2021 6:31 AM</t>
  </si>
  <si>
    <t>1TOtIhy5bi63YpQKzPOqGlXNXn4B_-5wK-uBhz5TiVS0</t>
  </si>
  <si>
    <t>https://docs.google.com/document/d/1TOtIhy5bi63YpQKzPOqGlXNXn4B_-5wK-uBhz5TiVS0/edit?usp=drivesdk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</si>
  <si>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Aug 24 2021 7:51 AM</t>
  </si>
  <si>
    <t>1U2zr6yNIxrnxjOGZZeBvisj7kkOCD3qMatYYN0LeKEE</t>
  </si>
  <si>
    <t>https://docs.google.com/document/d/1U2zr6yNIxrnxjOGZZeBvisj7kkOCD3qMatYYN0LeKEE/edit?usp=drivesdk</t>
  </si>
  <si>
    <t>Document successfully created; Document successfully merged; Emails Sent: [To: Pamela.Marcum@floridadep.gov,blythe.odzinski@floridadep.gov,stephanie.windham@floridadep.gov,lia.sansom@floridadep.gov; CC: shannon.dunnigan@floridadep.gov; Reply To: shannon.dunnigan@floridadep.gov]; Run via form trigger as education@gtmnerr.org; Timestamp: Aug 25 2021 7:15 AM</t>
  </si>
  <si>
    <t>1AK89D3zATwCbB9j94cgqzUMBGJ-NNLW-U1t8PCqZwmI</t>
  </si>
  <si>
    <t>https://docs.google.com/document/d/1AK89D3zATwCbB9j94cgqzUMBGJ-NNLW-U1t8PCqZwmI/edit?usp=drivesdk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</si>
  <si>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26 2021 8:08 AM</t>
  </si>
  <si>
    <t>1Dx45YFxdcrVQmOj-PypztBtJxF-9MY31ZN-X_QDW7IA</t>
  </si>
  <si>
    <t>https://docs.google.com/document/d/1Dx45YFxdcrVQmOj-PypztBtJxF-9MY31ZN-X_QDW7IA/edit?usp=drivesdk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</si>
  <si>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Aug 27 2021 1:12 PM</t>
  </si>
  <si>
    <t>1t_uYYgm0MStimQ49VYj0hyFu-JZaIofMV-1KXOhk0iM</t>
  </si>
  <si>
    <t>https://docs.google.com/document/d/1t_uYYgm0MStimQ49VYj0hyFu-JZaIofMV-1KXOhk0iM/edit?usp=drivesdk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</si>
  <si>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31 2021 6:56 AM</t>
  </si>
  <si>
    <t>1l7T7l5lGsAvwCSY7eyuLwzzIqNycdfh-23dShuDmFmU</t>
  </si>
  <si>
    <t>https://docs.google.com/document/d/1l7T7l5lGsAvwCSY7eyuLwzzIqNycdfh-23dShuDmFmU/edit?usp=drivesdk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</si>
  <si>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31 2021 11:58 AM</t>
  </si>
  <si>
    <t>1movB5RqqSuVpo8tiywxjBHz7_LQkMkDF9P4Gl2iWNjg</t>
  </si>
  <si>
    <t>https://docs.google.com/document/d/1movB5RqqSuVpo8tiywxjBHz7_LQkMkDF9P4Gl2iWNjg/edit?usp=drivesdk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</si>
  <si>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Sep 2 2021 6:52 AM</t>
  </si>
  <si>
    <t>1D7VnvlRYsXh23tW1OzsJiBw_0qMMA1QxRATmM1zC_dM</t>
  </si>
  <si>
    <t>https://docs.google.com/document/d/1D7VnvlRYsXh23tW1OzsJiBw_0qMMA1QxRATmM1zC_dM/edit?usp=drivesdk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</si>
  <si>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Sep 3 2021 7:06 AM</t>
  </si>
  <si>
    <t>14qxRtX90qROZgdn9mffzFzSUVHCE0oQ1SjDA8Zla6RY</t>
  </si>
  <si>
    <t>https://docs.google.com/document/d/14qxRtX90qROZgdn9mffzFzSUVHCE0oQ1SjDA8Zla6RY/edit?usp=drivesdk</t>
  </si>
  <si>
    <t>Document successfully created; Document successfully merged; Emails Sent: [To: Pamela.Marcum@floridadep.gov,blythe.odzinski@floridadep.gov,stephanie.windham@floridadep.gov,lia.sansom@floridadep.gov; CC: olivia.roorbach@floridadep.gov; Reply To: olivia.roorbach@floridadep.gov]; Run via form trigger as education@gtmnerr.org; Timestamp: Sep 7 2021 8:43 AM</t>
  </si>
  <si>
    <t>11jZGCFUa7B0fwht-WXRzwZSrPQLIk-Loku7QXsct5o8</t>
  </si>
  <si>
    <t>https://docs.google.com/document/d/11jZGCFUa7B0fwht-WXRzwZSrPQLIk-Loku7QXsct5o8/edit?usp=drivesdk</t>
  </si>
  <si>
    <t>Document successfully created; Document successfully merged; Emails Sent: [To: Silas.Tanner@floridadep.gov,blythe.odzinski@floridadep.gov,stephanie.windham@floridadep.gov,lia.sansom@floridadep.gov; CC: alee.knoell@floridadep.gov; Reply To: alee.knoell@floridadep.gov]; Run via form trigger as education@gtmnerr.org; Timestamp: Sep 8 2021 9:37 AM</t>
  </si>
  <si>
    <t>1l0nbiasO6RtBymwaJfWfmEF-T5_jWk8DfIu6TXOUaQU</t>
  </si>
  <si>
    <t>https://docs.google.com/document/d/1l0nbiasO6RtBymwaJfWfmEF-T5_jWk8DfIu6TXOUaQU/edit?usp=drivesdk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</si>
  <si>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9 2021 8:08 AM</t>
  </si>
  <si>
    <t>1-1t7SpdzNiPZUQBzAhGClTMAiUXsxUF_tizJvsjRHCI</t>
  </si>
  <si>
    <t>https://docs.google.com/document/d/1-1t7SpdzNiPZUQBzAhGClTMAiUXsxUF_tizJvsjRHCI/edit?usp=drivesdk</t>
  </si>
  <si>
    <t>Document successfully created; Document successfully merged; Emails Sent: [To: Alee.Knoell@floridadep.gov,blythe.odzinski@floridadep.gov,stephanie.windham@floridadep.gov,lia.sansom@floridadep.gov; CC: pamelamarcum@floridadep.gov; Reply To: pamelamarcum@floridadep.gov]; Run via form trigger as education@gtmnerr.org; Timestamp: Sep 14 2021 7:45 AM</t>
  </si>
  <si>
    <t>1gdEKyRvN6Tl_2v3ZPv8SFW3aZ4u5rDmZgvhC1Aqziww</t>
  </si>
  <si>
    <t>https://docs.google.com/document/d/1gdEKyRvN6Tl_2v3ZPv8SFW3aZ4u5rDmZgvhC1Aqziww/edit?usp=drivesdk</t>
  </si>
  <si>
    <t>Document successfully created; Document successfully merged; Emails Sent: [To: Alee.Knoell@floridadep.gov,blythe.odzinski@floridadep.gov,stephanie.windham@floridadep.gov,lia.sansom@floridadep.gov; CC: Silas.Tanner@floridadep.gov; Reply To: Silas.Tanner@floridadep.gov]; Run via form trigger as education@gtmnerr.org; Timestamp: Sep 14 2021 7:50 AM</t>
  </si>
  <si>
    <t>10PPtUeZxUW0GRSdf3nxgyb44bbz5wQ1STydMXPbs1OY</t>
  </si>
  <si>
    <t>https://docs.google.com/document/d/10PPtUeZxUW0GRSdf3nxgyb44bbz5wQ1STydMXPbs1OY/edit?usp=drivesdk</t>
  </si>
  <si>
    <t>Document successfully created; Document successfully merged; Emails Sent: [To: Alee.Knoell@floridadep.gov,blythe.odzinski@floridadep.gov,stephanie.windham@floridadep.gov,lia.sansom@floridadep.gov; CC: gabriela.canas@floridadep.gov; Reply To: gabriela.canas@floridadep.gov]; Run via form trigger as education@gtmnerr.org; Timestamp: Sep 14 2021 7:52 AM</t>
  </si>
  <si>
    <t>1J4V74AZQcb2QAYfv8oy5XVHiublVfC7hM_e6W3tsDpw</t>
  </si>
  <si>
    <t>https://docs.google.com/document/d/1J4V74AZQcb2QAYfv8oy5XVHiublVfC7hM_e6W3tsDpw/edit?usp=drivesdk</t>
  </si>
  <si>
    <t>Document successfully created; Document successfully merged; Emails Sent: [To: Pamela.Marcum@floridadep.gov,blythe.odzinski@floridadep.gov,stephanie.windham@floridadep.gov,lia.sansom@floridadep.gov; CC: gabriela.canas@dep.state.fl.us; Reply To: gabriela.canas@dep.state.fl.us]; Run via form trigger as education@gtmnerr.org; Timestamp: Sep 15 2021 8:41 AM</t>
  </si>
  <si>
    <t>1RdxOH3uOOikiVkhGYrXwvWJzcQdPTHLWCs9yuvGlHh0</t>
  </si>
  <si>
    <t>https://docs.google.com/document/d/1RdxOH3uOOikiVkhGYrXwvWJzcQdPTHLWCs9yuvGlHh0/edit?usp=drivesdk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</si>
  <si>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21 2021 7:05 AM</t>
  </si>
  <si>
    <t>1cxXfX67oIW42T1Oez5_-5cd6IRwPnZp0-2loUFTCpgg</t>
  </si>
  <si>
    <t>https://docs.google.com/document/d/1cxXfX67oIW42T1Oez5_-5cd6IRwPnZp0-2loUFTCpgg/edit?usp=drivesdk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</si>
  <si>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22 2021 8:11 AM</t>
  </si>
  <si>
    <t>1EpEAQJX7aUWw_GC6eUEI6Gn-8VYdcstXkzRCuUki4PQ</t>
  </si>
  <si>
    <t>https://docs.google.com/document/d/1EpEAQJX7aUWw_GC6eUEI6Gn-8VYdcstXkzRCuUki4PQ/edit?usp=drivesdk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</si>
  <si>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23 2021 6:39 AM</t>
  </si>
  <si>
    <t>1ydW9SMnCi_R1xMLxd-y-GdM_19LWlp7xByBFlAnlbQ0</t>
  </si>
  <si>
    <t>https://docs.google.com/document/d/1ydW9SMnCi_R1xMLxd-y-GdM_19LWlp7xByBFlAnlbQ0/edit?usp=drivesdk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</si>
  <si>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27 2021 9:46 AM</t>
  </si>
  <si>
    <t>1gUTuPNJLWfGG8KRiVIhPQzwBNVHIKmvW_-DqcZOixuE</t>
  </si>
  <si>
    <t>https://docs.google.com/document/d/1gUTuPNJLWfGG8KRiVIhPQzwBNVHIKmvW_-DqcZOixuE/edit?usp=drivesdk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</si>
  <si>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28 2021 8:04 AM</t>
  </si>
  <si>
    <t>16o0dOrCJEe-9rqQRv-7czoBZKmnOlR4uuN9lJRNpNgE</t>
  </si>
  <si>
    <t>https://docs.google.com/document/d/16o0dOrCJEe-9rqQRv-7czoBZKmnOlR4uuN9lJRNpNgE/edit?usp=drivesdk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</si>
  <si>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Sep 28 2021 2:15 PM</t>
  </si>
  <si>
    <t>James.Tomazinis@floridadep.gov</t>
  </si>
  <si>
    <t>1v7tvESxScdxPO1ijmE9JH_PlC0Hcp8joj993Qebffeg</t>
  </si>
  <si>
    <t>https://docs.google.com/document/d/1v7tvESxScdxPO1ijmE9JH_PlC0Hcp8joj993Qebffeg/edit?usp=drivesdk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</si>
  <si>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Sep 28 2021 6:15 PM</t>
  </si>
  <si>
    <t>1FRXWyhqQ6GibQgUhbyBahS34zPQh_PlErOJnvzI4ocY</t>
  </si>
  <si>
    <t>https://docs.google.com/document/d/1FRXWyhqQ6GibQgUhbyBahS34zPQh_PlErOJnvzI4ocY/edit?usp=drivesdk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</si>
  <si>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29 2021 8:33 AM</t>
  </si>
  <si>
    <t>1pw_beF-a4MJe7PvSa10QblkQ70ZBX6cKHzNAd2-heWE</t>
  </si>
  <si>
    <t>https://docs.google.com/document/d/1pw_beF-a4MJe7PvSa10QblkQ70ZBX6cKHzNAd2-heWE/edit?usp=drivesdk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</si>
  <si>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30 2021 1:52 PM</t>
  </si>
  <si>
    <t>1lpWTQnSuPPWuRXnATKHSFXGX63ZZh1vbq9Axkizmt1Q</t>
  </si>
  <si>
    <t>https://docs.google.com/document/d/1lpWTQnSuPPWuRXnATKHSFXGX63ZZh1vbq9Axkizmt1Q/edit?usp=drivesdk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</si>
  <si>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 2021 12:18 PM</t>
  </si>
  <si>
    <t>1kisMOv45OuPjmd4K5TgIFCU7cPFO11upQeJYgygewpo</t>
  </si>
  <si>
    <t>https://docs.google.com/document/d/1kisMOv45OuPjmd4K5TgIFCU7cPFO11upQeJYgygewpo/edit?usp=drivesdk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</si>
  <si>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5 2021 7:32 AM</t>
  </si>
  <si>
    <t>1XAjQ9zS2hbiYnZTHVAh8NaxtV1PkuihA2fKF5mbgqzE</t>
  </si>
  <si>
    <t>https://docs.google.com/document/d/1XAjQ9zS2hbiYnZTHVAh8NaxtV1PkuihA2fKF5mbgqzE/edit?usp=drivesdk</t>
  </si>
  <si>
    <t>Document successfully created; Document successfully merged; Emails Sent: [To: Alee.Knoell@floridadep.gov,blythe.odzinski@floridadep.gov,stephanie.windham@floridadep.gov,lia.sansom@floridadep.gov; CC: olivia.roorbach@floridadep.gov; Reply To: olivia.roorbach@floridadep.gov]; Run via form trigger as education@gtmnerr.org; Timestamp: Oct 6 2021 11:57 AM</t>
  </si>
  <si>
    <t>11sMVGTJ0lCXe9iqhHcanu3Fr18pLhFNOHeSXZ4Y0Omo</t>
  </si>
  <si>
    <t>https://docs.google.com/document/d/11sMVGTJ0lCXe9iqhHcanu3Fr18pLhFNOHeSXZ4Y0Omo/edit?usp=drivesdk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</si>
  <si>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11 2021 8:13 AM</t>
  </si>
  <si>
    <t>1IJD2y-kTec3LtSsITmyNrM5e_T_m8q7Ax0dpJ07HP5w</t>
  </si>
  <si>
    <t>https://docs.google.com/document/d/1IJD2y-kTec3LtSsITmyNrM5e_T_m8q7Ax0dpJ07HP5w/edit?usp=drivesdk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</si>
  <si>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Oct 11 2021 1:20 PM</t>
  </si>
  <si>
    <t>1z4EiuCs43BCiuE64m3hFuDnHkgNpwR-Cp6nK4d8afXE</t>
  </si>
  <si>
    <t>https://docs.google.com/document/d/1z4EiuCs43BCiuE64m3hFuDnHkgNpwR-Cp6nK4d8afXE/edit?usp=drivesdk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</si>
  <si>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11 2021 1:30 PM</t>
  </si>
  <si>
    <t>1A4XvO64Wlw1x33x__pgLDWkyOUI371RwX25NSVUHZj0</t>
  </si>
  <si>
    <t>https://docs.google.com/document/d/1A4XvO64Wlw1x33x__pgLDWkyOUI371RwX25NSVUHZj0/edit?usp=drivesdk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</si>
  <si>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12 2021 7:09 AM</t>
  </si>
  <si>
    <t>1xFU4IYJNUxJSUnHO8VJ0rauA7riYvIbmuZieSZDGONc</t>
  </si>
  <si>
    <t>https://docs.google.com/document/d/1xFU4IYJNUxJSUnHO8VJ0rauA7riYvIbmuZieSZDGONc/edit?usp=drivesdk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</si>
  <si>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Oct 12 2021 7:36 AM</t>
  </si>
  <si>
    <t>1ydNdvaeB5pe3MmLPkoY0vCG0dE4YMX8a-5Sbq6oCxo0</t>
  </si>
  <si>
    <t>https://docs.google.com/document/d/1ydNdvaeB5pe3MmLPkoY0vCG0dE4YMX8a-5Sbq6oCxo0/edit?usp=drivesdk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</si>
  <si>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13 2021 7:50 AM</t>
  </si>
  <si>
    <t>1e431v6W5vtWcmmkPmlyyJtxVUSw38Av4Fx14UNexzws</t>
  </si>
  <si>
    <t>https://docs.google.com/document/d/1e431v6W5vtWcmmkPmlyyJtxVUSw38Av4Fx14UNexzws/edit?usp=drivesdk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</si>
  <si>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13 2021 10:27 AM</t>
  </si>
  <si>
    <t>1J3x9yOdxKjjDhtpswPIfm_2wPpmaExwNVcARXCpkolw</t>
  </si>
  <si>
    <t>https://docs.google.com/document/d/1J3x9yOdxKjjDhtpswPIfm_2wPpmaExwNVcARXCpkolw/edit?usp=drivesdk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</si>
  <si>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14 2021 8:49 AM</t>
  </si>
  <si>
    <t>1klQ4-yiCTrPET2Mxe7PxAw-It7EUqiZ171bravvkVPo</t>
  </si>
  <si>
    <t>https://docs.google.com/document/d/1klQ4-yiCTrPET2Mxe7PxAw-It7EUqiZ171bravvkVPo/edit?usp=drivesdk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</si>
  <si>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14 2021 9:45 AM</t>
  </si>
  <si>
    <t>1xDgpPkfGU47__ZsWkI2GvMhFAhz0nOcemPpXy6Rxz_o</t>
  </si>
  <si>
    <t>https://docs.google.com/document/d/1xDgpPkfGU47__ZsWkI2GvMhFAhz0nOcemPpXy6Rxz_o/edit?usp=drivesdk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</si>
  <si>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Oct 15 2021 11:28 AM</t>
  </si>
  <si>
    <t>1rXCZuukgJFQXZ2kinRvhQOKwbvk7-6nL7BnCpH2Z4Ds</t>
  </si>
  <si>
    <t>https://docs.google.com/document/d/1rXCZuukgJFQXZ2kinRvhQOKwbvk7-6nL7BnCpH2Z4Ds/edit?usp=drivesdk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</si>
  <si>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Oct 20 2021 7:45 AM</t>
  </si>
  <si>
    <t>1WoSGJkq6XbxD-4dWVlBIEIuDkwmcTqx6kPr9AAeKmWA</t>
  </si>
  <si>
    <t>https://docs.google.com/document/d/1WoSGJkq6XbxD-4dWVlBIEIuDkwmcTqx6kPr9AAeKmWA/edit?usp=drivesdk</t>
  </si>
  <si>
    <t>Document successfully created; Document successfully merged; Emails Sent: [To: Alee.Knoell@floridadep.gov,blythe.odzinski@floridadep.gov,stephanie.windham@floridadep.gov,lia.sansom@floridadep.gov; CC: Pamela.Marcum@FloridaDEP.gov; Reply To: Pamela.Marcum@FloridaDEP.gov]; Run via form trigger as education@gtmnerr.org; Timestamp: Oct 22 2021 9:07 AM</t>
  </si>
  <si>
    <t>1KgMj4h-dFOD4IzgckktpqLn3R_zntVp13AsAwThdf_I</t>
  </si>
  <si>
    <t>https://docs.google.com/document/d/1KgMj4h-dFOD4IzgckktpqLn3R_zntVp13AsAwThdf_I/edit?usp=drivesdk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</si>
  <si>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Oct 26 2021 7:29 AM</t>
  </si>
  <si>
    <t>1wCyjJDj8n7R22L-fvY6TnFYA_TSJ59z5pzoWDVuIXS8</t>
  </si>
  <si>
    <t>https://docs.google.com/document/d/1wCyjJDj8n7R22L-fvY6TnFYA_TSJ59z5pzoWDVuIXS8/edit?usp=drivesdk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</si>
  <si>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26 2021 2:07 PM</t>
  </si>
  <si>
    <t>1XojH0yp8rDjqrI4tUMbjuC4OcVbYJB1xyxwEb2smsC0</t>
  </si>
  <si>
    <t>https://docs.google.com/document/d/1XojH0yp8rDjqrI4tUMbjuC4OcVbYJB1xyxwEb2smsC0/edit?usp=drivesdk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</si>
  <si>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26 2021 3:41 PM</t>
  </si>
  <si>
    <t>1FtnlCJR-dcqXp33guQOumnYb_LXsWDtfI0AVPL8kZUA</t>
  </si>
  <si>
    <t>https://docs.google.com/document/d/1FtnlCJR-dcqXp33guQOumnYb_LXsWDtfI0AVPL8kZUA/edit?usp=drivesdk</t>
  </si>
  <si>
    <t>Document successfully created; Document successfully merged; Emails Sent: [To: Nikki.Dix@floridadep.gov,blythe.odzinski@floridadep.gov,stephanie.windham@floridadep.gov,lia.sansom@floridadep.gov; CC: alee.knoell@hotmail.com; Reply To: alee.knoell@hotmail.com]; Run via form trigger as education@gtmnerr.org; Timestamp: Oct 27 2021 7:39 AM</t>
  </si>
  <si>
    <t>1B317P-lEcLwD8YoUdp-3z1HHQiAYXpCOdF9hws6OGho</t>
  </si>
  <si>
    <t>https://docs.google.com/document/d/1B317P-lEcLwD8YoUdp-3z1HHQiAYXpCOdF9hws6OGho/edit?usp=drivesdk</t>
  </si>
  <si>
    <t>Document successfully created; Document successfully merged; Emails Sent: [To: Nikki.Dix@floridadep.gov,blythe.odzinski@floridadep.gov,stephanie.windham@floridadep.gov,lia.sansom@floridadep.gov; CC: aknoell@hotmail.com; Reply To: aknoell@hotmail.com]; Run via form trigger as education@gtmnerr.org; Timestamp: Oct 27 2021 2:02 PM</t>
  </si>
  <si>
    <t>1-dkt15lQHXnmdv6fZafU5fxajvk9r53KLbIK0rbybSc</t>
  </si>
  <si>
    <t>https://docs.google.com/document/d/1-dkt15lQHXnmdv6fZafU5fxajvk9r53KLbIK0rbybSc/edit?usp=drivesdk</t>
  </si>
  <si>
    <t>Document successfully created; Document successfully merged; Emails Sent: [To: Nikki.Dix@floridadep.gov,blythe.odzinski@floridadep.gov,stephanie.windham@floridadep.gov,lia.sansom@floridadep.gov; CC: alee.knoell@hotmail.com; Reply To: alee.knoell@hotmail.com]; Run via form trigger as education@gtmnerr.org; Timestamp: Oct 27 2021 3:37 PM</t>
  </si>
  <si>
    <t>1ByaOMjRmqhloRPOZrT1gOQI6fzyvqfFj4K5nQb57Zow</t>
  </si>
  <si>
    <t>https://docs.google.com/document/d/1ByaOMjRmqhloRPOZrT1gOQI6fzyvqfFj4K5nQb57Zow/edit?usp=drivesdk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</si>
  <si>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Nov 1 2021 1:27 PM</t>
  </si>
  <si>
    <t>1eeywEG1kHHzHtpUpxAsNnZDIk10QFUg1DcRAdJ--DxQ</t>
  </si>
  <si>
    <t>https://docs.google.com/document/d/1eeywEG1kHHzHtpUpxAsNnZDIk10QFUg1DcRAdJ--DxQ/edit?usp=drivesdk</t>
  </si>
  <si>
    <t>Document successfully created; Document successfully merged; Emails Sent: [To: Alee.Knoell@floridadep.gov,blythe.odzinski@floridadep.gov,stephanie.windham@floridadep.gov,lia.sansom@floridadep.gov; CC: silas.tanner@floridadep.gov; Reply To: silas.tanner@floridadep.gov]; Run via form trigger as education@gtmnerr.org; Timestamp: Nov 2 2021 6:43 AM</t>
  </si>
  <si>
    <t>1h1VxgevN7KnnCx3EjxMmYbF6u5Ia7VAYF6G4AmQIalk</t>
  </si>
  <si>
    <t>https://docs.google.com/document/d/1h1VxgevN7KnnCx3EjxMmYbF6u5Ia7VAYF6G4AmQIalk/edit?usp=drivesdk</t>
  </si>
  <si>
    <t>Document successfully created; Document successfully merged; Emails Sent: [To: Alee.Knoell@floridadep.gov,blythe.odzinski@floridadep.gov,stephanie.windham@floridadep.gov,lia.sansom@floridadep.gov; CC: olivia.roorbach@floridafep.gov; Reply To: olivia.roorbach@floridafep.gov]; Run via form trigger as education@gtmnerr.org; Timestamp: Nov 3 2021 8:24 AM</t>
  </si>
  <si>
    <t>15U5053tSvrFOwVhP2PxcWmWmqskeYR3gqL2Tf5W3JFE</t>
  </si>
  <si>
    <t>https://docs.google.com/document/d/15U5053tSvrFOwVhP2PxcWmWmqskeYR3gqL2Tf5W3JFE/edit?usp=drivesdk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</si>
  <si>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Nov 16 2021 8:09 AM</t>
  </si>
  <si>
    <t>18AkP3_-C5aOjdaEN7QSMn5MYONN1V-m-9VkruOFZDXw</t>
  </si>
  <si>
    <t>https://docs.google.com/document/d/18AkP3_-C5aOjdaEN7QSMn5MYONN1V-m-9VkruOFZDXw/edit?usp=drivesdk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</si>
  <si>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Nov 16 2021 12:47 PM</t>
  </si>
  <si>
    <t>1QqWTXJPxFmGW2jctmf8BBIEdKkbo52Km5vhh4UEf7kg</t>
  </si>
  <si>
    <t>https://docs.google.com/document/d/1QqWTXJPxFmGW2jctmf8BBIEdKkbo52Km5vhh4UEf7kg/edit?usp=drivesdk</t>
  </si>
  <si>
    <t>Document successfully created; Document successfully merged; Emails Sent: [To: Alee.Knoell@floridadep.gov,blythe.odzinski@floridadep.gov,stephanie.windham@floridadep.gov,lia.sansom@floridadep.gov; CC: Pamela.Marcum@FloridaDEP.gov; Reply To: Pamela.Marcum@FloridaDEP.gov]; Run via form trigger as education@gtmnerr.org; Timestamp: Nov 17 2021 10:11 AM</t>
  </si>
  <si>
    <t>1Q76UcqM9qfnwA9mSlJwbdBACQ1POgKEurABOj0ZIcko</t>
  </si>
  <si>
    <t>https://docs.google.com/document/d/1Q76UcqM9qfnwA9mSlJwbdBACQ1POgKEurABOj0ZIcko/edit?usp=drivesdk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</si>
  <si>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Nov 18 2021 9:20 AM</t>
  </si>
  <si>
    <t>1KXjyQBx819Ivx7D5dxZ-eyCgkuFt3cvyNWchlnX56Uc</t>
  </si>
  <si>
    <t>https://docs.google.com/document/d/1KXjyQBx819Ivx7D5dxZ-eyCgkuFt3cvyNWchlnX56Uc/edit?usp=drivesdk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</si>
  <si>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Nov 19 2021 7:38 AM</t>
  </si>
  <si>
    <t>1DGsE9sKpGcIqF3RGe_eiQKQoVAUEMVVpb3MBbMO1UoE</t>
  </si>
  <si>
    <t>https://docs.google.com/document/d/1DGsE9sKpGcIqF3RGe_eiQKQoVAUEMVVpb3MBbMO1UoE/edit?usp=drivesdk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</si>
  <si>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Nov 28 2021 7:43 PM</t>
  </si>
  <si>
    <t>1-0fXFz3yQVaz_nMxJU8N2R1p7TaQlIYMYw_2lbpqCck</t>
  </si>
  <si>
    <t>https://docs.google.com/document/d/1-0fXFz3yQVaz_nMxJU8N2R1p7TaQlIYMYw_2lbpqCck/edit?usp=drivesdk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</si>
  <si>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Nov 30 2021 6:53 AM</t>
  </si>
  <si>
    <t>19njMuPbjpORt-EyFiHfokSb7FSvbGPC0yK34g-brneo</t>
  </si>
  <si>
    <t>https://docs.google.com/document/d/19njMuPbjpORt-EyFiHfokSb7FSvbGPC0yK34g-brneo/edit?usp=drivesdk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</si>
  <si>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Nov 30 2021 10:38 AM</t>
  </si>
  <si>
    <t>1Lfve4oxG7yLMT_NZAy7I8GxrDEkGjDrA9k0CV6s2Z4M</t>
  </si>
  <si>
    <t>https://docs.google.com/document/d/1Lfve4oxG7yLMT_NZAy7I8GxrDEkGjDrA9k0CV6s2Z4M/edit?usp=drivesdk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</si>
  <si>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Nov 30 2021 11:17 AM</t>
  </si>
  <si>
    <t>1ecwbnsWAX6CekcH9clEM0J6-od8irCEc2qGuRpZgD1s</t>
  </si>
  <si>
    <t>https://docs.google.com/document/d/1ecwbnsWAX6CekcH9clEM0J6-od8irCEc2qGuRpZgD1s/edit?usp=drivesdk</t>
  </si>
  <si>
    <t>Document successfully created; Document successfully merged; Emails Sent: [To: Silas.Tanner@floridadep.gov,blythe.odzinski@floridadep.gov,stephanie.windham@floridadep.gov,lia.sansom@floridadep.gov; CC: olivia.roorbach@floridadep.gov; Reply To: olivia.roorbach@floridadep.gov]; Run via form trigger as education@gtmnerr.org; Timestamp: Dec 1 2021 6:35 AM</t>
  </si>
  <si>
    <t>17rInVDPurLR36IqMnzTPCaOhpbOVndiaydEZ_Zz9Sis</t>
  </si>
  <si>
    <t>https://docs.google.com/document/d/17rInVDPurLR36IqMnzTPCaOhpbOVndiaydEZ_Zz9Sis/edit?usp=drivesdk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</si>
  <si>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Dec 1 2021 11:14 AM</t>
  </si>
  <si>
    <t>1ju6CTp_lZlCJGFMqP6KLu8UCXs8Isp8MVhn2OXYu3TE</t>
  </si>
  <si>
    <t>https://docs.google.com/document/d/1ju6CTp_lZlCJGFMqP6KLu8UCXs8Isp8MVhn2OXYu3TE/edit?usp=drivesdk</t>
  </si>
  <si>
    <t>Document successfully created; Document successfully merged; Emails Sent: [To: Silas.Tanner@floridadep.gov,blythe.odzinski@floridadep.gov,stephanie.windham@floridadep.gov,lia.sansom@floridadep.gov; CC: shannon.dunnigan@floridadep.gov; Reply To: shannon.dunnigan@floridadep.gov]; Run via form trigger as education@gtmnerr.org; Timestamp: Dec 6 2021 10:26 AM</t>
  </si>
  <si>
    <t>1R10Ypm0lKtac3h6RRQBrkJKg9_8oIiGwd1jci39jpzg</t>
  </si>
  <si>
    <t>https://docs.google.com/document/d/1R10Ypm0lKtac3h6RRQBrkJKg9_8oIiGwd1jci39jpzg/edit?usp=drivesdk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</si>
  <si>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Dec 13 2021 7:08 AM</t>
  </si>
  <si>
    <t>1jvaOKaqYNceehu7t97c136tuUngRgnXw4vVwziN6GbM</t>
  </si>
  <si>
    <t>https://docs.google.com/document/d/1jvaOKaqYNceehu7t97c136tuUngRgnXw4vVwziN6GbM/edit?usp=drivesdk</t>
  </si>
  <si>
    <t>Document successfully created; Document successfully merged; Emails Sent: [To: Pamela.Marcum@floridadep.gov,blythe.odzinski@floridadep.gov,stephanie.windham@floridadep.gov,lia.sansom@floridadep.gov; CC: nikki.dix@dep.state.fl.us; Reply To: nikki.dix@dep.state.fl.us]; Run via form trigger as education@gtmnerr.org; Timestamp: Dec 18 2021 12:51 PM</t>
  </si>
  <si>
    <t>1U_kMgXkzMiiQXXHBkP-xlIrNOMuO9MY4WMU7ootv5Ns</t>
  </si>
  <si>
    <t>https://docs.google.com/document/d/1U_kMgXkzMiiQXXHBkP-xlIrNOMuO9MY4WMU7ootv5Ns/edit?usp=drivesdk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</si>
  <si>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Dec 20 2021 11:43 AM</t>
  </si>
  <si>
    <t>1d_9k9uejrL2ejvPzAf3KlrFQjPlfjaoBPeof4xiZY9I</t>
  </si>
  <si>
    <t>https://docs.google.com/document/d/1d_9k9uejrL2ejvPzAf3KlrFQjPlfjaoBPeof4xiZY9I/edit?usp=drivesdk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</si>
  <si>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Dec 20 2021 1:18 PM</t>
  </si>
  <si>
    <t>1oG6Qu8QUno-GmbhOJ0qMrX5WOjz7n7AtrDct3Zpb1aM</t>
  </si>
  <si>
    <t>https://docs.google.com/document/d/1oG6Qu8QUno-GmbhOJ0qMrX5WOjz7n7AtrDct3Zpb1aM/edit?usp=drivesdk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</si>
  <si>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Dec 20 2021 2:54 PM</t>
  </si>
  <si>
    <t>1Rc6inT0zKvSdYk187TDESvphu43jlPeqOobFGAt4mWw</t>
  </si>
  <si>
    <t>https://docs.google.com/document/d/1Rc6inT0zKvSdYk187TDESvphu43jlPeqOobFGAt4mWw/edit?usp=drivesdk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</si>
  <si>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Jan 4 2022 9:28 AM</t>
  </si>
  <si>
    <t>1ZXtdL5L3fA7UvoQDrnlmAvjjQ7Nnm75Xtd4g1eIQDPY</t>
  </si>
  <si>
    <t>https://docs.google.com/document/d/1ZXtdL5L3fA7UvoQDrnlmAvjjQ7Nnm75Xtd4g1eIQDPY/edit?usp=drivesdk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</si>
  <si>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11 2022 8:30 AM</t>
  </si>
  <si>
    <t>1dJpj_HJ8SuRllEXtyKSnnuWUA_ENZVekP203Chkh248</t>
  </si>
  <si>
    <t>https://docs.google.com/document/d/1dJpj_HJ8SuRllEXtyKSnnuWUA_ENZVekP203Chkh248/edit?usp=drivesdk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</si>
  <si>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Jan 11 2022 11:01 AM</t>
  </si>
  <si>
    <t>1ONE8vCGbwNTEDasZ52WnlVLgbpHsZlmV5ISH2qcVA0s</t>
  </si>
  <si>
    <t>https://docs.google.com/document/d/1ONE8vCGbwNTEDasZ52WnlVLgbpHsZlmV5ISH2qcVA0s/edit?usp=drivesdk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</si>
  <si>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11 2022 3:04 PM</t>
  </si>
  <si>
    <t>19ueDMAb4P410DlLtrZbhnS3Q7bAjtdsyiEKgyeSyBgo</t>
  </si>
  <si>
    <t>https://docs.google.com/document/d/19ueDMAb4P410DlLtrZbhnS3Q7bAjtdsyiEKgyeSyBgo/edit?usp=drivesdk</t>
  </si>
  <si>
    <t>Document successfully created; Document successfully merged; Emails Sent: [To: Scott.Eastman@floridadep.gov,blythe.odzinski@floridadep.gov,stephanie.windham@floridadep.gov,lia.sansom@floridadep.gov; CC: allix.north@dep.state.fl.us; Reply To: allix.north@dep.state.fl.us]; Run via form trigger as education@gtmnerr.org; Timestamp: Jan 12 2022 9:13 AM</t>
  </si>
  <si>
    <t>1jcBCWIC-3b1BYRCS7scleqkAOry-y2jHnbEZJ6F-VSY</t>
  </si>
  <si>
    <t>https://docs.google.com/document/d/1jcBCWIC-3b1BYRCS7scleqkAOry-y2jHnbEZJ6F-VSY/edit?usp=drivesdk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</si>
  <si>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12 2022 10:10 AM</t>
  </si>
  <si>
    <t>13Sa2k-flzOyeu3eX-seO_vq8JizM8vlvBz9dEhJ5ylw</t>
  </si>
  <si>
    <t>https://docs.google.com/document/d/13Sa2k-flzOyeu3eX-seO_vq8JizM8vlvBz9dEhJ5ylw/edit?usp=drivesdk</t>
  </si>
  <si>
    <t>Document successfully created; Document successfully merged; Emails Sent: [To: Shannon.Dunnigan@floridadep.gov,blythe.odzinski@floridadep.gov,stephanie.windham@floridadep.gov,lia.sansom@floridadep.gov; CC: olivia.roorbach@floridadep.gov; Reply To: olivia.roorbach@floridadep.gov]; Run via form trigger as education@gtmnerr.org; Timestamp: Jan 13 2022 6:48 AM</t>
  </si>
  <si>
    <t>1LKNC16Z-pc_seCockRsaAhsMGC_7njoatJKwEf27IjE</t>
  </si>
  <si>
    <t>https://docs.google.com/document/d/1LKNC16Z-pc_seCockRsaAhsMGC_7njoatJKwEf27IjE/edit?usp=drivesdk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</si>
  <si>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13 2022 11:04 AM</t>
  </si>
  <si>
    <t>CK</t>
  </si>
  <si>
    <t>1SVTIJ7c-udPZCIDC_Ur2O8sJaXs80zEzqHcmybj2lTM</t>
  </si>
  <si>
    <t>https://docs.google.com/document/d/1SVTIJ7c-udPZCIDC_Ur2O8sJaXs80zEzqHcmybj2lTM/edit?usp=drivesdk</t>
  </si>
  <si>
    <t>Document successfully created; Document successfully merged; Emails Sent: [To: Candace.Killian@floridadep.gov,blythe.odzinski@floridadep.gov,stephanie.windham@floridadep.gov,lia.sansom@floridadep.gov; CC: courtney.l.schultz@FloridaDEP.gov; Reply To: courtney.l.schultz@FloridaDEP.gov]; Run via form trigger as education@gtmnerr.org; Timestamp: Jan 17 2022 12:58 PM</t>
  </si>
  <si>
    <t>1YvirKsF0w8xDh8Z_oCLakF_rxy2JMsSyuStfyg67JzA</t>
  </si>
  <si>
    <t>https://docs.google.com/document/d/1YvirKsF0w8xDh8Z_oCLakF_rxy2JMsSyuStfyg67JzA/edit?usp=drivesdk</t>
  </si>
  <si>
    <t>Document successfully created; Document successfully merged; Emails Sent: [To: Candace.Killian@floridadep.gov,blythe.odzinski@floridadep.gov,stephanie.windham@floridadep.gov,lia.sansom@floridadep.gov; CC: Courtney.L.Schultz@floridadep.gov; Reply To: Courtney.L.Schultz@floridadep.gov]; Run via form trigger as education@gtmnerr.org; Timestamp: Jan 18 2022 9:34 AM</t>
  </si>
  <si>
    <t>1KEDpKM7jERTN6qm9zrltD1JjotcaIF7all5R8heaMDI</t>
  </si>
  <si>
    <t>https://docs.google.com/document/d/1KEDpKM7jERTN6qm9zrltD1JjotcaIF7all5R8heaMDI/edit?usp=drivesdk</t>
  </si>
  <si>
    <t>Document successfully created; Document successfully merged; Emails Sent: [To: Nikki.Dix@floridadep.gov,blythe.odzinski@floridadep.gov,stephanie.windham@floridadep.gov,lia.sansom@floridadep.gov; CC: alee.knoell@hotmail.com; Reply To: alee.knoell@hotmail.com]; Run via form trigger as education@gtmnerr.org; Timestamp: Jan 18 2022 11:41 AM</t>
  </si>
  <si>
    <t>15YKxbYGnBEPyl2UiCAcC1iNtk1JxR9a8hAXPI2W4z-8</t>
  </si>
  <si>
    <t>https://docs.google.com/document/d/15YKxbYGnBEPyl2UiCAcC1iNtk1JxR9a8hAXPI2W4z-8/edit?usp=drivesdk</t>
  </si>
  <si>
    <t>Document successfully created; Document successfully merged; Emails Sent: [To: Shannon.Dunnigan@floridadep.gov,blythe.odzinski@floridadep.gov,stephanie.windham@floridadep.gov,lia.sansom@floridadep.gov; CC: alee.knoell@floridadep.gov; Reply To: alee.knoell@floridadep.gov]; Run via form trigger as education@gtmnerr.org; Timestamp: Jan 19 2022 1:05 PM</t>
  </si>
  <si>
    <t>1cT7sXXif7nbYKbMyTmwrePioyrt_z8tU_PlxifProMg</t>
  </si>
  <si>
    <t>https://docs.google.com/document/d/1cT7sXXif7nbYKbMyTmwrePioyrt_z8tU_PlxifProMg/edit?usp=drivesdk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</si>
  <si>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20 2022 1:33 PM</t>
  </si>
  <si>
    <t>1_z1RZARPY2T5IV1zEqBsB9nnqR7NrKe_jDGVjqA-Evg</t>
  </si>
  <si>
    <t>https://docs.google.com/document/d/1_z1RZARPY2T5IV1zEqBsB9nnqR7NrKe_jDGVjqA-Evg/edit?usp=drivesdk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</si>
  <si>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25 2022 8:56 AM</t>
  </si>
  <si>
    <t>1swpA_g5eOH4rqszjoewhdlq9V0if_IhswqfOR0lV3L0</t>
  </si>
  <si>
    <t>https://docs.google.com/document/d/1swpA_g5eOH4rqszjoewhdlq9V0if_IhswqfOR0lV3L0/edit?usp=drivesdk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</si>
  <si>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26 2022 9:12 AM</t>
  </si>
  <si>
    <t>1K0Z_RD4f4e39o03KC0ogKRZ33KkiYO_D7PE8uplW3rk</t>
  </si>
  <si>
    <t>https://docs.google.com/document/d/1K0Z_RD4f4e39o03KC0ogKRZ33KkiYO_D7PE8uplW3rk/edit?usp=drivesdk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</si>
  <si>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Jan 27 2022 9:58 AM</t>
  </si>
  <si>
    <t>1Qvtn9pd5CXfPdf3pcggK-vlaSik0jyCaNEPJV7jaEdM</t>
  </si>
  <si>
    <t>https://docs.google.com/document/d/1Qvtn9pd5CXfPdf3pcggK-vlaSik0jyCaNEPJV7jaEdM/edit?usp=drivesdk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</si>
  <si>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Jan 28 2022 9:04 AM</t>
  </si>
  <si>
    <t>1LvOKNXO9L3Lr5KFKS6NfGc4tQFBCc1BR1KxkxOXPLjk</t>
  </si>
  <si>
    <t>https://docs.google.com/document/d/1LvOKNXO9L3Lr5KFKS6NfGc4tQFBCc1BR1KxkxOXPLjk/edit?usp=drivesdk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</si>
  <si>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Feb 1 2022 8:14 AM</t>
  </si>
  <si>
    <t>1tDCt5DNiRtV4oJZ7GR1-mrLyLkZ0bQGPfkQpvm6DyVI</t>
  </si>
  <si>
    <t>https://docs.google.com/document/d/1tDCt5DNiRtV4oJZ7GR1-mrLyLkZ0bQGPfkQpvm6DyVI/edit?usp=drivesdk</t>
  </si>
  <si>
    <t>Document successfully created; Document successfully merged; Emails Sent: [To: James.Tomazinis@floridadep.gov,blythe.odzinski@floridadep.gov,stephanie.windham@floridadep.gov,lia.sansom@floridadep.gov; CC: james.tomazinis@floridadep.gov; Reply To: james.tomazinis@floridadep.gov]; Run via form trigger as education@gtmnerr.org; Timestamp: Feb 1 2022 11:55 AM</t>
  </si>
  <si>
    <t>1jYuJiYZDtMKls_1ezoZ-2NPClv2PjHEk_cQfcmWHavg</t>
  </si>
  <si>
    <t>https://docs.google.com/document/d/1jYuJiYZDtMKls_1ezoZ-2NPClv2PjHEk_cQfcmWHavg/edit?usp=drivesdk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</si>
  <si>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7 2022 7:27 AM</t>
  </si>
  <si>
    <t>1RUEnAO-XSvNXdXRbUg87kutppYphcF0KO3giDxFT4gM</t>
  </si>
  <si>
    <t>https://docs.google.com/document/d/1RUEnAO-XSvNXdXRbUg87kutppYphcF0KO3giDxFT4gM/edit?usp=drivesdk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</si>
  <si>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8 2022 8:18 AM</t>
  </si>
  <si>
    <t>1-Y4ugSHyGas-VF1T85v_-Q9BUatlLWkzLUwMJFi8gn0</t>
  </si>
  <si>
    <t>https://docs.google.com/document/d/1-Y4ugSHyGas-VF1T85v_-Q9BUatlLWkzLUwMJFi8gn0/edit?usp=drivesdk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</si>
  <si>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9 2022 8:32 AM</t>
  </si>
  <si>
    <t>1bU4fg-Xh36bzQG9_vNHBv325HZyiJslxjuXJwtpYJbA</t>
  </si>
  <si>
    <t>https://docs.google.com/document/d/1bU4fg-Xh36bzQG9_vNHBv325HZyiJslxjuXJwtpYJbA/edit?usp=drivesdk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</si>
  <si>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10 2022 9:07 AM</t>
  </si>
  <si>
    <t>1nVgXq-Ep7lpfh0HVmQuhOD5T7pveA5E0cFSw1SO5phA</t>
  </si>
  <si>
    <t>https://docs.google.com/document/d/1nVgXq-Ep7lpfh0HVmQuhOD5T7pveA5E0cFSw1SO5phA/edit?usp=drivesdk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</si>
  <si>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11 2022 9:39 AM</t>
  </si>
  <si>
    <t>1Cp7qq9Bol8FhHDJuebs8pcpLXc7UAafHPmolW_N4TcQ</t>
  </si>
  <si>
    <t>https://docs.google.com/document/d/1Cp7qq9Bol8FhHDJuebs8pcpLXc7UAafHPmolW_N4TcQ/edit?usp=drivesdk</t>
  </si>
  <si>
    <t>Document successfully created; Document successfully merged; Emails Sent: [To: Alee.Knoell@floridadep.gov,blythe.odzinski@floridadep.gov,stephanie.windham@floridadep.gov,lia.sansom@floridadep.gov; CC: olivia.roorbach@floridadep.gov; Reply To: olivia.roorbach@floridadep.gov]; Run via form trigger as education@gtmnerr.org; Timestamp: Feb 14 2022 8:25 AM</t>
  </si>
  <si>
    <t>1nAm-UudUXrz0AOwBv9YPn_tY4H6rAmlNFt0DplwldWA</t>
  </si>
  <si>
    <t>https://docs.google.com/document/d/1nAm-UudUXrz0AOwBv9YPn_tY4H6rAmlNFt0DplwldWA/edit?usp=drivesdk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</si>
  <si>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14 2022 10:42 AM</t>
  </si>
  <si>
    <t>1Nydp8CN4aLZ1B2xDp1ni510_5RsRmmL1cLWcaHBPhoY</t>
  </si>
  <si>
    <t>https://docs.google.com/document/d/1Nydp8CN4aLZ1B2xDp1ni510_5RsRmmL1cLWcaHBPhoY/edit?usp=drivesdk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</si>
  <si>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14 2022 5:52 PM</t>
  </si>
  <si>
    <t>1B1oV74n96c-JNO8Knhcmf5--9vTDsKwcbFx10ztwQAk</t>
  </si>
  <si>
    <t>https://docs.google.com/document/d/1B1oV74n96c-JNO8Knhcmf5--9vTDsKwcbFx10ztwQAk/edit?usp=drivesdk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</si>
  <si>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15 2022 11:36 AM</t>
  </si>
  <si>
    <t>15VosDugBOaY_gE3qaPfgPdAEnqLsiqfJ617p7N2tERg</t>
  </si>
  <si>
    <t>https://docs.google.com/document/d/15VosDugBOaY_gE3qaPfgPdAEnqLsiqfJ617p7N2tERg/edit?usp=drivesdk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</si>
  <si>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15 2022 9:29 PM</t>
  </si>
  <si>
    <t>1nsy5CuF89efKL0pDzRSeJgjs3aDaUBQEKHHN0TYOPII</t>
  </si>
  <si>
    <t>https://docs.google.com/document/d/1nsy5CuF89efKL0pDzRSeJgjs3aDaUBQEKHHN0TYOPII/edit?usp=drivesdk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</si>
  <si>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18 2022 11:36 AM</t>
  </si>
  <si>
    <t>1RVSd0i2kgRgqW0g_XJ4HpTN1PE7ptn-Ge2gOaS7rqKc</t>
  </si>
  <si>
    <t>https://docs.google.com/document/d/1RVSd0i2kgRgqW0g_XJ4HpTN1PE7ptn-Ge2gOaS7rqKc/edit?usp=drivesdk</t>
  </si>
  <si>
    <t>Document successfully created; Document successfully merged; Emails Sent: [To: Scott.Eastman@floridadep.gov,blythe.odzinski@floridadep.gov,stephanie.windham@floridadep.gov,lia.sansom@floridadep.gov; CC: james_tomazinis@floridadep.gov; Reply To: james_tomazinis@floridadep.gov]; Run via form trigger as education@gtmnerr.org; Timestamp: Feb 22 2022 5:01 AM</t>
  </si>
  <si>
    <t>1qwEmqtGayGdISIMpNWTgCk7OAZFe5tCpun_X48_ZesU</t>
  </si>
  <si>
    <t>https://docs.google.com/document/d/1qwEmqtGayGdISIMpNWTgCk7OAZFe5tCpun_X48_ZesU/edit?usp=drivesdk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</si>
  <si>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Feb 22 2022 6:03 AM</t>
  </si>
  <si>
    <t>1Y1R4hRK6Ok5gNMkN373nRQDRGN1OaPHARmS7Z73vHog</t>
  </si>
  <si>
    <t>https://docs.google.com/document/d/1Y1R4hRK6Ok5gNMkN373nRQDRGN1OaPHARmS7Z73vHog/edit?usp=drivesdk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</si>
  <si>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22 2022 8:09 AM</t>
  </si>
  <si>
    <t>1027H_VD63bSVueZp-dJ3zy8foNvsSfpsSTu50j-b60M</t>
  </si>
  <si>
    <t>https://docs.google.com/document/d/1027H_VD63bSVueZp-dJ3zy8foNvsSfpsSTu50j-b60M/edit?usp=drivesdk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</si>
  <si>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24 2022 1:07 PM</t>
  </si>
  <si>
    <t>1Ci0Kjh2DDBbgIC16AkvXKnuOE-w9zeXYn5r7ZJVXma4</t>
  </si>
  <si>
    <t>https://docs.google.com/document/d/1Ci0Kjh2DDBbgIC16AkvXKnuOE-w9zeXYn5r7ZJVXma4/edit?usp=drivesdk</t>
  </si>
  <si>
    <t>Document successfully created; Document successfully merged; Emails Sent: [To: Shannon.Dunnigan@floridadep.gov,blythe.odzinski@floridadep.gov,stephanie.windham@floridadep.gov,lia.sansom@floridadep.gov; CC: olivia.roorbach@floridadep.gov; Reply To: olivia.roorbach@floridadep.gov]; Run via form trigger as education@gtmnerr.org; Timestamp: Mar 1 2022 7:27 AM</t>
  </si>
  <si>
    <t>1LuFbqTwBStOON6ehl0wjjqXi8oKWPhHeMVBlYyXOC5I</t>
  </si>
  <si>
    <t>https://docs.google.com/document/d/1LuFbqTwBStOON6ehl0wjjqXi8oKWPhHeMVBlYyXOC5I/edit?usp=drivesdk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</si>
  <si>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Mar 1 2022 10:15 AM</t>
  </si>
  <si>
    <t>1nH568YrCXg5IjAusStUKgmn5sFTlm14TbSze3zXCAdA</t>
  </si>
  <si>
    <t>https://docs.google.com/document/d/1nH568YrCXg5IjAusStUKgmn5sFTlm14TbSze3zXCAdA/edit?usp=drivesdk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</si>
  <si>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Mar 1 2022 12:31 PM</t>
  </si>
  <si>
    <t>1EFp1szLBShCuIfDlu-z1NS7U6gQAIr8KdVnaPhh9Gyk</t>
  </si>
  <si>
    <t>https://docs.google.com/document/d/1EFp1szLBShCuIfDlu-z1NS7U6gQAIr8KdVnaPhh9Gyk/edit?usp=drivesdk</t>
  </si>
  <si>
    <t>Document successfully created; Document successfully merged; Emails Sent: [To: Silas.Tanner@floridadep.gov,blythe.odzinski@floridadep.gov,stephanie.windham@floridadep.gov,lia.sansom@floridadep.gov; CC: alee.knoell@floridadep.gov; Reply To: alee.knoell@floridadep.gov]; Run via form trigger as education@gtmnerr.org; Timestamp: Mar 2 2022 8:04 AM</t>
  </si>
  <si>
    <t>1nW92-V1mHr6cUV3dzVuKRL7nq2ujm8uO92SNyLdK40s</t>
  </si>
  <si>
    <t>https://docs.google.com/document/d/1nW92-V1mHr6cUV3dzVuKRL7nq2ujm8uO92SNyLdK40s/edit?usp=drivesdk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</si>
  <si>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2 2022 12:25 PM</t>
  </si>
  <si>
    <t>1A6UsL82cJOKWCJE46iK9sdQ9aNsWxyCC2lU0JlUdrZU</t>
  </si>
  <si>
    <t>https://docs.google.com/document/d/1A6UsL82cJOKWCJE46iK9sdQ9aNsWxyCC2lU0JlUdrZU/edit?usp=drivesdk</t>
  </si>
  <si>
    <t>Document successfully created; Document successfully merged; Emails Sent: [To: Nikki.Dix@floridadep.gov,blythe.odzinski@floridadep.gov,stephanie.windham@floridadep.gov,lia.sansom@floridadep.gov; CC: alee.knoell@floridadep.gov; Reply To: alee.knoell@floridadep.gov]; Run via form trigger as education@gtmnerr.org; Timestamp: Mar 3 2022 1:48 PM</t>
  </si>
  <si>
    <t>1_wnk2a_d2Xly2coV3fDD38xS3cK_b49E4biqTvlPGzY</t>
  </si>
  <si>
    <t>https://docs.google.com/document/d/1_wnk2a_d2Xly2coV3fDD38xS3cK_b49E4biqTvlPGzY/edit?usp=drivesdk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</si>
  <si>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7 2022 7:02 AM</t>
  </si>
  <si>
    <t>14piQMMvwaIq28hwdQoAzsOa8LT_6fWzYn-FiYWPAZyc</t>
  </si>
  <si>
    <t>https://docs.google.com/document/d/14piQMMvwaIq28hwdQoAzsOa8LT_6fWzYn-FiYWPAZyc/edit?usp=drivesdk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</si>
  <si>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Mar 8 2022 7:24 AM</t>
  </si>
  <si>
    <t>11jsmCel1PEBP8k1BTxeVPWlESFUXmpkrooaIwqhu98I</t>
  </si>
  <si>
    <t>https://docs.google.com/document/d/11jsmCel1PEBP8k1BTxeVPWlESFUXmpkrooaIwqhu98I/edit?usp=drivesdk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</si>
  <si>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9 2022 7:14 AM</t>
  </si>
  <si>
    <t>1l2ynKXr_GH26yoI4PYfalXvmB1heVGbHRO95BuJYTpE</t>
  </si>
  <si>
    <t>https://docs.google.com/document/d/1l2ynKXr_GH26yoI4PYfalXvmB1heVGbHRO95BuJYTpE/edit?usp=drivesdk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</si>
  <si>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11 2022 9:12 AM</t>
  </si>
  <si>
    <t>1vAwBQOmmdegzONyCyqgsw_PdspYAZ3491T1M8nHBrtA</t>
  </si>
  <si>
    <t>https://docs.google.com/document/d/1vAwBQOmmdegzONyCyqgsw_PdspYAZ3491T1M8nHBrtA/edit?usp=drivesdk</t>
  </si>
  <si>
    <t>Document successfully created; Document successfully merged; Emails Sent: [To: Candace.Killian@floridadep.gov,blythe.odzinski@floridadep.gov,stephanie.windham@floridadep.gov,lia.sansom@floridadep.gov; CC: Courtney.L.Schultz@FloridaDEP.gov; Reply To: Courtney.L.Schultz@FloridaDEP.gov]; Run via form trigger as education@gtmnerr.org; Timestamp: Mar 11 2022 10:27 AM</t>
  </si>
  <si>
    <t>15yUitYFqeNHM3XLTVljmop0ne2sp8v8nTTZm1BUz2hY</t>
  </si>
  <si>
    <t>https://docs.google.com/document/d/15yUitYFqeNHM3XLTVljmop0ne2sp8v8nTTZm1BUz2hY/edit?usp=drivesdk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</si>
  <si>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14 2022 11:55 AM</t>
  </si>
  <si>
    <t>1C3qf2_4UpCkvbMnhPJHaFCvqu7xhzdGIW6xahqIf4g8</t>
  </si>
  <si>
    <t>https://docs.google.com/document/d/1C3qf2_4UpCkvbMnhPJHaFCvqu7xhzdGIW6xahqIf4g8/edit?usp=drivesdk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</si>
  <si>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15 2022 12:24 PM</t>
  </si>
  <si>
    <t>1s_Qz_DHHmKsdwGKt8pAYPzomkkhFis220u13NqHwR8k</t>
  </si>
  <si>
    <t>https://docs.google.com/document/d/1s_Qz_DHHmKsdwGKt8pAYPzomkkhFis220u13NqHwR8k/edit?usp=drivesdk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</si>
  <si>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Mar 16 2022 12:09 PM</t>
  </si>
  <si>
    <t>181YLQc9zh9FGL-hyGYzwKeZWTm2cJfvazBcYqsqkOWY</t>
  </si>
  <si>
    <t>https://docs.google.com/document/d/181YLQc9zh9FGL-hyGYzwKeZWTm2cJfvazBcYqsqkOWY/edit?usp=drivesdk</t>
  </si>
  <si>
    <t>Document successfully created; Document successfully merged; Emails Sent: [To: Alee.Knoell@floridadep.gov,blythe.odzinski@floridadep.gov,stephanie.windham@floridadep.gov,lia.sansom@floridadep.gov; CC: Pamela.Marcum@FloridaDEP.gov; Reply To: Pamela.Marcum@FloridaDEP.gov]; Run via form trigger as education@gtmnerr.org; Timestamp: Mar 17 2022 1:34 PM</t>
  </si>
  <si>
    <t>1K-MRBhJEsaUtkdehCZZc3Xl29ITFLWDAje_TjqsU_ew</t>
  </si>
  <si>
    <t>https://docs.google.com/document/d/1K-MRBhJEsaUtkdehCZZc3Xl29ITFLWDAje_TjqsU_ew/edit?usp=drivesdk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</si>
  <si>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Mar 18 2022 1:50 PM</t>
  </si>
  <si>
    <t>1dngjzQFAGN9M6CEHd97YOu766K7AQUFvDLSw76UNwNI</t>
  </si>
  <si>
    <t>https://docs.google.com/document/d/1dngjzQFAGN9M6CEHd97YOu766K7AQUFvDLSw76UNwNI/edit?usp=drivesdk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</si>
  <si>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Mar 22 2022 5:22 PM</t>
  </si>
  <si>
    <t>1euQrZ_bUjQGXvmsIAky5C3hTAgHz9637UMF-abrjTHo</t>
  </si>
  <si>
    <t>https://docs.google.com/document/d/1euQrZ_bUjQGXvmsIAky5C3hTAgHz9637UMF-abrjTHo/edit?usp=drivesdk</t>
  </si>
  <si>
    <t>Document successfully created; Document successfully merged; Emails Sent: [To: Scott.Eastman@floridadep.gov,blythe.odzinski@floridadep.gov,stephanie.windham@floridadep.gov,lia.sansom@floridadep.gov; CC: james_tomazinis@floridadep.gov; Reply To: james_tomazinis@floridadep.gov]; Run via form trigger as education@gtmnerr.org; Timestamp: Mar 23 2022 6:28 AM</t>
  </si>
  <si>
    <t>1ayYTiNi1v2sq-uYAzaToJwrS4wZsca6mreu1-jbpvF0</t>
  </si>
  <si>
    <t>https://docs.google.com/document/d/1ayYTiNi1v2sq-uYAzaToJwrS4wZsca6mreu1-jbpvF0/edit?usp=drivesdk</t>
  </si>
  <si>
    <t>Document successfully created; Document successfully merged; Emails Sent: [To: Alee.Knoell@floridadep.gov,blythe.odzinski@floridadep.gov,stephanie.windham@floridadep.gov,lia.sansom@floridadep.gov; CC: olivia.roorbach@floridadep.gov; Reply To: olivia.roorbach@floridadep.gov]; Run via form trigger as education@gtmnerr.org; Timestamp: Mar 28 2022 7:44 AM</t>
  </si>
  <si>
    <t>1LBBMGWVFqW8ctDnuI875H-tZ2-h_FLe2WfH9DWFHvU8</t>
  </si>
  <si>
    <t>https://docs.google.com/document/d/1LBBMGWVFqW8ctDnuI875H-tZ2-h_FLe2WfH9DWFHvU8/edit?usp=drivesdk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</si>
  <si>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Mar 29 2022 9:36 PM</t>
  </si>
  <si>
    <t>1eugl43RB5c-ECilBD_-Gln1wkKuTbn0rcvYHLdmcvuk</t>
  </si>
  <si>
    <t>https://docs.google.com/document/d/1eugl43RB5c-ECilBD_-Gln1wkKuTbn0rcvYHLdmcvuk/edit?usp=drivesdk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</si>
  <si>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Mar 30 2022 10:42 AM</t>
  </si>
  <si>
    <t>11x7KebBL3BsFbCvmXPMfkeGhvbsDkveSebCGBcM_2mE</t>
  </si>
  <si>
    <t>https://docs.google.com/document/d/11x7KebBL3BsFbCvmXPMfkeGhvbsDkveSebCGBcM_2mE/edit?usp=drivesdk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</si>
  <si>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Mar 30 2022 2:06 PM</t>
  </si>
  <si>
    <t>1qRJJY7H8Nse3yytMJqiH6uPvPSJhytrXUSLfZsMfcB0</t>
  </si>
  <si>
    <t>https://docs.google.com/document/d/1qRJJY7H8Nse3yytMJqiH6uPvPSJhytrXUSLfZsMfcB0/edit?usp=drivesdk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</si>
  <si>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Mar 30 2022 3:07 PM</t>
  </si>
  <si>
    <t>1ZFtVelt27j2kWBG82IdINFl7nZ-PExYNLz2tAbS3SoA</t>
  </si>
  <si>
    <t>https://docs.google.com/document/d/1ZFtVelt27j2kWBG82IdINFl7nZ-PExYNLz2tAbS3SoA/edit?usp=drivesdk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</si>
  <si>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 2022 3:19 PM</t>
  </si>
  <si>
    <t>1f7OU-ly0C8xsOWYSn2kMAOGmsuBz01itbrxUlCznrQ0</t>
  </si>
  <si>
    <t>https://docs.google.com/document/d/1f7OU-ly0C8xsOWYSn2kMAOGmsuBz01itbrxUlCznrQ0/edit?usp=drivesdk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</si>
  <si>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4 2022 5:00 AM</t>
  </si>
  <si>
    <t>1tw4mYUCCNzMhsRmvOhwgoJdo6uJQvZN9aYZYNNLzfiU</t>
  </si>
  <si>
    <t>https://docs.google.com/document/d/1tw4mYUCCNzMhsRmvOhwgoJdo6uJQvZN9aYZYNNLzfiU/edit?usp=drivesdk</t>
  </si>
  <si>
    <t>Document successfully created; Document successfully merged; Emails Sent: [To: Nikki.Dix@floridadep.gov,blythe.odzinski@floridadep.gov,stephanie.windham@floridadep.gov,lia.sansom@floridadep.gov; CC: silas.tanner@dep.state.fl.us; Reply To: silas.tanner@dep.state.fl.us]; Run via form trigger as education@gtmnerr.org; Timestamp: Apr 5 2022 8:31 AM</t>
  </si>
  <si>
    <t>1hEYgeh2jQejLOOevmoVy-gg2QtzceiI5WB6SCICw0pw</t>
  </si>
  <si>
    <t>https://docs.google.com/document/d/1hEYgeh2jQejLOOevmoVy-gg2QtzceiI5WB6SCICw0pw/edit?usp=drivesdk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</si>
  <si>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5 2022 9:17 AM</t>
  </si>
  <si>
    <t>1jM3Art9eEmJj478evdQbRyhabgOooyOVkOS77Ry0yAc</t>
  </si>
  <si>
    <t>https://docs.google.com/document/d/1jM3Art9eEmJj478evdQbRyhabgOooyOVkOS77Ry0yAc/edit?usp=drivesdk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</si>
  <si>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6 2022 7:27 AM</t>
  </si>
  <si>
    <t>1Xsk60b6soG02NV3ap-2XymywigJ_ux5MNN7Rue-wpA8</t>
  </si>
  <si>
    <t>https://docs.google.com/document/d/1Xsk60b6soG02NV3ap-2XymywigJ_ux5MNN7Rue-wpA8/edit?usp=drivesdk</t>
  </si>
  <si>
    <t>Document successfully created; Document successfully merged; Emails Sent: [To: Pamela.Marcum@floridadep.gov,blythe.odzinski@floridadep.gov,stephanie.windham@floridadep.gov,lia.sansom@floridadep.gov; CC: alee.knoell@floridadep.gov; Reply To: alee.knoell@floridadep.gov]; Run via form trigger as education@gtmnerr.org; Timestamp: Apr 8 2022 8:05 AM</t>
  </si>
  <si>
    <t>1DbhHUGgm9anbGDYHfrACBQ5TJShOf87aWsnFYPvwFAY</t>
  </si>
  <si>
    <t>https://docs.google.com/document/d/1DbhHUGgm9anbGDYHfrACBQ5TJShOf87aWsnFYPvwFAY/edit?usp=drivesdk</t>
  </si>
  <si>
    <t>Document successfully created; Document successfully merged; Emails Sent: [To: Nikki.Dix@floridadep.gov,blythe.odzinski@floridadep.gov,stephanie.windham@floridadep.gov,lia.sansom@floridadep.gov; CC: aleeknoell@hotmail.com; Reply To: aleeknoell@hotmail.com]; Run via form trigger as education@gtmnerr.org; Timestamp: Apr 8 2022 11:19 AM</t>
  </si>
  <si>
    <t>1O_wRyLBt3SRLq_j7tez8Etth4XCuqP1tVnu-RHJcJiU</t>
  </si>
  <si>
    <t>https://docs.google.com/document/d/1O_wRyLBt3SRLq_j7tez8Etth4XCuqP1tVnu-RHJcJiU/edit?usp=drivesdk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</si>
  <si>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Apr 11 2022 10:59 AM</t>
  </si>
  <si>
    <t>1caFKnBqIU2MIWDetLrgImdOeoquQFwnU7BlQL3lz6QE</t>
  </si>
  <si>
    <t>https://docs.google.com/document/d/1caFKnBqIU2MIWDetLrgImdOeoquQFwnU7BlQL3lz6QE/edit?usp=drivesdk</t>
  </si>
  <si>
    <t>Document successfully created; Document successfully merged; Emails Sent: [To: Shannon.Dunnigan@floridadep.gov,blythe.odzinski@floridadep.gov,stephanie.windham@floridadep.gov,lia.sansom@floridadep.gov; CC: olivia.roorbach@floridadep.gov; Reply To: olivia.roorbach@floridadep.gov]; Run via form trigger as education@gtmnerr.org; Timestamp: Apr 12 2022 7:23 AM</t>
  </si>
  <si>
    <t>1CHg977fk_r7WO8qNXcDUX8ldxumritxHaIUAj2_7mzc</t>
  </si>
  <si>
    <t>https://docs.google.com/document/d/1CHg977fk_r7WO8qNXcDUX8ldxumritxHaIUAj2_7mzc/edit?usp=drivesdk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</si>
  <si>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12 2022 9:26 AM</t>
  </si>
  <si>
    <t>1YnEKU-vUqbvRwGiZmqTmIsZG4fTAh2Wmj3ahRx66rko</t>
  </si>
  <si>
    <t>https://docs.google.com/document/d/1YnEKU-vUqbvRwGiZmqTmIsZG4fTAh2Wmj3ahRx66rko/edit?usp=drivesdk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</si>
  <si>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Apr 12 2022 11:27 AM</t>
  </si>
  <si>
    <t>1WCg8MQFRSDjm6JjIr8NQ067k5ryb-rmIdv1LwjkKg7A</t>
  </si>
  <si>
    <t>https://docs.google.com/document/d/1WCg8MQFRSDjm6JjIr8NQ067k5ryb-rmIdv1LwjkKg7A/edit?usp=drivesdk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</si>
  <si>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Apr 13 2022 7:08 AM</t>
  </si>
  <si>
    <t>1A-aime5s5B_5s8SpoRjN_uf2gshh91aA-31VNzkGYpo</t>
  </si>
  <si>
    <t>https://docs.google.com/document/d/1A-aime5s5B_5s8SpoRjN_uf2gshh91aA-31VNzkGYpo/edit?usp=drivesdk</t>
  </si>
  <si>
    <t>Document successfully created; Document successfully merged; Emails Sent: [To: Susan.Porterfield@floridadep.gov,blythe.odzinski@floridadep.gov,stephanie.windham@floridadep.gov,lia.sansom@floridadep.gov; CC: james.tomazinis@floridadep.gov; Reply To: james.tomazinis@floridadep.gov]; Run via form trigger as education@gtmnerr.org; Timestamp: Apr 13 2022 10:11 AM</t>
  </si>
  <si>
    <t>1UVbk6VytLAp9Trr8U-QihEVnN1iL83aUcY14ZhlffiA</t>
  </si>
  <si>
    <t>https://docs.google.com/document/d/1UVbk6VytLAp9Trr8U-QihEVnN1iL83aUcY14ZhlffiA/edit?usp=drivesdk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</si>
  <si>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14 2022 12:52 PM</t>
  </si>
  <si>
    <t>1Qb1pARkYXxaFxa9FSunL6WYLa2K609KQDw4RVUepTMY</t>
  </si>
  <si>
    <t>https://docs.google.com/document/d/1Qb1pARkYXxaFxa9FSunL6WYLa2K609KQDw4RVUepTMY/edit?usp=drivesdk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</si>
  <si>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18 2022 7:09 AM</t>
  </si>
  <si>
    <t>1QI-bheWrGA_PiSBxiwh0Mb32APiwN0_bvVxubrX_rvE</t>
  </si>
  <si>
    <t>https://docs.google.com/document/d/1QI-bheWrGA_PiSBxiwh0Mb32APiwN0_bvVxubrX_rvE/edit?usp=drivesdk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</si>
  <si>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19 2022 7:10 AM</t>
  </si>
  <si>
    <t>11V-H2dQ7-KDUvpU5pyp-4ShFDDZOcIURix0_lZ3GLlw</t>
  </si>
  <si>
    <t>https://docs.google.com/document/d/11V-H2dQ7-KDUvpU5pyp-4ShFDDZOcIURix0_lZ3GLlw/edit?usp=drivesdk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</si>
  <si>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20 2022 9:02 AM</t>
  </si>
  <si>
    <t>1189rlEgEhh8PC7eGGo3Z5n3vmlwZwqFwLyIfCTGRhco</t>
  </si>
  <si>
    <t>https://docs.google.com/document/d/1189rlEgEhh8PC7eGGo3Z5n3vmlwZwqFwLyIfCTGRhco/edit?usp=drivesdk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</si>
  <si>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Apr 20 2022 9:08 AM</t>
  </si>
  <si>
    <t>1vXoxdA_o7QVyHwHaFUPDp0iNj1ISRm7FK5_dkcRkZ3M</t>
  </si>
  <si>
    <t>https://docs.google.com/document/d/1vXoxdA_o7QVyHwHaFUPDp0iNj1ISRm7FK5_dkcRkZ3M/edit?usp=drivesdk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</si>
  <si>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Apr 21 2022 7:55 AM</t>
  </si>
  <si>
    <t>1Nd1v2lMrQgjpNtEODCbADE_dVRtuSPXEji21TPN90FU</t>
  </si>
  <si>
    <t>https://docs.google.com/document/d/1Nd1v2lMrQgjpNtEODCbADE_dVRtuSPXEji21TPN90FU/edit?usp=drivesdk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</si>
  <si>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Apr 22 2022 8:41 AM</t>
  </si>
  <si>
    <t>1EwB27hL2wGlZROx7vF086LK_KtfV7TJqSfokLIz-SOI</t>
  </si>
  <si>
    <t>https://docs.google.com/document/d/1EwB27hL2wGlZROx7vF086LK_KtfV7TJqSfokLIz-SOI/edit?usp=drivesdk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</si>
  <si>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Apr 26 2022 10:05 AM</t>
  </si>
  <si>
    <t>1q-7iFjzLr9HBCQCgCXwOEDOZWkBdELTgj0mcwtJDVis</t>
  </si>
  <si>
    <t>https://docs.google.com/document/d/1q-7iFjzLr9HBCQCgCXwOEDOZWkBdELTgj0mcwtJDVis/edit?usp=drivesdk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</si>
  <si>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Apr 28 2022 6:11 AM</t>
  </si>
  <si>
    <t>1chySodYfMdoaJFPoC6P9bFs0oDt2xCAyuhC-gxx2v8w</t>
  </si>
  <si>
    <t>https://docs.google.com/document/d/1chySodYfMdoaJFPoC6P9bFs0oDt2xCAyuhC-gxx2v8w/edit?usp=drivesdk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</si>
  <si>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Apr 28 2022 2:24 PM</t>
  </si>
  <si>
    <t>1k_BiEimGWHiy4pYooJn9vBurZRI41irz03ma652liYQ</t>
  </si>
  <si>
    <t>https://docs.google.com/document/d/1k_BiEimGWHiy4pYooJn9vBurZRI41irz03ma652liYQ/edit?usp=drivesdk</t>
  </si>
  <si>
    <t>Document successfully created; Document successfully merged; Emails Sent: [To: Scott.Eastman@floridadep.gov,blythe.odzinski@floridadep.gov,stephanie.windham@floridadep.gov,lia.sansom@floridadep.gov; CC: Allix.North@dep.state.fl.us; Reply To: Allix.North@dep.state.fl.us]; Run via form trigger as education@gtmnerr.org; Timestamp: Apr 29 2022 9:56 AM</t>
  </si>
  <si>
    <t>1dcKPf22LbtSFKJyZVWvRRaYwOx_Jg_SZP1pD41fEp2o</t>
  </si>
  <si>
    <t>https://docs.google.com/document/d/1dcKPf22LbtSFKJyZVWvRRaYwOx_Jg_SZP1pD41fEp2o/edit?usp=drivesdk</t>
  </si>
  <si>
    <t>Document successfully created; Document successfully merged; Emails Sent: [To: Nikki.Dix@floridadep.gov,blythe.odzinski@floridadep.gov,stephanie.windham@floridadep.gov,lia.sansom@floridadep.gov; CC: gabriela.canas@dep.state.fl.us; Reply To: gabriela.canas@dep.state.fl.us]; Run via form trigger as education@gtmnerr.org; Timestamp: May 2 2022 10:38 AM</t>
  </si>
  <si>
    <t>1L9AiVxaArm2hGAwYSGnY5_NnzDzsidWhCWFAakiRSSc</t>
  </si>
  <si>
    <t>https://docs.google.com/document/d/1L9AiVxaArm2hGAwYSGnY5_NnzDzsidWhCWFAakiRSSc/edit?usp=drivesdk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</si>
  <si>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May 4 2022 7:08 AM</t>
  </si>
  <si>
    <t>1aRZ64q7pyxiSLdPWt2C9Dqogr6t4zWUgnSYHFC133r0</t>
  </si>
  <si>
    <t>https://docs.google.com/document/d/1aRZ64q7pyxiSLdPWt2C9Dqogr6t4zWUgnSYHFC133r0/edit?usp=drivesdk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</si>
  <si>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May 5 2022 8:38 AM</t>
  </si>
  <si>
    <t>1H1qj7yEV_X8izV1tri-Y_qqlM1bbdSn-75KrpZMC96M</t>
  </si>
  <si>
    <t>https://docs.google.com/document/d/1H1qj7yEV_X8izV1tri-Y_qqlM1bbdSn-75KrpZMC96M/edit?usp=drivesdk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</si>
  <si>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May 8 2022 9:56 PM</t>
  </si>
  <si>
    <t>skd</t>
  </si>
  <si>
    <t>1bPPIrLLzD-mBT2fbfSWmrkC3JqcjJWfEj6V_Mys-fMw</t>
  </si>
  <si>
    <t>https://docs.google.com/document/d/1bPPIrLLzD-mBT2fbfSWmrkC3JqcjJWfEj6V_Mys-fMw/edit?usp=drivesdk</t>
  </si>
  <si>
    <t>Document successfully created; Document successfully merged; Emails Sent: [To: Shannon.Dunnigan@floridadep.gov,blythe.odzinski@floridadep.gov,stephanie.windham@floridadep.gov,lia.sansom@floridadep.gov; CC: olivia.roorbach@floridadep.gov; Reply To: olivia.roorbach@floridadep.gov]; Run via form trigger as education@gtmnerr.org; Timestamp: May 12 2022 7:12 AM</t>
  </si>
  <si>
    <t>1Us5SM74ZfCTp_b1_lPZ911P1ub1UDdsnb8zLUk6601w</t>
  </si>
  <si>
    <t>https://docs.google.com/document/d/1Us5SM74ZfCTp_b1_lPZ911P1ub1UDdsnb8zLUk6601w/edit?usp=drivesdk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</si>
  <si>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May 17 2022 7:04 AM</t>
  </si>
  <si>
    <t>11-sCIQfVWmzzKVfsXOQ4OU8P64JW2uffCwBI4bz5UQA</t>
  </si>
  <si>
    <t>https://docs.google.com/document/d/11-sCIQfVWmzzKVfsXOQ4OU8P64JW2uffCwBI4bz5UQA/edit?usp=drivesdk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</si>
  <si>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May 17 2022 11:47 AM</t>
  </si>
  <si>
    <t>1DpNdqjUoSc8jb_1iT8Yw2jSD44j_n86A9FuVlbtwlpg</t>
  </si>
  <si>
    <t>https://docs.google.com/document/d/1DpNdqjUoSc8jb_1iT8Yw2jSD44j_n86A9FuVlbtwlpg/edit?usp=drivesdk</t>
  </si>
  <si>
    <t>Document successfully created; Document successfully merged; Emails Sent: [To: Scott.Eastman@floridadep.gov,blythe.odzinski@floridadep.gov,stephanie.windham@floridadep.gov,lia.sansom@floridadep.gov; CC: allix.north@dep.state.fl.us; Reply To: allix.north@dep.state.fl.us]; Run via form trigger as education@gtmnerr.org; Timestamp: May 20 2022 9:19 AM</t>
  </si>
  <si>
    <t>1eWzBVhlopeD17Xj9u7hMaTwla19Wuj3DI8G9xZRN9kI</t>
  </si>
  <si>
    <t>https://docs.google.com/document/d/1eWzBVhlopeD17Xj9u7hMaTwla19Wuj3DI8G9xZRN9kI/edit?usp=drivesdk</t>
  </si>
  <si>
    <t>Document successfully created; Document successfully merged; Emails Sent: [To: Candace.Killian@floridadep.gov,blythe.odzinski@floridadep.gov,stephanie.windham@floridadep.gov,lia.sansom@floridadep.gov; CC: RJ.Mitchell@foridadep.gov; Reply To: RJ.Mitchell@foridadep.gov]; Run via form trigger as education@gtmnerr.org; Timestamp: May 20 2022 2:52 PM</t>
  </si>
  <si>
    <t>1FeYI1anbxkJC12K-4m_HgzfV9Vv0CiJXq3zGZUH5EvQ</t>
  </si>
  <si>
    <t>https://docs.google.com/document/d/1FeYI1anbxkJC12K-4m_HgzfV9Vv0CiJXq3zGZUH5EvQ/edit?usp=drivesdk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</si>
  <si>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1 2022 4:42 PM</t>
  </si>
  <si>
    <t>1CuviBo2093SqQWhwYyA1EJRujNq-RMyvXj17Ab6JryI</t>
  </si>
  <si>
    <t>https://docs.google.com/document/d/1CuviBo2093SqQWhwYyA1EJRujNq-RMyvXj17Ab6JryI/edit?usp=drivesdk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</si>
  <si>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6 2022 8:34 AM</t>
  </si>
  <si>
    <t>15XYpnuH1je6oUIkwCjpsjD3wUjiB3an-2a5Ke4dn7bU</t>
  </si>
  <si>
    <t>https://docs.google.com/document/d/15XYpnuH1je6oUIkwCjpsjD3wUjiB3an-2a5Ke4dn7bU/edit?usp=drivesdk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</si>
  <si>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7 2022 7:17 AM</t>
  </si>
  <si>
    <t>1EBQ9bdCE9rHyvASXsOwyWFToG8TotTLr6jAnAL3kQz8</t>
  </si>
  <si>
    <t>https://docs.google.com/document/d/1EBQ9bdCE9rHyvASXsOwyWFToG8TotTLr6jAnAL3kQz8/edit?usp=drivesdk</t>
  </si>
  <si>
    <t>Document successfully created; Document successfully merged; Emails Sent: [To: Scott.Eastman@floridadep.gov,blythe.odzinski@floridadep.gov,stephanie.windham@floridadep.gov,lia.sansom@floridadep.gov; CC: allix.north@dep.state.fl.us; Reply To: allix.north@dep.state.fl.us]; Run via form trigger as education@gtmnerr.org; Timestamp: Jun 7 2022 9:43 AM</t>
  </si>
  <si>
    <t>1hPhejmHJLjPSFOTpCdxcZeiSR7hR98hHPnTEW_zTKEE</t>
  </si>
  <si>
    <t>https://docs.google.com/document/d/1hPhejmHJLjPSFOTpCdxcZeiSR7hR98hHPnTEW_zTKEE/edit?usp=drivesdk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</si>
  <si>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7 2022 11:27 AM</t>
  </si>
  <si>
    <t>1jx9otMehzTRWRmxe-TER7VJ-JBdydsYH4gEeIdV0fKI</t>
  </si>
  <si>
    <t>https://docs.google.com/document/d/1jx9otMehzTRWRmxe-TER7VJ-JBdydsYH4gEeIdV0fKI/edit?usp=drivesdk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</si>
  <si>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8 2022 7:28 AM</t>
  </si>
  <si>
    <t>1jRBmf_0hFlqY6-Ku43UFuR6_WekZNV3tLFwyqSuZ7_c</t>
  </si>
  <si>
    <t>https://docs.google.com/document/d/1jRBmf_0hFlqY6-Ku43UFuR6_WekZNV3tLFwyqSuZ7_c/edit?usp=drivesdk</t>
  </si>
  <si>
    <t>Document successfully created; Document successfully merged; Emails Sent: [To: Shannon.Dunnigan@floridadep.gov,blythe.odzinski@floridadep.gov,stephanie.windham@floridadep.gov,lia.sansom@floridadep.gov; CC: silas.tanner@dep.state.fl.us; Reply To: silas.tanner@dep.state.fl.us]; Run via form trigger as education@gtmnerr.org; Timestamp: Jun 8 2022 1:12 PM</t>
  </si>
  <si>
    <t>14kAgBkTWtxB5UI5qw7O_UlnySpKkvxgARcYyIDRzJpg</t>
  </si>
  <si>
    <t>https://docs.google.com/document/d/14kAgBkTWtxB5UI5qw7O_UlnySpKkvxgARcYyIDRzJpg/edit?usp=drivesdk</t>
  </si>
  <si>
    <t>Document successfully created; Document successfully merged; Emails Sent: [To: Scott.Eastman@floridadep.gov,blythe.odzinski@floridadep.gov,stephanie.windham@floridadep.gov,lia.sansom@floridadep.gov; CC: shannon.dunnigan@dep.state.fl.us; Reply To: shannon.dunnigan@dep.state.fl.us]; Run via form trigger as education@gtmnerr.org; Timestamp: Jun 9 2022 8:19 AM</t>
  </si>
  <si>
    <t>1mG7nM32uVVlBnXI1JDxReZ-DOBXSQkXTHkrWFIUoa2k</t>
  </si>
  <si>
    <t>https://docs.google.com/document/d/1mG7nM32uVVlBnXI1JDxReZ-DOBXSQkXTHkrWFIUoa2k/edit?usp=drivesdk</t>
  </si>
  <si>
    <t>Document successfully created; Document successfully merged; Emails Sent: [To: Scott.Eastman@floridadep.gov,blythe.odzinski@floridadep.gov,stephanie.windham@floridadep.gov,lia.sansom@floridadep.gov; CC: shannon.dunnigan@dep.state.fl.us; Reply To: shannon.dunnigan@dep.state.fl.us]; Run via form trigger as education@gtmnerr.org; Timestamp: Jun 9 2022 1:05 PM</t>
  </si>
  <si>
    <t>1quNwO__hKDdeEdO67juE1sj2qUjzIKoAOJ-VU7zbC-M</t>
  </si>
  <si>
    <t>https://docs.google.com/document/d/1quNwO__hKDdeEdO67juE1sj2qUjzIKoAOJ-VU7zbC-M/edit?usp=drivesdk</t>
  </si>
  <si>
    <t>Document successfully created; Document successfully merged; Emails Sent: [To: Shannon.Dunnigan@floridadep.gov,blythe.odzinski@floridadep.gov,stephanie.windham@floridadep.gov,lia.sansom@floridadep.gov; CC: jmcupp099@gmail.com; Reply To: jmcupp099@gmail.com]; Run via form trigger as education@gtmnerr.org; Timestamp: Jun 10 2022 6:31 AM</t>
  </si>
  <si>
    <t>1Yh-37oXlFb4vOa4UqdYKRpbdCllxUNmnuKP2Pa7ZaEg</t>
  </si>
  <si>
    <t>https://docs.google.com/document/d/1Yh-37oXlFb4vOa4UqdYKRpbdCllxUNmnuKP2Pa7ZaEg/edit?usp=drivesdk</t>
  </si>
  <si>
    <t>Document successfully created; Document successfully merged; Emails Sent: [To: Pamela.Marcum@floridadep.gov,blythe.odzinski@floridadep.gov,stephanie.windham@floridadep.gov,lia.sansom@floridadep.gov; CC: Pamela.Marcum@FloridaDEP.gov; Reply To: Pamela.Marcum@FloridaDEP.gov]; Run via form trigger as education@gtmnerr.org; Timestamp: Jun 13 2022 8:36 AM</t>
  </si>
  <si>
    <t>1GWTMHhEG3qliYQ8kuhxetPwIJdYWw773ZmmxC0h10mM</t>
  </si>
  <si>
    <t>https://docs.google.com/document/d/1GWTMHhEG3qliYQ8kuhxetPwIJdYWw773ZmmxC0h10mM/edit?usp=drivesdk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</si>
  <si>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Jun 13 2022 2:03 PM</t>
  </si>
  <si>
    <t>1ZJCGcvhnfwf-t_zdbviQxirSzGrI9otVyjXSP90YCTc</t>
  </si>
  <si>
    <t>https://docs.google.com/document/d/1ZJCGcvhnfwf-t_zdbviQxirSzGrI9otVyjXSP90YCTc/edit?usp=drivesdk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</si>
  <si>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14 2022 7:32 AM</t>
  </si>
  <si>
    <t>1hvJfOqGhQF7jAm0kqBPa8COF-1PmVAY7hNF0JTh2qK0</t>
  </si>
  <si>
    <t>https://docs.google.com/document/d/1hvJfOqGhQF7jAm0kqBPa8COF-1PmVAY7hNF0JTh2qK0/edit?usp=drivesdk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</si>
  <si>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Jun 14 2022 1:34 PM</t>
  </si>
  <si>
    <t>1HLzHHewWBdvgp_aL9h1BUhMEdLIliJob9Kw-bLOozGc</t>
  </si>
  <si>
    <t>https://docs.google.com/document/d/1HLzHHewWBdvgp_aL9h1BUhMEdLIliJob9Kw-bLOozGc/edit?usp=drivesdk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</si>
  <si>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15 2022 7:45 AM</t>
  </si>
  <si>
    <t>1vp2z9GoJlmGQ5mPFexJ_yeX8JywNrEKMegDAuvXR56U</t>
  </si>
  <si>
    <t>https://docs.google.com/document/d/1vp2z9GoJlmGQ5mPFexJ_yeX8JywNrEKMegDAuvXR56U/edit?usp=drivesdk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</si>
  <si>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Jun 15 2022 9:00 AM</t>
  </si>
  <si>
    <t>1Py0eELnjyMJBoK2Ni_wM5tf-ax0Ofra3psHqmRvrIpk</t>
  </si>
  <si>
    <t>https://docs.google.com/document/d/1Py0eELnjyMJBoK2Ni_wM5tf-ax0Ofra3psHqmRvrIpk/edit?usp=drivesdk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</si>
  <si>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15 2022 12:21 PM</t>
  </si>
  <si>
    <t>1BRJw2bdM1aYJfztrQhzxL9IXIuVuE7CBuSrnisRybno</t>
  </si>
  <si>
    <t>https://docs.google.com/document/d/1BRJw2bdM1aYJfztrQhzxL9IXIuVuE7CBuSrnisRybno/edit?usp=drivesdk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</si>
  <si>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Jun 15 2022 1:24 PM</t>
  </si>
  <si>
    <t>1dZJMMDyCAlzBBB90I0BvE73CK9AgSYkLb7jDkVxBBF8</t>
  </si>
  <si>
    <t>https://docs.google.com/document/d/1dZJMMDyCAlzBBB90I0BvE73CK9AgSYkLb7jDkVxBBF8/edit?usp=drivesdk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</si>
  <si>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Jun 16 2022 7:46 AM</t>
  </si>
  <si>
    <t>1jgQqQUT6rv1OYR067QfljONC9GGmea1zjGVhiprrAnA</t>
  </si>
  <si>
    <t>https://docs.google.com/document/d/1jgQqQUT6rv1OYR067QfljONC9GGmea1zjGVhiprrAnA/edit?usp=drivesdk</t>
  </si>
  <si>
    <t>Document successfully created; Document successfully merged; Emails Sent: [To: Scott.Eastman@floridadep.gov,blythe.odzinski@floridadep.gov,stephanie.windham@floridadep.gov,lia.sansom@floridadep.gov; CC: janes.tomazinis@floridadep.gov; Reply To: janes.tomazinis@floridadep.gov]; Run via form trigger as education@gtmnerr.org; Timestamp: Jun 16 2022 12:18 PM</t>
  </si>
  <si>
    <t>1Xr9941vqY4-hu2yih4FaE0O31yAdaI5UQbtKju1n2RY</t>
  </si>
  <si>
    <t>https://docs.google.com/document/d/1Xr9941vqY4-hu2yih4FaE0O31yAdaI5UQbtKju1n2RY/edit?usp=drivesdk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</si>
  <si>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Jun 17 2022 8:10 AM</t>
  </si>
  <si>
    <t>15lNDMSGEk_R1rMeziaLuwP95ngHoSL5S61DXP5E-EWQ</t>
  </si>
  <si>
    <t>https://docs.google.com/document/d/15lNDMSGEk_R1rMeziaLuwP95ngHoSL5S61DXP5E-EWQ/edit?usp=drivesdk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</si>
  <si>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20 2022 7:39 AM</t>
  </si>
  <si>
    <t>1p9TmGP2UwhfsiAdm7GT8VtNI_oMYbxWwn0M5F0QKEFA</t>
  </si>
  <si>
    <t>https://docs.google.com/document/d/1p9TmGP2UwhfsiAdm7GT8VtNI_oMYbxWwn0M5F0QKEFA/edit?usp=drivesdk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</si>
  <si>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20 2022 7:51 AM</t>
  </si>
  <si>
    <t>1t-iXgZBRD6BHtMCUQ4VXPpyWX3djDTjyiF37jVwvZso</t>
  </si>
  <si>
    <t>https://docs.google.com/document/d/1t-iXgZBRD6BHtMCUQ4VXPpyWX3djDTjyiF37jVwvZso/edit?usp=drivesdk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</si>
  <si>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20 2022 11:40 AM</t>
  </si>
  <si>
    <t>1v4coNZ73S1GtVPoxOlkQN9spJn13uE74cnmPyRObaLY</t>
  </si>
  <si>
    <t>https://docs.google.com/document/d/1v4coNZ73S1GtVPoxOlkQN9spJn13uE74cnmPyRObaLY/edit?usp=drivesdk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</si>
  <si>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21 2022 6:34 AM</t>
  </si>
  <si>
    <t>1ro-4Y7p6cyziDtZoxCcvcm4YKUqSc90J4RxzMD550-U</t>
  </si>
  <si>
    <t>https://docs.google.com/document/d/1ro-4Y7p6cyziDtZoxCcvcm4YKUqSc90J4RxzMD550-U/edit?usp=drivesdk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</si>
  <si>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Jun 21 2022 6:53 AM</t>
  </si>
  <si>
    <t>14gdSDwcjH75LHzQIapjW8GiD85udQ4PIdtP-kja9pAQ</t>
  </si>
  <si>
    <t>https://docs.google.com/document/d/14gdSDwcjH75LHzQIapjW8GiD85udQ4PIdtP-kja9pAQ/edit?usp=drivesdk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</si>
  <si>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21 2022 7:47 AM</t>
  </si>
  <si>
    <t>17OnkznXDLUMXxnnB3QUe_MfYmMD4l6DKthEVWAJW0C8</t>
  </si>
  <si>
    <t>https://docs.google.com/document/d/17OnkznXDLUMXxnnB3QUe_MfYmMD4l6DKthEVWAJW0C8/edit?usp=drivesdk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</si>
  <si>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21 2022 12:28 PM</t>
  </si>
  <si>
    <t>1GM4Fa7kMUAsax3q5y8_21MNcaYO2AJNntZWfUSxr2ak</t>
  </si>
  <si>
    <t>https://docs.google.com/document/d/1GM4Fa7kMUAsax3q5y8_21MNcaYO2AJNntZWfUSxr2ak/edit?usp=drivesdk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</si>
  <si>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Jun 22 2022 6:56 AM</t>
  </si>
  <si>
    <t>1Ge1rUUL3asJtbxW0wLNAEWEzyzz_kWGfdIyXraPx0u4</t>
  </si>
  <si>
    <t>https://docs.google.com/document/d/1Ge1rUUL3asJtbxW0wLNAEWEzyzz_kWGfdIyXraPx0u4/edit?usp=drivesdk</t>
  </si>
  <si>
    <t>Document successfully created; Document successfully merged; Emails Sent: [To: Nikki.Dix@floridadep.gov,blythe.odzinski@floridadep.gov,stephanie.windham@floridadep.gov,lia.sansom@floridadep.gov; CC: silas.tanner@dep.state.fl.us; Reply To: silas.tanner@dep.state.fl.us]; Run via form trigger as education@gtmnerr.org; Timestamp: Jun 22 2022 8:09 AM</t>
  </si>
  <si>
    <t>1PqNLRxM93w5m1ogMK5FtVniTPoec_JAGmCAQOlgkNnI</t>
  </si>
  <si>
    <t>https://docs.google.com/document/d/1PqNLRxM93w5m1ogMK5FtVniTPoec_JAGmCAQOlgkNnI/edit?usp=drivesdk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</si>
  <si>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22 2022 8:09 AM</t>
  </si>
  <si>
    <t>1e5oCMKtb8s_eKsGwO-qj_scE5oPmZl_3nx7JkIGJlBw</t>
  </si>
  <si>
    <t>https://docs.google.com/document/d/1e5oCMKtb8s_eKsGwO-qj_scE5oPmZl_3nx7JkIGJlBw/edit?usp=drivesdk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</si>
  <si>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22 2022 12:56 PM</t>
  </si>
  <si>
    <t>16dYCi1go_NcZnqx_wC1cNdkRoTcNSa8IECOK-ODwVic</t>
  </si>
  <si>
    <t>https://docs.google.com/document/d/16dYCi1go_NcZnqx_wC1cNdkRoTcNSa8IECOK-ODwVic/edit?usp=drivesdk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</si>
  <si>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23 2022 8:33 AM</t>
  </si>
  <si>
    <t>1wCXg7JH1a5Dr1V1VRyz1_HYTMsTChiBrTvEXv6dKbMY</t>
  </si>
  <si>
    <t>https://docs.google.com/document/d/1wCXg7JH1a5Dr1V1VRyz1_HYTMsTChiBrTvEXv6dKbMY/edit?usp=drivesdk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</si>
  <si>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23 2022 8:36 AM</t>
  </si>
  <si>
    <t>1CLsEPNbtiMlBICQ7QSJM9HInpB5hNSsZUQ57flyjCMQ</t>
  </si>
  <si>
    <t>https://docs.google.com/document/d/1CLsEPNbtiMlBICQ7QSJM9HInpB5hNSsZUQ57flyjCMQ/edit?usp=drivesdk</t>
  </si>
  <si>
    <t>Document successfully created; Document successfully merged; Emails Sent: [To: Nikki.Dix@floridadep.gov,blythe.odzinski@floridadep.gov,stephanie.windham@floridadep.gov,lia.sansom@floridadep.gov; CC: silas.tanner@dep.state.fl.us; Reply To: silas.tanner@dep.state.fl.us]; Run via form trigger as education@gtmnerr.org; Timestamp: Jun 23 2022 12:44 PM</t>
  </si>
  <si>
    <t>1RBHMjpI5oN5U21NgTp37NQns-aKSrjjKkFiMSxzj8Js</t>
  </si>
  <si>
    <t>https://docs.google.com/document/d/1RBHMjpI5oN5U21NgTp37NQns-aKSrjjKkFiMSxzj8Js/edit?usp=drivesdk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</si>
  <si>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Jun 24 2022 8:56 AM</t>
  </si>
  <si>
    <t>1c5l2a0XgVZ--ILn7XvMxMcxwqhqZn1aY2gglUKT1ozc</t>
  </si>
  <si>
    <t>https://docs.google.com/document/d/1c5l2a0XgVZ--ILn7XvMxMcxwqhqZn1aY2gglUKT1ozc/edit?usp=drivesdk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</si>
  <si>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Jun 28 2022 9:36 AM</t>
  </si>
  <si>
    <t>1RNpvclHnJJr0u7JZP4GUl3UaxneiCGy09j_OwC6AbnQ</t>
  </si>
  <si>
    <t>https://docs.google.com/document/d/1RNpvclHnJJr0u7JZP4GUl3UaxneiCGy09j_OwC6AbnQ/edit?usp=drivesdk</t>
  </si>
  <si>
    <t>Document successfully created; Document successfully merged; Emails Sent: [To: Nikki.Dix@floridadep.gov,blythe.odzinski@floridadep.gov,stephanie.windham@floridadep.gov,lia.sansom@floridadep.gov]; Run via form trigger as education@gtmnerr.org; Timestamp: Jun 28 2022 12:33 PM</t>
  </si>
  <si>
    <t>1ddMm0YunFs98NR-uXVxun77aRNAx051kf51ww3HRVSY</t>
  </si>
  <si>
    <t>https://docs.google.com/document/d/1ddMm0YunFs98NR-uXVxun77aRNAx051kf51ww3HRVSY/edit?usp=drivesdk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</si>
  <si>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Jun 30 2022 8:22 AM</t>
  </si>
  <si>
    <t>1a73xZa5IDDQDNO_nPzuvRa66JBEEWrNC6uxiYOwMsHY</t>
  </si>
  <si>
    <t>https://docs.google.com/document/d/1a73xZa5IDDQDNO_nPzuvRa66JBEEWrNC6uxiYOwMsHY/edit?usp=drivesdk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</si>
  <si>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1 2022 7:13 AM</t>
  </si>
  <si>
    <t>1X5omORKg9q1Q2uqzxp0k9JirDU65flqZ6bcze6GUIGw</t>
  </si>
  <si>
    <t>https://docs.google.com/document/d/1X5omORKg9q1Q2uqzxp0k9JirDU65flqZ6bcze6GUIGw/edit?usp=drivesdk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</si>
  <si>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Jul 8 2022 7:22 AM</t>
  </si>
  <si>
    <t>1uSihR3B2zuVCRc2LABznWXPKb6pB7vBb2tY9q3Ft6Uo</t>
  </si>
  <si>
    <t>https://docs.google.com/document/d/1uSihR3B2zuVCRc2LABznWXPKb6pB7vBb2tY9q3Ft6Uo/edit?usp=drivesdk</t>
  </si>
  <si>
    <t>Document successfully created; Document successfully merged; Emails Sent: [To: Nikki.Dix@floridadep.gov,blythe.odzinski@floridadep.gov,stephanie.windham@floridadep.gov,lia.sansom@floridadep.gov; CC: jmcupp099@gmail.com; Reply To: jmcupp099@gmail.com]; Run via form trigger as education@gtmnerr.org; Timestamp: Jul 11 2022 7:24 AM</t>
  </si>
  <si>
    <t>19grliXh_OuV8dEWqZQLuLaRqwBIh0UqYKeZmd1GdmqA</t>
  </si>
  <si>
    <t>https://docs.google.com/document/d/19grliXh_OuV8dEWqZQLuLaRqwBIh0UqYKeZmd1GdmqA/edit?usp=drivesdk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</si>
  <si>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Jul 12 2022 6:52 AM</t>
  </si>
  <si>
    <t>1DT0Zx6uwyKzgx3z_u36aB1rUheUamDD3XCrKC_er6G0</t>
  </si>
  <si>
    <t>https://docs.google.com/document/d/1DT0Zx6uwyKzgx3z_u36aB1rUheUamDD3XCrKC_er6G0/edit?usp=drivesdk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</si>
  <si>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12 2022 9:49 AM</t>
  </si>
  <si>
    <t>1ZCS35kdIJcnZlQE03cEss_VXHIwNbPa9gGAzHfOKkvE</t>
  </si>
  <si>
    <t>https://docs.google.com/document/d/1ZCS35kdIJcnZlQE03cEss_VXHIwNbPa9gGAzHfOKkvE/edit?usp=drivesdk</t>
  </si>
  <si>
    <t>Document successfully created; Document successfully merged; Emails Sent: [To: Nikki.Dix@floridadep.gov,blythe.odzinski@floridadep.gov,stephanie.windham@floridadep.gov,lia.sansom@floridadep.gov; CC: jmcupp099@gmail.com; Reply To: jmcupp099@gmail.com]; Run via form trigger as education@gtmnerr.org; Timestamp: Jul 13 2022 7:34 AM</t>
  </si>
  <si>
    <t>1hm4NrgHQKwMVu9Eq-JgzT17dXJV98HIjQcwNtMObRpU</t>
  </si>
  <si>
    <t>https://docs.google.com/document/d/1hm4NrgHQKwMVu9Eq-JgzT17dXJV98HIjQcwNtMObRpU/edit?usp=drivesdk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</si>
  <si>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25 2022 11:01 AM</t>
  </si>
  <si>
    <t>1mgd2mpQv8fh7nrB5OtNUG7FZDjHxvhBVEe-2YA29fIA</t>
  </si>
  <si>
    <t>https://docs.google.com/document/d/1mgd2mpQv8fh7nrB5OtNUG7FZDjHxvhBVEe-2YA29fIA/edit?usp=drivesdk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</si>
  <si>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Jul 27 2022 8:29 AM</t>
  </si>
  <si>
    <t>1TDDjB2_bOKNzyRW0ANNSGnTIw2Mz2kRieAl9-ce9eFo</t>
  </si>
  <si>
    <t>https://docs.google.com/document/d/1TDDjB2_bOKNzyRW0ANNSGnTIw2Mz2kRieAl9-ce9eFo/edit?usp=drivesdk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</si>
  <si>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3 2022 7:39 AM</t>
  </si>
  <si>
    <t>1Vam4eAn0J_uSWai1w9dpRY1dAhOI4x27T2uQTWJfLLQ</t>
  </si>
  <si>
    <t>https://docs.google.com/document/d/1Vam4eAn0J_uSWai1w9dpRY1dAhOI4x27T2uQTWJfLLQ/edit?usp=drivesdk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</si>
  <si>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3 2022 7:46 AM</t>
  </si>
  <si>
    <t>1RcuUkP0NsBcMMvdGlArCHR1WyCuQXK09SBwD4afbuXs</t>
  </si>
  <si>
    <t>https://docs.google.com/document/d/1RcuUkP0NsBcMMvdGlArCHR1WyCuQXK09SBwD4afbuXs/edit?usp=drivesdk</t>
  </si>
  <si>
    <t>Document successfully created; Document successfully merged; Emails Sent: [To: Scott.Eastman@floridadep.gov,blythe.odzinski@floridadep.gov,stephanie.windham@floridadep.gov,lia.sansom@floridadep.gov; CC: allix.north@dep.state.fl.us; Reply To: allix.north@dep.state.fl.us]; Run via form trigger as education@gtmnerr.org; Timestamp: Aug 5 2022 8:44 AM</t>
  </si>
  <si>
    <t>17P97fQUeMtfP6FWDjIN4XtKP1UVZHXztNwKTgGH5P7Q</t>
  </si>
  <si>
    <t>https://docs.google.com/document/d/17P97fQUeMtfP6FWDjIN4XtKP1UVZHXztNwKTgGH5P7Q/edit?usp=drivesdk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</si>
  <si>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Aug 8 2022 4:06 PM</t>
  </si>
  <si>
    <t>1hKfRf4G64Bvv_kowa6RgiOmrDX3VxVdMUfCKfxeT9LQ</t>
  </si>
  <si>
    <t>https://docs.google.com/document/d/1hKfRf4G64Bvv_kowa6RgiOmrDX3VxVdMUfCKfxeT9LQ/edit?usp=drivesdk</t>
  </si>
  <si>
    <t>Document successfully created; Document successfully merged; Emails Sent: [To: Nikki.Dix@floridadep.gov,blythe.odzinski@floridadep.gov,stephanie.windham@floridadep.gov,lia.sansom@floridadep.gov; CC: jmcupp099@gmail.com; Reply To: jmcupp099@gmail.com]; Run via form trigger as education@gtmnerr.org; Timestamp: Aug 9 2022 7:18 AM</t>
  </si>
  <si>
    <t>1xOvedWwB8qwbyzdN2Iwhd4eVevJ9cSgkI_5aTCXs0Dk</t>
  </si>
  <si>
    <t>https://docs.google.com/document/d/1xOvedWwB8qwbyzdN2Iwhd4eVevJ9cSgkI_5aTCXs0Dk/edit?usp=drivesdk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</si>
  <si>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Aug 9 2022 8:11 AM</t>
  </si>
  <si>
    <t>1jV8YgLr710ocIc2qmjU5A9XZ6bZX8zA9b3sIbT-Peng</t>
  </si>
  <si>
    <t>https://docs.google.com/document/d/1jV8YgLr710ocIc2qmjU5A9XZ6bZX8zA9b3sIbT-Peng/edit?usp=drivesdk</t>
  </si>
  <si>
    <t>Document successfully created; Document successfully merged; Emails Sent: [To: Pamela.Marcum@floridadep.gov,blythe.odzinski@floridadep.gov,stephanie.windham@floridadep.gov,lia.sansom@floridadep.gov; CC: courtney.l.schultz@floridadep.gov; Reply To: courtney.l.schultz@floridadep.gov]; Run via form trigger as education@gtmnerr.org; Timestamp: Aug 10 2022 7:24 AM</t>
  </si>
  <si>
    <t>1V13gmgiF_K9qJ2_cHNnybPy4e7hXbs8oq-Wwh71eOi4</t>
  </si>
  <si>
    <t>https://docs.google.com/document/d/1V13gmgiF_K9qJ2_cHNnybPy4e7hXbs8oq-Wwh71eOi4/edit?usp=drivesdk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</si>
  <si>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Aug 11 2022 10:56 AM</t>
  </si>
  <si>
    <t>13lDNKbEqSFndSkGzkFPWIcrNvupznN6GjNV6h24l9E0</t>
  </si>
  <si>
    <t>https://docs.google.com/document/d/13lDNKbEqSFndSkGzkFPWIcrNvupznN6GjNV6h24l9E0/edit?usp=drivesdk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</si>
  <si>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Aug 16 2022 12:12 PM</t>
  </si>
  <si>
    <t>1fXj3y-7RnJGNC0AeHgZY-SeIzaikF7F10xhTEgY9ocE</t>
  </si>
  <si>
    <t>https://docs.google.com/document/d/1fXj3y-7RnJGNC0AeHgZY-SeIzaikF7F10xhTEgY9ocE/edit?usp=drivesdk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</si>
  <si>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30 2022 11:35 AM</t>
  </si>
  <si>
    <t>1sa7bALf1C9xS6U1zRhbFGcN92wAvNmmpVruVZ5l9HZ0</t>
  </si>
  <si>
    <t>https://docs.google.com/document/d/1sa7bALf1C9xS6U1zRhbFGcN92wAvNmmpVruVZ5l9HZ0/edit?usp=drivesdk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</si>
  <si>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30 2022 1:41 PM</t>
  </si>
  <si>
    <t>1O_1-eCrgJ9YUxJSS4Kj_Ge2EWkubt9ai68iPlm0Wy5A</t>
  </si>
  <si>
    <t>https://docs.google.com/document/d/1O_1-eCrgJ9YUxJSS4Kj_Ge2EWkubt9ai68iPlm0Wy5A/edit?usp=drivesdk</t>
  </si>
  <si>
    <t>Document successfully created; Document successfully merged; Emails Sent: [To: Silas.Tanner@floridadep.gov,blythe.odzinski@floridadep.gov,stephanie.windham@floridadep.gov,lia.sansom@floridadep.gov; CC: silas.tanner@floridadep.gov; Reply To: silas.tanner@floridadep.gov]; Run via form trigger as education@gtmnerr.org; Timestamp: Aug 31 2022 9:13 AM</t>
  </si>
  <si>
    <t>1DQnFIKzmjyhwZg9pJIXA6hgD4noav7xEJ3PqtjBrRhk</t>
  </si>
  <si>
    <t>https://docs.google.com/document/d/1DQnFIKzmjyhwZg9pJIXA6hgD4noav7xEJ3PqtjBrRhk/edit?usp=drivesdk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</si>
  <si>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Aug 31 2022 10:15 AM</t>
  </si>
  <si>
    <t>1QYQAVJT4KOuQvEcNN6-hDWwYUik4vwwicY7MNRA5wLA</t>
  </si>
  <si>
    <t>https://docs.google.com/document/d/1QYQAVJT4KOuQvEcNN6-hDWwYUik4vwwicY7MNRA5wLA/edit?usp=drivesdk</t>
  </si>
  <si>
    <t>Document successfully created; Document successfully merged; Emails Sent: [To: Nikki.Dix@floridadep.gov,blythe.odzinski@floridadep.gov,stephanie.windham@floridadep.gov,lia.sansom@floridadep.gov; CC: jmcupp099@gmail.com; Reply To: jmcupp099@gmail.com]; Run via form trigger as education@gtmnerr.org; Timestamp: Sep 7 2022 7:27 AM</t>
  </si>
  <si>
    <t>1G82bfglccreHjoSRRf1xzMAp_L4Pd0eFLrQ8wDRyo8M</t>
  </si>
  <si>
    <t>https://docs.google.com/document/d/1G82bfglccreHjoSRRf1xzMAp_L4Pd0eFLrQ8wDRyo8M/edit?usp=drivesdk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</si>
  <si>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8 2022 12:09 PM</t>
  </si>
  <si>
    <t>1ywcCWmvTYzjPRu71_53WtV4Ws6XeC5sKmCfCC0Hkf6M</t>
  </si>
  <si>
    <t>https://docs.google.com/document/d/1ywcCWmvTYzjPRu71_53WtV4Ws6XeC5sKmCfCC0Hkf6M/edit?usp=drivesdk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</si>
  <si>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9 2022 10:06 AM</t>
  </si>
  <si>
    <t>16unQjogjJIPsG-F_BARKYu3h7Bw3HC9EKsGX7jo1d9o</t>
  </si>
  <si>
    <t>https://docs.google.com/document/d/16unQjogjJIPsG-F_BARKYu3h7Bw3HC9EKsGX7jo1d9o/edit?usp=drivesdk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</si>
  <si>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12 2022 9:48 AM</t>
  </si>
  <si>
    <t>1tCrtJpQE_7LtmBawUuUooUmqnby6Y9o6l7xXQF_8bm0</t>
  </si>
  <si>
    <t>https://docs.google.com/document/d/1tCrtJpQE_7LtmBawUuUooUmqnby6Y9o6l7xXQF_8bm0/edit?usp=drivesdk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</si>
  <si>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Sep 14 2022 8:27 AM</t>
  </si>
  <si>
    <t>ST</t>
  </si>
  <si>
    <t>15iOgpdqC-MR_VlmeyY_IpqO6qxDbhn_N6aZdBzrCAao</t>
  </si>
  <si>
    <t>https://docs.google.com/document/d/15iOgpdqC-MR_VlmeyY_IpqO6qxDbhn_N6aZdBzrCAao/edit?usp=drivesdk</t>
  </si>
  <si>
    <t>Document successfully created; Document successfully merged; Emails Sent: [To: Silas.Tanner@floridadep.gov,blythe.odzinski@floridadep.gov,stephanie.windham@floridadep.gov,lia.sansom@floridadep.gov; CC: Pamela.Marcum@FloridaDEP.gov; Reply To: Pamela.Marcum@FloridaDEP.gov]; Run via form trigger as education@gtmnerr.org; Timestamp: Sep 15 2022 9:14 AM</t>
  </si>
  <si>
    <t>1D0NrTmUEXZfSt-FoLPhlxvKGHidXi6CTl2aXjjmn2vU</t>
  </si>
  <si>
    <t>https://docs.google.com/document/d/1D0NrTmUEXZfSt-FoLPhlxvKGHidXi6CTl2aXjjmn2vU/edit?usp=drivesdk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</si>
  <si>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19 2022 8:50 AM</t>
  </si>
  <si>
    <t>12prjhxN5a5cs59ywgET2x0Nrd3DDmK51RXMqTzJ1RYU</t>
  </si>
  <si>
    <t>https://docs.google.com/document/d/12prjhxN5a5cs59ywgET2x0Nrd3DDmK51RXMqTzJ1RYU/edit?usp=drivesdk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</si>
  <si>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Sep 21 2022 6:54 AM</t>
  </si>
  <si>
    <t>1DFy6isb3YaH8jceTQyAahMjLvq-aZ6SFqm8G6_dypIc</t>
  </si>
  <si>
    <t>https://docs.google.com/document/d/1DFy6isb3YaH8jceTQyAahMjLvq-aZ6SFqm8G6_dypIc/edit?usp=drivesdk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</si>
  <si>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25 2022 11:06 AM</t>
  </si>
  <si>
    <t>1MMdP_cXBpcKLREii8rNKwPoxeWrv0Er0jtl-yNZ1sfw</t>
  </si>
  <si>
    <t>https://docs.google.com/document/d/1MMdP_cXBpcKLREii8rNKwPoxeWrv0Er0jtl-yNZ1sfw/edit?usp=drivesdk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</si>
  <si>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25 2022 2:36 PM</t>
  </si>
  <si>
    <t>16L2SYI_DHROVDdtCMXcVIFzOflevRZTuEjWMeVKV_2A</t>
  </si>
  <si>
    <t>https://docs.google.com/document/d/16L2SYI_DHROVDdtCMXcVIFzOflevRZTuEjWMeVKV_2A/edit?usp=drivesdk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</si>
  <si>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Sep 26 2022 10:01 AM</t>
  </si>
  <si>
    <t>1xFBvZRE3qcFijad7ftcixPuQpTRWiY8Rkjaz3qRfyjY</t>
  </si>
  <si>
    <t>https://docs.google.com/document/d/1xFBvZRE3qcFijad7ftcixPuQpTRWiY8Rkjaz3qRfyjY/edit?usp=drivesdk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</si>
  <si>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Sep 27 2022 9:23 AM</t>
  </si>
  <si>
    <t>1kvF7G9YmHbK-kHsCp-FTJbOrvt0L2KKA6N3V1Yu6n6g</t>
  </si>
  <si>
    <t>https://docs.google.com/document/d/1kvF7G9YmHbK-kHsCp-FTJbOrvt0L2KKA6N3V1Yu6n6g/edit?usp=drivesdk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</si>
  <si>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5 2022 8:53 AM</t>
  </si>
  <si>
    <t>1iqaaMs6923fCABIWXKbPSrIHg3EGKHOXykTwpfCOo2w</t>
  </si>
  <si>
    <t>https://docs.google.com/document/d/1iqaaMs6923fCABIWXKbPSrIHg3EGKHOXykTwpfCOo2w/edit?usp=drivesdk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</si>
  <si>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Oct 6 2022 7:08 AM</t>
  </si>
  <si>
    <t>1eb6p4GErWM1l2xYYqQGBI_ISnbaZcZ-YgurGUp4SJuQ</t>
  </si>
  <si>
    <t>https://docs.google.com/document/d/1eb6p4GErWM1l2xYYqQGBI_ISnbaZcZ-YgurGUp4SJuQ/edit?usp=drivesdk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</si>
  <si>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Oct 10 2022 7:00 AM</t>
  </si>
  <si>
    <t>1hY-QzWHBay4X0spOZkCc6iEWz2U7t0_9gMnhpFokMpY</t>
  </si>
  <si>
    <t>https://docs.google.com/document/d/1hY-QzWHBay4X0spOZkCc6iEWz2U7t0_9gMnhpFokMpY/edit?usp=drivesdk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</si>
  <si>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Oct 11 2022 10:02 AM</t>
  </si>
  <si>
    <t>1bbDwF4y4WaD1NJqZXrQ92xLVoz_4mFmcpB8bW-RJYvg</t>
  </si>
  <si>
    <t>https://docs.google.com/document/d/1bbDwF4y4WaD1NJqZXrQ92xLVoz_4mFmcpB8bW-RJYvg/edit?usp=drivesdk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</si>
  <si>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13 2022 9:25 AM</t>
  </si>
  <si>
    <t>1bE4X6wClm7HiFrBNuDXxqkur4A-xbMSu2mhwcdlTUHY</t>
  </si>
  <si>
    <t>https://docs.google.com/document/d/1bE4X6wClm7HiFrBNuDXxqkur4A-xbMSu2mhwcdlTUHY/edit?usp=drivesdk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</si>
  <si>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Oct 14 2022 7:46 AM</t>
  </si>
  <si>
    <t>1Xt4ayVP5CNQkjnlzBXxHfJkQ51ViteXE7KsPkGnXMiI</t>
  </si>
  <si>
    <t>https://docs.google.com/document/d/1Xt4ayVP5CNQkjnlzBXxHfJkQ51ViteXE7KsPkGnXMiI/edit?usp=drivesdk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</si>
  <si>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Oct 17 2022 8:03 AM</t>
  </si>
  <si>
    <t>1Ax5whJAXoyvkNv80yhIVDXTah_j70azkxvOzVN0nuDo</t>
  </si>
  <si>
    <t>https://docs.google.com/document/d/1Ax5whJAXoyvkNv80yhIVDXTah_j70azkxvOzVN0nuDo/edit?usp=drivesdk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</si>
  <si>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Oct 18 2022 9:38 AM</t>
  </si>
  <si>
    <t>1MXbex7R-jCLWwyreOHvDbWo_aiQKnthk73BOX0CGEWU</t>
  </si>
  <si>
    <t>https://docs.google.com/document/d/1MXbex7R-jCLWwyreOHvDbWo_aiQKnthk73BOX0CGEWU/edit?usp=drivesdk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</si>
  <si>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Oct 19 2022 9:49 AM</t>
  </si>
  <si>
    <t>1f7S7eFjtv7oaSZ2EcGqy-7CtBgOc7qqo1FMFhrjl8yQ</t>
  </si>
  <si>
    <t>https://docs.google.com/document/d/1f7S7eFjtv7oaSZ2EcGqy-7CtBgOc7qqo1FMFhrjl8yQ/edit?usp=drivesdk</t>
  </si>
  <si>
    <t>Document successfully created; Document successfully merged; Emails Sent: [To: Silas.Tanner@floridadep.gov,blythe.odzinski@floridadep.gov,stephanie.windham@floridadep.gov,lia.sansom@floridadep.gov; CC: Jacob.Berna@FloridaDEP.gov; Reply To: Jacob.Berna@FloridaDEP.gov]; Run via form trigger as education@gtmnerr.org; Timestamp: Oct 20 2022 10:21 AM</t>
  </si>
  <si>
    <t>1AXmjglSZyT-fgClbv1_snrdEzJhFXsBrN53DsuqPFow</t>
  </si>
  <si>
    <t>https://docs.google.com/document/d/1AXmjglSZyT-fgClbv1_snrdEzJhFXsBrN53DsuqPFow/edit?usp=drivesdk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</si>
  <si>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Oct 21 2022 11:16 AM</t>
  </si>
  <si>
    <t>1cj6b6LeEu3bbAbShZwChVJrQuAFsb0aZuH8XuKCWJqU</t>
  </si>
  <si>
    <t>https://docs.google.com/document/d/1cj6b6LeEu3bbAbShZwChVJrQuAFsb0aZuH8XuKCWJqU/edit?usp=drivesdk</t>
  </si>
  <si>
    <t>Document successfully created; Document successfully merged; Emails Sent: [To: Silas.Tanner@floridadep.gov,blythe.odzinski@floridadep.gov,stephanie.windham@floridadep.gov,lia.sansom@floridadep.gov; CC: Jacob.Berna@FloridaDEP.gov; Reply To: Jacob.Berna@FloridaDEP.gov]; Run via form trigger as education@gtmnerr.org; Timestamp: Oct 24 2022 10:29 AM</t>
  </si>
  <si>
    <t>123ut7z1m-eqYHOtQdDpCAKH5sfmZLfTxuXlqMhmHYOE</t>
  </si>
  <si>
    <t>https://docs.google.com/document/d/123ut7z1m-eqYHOtQdDpCAKH5sfmZLfTxuXlqMhmHYOE/edit?usp=drivesdk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</si>
  <si>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Oct 26 2022 9:30 AM</t>
  </si>
  <si>
    <t>1bU2XcSyug0fbDiHb3XS-D1tFWdLMQo2QWl83PTxlB5c</t>
  </si>
  <si>
    <t>https://docs.google.com/document/d/1bU2XcSyug0fbDiHb3XS-D1tFWdLMQo2QWl83PTxlB5c/edit?usp=drivesdk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</si>
  <si>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Oct 27 2022 7:18 AM</t>
  </si>
  <si>
    <t>16Iz1VksoxjRNGQhHDya6ne3GBHeLeUQm1gm2S2pQ9E4</t>
  </si>
  <si>
    <t>https://docs.google.com/document/d/16Iz1VksoxjRNGQhHDya6ne3GBHeLeUQm1gm2S2pQ9E4/edit?usp=drivesdk</t>
  </si>
  <si>
    <t>Document successfully created; Document successfully merged; Emails Sent: [To: Shannon.Dunnigan@floridadep.gov,blythe.odzinski@floridadep.gov,stephanie.windham@floridadep.gov,lia.sansom@floridadep.gov; CC: Pamela.Marcum@FloridaDEP.gov; Reply To: Pamela.Marcum@FloridaDEP.gov]; Run via form trigger as education@gtmnerr.org; Timestamp: Oct 28 2022 7:56 AM</t>
  </si>
  <si>
    <t>1NFy1O2PqImq_wHVQBw2rb3OAm1vseC5iVNiIqJDlzhk</t>
  </si>
  <si>
    <t>https://docs.google.com/document/d/1NFy1O2PqImq_wHVQBw2rb3OAm1vseC5iVNiIqJDlzhk/edit?usp=drivesdk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</si>
  <si>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1 2022 8:58 PM</t>
  </si>
  <si>
    <t>1DO-1slZ5Bu1G5XvG0dwG4d1-hVIfxAqmFbey0sNptV4</t>
  </si>
  <si>
    <t>https://docs.google.com/document/d/1DO-1slZ5Bu1G5XvG0dwG4d1-hVIfxAqmFbey0sNptV4/edit?usp=drivesdk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</si>
  <si>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Nov 3 2022 6:10 AM</t>
  </si>
  <si>
    <t>1MHGXt_KA_yQI1HrE8A-F7w0o-V8hQGWYEqoGtf3auDU</t>
  </si>
  <si>
    <t>https://docs.google.com/document/d/1MHGXt_KA_yQI1HrE8A-F7w0o-V8hQGWYEqoGtf3auDU/edit?usp=drivesdk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</si>
  <si>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Nov 7 2022 7:54 AM</t>
  </si>
  <si>
    <t>1IgQxMF75KPn2PEBatkooPV5A16sAEX_ibVhMqjcz1Tw</t>
  </si>
  <si>
    <t>https://docs.google.com/document/d/1IgQxMF75KPn2PEBatkooPV5A16sAEX_ibVhMqjcz1Tw/edit?usp=drivesdk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</si>
  <si>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Nov 7 2022 1:35 PM</t>
  </si>
  <si>
    <t>1K5Q1YNcbbnFigP1EPaCwgp5LHSNvRpg2QWAEMpDA0-E</t>
  </si>
  <si>
    <t>https://docs.google.com/document/d/1K5Q1YNcbbnFigP1EPaCwgp5LHSNvRpg2QWAEMpDA0-E/edit?usp=drivesdk</t>
  </si>
  <si>
    <t>Document successfully created; Document successfully merged; Emails Sent: [To: Nikki.Dix@floridadep.gov,blythe.odzinski@floridadep.gov,stephanie.windham@floridadep.gov,lia.sansom@floridadep.gov; CC: Pamela.Marcum@FloridaDEP.gov; Reply To: Pamela.Marcum@FloridaDEP.gov]; Run via form trigger as education@gtmnerr.org; Timestamp: Nov 7 2022 4:40 PM</t>
  </si>
  <si>
    <t>189mkY3uc7eO_0x5KG-VlcY1xMlWClOI_H5XtgtHQiBc</t>
  </si>
  <si>
    <t>https://docs.google.com/document/d/189mkY3uc7eO_0x5KG-VlcY1xMlWClOI_H5XtgtHQiBc/edit?usp=drivesdk</t>
  </si>
  <si>
    <t>Document successfully created; Document successfully merged; Emails Sent: [To: Shannon.Dunnigan@floridadep.gov,blythe.odzinski@floridadep.gov,stephanie.windham@floridadep.gov,lia.sansom@floridadep.gov; CC: silas.tanner@dep.state.fl.us; Reply To: silas.tanner@dep.state.fl.us]; Run via form trigger as education@gtmnerr.org; Timestamp: Nov 8 2022 12:38 PM</t>
  </si>
  <si>
    <t>1JwLAAoIjoCxsk1TIgtaY49Csia2vRzEuf9gY96LebkU</t>
  </si>
  <si>
    <t>https://docs.google.com/document/d/1JwLAAoIjoCxsk1TIgtaY49Csia2vRzEuf9gY96LebkU/edit?usp=drivesdk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</si>
  <si>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Nov 14 2022 1:23 PM</t>
  </si>
  <si>
    <t>1Dgx03u6sDF3TsqHKk7tYbquA-CYulyhLafc839drt3U</t>
  </si>
  <si>
    <t>https://docs.google.com/document/d/1Dgx03u6sDF3TsqHKk7tYbquA-CYulyhLafc839drt3U/edit?usp=drivesdk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</si>
  <si>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Nov 15 2022 10:06 AM</t>
  </si>
  <si>
    <t>1rys_QpsALyGKGxvy4x6gCRKOSJHNDcpV3DIpYcxsjK4</t>
  </si>
  <si>
    <t>https://docs.google.com/document/d/1rys_QpsALyGKGxvy4x6gCRKOSJHNDcpV3DIpYcxsjK4/edit?usp=drivesdk</t>
  </si>
  <si>
    <t>Document successfully created; Document successfully merged; Emails Sent: [To: Nikki.Dix@floridadep.gov,blythe.odzinski@floridadep.gov,stephanie.windham@floridadep.gov,lia.sansom@floridadep.gov; CC: silas.tanner@dep.state.fl.us; Reply To: silas.tanner@dep.state.fl.us]; Run via form trigger as education@gtmnerr.org; Timestamp: Nov 15 2022 12:15 PM</t>
  </si>
  <si>
    <t>1Zxcj8fhQc8sfCVErWC0EQJdZGdneVswjFZdwpi1J8CE</t>
  </si>
  <si>
    <t>https://docs.google.com/document/d/1Zxcj8fhQc8sfCVErWC0EQJdZGdneVswjFZdwpi1J8CE/edit?usp=drivesdk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</si>
  <si>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Nov 30 2022 8:27 AM</t>
  </si>
  <si>
    <t>1-tKd8XbRO-Kbd36ht_hK3oT82Eb7Z_BIK2HJMMc8-d4</t>
  </si>
  <si>
    <t>https://docs.google.com/document/d/1-tKd8XbRO-Kbd36ht_hK3oT82Eb7Z_BIK2HJMMc8-d4/edit?usp=drivesdk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</si>
  <si>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Nov 30 2022 9:14 AM</t>
  </si>
  <si>
    <t>1KLmOnfvjPcc7G-cAB2ny7FL7N6gRg0YfdpOvh_vT-sQ</t>
  </si>
  <si>
    <t>https://docs.google.com/document/d/1KLmOnfvjPcc7G-cAB2ny7FL7N6gRg0YfdpOvh_vT-sQ/edit?usp=drivesdk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</si>
  <si>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Dec 1 2022 8:08 AM</t>
  </si>
  <si>
    <t>1fKpng-P49KlWpmGADkL10mPqxIbcw_1qKeZ1andnXs8</t>
  </si>
  <si>
    <t>https://docs.google.com/document/d/1fKpng-P49KlWpmGADkL10mPqxIbcw_1qKeZ1andnXs8/edit?usp=drivesdk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</si>
  <si>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Dec 6 2022 6:40 AM</t>
  </si>
  <si>
    <t>1mCRYQdEGJ546jAJxobFOQVGiu4OyXXmwp8MWEgLskEI</t>
  </si>
  <si>
    <t>https://docs.google.com/document/d/1mCRYQdEGJ546jAJxobFOQVGiu4OyXXmwp8MWEgLskEI/edit?usp=drivesdk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</si>
  <si>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Dec 7 2022 9:12 AM</t>
  </si>
  <si>
    <t>1JkH8yjET55FIGYZsYWYdzq0b7YO-szZL847QUpB-Ovs</t>
  </si>
  <si>
    <t>https://docs.google.com/document/d/1JkH8yjET55FIGYZsYWYdzq0b7YO-szZL847QUpB-Ovs/edit?usp=drivesdk</t>
  </si>
  <si>
    <t>Document successfully created; Document successfully merged; !!Error Sending Emails: Invalid email: #N/A; Run via form trigger as education@gtmnerr.org; Timestamp: Dec 12 2022 10:40 AM</t>
  </si>
  <si>
    <t>19-5F91WwjsX9ALFpBNsas3vcPBSJAXUKLTN5kotamW4</t>
  </si>
  <si>
    <t>https://docs.google.com/document/d/19-5F91WwjsX9ALFpBNsas3vcPBSJAXUKLTN5kotamW4/edit?usp=drivesdk</t>
  </si>
  <si>
    <t>Document successfully created; Document successfully merged; !!Error Sending Emails: Invalid email: #N/A; Run via form trigger as education@gtmnerr.org; Timestamp: Dec 16 2022 6:37 AM</t>
  </si>
  <si>
    <t>1lkoSIuZV_dmplgtLpfr-4J0RP6kvS6QHaoT8faNnYmg</t>
  </si>
  <si>
    <t>https://docs.google.com/document/d/1lkoSIuZV_dmplgtLpfr-4J0RP6kvS6QHaoT8faNnYmg/edit?usp=drivesdk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</si>
  <si>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Dec 18 2022 5:25 AM</t>
  </si>
  <si>
    <t>1NEYka_0hwOS8Orqa0tmV85I3OlDD8X8y6VtYblhbHQw</t>
  </si>
  <si>
    <t>https://docs.google.com/document/d/1NEYka_0hwOS8Orqa0tmV85I3OlDD8X8y6VtYblhbHQw/edit?usp=drivesdk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</si>
  <si>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Dec 20 2022 9:28 AM</t>
  </si>
  <si>
    <t>1JATayVX_khwNwcx-kKNUyfDfN9jocGSePajdp6w5mVw</t>
  </si>
  <si>
    <t>https://docs.google.com/document/d/1JATayVX_khwNwcx-kKNUyfDfN9jocGSePajdp6w5mVw/edit?usp=drivesdk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</si>
  <si>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Dec 21 2022 10:12 AM</t>
  </si>
  <si>
    <t>18kkCIIc2g5bj-85gxt_blcEmZXwl3A2nT0qLYX5LJ48</t>
  </si>
  <si>
    <t>https://docs.google.com/document/d/18kkCIIc2g5bj-85gxt_blcEmZXwl3A2nT0qLYX5LJ48/edit?usp=drivesdk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</si>
  <si>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4 2023 11:02 AM</t>
  </si>
  <si>
    <t>1B63RMZQIkQ_BQTBIsxz4sFoBhexgNi7hgFafs-r5sTU</t>
  </si>
  <si>
    <t>https://docs.google.com/document/d/1B63RMZQIkQ_BQTBIsxz4sFoBhexgNi7hgFafs-r5sTU/edit?usp=drivesdk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</si>
  <si>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Jan 5 2023 7:49 AM</t>
  </si>
  <si>
    <t>1BWI4STkMAyxVFDTLuzKlp2Hl95nY7ZiRiiNar2110DE</t>
  </si>
  <si>
    <t>https://docs.google.com/document/d/1BWI4STkMAyxVFDTLuzKlp2Hl95nY7ZiRiiNar2110DE/edit?usp=drivesdk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</si>
  <si>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5 2023 11:28 AM</t>
  </si>
  <si>
    <t>1-COIe64KcBgQpzgwIEMpHdKS_zv38ySIKRk2kkuH8-8</t>
  </si>
  <si>
    <t>https://docs.google.com/document/d/1-COIe64KcBgQpzgwIEMpHdKS_zv38ySIKRk2kkuH8-8/edit?usp=drivesdk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</si>
  <si>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6 2023 7:49 AM</t>
  </si>
  <si>
    <t>16R1Elvgge74p1YRX--lBcAapIqp4h7R8oqHwVevPvj4</t>
  </si>
  <si>
    <t>https://docs.google.com/document/d/16R1Elvgge74p1YRX--lBcAapIqp4h7R8oqHwVevPvj4/edit?usp=drivesdk</t>
  </si>
  <si>
    <t>Document successfully created; Document successfully merged; !!Error Sending Emails: Invalid email: #N/A; Run via form trigger as education@gtmnerr.org; Timestamp: Jan 6 2023 11:58 AM</t>
  </si>
  <si>
    <t>1FA_dWDmtf3OmDbReFBdDHs1seFSIZAgv6GuwVov1NQg</t>
  </si>
  <si>
    <t>https://docs.google.com/document/d/1FA_dWDmtf3OmDbReFBdDHs1seFSIZAgv6GuwVov1NQg/edit?usp=drivesdk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</si>
  <si>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8 2023 4:51 PM</t>
  </si>
  <si>
    <t>1NROaleDAzD-tCqzIUe4dhM5EC9pJyVOJhPZm7GisFDM</t>
  </si>
  <si>
    <t>https://docs.google.com/document/d/1NROaleDAzD-tCqzIUe4dhM5EC9pJyVOJhPZm7GisFDM/edit?usp=drivesdk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</si>
  <si>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10 2023 9:11 AM</t>
  </si>
  <si>
    <t>1mCUJlP9oKa5CsXamyOYyOOsIvU5NyFvRaYK3yTR8HMw</t>
  </si>
  <si>
    <t>https://docs.google.com/document/d/1mCUJlP9oKa5CsXamyOYyOOsIvU5NyFvRaYK3yTR8HMw/edit?usp=drivesdk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</si>
  <si>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12 2023 6:48 AM</t>
  </si>
  <si>
    <t>1p5FtK8KxKaxod6zChNYGOCvzh9inhuw8jdJWqptdlk4</t>
  </si>
  <si>
    <t>https://docs.google.com/document/d/1p5FtK8KxKaxod6zChNYGOCvzh9inhuw8jdJWqptdlk4/edit?usp=drivesdk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</si>
  <si>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16 2023 7:40 AM</t>
  </si>
  <si>
    <t>1Prk8_fnvolVGiW1vrMnpszsRwuu18kSjzDVQvwVAOTM</t>
  </si>
  <si>
    <t>https://docs.google.com/document/d/1Prk8_fnvolVGiW1vrMnpszsRwuu18kSjzDVQvwVAOTM/edit?usp=drivesdk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</si>
  <si>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17 2023 8:24 AM</t>
  </si>
  <si>
    <t>1TVc6MZybt0ANaOVZaOdBTgmqrqfmNqGBNY1zxtl1e18</t>
  </si>
  <si>
    <t>https://docs.google.com/document/d/1TVc6MZybt0ANaOVZaOdBTgmqrqfmNqGBNY1zxtl1e18/edit?usp=drivesdk</t>
  </si>
  <si>
    <t>Document successfully created; Document successfully merged; Emails Sent: [To: Nikki.Dix@floridadep.gov,blythe.odzinski@floridadep.gov,stephanie.windham@floridadep.gov,lia.sansom@floridadep.gov; CC: silas.tanner@floridadeo.gov; Reply To: silas.tanner@floridadeo.gov]; Run via form trigger as education@gtmnerr.org; Timestamp: Jan 17 2023 10:09 AM</t>
  </si>
  <si>
    <t>1qHQXrmYLNhGtVevWwTOIXTCanHEGF37CTT2qo3ILBoc</t>
  </si>
  <si>
    <t>https://docs.google.com/document/d/1qHQXrmYLNhGtVevWwTOIXTCanHEGF37CTT2qo3ILBoc/edit?usp=drivesdk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</si>
  <si>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18 2023 6:32 AM</t>
  </si>
  <si>
    <t>1MigLgUpDveYKNQudw3uGzBNw3aVRz3dREv584_BjKs8</t>
  </si>
  <si>
    <t>https://docs.google.com/document/d/1MigLgUpDveYKNQudw3uGzBNw3aVRz3dREv584_BjKs8/edit?usp=drivesdk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</si>
  <si>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18 2023 9:22 AM</t>
  </si>
  <si>
    <t>1csow9KuxNR_anB0bMyWU8MRaCktETmpcbqrRAo2Cm_0</t>
  </si>
  <si>
    <t>https://docs.google.com/document/d/1csow9KuxNR_anB0bMyWU8MRaCktETmpcbqrRAo2Cm_0/edit?usp=drivesdk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</si>
  <si>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Jan 19 2023 6:47 AM</t>
  </si>
  <si>
    <t>1h3g8d6dDet5s0q35f7nW8dZKPlX0No3ECTxTvDKotVo</t>
  </si>
  <si>
    <t>https://docs.google.com/document/d/1h3g8d6dDet5s0q35f7nW8dZKPlX0No3ECTxTvDKotVo/edit?usp=drivesdk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</si>
  <si>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19 2023 10:21 AM</t>
  </si>
  <si>
    <t>1Pb2EgSPuWH0vva2fU4gzOxz0CWRbqByXtV4nMpkLmZs</t>
  </si>
  <si>
    <t>https://docs.google.com/document/d/1Pb2EgSPuWH0vva2fU4gzOxz0CWRbqByXtV4nMpkLmZs/edit?usp=drivesdk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</si>
  <si>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30 2023 7:59 AM</t>
  </si>
  <si>
    <t>13Kj6QTA86lsQcffdhA0d7RtTxrhpW9uiIelPt2gYdCQ</t>
  </si>
  <si>
    <t>https://docs.google.com/document/d/13Kj6QTA86lsQcffdhA0d7RtTxrhpW9uiIelPt2gYdCQ/edit?usp=drivesdk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</si>
  <si>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Jan 30 2023 4:04 PM</t>
  </si>
  <si>
    <t>1gYu1jaaz1Trv_xOD5UPqYXsZIEy876OBEp4Q5drGLCw</t>
  </si>
  <si>
    <t>https://docs.google.com/document/d/1gYu1jaaz1Trv_xOD5UPqYXsZIEy876OBEp4Q5drGLCw/edit?usp=drivesdk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</si>
  <si>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Jan 31 2023 8:49 AM</t>
  </si>
  <si>
    <t>1nZuojiG1Zz2B9baWliDwqINIwE_xuHB8dqiMVX-y-6E</t>
  </si>
  <si>
    <t>https://docs.google.com/document/d/1nZuojiG1Zz2B9baWliDwqINIwE_xuHB8dqiMVX-y-6E/edit?usp=drivesdk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</si>
  <si>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Feb 2 2023 7:12 AM</t>
  </si>
  <si>
    <t>1Z6QVM8vtKSkTQJzR8PF5WQqpEjwUAN4ctuqgyAiusUs</t>
  </si>
  <si>
    <t>https://docs.google.com/document/d/1Z6QVM8vtKSkTQJzR8PF5WQqpEjwUAN4ctuqgyAiusUs/edit?usp=drivesdk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</si>
  <si>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Feb 2 2023 12:10 PM</t>
  </si>
  <si>
    <t>1gYgU-QfaqEu6KpSw0iKxDCQKQMe1_tStWMQx9DevoFE</t>
  </si>
  <si>
    <t>https://docs.google.com/document/d/1gYgU-QfaqEu6KpSw0iKxDCQKQMe1_tStWMQx9DevoFE/edit?usp=drivesdk</t>
  </si>
  <si>
    <t>Document successfully created; Document successfully merged; !!Error Sending Emails: Invalid email: #N/A; Run via form trigger as education@gtmnerr.org; Timestamp: Feb 7 2023 8:26 AM</t>
  </si>
  <si>
    <t>1RTTtQz2gqUtuhmdkGowFobwsRkv-WkPBPg_El8aBW64</t>
  </si>
  <si>
    <t>https://docs.google.com/document/d/1RTTtQz2gqUtuhmdkGowFobwsRkv-WkPBPg_El8aBW64/edit?usp=drivesdk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</si>
  <si>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9 2023 6:25 AM</t>
  </si>
  <si>
    <t>1vvDqfvrIOqmeOymSw-irOyn1msNY6v6S_JpSLSizMEc</t>
  </si>
  <si>
    <t>https://docs.google.com/document/d/1vvDqfvrIOqmeOymSw-irOyn1msNY6v6S_JpSLSizMEc/edit?usp=drivesdk</t>
  </si>
  <si>
    <t>Document successfully created; Document successfully merged; !!Error Sending Emails: Invalid email: #N/A; Run via form trigger as education@gtmnerr.org; Timestamp: Feb 9 2023 7:40 AM</t>
  </si>
  <si>
    <t>1MvTgsE1iDl3lQYft7YZO6S1i-AFzJc8916VMeb8X_ys</t>
  </si>
  <si>
    <t>https://docs.google.com/document/d/1MvTgsE1iDl3lQYft7YZO6S1i-AFzJc8916VMeb8X_ys/edit?usp=drivesdk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</si>
  <si>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Feb 13 2023 7:53 AM</t>
  </si>
  <si>
    <t>1qTNtisk6l7OU0_Q_FAgAO60CvfRlKUL6nCB4-ubBj70</t>
  </si>
  <si>
    <t>https://docs.google.com/document/d/1qTNtisk6l7OU0_Q_FAgAO60CvfRlKUL6nCB4-ubBj70/edit?usp=drivesdk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</si>
  <si>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13 2023 8:04 AM</t>
  </si>
  <si>
    <t>1M_nxNjejQ1I4RcBYCLNnUOpEpDc1yK119giiH2aZmoI</t>
  </si>
  <si>
    <t>https://docs.google.com/document/d/1M_nxNjejQ1I4RcBYCLNnUOpEpDc1yK119giiH2aZmoI/edit?usp=drivesdk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</si>
  <si>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14 2023 7:17 AM</t>
  </si>
  <si>
    <t>1qXhYhs84JVytnsSuPrRtjVFlbgRJVzqXVYgWkSgEvhc</t>
  </si>
  <si>
    <t>https://docs.google.com/document/d/1qXhYhs84JVytnsSuPrRtjVFlbgRJVzqXVYgWkSgEvhc/edit?usp=drivesdk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</si>
  <si>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Feb 14 2023 8:48 AM</t>
  </si>
  <si>
    <t>1FFPPvCWonFyuD-4mNXWR6g_BETCqCPeMzDf0mkaA-Fg</t>
  </si>
  <si>
    <t>https://docs.google.com/document/d/1FFPPvCWonFyuD-4mNXWR6g_BETCqCPeMzDf0mkaA-Fg/edit?usp=drivesdk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</si>
  <si>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15 2023 6:50 AM</t>
  </si>
  <si>
    <t>1aXhiUnfLc-VRDqgwlYdFMMASsIHTKpXN4QnoRcOCkGw</t>
  </si>
  <si>
    <t>https://docs.google.com/document/d/1aXhiUnfLc-VRDqgwlYdFMMASsIHTKpXN4QnoRcOCkGw/edit?usp=drivesdk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</si>
  <si>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Feb 15 2023 8:40 AM</t>
  </si>
  <si>
    <t>1l-iFtoGNM2B6-dcpQdwQCJ2BT2hve12jli6JoxWhvco</t>
  </si>
  <si>
    <t>https://docs.google.com/document/d/1l-iFtoGNM2B6-dcpQdwQCJ2BT2hve12jli6JoxWhvco/edit?usp=drivesdk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</si>
  <si>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21 2023 9:24 AM</t>
  </si>
  <si>
    <t>1PiGRf87FQYbon8Bd8tRK_MWvePIvMnMe_l7cS9sIJiQ</t>
  </si>
  <si>
    <t>https://docs.google.com/document/d/1PiGRf87FQYbon8Bd8tRK_MWvePIvMnMe_l7cS9sIJiQ/edit?usp=drivesdk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</si>
  <si>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Feb 27 2023 8:06 AM</t>
  </si>
  <si>
    <t>1P-BFqZTHN9dEPA-KiAZcwcxeocA5jxgc46026aOmr_Q</t>
  </si>
  <si>
    <t>https://docs.google.com/document/d/1P-BFqZTHN9dEPA-KiAZcwcxeocA5jxgc46026aOmr_Q/edit?usp=drivesdk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</si>
  <si>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Feb 27 2023 8:14 AM</t>
  </si>
  <si>
    <t>17HeAl_OmbbP074viBGB_uMnW72l7CFMsy5cLF_aA5ak</t>
  </si>
  <si>
    <t>https://docs.google.com/document/d/17HeAl_OmbbP074viBGB_uMnW72l7CFMsy5cLF_aA5ak/edit?usp=drivesdk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</si>
  <si>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Feb 28 2023 7:18 AM</t>
  </si>
  <si>
    <t>1SpkPMGtLF6qVPUM9BBCdqzW5cfn7rAe99LzwgX0kYZI</t>
  </si>
  <si>
    <t>https://docs.google.com/document/d/1SpkPMGtLF6qVPUM9BBCdqzW5cfn7rAe99LzwgX0kYZI/edit?usp=drivesdk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</si>
  <si>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Feb 28 2023 9:01 AM</t>
  </si>
  <si>
    <t>1S4RdLABRl1wRc4v94jEitUOBobjLcIRtBdcUkuMExQ8</t>
  </si>
  <si>
    <t>https://docs.google.com/document/d/1S4RdLABRl1wRc4v94jEitUOBobjLcIRtBdcUkuMExQ8/edit?usp=drivesdk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</si>
  <si>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Mar 1 2023 10:05 AM</t>
  </si>
  <si>
    <t>1S9PnpTSZN5NJQJmBlQYdIFb3DunUjQ5YdxS6ZE32qTw</t>
  </si>
  <si>
    <t>https://docs.google.com/document/d/1S9PnpTSZN5NJQJmBlQYdIFb3DunUjQ5YdxS6ZE32qTw/edit?usp=drivesdk</t>
  </si>
  <si>
    <t>Document successfully created; Document successfully merged; Emails Sent: [To: Scott.Eastman@floridadep.gov,blythe.odzinski@floridadep.gov,stephanie.windham@floridadep.gov,lia.sansom@floridadep.gov; CC: james.tomazinis@floridadep.gov; Reply To: james.tomazinis@floridadep.gov]; Run via form trigger as education@gtmnerr.org; Timestamp: Mar 6 2023 6:54 AM</t>
  </si>
  <si>
    <t>1ZWJzgoP4zfz5QBAnrSi3JWpf5SU_c3efpUkllhyP3rs</t>
  </si>
  <si>
    <t>https://docs.google.com/document/d/1ZWJzgoP4zfz5QBAnrSi3JWpf5SU_c3efpUkllhyP3rs/edit?usp=drivesdk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</si>
  <si>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Mar 6 2023 1:43 PM</t>
  </si>
  <si>
    <t>1VTH2_VmoXNsC_PCEAjpKUDjS4mLk-3mtplLR4Ml4luQ</t>
  </si>
  <si>
    <t>https://docs.google.com/document/d/1VTH2_VmoXNsC_PCEAjpKUDjS4mLk-3mtplLR4Ml4luQ/edit?usp=drivesdk</t>
  </si>
  <si>
    <t>Document successfully created; Document successfully merged; Emails Sent: [To: Scott.Eastman@floridadep.gov,blythe.odzinski@floridadep.gov,stephanie.windham@floridadep.gov,lia.sansom@floridadep.gov; CC: james.tomazinis@floridadeo.gov; Reply To: james.tomazinis@floridadeo.gov]; Run via form trigger as education@gtmnerr.org; Timestamp: Mar 8 2023 6:44 AM</t>
  </si>
  <si>
    <t>1GKqmoG9GJL60c45fsALGgHf4hBqezfMJOlgnBOFmcp4</t>
  </si>
  <si>
    <t>https://docs.google.com/document/d/1GKqmoG9GJL60c45fsALGgHf4hBqezfMJOlgnBOFmcp4/edit?usp=drivesdk</t>
  </si>
  <si>
    <t>Document successfully created; Document successfully merged; !!Error Sending Emails: Invalid email: #N/A; Run via form trigger as education@gtmnerr.org; Timestamp: Mar 17 2023 10:25 AM</t>
  </si>
  <si>
    <t>1D99DfLhI-SGQ5ShtMszGaTlItsuLzZTtUkgb0LvRWqc</t>
  </si>
  <si>
    <t>https://docs.google.com/document/d/1D99DfLhI-SGQ5ShtMszGaTlItsuLzZTtUkgb0LvRWqc/edit?usp=drivesdk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</si>
  <si>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Mar 20 2023 1:36 PM</t>
  </si>
  <si>
    <t>1vuSrtCXQT7_Dj9IvtlFwGjxtRhz8Tq5CtWg1W1s-3yA</t>
  </si>
  <si>
    <t>https://docs.google.com/document/d/1vuSrtCXQT7_Dj9IvtlFwGjxtRhz8Tq5CtWg1W1s-3yA/edit?usp=drivesdk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</si>
  <si>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Mar 22 2023 9:50 AM</t>
  </si>
  <si>
    <t>1oXXoGXH76qUl4tIJYfkkfpEP9LHH0C_HqgzBWSfk7G8</t>
  </si>
  <si>
    <t>https://docs.google.com/document/d/1oXXoGXH76qUl4tIJYfkkfpEP9LHH0C_HqgzBWSfk7G8/edit?usp=drivesdk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</si>
  <si>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Apr 3 2023 7:59 AM</t>
  </si>
  <si>
    <t>1Eb6dsX92Rh8ATpeGGeRTwg49pVCzW9Wp6B3qe83lpLQ</t>
  </si>
  <si>
    <t>https://docs.google.com/document/d/1Eb6dsX92Rh8ATpeGGeRTwg49pVCzW9Wp6B3qe83lpLQ/edit?usp=drivesdk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</si>
  <si>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Apr 4 2023 6:56 AM</t>
  </si>
  <si>
    <t>1qDBxXi4V44KQg9u1_bxMhgzabaDCDmxd5t28AjsIH8U</t>
  </si>
  <si>
    <t>https://docs.google.com/document/d/1qDBxXi4V44KQg9u1_bxMhgzabaDCDmxd5t28AjsIH8U/edit?usp=drivesdk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</si>
  <si>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Apr 18 2023 9:27 AM</t>
  </si>
  <si>
    <t>1kBeQeEMW2PPOh0Posn_JzxAB8Mb15ae53Mzm40oDRPQ</t>
  </si>
  <si>
    <t>https://docs.google.com/document/d/1kBeQeEMW2PPOh0Posn_JzxAB8Mb15ae53Mzm40oDRPQ/edit?usp=drivesdk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</si>
  <si>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Apr 19 2023 8:43 AM</t>
  </si>
  <si>
    <t>1AZbJqxORjj9vjh8fcS7ADWtE91SvDdoUZVaR_LhwRkI</t>
  </si>
  <si>
    <t>https://docs.google.com/document/d/1AZbJqxORjj9vjh8fcS7ADWtE91SvDdoUZVaR_LhwRkI/edit?usp=drivesdk</t>
  </si>
  <si>
    <t>Document successfully created; Document successfully merged; Emails Sent: [To: Silas.Tanner@floridadep.gov,blythe.odzinski@floridadep.gov,stephanie.windham@floridadep.gov,lia.sansom@floridadep.gov; CC: jessica.lee@floridadep.gov; Reply To: jessica.lee@floridadep.gov]; Run via form trigger as education@gtmnerr.org; Timestamp: Apr 20 2023 8:44 AM</t>
  </si>
  <si>
    <t>1CASd18gaOx2lCQ2ert7OBhDTks6lDY34gvTp5COXVvk</t>
  </si>
  <si>
    <t>https://docs.google.com/document/d/1CASd18gaOx2lCQ2ert7OBhDTks6lDY34gvTp5COXVvk/edit?usp=drivesdk</t>
  </si>
  <si>
    <t>Document successfully created; Document successfully merged; Emails Sent: [To: Nikki.Dix@floridadep.gov,blythe.odzinski@floridadep.gov,stephanie.windham@floridadep.gov,lia.sansom@floridadep.gov; CC: jessica.lee@floridadep.gov; Reply To: jessica.lee@floridadep.gov]; Run via form trigger as education@gtmnerr.org; Timestamp: May 1 2023 7:28 AM</t>
  </si>
  <si>
    <t>1YvcZZP08enAf0IvIpaSAiflRxd2ix_X3AU3yH792JPA</t>
  </si>
  <si>
    <t>https://docs.google.com/document/d/1YvcZZP08enAf0IvIpaSAiflRxd2ix_X3AU3yH792JPA/edit?usp=drivesdk</t>
  </si>
  <si>
    <t>Document successfully created; Document successfully merged; Emails Sent: [To: Nikki.Dix@floridadep.gov,blythe.odzinski@floridadep.gov,stephanie.windham@floridadep.gov,lia.sansom@floridadep.gov; CC: silas.tanner@floridadep.gov; Reply To: silas.tanner@floridadep.gov]; Run via form trigger as education@gtmnerr.org; Timestamp: May 2 2023 6:58 AM</t>
  </si>
  <si>
    <t>1PhLM-7PbkBkkr0cdE2tXtED-0GlkgiCE4EE1Dt-al7I</t>
  </si>
  <si>
    <t>https://docs.google.com/document/d/1PhLM-7PbkBkkr0cdE2tXtED-0GlkgiCE4EE1Dt-al7I/edit?usp=drivesdk</t>
  </si>
  <si>
    <t>Document successfully created; Document successfully merged; Emails Sent: [To: Shannon.Dunnigan@floridadep.gov,blythe.odzinski@floridadep.gov,stephanie.windham@floridadep.gov,lia.sansom@floridadep.gov; CC: silas.tanner@floridadep.gov; Reply To: silas.tanner@floridadep.gov]; Run via form trigger as education@gtmnerr.org; Timestamp: May 3 2023 9:03 AM</t>
  </si>
  <si>
    <t>1YG3k9pbaxT3SGLmE7ZdU4N1Uee2yd9NghJqUu7Aeh5A</t>
  </si>
  <si>
    <t>https://docs.google.com/document/d/1YG3k9pbaxT3SGLmE7ZdU4N1Uee2yd9NghJqUu7Aeh5A/edit?usp=drivesdk</t>
  </si>
  <si>
    <t>Document successfully created; Document successfully merged; Emails Sent: [To: Shannon.Dunnigan@floridadep.gov,blythe.odzinski@floridadep.gov,stephanie.windham@floridadep.gov,lia.sansom@floridadep.gov; CC: Jacob.Berna@FloridaDEP.gov; Reply To: Jacob.Berna@FloridaDEP.gov]; Run via form trigger as education@gtmnerr.org; Timestamp: May 11 2023 8:37 AM</t>
  </si>
  <si>
    <t>1uhAvGUJ1MlS7JG4Q8SLaFV8qToA6LPg46A4cywd4dhI</t>
  </si>
  <si>
    <t>https://docs.google.com/document/d/1uhAvGUJ1MlS7JG4Q8SLaFV8qToA6LPg46A4cywd4dhI/edit?usp=drivesdk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</si>
  <si>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May 15 2023 10:20 AM</t>
  </si>
  <si>
    <t>1s1JX6z8DZPXnX2WkBZ3cvLr9rnDCywmEKC9_kKYIdNw</t>
  </si>
  <si>
    <t>https://docs.google.com/document/d/1s1JX6z8DZPXnX2WkBZ3cvLr9rnDCywmEKC9_kKYIdNw/edit?usp=drivesdk</t>
  </si>
  <si>
    <t>Document successfully created; Document successfully merged; Emails Sent: [To: Shannon.Dunnigan@floridadep.gov,blythe.odzinski@floridadep.gov,stephanie.windham@floridadep.gov,lia.sansom@floridadep.gov; CC: Jacob.Berna@FloridaDEP.gov; Reply To: Jacob.Berna@FloridaDEP.gov]; Run via form trigger as education@gtmnerr.org; Timestamp: May 16 2023 10:00 AM</t>
  </si>
  <si>
    <t>1W4xH1DYp_Xeq7mTKqRqj7-Kzzlv23eVhIKQHTYEJDv0</t>
  </si>
  <si>
    <t>https://docs.google.com/document/d/1W4xH1DYp_Xeq7mTKqRqj7-Kzzlv23eVhIKQHTYEJDv0/edit?usp=drivesdk</t>
  </si>
  <si>
    <t>Document successfully created; Document successfully merged; Emails Sent: [To: Scott.Eastman@floridadep.gov,blythe.odzinski@floridadep.gov,stephanie.windham@floridadep.gov,lia.sansom@floridadep.gov; CC: Allix.North@dep.state.fl.us; Reply To: Allix.North@dep.state.fl.us]; Run via form trigger as education@gtmnerr.org; Timestamp: May 16 2023 11:19 AM</t>
  </si>
  <si>
    <t>1BudSAgJxdaUUaXjTWjVETFgGp62r_wTou1_5hJNBPn4</t>
  </si>
  <si>
    <t>https://docs.google.com/document/d/1BudSAgJxdaUUaXjTWjVETFgGp62r_wTou1_5hJNBPn4/edit?usp=drivesdk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</si>
  <si>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May 18 2023 11:40 AM</t>
  </si>
  <si>
    <t>1F6b_W3k9oJyxkfVnCi16z04bR1CJQ8cBdgFg-i3WOaA</t>
  </si>
  <si>
    <t>https://docs.google.com/document/d/1F6b_W3k9oJyxkfVnCi16z04bR1CJQ8cBdgFg-i3WOaA/edit?usp=drivesdk</t>
  </si>
  <si>
    <t>Document successfully created; Document successfully merged; Emails Sent: [To: Nikki.Dix@floridadep.gov,blythe.odzinski@floridadep.gov,stephanie.windham@floridadep.gov,lia.sansom@floridadep.gov; CC: Jacob.Berna@FloridaDEP.gov; Reply To: Jacob.Berna@FloridaDEP.gov]; Run via form trigger as education@gtmnerr.org; Timestamp: May 19 2023 12:59 PM</t>
  </si>
  <si>
    <t>1JHE2-n3g0Z-HFgsQAqhUAzfsu0_HHwuo3xGXLQbzL44</t>
  </si>
  <si>
    <t>https://docs.google.com/document/d/1JHE2-n3g0Z-HFgsQAqhUAzfsu0_HHwuo3xGXLQbzL44/edit?usp=drivesdk</t>
  </si>
  <si>
    <t>Document successfully created; Document successfully merged; Emails Sent: [To: Nikki.Dix@floridadep.gov,blythe.odzinski@floridadep.gov,stephanie.windham@floridadep.gov,lia.sansom@floridadep.gov; CC: shannon.dunnigan@dep.state.fl.us; Reply To: shannon.dunnigan@dep.state.fl.us]; Run via form trigger as education@gtmnerr.org; Timestamp: May 23 2023 9:50 AM</t>
  </si>
  <si>
    <t>1braqLx2SryVZcgPqNaQdwgU5HBkJHJC2UrqfjfyZQXY</t>
  </si>
  <si>
    <t>https://docs.google.com/document/d/1braqLx2SryVZcgPqNaQdwgU5HBkJHJC2UrqfjfyZQXY/edit?usp=drivesdk</t>
  </si>
  <si>
    <t>Document successfully created; Document successfully merged; !!Error Sending Emails: Invalid email: #N/A; Run via form trigger as education@gtmnerr.org; Timestamp: Jun 1 2023 7:42 AM</t>
  </si>
  <si>
    <t>15jKXlIM7xkbNSuXitQYKXSHui1pHg4OjAtnh9Bnrxsw</t>
  </si>
  <si>
    <t>https://docs.google.com/document/d/15jKXlIM7xkbNSuXitQYKXSHui1pHg4OjAtnh9Bnrxsw/edit?usp=drivesdk</t>
  </si>
  <si>
    <t>Document successfully created; Document successfully merged; Emails Sent: [To: Shannon.Dunnigan@floridadep.gov,blythe.odzinski@floridadep.gov,stephanie.windham@floridadep.gov,lia.sansom@floridadep.gov; CC: shannon.dunnigan@dep.state.fl.us; Reply To: shannon.dunnigan@dep.state.fl.us]; Run via form trigger as education@gtmnerr.org; Timestamp: Jun 5 2023 9:05 AM</t>
  </si>
  <si>
    <t>14y-kqLeNd1jKuXrFqJ92ypbzVIYKmNkqt7bVCLOq-wA</t>
  </si>
  <si>
    <t>https://docs.google.com/document/d/14y-kqLeNd1jKuXrFqJ92ypbzVIYKmNkqt7bVCLOq-wA/edit?usp=drivesdk</t>
  </si>
  <si>
    <t>Document successfully created; Document successfully merged; !!Error Sending Emails: Invalid email: #N/A; Run via form trigger as education@gtmnerr.org; Timestamp: Jun 6 2023 9:55 AM</t>
  </si>
  <si>
    <t>1iF1vByLSFz8UqR13nww9soYlKNY1IhTp2ZYRLzXauLQ</t>
  </si>
  <si>
    <t>https://docs.google.com/document/d/1iF1vByLSFz8UqR13nww9soYlKNY1IhTp2ZYRLzXauLQ/edit?usp=drivesdk</t>
  </si>
  <si>
    <t>Document successfully created; Document successfully merged; !!Error Sending Emails: Invalid email: #N/A; Run via form trigger as education@gtmnerr.org; Timestamp: Jun 6 2023 11:28 AM</t>
  </si>
  <si>
    <t>1ajHrTrKCT2Q7oI0yHsSlCla1cU-eibIp7XbVM5KMess</t>
  </si>
  <si>
    <t>https://docs.google.com/document/d/1ajHrTrKCT2Q7oI0yHsSlCla1cU-eibIp7XbVM5KMess/edit?usp=drivesdk</t>
  </si>
  <si>
    <t>Document successfully created; Document successfully merged; !!Error Sending Emails: Invalid email: #N/A; Run via form trigger as education@gtmnerr.org; Timestamp: Jun 6 2023 11:47 AM</t>
  </si>
  <si>
    <t>1FW_xJVJ2zZByfz2rrHPuKHIhy_200BWxUu1w-msZRnY</t>
  </si>
  <si>
    <t>https://docs.google.com/document/d/1FW_xJVJ2zZByfz2rrHPuKHIhy_200BWxUu1w-msZRnY/edit?usp=drivesdk</t>
  </si>
  <si>
    <t>Document successfully created; Document successfully merged; !!Error Sending Emails: Invalid email: #N/A; Run via form trigger as education@gtmnerr.org; Timestamp: Jun 6 2023 12:03 PM</t>
  </si>
  <si>
    <t>100yr0OhUh7TuisaJMg88LU2HbmxxvJDUmscBreyYt3U</t>
  </si>
  <si>
    <t>https://docs.google.com/document/d/100yr0OhUh7TuisaJMg88LU2HbmxxvJDUmscBreyYt3U/edit?usp=drivesdk</t>
  </si>
  <si>
    <t>Document successfully created; Document successfully merged; Emails Sent: [To: Shannon.Dunnigan@floridadep.gov; CC: Shannon.Dunnigan@dep.state.fl.us,blythe.odzinski@floridadep.gov,stephanie.windham@floridadep.gov,lia.sansom@floridadep.gov; Reply To: Shannon.Dunnigan@dep.state.fl.us]; Run via form trigger as education@gtmnerr.org; Timestamp: Jun 6 2023 12:09 PM</t>
  </si>
  <si>
    <t>1KNCZLl_ZY3EhKcrEBZDY2qR3MPmRxQavlZuUjYB4Qug</t>
  </si>
  <si>
    <t>https://docs.google.com/document/d/1KNCZLl_ZY3EhKcrEBZDY2qR3MPmRxQavlZuUjYB4Qug/edit?usp=drivesdk</t>
  </si>
  <si>
    <t>Document successfully created; Document successfully merged; !!Error Sending Emails: Invalid email: #N/A; Run via form trigger as education@gtmnerr.org; Timestamp: Jun 6 2023 12:11 PM</t>
  </si>
  <si>
    <t>18AGevNj9cRT7yTQrcorCYy_POfI6GLB178Ewi8xpVV0</t>
  </si>
  <si>
    <t>https://docs.google.com/document/d/18AGevNj9cRT7yTQrcorCYy_POfI6GLB178Ewi8xpVV0/edit?usp=drivesdk</t>
  </si>
  <si>
    <t>Document successfully created; Document successfully merged; Emails Sent: [To: Blythe.Odzinski@floridadep.gov; CC: Shannon.Dunnigan@dep.state.fl.us,blythe.odzinski@floridadep.gov,stephanie.windham@floridadep.gov,lia.sansom@floridadep.gov; Reply To: Shannon.Dunnigan@dep.state.fl.us]; Run via form trigger as education@gtmnerr.org; Timestamp: Jun 6 2023 12:15 PM</t>
  </si>
  <si>
    <t>1PChf2JfilFwD0GmROtkVICm_o_Hvb53_-8F3F1zIV1A</t>
  </si>
  <si>
    <t>https://docs.google.com/document/d/1PChf2JfilFwD0GmROtkVICm_o_Hvb53_-8F3F1zIV1A/edit?usp=drivesdk</t>
  </si>
  <si>
    <t>Document successfully created; Document successfully merged; Emails Sent: [To: Jessica.Lee@floridadep.gov; CC: Shannon.Dunnigan@dep.state.fl.us,blythe.odzinski@floridadep.gov,stephanie.windham@floridadep.gov,lia.sansom@floridadep.gov; Reply To: Shannon.Dunnigan@dep.state.fl.us]; Run via form trigger as education@gtmnerr.org; Timestamp: Jun 6 2023 12:19 PM</t>
  </si>
  <si>
    <t>1TlsiSVWl3HOSvQ0D7IQkq-FOeuy_nynVEaXSeX96qz0</t>
  </si>
  <si>
    <t>https://docs.google.com/document/d/1TlsiSVWl3HOSvQ0D7IQkq-FOeuy_nynVEaXSeX96qz0/edit?usp=drivesdk</t>
  </si>
  <si>
    <t>Document successfully created; Document successfully merged; Emails Sent: [To: Blythe.Odzinski@floridadep.gov; CC: Jacob.Berna@FloridaDEP.gov,blythe.odzinski@floridadep.gov,stephanie.windham@floridadep.gov,lia.sansom@floridadep.gov; Reply To: Jacob.Berna@FloridaDEP.gov]; Manually run by research@gtmnerr.org; Timestamp: Jun 7 2023 11:45 AM</t>
  </si>
  <si>
    <t>1ePki7qRN0lHztB_4KAvGVVQNaLT1lKhdLgQI8uE0at8</t>
  </si>
  <si>
    <t>https://docs.google.com/document/d/1ePki7qRN0lHztB_4KAvGVVQNaLT1lKhdLgQI8uE0at8/edit?usp=drivesdk</t>
  </si>
  <si>
    <t>Document successfully created; Document successfully merged; Emails Sent: [To: Blythe.Odzinski@floridadep.gov; CC: james.tomazinis@floridadep.gov,blythe.odzinski@floridadep.gov,stephanie.windham@floridadep.gov,lia.sansom@floridadep.gov; Reply To: james.tomazinis@floridadep.gov]; Manually run by research@gtmnerr.org; Timestamp: Jun 7 2023 11:45 AM</t>
  </si>
  <si>
    <t>1T7BSaPkOG9Yr-TUty7cKfy0mrTo0kEQuEUKJhw6hMKg</t>
  </si>
  <si>
    <t>https://docs.google.com/document/d/1T7BSaPkOG9Yr-TUty7cKfy0mrTo0kEQuEUKJhw6hMKg/edit?usp=drivesdk</t>
  </si>
  <si>
    <t>Document successfully created; Document successfully merged; Emails Sent: [To: Shannon.Dunnigan@floridadep.gov; CC: hans.prevost@floridadep.gov,blythe.odzinski@floridadep.gov,stephanie.windham@floridadep.gov,lia.sansom@floridadep.gov; Reply To: hans.prevost@floridadep.gov]; Run via form trigger as education@gtmnerr.org; Timestamp: Jun 8 2023 8:20 AM</t>
  </si>
  <si>
    <t>11nOFS5H3fVnhwSWdbAULHekHnQLzKZSQ4-4v94-_g4c</t>
  </si>
  <si>
    <t>https://docs.google.com/document/d/11nOFS5H3fVnhwSWdbAULHekHnQLzKZSQ4-4v94-_g4c/edit?usp=drivesdk</t>
  </si>
  <si>
    <t>Document successfully created; Document successfully merged; Emails Sent: [To: Shannon.Dunnigan@floridadep.gov; CC: Jacob.Berna@FloridaDEP.gov,blythe.odzinski@floridadep.gov,stephanie.windham@floridadep.gov,lia.sansom@floridadep.gov; Reply To: Jacob.Berna@FloridaDEP.gov]; Run via form trigger as education@gtmnerr.org; Timestamp: Jun 12 2023 11:55 AM</t>
  </si>
  <si>
    <t>JB</t>
  </si>
  <si>
    <t>1HCGl_xmhXoj0hzi3TMBUBKgDSMfKCutqMzDf1t0iDK4</t>
  </si>
  <si>
    <t>https://docs.google.com/document/d/1HCGl_xmhXoj0hzi3TMBUBKgDSMfKCutqMzDf1t0iDK4/edit?usp=drivesdk</t>
  </si>
  <si>
    <t>Document successfully created; Document successfully merged; Emails Sent: [To: Jacob.Berna@floridadep.gov; CC: Shannon.Dunnigan@dep.state.fl.us,blythe.odzinski@floridadep.gov,stephanie.windham@floridadep.gov,lia.sansom@floridadep.gov; Reply To: Shannon.Dunnigan@dep.state.fl.us]; Run via form trigger as education@gtmnerr.org; Timestamp: Jun 14 2023 9:13 AM</t>
  </si>
  <si>
    <t>1RzGSq5fDPd4qR4Y61M-L41q1N5eErFd3dXnoVJzQteo</t>
  </si>
  <si>
    <t>https://docs.google.com/document/d/1RzGSq5fDPd4qR4Y61M-L41q1N5eErFd3dXnoVJzQteo/edit?usp=drivesdk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</si>
  <si>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Jun 21 2023 11:01 AM</t>
  </si>
  <si>
    <t>11oDeUWKaxmwJFi59qhsrGbRNr2_5CyfTsHv-LoIl2vU</t>
  </si>
  <si>
    <t>https://docs.google.com/document/d/11oDeUWKaxmwJFi59qhsrGbRNr2_5CyfTsHv-LoIl2vU/edit?usp=drivesdk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</si>
  <si>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Jun 22 2023 7:34 AM</t>
  </si>
  <si>
    <t>11gwb0BBclvZs4XuZRPSIk-BvBJoFPykEcOvI5fwtwbY</t>
  </si>
  <si>
    <t>https://docs.google.com/document/d/11gwb0BBclvZs4XuZRPSIk-BvBJoFPykEcOvI5fwtwbY/edit?usp=drivesdk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</si>
  <si>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Jun 26 2023 9:23 AM</t>
  </si>
  <si>
    <t>1d8aClrAG239_Shik4H3iPa28RFbAE678n1Gt1kWr2X8</t>
  </si>
  <si>
    <t>https://docs.google.com/document/d/1d8aClrAG239_Shik4H3iPa28RFbAE678n1Gt1kWr2X8/edit?usp=drivesdk</t>
  </si>
  <si>
    <t>Document successfully created; Document successfully merged; Emails Sent: [To: Jacob.Berna@floridadep.gov; CC: shannon.dunnigan@dep.state.fl.us,blythe.odzinski@floridadep.gov,stephanie.windham@floridadep.gov,lia.sansom@floridadep.gov; Reply To: shannon.dunnigan@dep.state.fl.us]; Run via form trigger as education@gtmnerr.org; Timestamp: Jun 28 2023 12:10 PM</t>
  </si>
  <si>
    <t>1Kk3ymuYVNJBuIyMddyvoJsGdefyxqt1knvKkRnrWjlo</t>
  </si>
  <si>
    <t>https://docs.google.com/document/d/1Kk3ymuYVNJBuIyMddyvoJsGdefyxqt1knvKkRnrWjlo/edit?usp=drivesdk</t>
  </si>
  <si>
    <t>Document successfully created; Document successfully merged; Emails Sent: [To: Jacob.Berna@floridadep.gov; CC: n01502109@unf.edu,blythe.odzinski@floridadep.gov,stephanie.windham@floridadep.gov,lia.sansom@floridadep.gov; Reply To: n01502109@unf.edu]; Run via form trigger as education@gtmnerr.org; Timestamp: Jul 5 2023 10:11 AM</t>
  </si>
  <si>
    <t>132AB-wspJzGyfl6z_GKdMP6A3cmM5H3-N1aviZp8LcE</t>
  </si>
  <si>
    <t>https://docs.google.com/document/d/132AB-wspJzGyfl6z_GKdMP6A3cmM5H3-N1aviZp8LcE/edit?usp=drivesdk</t>
  </si>
  <si>
    <t>Document successfully created; Document successfully merged; Emails Sent: [To: Jacob.Berna@floridadep.gov; CC: n01502109@unf.edu,blythe.odzinski@floridadep.gov,stephanie.windham@floridadep.gov,lia.sansom@floridadep.gov; Reply To: n01502109@unf.edu]; Run via form trigger as education@gtmnerr.org; Timestamp: Jul 6 2023 12:02 PM</t>
  </si>
  <si>
    <t>1wGz_asKaXS0fonZg69HmTuiU65TNcxnypna0kSdVd8o</t>
  </si>
  <si>
    <t>https://docs.google.com/document/d/1wGz_asKaXS0fonZg69HmTuiU65TNcxnypna0kSdVd8o/edit?usp=drivesdk</t>
  </si>
  <si>
    <t>Document successfully created; Document successfully merged; Emails Sent: [To: Nikki.Dix@floridadep.gov; CC: Shannon.Dunnigan@dep.state.fl.us,blythe.odzinski@floridadep.gov,stephanie.windham@floridadep.gov,lia.sansom@floridadep.gov; Reply To: Shannon.Dunnigan@dep.state.fl.us]; Run via form trigger as education@gtmnerr.org; Timestamp: Jul 7 2023 9:32 AM</t>
  </si>
  <si>
    <t>1Mg1kf-8Xef28ELL7_dckHkHmE0kHSIk-m4tYeT0i9J0</t>
  </si>
  <si>
    <t>https://docs.google.com/document/d/1Mg1kf-8Xef28ELL7_dckHkHmE0kHSIk-m4tYeT0i9J0/edit?usp=drivesdk</t>
  </si>
  <si>
    <t>Document successfully created; Document successfully merged; Emails Sent: [To: Nikki.Dix@floridadep.gov; CC: Shannon.Dunnigan@dep.state.fl.us,blythe.odzinski@floridadep.gov,stephanie.windham@floridadep.gov,lia.sansom@floridadep.gov; Reply To: Shannon.Dunnigan@dep.state.fl.us]; Run via form trigger as education@gtmnerr.org; Timestamp: Jul 10 2023 9:05 AM</t>
  </si>
  <si>
    <t>1OE7uQZrVQWncW-Begl_SiBQOi9x4Mh2tArzBSAB8lA8</t>
  </si>
  <si>
    <t>https://docs.google.com/document/d/1OE7uQZrVQWncW-Begl_SiBQOi9x4Mh2tArzBSAB8lA8/edit?usp=drivesdk</t>
  </si>
  <si>
    <t>Document successfully created; Document successfully merged; Emails Sent: [To: Scott.Eastman@floridadep.gov; CC: allix.north@dep.state.fl.us,blythe.odzinski@floridadep.gov,stephanie.windham@floridadep.gov,lia.sansom@floridadep.gov; Reply To: allix.north@dep.state.fl.us]; Run via form trigger as education@gtmnerr.org; Timestamp: Jul 12 2023 7:42 AM</t>
  </si>
  <si>
    <t>1Jvqbq3zRB5n4FbmCwZ1_2rN0yASDAlLZPtjp9Kt3jIA</t>
  </si>
  <si>
    <t>https://docs.google.com/document/d/1Jvqbq3zRB5n4FbmCwZ1_2rN0yASDAlLZPtjp9Kt3jIA/edit?usp=drivesdk</t>
  </si>
  <si>
    <t>Document successfully created; Document successfully merged; Emails Sent: [To: Scott.Eastman@floridadep.gov; CC: Allix.North@dep.state.fl.us,blythe.odzinski@floridadep.gov,stephanie.windham@floridadep.gov,lia.sansom@floridadep.gov; Reply To: Allix.North@dep.state.fl.us]; Run via form trigger as education@gtmnerr.org; Timestamp: Jul 13 2023 10:25 AM</t>
  </si>
  <si>
    <t>1X-0JModAQTmwTI4w89ezN5xBTZWyhLybDiIzZ919C6A</t>
  </si>
  <si>
    <t>https://docs.google.com/document/d/1X-0JModAQTmwTI4w89ezN5xBTZWyhLybDiIzZ919C6A/edit?usp=drivesdk</t>
  </si>
  <si>
    <t>Document successfully created; Document successfully merged; Emails Sent: [To: Scott.Eastman@floridadep.gov; CC: Allix.North@dep.state.fl.us,blythe.odzinski@floridadep.gov,stephanie.windham@floridadep.gov,lia.sansom@floridadep.gov; Reply To: Allix.North@dep.state.fl.us]; Run via form trigger as education@gtmnerr.org; Timestamp: Jul 14 2023 8:23 AM</t>
  </si>
  <si>
    <t>1EXHaKr12yF5KqNhvFUwUydtsGhGOvVH5q80WHCX5x6A</t>
  </si>
  <si>
    <t>https://docs.google.com/document/d/1EXHaKr12yF5KqNhvFUwUydtsGhGOvVH5q80WHCX5x6A/edit?usp=drivesdk</t>
  </si>
  <si>
    <t>Document successfully created; Document successfully merged; Emails Sent: [To: Shannon.Dunnigan@floridadep.gov; CC: jessica.lee@floridadep.gov,blythe.odzinski@floridadep.gov,stephanie.windham@floridadep.gov,lia.sansom@floridadep.gov; Reply To: jessica.lee@floridadep.gov]; Run via form trigger as education@gtmnerr.org; Timestamp: Jul 17 2023 9:37 AM</t>
  </si>
  <si>
    <t>1ILcBS7SlIaq4kaoKXEuaELPKHPGOvdSwmGkz9iL4ffs</t>
  </si>
  <si>
    <t>https://docs.google.com/document/d/1ILcBS7SlIaq4kaoKXEuaELPKHPGOvdSwmGkz9iL4ffs/edit?usp=drivesdk</t>
  </si>
  <si>
    <t>Document successfully created; Document successfully merged; Emails Sent: [To: Jacob.Berna@floridadep.gov; CC: Shannon.Dunnigan@dep.state.fl.us,blythe.odzinski@floridadep.gov,stephanie.windham@floridadep.gov,lia.sansom@floridadep.gov; Reply To: Shannon.Dunnigan@dep.state.fl.us]; Run via form trigger as education@gtmnerr.org; Timestamp: Jul 17 2023 4:46 PM</t>
  </si>
  <si>
    <t>1aiWp8pgnWI2DZ_4E7VqF7ZxOu158dgSPL--VqzWjJIk</t>
  </si>
  <si>
    <t>https://docs.google.com/document/d/1aiWp8pgnWI2DZ_4E7VqF7ZxOu158dgSPL--VqzWjJIk/edit?usp=drivesdk</t>
  </si>
  <si>
    <t>Document successfully created; Document successfully merged; Emails Sent: [To: Shannon.Dunnigan@floridadep.gov; CC: Allix.North@dep.state.fl.us,blythe.odzinski@floridadep.gov,stephanie.windham@floridadep.gov,lia.sansom@floridadep.gov; Reply To: Allix.North@dep.state.fl.us]; Run via form trigger as education@gtmnerr.org; Timestamp: Jul 19 2023 9:16 AM</t>
  </si>
  <si>
    <t>1kz63aCtD8EOo1dP1pCjC4IDQvpk4bY1ceXD212fNiQ8</t>
  </si>
  <si>
    <t>https://docs.google.com/document/d/1kz63aCtD8EOo1dP1pCjC4IDQvpk4bY1ceXD212fNiQ8/edit?usp=drivesdk</t>
  </si>
  <si>
    <t>Document successfully created; Document successfully merged; Emails Sent: [To: Scott.Eastman@floridadep.gov; CC: Jacob.Berna@FloridaDEP.gov,blythe.odzinski@floridadep.gov,stephanie.windham@floridadep.gov,lia.sansom@floridadep.gov; Reply To: Jacob.Berna@FloridaDEP.gov]; Run via form trigger as education@gtmnerr.org; Timestamp: Jul 27 2023 9:09 AM</t>
  </si>
  <si>
    <t>1JU2DuA0boNg20jvcm5okP14So82BfQV8N7ddX_4I-58</t>
  </si>
  <si>
    <t>https://docs.google.com/document/d/1JU2DuA0boNg20jvcm5okP14So82BfQV8N7ddX_4I-58/edit?usp=drivesdk</t>
  </si>
  <si>
    <t>Document successfully created; Document successfully merged; Emails Sent: [To: Scott.Eastman@floridadep.gov; CC: Jacob.Berna@FloridaDEP.gov,blythe.odzinski@floridadep.gov,stephanie.windham@floridadep.gov,lia.sansom@floridadep.gov; Reply To: Jacob.Berna@FloridaDEP.gov]; Run via form trigger as education@gtmnerr.org; Timestamp: Jul 28 2023 9:21 AM</t>
  </si>
  <si>
    <t>1F_eIGu3UuQ-ejLwijIxJlnnKWPg0p-FCsSbK8iqHBqk</t>
  </si>
  <si>
    <t>https://docs.google.com/document/d/1F_eIGu3UuQ-ejLwijIxJlnnKWPg0p-FCsSbK8iqHBqk/edit?usp=drivesdk</t>
  </si>
  <si>
    <t>Document successfully created; Document successfully merged; Emails Sent: [To: Jacob.Berna@floridadep.gov; CC: Shannon.Dunnigan@dep.state.fl.us,blythe.odzinski@floridadep.gov,stephanie.windham@floridadep.gov,lia.sansom@floridadep.gov; Reply To: Shannon.Dunnigan@dep.state.fl.us]; Run via form trigger as education@gtmnerr.org; Timestamp: Jul 31 2023 3:44 PM</t>
  </si>
  <si>
    <t>1HJG3RjyGlzpYaYTI9kuxS_rBCqnuMCfC-9RY9k9-ziA</t>
  </si>
  <si>
    <t>https://docs.google.com/document/d/1HJG3RjyGlzpYaYTI9kuxS_rBCqnuMCfC-9RY9k9-ziA/edit?usp=drivesdk</t>
  </si>
  <si>
    <t>Document successfully created; Document successfully merged; Emails Sent: [To: Nikki.Dix@floridadep.gov; CC: hans.prevost@floridadep.gov,blythe.odzinski@floridadep.gov,stephanie.windham@floridadep.gov,lia.sansom@floridadep.gov; Reply To: hans.prevost@floridadep.gov]; Run via form trigger as education@gtmnerr.org; Timestamp: Aug 3 2023 11:24 AM</t>
  </si>
  <si>
    <t>1--x_quWRk7v4tOXVm68b4ImeRzUb8B9PWczpxVwCQTk</t>
  </si>
  <si>
    <t>https://docs.google.com/document/d/1--x_quWRk7v4tOXVm68b4ImeRzUb8B9PWczpxVwCQTk/edit?usp=drivesdk</t>
  </si>
  <si>
    <t>Document successfully created; Document successfully merged; Emails Sent: [To: Scott.Eastman@floridadep.gov; CC: hans.prevost@floridadep.gov,blythe.odzinski@floridadep.gov,stephanie.windham@floridadep.gov,lia.sansom@floridadep.gov; Reply To: hans.prevost@floridadep.gov]; Run via form trigger as education@gtmnerr.org; Timestamp: Aug 10 2023 10:23 AM</t>
  </si>
  <si>
    <t>1O-wo-83ToKh_nCsc6-LHkCe5wnQehZr6jH_QBXZe38g</t>
  </si>
  <si>
    <t>https://docs.google.com/document/d/1O-wo-83ToKh_nCsc6-LHkCe5wnQehZr6jH_QBXZe38g/edit?usp=drivesdk</t>
  </si>
  <si>
    <t>Document successfully created; Document successfully merged; Emails Sent: [To: Nikki.Dix@floridadep.gov; CC: jessica.lee@floridadep.gov,blythe.odzinski@floridadep.gov,stephanie.windham@floridadep.gov,lia.sansom@floridadep.gov; Reply To: jessica.lee@floridadep.gov]; Run via form trigger as education@gtmnerr.org; Timestamp: Aug 14 2023 9:05 AM</t>
  </si>
  <si>
    <t>1sRGeTHnxYYqxcGPJ2vRJBl_UBZGoGYZiK60_oEHdu34</t>
  </si>
  <si>
    <t>https://docs.google.com/document/d/1sRGeTHnxYYqxcGPJ2vRJBl_UBZGoGYZiK60_oEHdu34/edit?usp=drivesdk</t>
  </si>
  <si>
    <t>Document successfully created; Document successfully merged; Emails Sent: [To: Scott.Eastman@floridadep.gov; CC: Allix.North@dep.state.fl.us,blythe.odzinski@floridadep.gov,stephanie.windham@floridadep.gov,lia.sansom@floridadep.gov; Reply To: Allix.North@dep.state.fl.us]; Run via form trigger as education@gtmnerr.org; Timestamp: Aug 17 2023 7:16 AM</t>
  </si>
  <si>
    <t>1BOJ5tzHxRYQ49yWc2nf1bn9Ws9iOjs0r4bvO4E_938A</t>
  </si>
  <si>
    <t>https://docs.google.com/document/d/1BOJ5tzHxRYQ49yWc2nf1bn9Ws9iOjs0r4bvO4E_938A/edit?usp=drivesdk</t>
  </si>
  <si>
    <t>Document successfully created; Document successfully merged; Emails Sent: [To: Shannon.Dunnigan@floridadep.gov; CC: jacob.berna@floridadep.gov,blythe.odzinski@floridadep.gov,stephanie.windham@floridadep.gov,lia.sansom@floridadep.gov; Reply To: jacob.berna@floridadep.gov]; Run via form trigger as education@gtmnerr.org; Timestamp: Aug 23 2023 8:51 AM</t>
  </si>
  <si>
    <t>1YDxsZBGWrCGow8Njmh4mVCim3gdwYTOs7ToJIM8z1jQ</t>
  </si>
  <si>
    <t>https://docs.google.com/document/d/1YDxsZBGWrCGow8Njmh4mVCim3gdwYTOs7ToJIM8z1jQ/edit?usp=drivesdk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</si>
  <si>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Aug 28 2023 9:24 AM</t>
  </si>
  <si>
    <t>15MB_PMVu17RNBvan9KzwEKZXBGorimQFKLfAdmfiRKs</t>
  </si>
  <si>
    <t>https://docs.google.com/document/d/15MB_PMVu17RNBvan9KzwEKZXBGorimQFKLfAdmfiRKs/edit?usp=drivesdk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</si>
  <si>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Aug 28 2023 11:31 AM</t>
  </si>
  <si>
    <t>1uhPWtXHLdZniHCHJGEV3Ak2H6Xdmb_RKUypLdQolbcQ</t>
  </si>
  <si>
    <t>https://docs.google.com/document/d/1uhPWtXHLdZniHCHJGEV3Ak2H6Xdmb_RKUypLdQolbcQ/edit?usp=drivesdk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</si>
  <si>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Aug 28 2023 1:45 PM</t>
  </si>
  <si>
    <t>1OqAh-TOLG0ZScvCqjvDRZYuc0dmvcq9FSb0z0TDc3rI</t>
  </si>
  <si>
    <t>https://docs.google.com/document/d/1OqAh-TOLG0ZScvCqjvDRZYuc0dmvcq9FSb0z0TDc3rI/edit?usp=drivesdk</t>
  </si>
  <si>
    <t>Document successfully created; Document successfully merged; Emails Sent: [To: Kathryn.Petrinec@floridadep.gov; CC: hans.prevost@floridadep.gov,blythe.odzinski@floridadep.gov,stephanie.windham@floridadep.gov,lia.sansom@floridadep.gov; Reply To: hans.prevost@floridadep.gov]; Run via form trigger as education@gtmnerr.org; Timestamp: Sep 1 2023 8:36 AM</t>
  </si>
  <si>
    <t>1c7jl1i6jOp-cr6LF0vHSqtm0qYza8tZ1yJ9cDXGZLgk</t>
  </si>
  <si>
    <t>https://docs.google.com/document/d/1c7jl1i6jOp-cr6LF0vHSqtm0qYza8tZ1yJ9cDXGZLgk/edit?usp=drivesdk</t>
  </si>
  <si>
    <t>Document successfully created; Document successfully merged; Emails Sent: [To: Nikki.Dix@floridadep.gov; CC: Monica.maldonado@floridadep.com,blythe.odzinski@floridadep.gov,stephanie.windham@floridadep.gov,lia.sansom@floridadep.gov; Reply To: Monica.maldonado@floridadep.com]; Run via form trigger as education@gtmnerr.org; Timestamp: Sep 5 2023 11:15 AM</t>
  </si>
  <si>
    <t>14q6tauxoR4OmVErDgj-spZs-FoQ8BfMc4t1jLswyqdk</t>
  </si>
  <si>
    <t>https://docs.google.com/document/d/14q6tauxoR4OmVErDgj-spZs-FoQ8BfMc4t1jLswyqdk/edit?usp=drivesdk</t>
  </si>
  <si>
    <t>Document successfully created; Document successfully merged; Emails Sent: [To: Nikki.Dix@floridadep.gov; CC: Shannon.Dunnigan@dep.state.fl.us,blythe.odzinski@floridadep.gov,stephanie.windham@floridadep.gov,lia.sansom@floridadep.gov; Reply To: Shannon.Dunnigan@dep.state.fl.us]; Run via form trigger as education@gtmnerr.org; Timestamp: Sep 5 2023 3:32 PM</t>
  </si>
  <si>
    <t>1_nkTGRlfIuXb6iz2H9etu-rn7NIzOVtKvdVgUYetGSE</t>
  </si>
  <si>
    <t>https://docs.google.com/document/d/1_nkTGRlfIuXb6iz2H9etu-rn7NIzOVtKvdVgUYetGSE/edit?usp=drivesdk</t>
  </si>
  <si>
    <t>Document successfully created; Document successfully merged; Emails Sent: [To: Nikki.Dix@floridadep.gov; CC: hans.prevost@floridadep.gov,blythe.odzinski@floridadep.gov,stephanie.windham@floridadep.gov,lia.sansom@floridadep.gov; Reply To: hans.prevost@floridadep.gov]; Run via form trigger as education@gtmnerr.org; Timestamp: Sep 11 2023 9:51 AM</t>
  </si>
  <si>
    <t>1JnE7WCfpnNx27yT2xKV7txkHOy4hKlLMPz8d8l6cIJI</t>
  </si>
  <si>
    <t>https://docs.google.com/document/d/1JnE7WCfpnNx27yT2xKV7txkHOy4hKlLMPz8d8l6cIJI/edit?usp=drivesdk</t>
  </si>
  <si>
    <t>Document successfully created; Document successfully merged; Emails Sent: [To: Nikki.Dix@floridadep.gov; CC: Shannon.Dunnigan@dep.state.fl.us,blythe.odzinski@floridadep.gov,stephanie.windham@floridadep.gov,lia.sansom@floridadep.gov; Reply To: Shannon.Dunnigan@dep.state.fl.us]; Run via form trigger as education@gtmnerr.org; Timestamp: Sep 11 2023 4:20 PM</t>
  </si>
  <si>
    <t>1lUPOJkcySo1CJBbtPCZurjqeXVX85H4kT1PyiFaPek4</t>
  </si>
  <si>
    <t>https://docs.google.com/document/d/1lUPOJkcySo1CJBbtPCZurjqeXVX85H4kT1PyiFaPek4/edit?usp=drivesdk</t>
  </si>
  <si>
    <t>Document successfully created; Document successfully merged; Emails Sent: [To: Nikki.Dix@floridadep.gov; CC: hans.prevost@floridadep.gov,blythe.odzinski@floridadep.gov,stephanie.windham@floridadep.gov,lia.sansom@floridadep.gov; Reply To: hans.prevost@floridadep.gov]; Run via form trigger as education@gtmnerr.org; Timestamp: Sep 18 2023 11:32 AM</t>
  </si>
  <si>
    <t>1bLUwMO7mLyD8vTW5FM8VYXOStIoKfXLUYCzP5BoMGQU</t>
  </si>
  <si>
    <t>https://docs.google.com/document/d/1bLUwMO7mLyD8vTW5FM8VYXOStIoKfXLUYCzP5BoMGQU/edit?usp=drivesdk</t>
  </si>
  <si>
    <t>Document successfully created; Document successfully merged; Emails Sent: [To: Blythe.Odzinski@floridadep.gov; CC: james.tomazinis@floridadep.gov,blythe.odzinski@floridadep.gov,stephanie.windham@floridadep.gov,lia.sansom@floridadep.gov; Reply To: james.tomazinis@floridadep.gov]; Run via form trigger as education@gtmnerr.org; Timestamp: Sep 19 2023 6:34 AM</t>
  </si>
  <si>
    <t>1KlKhkcYzY23XodylBdxMYpUlqUvJt6KvikMCtkLo3jg</t>
  </si>
  <si>
    <t>https://docs.google.com/document/d/1KlKhkcYzY23XodylBdxMYpUlqUvJt6KvikMCtkLo3jg/edit?usp=drivesdk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</si>
  <si>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Sep 19 2023 7:19 AM</t>
  </si>
  <si>
    <t>1NGErleydcpiP9zpmkdWpbuO6D2jAJx2NdT9HNlKbyhI</t>
  </si>
  <si>
    <t>https://docs.google.com/document/d/1NGErleydcpiP9zpmkdWpbuO6D2jAJx2NdT9HNlKbyhI/edit?usp=drivesdk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</si>
  <si>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Sep 20 2023 7:01 AM</t>
  </si>
  <si>
    <t>1IYR7FqnSB_0Xnx73LkTDA7-_U_YDFv8xYprZC6_kY7A</t>
  </si>
  <si>
    <t>https://docs.google.com/document/d/1IYR7FqnSB_0Xnx73LkTDA7-_U_YDFv8xYprZC6_kY7A/edit?usp=drivesdk</t>
  </si>
  <si>
    <t>Document successfully created; Document successfully merged; Emails Sent: [To: Blythe.Odzinski@floridadep.gov; CC: james.tomazinis@floridadep.gov,blythe.odzinski@floridadep.gov,stephanie.windham@floridadep.gov,lia.sansom@floridadep.gov; Reply To: james.tomazinis@floridadep.gov]; Run via form trigger as education@gtmnerr.org; Timestamp: Sep 22 2023 6:39 AM</t>
  </si>
  <si>
    <t>1FD-TMUgzU4iLV9GRG4FO0rxbN0kwMthQkHq_NiYJHqU</t>
  </si>
  <si>
    <t>https://docs.google.com/document/d/1FD-TMUgzU4iLV9GRG4FO0rxbN0kwMthQkHq_NiYJHqU/edit?usp=drivesdk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</si>
  <si>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Sep 22 2023 7:46 AM</t>
  </si>
  <si>
    <t>1E_JqZzZXxHgEPUnx1LhYD5kexLdPmnFAcS0MYv676zo</t>
  </si>
  <si>
    <t>https://docs.google.com/document/d/1E_JqZzZXxHgEPUnx1LhYD5kexLdPmnFAcS0MYv676zo/edit?usp=drivesdk</t>
  </si>
  <si>
    <t>Document successfully created; Document successfully merged; Emails Sent: [To: Nikki.Dix@floridadep.gov; CC: hans.prevost@floridadep.gov,blythe.odzinski@floridadep.gov,stephanie.windham@floridadep.gov,lia.sansom@floridadep.gov; Reply To: hans.prevost@floridadep.gov]; Run via form trigger as education@gtmnerr.org; Timestamp: Sep 25 2023 12:15 PM</t>
  </si>
  <si>
    <t>1MLhS4r5TsAwDGy4Mb8BwuKiu2lhOzl9GLOskX73igZw</t>
  </si>
  <si>
    <t>https://docs.google.com/document/d/1MLhS4r5TsAwDGy4Mb8BwuKiu2lhOzl9GLOskX73igZw/edit?usp=drivesdk</t>
  </si>
  <si>
    <t>Document successfully created; Document successfully merged; Emails Sent: [To: Scott.Eastman@floridadep.gov; CC: jacob.berna@floridadep.gov,blythe.odzinski@floridadep.gov,stephanie.windham@floridadep.gov,lia.sansom@floridadep.gov; Reply To: jacob.berna@floridadep.gov]; Run via form trigger as education@gtmnerr.org; Timestamp: Oct 1 2023 7:17 AM</t>
  </si>
  <si>
    <t>1awMKX3ncEobp1QNkfk1sgyVDQLrwCXosD5E01LL8TKE</t>
  </si>
  <si>
    <t>https://docs.google.com/document/d/1awMKX3ncEobp1QNkfk1sgyVDQLrwCXosD5E01LL8TKE/edit?usp=drivesdk</t>
  </si>
  <si>
    <t>Document successfully created; Document successfully merged; Emails Sent: [To: Scott.Eastman@floridadep.gov; CC: jacob.berna@floridadep.gov,blythe.odzinski@floridadep.gov,stephanie.windham@floridadep.gov,lia.sansom@floridadep.gov; Reply To: jacob.berna@floridadep.gov]; Run via form trigger as education@gtmnerr.org; Timestamp: Oct 2 2023 7:22 AM</t>
  </si>
  <si>
    <t>1nADoQLQojn3iBHgfaOWgNn6On910xaxB7aJ-q5QBtjY</t>
  </si>
  <si>
    <t>https://docs.google.com/document/d/1nADoQLQojn3iBHgfaOWgNn6On910xaxB7aJ-q5QBtjY/edit?usp=drivesdk</t>
  </si>
  <si>
    <t>Document successfully created; Document successfully merged; Emails Sent: [To: James.Tomazinis@floridadep.gov; CC: janes.tomazinis@floridadep.gov,blythe.odzinski@floridadep.gov,stephanie.windham@floridadep.gov,lia.sansom@floridadep.gov; Reply To: janes.tomazinis@floridadep.gov]; Run via form trigger as education@gtmnerr.org; Timestamp: Oct 4 2023 6:29 AM</t>
  </si>
  <si>
    <t>1uqCbFjI_w6lpNNDfIxI6ysGM0eWY_9JElUgXY-gjeLg</t>
  </si>
  <si>
    <t>https://docs.google.com/document/d/1uqCbFjI_w6lpNNDfIxI6ysGM0eWY_9JElUgXY-gjeLg/edit?usp=drivesdk</t>
  </si>
  <si>
    <t>Document successfully created; Document successfully merged; Emails Sent: [To: Nikki.Dix@floridadep.gov; CC: shannon.dunnigan@dep.state.fl.us,blythe.odzinski@floridadep.gov,stephanie.windham@floridadep.gov,lia.sansom@floridadep.gov; Reply To: shannon.dunnigan@dep.state.fl.us]; Run via form trigger as education@gtmnerr.org; Timestamp: Oct 4 2023 12:02 PM</t>
  </si>
  <si>
    <t>1a2M96INu3hj5wR0tapaLFQpatg8tisqwWBZUt9VHwVE</t>
  </si>
  <si>
    <t>https://docs.google.com/document/d/1a2M96INu3hj5wR0tapaLFQpatg8tisqwWBZUt9VHwVE/edit?usp=drivesdk</t>
  </si>
  <si>
    <t>Document successfully created; Document successfully merged; Emails Sent: [To: Nikki.Dix@floridadep.gov; CC: jacob.berna@floridadep.gov,blythe.odzinski@floridadep.gov,stephanie.windham@floridadep.gov,lia.sansom@floridadep.gov; Reply To: jacob.berna@floridadep.gov]; Run via form trigger as education@gtmnerr.org; Timestamp: Oct 5 2023 6:47 AM</t>
  </si>
  <si>
    <t>1jBXcomq0QnqBEfhyoONHIkUDNPwnIOTSdji2bC8Fvag</t>
  </si>
  <si>
    <t>https://docs.google.com/document/d/1jBXcomq0QnqBEfhyoONHIkUDNPwnIOTSdji2bC8Fvag/edit?usp=drivesdk</t>
  </si>
  <si>
    <t>Document successfully created; Document successfully merged; Emails Sent: [To: Jacob.Berna@floridadep.gov; CC: hans.prevost@floridadep.gov,blythe.odzinski@floridadep.gov,stephanie.windham@floridadep.gov,lia.sansom@floridadep.gov; Reply To: hans.prevost@floridadep.gov]; Run via form trigger as education@gtmnerr.org; Timestamp: Oct 6 2023 8:54 AM</t>
  </si>
  <si>
    <t>1iUfCH0bLg2sJPNdERuf4M1pgyb_kXOe1RWeGGs3f7H8</t>
  </si>
  <si>
    <t>https://docs.google.com/document/d/1iUfCH0bLg2sJPNdERuf4M1pgyb_kXOe1RWeGGs3f7H8/edit?usp=drivesdk</t>
  </si>
  <si>
    <t>Document successfully created; Document successfully merged; Emails Sent: [To: Blythe.Odzinski@floridadep.gov; CC: chris.kurtz@floridadep.gov,blythe.odzinski@floridadep.gov,stephanie.windham@floridadep.gov,lia.sansom@floridadep.gov; Reply To: chris.kurtz@floridadep.gov]; Run via form trigger as education@gtmnerr.org; Timestamp: Oct 9 2023 11:23 AM</t>
  </si>
  <si>
    <t>1IwGgxLrifvzHjaKioIE0J_NjVwLNomRVXz7qS-AUL6U</t>
  </si>
  <si>
    <t>https://docs.google.com/document/d/1IwGgxLrifvzHjaKioIE0J_NjVwLNomRVXz7qS-AUL6U/edit?usp=drivesdk</t>
  </si>
  <si>
    <t>Document successfully created; Document successfully merged; Emails Sent: [To: Blythe.Odzinski@floridadep.gov; CC: shannon.dunnigan@dep.state.fl.us,blythe.odzinski@floridadep.gov,stephanie.windham@floridadep.gov,lia.sansom@floridadep.gov; Reply To: shannon.dunnigan@dep.state.fl.us]; Run via form trigger as education@gtmnerr.org; Timestamp: Oct 10 2023 9:10 AM</t>
  </si>
  <si>
    <t>1N7xFP-LtuYDRi67yqfeIt_bAFtrGa90SpPQ1U-R-mmA</t>
  </si>
  <si>
    <t>https://docs.google.com/document/d/1N7xFP-LtuYDRi67yqfeIt_bAFtrGa90SpPQ1U-R-mmA/edit?usp=drivesdk</t>
  </si>
  <si>
    <t>Document successfully created; Document successfully merged; Emails Sent: [To: Blythe.Odzinski@floridadep.gov; CC: nikki.dix@dep.state.fl.us,blythe.odzinski@floridadep.gov,stephanie.windham@floridadep.gov,lia.sansom@floridadep.gov; Reply To: nikki.dix@dep.state.fl.us]; Run via form trigger as education@gtmnerr.org; Timestamp: Oct 10 2023 9:16 AM</t>
  </si>
  <si>
    <t>1hBj3Otm2DL-1HbHusGETQJSFjqnLzIfWXp3kYovn75w</t>
  </si>
  <si>
    <t>https://docs.google.com/document/d/1hBj3Otm2DL-1HbHusGETQJSFjqnLzIfWXp3kYovn75w/edit?usp=drivesdk</t>
  </si>
  <si>
    <t>Document successfully created; Document successfully merged; Emails Sent: [To: Blythe.Odzinski@floridadep.gov; CC: james.tomazinis@floridadep.gov,blythe.odzinski@floridadep.gov,stephanie.windham@floridadep.gov,lia.sansom@floridadep.gov; Reply To: james.tomazinis@floridadep.gov]; Run via form trigger as education@gtmnerr.org; Timestamp: Oct 10 2023 12:07 PM</t>
  </si>
  <si>
    <t>1tAUT2VD3H6VzQm4dMnFWsbOrnWpQiyIicY9o_L7wlk4</t>
  </si>
  <si>
    <t>https://docs.google.com/document/d/1tAUT2VD3H6VzQm4dMnFWsbOrnWpQiyIicY9o_L7wlk4/edit?usp=drivesdk</t>
  </si>
  <si>
    <t>Document successfully created; Document successfully merged; Emails Sent: [To: Nikki.Dix@floridadep.gov; CC: monica.maldonado@floridadep.gov,blythe.odzinski@floridadep.gov,stephanie.windham@floridadep.gov,lia.sansom@floridadep.gov; Reply To: monica.maldonado@floridadep.gov]; Run via form trigger as education@gtmnerr.org; Timestamp: Oct 11 2023 7:43 AM</t>
  </si>
  <si>
    <t>16_Mbe5eS9xl7CqPjCVOvnJxXWyF6u_JZ2u2x0X9r3N0</t>
  </si>
  <si>
    <t>https://docs.google.com/document/d/16_Mbe5eS9xl7CqPjCVOvnJxXWyF6u_JZ2u2x0X9r3N0/edit?usp=drivesdk</t>
  </si>
  <si>
    <t>Document successfully created; Document successfully merged; Emails Sent: [To: Blythe.Odzinski@floridadep.gov; CC: jacob.berna@floridadep.gov,blythe.odzinski@floridadep.gov,stephanie.windham@floridadep.gov,lia.sansom@floridadep.gov; Reply To: jacob.berna@floridadep.gov]; Run via form trigger as education@gtmnerr.org; Timestamp: Oct 11 2023 10:33 AM</t>
  </si>
  <si>
    <t>1Zl9x6kZacmBI5zB_sgwtYjMjwrTFYgeKaMo9jxocSVM</t>
  </si>
  <si>
    <t>https://docs.google.com/document/d/1Zl9x6kZacmBI5zB_sgwtYjMjwrTFYgeKaMo9jxocSVM/edit?usp=drivesdk</t>
  </si>
  <si>
    <t>Document successfully created; Document successfully merged; Emails Sent: [To: Nikki.Dix@floridadep.gov; CC: shannon.dunnigan@dep.state.fl.us,blythe.odzinski@floridadep.gov,stephanie.windham@floridadep.gov,lia.sansom@floridadep.gov; Reply To: shannon.dunnigan@dep.state.fl.us]; Run via form trigger as education@gtmnerr.org; Timestamp: Oct 16 2023 9:41 AM</t>
  </si>
  <si>
    <t>1emhsG7UfBMg_V4bMch6q0H-5dxehg0y-Q7H9bD9ym7k</t>
  </si>
  <si>
    <t>https://docs.google.com/document/d/1emhsG7UfBMg_V4bMch6q0H-5dxehg0y-Q7H9bD9ym7k/edit?usp=drivesdk</t>
  </si>
  <si>
    <t>Document successfully created; Document successfully merged; Emails Sent: [To: Shannon.Dunnigan@floridadep.gov; CC: monica.maldonado@FloridaDEP.gov,blythe.odzinski@floridadep.gov,stephanie.windham@floridadep.gov,lia.sansom@floridadep.gov; Reply To: monica.maldonado@FloridaDEP.gov]; Run via form trigger as education@gtmnerr.org; Timestamp: Oct 24 2023 2:08 PM</t>
  </si>
  <si>
    <t>1DqNdmiPeqP4y1wR01OK9Yvli8zTz4cS0bI7LK8gUtY8</t>
  </si>
  <si>
    <t>https://docs.google.com/document/d/1DqNdmiPeqP4y1wR01OK9Yvli8zTz4cS0bI7LK8gUtY8/edit?usp=drivesdk</t>
  </si>
  <si>
    <t>Document successfully created; Document successfully merged; Emails Sent: [To: Kathryn.Petrinec@floridadep.gov; CC: jacob.berna@floridadep.gov,blythe.odzinski@floridadep.gov,stephanie.windham@floridadep.gov,lia.sansom@floridadep.gov; Reply To: jacob.berna@floridadep.gov]; Run via form trigger as education@gtmnerr.org; Timestamp: Oct 25 2023 10:22 AM</t>
  </si>
  <si>
    <t>1wSrYsC9F3uPp2kX8aEKJKqnMJxIZC5EsA_F9yPwzp98</t>
  </si>
  <si>
    <t>https://docs.google.com/document/d/1wSrYsC9F3uPp2kX8aEKJKqnMJxIZC5EsA_F9yPwzp98/edit?usp=drivesdk</t>
  </si>
  <si>
    <t>Document successfully created; Document successfully merged; Emails Sent: [To: Blythe.Odzinski@floridadep.gov; CC: james.tomazinis@floridadep.gov,blythe.odzinski@floridadep.gov,stephanie.windham@floridadep.gov,lia.sansom@floridadep.gov; Reply To: james.tomazinis@floridadep.gov]; Run via form trigger as education@gtmnerr.org; Timestamp: Oct 25 2023 10:50 AM</t>
  </si>
  <si>
    <t>1hz-MeBBnY8kDBUGgpbb-UIthb7pBKF74Wg8oKBHspQ0</t>
  </si>
  <si>
    <t>https://docs.google.com/document/d/1hz-MeBBnY8kDBUGgpbb-UIthb7pBKF74Wg8oKBHspQ0/edit?usp=drivesdk</t>
  </si>
  <si>
    <t>Document successfully created; Document successfully merged; Emails Sent: [To: Blythe.Odzinski@floridadep.gov; CC: james.tomazinis@floridadep.gov,blythe.odzinski@floridadep.gov,stephanie.windham@floridadep.gov,lia.sansom@floridadep.gov; Reply To: james.tomazinis@floridadep.gov]; Run via form trigger as education@gtmnerr.org; Timestamp: Oct 26 2023 12:16 PM</t>
  </si>
  <si>
    <t>1VddPxEGiowcYTe9ZrWn7qcaL_MxO-ZPD7j_ps1TKlb4</t>
  </si>
  <si>
    <t>https://docs.google.com/document/d/1VddPxEGiowcYTe9ZrWn7qcaL_MxO-ZPD7j_ps1TKlb4/edit?usp=drivesdk</t>
  </si>
  <si>
    <t>Document successfully created; Document successfully merged; Emails Sent: [To: Blythe.Odzinski@floridadep.gov; CC: james.tomazinis@floridadep.gov,blythe.odzinski@floridadep.gov,stephanie.windham@floridadep.gov,lia.sansom@floridadep.gov; Reply To: james.tomazinis@floridadep.gov]; Run via form trigger as education@gtmnerr.org; Timestamp: Oct 27 2023 10:45 AM</t>
  </si>
  <si>
    <t>1rTcx6yolbBb77iUMTocqjjPLW5y22ped614Z2XBc3UA</t>
  </si>
  <si>
    <t>https://docs.google.com/document/d/1rTcx6yolbBb77iUMTocqjjPLW5y22ped614Z2XBc3UA/edit?usp=drivesdk</t>
  </si>
  <si>
    <t>Document successfully created; Document successfully merged; Emails Sent: [To: Blythe.Odzinski@floridadep.gov; CC: jacob.berna@floridadep.gov,blythe.odzinski@floridadep.gov,stephanie.windham@floridadep.gov,lia.sansom@floridadep.gov; Reply To: jacob.berna@floridadep.gov]; Run via form trigger as education@gtmnerr.org; Timestamp: Oct 27 2023 11:20 AM</t>
  </si>
  <si>
    <t>1P9H2KikmC9-bQW2BbO7h_tia5NqNec4RRkWd8Ewfb3k</t>
  </si>
  <si>
    <t>https://docs.google.com/document/d/1P9H2KikmC9-bQW2BbO7h_tia5NqNec4RRkWd8Ewfb3k/edit?usp=drivesdk</t>
  </si>
  <si>
    <t>Document successfully created; Document successfully merged; Emails Sent: [To: Blythe.Odzinski@floridadep.gov; CC: hans.prevost@floridadep.gov,blythe.odzinski@floridadep.gov,stephanie.windham@floridadep.gov,lia.sansom@floridadep.gov; Reply To: hans.prevost@floridadep.gov]; Run via form trigger as education@gtmnerr.org; Timestamp: Oct 27 2023 11:50 AM</t>
  </si>
  <si>
    <t>1-NdSUMOj3WQxAooO-WcnQB2FGtGUTEQw4dWbiERTBfs</t>
  </si>
  <si>
    <t>https://docs.google.com/document/d/1-NdSUMOj3WQxAooO-WcnQB2FGtGUTEQw4dWbiERTBfs/edit?usp=drivesdk</t>
  </si>
  <si>
    <t>Document successfully created; Document successfully merged; Emails Sent: [To: Jacob.Berna@floridadep.gov; CC: hans.prevost@floridadep.gov,blythe.odzinski@floridadep.gov,stephanie.windham@floridadep.gov,lia.sansom@floridadep.gov; Reply To: hans.prevost@floridadep.gov]; Run via form trigger as education@gtmnerr.org; Timestamp: Oct 29 2023 7:21 AM</t>
  </si>
  <si>
    <t>1qp5rouXfRUbwOrl7K2z4KlVtSyOEIToErDIjtNjgWrk</t>
  </si>
  <si>
    <t>https://docs.google.com/document/d/1qp5rouXfRUbwOrl7K2z4KlVtSyOEIToErDIjtNjgWrk/edit?usp=drivesdk</t>
  </si>
  <si>
    <t>Document successfully created; Document successfully merged; Emails Sent: [To: Jacob.Berna@floridadep.gov; CC: hans.prevost@floridadep.gov,blythe.odzinski@floridadep.gov,stephanie.windham@floridadep.gov,lia.sansom@floridadep.gov; Reply To: hans.prevost@floridadep.gov]; Run via form trigger as education@gtmnerr.org; Timestamp: Oct 29 2023 9:40 AM</t>
  </si>
  <si>
    <t>1JuJNwJGjgEpEcweOM_3mdxFnXCYWLoxl2pFQS7pOHYU</t>
  </si>
  <si>
    <t>https://docs.google.com/document/d/1JuJNwJGjgEpEcweOM_3mdxFnXCYWLoxl2pFQS7pOHYU/edit?usp=drivesdk</t>
  </si>
  <si>
    <t>Document successfully created; Document successfully merged; Emails Sent: [To: Jacob.Berna@floridadep.gov; CC: hans.prevost@floridadep.gov,blythe.odzinski@floridadep.gov,stephanie.windham@floridadep.gov,lia.sansom@floridadep.gov; Reply To: hans.prevost@floridadep.gov]; Run via form trigger as education@gtmnerr.org; Timestamp: Oct 29 2023 2:30 PM</t>
  </si>
  <si>
    <t>1stP7zXd3N0SsPjG0IX58qMAoNv0o_wvhlfWB5PQVTaQ</t>
  </si>
  <si>
    <t>https://docs.google.com/document/d/1stP7zXd3N0SsPjG0IX58qMAoNv0o_wvhlfWB5PQVTaQ/edit?usp=drivesdk</t>
  </si>
  <si>
    <t>Document successfully created; Document successfully merged; Emails Sent: [To: Jacob.Berna@floridadep.gov; CC: hans.prevost@floridadep.gov,blythe.odzinski@floridadep.gov,stephanie.windham@floridadep.gov,lia.sansom@floridadep.gov; Reply To: hans.prevost@floridadep.gov]; Run via form trigger as education@gtmnerr.org; Timestamp: Oct 30 2023 11:00 AM</t>
  </si>
  <si>
    <t>12mbuxoE215GsGc9kiDtuYIRbCVnwUFeD-zM0UQuhU-o</t>
  </si>
  <si>
    <t>https://docs.google.com/document/d/12mbuxoE215GsGc9kiDtuYIRbCVnwUFeD-zM0UQuhU-o/edit?usp=drivesdk</t>
  </si>
  <si>
    <t>Document successfully created; Document successfully merged; Emails Sent: [To: Blythe.Odzinski@floridadep.gov; CC: hans.prevost@floridadep.gov,blythe.odzinski@floridadep.gov,stephanie.windham@floridadep.gov,lia.sansom@floridadep.gov; Reply To: hans.prevost@floridadep.gov]; Run via form trigger as education@gtmnerr.org; Timestamp: Oct 30 2023 3:09 PM</t>
  </si>
  <si>
    <t>Timestamp</t>
  </si>
  <si>
    <t>YOUR NAME</t>
  </si>
  <si>
    <t>YOUR EMAIL</t>
  </si>
  <si>
    <t>Float Plan Holder</t>
  </si>
  <si>
    <t>BOAT RAMP</t>
  </si>
  <si>
    <t>Date you plan to launch</t>
  </si>
  <si>
    <t>Destination</t>
  </si>
  <si>
    <t>Estimated time off the water</t>
  </si>
  <si>
    <t>Time return to office (best estimate)</t>
  </si>
  <si>
    <t>Vessel Details</t>
  </si>
  <si>
    <t>If you selected Canoe(s) or Kayak(s), how many are you taking?</t>
  </si>
  <si>
    <t>Towing Vehicle</t>
  </si>
  <si>
    <t>Who is (are) the Certified Operator(s)?</t>
  </si>
  <si>
    <t>Who is (are) the other individuals on-board?</t>
  </si>
  <si>
    <t>Who is the primary Captain?</t>
  </si>
  <si>
    <t xml:space="preserve"> [Trailer Lights, Tire Pressure, Boat Box with Keys, Tool Kit, PFD's for every passenger, Type IV Throwable, Fuel, Battery, Radio/Cell Check, Anchor &amp; Line, Paddles and/or Push Pole, Boat Hook, First-Aid Kit, Whistle/Horn, Signal Devices, Fire Extinguisher, Navigation Lights]</t>
  </si>
  <si>
    <t xml:space="preserve"> [Tool Kit]</t>
  </si>
  <si>
    <t xml:space="preserve"> [PFD's and Type IV throwable]</t>
  </si>
  <si>
    <t xml:space="preserve"> [Fuel, Battery, and Radio/Cell Check]</t>
  </si>
  <si>
    <t xml:space="preserve"> [Anchor and Line]</t>
  </si>
  <si>
    <t xml:space="preserve"> [Paddles, Push Pole]</t>
  </si>
  <si>
    <t xml:space="preserve"> [Boat Hook]</t>
  </si>
  <si>
    <t xml:space="preserve"> [First-Aid Kit]</t>
  </si>
  <si>
    <t xml:space="preserve"> [Whistle/ Horn]</t>
  </si>
  <si>
    <t xml:space="preserve"> [Signal Devices]</t>
  </si>
  <si>
    <t xml:space="preserve"> [Fire Extinguisher]</t>
  </si>
  <si>
    <t xml:space="preserve"> [Trailer and Boat Lights]</t>
  </si>
  <si>
    <t xml:space="preserve"> [Tire Pressure]</t>
  </si>
  <si>
    <t>Check the Weather (Optional)</t>
  </si>
  <si>
    <t>Check the Tides (Optional)</t>
  </si>
  <si>
    <t>Time you plan to launch</t>
  </si>
  <si>
    <t xml:space="preserve"> [Boating Inspection Checklist Form DEP 51-037]</t>
  </si>
  <si>
    <t>Kenneth Rainer</t>
  </si>
  <si>
    <t>KennethCRainer@gmail.com</t>
  </si>
  <si>
    <t>Research/Pam</t>
  </si>
  <si>
    <t>Aunt Kate's</t>
  </si>
  <si>
    <t>Field Station</t>
  </si>
  <si>
    <t>17ft Skill FL0642GW DEP07239</t>
  </si>
  <si>
    <t>Ford F150 2015 (White) - DEP21448</t>
  </si>
  <si>
    <t>Nikki Dix, (352) 219-4079, Pam Marcum, (480) 332-5414</t>
  </si>
  <si>
    <t>Joseph Burgess, Katie Petrinec, (904) 891-2956, Kenneth Rainer, (936) 499-1853, Matt Welsh, (904) 705-5617</t>
  </si>
  <si>
    <t>Joseph Burgess</t>
  </si>
  <si>
    <t>Education</t>
  </si>
  <si>
    <t>F 20ft Sea Ark (Easy 200)</t>
  </si>
  <si>
    <t>Joseph Burgess, Pam Marcum, (480) 332-5414</t>
  </si>
  <si>
    <t>Pam Marcum, (480) 332-5414, Matt Monroe, Kenneth Rainer, (936) 499-1853</t>
  </si>
  <si>
    <t>Nikki Dix, (352) 219-4079</t>
  </si>
  <si>
    <t>Kenneth.Rainer@dep.state.fl.us</t>
  </si>
  <si>
    <t>Vilano Boat Ramp (Campeche Cove)</t>
  </si>
  <si>
    <t>Moses Creek</t>
  </si>
  <si>
    <t>Pam Marcum, (480) 332-5414, Kenneth Rainer, (936) 499-1853</t>
  </si>
  <si>
    <t>Volunteers</t>
  </si>
  <si>
    <t>Kenneth Rainer, (936) 499-1853</t>
  </si>
  <si>
    <t>Usina Boat Ramp (Aunt Kate's)</t>
  </si>
  <si>
    <t>Wright's Landing (Tolomato River)</t>
  </si>
  <si>
    <t>23ft Skiff FL7972LJ DEP07613</t>
  </si>
  <si>
    <t>Erin Elliot, Meghan Higgins, 7-9yr campers (June 13-17, 2016 week)</t>
  </si>
  <si>
    <t>Usina Boat Ramp</t>
  </si>
  <si>
    <t>Shell Bluff and then to tip of Guana Peninsula</t>
  </si>
  <si>
    <t>Erin Elliot, Meghan Higgins, 10-12yr Ocean Week Campers</t>
  </si>
  <si>
    <t>Vilano Boat Ramp</t>
  </si>
  <si>
    <t>Northern Component to conduct Nekton Surveys</t>
  </si>
  <si>
    <t>Ed McGinley</t>
  </si>
  <si>
    <t>Nekton Survey Sample Sites</t>
  </si>
  <si>
    <t>Ed McGinley, Flagler Students</t>
  </si>
  <si>
    <t>Nekton Survey (northern component)</t>
  </si>
  <si>
    <t>Ed McGinley, Molly Hoffman, Tim Mullen</t>
  </si>
  <si>
    <t>Southern Component - Nekton Trawl</t>
  </si>
  <si>
    <t>Josephine Spearman, Nicholas Scheffer, Benjamin Rome, Ed McGinley</t>
  </si>
  <si>
    <t>Nekton Sampling Sites</t>
  </si>
  <si>
    <t>20ft Sea Ark FL5351SJ UNF 2015</t>
  </si>
  <si>
    <t>Southern Component</t>
  </si>
  <si>
    <t>Lia Sansom, Ed McGinley, Two Flagler Students</t>
  </si>
  <si>
    <t>Northern Component for Nekton Survey</t>
  </si>
  <si>
    <t>Ed McGinley, 3 Flagler Students</t>
  </si>
  <si>
    <t>Northern Component of GTM</t>
  </si>
  <si>
    <t>Kenneth Rainer, (936) 499-1853, McCoy students and teachers</t>
  </si>
  <si>
    <t>Northern Component</t>
  </si>
  <si>
    <t>Joe McCoy; Nancy Watson; Mary Turner; Michael Chen; Matthew Petty; Isabella Cioffi; Kaleb Cowart</t>
  </si>
  <si>
    <t>Nikki Dix, (352) 219-4079, Matt Monroe, Ed McGinley</t>
  </si>
  <si>
    <t>Matt Monroe, Ed McGinley</t>
  </si>
  <si>
    <t>Northern Portion of GTM NERR</t>
  </si>
  <si>
    <t>Emma Hanson</t>
  </si>
  <si>
    <t>Guana Peninsula</t>
  </si>
  <si>
    <t>Weather at 9:00 A.M. - 78F, 51% rain, 3mph S</t>
  </si>
  <si>
    <t>Tides: Low at 6:31 A.M. and High at 12:34 P.M.</t>
  </si>
  <si>
    <t>Aunt Kate's Boat Ramp</t>
  </si>
  <si>
    <t>Northern Component (along Guana peninsula)</t>
  </si>
  <si>
    <t>Weather: 8AM, 78F, 15% chance rain, 8mph SSE</t>
  </si>
  <si>
    <t>Tides: High is 6:26AM, Low is 12:38PM</t>
  </si>
  <si>
    <t>7-9yr Summer Campers, Taylor, Silvia, Ashton, Emma</t>
  </si>
  <si>
    <t>Weather (9am): 82F, 7% chance rain, 3mph ESE</t>
  </si>
  <si>
    <t>Tides: Low Tide 5:22AM; High Tide 11:28pm (incoming tide)</t>
  </si>
  <si>
    <t>Josephine Spearman</t>
  </si>
  <si>
    <t>Josephine.Spearman@dep.state.fl.us</t>
  </si>
  <si>
    <t>Guana Dam</t>
  </si>
  <si>
    <t>Guana Lake</t>
  </si>
  <si>
    <t>Kayak(s)</t>
  </si>
  <si>
    <t>7-9yr Campers, Ashton, Emma, Taylor, Sylvia</t>
  </si>
  <si>
    <t>Weather (@9am): 82F, 15% chance rain, 6mph ENE</t>
  </si>
  <si>
    <t>Ashton, Taylor, Sylvia, 10-12yr Campers</t>
  </si>
  <si>
    <t>Weather: 9am 81F, 6% chance rain, 4mph WNW</t>
  </si>
  <si>
    <t>Tides: High Tide (6:04 a.m.), Low Tide (12:16 p.m.)</t>
  </si>
  <si>
    <t>Trey Tester</t>
  </si>
  <si>
    <t>Angelini Project</t>
  </si>
  <si>
    <t>F 20ft Sea Ark (Easy 200) FL8534PY DEP21451</t>
  </si>
  <si>
    <t>Ford F150 2005 (Blue Bomber) - DEP06139</t>
  </si>
  <si>
    <t>Silas Tanner, Scott Eastman, Joseph Burgess, Josie Spearman</t>
  </si>
  <si>
    <t>Good</t>
  </si>
  <si>
    <t>Beautiful</t>
  </si>
  <si>
    <t>Very Very High</t>
  </si>
  <si>
    <t>Pamela Marcum</t>
  </si>
  <si>
    <t>Pamela.Marcum@Dep.state.fl.us</t>
  </si>
  <si>
    <t>Research</t>
  </si>
  <si>
    <t>Bing's Landing</t>
  </si>
  <si>
    <t>Matanzas River &amp; Jordan Island</t>
  </si>
  <si>
    <t>23ft Skiff (Bertha) FL7972LJ DEP07613</t>
  </si>
  <si>
    <t>Ford F150 2008 - DEP18041 (ML)</t>
  </si>
  <si>
    <t>Pam Marcum, (480) 332-5414</t>
  </si>
  <si>
    <t>Ben Mowbray, Weslty Woodward</t>
  </si>
  <si>
    <t>Pam</t>
  </si>
  <si>
    <t>OK</t>
  </si>
  <si>
    <t>Pamela.Marcum@dep.state.fl.us</t>
  </si>
  <si>
    <t>Upper Pellicer Creek</t>
  </si>
  <si>
    <t>Pam Marcum, (480) 332-5414, Remo Mondazzi</t>
  </si>
  <si>
    <t>Ben Mowbray</t>
  </si>
  <si>
    <t>Faver-Dykes</t>
  </si>
  <si>
    <t>Middle Pellicer Creek</t>
  </si>
  <si>
    <t>Greg Hornsby</t>
  </si>
  <si>
    <t>Silas Tanner</t>
  </si>
  <si>
    <t>silas.tanner@floridadep.gov</t>
  </si>
  <si>
    <t>ICW around Pine Island</t>
  </si>
  <si>
    <t>Ford F250 2017 (Moby Dix) - DEP0021578</t>
  </si>
  <si>
    <t>Silas Tanner, Jimmy Tomazinis</t>
  </si>
  <si>
    <t>Adam Rosenblatt, Courtney Lanasa, Mason Thackston</t>
  </si>
  <si>
    <t>Vilano County Ramp</t>
  </si>
  <si>
    <t>ICW: SWMP sites</t>
  </si>
  <si>
    <t>Matthew Sturchio</t>
  </si>
  <si>
    <t>James Tomazinis</t>
  </si>
  <si>
    <t>james.tomazinis@floridadep.gov</t>
  </si>
  <si>
    <t>Stewardship (Aquatic)</t>
  </si>
  <si>
    <t>Guana Nutrient sites</t>
  </si>
  <si>
    <t>Jon Boat FL0484NP DEP06819</t>
  </si>
  <si>
    <t>Aunt Kates</t>
  </si>
  <si>
    <t>Angelini Sites</t>
  </si>
  <si>
    <t>Jimmy Tomazinis</t>
  </si>
  <si>
    <t>Greg</t>
  </si>
  <si>
    <t>Jimmy</t>
  </si>
  <si>
    <t>Frank Butler West Boat Ramp</t>
  </si>
  <si>
    <t>Southern Component (Matanzas River)</t>
  </si>
  <si>
    <t>Joe McCoy, Five High School Students (provided DEP release waivers)</t>
  </si>
  <si>
    <t>Partly Cloudy, High 72 F, 16% rain, wind is 10mph NNW</t>
  </si>
  <si>
    <t>High Tide (4.8') 10:07 AM; Low Tide (-0.2') 4:34 PM</t>
  </si>
  <si>
    <t>Aunt Kate's/Usina</t>
  </si>
  <si>
    <t>Spat Run, Marsh Platforms, Angelini Site</t>
  </si>
  <si>
    <t xml:space="preserve">Pam </t>
  </si>
  <si>
    <t>Pam Marcum</t>
  </si>
  <si>
    <t>Usina</t>
  </si>
  <si>
    <t>Guana River</t>
  </si>
  <si>
    <t>Ben Mowbray (407) 962-8782</t>
  </si>
  <si>
    <t>Benjamin E Mowbray</t>
  </si>
  <si>
    <t>mowbraybenjamin@gmail.com</t>
  </si>
  <si>
    <t>Wright's landing</t>
  </si>
  <si>
    <t>Pam Marcum, (480) 332-5414, Gabriela Canas</t>
  </si>
  <si>
    <t>Ben Mowbray, Jeff Finnan</t>
  </si>
  <si>
    <t>Good, clear</t>
  </si>
  <si>
    <t>Good, high outgoing</t>
  </si>
  <si>
    <t>Shannon Dunnigan, Silas Tanner</t>
  </si>
  <si>
    <t>Tanner</t>
  </si>
  <si>
    <t>Bing's</t>
  </si>
  <si>
    <t>ICW between Rattlesnake Island and Bing's</t>
  </si>
  <si>
    <t>Matt Brown, Westly Woodward, Ally Hartnett</t>
  </si>
  <si>
    <t>Mostly sunny</t>
  </si>
  <si>
    <t>High outgoing</t>
  </si>
  <si>
    <t xml:space="preserve">Vilano </t>
  </si>
  <si>
    <t>Matanzas River</t>
  </si>
  <si>
    <t>Admin Tour Members (see Nikki's email)</t>
  </si>
  <si>
    <t>Ben.Mowbray@dep.state.fl.us</t>
  </si>
  <si>
    <t>Vegetation platforms</t>
  </si>
  <si>
    <t>Pam Marcum, (480) 332-5414, Silas Tanner</t>
  </si>
  <si>
    <t>Benjamin Mowbray, Jennifer Odzinski</t>
  </si>
  <si>
    <t>Washington Oaks Marsh Site</t>
  </si>
  <si>
    <t>Pam Marcum, (480) 332-5414, Silas Tanner, (904) 483-8423</t>
  </si>
  <si>
    <t>Benjamin Mowbray, (407) 962-8782, Gabriela Canas, (904) 891-9743</t>
  </si>
  <si>
    <t>Palm Valley 210 Bridge</t>
  </si>
  <si>
    <t>Pine Island Marsh Site</t>
  </si>
  <si>
    <t>Benjamin Mowbray, (407) 962-8782, Matt Sturchio</t>
  </si>
  <si>
    <t>silas.tanner@dep.state.fl.us</t>
  </si>
  <si>
    <t>Douglas Crane Park &amp; Boat Ramp</t>
  </si>
  <si>
    <t xml:space="preserve">ICW south of 312 - Site 22 (Jason's Creek) </t>
  </si>
  <si>
    <t>Pam Marcum, (480) 332-5414, Silas Tanner, (904) 483-8423, Ben Mowbray, (407) 962-8782</t>
  </si>
  <si>
    <t>Jeff Finnan</t>
  </si>
  <si>
    <t>Green Road Boat Ramp</t>
  </si>
  <si>
    <t>Silas Tanner, (904) 483-8423</t>
  </si>
  <si>
    <t>Benjamin Mowbray, (407) 962-8782, Annie Otto</t>
  </si>
  <si>
    <t>james.tomazinis@dep.state.fl.us</t>
  </si>
  <si>
    <t>Guana NUT sites</t>
  </si>
  <si>
    <t>Jimmy Tomazinis, (904) 547-0094</t>
  </si>
  <si>
    <t>Mike Dickson</t>
  </si>
  <si>
    <t>Upper Tolomato River</t>
  </si>
  <si>
    <t>Ford F150 2008 - DEP18041 (SWMP Thing)</t>
  </si>
  <si>
    <t>Greg Kusel, Patrick Norby</t>
  </si>
  <si>
    <t>Silas.tanner@floridadep.gov</t>
  </si>
  <si>
    <t>Vilano County ramp</t>
  </si>
  <si>
    <t>ICW SWMP sites</t>
  </si>
  <si>
    <t>Silas Tanner, (904) 483-8423, Jimmy Tomazinis, (904) 547-0094</t>
  </si>
  <si>
    <t>Moses Creek floating dock</t>
  </si>
  <si>
    <t>Moses Creek vegetation platforms</t>
  </si>
  <si>
    <t>Canoe(s)</t>
  </si>
  <si>
    <t>Shannon Dunnigan</t>
  </si>
  <si>
    <t>Shannon.Dunnigan@dep.state.fl.us</t>
  </si>
  <si>
    <t>Bings Landing</t>
  </si>
  <si>
    <t>Summerhaven</t>
  </si>
  <si>
    <t>Shannon Dunnigan, (803) 727-5734</t>
  </si>
  <si>
    <t>Shannon</t>
  </si>
  <si>
    <t>Usina Ramp/Aunt Kate's</t>
  </si>
  <si>
    <t>Tolomato River- Angelini Sites</t>
  </si>
  <si>
    <t>Benjamin Mowbray, (407) 962-8782, Christine Angelini, Patrick Norby, Greg Kusel, Annie Otto, Jessica Lee</t>
  </si>
  <si>
    <t>ICW - SWMP sites FM, SS &amp; PI</t>
  </si>
  <si>
    <t>Silas Tanner, (904) 483-8423, Remo Mondazi</t>
  </si>
  <si>
    <t>ben.mowbray@dep.state.fl.us</t>
  </si>
  <si>
    <t>Vilano</t>
  </si>
  <si>
    <t>Check Off</t>
  </si>
  <si>
    <t>Ford 150 2007 with covered cap - DEP06870</t>
  </si>
  <si>
    <t>Joseph Burgess, (904) 599-2723, Ben Mowbray, (407) 962-8782</t>
  </si>
  <si>
    <t>Benjamin Mowbray, (407) 962-8782, Joseph Burgess, (904) 599-2723</t>
  </si>
  <si>
    <t>Crane Park/Shore Drive</t>
  </si>
  <si>
    <t>Matanzas River Marshes</t>
  </si>
  <si>
    <t>Pam Marcum, (480) 332-5414, Ben Mowbray, (407) 962-8782</t>
  </si>
  <si>
    <t>Gabriela Canas, (904) 891-9743</t>
  </si>
  <si>
    <t>Faver-Dykes State Park</t>
  </si>
  <si>
    <t>Pellicer Creek</t>
  </si>
  <si>
    <t>Faer-Dykes State Park</t>
  </si>
  <si>
    <t>Pellicer Creek Transects</t>
  </si>
  <si>
    <t>Annie Otto</t>
  </si>
  <si>
    <t>Spat Run</t>
  </si>
  <si>
    <t>Ben Mowbray, (407) 962-8782</t>
  </si>
  <si>
    <t>Remo and Sam</t>
  </si>
  <si>
    <t>Ben</t>
  </si>
  <si>
    <t>Aunt Kate's / Shore Drive</t>
  </si>
  <si>
    <t>Sam Shaw or Hunter Mathews</t>
  </si>
  <si>
    <t>Summerhaven Nut Run</t>
  </si>
  <si>
    <t>Sam Shaw, Matt Brown, Wesley, Trinity (maybe)</t>
  </si>
  <si>
    <t>ICW SWMP Sites: FM, SS &amp; PI</t>
  </si>
  <si>
    <t>Hunter Mathews</t>
  </si>
  <si>
    <t>Site 1: Angelini Project, Pine Island</t>
  </si>
  <si>
    <t>74 °F, 24% Rain, 11mph South</t>
  </si>
  <si>
    <t>04:48 AM -0.80 L and 10:56 AM 3.92 H</t>
  </si>
  <si>
    <t>Palm Valley</t>
  </si>
  <si>
    <t>Remo</t>
  </si>
  <si>
    <t>Crane Park Shore Drive</t>
  </si>
  <si>
    <t>Tidal Creek North of East Creek</t>
  </si>
  <si>
    <t>Sam Chapman, Matt Hayes, Libby, Chuck, Emily, Ember, Chansotheary</t>
  </si>
  <si>
    <t>ICW b/w Rattlesnake Is. and Bing's</t>
  </si>
  <si>
    <t>Matt Brown, Westly Woodward, Remo Mondazi</t>
  </si>
  <si>
    <t>Shore Dr.</t>
  </si>
  <si>
    <t>Chapman Sites</t>
  </si>
  <si>
    <t>Gabriela Canas, (904) 891-9743, Chapman group</t>
  </si>
  <si>
    <t>Vilano County Ramp; Green Rd</t>
  </si>
  <si>
    <t>ICW SWMP Sites</t>
  </si>
  <si>
    <t>dam</t>
  </si>
  <si>
    <t>Guana sample sites</t>
  </si>
  <si>
    <t>Ford Explorer 2002 - DEP05465 (AP)</t>
  </si>
  <si>
    <t>Whitney Lab</t>
  </si>
  <si>
    <t>Kimbro Sites</t>
  </si>
  <si>
    <t>23ft Skiff (Bertha) FL7972LJ DEP07613, Kayak(s)</t>
  </si>
  <si>
    <t>Kimbro Team</t>
  </si>
  <si>
    <t>Vilano Ramp; Green Rd</t>
  </si>
  <si>
    <t>ICW - SWMP sites</t>
  </si>
  <si>
    <t>Green Rd.</t>
  </si>
  <si>
    <t>Craig + Kimbro's team</t>
  </si>
  <si>
    <t>Fort Matanzas area</t>
  </si>
  <si>
    <t>Tricia Kaiser, Eben Broadbent</t>
  </si>
  <si>
    <t xml:space="preserve">Douglas Crane Park Shore Dr. </t>
  </si>
  <si>
    <t>Spat sites</t>
  </si>
  <si>
    <t>David Kimbro, Rodrigo</t>
  </si>
  <si>
    <t>Jason's Creek/ Matanzas Inlet</t>
  </si>
  <si>
    <t>Kenneth Rainer, (936) 499-1853, Jimmy Tomazinis, (904) 547-0094</t>
  </si>
  <si>
    <t>Gabriela Canas, (904) 891-9743, Emma Hanson, Summer Campers and Summer Camp Interns</t>
  </si>
  <si>
    <t>88F; 2%; 7 mph WNW</t>
  </si>
  <si>
    <t>H (1:35 a.m. | 3.51ft), L (8:21 a.m. | 0.37ft), H (2:06 p.m. | 2.87ft), L (8:17 p.m. | 0.55ft)</t>
  </si>
  <si>
    <t>Jason's Creek / Matanzas Inlet</t>
  </si>
  <si>
    <t>Wright's Landing; Shell Bluff; Angelini Project</t>
  </si>
  <si>
    <t>Kenneth Rainer, (936) 499-1853, Silas Tanner, (904) 483-8423</t>
  </si>
  <si>
    <t>Gabriela Canas, (904) 891-9743, Emma Hanson, Josie Spearman, (386) 627-0816, Summer Campers and Summer Camp Interns</t>
  </si>
  <si>
    <t>87F; 34%; 10 mph ESE (scattered thunderstorms and partly cloudy)</t>
  </si>
  <si>
    <t>H (3:18 a.m. | 3.36ft), L (9:46 a.m. | -0.27ft), H (4:02 p.m. | 3.32ft), L (10:08 p.m. | 0.08ft)</t>
  </si>
  <si>
    <t>Guana WQ sites</t>
  </si>
  <si>
    <t>Sam Shaw, Terri Calleson</t>
  </si>
  <si>
    <t>Tomazinis</t>
  </si>
  <si>
    <t>GTM NERR Northern Component</t>
  </si>
  <si>
    <t>Nikki Dix, (352) 219-4079, Kenneth Rainer, (936) 499-1853</t>
  </si>
  <si>
    <t>UF Professor and Students (with completed Release Waivers)</t>
  </si>
  <si>
    <t>Partly cloudy. A stray shower or thunderstorm is possible. High 89F. Winds WSW at 5 to 10 mph.</t>
  </si>
  <si>
    <t>High 09:43AM (3.82ft); Low 03:37PM (-1.22ft)</t>
  </si>
  <si>
    <t>ICW - Rattlesnake Island to Bing's</t>
  </si>
  <si>
    <t>Hunter Mathews, Matt Brown, Westly Woodward</t>
  </si>
  <si>
    <t>Lighthouse park</t>
  </si>
  <si>
    <t>Greater St. Augustine area</t>
  </si>
  <si>
    <t>Scott Eastman, (904) 501-9267, Pam Marcum, (480) 332-5414, Jimmy Tomazinis, (904) 547-0094</t>
  </si>
  <si>
    <t>Jeff Loflin</t>
  </si>
  <si>
    <t>ICW Summerhaven area</t>
  </si>
  <si>
    <t>Matt Brown</t>
  </si>
  <si>
    <t>Gabriela Canas</t>
  </si>
  <si>
    <t>gabriela.canas@dep.state.fl.us</t>
  </si>
  <si>
    <t>Shore drive boat ramp</t>
  </si>
  <si>
    <t xml:space="preserve">Gabby’s creek </t>
  </si>
  <si>
    <t xml:space="preserve">Gabriela Canas, (904) 891-9743, 2 volunteers Alee knowell, Charles Huber </t>
  </si>
  <si>
    <t xml:space="preserve">Ben Mowbray </t>
  </si>
  <si>
    <t>Afternoon storms</t>
  </si>
  <si>
    <t>11:30 high tide</t>
  </si>
  <si>
    <t>Whitney &amp; Green Rd</t>
  </si>
  <si>
    <t>Kimbro Sites- Pellicer &amp; Moses</t>
  </si>
  <si>
    <t>David Kimbro, Nicole Peckham, Rodrigo</t>
  </si>
  <si>
    <t>Green Rd. Boat Ramp</t>
  </si>
  <si>
    <t>Moses Kimbro Site</t>
  </si>
  <si>
    <t>Nicole Peckham, Adrienne, Rodrigo</t>
  </si>
  <si>
    <t>Sawpit creek</t>
  </si>
  <si>
    <t>Nassauville restoration site and mangroves</t>
  </si>
  <si>
    <t>Scott Eastman, (904) 501-9267, Jimmy Tomazinis, (904) 547-0094</t>
  </si>
  <si>
    <t>Mantanzas River</t>
  </si>
  <si>
    <t>Benjamin Mowbray, (407) 962-8782, Remo Mondazzi</t>
  </si>
  <si>
    <t>Northern Component - Shell Bluff</t>
  </si>
  <si>
    <t>Gabriela Canas, (904) 891-9743, Emma Hanson, Josie Spearman, (386) 627-0816</t>
  </si>
  <si>
    <t>Partly cloudy. A stray shower or thunderstorm is possible. High 89F. Winds SSE at 10 to 15 mph.</t>
  </si>
  <si>
    <t>2:07 AM (-0.02); 7:59 AM (3.53); 1:56 PM (-0.26); 8:26 PM (4.52)</t>
  </si>
  <si>
    <t>Guana lake</t>
  </si>
  <si>
    <t>Kelly Smith</t>
  </si>
  <si>
    <t>Research/Nikki</t>
  </si>
  <si>
    <t>ICW - Summerhaven</t>
  </si>
  <si>
    <t>Shannon Dunnigan, (803) 727-5734, Silas Tanner, (904) 483-8423</t>
  </si>
  <si>
    <t>Oyster Reefs in Tolomato and Guana River</t>
  </si>
  <si>
    <t>Benjamin Mowbray, (407) 962-8782, Nicole Peckham, Rodrigo Pavani, Adrienne Breef-Pilz</t>
  </si>
  <si>
    <t>Reefs in Tolomato</t>
  </si>
  <si>
    <t>Nicole Peckham, Rodrigo Pavani, Adrienne Breef-Pilz</t>
  </si>
  <si>
    <t>Spat Tree Reefs</t>
  </si>
  <si>
    <t>Vilano county ramp</t>
  </si>
  <si>
    <t>Tatum Theodore, Hunter Mathews</t>
  </si>
  <si>
    <t>Green Rd</t>
  </si>
  <si>
    <t>Matanzas River Spat Sites</t>
  </si>
  <si>
    <t>Adrienne Breef-Pilz, Nicole Peckham, Rodrigo Pavani</t>
  </si>
  <si>
    <t>Guana + Tolomato Reefs</t>
  </si>
  <si>
    <t>Rodrigo and Adrienne</t>
  </si>
  <si>
    <t>Doug Crane Boat Ramp</t>
  </si>
  <si>
    <t>ICW - near East Creek / Moultrie Creek</t>
  </si>
  <si>
    <t>Silas Tanner, (904) 483-8423, Gabriela Canas, (904) 891-9743, Remo Mondazi</t>
  </si>
  <si>
    <t>Hunter Mathews, Sam Shaw</t>
  </si>
  <si>
    <t>ben.mowbray@state.dep.fl.us</t>
  </si>
  <si>
    <t>Shore Dr. Boat Ramp</t>
  </si>
  <si>
    <t>FM and SA Reefs</t>
  </si>
  <si>
    <t>will email later</t>
  </si>
  <si>
    <t>Jamie L.</t>
  </si>
  <si>
    <t>Nikki Dix, (352) 219-4079, Jimmy Tomazinis, (904) 547-0094</t>
  </si>
  <si>
    <t>5 LMR people</t>
  </si>
  <si>
    <t>Aunt Kate's Usina Ramp</t>
  </si>
  <si>
    <t>Tolomato River Pine Island</t>
  </si>
  <si>
    <t>Michael Shirley, Shannon Rininger, +5 LMR Reviewers</t>
  </si>
  <si>
    <t>Dam</t>
  </si>
  <si>
    <t>Usina Boat Ramp (Aunt Kates)</t>
  </si>
  <si>
    <t>Northern component (Shell Bluff)</t>
  </si>
  <si>
    <t>Summer Campers (7-9yr &amp; 10-12yr campers)</t>
  </si>
  <si>
    <t>Mainly sunny. A stray shower or thunderstorm is possible. High near 90F. SW winds shifting to ESE at 10 to 15 mph.</t>
  </si>
  <si>
    <t>08:26 AM, 3.96 ft, H --- 2:24 PM, -1.12 ft, L</t>
  </si>
  <si>
    <t>ICW around Summerhaven</t>
  </si>
  <si>
    <t>Shannon Dunnigan, (803) 727-5734, Ben Mowbray, (407) 962-8782</t>
  </si>
  <si>
    <t>Matt Brown, Trinity Hopkins, Hunter Mathews</t>
  </si>
  <si>
    <t>GR and TR Reefs</t>
  </si>
  <si>
    <t>Nicole, Rodrigo, Adrienne, David</t>
  </si>
  <si>
    <t>TR SA and Butler Reefs</t>
  </si>
  <si>
    <t>Nicole, Rodrigo, David, Adrienne</t>
  </si>
  <si>
    <t>Research/Shannon</t>
  </si>
  <si>
    <t>Silas Tanner, (904) 483-8423, Jimmy Tomazinis, (904) 547-0094, Remo Mondazi</t>
  </si>
  <si>
    <t>Jessica Lee, Suzi Porterfield</t>
  </si>
  <si>
    <t>Matt Brown, Megan Wright, Taryn Chaya, Savannah Fann</t>
  </si>
  <si>
    <t>Hat Island marsh site</t>
  </si>
  <si>
    <t>Sam Shaw</t>
  </si>
  <si>
    <t>Shore Drive</t>
  </si>
  <si>
    <t>Marsh Site 22/Jason's Creek</t>
  </si>
  <si>
    <t>pamela.marcum@dep.state.fl.us</t>
  </si>
  <si>
    <t>Gabbys Creek</t>
  </si>
  <si>
    <t>Mark Hester, harris stephens, ches vervaeke</t>
  </si>
  <si>
    <t>F 20ft Sea Ark (Easy 200) FL8534PY DEP21451, 23ft Skiff (Bertha) FL7972LJ DEP07613</t>
  </si>
  <si>
    <t>Kenneth Rainer, (936) 499-1853, Shannon Dunnigan, (803) 727-5734</t>
  </si>
  <si>
    <t>Gabriela Canas, (904) 891-9743, Emma Hanson, Josie Spearman, (386) 627-0816, Summer Camp Inters (5); TOTE Facilitators (3); NERR Employees (4)</t>
  </si>
  <si>
    <t>Kenneth Rainer; Shannon Dunnigan</t>
  </si>
  <si>
    <t>Thunderstorms with locally heavy downpours. High 87F. Winds S at 10 to 15 mph. Chance of rain 90%. Rainfall possibly over one inch.</t>
  </si>
  <si>
    <t xml:space="preserve"> 12:25 PM 4.03ft H</t>
  </si>
  <si>
    <t>Gabby's Creek</t>
  </si>
  <si>
    <t>Remo Mondazzi, Chuck, Emily, Matt Hayes, Ches Vervaeke, Mark Hester, Harris Stevens</t>
  </si>
  <si>
    <t>GR TR reefs</t>
  </si>
  <si>
    <t>Gabby Canas, Matt Hayes, Emily, Chuck</t>
  </si>
  <si>
    <t>Ben.mowbray@dep.state.fl.us</t>
  </si>
  <si>
    <t>TR reefs</t>
  </si>
  <si>
    <t>Nicole, Rodrigo, Adrienne</t>
  </si>
  <si>
    <t>Kendall Doody, Chris Kurtz</t>
  </si>
  <si>
    <t>Emma Hanson, Jessica Lee</t>
  </si>
  <si>
    <t>Guana River WQ sites</t>
  </si>
  <si>
    <t>Silas Tanner, (904) 483-8423, Scott Eastman, (904) 501-9267</t>
  </si>
  <si>
    <t>Gabriela Canas, (904) 891-9743, Matt Hayes, Lorae, Emily, Adam, Sam Chapman</t>
  </si>
  <si>
    <t>ICW - Rattlesnake Is. to Bing's</t>
  </si>
  <si>
    <t>Suzi Porterfield, Matt Brown, Westly Woodward</t>
  </si>
  <si>
    <t xml:space="preserve">James Tomazinis </t>
  </si>
  <si>
    <t>Palatka City Ramp</t>
  </si>
  <si>
    <t>St. John's River near Palatka</t>
  </si>
  <si>
    <t>Master Naturalist Coastal Restoration Class</t>
  </si>
  <si>
    <t>Partly cloudy with afternoon showers or thunderstorms. High 87F. Winds SSE at 10 to 15 mph. Chance of rain 40%.</t>
  </si>
  <si>
    <t>11:46 AM, 5.39ft, H; 5:50 PM, 0.11ft, L</t>
  </si>
  <si>
    <t>ICW (with Kenneth)</t>
  </si>
  <si>
    <t>Florida Master Naturalist Course</t>
  </si>
  <si>
    <t>Training exercises</t>
  </si>
  <si>
    <t>Robinson Creek oyster reefs</t>
  </si>
  <si>
    <t>four volunteers</t>
  </si>
  <si>
    <t>Tolomato and Guana Rivers</t>
  </si>
  <si>
    <t>Hunter Mathews and Mike Dickson</t>
  </si>
  <si>
    <t>Guana River Reefs</t>
  </si>
  <si>
    <t>Pam Marcum, (480) 332-5414, Ben Mowbray, (407) 962-8782, Remo</t>
  </si>
  <si>
    <t xml:space="preserve">Amy Brownfield, Sooz, Mike Darragh </t>
  </si>
  <si>
    <t>Matanzas River south of 312</t>
  </si>
  <si>
    <t>Suzi Porterfield</t>
  </si>
  <si>
    <t>Mike Darragh</t>
  </si>
  <si>
    <t>Robinson's Creek &amp; Guana River</t>
  </si>
  <si>
    <t>Ford F150 4-door DEP07668</t>
  </si>
  <si>
    <t>shannon.dunnigan@dep.state.fl.us</t>
  </si>
  <si>
    <t>Summerhaven River area</t>
  </si>
  <si>
    <t>Shannon Dunnigan, (803) 727-5734, Silas Tanner, (904) 483-8423, Gabriela Canas, (904) 891-9743, Jessica Lee, Matt Brown</t>
  </si>
  <si>
    <t>Gabby's Creek Chapman Site</t>
  </si>
  <si>
    <t>Bings</t>
  </si>
  <si>
    <t>Annie Otto, Mike Dickson</t>
  </si>
  <si>
    <t>DEP07668 Ford F150 2010</t>
  </si>
  <si>
    <t>Alicia Bishop, Marissa Raymond</t>
  </si>
  <si>
    <t>SWMP Sites</t>
  </si>
  <si>
    <t>Dolphin Creek</t>
  </si>
  <si>
    <t>Tatum Theodore, Morgan Langley, Tim Coons, Chuck Snavely</t>
  </si>
  <si>
    <t>Kimbro Reefs in TR, GR</t>
  </si>
  <si>
    <t>Craig Tinus, Nicole, Adrienne, Rodrigo</t>
  </si>
  <si>
    <t>Guana River WQ Sampling sites</t>
  </si>
  <si>
    <t>Shore Dr. =&gt; Aunt Kate's</t>
  </si>
  <si>
    <t>Kimbro Reefs SA, RC, GR, PI</t>
  </si>
  <si>
    <t>Summerhaven Bridge/Whitney Reefs</t>
  </si>
  <si>
    <t>Tim Coons, Alle Knoell, Jeff Stephenson, George Morgan, Ron Coyne</t>
  </si>
  <si>
    <t>Green Rd. =&gt; Anastasia Lighthouse</t>
  </si>
  <si>
    <t>FM, SR Reefs</t>
  </si>
  <si>
    <t>Alicia</t>
  </si>
  <si>
    <t>Whitney lab</t>
  </si>
  <si>
    <t>Whitney reefs and pellicer spat</t>
  </si>
  <si>
    <t xml:space="preserve">Chris Kurtz, Julie Edwards, Diane </t>
  </si>
  <si>
    <t>Princess Place</t>
  </si>
  <si>
    <t>Pellicer Flats</t>
  </si>
  <si>
    <t>Steve Durham, Cheryl Clark</t>
  </si>
  <si>
    <t>Faver Dykes</t>
  </si>
  <si>
    <t>Pellicer Reefs</t>
  </si>
  <si>
    <t>Marissa Raymond, Mason Schilling, Anna Thorness, Dawn Thorsness</t>
  </si>
  <si>
    <t>Durham Reef</t>
  </si>
  <si>
    <t>Steve Durham, Cheryl, Alicia</t>
  </si>
  <si>
    <t>Devil's Elbow</t>
  </si>
  <si>
    <t>Alicia Bishop, Stephen Durham, Cheryl Clark</t>
  </si>
  <si>
    <t>Pamela.Marcum@de.state.fl.us</t>
  </si>
  <si>
    <t>Cheryl Clark, Steve Durham</t>
  </si>
  <si>
    <t>shannon.dunnigan@floridadep.gov</t>
  </si>
  <si>
    <t>ICW FM</t>
  </si>
  <si>
    <t>Jessica Lee, Hunter Mathews, Westly Woodward</t>
  </si>
  <si>
    <t>shannon</t>
  </si>
  <si>
    <t>Gabriela Canas, (904) 891-9743, Mike Dickson</t>
  </si>
  <si>
    <t>Nikki Dix, (352) 219-4079, Pam Marcum, (480) 332-5414, Cheryl Clark, Remo Mondazzi</t>
  </si>
  <si>
    <t>Steve Durham, Greg Dietl</t>
  </si>
  <si>
    <t>ICW SWMP sites - Pine Island and San Sebastian</t>
  </si>
  <si>
    <t>Gamble Rogers</t>
  </si>
  <si>
    <t>Misquito Ditching in Tomoka</t>
  </si>
  <si>
    <t>Scott Eastman, (904) 501-9267, Kevin Claridge, Annie Otto, Mike Shirley</t>
  </si>
  <si>
    <t>Douglas crane</t>
  </si>
  <si>
    <t>Gabby’s creek</t>
  </si>
  <si>
    <t>Mike dickson</t>
  </si>
  <si>
    <t>Pellicer Creek WQ sites</t>
  </si>
  <si>
    <t>NEAP F150</t>
  </si>
  <si>
    <t>Scott Eastman, (904) 501-9267</t>
  </si>
  <si>
    <t>Whitney</t>
  </si>
  <si>
    <t>Kimbro reefs in Pellicer Flats and near Whitney</t>
  </si>
  <si>
    <t>Summerhaven River</t>
  </si>
  <si>
    <t>Hunter Mathews and Westly Woodward</t>
  </si>
  <si>
    <t>Remo Mondazi, Terri Calleson</t>
  </si>
  <si>
    <t>Washington Oaks marsh platforms</t>
  </si>
  <si>
    <t>Silas Tanner, (904) 483-8423, Ben Mowbray, (407) 962-8782</t>
  </si>
  <si>
    <t>Remo, Jessica</t>
  </si>
  <si>
    <t>Silas</t>
  </si>
  <si>
    <t>Pellicer marsh platforms</t>
  </si>
  <si>
    <t>Joan</t>
  </si>
  <si>
    <t xml:space="preserve">ICW SWMP sites </t>
  </si>
  <si>
    <t>Pellicer Creek Middle Platform</t>
  </si>
  <si>
    <t>Stephen Cabanillas</t>
  </si>
  <si>
    <t>Pine Island Marsh Platforms</t>
  </si>
  <si>
    <t>Salt Run, St. Augustine spat sites</t>
  </si>
  <si>
    <t>Rodrigo Pavani, Nicole Peckham, Adrienne Breef-Pilz</t>
  </si>
  <si>
    <t>Douglas Crane</t>
  </si>
  <si>
    <t>Jason's Creek Platforms</t>
  </si>
  <si>
    <t>Jess, Remo</t>
  </si>
  <si>
    <t>Robinson Creek, Guana River, Tolomato River</t>
  </si>
  <si>
    <t>Rodrigo Pavani, Adrienne Breef-Pilz, Nicole Peckham, Craig Tinus</t>
  </si>
  <si>
    <t>ben.mowbray@dep.state.fl</t>
  </si>
  <si>
    <t>Hat Island Platforms</t>
  </si>
  <si>
    <t>Jessica Lee</t>
  </si>
  <si>
    <t>Aunt Kate's 7:15, Green Rd 12:30, Bings 2:00</t>
  </si>
  <si>
    <t>Spat trees - north to south</t>
  </si>
  <si>
    <t>Alicia Bishop, Diane Downing</t>
  </si>
  <si>
    <t>Moses Creek platforms</t>
  </si>
  <si>
    <t>Westly Woodward</t>
  </si>
  <si>
    <t>Green Rd., Vilano County Ramp</t>
  </si>
  <si>
    <t>S. Tanner</t>
  </si>
  <si>
    <t>Westernmost Pellicer Sentinel Site</t>
  </si>
  <si>
    <t>Pamela.Marcum@hotmail.com</t>
  </si>
  <si>
    <t>Jessica Lee, Allee Knoell</t>
  </si>
  <si>
    <t>Guana River sampling sites</t>
  </si>
  <si>
    <t>Hunter Mathews, Tatum Theodore</t>
  </si>
  <si>
    <t>Hunter Matthews, Ray Grizzle, Melissa Southwell, Craig Tinus, Krystin</t>
  </si>
  <si>
    <t>Palm Valley/210</t>
  </si>
  <si>
    <t>Krystin, Ray Grizzle, Craig Tinus</t>
  </si>
  <si>
    <t>Pine Island</t>
  </si>
  <si>
    <t>Craig Tinus, Melissa Southwell, Jessica Veenstra, Ray Grizzle, Krystin Ward</t>
  </si>
  <si>
    <t>Crane Ramp</t>
  </si>
  <si>
    <t>ICW - Marsh Creek aka "Gabby's Creek"</t>
  </si>
  <si>
    <t>Gabriela Canas, (904) 891-9743, Alee</t>
  </si>
  <si>
    <t>Anastasia, Shore Dr., Green Rd., Washington Oaks</t>
  </si>
  <si>
    <t>Marissa Raymond, Alicia Bishop</t>
  </si>
  <si>
    <t>Tolomato and Guana Kimbro Sites</t>
  </si>
  <si>
    <t>Nicole Peckham, Andre Breef-Pilz, Rodrigo Pavani</t>
  </si>
  <si>
    <t>Silas.Tanner@dep.state.fl.us</t>
  </si>
  <si>
    <t>ICW Living Shorelines site 5</t>
  </si>
  <si>
    <t>Ray Grizzle, Kristen Ward, Emma Hanson, Kelly Smith</t>
  </si>
  <si>
    <t>Kimbro SA and SR sites</t>
  </si>
  <si>
    <t>Craig Tinus, Nicole Peckham, Adrienne Bried-Pilz, Rodrigo Pavani</t>
  </si>
  <si>
    <t xml:space="preserve">Jessica Lee, Jessica Veenstra, Justina Dacey, Ray Grizzle, Krystin Ward, </t>
  </si>
  <si>
    <t>Hunter Mathews, Diane Downing</t>
  </si>
  <si>
    <t>emma.hanson@dep.state.fl.us</t>
  </si>
  <si>
    <t>Pine &amp; Hat Island</t>
  </si>
  <si>
    <t>Tolomat River/Pine Island</t>
  </si>
  <si>
    <t>Pam Marcum, (480) 332-5414, Annie Otto</t>
  </si>
  <si>
    <t>Ray Grizzle</t>
  </si>
  <si>
    <t>Crane Park - Shore Drive</t>
  </si>
  <si>
    <t>Marsh Creek</t>
  </si>
  <si>
    <t>Matt Hayes, Chuck, Emily, Tess</t>
  </si>
  <si>
    <t>Westernmost Transect</t>
  </si>
  <si>
    <t>Pine Island then Hat Island</t>
  </si>
  <si>
    <t>Michael Shirley, John Upton, Melissa</t>
  </si>
  <si>
    <t xml:space="preserve">Mike Darragh </t>
  </si>
  <si>
    <t>Dunnigan</t>
  </si>
  <si>
    <t>Hunter Mathews, Mike Darragh</t>
  </si>
  <si>
    <t>Chapman site and Marsh monitoring platforms</t>
  </si>
  <si>
    <t>Gabby</t>
  </si>
  <si>
    <t>Green Road</t>
  </si>
  <si>
    <t>Moses Creek, Devil's Elbow</t>
  </si>
  <si>
    <t>Nicole Peckham, Rodrigo Pavani, Adrienne Brief-Pilz</t>
  </si>
  <si>
    <t>Pellicer and Devil's Elbow reefs</t>
  </si>
  <si>
    <t>Nicole Peckham, Adrienne Brief-Pilz</t>
  </si>
  <si>
    <t>TR, GR, SR reefs</t>
  </si>
  <si>
    <t>Alicia Bishop</t>
  </si>
  <si>
    <t>Shore 7:30am, Green 9am, Bings 11pm</t>
  </si>
  <si>
    <t xml:space="preserve">Spat Trees - Southern </t>
  </si>
  <si>
    <t>Ford F150 2010 - DEP07668 (4 door)</t>
  </si>
  <si>
    <t>Abby Kuhn</t>
  </si>
  <si>
    <t>Vilano Landing (county ramp)</t>
  </si>
  <si>
    <t>Starting at Mon Dec 03 2018 14:34:36 GMT-0500 (EST)</t>
  </si>
  <si>
    <t>RC, TR, and GR kimbro reefs</t>
  </si>
  <si>
    <t>2010 F150 - DEP07668</t>
  </si>
  <si>
    <t>Pellicer Creek upper</t>
  </si>
  <si>
    <t>Duane Noel</t>
  </si>
  <si>
    <t>Benjamin Mowbray, (407) 962-8782</t>
  </si>
  <si>
    <t>Tom Fox</t>
  </si>
  <si>
    <t>Ken Harp</t>
  </si>
  <si>
    <t>Upper Pellicer</t>
  </si>
  <si>
    <t>Jim Moye</t>
  </si>
  <si>
    <t>james tomazinis</t>
  </si>
  <si>
    <t>Sawpit Creek</t>
  </si>
  <si>
    <t>Nassauville and Nassau sound</t>
  </si>
  <si>
    <t>Scott Eastman, (904) 501-9267, Jimmy Tomazinis, (904) 547-0094, Mike Dicksone</t>
  </si>
  <si>
    <t>Vilano Landing</t>
  </si>
  <si>
    <t>Chapman Middle Site</t>
  </si>
  <si>
    <t>Shore Drive 10a, Green Rd 1p, Bings 3p</t>
  </si>
  <si>
    <t>spat trees</t>
  </si>
  <si>
    <t>Lighthouse 0930, Shore Dr 1130</t>
  </si>
  <si>
    <t>Salt Run &amp; St. Aug Kimbro sites</t>
  </si>
  <si>
    <t>Nicole Peckham, Adrienne Breef-Pilz</t>
  </si>
  <si>
    <t>Tolomato River near airport</t>
  </si>
  <si>
    <t>Jimmy Tomazinis, (904) 547-0094, Ben Mowbray, (407) 962-8782</t>
  </si>
  <si>
    <t>Benjamin Mowbray, (407) 962-8782, Gabriela Canas, (904) 891-9743, Ed McGinley</t>
  </si>
  <si>
    <t>Shore Dr 10am, Aunt Kate's 11am</t>
  </si>
  <si>
    <t>Northern Kimbro sites</t>
  </si>
  <si>
    <t>Adrienne Breef-Pilz, Nicoloe Peckham</t>
  </si>
  <si>
    <t>ICW: SWMP Stations</t>
  </si>
  <si>
    <t>Tolomato River Nekton Sites</t>
  </si>
  <si>
    <t>Doug Plishka, Jeff Finnan, Jim Cedarburg</t>
  </si>
  <si>
    <t>ICW Bings Kimbo sites</t>
  </si>
  <si>
    <t>Kimbro group</t>
  </si>
  <si>
    <t>jimmy</t>
  </si>
  <si>
    <t>Ben Mowbray, (407) 962-8782, Gabriela Canas, (904) 891-9743</t>
  </si>
  <si>
    <t>Matt Sturchio, Allee, Alicia Bishop</t>
  </si>
  <si>
    <t>Devils Elbow</t>
  </si>
  <si>
    <t>Aunt Kate</t>
  </si>
  <si>
    <t>Tolomato</t>
  </si>
  <si>
    <t>Jessica clark, lewis turner, Patrician, Brittany</t>
  </si>
  <si>
    <t>Allee Knoll, Cathy, Mary, Aaron</t>
  </si>
  <si>
    <t>Tolomato/Guana Rivers</t>
  </si>
  <si>
    <t>Jeff Finnan, Terri Calleson</t>
  </si>
  <si>
    <t>Aunt kates</t>
  </si>
  <si>
    <t>Jeff finnan, terri</t>
  </si>
  <si>
    <t>Collin, Remo</t>
  </si>
  <si>
    <t>Connor Kellie, Vicki MacDonald, Barry MacDonald, Jeff Finnan</t>
  </si>
  <si>
    <t>Aunt Kate’s</t>
  </si>
  <si>
    <t>Nikki Dix, (352) 219-4079, Shannon Dunnigan, (803) 727-5734</t>
  </si>
  <si>
    <t>Kates</t>
  </si>
  <si>
    <t>Kenneth is testing Hi Everyone!</t>
  </si>
  <si>
    <t>kennethcrainer@gmail.com</t>
  </si>
  <si>
    <t>North Guana River</t>
  </si>
  <si>
    <t>Benjamin Mowbray, (407) 962-8782, Kenneth Rainer, (936) 499-1853</t>
  </si>
  <si>
    <t>Captain Kenneth</t>
  </si>
  <si>
    <t>It's beautiful -- shame this is only a test</t>
  </si>
  <si>
    <t>nuisance flooding all over</t>
  </si>
  <si>
    <t>Nikki Dix, (352) 219-4079, Silas Tanner, (904) 483-8423, Ben Mowbray, (407) 962-8782</t>
  </si>
  <si>
    <t>B. Mowbray</t>
  </si>
  <si>
    <t>Matanzas river nekton sites</t>
  </si>
  <si>
    <t>Jimmy Tomazinis, (904) 547-0094, Rueben Allen</t>
  </si>
  <si>
    <t>Jeff Finnan, Abi Tabor, Cassie Picard</t>
  </si>
  <si>
    <t>Administration</t>
  </si>
  <si>
    <t>Nikki Dix, (352) 219-4079, Scott Eastman, (904) 501-9267, Pam Marcum, (480) 332-5414, Ben Mowbray, (407) 962-8782</t>
  </si>
  <si>
    <t>Light House, Green Rd., Bing's</t>
  </si>
  <si>
    <t>Southern Spat Run</t>
  </si>
  <si>
    <t>Greg Wilson</t>
  </si>
  <si>
    <t>Matanzas and Tolomato Rivers</t>
  </si>
  <si>
    <t>James.tomazinis@floridadep.gov</t>
  </si>
  <si>
    <t>Mark Collins</t>
  </si>
  <si>
    <t>Vincent Mcclure</t>
  </si>
  <si>
    <t>Faver Dykes State Park</t>
  </si>
  <si>
    <t>Pellicer SWMP platforms</t>
  </si>
  <si>
    <t>Tolomato Nekton sites</t>
  </si>
  <si>
    <t>Jeff Finnan, Chris Kurtz</t>
  </si>
  <si>
    <t>Pam Marcu.</t>
  </si>
  <si>
    <t>Jason Creek Marsh Monitoring Platforms</t>
  </si>
  <si>
    <t>Palm Valley ramp</t>
  </si>
  <si>
    <t>ICW - Pine Island marsh platforms</t>
  </si>
  <si>
    <t>ICW Pine Island marsh monitoring platforms</t>
  </si>
  <si>
    <t>ICW Sombrero Creek - Hat Island SWMP platforms</t>
  </si>
  <si>
    <t>Tolomato River</t>
  </si>
  <si>
    <t>Jeff Finnan, Mary Finnan</t>
  </si>
  <si>
    <t>pamela.marcum@floridadep.gov</t>
  </si>
  <si>
    <t>Shore drive crane park</t>
  </si>
  <si>
    <t xml:space="preserve">Matanzas River </t>
  </si>
  <si>
    <t>Marti,  Cathy</t>
  </si>
  <si>
    <t>Matanzas River nekton sites</t>
  </si>
  <si>
    <t>Ed Mcginley + students</t>
  </si>
  <si>
    <t>Lighthouse</t>
  </si>
  <si>
    <t>Salt Run/St. Aug Inlet</t>
  </si>
  <si>
    <t>Jeff Finnan, Mike Darragh</t>
  </si>
  <si>
    <t>Usina/Aunt Kate's</t>
  </si>
  <si>
    <t>Tolomato River - Across from Wright's Landing</t>
  </si>
  <si>
    <t>Jeff Finnan, Jim Cedarburg</t>
  </si>
  <si>
    <t>Matanzas River Nekton sites</t>
  </si>
  <si>
    <t>Jeff Finnan, Rueben Allen, Ed McGinley, students</t>
  </si>
  <si>
    <t>Lighthouse 9:15, Green Rd 11a, Whitney Lab, 12:30p</t>
  </si>
  <si>
    <t>Salt Run, Devil's Elbow, Pellicer Flats</t>
  </si>
  <si>
    <t>Kala Neighbor</t>
  </si>
  <si>
    <t>St Aug, GR, TR spat trees</t>
  </si>
  <si>
    <t>Shore Dr</t>
  </si>
  <si>
    <t>San Sebastian/Matanzas River SA Spat trees</t>
  </si>
  <si>
    <t>Joseph Turvey</t>
  </si>
  <si>
    <t>Casey McClure</t>
  </si>
  <si>
    <t>Mike Dickson, Chris Kurtz, Maddie Paris</t>
  </si>
  <si>
    <t>Matanzas River Nekton Sites</t>
  </si>
  <si>
    <t>Mike Dickson, Amy Brownfield, Jeff Finnan</t>
  </si>
  <si>
    <t>Nekton sites 18,19,20</t>
  </si>
  <si>
    <t>Jeff Finnan, Mike Dickson, Flagler students</t>
  </si>
  <si>
    <t>Tolomato River - Angelini Sites</t>
  </si>
  <si>
    <t>Patrick Norby</t>
  </si>
  <si>
    <t>Remo Mondazzi</t>
  </si>
  <si>
    <t>Moses Creek Platforms</t>
  </si>
  <si>
    <t>Shore, green, bings, lighthouse</t>
  </si>
  <si>
    <t>Spat trees</t>
  </si>
  <si>
    <t>Joseph Burgess, (904) 599-2723</t>
  </si>
  <si>
    <t>Nicole Peckham, Joey Turvey</t>
  </si>
  <si>
    <t>Tolomato and Guana spat trees</t>
  </si>
  <si>
    <t>Adrienne Breef-Pilz, Nicole Peckham</t>
  </si>
  <si>
    <t>Moses Creek SWMP platforms</t>
  </si>
  <si>
    <t>Pam Marcum, (480) 332-5414, Shannon Dunnigan, (803) 727-5734, Silas Tanner, (904) 483-8423</t>
  </si>
  <si>
    <t>Tolomato &amp; Guana Rivers</t>
  </si>
  <si>
    <t>Suzi, Dickson, Jeff Finnan, Chris Kurtz, Brittany Trawick</t>
  </si>
  <si>
    <t>Tolomato and matanzas Nekton sites</t>
  </si>
  <si>
    <t>Suzi, Jeff Finnan, Dickson, Amy Brownfield, Flagler student</t>
  </si>
  <si>
    <t>Washington Oaks SWMP platforms</t>
  </si>
  <si>
    <t>S. Dunnigan</t>
  </si>
  <si>
    <t>Matanzas Nekton sites</t>
  </si>
  <si>
    <t>Amy Brownfield, Dickson</t>
  </si>
  <si>
    <t>Tolomato River - Airport to Pine Island</t>
  </si>
  <si>
    <t>Nicole Peckham, Adrienned Breef-Pilz</t>
  </si>
  <si>
    <t>Palm Valley Ramp</t>
  </si>
  <si>
    <t>ICW Pine Island SWMP platforms</t>
  </si>
  <si>
    <t>Gabby Canas, Matt Sturchio</t>
  </si>
  <si>
    <t>Douglas Crane SJC ramp</t>
  </si>
  <si>
    <t>ICW "Jason's Creek" SWMP platforms (site 22)</t>
  </si>
  <si>
    <t>Jessica Lee, Remo Mondazi</t>
  </si>
  <si>
    <t>Usina County Ramp</t>
  </si>
  <si>
    <t>ICW - North River: Hat Island SWMP platforms</t>
  </si>
  <si>
    <t>Gabbys Creek - WETFEET site</t>
  </si>
  <si>
    <t>Bella Kitzis</t>
  </si>
  <si>
    <t>J. Tomazinis</t>
  </si>
  <si>
    <t>Salt Run, St Augustine, Matanzas River Spat Trees</t>
  </si>
  <si>
    <t>Terri Calleson</t>
  </si>
  <si>
    <t>Guana/Tolomato Rivers</t>
  </si>
  <si>
    <t xml:space="preserve">Aunt Kate's </t>
  </si>
  <si>
    <t>GTM Guana River launch</t>
  </si>
  <si>
    <t>Guana &amp; Tolomato Rivers</t>
  </si>
  <si>
    <t>Nicole Peckham, Adrienne Breef-Pilz, David Kimbro</t>
  </si>
  <si>
    <t>Pine Island/Guana River</t>
  </si>
  <si>
    <t>David Kimbro, Nicole Peckham, Adrienne Breef-Pilz</t>
  </si>
  <si>
    <t>Pamela Marcu</t>
  </si>
  <si>
    <t>Tolomato Nekton Sites</t>
  </si>
  <si>
    <t>Amy Brownfield, Chris Kurtz, Ed Mahon</t>
  </si>
  <si>
    <t>Suzi Porterfield, Amy Brownfield, Vincent Mclure</t>
  </si>
  <si>
    <t>Charles Snavely</t>
  </si>
  <si>
    <t>Netkon sites 17,18,19,20</t>
  </si>
  <si>
    <t>Jimmy Tomazinis, (904) 547-0094, Mike Dickson</t>
  </si>
  <si>
    <t>Chris Kurtz, Suzi Porterfield</t>
  </si>
  <si>
    <t>Matanzas River - Butler area</t>
  </si>
  <si>
    <t>Moses Flats</t>
  </si>
  <si>
    <t>2018 F150 AP</t>
  </si>
  <si>
    <t>Tolomato River/Guana</t>
  </si>
  <si>
    <t>Joe McCoy and students</t>
  </si>
  <si>
    <t>silas.tanner@dep.state.fl</t>
  </si>
  <si>
    <t>ICW Hat Island platforms, Castillo, Salt Run</t>
  </si>
  <si>
    <t>Maddy Paris, Molly Dent, Chris Kurtz, Cameron Rumsey</t>
  </si>
  <si>
    <t>Palms Fish Camp, Nassauville</t>
  </si>
  <si>
    <t>NEWQ sites</t>
  </si>
  <si>
    <t>Jimmy Tomazinis, (904) 547-0094, Scott Eastman</t>
  </si>
  <si>
    <t>Shore</t>
  </si>
  <si>
    <t>Pam Marcum, (480) 332-5414, Matt Hayes</t>
  </si>
  <si>
    <t>Sam, Candy, Emily</t>
  </si>
  <si>
    <t>Gabby Canas</t>
  </si>
  <si>
    <t>Gabby.Canas@dep.state.fl.us</t>
  </si>
  <si>
    <t>Ches Vervake</t>
  </si>
  <si>
    <t>Gabriela Canas, (904) 891-9743, Harris, Mark, Alex, Adam</t>
  </si>
  <si>
    <t>Ches</t>
  </si>
  <si>
    <t>Gabby creek</t>
  </si>
  <si>
    <t>Matt Hayes</t>
  </si>
  <si>
    <t>Goos</t>
  </si>
  <si>
    <t>Beach Blvd</t>
  </si>
  <si>
    <t>Pablo and Sisters Creek</t>
  </si>
  <si>
    <t>Kelly Smith, Craig Hargis, Chris Kurtz</t>
  </si>
  <si>
    <t>Lighthouse, Shore Dr, Green Rd</t>
  </si>
  <si>
    <t>Spat Trees</t>
  </si>
  <si>
    <t>Alee Knoell</t>
  </si>
  <si>
    <t>Guana/Tolomato</t>
  </si>
  <si>
    <t>Alee Knoell, Adrienne Breef-Pilz, Allison Noble</t>
  </si>
  <si>
    <t>Chris Kurtz</t>
  </si>
  <si>
    <t>Molly Dent, Chris Kirk, Alie Knolles</t>
  </si>
  <si>
    <t>Guana River and Pine Island</t>
  </si>
  <si>
    <t>Adrienne Breek-Pilz, Nicole Peckham, Allison Noble</t>
  </si>
  <si>
    <t>Pam Marcum, (480) 332-5414, Mike Dickson</t>
  </si>
  <si>
    <t>Christine Angelini, Ray Grizzle, Patrick Norby, Molly Dent</t>
  </si>
  <si>
    <t>Molly Dent, Pantrick Norby, Ray Grizzle</t>
  </si>
  <si>
    <t>Jeff Finnan, Mary and Henry Mullin, Becky and Flagler student</t>
  </si>
  <si>
    <t>Chris Kurtz, Trevor, Henry, Liv, Dickson</t>
  </si>
  <si>
    <t>Jeff Finnan, Chris Kurtz, Trevor, Andy, Steve</t>
  </si>
  <si>
    <t>Douglas Crane boat ramp</t>
  </si>
  <si>
    <t>Remo Mondazi, Molly Dent</t>
  </si>
  <si>
    <t>Kayak(s), Canoe/Kayak Trailer DEP06086</t>
  </si>
  <si>
    <t>Pam Marcum, (480) 332-5414, Shannon Dunnigan, (803) 727-5734, Jessica Lee, Alee Knoell</t>
  </si>
  <si>
    <t>Ashley Konon</t>
  </si>
  <si>
    <t>TBD</t>
  </si>
  <si>
    <t>Stetson row course</t>
  </si>
  <si>
    <t>Crane ramp</t>
  </si>
  <si>
    <t>ICW b/w Crane Ramp and Guana river</t>
  </si>
  <si>
    <t>Shane Pangle</t>
  </si>
  <si>
    <t>Pam  Marcum</t>
  </si>
  <si>
    <t>Gabby Canas, Alee Knoell</t>
  </si>
  <si>
    <t>Pam &amp;  Gabby</t>
  </si>
  <si>
    <t>Silas Tanner, (904) 483-8423, Remo Mondazzi</t>
  </si>
  <si>
    <t>Molly Dent</t>
  </si>
  <si>
    <t>Ruben Allen</t>
  </si>
  <si>
    <t>Rubeall57@gmail.com</t>
  </si>
  <si>
    <t>St Augustine</t>
  </si>
  <si>
    <t>Intercoastal WW Pine Island and reutrn</t>
  </si>
  <si>
    <t>Ruben Allen  (904) 860-0083</t>
  </si>
  <si>
    <t>Yes</t>
  </si>
  <si>
    <t>TEST</t>
  </si>
  <si>
    <t>josephine.spearman@FloridaDEP.org</t>
  </si>
  <si>
    <t>Josie Spearman, (386) 627-0816</t>
  </si>
  <si>
    <t>ICW Pine Island</t>
  </si>
  <si>
    <t>Gabriela Canas, (904) 891-9743, Melissa Southwell, Tyler Cooper-Kolb</t>
  </si>
  <si>
    <t>Vilano landing</t>
  </si>
  <si>
    <t>ICW San Sebastian</t>
  </si>
  <si>
    <t>Dickson, Amy, Jeff, Raymond</t>
  </si>
  <si>
    <t>2018 F150 AP truck</t>
  </si>
  <si>
    <t>Adrienne Breef-Pilz, Nicole Peckham, David Kimbro</t>
  </si>
  <si>
    <t>pamela.marcum@Floridadep.gov</t>
  </si>
  <si>
    <t>Green rd</t>
  </si>
  <si>
    <t>Moses flats</t>
  </si>
  <si>
    <t>2018 f150 AP</t>
  </si>
  <si>
    <t>Nicole Peckham, Adrienne Breef-Pilz, David Kimbro, Allison Noble</t>
  </si>
  <si>
    <t>Alee Kneoll, Jeff Finnan</t>
  </si>
  <si>
    <t>Goffinsville and Dee Dee Bartels</t>
  </si>
  <si>
    <t>NEAP WQ sites</t>
  </si>
  <si>
    <t>Goffinsville Park</t>
  </si>
  <si>
    <t>Berg dock reef</t>
  </si>
  <si>
    <t>Cameron Ramsey</t>
  </si>
  <si>
    <t>Pamela.Marcum@FloridaDEP.gov</t>
  </si>
  <si>
    <t>David Kimbro, Adrienne Breef-Pilz, Nicole Peckham, Allison Noble</t>
  </si>
  <si>
    <t>David Kimbro, Nicole Peckham, Adrienne Breef-Pilz, Allison Noble</t>
  </si>
  <si>
    <t>gabriela.canas@dwp.state.fl.us</t>
  </si>
  <si>
    <t>Icw</t>
  </si>
  <si>
    <t>Gabriela Canas, (904) 891-9743, Alee knoell</t>
  </si>
  <si>
    <t>Pam marcum</t>
  </si>
  <si>
    <t>Partly cloudy</t>
  </si>
  <si>
    <t>11:30low</t>
  </si>
  <si>
    <t>ICW SWMP sites &amp; spat oyster trees</t>
  </si>
  <si>
    <t>Alee Knowles</t>
  </si>
  <si>
    <t>Guana tolomato rivers</t>
  </si>
  <si>
    <t>Matanzas nekton sites</t>
  </si>
  <si>
    <t>Amy Brownfield, Alicia Bishop, Suzi Porterfield, Cameron Rumsey</t>
  </si>
  <si>
    <t>Guana and Tolomato Rivers</t>
  </si>
  <si>
    <t>Adrienne Breef-Pilz, Nicole Peckham, Allison Noble</t>
  </si>
  <si>
    <t>Suzi, Matthew, Will, Andy, Molly, Cameron</t>
  </si>
  <si>
    <t>Gabby/marsh creek</t>
  </si>
  <si>
    <t>Alee Knoell, Gabby Canas, Therese Adgie, Emily Geoghegan</t>
  </si>
  <si>
    <t>Tolomato and Matanzas Nekton Sites</t>
  </si>
  <si>
    <t>Scott Eastman, (904) 501-9267, Suzi, Cameron, Zach, Jeff, Jim</t>
  </si>
  <si>
    <t xml:space="preserve">Scott Eastman, (904) 501-9267, Suzi, Andy, Jeff, Cameron, </t>
  </si>
  <si>
    <t>210/Palm valley</t>
  </si>
  <si>
    <t>Pine island marsh site</t>
  </si>
  <si>
    <t>Palm Valley/201 Bridge</t>
  </si>
  <si>
    <t>Pam Marcum, (480) 332-5414, Shannon Dunnigan, (803) 727-5734</t>
  </si>
  <si>
    <t>Dee Dee Bartels and Goffinsville Park</t>
  </si>
  <si>
    <t>Alee Knoell, Jeff Finnan</t>
  </si>
  <si>
    <t>Site 22</t>
  </si>
  <si>
    <t>Moses creek</t>
  </si>
  <si>
    <t>Alee knoell</t>
  </si>
  <si>
    <t>alee.knoell@floridadep.gov</t>
  </si>
  <si>
    <t>NEAP Nekton</t>
  </si>
  <si>
    <t>silas.tanner@flordiadep.gov</t>
  </si>
  <si>
    <t>ICW Swamp Sites</t>
  </si>
  <si>
    <t>Alee knoell, Jeff finnan</t>
  </si>
  <si>
    <t>Silas tanner</t>
  </si>
  <si>
    <t>Jay Leighton</t>
  </si>
  <si>
    <t>Ed, Diane, Jackie, Jeff</t>
  </si>
  <si>
    <t>Faver dykes</t>
  </si>
  <si>
    <t>Pellicer flats</t>
  </si>
  <si>
    <t>Nekton sites 9-20</t>
  </si>
  <si>
    <t>Scott Eastman, (904) 501-9267, Suzi, Jeff, Casey, Spencer</t>
  </si>
  <si>
    <t xml:space="preserve">Jimmy </t>
  </si>
  <si>
    <t>Nekton sites 15-20</t>
  </si>
  <si>
    <t>Ed, Diane, Alicia, Zach, Suzi</t>
  </si>
  <si>
    <t>Faver Dykes SP</t>
  </si>
  <si>
    <t>Pellicer Creek SWMP platforms</t>
  </si>
  <si>
    <t>Alexandria Knoell</t>
  </si>
  <si>
    <t>Salt run</t>
  </si>
  <si>
    <t>Remo Mondazi</t>
  </si>
  <si>
    <t>Pine island swmp platforms</t>
  </si>
  <si>
    <t>Sloan Stephens</t>
  </si>
  <si>
    <t>silas.tanner@Floridadep.gov</t>
  </si>
  <si>
    <t>Crane</t>
  </si>
  <si>
    <t>ICW swmp sites</t>
  </si>
  <si>
    <t>n00836133@unf.edu</t>
  </si>
  <si>
    <t>Ford 4door dep07668</t>
  </si>
  <si>
    <t>Gabriela Canas, (904) 891-9743, Jess lee</t>
  </si>
  <si>
    <t>Sloane Stephens</t>
  </si>
  <si>
    <t>Ford F150 2010 (4 Door) - DEP07668</t>
  </si>
  <si>
    <t>Adrienne Breef-Pilz, Kate</t>
  </si>
  <si>
    <t>17ft Skiff (Marsha) FL0642GW DEP07239</t>
  </si>
  <si>
    <t>Alee Knoell, (619) 750-4833</t>
  </si>
  <si>
    <t>By checking here, you certify that you have checked all of the items listed</t>
  </si>
  <si>
    <t>Washington Oaks veg platforms</t>
  </si>
  <si>
    <t>Alee Knoell, (619) 750-4833, Casey McClure</t>
  </si>
  <si>
    <t>Upper pellicer creek</t>
  </si>
  <si>
    <t>Jay</t>
  </si>
  <si>
    <t>Salt Run</t>
  </si>
  <si>
    <t>Green road</t>
  </si>
  <si>
    <t>Devils elbow</t>
  </si>
  <si>
    <t>Pelicer Creek</t>
  </si>
  <si>
    <t>Palm Valley 210</t>
  </si>
  <si>
    <t>Pine Island platforms</t>
  </si>
  <si>
    <t>S Dunnigan</t>
  </si>
  <si>
    <t>Moses Creek Dock</t>
  </si>
  <si>
    <t>Canoe(s), Kayak(s)</t>
  </si>
  <si>
    <t>Pam Marcum, (480) 332-5414, Shannon Dunnigan, (803) 727-5734, Silas Tanner, (904) 483-8423, Alee Knoell</t>
  </si>
  <si>
    <t>Canoe(s), Kayak(s), Canoe/Kayak Trailer DEP06086</t>
  </si>
  <si>
    <t>Usina Ramp - Aunt Kate's</t>
  </si>
  <si>
    <t>Hat Island monitoring platforms</t>
  </si>
  <si>
    <t>not great</t>
  </si>
  <si>
    <t>Hat Island veg platforms</t>
  </si>
  <si>
    <t xml:space="preserve">Shannon </t>
  </si>
  <si>
    <t>All items in working order</t>
  </si>
  <si>
    <t>Pellicer Creek mouth</t>
  </si>
  <si>
    <t>Vincent McClure</t>
  </si>
  <si>
    <t>Faver Dykes dock</t>
  </si>
  <si>
    <t>Pellicer Creek platforms</t>
  </si>
  <si>
    <t>Ford F150 2008 (SWMP Thing) - DEP18041</t>
  </si>
  <si>
    <t>Suzi</t>
  </si>
  <si>
    <t>Scott Eastman</t>
  </si>
  <si>
    <t>scott.eastman@floridadep.gov</t>
  </si>
  <si>
    <t>Scott</t>
  </si>
  <si>
    <t>Alee Knoell, (619) 750-4833, Sloane Stephens, Esther Duffy</t>
  </si>
  <si>
    <t>jessica.lee@dep.state.fl.us</t>
  </si>
  <si>
    <t>Guana River Rd</t>
  </si>
  <si>
    <t>Nikki</t>
  </si>
  <si>
    <t>Pellicer Mouth</t>
  </si>
  <si>
    <t>Pellicer Middle</t>
  </si>
  <si>
    <t>Stephen Brown</t>
  </si>
  <si>
    <t>Alee Knoell, (619) 750-4833, Esther duffy</t>
  </si>
  <si>
    <t>Tolomato nekton sites</t>
  </si>
  <si>
    <t>Suzi, Carl, Zach, Alex, Brian</t>
  </si>
  <si>
    <t>Lower pellicer creek</t>
  </si>
  <si>
    <t>Alee Knoell, (619) 750-4833, Summer Manestar</t>
  </si>
  <si>
    <t>Faver Dukes</t>
  </si>
  <si>
    <t>Silas.tanner@Floridadep.gov</t>
  </si>
  <si>
    <t>Icw SWMP sites</t>
  </si>
  <si>
    <t>Pellicer</t>
  </si>
  <si>
    <t>Alee Knoell, (619) 750-4833, Zack Lepera</t>
  </si>
  <si>
    <t>Jimmy Tomazinis, (904) 547-0094, Ruben Allen</t>
  </si>
  <si>
    <t>Suzi, Adrienne, Steve, Scott at some point</t>
  </si>
  <si>
    <t>Scott, Suzi, Adrienne</t>
  </si>
  <si>
    <t>Pellicer transects</t>
  </si>
  <si>
    <t>Alee Knoell, (619) 750-4833, Steve Brown</t>
  </si>
  <si>
    <t>WETFEET middle site</t>
  </si>
  <si>
    <t>rubeall57@gmail.com</t>
  </si>
  <si>
    <t>Partly to mostly cloudy</t>
  </si>
  <si>
    <t>Tides good</t>
  </si>
  <si>
    <t>Adrienne Breef-Pilz</t>
  </si>
  <si>
    <t>Tolomato Nekton</t>
  </si>
  <si>
    <t>Suzi, Carl, Jeff, Pam</t>
  </si>
  <si>
    <t>312 Bridge</t>
  </si>
  <si>
    <t>Jon Boat FL FL5992RR DEP21634</t>
  </si>
  <si>
    <t>Nekton sites</t>
  </si>
  <si>
    <t>Suzi, Guenter, Alex, Jeff</t>
  </si>
  <si>
    <t>Matanzas nekton</t>
  </si>
  <si>
    <t>Pam Marcum, (480) 332-5414, Jimmy Tomazinis, (904) 547-0094</t>
  </si>
  <si>
    <t>Suzi, Alicia, Jackie, Diane, Alex</t>
  </si>
  <si>
    <t>Alee Knoell, (619) 750-4833, Jeff Finnan</t>
  </si>
  <si>
    <t>Dee Dee Bartels and Nassauville</t>
  </si>
  <si>
    <t>jmcupp099@gmail.com</t>
  </si>
  <si>
    <t>Six Mile</t>
  </si>
  <si>
    <t>North Guana Lake</t>
  </si>
  <si>
    <t>Bella</t>
  </si>
  <si>
    <t>WETFEET middle</t>
  </si>
  <si>
    <t>Dee Dee Bartels, Nassauville</t>
  </si>
  <si>
    <t>NEAP Nekton sites</t>
  </si>
  <si>
    <t>Caitlyn Tomazinis</t>
  </si>
  <si>
    <t>Test</t>
  </si>
  <si>
    <t>pamela.macum@floridadep.gov</t>
  </si>
  <si>
    <t>Mike, Jeff, Pam, Suzi, Diane</t>
  </si>
  <si>
    <t>Tolomato and Matanzas</t>
  </si>
  <si>
    <t>Jimmy Tomazinis, (904) 547-0094, Ruben</t>
  </si>
  <si>
    <t>Jeff, Jordan, Steve, Suzi</t>
  </si>
  <si>
    <t>Aunt Kate’s 7:30, Shore 11, Green road 12</t>
  </si>
  <si>
    <t>Suzi, Diane</t>
  </si>
  <si>
    <t>J Silas Tanner</t>
  </si>
  <si>
    <t>Dee dee bartels, Nassauville</t>
  </si>
  <si>
    <t>Suzi, Alicia</t>
  </si>
  <si>
    <t>Moses</t>
  </si>
  <si>
    <t>Moses platforms</t>
  </si>
  <si>
    <t xml:space="preserve">Jess, </t>
  </si>
  <si>
    <t>Green Road ramp, Crane ramp, Aunt Kate's</t>
  </si>
  <si>
    <t>Pine Island SWMP site</t>
  </si>
  <si>
    <t>jessica.lee@FloridaDEP.gov</t>
  </si>
  <si>
    <t>Guana</t>
  </si>
  <si>
    <t>Brian Alexander</t>
  </si>
  <si>
    <t>Ford F150 2018 (AP) - DEP21637</t>
  </si>
  <si>
    <t>Alee Knoell, (619) 750-4833, Ellen Leroy Reed</t>
  </si>
  <si>
    <t xml:space="preserve">WETFEET. Middle site </t>
  </si>
  <si>
    <t>Gabriela Canas, (904) 891-9743, Ches verveak, Harris stevens</t>
  </si>
  <si>
    <t>Shore Dr - Crane Park</t>
  </si>
  <si>
    <t>Gabby Creek</t>
  </si>
  <si>
    <t>Ches Veevaeke, Harris Stevens</t>
  </si>
  <si>
    <t>SSAM platforms</t>
  </si>
  <si>
    <t>Alee Knoell, (619) 750-4833, Josie, Candace, Eric, Andrew</t>
  </si>
  <si>
    <t>SWMP Site 22 platforms</t>
  </si>
  <si>
    <t>Jessica Lee, Chris Blanco</t>
  </si>
  <si>
    <t>Webb Property</t>
  </si>
  <si>
    <t>Kelly Smith, Hunter Mathews, Craig Hargis</t>
  </si>
  <si>
    <t>Alee Knoell, (619) 750-4833, Steve Brown, Chris Blanco, Adrienne Breef-Pilz</t>
  </si>
  <si>
    <t>San Sebastian</t>
  </si>
  <si>
    <t>Alee Knoell, (619) 750-4833, Shelby Harrell, Pam Korchun, Rick Fitzgerald</t>
  </si>
  <si>
    <t>Guana Lake and River WQ sites</t>
  </si>
  <si>
    <t>FWC mud boat</t>
  </si>
  <si>
    <t>Butler</t>
  </si>
  <si>
    <t>Moses/Butler Flats</t>
  </si>
  <si>
    <t>Alee Knoell, (619) 750-4833, Adrienne Breef-Pilz, Chris Blanco</t>
  </si>
  <si>
    <t>North and South Spat runs</t>
  </si>
  <si>
    <t>Alee Knoell, (619) 750-4833, Adrienne Breef-Pilz</t>
  </si>
  <si>
    <t>yes</t>
  </si>
  <si>
    <t>Holly Point</t>
  </si>
  <si>
    <t>Lofton Creek and Nassau River Stations</t>
  </si>
  <si>
    <t>Airport Basin/Robinson's Creek</t>
  </si>
  <si>
    <t>Anna Tripp, Steve Brown, Paul Yonally, Kaitlyn Campbell</t>
  </si>
  <si>
    <t>Alee Knoell, (619) 750-4833, Barry MacDonald, Mike Darragh, Nancy Stehno, Candce Killian</t>
  </si>
  <si>
    <t>usina</t>
  </si>
  <si>
    <t>guana river</t>
  </si>
  <si>
    <t>Alee Knoell, (619) 750-4833, Mike Darragh, Vicki MacDonald, Pam Korchun</t>
  </si>
  <si>
    <t>Alee Knoell, (619) 750-4833, Spencer Baba, Shelby Harrell</t>
  </si>
  <si>
    <t>Dee Dee Bartels and Holly Point</t>
  </si>
  <si>
    <t>Ashley Hurley</t>
  </si>
  <si>
    <t>Erin Tice</t>
  </si>
  <si>
    <t>Nikki Dix</t>
  </si>
  <si>
    <t>Alee Knoell, (619) 750-4833, Kaitlyn Campbell</t>
  </si>
  <si>
    <t>Marsh Creek &amp; site 22 platforms</t>
  </si>
  <si>
    <t>Gabriela Canas, (904) 891-9743, Courtney Hackney</t>
  </si>
  <si>
    <t>pamela.marcum@floridadep.govs</t>
  </si>
  <si>
    <t>Butler flats</t>
  </si>
  <si>
    <t>Jeff Finnan, Mike Daragh</t>
  </si>
  <si>
    <t>Alee Knoell, (619) 750-4833, Mike Darragh, Stefana Moscardini, Kelly Sullivan, Paul Yonally</t>
  </si>
  <si>
    <t>Sawpit</t>
  </si>
  <si>
    <t>Nassau/Amelia River Oyster Rakes</t>
  </si>
  <si>
    <t>Jean Olbert, Joe Marchionno and others</t>
  </si>
  <si>
    <t>San Sebastian/Pine Island</t>
  </si>
  <si>
    <t>Alee Knoell, (619) 750-4833, Rauney Mitchell, Traci Yochum, Jeff Finnan, Chris Blanco</t>
  </si>
  <si>
    <t>Robinson's Creek</t>
  </si>
  <si>
    <t>Alee Knoell, (619) 750-4833, Jeff Finnan, Zach Lepera, Spencer Baba</t>
  </si>
  <si>
    <t>Nikki Dix, (352) 219-4079, Pam Marcum, (480) 332-5414, Jimmy Tomazinis, (904) 547-0094</t>
  </si>
  <si>
    <t>Douglas Crane, Green Road</t>
  </si>
  <si>
    <t>ICW SWMP Sites: San Sebastian &amp; Fort Matanzas</t>
  </si>
  <si>
    <t>Chris Blanco</t>
  </si>
  <si>
    <t>ICW Palm Valley</t>
  </si>
  <si>
    <t>ICW Pine Island SWMP station</t>
  </si>
  <si>
    <t>Spat trees SR, GR, TR, SA, FM</t>
  </si>
  <si>
    <t>Alee Knoell, (619) 750-4833, Adrienne Breef-Pilz (TR GR only)</t>
  </si>
  <si>
    <t>Gabby’s Creek</t>
  </si>
  <si>
    <t>Gabriela Canas, (904) 891-9743, Alee Knoell, (619) 750-4833, Chris Blanco</t>
  </si>
  <si>
    <t>Gabbys creek</t>
  </si>
  <si>
    <t xml:space="preserve">Alee Knoell, (619) 750-4833, Mathew Stirchio, Chris blanco, Julie Campbell </t>
  </si>
  <si>
    <t>Holly Point, Dee Dee Bartels</t>
  </si>
  <si>
    <t>NEAP WQ Sites</t>
  </si>
  <si>
    <t>Icw swmp sites</t>
  </si>
  <si>
    <t>Alee Knoell, (619) 750-4833, Chris Blanco</t>
  </si>
  <si>
    <t xml:space="preserve">James Silas Tanner </t>
  </si>
  <si>
    <t>Jess</t>
  </si>
  <si>
    <t>Washington oaks platforms</t>
  </si>
  <si>
    <t>Washington oaks platform</t>
  </si>
  <si>
    <t>Hat Island</t>
  </si>
  <si>
    <t>hat island</t>
  </si>
  <si>
    <t>Platforms</t>
  </si>
  <si>
    <t xml:space="preserve">Platforms </t>
  </si>
  <si>
    <t>Shore dr</t>
  </si>
  <si>
    <t>Pine Island Platforms</t>
  </si>
  <si>
    <t xml:space="preserve">Alee Knoell, (619) 750-4833, Alee is switching with Adrienne Breef-Pilz at 11am </t>
  </si>
  <si>
    <t>Research/Silas</t>
  </si>
  <si>
    <t>ICE SWMP sites</t>
  </si>
  <si>
    <t>Wash Oaks veg platforms</t>
  </si>
  <si>
    <t>Site 22 Platforms</t>
  </si>
  <si>
    <t>SWMP stations ICW</t>
  </si>
  <si>
    <t>Greene St</t>
  </si>
  <si>
    <t>Shore drive</t>
  </si>
  <si>
    <t>Gabbys Creek, FM/SA spat trees</t>
  </si>
  <si>
    <t>Guana dam</t>
  </si>
  <si>
    <t>Guana WQ River sites</t>
  </si>
  <si>
    <t>Jonboat FL5992 RR</t>
  </si>
  <si>
    <t>Jess Lee</t>
  </si>
  <si>
    <t>SWMP sites</t>
  </si>
  <si>
    <t>GTM boat ramp - river</t>
  </si>
  <si>
    <t xml:space="preserve">Guana river </t>
  </si>
  <si>
    <t>Jonboat FL5992RR</t>
  </si>
  <si>
    <t>Shore Dr/Crane Park</t>
  </si>
  <si>
    <t>Site 22 &amp; Gabby's Creek</t>
  </si>
  <si>
    <t>Wet feet middle site</t>
  </si>
  <si>
    <t>Pellicer transects: mouth, mid, fresh</t>
  </si>
  <si>
    <t>jessica.lee@floridadep.com</t>
  </si>
  <si>
    <t>Topper</t>
  </si>
  <si>
    <t>Faver-dykes</t>
  </si>
  <si>
    <t>Upper PC transect</t>
  </si>
  <si>
    <t>Erick Rivuelta</t>
  </si>
  <si>
    <t>Pc middle transect</t>
  </si>
  <si>
    <t>pamela.Marcum@floridadep.gov</t>
  </si>
  <si>
    <t xml:space="preserve">Pellicer Creek </t>
  </si>
  <si>
    <t>Wash oaks platforms</t>
  </si>
  <si>
    <t>Pine island, hat island</t>
  </si>
  <si>
    <t>Spat run Sr-SA-FM-TR-GR</t>
  </si>
  <si>
    <t>jessica.lee@floridadep.gov</t>
  </si>
  <si>
    <t>John boat FL5992rr</t>
  </si>
  <si>
    <t>Hat island</t>
  </si>
  <si>
    <t xml:space="preserve">Moses platforms </t>
  </si>
  <si>
    <t>7/29/0020</t>
  </si>
  <si>
    <t>Wetfeet middle site</t>
  </si>
  <si>
    <t>Pellicer transects- up-mid-low</t>
  </si>
  <si>
    <t>Spat trees sa-fm-gr-tr</t>
  </si>
  <si>
    <t>Jon Boat 1 FL5992RR DEP154045</t>
  </si>
  <si>
    <t xml:space="preserve">Vilano Landing </t>
  </si>
  <si>
    <t>None</t>
  </si>
  <si>
    <t>Gabriela Canas, (904) 891-9743, Catherine Selin</t>
  </si>
  <si>
    <t>Cat Selin, Erin Tice</t>
  </si>
  <si>
    <t>Gabriela Canas, (904) 891-9743, Alee Knoell, (619) 750-4833</t>
  </si>
  <si>
    <t>Ches, Sam, Adam, Nicole, Phil</t>
  </si>
  <si>
    <t>gabby.canas@floridadep.gov</t>
  </si>
  <si>
    <t>Demir</t>
  </si>
  <si>
    <t>Jon Boat 2 FL4480RJ DEP152154</t>
  </si>
  <si>
    <t>Nutrient Run</t>
  </si>
  <si>
    <t>No</t>
  </si>
  <si>
    <t>Pine island platforms</t>
  </si>
  <si>
    <t>No one</t>
  </si>
  <si>
    <t>none</t>
  </si>
  <si>
    <t>Pellicer marsh monitoring platforms</t>
  </si>
  <si>
    <t>Washington Oaks Platforms</t>
  </si>
  <si>
    <t>ICW Spat Run: Guana, Tolomato, Salt Run</t>
  </si>
  <si>
    <t>FM-SS-PI wq stations</t>
  </si>
  <si>
    <t>Alee Knoell, (619) 750-4833, Ashley Reaume</t>
  </si>
  <si>
    <t>FM SWMP WQ site</t>
  </si>
  <si>
    <t xml:space="preserve">No one. </t>
  </si>
  <si>
    <t>East Creek</t>
  </si>
  <si>
    <t xml:space="preserve">Moses Creek platforms </t>
  </si>
  <si>
    <t>test</t>
  </si>
  <si>
    <t>pamelamarcum@hotmail.com</t>
  </si>
  <si>
    <t>pamela.Marcum@Floridadep.gov</t>
  </si>
  <si>
    <t>Devil's elbow</t>
  </si>
  <si>
    <t>Silas Tanner, (904) 483-8423, Remo</t>
  </si>
  <si>
    <t>silas.tanner@gmail.com</t>
  </si>
  <si>
    <t>Pine Island monitoring platforms</t>
  </si>
  <si>
    <t>FDSP</t>
  </si>
  <si>
    <t>Pellicer MM platforms</t>
  </si>
  <si>
    <t>East creek</t>
  </si>
  <si>
    <t>Lower and Upper Pellicer transects</t>
  </si>
  <si>
    <t>Alee Knoell, (619) 750-4833, Vincent McClure</t>
  </si>
  <si>
    <t>Upper and middle pc creek</t>
  </si>
  <si>
    <t xml:space="preserve">Pellicer MM platforms </t>
  </si>
  <si>
    <t>Lower, upper pc</t>
  </si>
  <si>
    <t>Alee Knoell, (619) 750-4833, Steve Brow.</t>
  </si>
  <si>
    <t xml:space="preserve">Guana River </t>
  </si>
  <si>
    <t xml:space="preserve">Jess </t>
  </si>
  <si>
    <t>Pc platforms</t>
  </si>
  <si>
    <t>Greene Rd</t>
  </si>
  <si>
    <t>Moses transects</t>
  </si>
  <si>
    <t>Upper PC</t>
  </si>
  <si>
    <t>Allix North</t>
  </si>
  <si>
    <t>Site 22 platforms</t>
  </si>
  <si>
    <t>Spat trees SR-SA-FM-TR-GR</t>
  </si>
  <si>
    <t>S Tanner</t>
  </si>
  <si>
    <t xml:space="preserve">Alee Knoell, (619) 750-4833, Ashley reaume </t>
  </si>
  <si>
    <t>Pam Marcum, (480) 332-5414, Gabby Canas</t>
  </si>
  <si>
    <t>SA FM spat trees</t>
  </si>
  <si>
    <t>Spat</t>
  </si>
  <si>
    <t>Alee</t>
  </si>
  <si>
    <t>Green Road, Vilano, Aunt Kates</t>
  </si>
  <si>
    <t>Erin Ticr</t>
  </si>
  <si>
    <t>Angelini Northern Site</t>
  </si>
  <si>
    <t>Pine Island veg site</t>
  </si>
  <si>
    <t>Palm valley</t>
  </si>
  <si>
    <t>Pine island</t>
  </si>
  <si>
    <t xml:space="preserve">Douglas crane </t>
  </si>
  <si>
    <t>Wetfeet middle</t>
  </si>
  <si>
    <t>Gabriela canas</t>
  </si>
  <si>
    <t>Gabriela Canas, (904) 891-9743, Sam chapman</t>
  </si>
  <si>
    <t>allie.knoell@hotmail.com</t>
  </si>
  <si>
    <t xml:space="preserve">Aunt Kate’s </t>
  </si>
  <si>
    <t xml:space="preserve">Northern spat trees </t>
  </si>
  <si>
    <t xml:space="preserve">Remo Mondazi </t>
  </si>
  <si>
    <t>Crane Park/Shore Dr</t>
  </si>
  <si>
    <t>Sara Marcum</t>
  </si>
  <si>
    <t>nikki.dix@dep.state.fl.us</t>
  </si>
  <si>
    <t xml:space="preserve">Palm Valley </t>
  </si>
  <si>
    <t>Nikki Dix, (352) 219-4079, Shannon Dunnigan, (803) 727-5734, Silas Tanner, (904) 483-8423</t>
  </si>
  <si>
    <t>Shannon Dunnigan, (803) 727-5734, Jessica Lee</t>
  </si>
  <si>
    <t>alee.knoell@hotmail.com</t>
  </si>
  <si>
    <t xml:space="preserve">Green road </t>
  </si>
  <si>
    <t xml:space="preserve">Nutrient run </t>
  </si>
  <si>
    <t xml:space="preserve">Nutrients </t>
  </si>
  <si>
    <t xml:space="preserve">Kate’s </t>
  </si>
  <si>
    <t>Nutrients</t>
  </si>
  <si>
    <t>Sonde swap</t>
  </si>
  <si>
    <t>Hat Island then Pine Island</t>
  </si>
  <si>
    <t>Butler, Shore, Vilano</t>
  </si>
  <si>
    <t>FM, SS, PI SWMP stations</t>
  </si>
  <si>
    <t>James Silas tanner</t>
  </si>
  <si>
    <t>22then gabby creek</t>
  </si>
  <si>
    <t>Caitlin Campbell</t>
  </si>
  <si>
    <t>Bings landing</t>
  </si>
  <si>
    <t>Wash Oaks platforms</t>
  </si>
  <si>
    <t>Madison Skidmore</t>
  </si>
  <si>
    <t>Wash oaks</t>
  </si>
  <si>
    <t>Savanna Mathis</t>
  </si>
  <si>
    <t>Britanny Wussick</t>
  </si>
  <si>
    <t xml:space="preserve">ICW nutrients </t>
  </si>
  <si>
    <t>Ashley</t>
  </si>
  <si>
    <t>Sam Chapman, Nicole Spanier, Ches Vervaeke, Tom Chapman</t>
  </si>
  <si>
    <t>3/30/0021</t>
  </si>
  <si>
    <t xml:space="preserve">Nikki Dix, (352) 219-4079, Gabriela Canas </t>
  </si>
  <si>
    <t>Kaitlyn campbell</t>
  </si>
  <si>
    <t>ICW sondes</t>
  </si>
  <si>
    <t>Hat Island, Pine Island</t>
  </si>
  <si>
    <t xml:space="preserve">SWMP stations </t>
  </si>
  <si>
    <t>Shannon dunnigan</t>
  </si>
  <si>
    <t xml:space="preserve">Ashley </t>
  </si>
  <si>
    <t>Pellicer mouth</t>
  </si>
  <si>
    <t xml:space="preserve">Wash oaks </t>
  </si>
  <si>
    <t>Alee Knoell, (619) 750-4833, Savanna Mathis</t>
  </si>
  <si>
    <t>Alee Knoell, (619) 750-4833, Hunter Matthews</t>
  </si>
  <si>
    <t>Faver-Dykes state park</t>
  </si>
  <si>
    <t>Vitalii Sheremet</t>
  </si>
  <si>
    <t>Alee Knoell, (619) 750-4833, Vitalii Sheremet</t>
  </si>
  <si>
    <t>Ashley Smyth, AJ</t>
  </si>
  <si>
    <t>Jason Lynn</t>
  </si>
  <si>
    <t>Alee Knoell, (619) 750-4833, Ches, WETFEET crew</t>
  </si>
  <si>
    <t>Gabby canas</t>
  </si>
  <si>
    <t xml:space="preserve">Crane </t>
  </si>
  <si>
    <t xml:space="preserve">Silas Tanner, (904) 483-8423, Remo Mondazzi </t>
  </si>
  <si>
    <t>Kayla Hughes</t>
  </si>
  <si>
    <t>Olivia Roorbach</t>
  </si>
  <si>
    <t>Pellicer upper transect</t>
  </si>
  <si>
    <t>Marineland AP truck</t>
  </si>
  <si>
    <t>aknoell@hotmail.com</t>
  </si>
  <si>
    <t>Alee Knoell, (619) 750-4833, Ashley R</t>
  </si>
  <si>
    <t xml:space="preserve">Silas tanner </t>
  </si>
  <si>
    <t>ML AP F150</t>
  </si>
  <si>
    <t>aknoell@floridadep.gov</t>
  </si>
  <si>
    <t>Ssam 1 transects</t>
  </si>
  <si>
    <t>Alee Knoell, (619) 750-4833, Molly, Olivia</t>
  </si>
  <si>
    <t>Alee Knoell, (619) 750-4833, Olivia Roorbach, Connor Kelly</t>
  </si>
  <si>
    <t>Katie Petrinec</t>
  </si>
  <si>
    <t>Alee Knoell, (619) 750-4833, Olivia Roorbach</t>
  </si>
  <si>
    <t>Training</t>
  </si>
  <si>
    <t>olivia.roorbach@floridadep.gov</t>
  </si>
  <si>
    <t>Olivia Roorbach, (404) 694-2653</t>
  </si>
  <si>
    <t>Green Rd, Villano</t>
  </si>
  <si>
    <t>Ap explorer</t>
  </si>
  <si>
    <t>Allix north, erick rivuelta, megan mason</t>
  </si>
  <si>
    <t>Allix north</t>
  </si>
  <si>
    <t>Upper transect</t>
  </si>
  <si>
    <t>Pam Marcum, (480) 332-5414, Alee Knoell, (619) 750-4833</t>
  </si>
  <si>
    <t xml:space="preserve">Pam marcum </t>
  </si>
  <si>
    <t>312 bridge</t>
  </si>
  <si>
    <t>Abigail Kuhn, Kayla Hughes</t>
  </si>
  <si>
    <t>Guana river</t>
  </si>
  <si>
    <t>Ashely Reaume</t>
  </si>
  <si>
    <t xml:space="preserve">Olivia Roorbach </t>
  </si>
  <si>
    <t>Hallie Fischman, Andrew, Orlando</t>
  </si>
  <si>
    <t>7/22/0021</t>
  </si>
  <si>
    <t>7/22/0021 16:30:00</t>
  </si>
  <si>
    <t>Halliee Fischman, Orlando Cordero, Andrew</t>
  </si>
  <si>
    <t>Kayla Hughes, Kaitlyn Campbell</t>
  </si>
  <si>
    <t xml:space="preserve">Afternoon storms </t>
  </si>
  <si>
    <t xml:space="preserve">Outgoing. </t>
  </si>
  <si>
    <t xml:space="preserve">Alee </t>
  </si>
  <si>
    <t>Summerhaven and back</t>
  </si>
  <si>
    <t>F-bomb</t>
  </si>
  <si>
    <t xml:space="preserve">Gabriela Canas, (904) 891-9743, Candace, Olivia, Sean, Zach </t>
  </si>
  <si>
    <t>Guana River and Guana Lake</t>
  </si>
  <si>
    <t xml:space="preserve">Ashley Reaume </t>
  </si>
  <si>
    <t xml:space="preserve">Whitney </t>
  </si>
  <si>
    <t>ICW around Marineland</t>
  </si>
  <si>
    <t>Rauney, Courtney, Alyssa</t>
  </si>
  <si>
    <t>Olivia Roorbach, Ashley Reaume</t>
  </si>
  <si>
    <t xml:space="preserve">Alee Knoell </t>
  </si>
  <si>
    <t xml:space="preserve">Alexandria Knoell </t>
  </si>
  <si>
    <t>Emma Wilkinson (intern)</t>
  </si>
  <si>
    <t>Hat island, pine island</t>
  </si>
  <si>
    <t>Guana river and lake</t>
  </si>
  <si>
    <t>Jon Boat 1 FL5992RR DEP154045, FWC airboat</t>
  </si>
  <si>
    <t>Justina Dacey, Jenna Reimer</t>
  </si>
  <si>
    <t>Nut run</t>
  </si>
  <si>
    <t>Ashley r, Emma w</t>
  </si>
  <si>
    <t>pamelamarcum@floridadep.gov</t>
  </si>
  <si>
    <t>Old ap f150</t>
  </si>
  <si>
    <t>5 EWE passengers</t>
  </si>
  <si>
    <t>5 EWE Passengers</t>
  </si>
  <si>
    <t>gabriela.canas@floridadep.gov</t>
  </si>
  <si>
    <t>8 EWE passenger</t>
  </si>
  <si>
    <t>Douglas crabe</t>
  </si>
  <si>
    <t>Gabby Canas 9048919743</t>
  </si>
  <si>
    <t xml:space="preserve">Gabriela Canas, (904) 891-9743, Sam Chapman, Adam Langley, Gregg, Emma, Morgan, Jocelyn, Tess, </t>
  </si>
  <si>
    <t>Pellicer creek mouth</t>
  </si>
  <si>
    <t>Walter Newsom, Emma Wilkinson</t>
  </si>
  <si>
    <t>Pam Marcum, (480) 332-5414, Alee Knoell, (619) 750-4833, Remo Mondazzi</t>
  </si>
  <si>
    <t xml:space="preserve">Hat island, pine island </t>
  </si>
  <si>
    <t>Nassau and Amelia Rivers</t>
  </si>
  <si>
    <t>Scott and Suzi</t>
  </si>
  <si>
    <t>Hat Island, Pine island</t>
  </si>
  <si>
    <t>Linda Krepp, Kyle Griffis</t>
  </si>
  <si>
    <t>Site 22 &amp; gabby creek</t>
  </si>
  <si>
    <t>Ashley R</t>
  </si>
  <si>
    <t>Jon Boat 1 FL5992RR DEP154045, Air boat</t>
  </si>
  <si>
    <t xml:space="preserve">Ashely Reaume </t>
  </si>
  <si>
    <t>Ford F150 2007 (F-Bomb) - DEP07055</t>
  </si>
  <si>
    <t>Chris</t>
  </si>
  <si>
    <t>Sabanna mathis</t>
  </si>
  <si>
    <t>210 Palm Valley</t>
  </si>
  <si>
    <t>ICW PI SWMP Site</t>
  </si>
  <si>
    <t>210 Silver F150 (Ranger)</t>
  </si>
  <si>
    <t>Jake Waggoner</t>
  </si>
  <si>
    <t>Site 22/ mangrove creek</t>
  </si>
  <si>
    <t>Allix North, Savanna Mathis</t>
  </si>
  <si>
    <t>Emma Wilkinson</t>
  </si>
  <si>
    <t xml:space="preserve">pine island </t>
  </si>
  <si>
    <t>Rauney Mitchell</t>
  </si>
  <si>
    <t xml:space="preserve">Hat island </t>
  </si>
  <si>
    <t xml:space="preserve">Emma Wilkinson </t>
  </si>
  <si>
    <t>Pam Marcum, (480) 332-5414, Gabby Canas, (904) 891-9743</t>
  </si>
  <si>
    <t>Silas Tanner, (904) 483-8423, Alee Knoell, (619) 750-4833</t>
  </si>
  <si>
    <t>olivia.roorbach@floridafep.gov</t>
  </si>
  <si>
    <t xml:space="preserve">Guana Lake and River </t>
  </si>
  <si>
    <t>Half Moon Island Park</t>
  </si>
  <si>
    <t>Half Moon Island Fishing Pier</t>
  </si>
  <si>
    <t>Scott Eastman, (904) 501-9267, Nikki Dix, (352) 219-4079, Pam Marcum, (480) 332-5414</t>
  </si>
  <si>
    <t>Michael Shirley, Lia Sansom, (520) 940-4888, Alex Reed, Mark Rains, Mrs. Rains</t>
  </si>
  <si>
    <t>Pellicer creek</t>
  </si>
  <si>
    <t>Rauney</t>
  </si>
  <si>
    <t>Allix North, Chris Kurtz</t>
  </si>
  <si>
    <t xml:space="preserve">Allix North and Chris Kurtz </t>
  </si>
  <si>
    <t>Crane Park</t>
  </si>
  <si>
    <t xml:space="preserve">Jon Boat 1 FL5992RR DEP154045, Airboat </t>
  </si>
  <si>
    <t>Silver ranger truck</t>
  </si>
  <si>
    <t xml:space="preserve">Kaitlyn Dietz, (678) 372-2155, Emma Wilkinson </t>
  </si>
  <si>
    <t xml:space="preserve">Faver dykes </t>
  </si>
  <si>
    <t xml:space="preserve">Upper transect </t>
  </si>
  <si>
    <t>Ford F150 2018 (ML AP) - DEP21637</t>
  </si>
  <si>
    <t xml:space="preserve">Tolomato to Pine Island </t>
  </si>
  <si>
    <t>Allix and Savanna</t>
  </si>
  <si>
    <t>Steve, Hannah, Jacob</t>
  </si>
  <si>
    <t>Greene</t>
  </si>
  <si>
    <t>FM</t>
  </si>
  <si>
    <t>SS Swmp</t>
  </si>
  <si>
    <t>Palm Valley (pickup at Aunt Kates)</t>
  </si>
  <si>
    <t>PI SWMP</t>
  </si>
  <si>
    <t>May Street Bridge</t>
  </si>
  <si>
    <t>Hospital Creek</t>
  </si>
  <si>
    <t>Vilano, Green Rd</t>
  </si>
  <si>
    <t xml:space="preserve">SWMP sites </t>
  </si>
  <si>
    <t>allix.north@dep.state.fl.us</t>
  </si>
  <si>
    <t>Green or Butler will advise via text</t>
  </si>
  <si>
    <t>206 Bridge to Matanzas Inlet</t>
  </si>
  <si>
    <t>Allix North 850-420-7495</t>
  </si>
  <si>
    <t>Debbie Dix, Carol Williams, Valerie Granger</t>
  </si>
  <si>
    <t xml:space="preserve">Guana </t>
  </si>
  <si>
    <t xml:space="preserve">Guana river and lake </t>
  </si>
  <si>
    <t>Justina dacey, Jenna reimer</t>
  </si>
  <si>
    <t>Nathan Yonally, Spencer Baba, Patty Hutfles</t>
  </si>
  <si>
    <t>Courtney Schultz</t>
  </si>
  <si>
    <t>courtney.l.schultz@FloridaDEP.gov</t>
  </si>
  <si>
    <t>Candace Killian</t>
  </si>
  <si>
    <t xml:space="preserve">Whitney Lab </t>
  </si>
  <si>
    <t>Around nearby oyster beds to collect crown conch.</t>
  </si>
  <si>
    <t>N/A</t>
  </si>
  <si>
    <t xml:space="preserve">Sunny </t>
  </si>
  <si>
    <t xml:space="preserve">Low tide </t>
  </si>
  <si>
    <t>Courtney.L.Schultz@floridadep.gov</t>
  </si>
  <si>
    <t>Nearby oyster reefs to collect crown conch.</t>
  </si>
  <si>
    <t>N/A Ecotours loaning kayaks</t>
  </si>
  <si>
    <t>Brad and Ester M</t>
  </si>
  <si>
    <t xml:space="preserve">Courtney Schultz </t>
  </si>
  <si>
    <t>Sunny</t>
  </si>
  <si>
    <t>TR Reefs</t>
  </si>
  <si>
    <t>Walt, Russ, Randy</t>
  </si>
  <si>
    <t>Nikki Dix, (352) 219-4079, Pam Marcum, (480) 332-5414, Alee Knoell, (619) 750-4833</t>
  </si>
  <si>
    <t>Jeff, vallery</t>
  </si>
  <si>
    <t xml:space="preserve">Pam Marcum </t>
  </si>
  <si>
    <t>Hallie Fischman, Kristie Perez</t>
  </si>
  <si>
    <t xml:space="preserve">Pamela Marcum </t>
  </si>
  <si>
    <t>North Tolomator River</t>
  </si>
  <si>
    <t>Debbie Dix, Russ Sumter, Walt Newsom</t>
  </si>
  <si>
    <t>Tolomato  river</t>
  </si>
  <si>
    <t>Spencer Baba, Paul Yonally, Mike Darragh</t>
  </si>
  <si>
    <t>Jeff Finnan, Mike Darragh, Steve Davies</t>
  </si>
  <si>
    <t>Mayport</t>
  </si>
  <si>
    <t>Shad Creek system</t>
  </si>
  <si>
    <t>Shannon Dunnigan, (803) 727-5734, Silas Tanner, (904) 483-8423, Alee Knoell, (619) 750-4833</t>
  </si>
  <si>
    <t xml:space="preserve">Silas </t>
  </si>
  <si>
    <t>sawpit</t>
  </si>
  <si>
    <t>Nassau River</t>
  </si>
  <si>
    <t xml:space="preserve">Usina/Aunt Kates </t>
  </si>
  <si>
    <t>Tolomato river</t>
  </si>
  <si>
    <t>Savanna Matthis, Paul Yonally, Spencer Baba, Walt Newsom</t>
  </si>
  <si>
    <t xml:space="preserve">Aunt Kates </t>
  </si>
  <si>
    <t xml:space="preserve">Tolomato river </t>
  </si>
  <si>
    <t>Debbie Dix, Steve Brown, Mike Darragh</t>
  </si>
  <si>
    <t>Guana  and Tolomato</t>
  </si>
  <si>
    <t>Sean Hatton, Ava Larsen, Paul Yonally, Spencer Baba</t>
  </si>
  <si>
    <t>John Ciupak, Ciel Brooks, Mike Brooks</t>
  </si>
  <si>
    <t>Walt Newsom, Mike Darragh, Kristine Seager, Noah Riccio</t>
  </si>
  <si>
    <t>Jenna reimer, Nicole De Venoge</t>
  </si>
  <si>
    <t xml:space="preserve">Gauana and Tolomato </t>
  </si>
  <si>
    <t>Jeff finnan, molly gadawski, oliver devries, leslie anchor, allix north, zach lepera</t>
  </si>
  <si>
    <t>Ava Larsen, steve brown</t>
  </si>
  <si>
    <t>NEAP HAB sites</t>
  </si>
  <si>
    <t xml:space="preserve">Chris Kurtz </t>
  </si>
  <si>
    <t>Tomoka WQ station</t>
  </si>
  <si>
    <t>james_tomazinis@floridadep.gov</t>
  </si>
  <si>
    <t>Melton Nelson</t>
  </si>
  <si>
    <t>Lofton Creek to North Hampton Dock</t>
  </si>
  <si>
    <t>Guana River &amp; Pine Island</t>
  </si>
  <si>
    <t>Pam Marcum, (480) 332-5414, Alee Knoell, (619) 750-4833, Gabby Canas, (904) 891-9743</t>
  </si>
  <si>
    <t>Olivia Roorbach, (404) 694-2653, Mike Darragh</t>
  </si>
  <si>
    <t xml:space="preserve">Annie Hurley, Courtney Schultz </t>
  </si>
  <si>
    <t xml:space="preserve">Spoil island near Bone Island </t>
  </si>
  <si>
    <t xml:space="preserve">Guana dam </t>
  </si>
  <si>
    <t>Jenna Reimer, Nicole De Venoge</t>
  </si>
  <si>
    <t>Edwards WQ site</t>
  </si>
  <si>
    <t>Robinson creek and tolomato</t>
  </si>
  <si>
    <t>Savana Mathis, Debbie Dix, Jeff Finnan</t>
  </si>
  <si>
    <t>Shannon Dunnigan, (803) 727-5734, Alee Knoell, (619) 750-4833</t>
  </si>
  <si>
    <t xml:space="preserve">Shannon Dunnigan </t>
  </si>
  <si>
    <t>Ciel Brooks, Jeff Finnan</t>
  </si>
  <si>
    <t>Tolomato/ Guana</t>
  </si>
  <si>
    <t xml:space="preserve">Mike daragh, Michelle simonds , Matt debaun </t>
  </si>
  <si>
    <t>Pam m</t>
  </si>
  <si>
    <t>Amy Brownfield</t>
  </si>
  <si>
    <t xml:space="preserve">Palm valley </t>
  </si>
  <si>
    <t>Savanna Mathis, Bevwrly Winstanley, Karen Adams</t>
  </si>
  <si>
    <t>Amy, mike, don, nick</t>
  </si>
  <si>
    <t>Courtney.L.Schultz@FloridaDEP.gov</t>
  </si>
  <si>
    <t>Whitney Lab- EcoTours</t>
  </si>
  <si>
    <t>Around the oyster beds- not far from the launch point.</t>
  </si>
  <si>
    <t>n/a kayak on loan from ecotour</t>
  </si>
  <si>
    <t>n/a</t>
  </si>
  <si>
    <t>Molly (education team member)</t>
  </si>
  <si>
    <t xml:space="preserve">Light rain </t>
  </si>
  <si>
    <t>Low tide</t>
  </si>
  <si>
    <t>Amy B., Jeff F., Nick Z., Don Z.</t>
  </si>
  <si>
    <t>Jeff F., Mike D.</t>
  </si>
  <si>
    <t>Canoe/Kayak Trailer DEP06086</t>
  </si>
  <si>
    <t>Guana mouth, pine island</t>
  </si>
  <si>
    <t xml:space="preserve">Jeff Finnan, Mike Darragh </t>
  </si>
  <si>
    <t>Jeff Finnan, Spencer Baba, Paul Yonally</t>
  </si>
  <si>
    <t xml:space="preserve">6 mile </t>
  </si>
  <si>
    <t xml:space="preserve">Guana lake </t>
  </si>
  <si>
    <t>Justina Dacey, Ashley Smyth, Gabrielle Foursa</t>
  </si>
  <si>
    <t xml:space="preserve">NEAP WQ sites </t>
  </si>
  <si>
    <t>Moses and mangrove creek</t>
  </si>
  <si>
    <t xml:space="preserve">Pellicer mouth </t>
  </si>
  <si>
    <t>Hat island and pine island</t>
  </si>
  <si>
    <t>Sam chapman, tess adgie</t>
  </si>
  <si>
    <t xml:space="preserve">Allix North </t>
  </si>
  <si>
    <t>Pc mouth</t>
  </si>
  <si>
    <t xml:space="preserve">Usina </t>
  </si>
  <si>
    <t xml:space="preserve">Alix, Savanna </t>
  </si>
  <si>
    <t>Alee Knoe</t>
  </si>
  <si>
    <t>aleeknoell@hotmail.com</t>
  </si>
  <si>
    <t>Savanna</t>
  </si>
  <si>
    <t>Black Hammock Island</t>
  </si>
  <si>
    <t>Jon Boat 1 FL5992RR DEP154045, Airboat</t>
  </si>
  <si>
    <t>Jenna Reimer</t>
  </si>
  <si>
    <t>Crane/shore dr</t>
  </si>
  <si>
    <t>Mangrove creek/site 22</t>
  </si>
  <si>
    <t>NEAP</t>
  </si>
  <si>
    <t>ICWW SWMP sites</t>
  </si>
  <si>
    <t>Shannon Dunnigan, (803) 727-5734, Alee Knoell, (619) 750-4833, Gabby Canas, (904) 891-9743</t>
  </si>
  <si>
    <t>Holly Point and Dee Dee Bartels</t>
  </si>
  <si>
    <t>Savanna, allix</t>
  </si>
  <si>
    <t xml:space="preserve">Savanna Mathis, Suma Ray </t>
  </si>
  <si>
    <t xml:space="preserve">Bings </t>
  </si>
  <si>
    <t xml:space="preserve">Washington oak </t>
  </si>
  <si>
    <t>Allix, Savanna, Jeff Finnan</t>
  </si>
  <si>
    <t>Allix</t>
  </si>
  <si>
    <t>Pam Marcum, (480) 332-5414, Allix, Savanna</t>
  </si>
  <si>
    <t>Pine islans platforms</t>
  </si>
  <si>
    <t>Allix, Savanna</t>
  </si>
  <si>
    <t>Nikki Dix, (352) 219-4079, Pam Marcum, (480) 332-5414, Remo Mondazzi</t>
  </si>
  <si>
    <t>Allix, Savanna, Steve Brown</t>
  </si>
  <si>
    <t>Nelson Melton</t>
  </si>
  <si>
    <t>Allix.North@dep.state.fl.us</t>
  </si>
  <si>
    <t>Allix North (850)420-7495</t>
  </si>
  <si>
    <t>Icw swmp</t>
  </si>
  <si>
    <t>Shannon Dunnigan, (803) 727-5734, Gabby Canas, (904) 891-9743</t>
  </si>
  <si>
    <t>Jim Tanner</t>
  </si>
  <si>
    <t>ICW north to Guana</t>
  </si>
  <si>
    <t>Nikki Dix, (352) 219-4079, Silas Tanner, (904) 483-8423</t>
  </si>
  <si>
    <t>Josie Spearman, (386) 627-0816, Lia Sansom, (520) 940-4888, , Congressman Rutherford, Katie  Heffernan and Chris Miller</t>
  </si>
  <si>
    <t xml:space="preserve">Edwards Creek and Nassau River </t>
  </si>
  <si>
    <t xml:space="preserve">Jenna Reimer </t>
  </si>
  <si>
    <t>North of Vilano Bridge</t>
  </si>
  <si>
    <t>Savanna Mathis, Allix North</t>
  </si>
  <si>
    <t>RJ.Mitchell@foridadep.gov</t>
  </si>
  <si>
    <t>Emalee Swisshelm. Nate Schirmer</t>
  </si>
  <si>
    <t>ICW SS and PI SWMP stations</t>
  </si>
  <si>
    <t>Emalee Swisshelm</t>
  </si>
  <si>
    <t>ICW SWMP sites SS, PI</t>
  </si>
  <si>
    <t>Areas around St. Augustine</t>
  </si>
  <si>
    <t>ICW SWMP Sites PI &amp; SS</t>
  </si>
  <si>
    <t>ICW SWMP SS and PI</t>
  </si>
  <si>
    <t>PI and SS SWMP sites</t>
  </si>
  <si>
    <t>Guana River Dam</t>
  </si>
  <si>
    <t>Justina, Jenna</t>
  </si>
  <si>
    <t>San sebastian, pine island sondes</t>
  </si>
  <si>
    <t>Nate Schirmer, Emalee Swisshelm</t>
  </si>
  <si>
    <t>Ss and pi sondes</t>
  </si>
  <si>
    <t>IWC SWMP sites FM, SS, PI</t>
  </si>
  <si>
    <t>Emalee Swisshelm, Julie Drevenkar</t>
  </si>
  <si>
    <t>Guana River mouth</t>
  </si>
  <si>
    <t>Silver Ranger F150</t>
  </si>
  <si>
    <t>Rauney Mitchell, Courtney Schultz, Zach Lepera</t>
  </si>
  <si>
    <t>ICW SWMP SS, PI</t>
  </si>
  <si>
    <t>Nate Schirmer</t>
  </si>
  <si>
    <t>ICW PI &amp; SS SWMP sites</t>
  </si>
  <si>
    <t xml:space="preserve">Tolomato </t>
  </si>
  <si>
    <t>Courtney, Rauney, Zach</t>
  </si>
  <si>
    <t xml:space="preserve">Faver-Dykes </t>
  </si>
  <si>
    <t>Middle pellicer creek</t>
  </si>
  <si>
    <t>janes.tomazinis@floridadep.gov</t>
  </si>
  <si>
    <t>Salt run, San Sebastián, Moultrie</t>
  </si>
  <si>
    <t>Savanna Mathis, Allix North, Ed McGinley and class</t>
  </si>
  <si>
    <t>Ford Explorer 2019 (ML AP/Stewardship) - DEP21833</t>
  </si>
  <si>
    <t>Jaleigh Pier, Greg Dietl, Talyne Pier</t>
  </si>
  <si>
    <t>ICW SS and PI SWMP sites</t>
  </si>
  <si>
    <t>Emalee Swisshelm, Nate Shiermer</t>
  </si>
  <si>
    <t>Jacob Berna, Jaliegh Pier, Talyne Pier, Greg Dietl</t>
  </si>
  <si>
    <t>Edwards sonde site</t>
  </si>
  <si>
    <t>ICW SWMP Sites SS and PI</t>
  </si>
  <si>
    <t xml:space="preserve">Jacob Berna, Greg Dietl, Jaleigh Pier, Talyne Pier </t>
  </si>
  <si>
    <t>Jabob Berna, Greg Dietl, Jayleigh Pier, Talyne Pier</t>
  </si>
  <si>
    <t>SIlas Tanner</t>
  </si>
  <si>
    <t>ICW SWMP Sites PI and SS</t>
  </si>
  <si>
    <t xml:space="preserve">SWMP ICW sites </t>
  </si>
  <si>
    <t>Nikki Dix, (352) 219-4079, Remo Mondazzi</t>
  </si>
  <si>
    <t>Zac Lepera, Rauney Mitchell, Courtney Schultz</t>
  </si>
  <si>
    <t xml:space="preserve">Pellicer creek </t>
  </si>
  <si>
    <t>Jacob Berna</t>
  </si>
  <si>
    <t xml:space="preserve">Upper Pellicer creek </t>
  </si>
  <si>
    <t xml:space="preserve">Jacob Berna </t>
  </si>
  <si>
    <t>Upper pellicer</t>
  </si>
  <si>
    <t>Erick, Courtney</t>
  </si>
  <si>
    <t>Jenna R</t>
  </si>
  <si>
    <t>ICW SWMP FM, SS, PI</t>
  </si>
  <si>
    <t>Emalee Swisshelm and Nate Schirmer</t>
  </si>
  <si>
    <t>Sisters creek</t>
  </si>
  <si>
    <t>6 Mile</t>
  </si>
  <si>
    <t xml:space="preserve">Justina, Morgan </t>
  </si>
  <si>
    <t xml:space="preserve">Mayport </t>
  </si>
  <si>
    <t>St. John’s inlet and sisters</t>
  </si>
  <si>
    <t xml:space="preserve">Chris </t>
  </si>
  <si>
    <t>Dolphin creek, Matanzas river</t>
  </si>
  <si>
    <t>Jacob berna</t>
  </si>
  <si>
    <t>Butler West</t>
  </si>
  <si>
    <t>Bings to 312 Bridge</t>
  </si>
  <si>
    <t>Silas Tanner, (904) 483-8423, Gabby Canas, (904) 891-9743</t>
  </si>
  <si>
    <t xml:space="preserve">Jess Lee </t>
  </si>
  <si>
    <t>Jenna</t>
  </si>
  <si>
    <t>courtney.l.schultz@floridadep.gov</t>
  </si>
  <si>
    <t>Whitney Lab- Kayak Launch</t>
  </si>
  <si>
    <t>Around kayak launch boat looking for crown conch.</t>
  </si>
  <si>
    <t>Courtney Schultz,</t>
  </si>
  <si>
    <t>ICW FM SWMP site</t>
  </si>
  <si>
    <t>Silas Tanner, (904) 483-8423, Remi Mondazzi</t>
  </si>
  <si>
    <t xml:space="preserve">Washington oaks platforms </t>
  </si>
  <si>
    <t>All applicable items have been found to be in good working order</t>
  </si>
  <si>
    <t>ICW SWMP stations</t>
  </si>
  <si>
    <t>Pine island, hat island, east creek</t>
  </si>
  <si>
    <t>Jacob Berna, Rauney Mitchell, (256) 665-5361</t>
  </si>
  <si>
    <t>Jessica Lee, (813) 748-2228</t>
  </si>
  <si>
    <t>Pine island then hat island</t>
  </si>
  <si>
    <t>Sam, Adam, lisa, tess, cathi</t>
  </si>
  <si>
    <t>6 mile</t>
  </si>
  <si>
    <t>Justina, katie</t>
  </si>
  <si>
    <t xml:space="preserve">Holly Point and Dee Dee Bartels </t>
  </si>
  <si>
    <t>Chirs Kurtz</t>
  </si>
  <si>
    <t>All applicable items have been checked and found to be present and/or in good working condition/order</t>
  </si>
  <si>
    <t>PI-HI-22</t>
  </si>
  <si>
    <t xml:space="preserve">Jacob </t>
  </si>
  <si>
    <t xml:space="preserve">Shore Dr </t>
  </si>
  <si>
    <t>Jacob</t>
  </si>
  <si>
    <t>ICW SWMP sites: SS &amp; PI</t>
  </si>
  <si>
    <t xml:space="preserve">Jacob Berna, Jeff Finnan </t>
  </si>
  <si>
    <t>Jacob.Berna@FloridaDEP.gov</t>
  </si>
  <si>
    <t>Frank Butler</t>
  </si>
  <si>
    <t>Moses Creek Transects</t>
  </si>
  <si>
    <t>Jacob Berna, Remo mondazzi</t>
  </si>
  <si>
    <t>Palm Valley Boat Ramp</t>
  </si>
  <si>
    <t>Pine Island Marsh Edge Plots</t>
  </si>
  <si>
    <t>Jacob Berna, Scott Jones</t>
  </si>
  <si>
    <t>East Creek Platforms</t>
  </si>
  <si>
    <t>Jacob Berna, Mike Darragh</t>
  </si>
  <si>
    <t>Usina boat ramp</t>
  </si>
  <si>
    <t>Hat Island platforms</t>
  </si>
  <si>
    <t>Jacob Berna, Mike daraugh</t>
  </si>
  <si>
    <t>Jacob Berna, Nate Shirmer</t>
  </si>
  <si>
    <t>Moses Transects</t>
  </si>
  <si>
    <t xml:space="preserve">Holly Point and Dee Dee Bartels Possibly </t>
  </si>
  <si>
    <t>Alligator Creek</t>
  </si>
  <si>
    <t xml:space="preserve">Jessica </t>
  </si>
  <si>
    <t>PI and EC platforms</t>
  </si>
  <si>
    <t>Nikki Dix, (352) 219-4079, Silas Tanner, (904) 483-8423, Gabby Canas</t>
  </si>
  <si>
    <t xml:space="preserve">Faver Dykes </t>
  </si>
  <si>
    <t>PC oysters</t>
  </si>
  <si>
    <t>Silas Tanner, (904) 483-8423, Jessica Lee, (813) 748-2228, Remo Mondazzi</t>
  </si>
  <si>
    <t>Lee</t>
  </si>
  <si>
    <t>Platforms and Transects at Pellicer</t>
  </si>
  <si>
    <t>Jacob Berna (904)-392-1966</t>
  </si>
  <si>
    <t>Silas Tanner, (904) 483-8423, Jessica Lee, (813) 748-2228</t>
  </si>
  <si>
    <t xml:space="preserve">Southern Tip of Guana Peninsula </t>
  </si>
  <si>
    <t>Lauren Griffiths, Hallie Fishman, Justina Dacey</t>
  </si>
  <si>
    <t>Silas Tanner, (904) 483-8423, Jacob Berna</t>
  </si>
  <si>
    <t xml:space="preserve">Pellicer Transects </t>
  </si>
  <si>
    <t>Blythe Odzinski</t>
  </si>
  <si>
    <t>Favor Dykes State Park</t>
  </si>
  <si>
    <t>Pellicer Creek Lower Transect and SET site</t>
  </si>
  <si>
    <t>Allix North, (850) 420-7495, Greg Curry (239)682-4755 Rookery Bay NERR</t>
  </si>
  <si>
    <t>Savanna Mathis, Jill Schmid Rookery Bay NERR</t>
  </si>
  <si>
    <t>St Augustine oyster reefs</t>
  </si>
  <si>
    <t>Nikki, Sarah, Joseph agee</t>
  </si>
  <si>
    <t>Tolomato River to Shell Bluff</t>
  </si>
  <si>
    <t xml:space="preserve">Lia Sansom, (520) 940-4888, Zach Lepera, Ky </t>
  </si>
  <si>
    <t>Anastasia Utley, Jeff Finnain, Pam korchun</t>
  </si>
  <si>
    <t>Salt Run Reefs</t>
  </si>
  <si>
    <t>Jeff Finnain, Nathan</t>
  </si>
  <si>
    <t xml:space="preserve">Pam, Jeff, Mike, Michelle </t>
  </si>
  <si>
    <t>Lofton Creek</t>
  </si>
  <si>
    <t>2022 NEAP F150</t>
  </si>
  <si>
    <t>Jeff, Alee, Nikki, Michelle, Mike, Griffin</t>
  </si>
  <si>
    <t>Silas Tanner, (904) 483-8423, Alee Knoell</t>
  </si>
  <si>
    <t>Alee, Alyah</t>
  </si>
  <si>
    <t xml:space="preserve">Alee, Alyah, Mike, Jeff, Nathan </t>
  </si>
  <si>
    <t>silas.tanner@floridadeo.gov</t>
  </si>
  <si>
    <t>ICW PI and SS swmp sites</t>
  </si>
  <si>
    <t>Gunnison Cut</t>
  </si>
  <si>
    <t>Jeff, David, Michelle, Alee</t>
  </si>
  <si>
    <t>Shad and Clapboard creeks</t>
  </si>
  <si>
    <t>Alee, Alyah, Debbie, Carol, Jeff, Lynn</t>
  </si>
  <si>
    <t>San Sebastian Reefs</t>
  </si>
  <si>
    <t>Alee, Alyah, Kyelee Spence, Sarah , Lynn</t>
  </si>
  <si>
    <t xml:space="preserve">Alee, Alyah, Jeff, Mike, Pam, Nathan </t>
  </si>
  <si>
    <t xml:space="preserve">Monica, Myka </t>
  </si>
  <si>
    <t>Butler Reefs</t>
  </si>
  <si>
    <t>Alee, Alyah, Jeff, Mike, Debbie</t>
  </si>
  <si>
    <t>Nut Run</t>
  </si>
  <si>
    <t xml:space="preserve">Silas Tanner </t>
  </si>
  <si>
    <t>2022 NEAP Truck</t>
  </si>
  <si>
    <t xml:space="preserve">Kyia Herlth </t>
  </si>
  <si>
    <t>kyia.herlth@floridadep.gov</t>
  </si>
  <si>
    <t>Marineland</t>
  </si>
  <si>
    <t xml:space="preserve">Close to the launch, around the shoreline. Not going far out. </t>
  </si>
  <si>
    <t>Personal Truck</t>
  </si>
  <si>
    <t>Kyia Herlth</t>
  </si>
  <si>
    <t>Savanna Mathis, Larry Herlth</t>
  </si>
  <si>
    <t>Butler Reef</t>
  </si>
  <si>
    <t>Alee, Alyah, Mathew</t>
  </si>
  <si>
    <t>Usina ramp</t>
  </si>
  <si>
    <t>ICW root n rakes sites</t>
  </si>
  <si>
    <t>Tess Adgie, Adam Langley, Lisa Chambers, and undergrads</t>
  </si>
  <si>
    <t>Shad and Christopher Creek</t>
  </si>
  <si>
    <t xml:space="preserve">Butler </t>
  </si>
  <si>
    <t>Butler reefs</t>
  </si>
  <si>
    <t>Alee, Alyah, Jeff, Mike, Remo, Nathan</t>
  </si>
  <si>
    <t>Chirs Kurtz, Matt Bernanke</t>
  </si>
  <si>
    <t>SA4 reefs</t>
  </si>
  <si>
    <t>Alyah</t>
  </si>
  <si>
    <t>Capt. S. Tanner</t>
  </si>
  <si>
    <t xml:space="preserve">ICW Roots and Rakes sites </t>
  </si>
  <si>
    <t>Lisa Chambers, Sara Gay</t>
  </si>
  <si>
    <t>Alee, Alyah, Jeff, Mike, Remo, nathan</t>
  </si>
  <si>
    <t>Alee, Jeff, Mike, Spencer</t>
  </si>
  <si>
    <t>Nicole</t>
  </si>
  <si>
    <t>james.tomazinis@floridadeo.gov</t>
  </si>
  <si>
    <t xml:space="preserve">16 bridge </t>
  </si>
  <si>
    <t>San Sebastian reefs</t>
  </si>
  <si>
    <t>Jacob Berna, Alee</t>
  </si>
  <si>
    <t>16 bridge</t>
  </si>
  <si>
    <t>Jacob Berna, Alee Knoell</t>
  </si>
  <si>
    <t>Silas Tanner, (904) 483-8423, Alee Kneoll</t>
  </si>
  <si>
    <t>Monica</t>
  </si>
  <si>
    <t>Danielle</t>
  </si>
  <si>
    <t xml:space="preserve">Monica </t>
  </si>
  <si>
    <t>Jess Lee, Nate Schumer</t>
  </si>
  <si>
    <t>Pine Island SWMP station</t>
  </si>
  <si>
    <t>Pellicer lower, middle, and upper transects</t>
  </si>
  <si>
    <t>Hans Prevost, Avah Avonda</t>
  </si>
  <si>
    <t>Greg, Jaleigh, Abry, Tally</t>
  </si>
  <si>
    <t>Guana Reefs</t>
  </si>
  <si>
    <t>Hans Prevost, Talyre Pier, Aubrey Burns, Jaleigh Pier, Greg Dietl</t>
  </si>
  <si>
    <t>Marineland Oyster Reefs next to Whitney Lab</t>
  </si>
  <si>
    <t>Ford F150 2022 (ML) DEP22510</t>
  </si>
  <si>
    <t>Nikki Dix, (352) 219-4079, Allix North, (850) 420-7495</t>
  </si>
  <si>
    <t>Alyah Bennett, Jeff Finnan, and Mike Darragh</t>
  </si>
  <si>
    <t>Good to GO</t>
  </si>
  <si>
    <t xml:space="preserve">Guana Reefs </t>
  </si>
  <si>
    <t xml:space="preserve">Hans Prevost, Talyre Pier, Aubrey Burns, Jaleigh Pier, Greg Dietl </t>
  </si>
  <si>
    <t>Hans Prevost, Jaleigh Pier, Talyre Pier, Greg Diet</t>
  </si>
  <si>
    <t>ICW Sonde Sites</t>
  </si>
  <si>
    <t>Jess and Avah</t>
  </si>
  <si>
    <t>jeasica.lee@floridadep.gov</t>
  </si>
  <si>
    <t xml:space="preserve">Hans, Monica </t>
  </si>
  <si>
    <t>ICW Sonde sites</t>
  </si>
  <si>
    <t>Shannon Dunnigan, (803) 727-5734, Jacob Berna</t>
  </si>
  <si>
    <t>Avah Avonda</t>
  </si>
  <si>
    <t>Nate and Hans</t>
  </si>
  <si>
    <t>The Office</t>
  </si>
  <si>
    <t>Jacob Berna, (904) 392-1966, Shannon Dunnigan, (803) 727-5734</t>
  </si>
  <si>
    <t>TEST2</t>
  </si>
  <si>
    <t>Nowhere</t>
  </si>
  <si>
    <t>TEST3</t>
  </si>
  <si>
    <t>Nowhere, this is a test of the float plan update</t>
  </si>
  <si>
    <t>Jacob Berna, (904) 392-1966, Jessica Lee, (813) 748-2228</t>
  </si>
  <si>
    <t>TEST4</t>
  </si>
  <si>
    <t>Nowhere, this is a test</t>
  </si>
  <si>
    <t>Jacob Berna, (904) 392-1966</t>
  </si>
  <si>
    <t>TEST5</t>
  </si>
  <si>
    <t xml:space="preserve">Nowhere, this is a test </t>
  </si>
  <si>
    <t>TEST6</t>
  </si>
  <si>
    <t>TEST7</t>
  </si>
  <si>
    <t>Faver-Dykes State Park Boat Ramp</t>
  </si>
  <si>
    <t xml:space="preserve">Pc Transects </t>
  </si>
  <si>
    <t>Hans Prevost, Avah</t>
  </si>
  <si>
    <t xml:space="preserve">NEAP WQ Sites </t>
  </si>
  <si>
    <t>2022 NEAP 150</t>
  </si>
  <si>
    <t xml:space="preserve">Hans Prevost </t>
  </si>
  <si>
    <t>hans.prevost@floridadep.gov</t>
  </si>
  <si>
    <t xml:space="preserve">PC middle transect </t>
  </si>
  <si>
    <t xml:space="preserve">Hans Prevost, Avah Avonda </t>
  </si>
  <si>
    <t>PC upper transect</t>
  </si>
  <si>
    <t>ICW SWMP WQ sites</t>
  </si>
  <si>
    <t>Vilano Ramp (test leak)</t>
  </si>
  <si>
    <t>Hans Prevost</t>
  </si>
  <si>
    <t>Big Mama site</t>
  </si>
  <si>
    <t>Hans Prevost, Allix, Jacob Simon, Avah Avonda</t>
  </si>
  <si>
    <t>Upper transect pc</t>
  </si>
  <si>
    <t>Dave Hagmann</t>
  </si>
  <si>
    <t>Nathaniel Schirmer</t>
  </si>
  <si>
    <t>n01502109@unf.edu</t>
  </si>
  <si>
    <t>South end of Guana River</t>
  </si>
  <si>
    <t>UF fisheries truck</t>
  </si>
  <si>
    <t>Kristy Perez</t>
  </si>
  <si>
    <t>UF Fisheries Truck</t>
  </si>
  <si>
    <t>N/a</t>
  </si>
  <si>
    <t>Mouth of Guana</t>
  </si>
  <si>
    <t>Jessica Lee, (813) 748-2228, Shannon Dunnigan, (803) 727-5734</t>
  </si>
  <si>
    <t xml:space="preserve">Avah Avonda, Justina Dacey, Camila del Sol Pina, Bianca Ruiz </t>
  </si>
  <si>
    <t>St. Augustine Light House</t>
  </si>
  <si>
    <t>Ford F150 2022 (ML)-DEP22510</t>
  </si>
  <si>
    <t>Allix North, (850) 420-7495, Nikki Dix, (352) 219-4079</t>
  </si>
  <si>
    <t>Savanna Mathis, Alyah Bennett</t>
  </si>
  <si>
    <t>Good for operational period</t>
  </si>
  <si>
    <t>St. Augustine Lighthouse Ramp</t>
  </si>
  <si>
    <t>Ford F150 ML DEP22510</t>
  </si>
  <si>
    <t>Allix North, (850) 420-7495, Jacob Berna, (904) 392-1966, Nikki Dix, (352) 219-4079</t>
  </si>
  <si>
    <t>Hans Prevost, Savanna Mathis, Jeff, Alyah, Avah</t>
  </si>
  <si>
    <t>St. Augustine Light House Boat Ramp</t>
  </si>
  <si>
    <t>Hans Prevost, Savanna Mathis, Alyah Bennett, Mike Darragh, Jeff Finnan</t>
  </si>
  <si>
    <t>Avah, Monica</t>
  </si>
  <si>
    <t>Avah Avonda, Nate Schirmer</t>
  </si>
  <si>
    <t>Hat Island SET and North to Shell Bluff</t>
  </si>
  <si>
    <t>Lia Sansom, (520) 940-4888, Matt Norton, Keith Singleton, Christopher Kinslow, Hayley Springer, Lia Sansom, Earl Pearson</t>
  </si>
  <si>
    <t>Frank Butler Boat Ramp</t>
  </si>
  <si>
    <t>Fort Matanzas Reefs</t>
  </si>
  <si>
    <t xml:space="preserve">Hans, Alyah, Grace Farmer, Savannah </t>
  </si>
  <si>
    <t>Alyah, Savannah, Hans</t>
  </si>
  <si>
    <t>Boat training - around vilano area</t>
  </si>
  <si>
    <t>DEP22510 ML</t>
  </si>
  <si>
    <t>Allix North, (850) 420-7495</t>
  </si>
  <si>
    <t>Hans Prevost, Savanna Mathis, Alyah Bennett</t>
  </si>
  <si>
    <t>Hans Prevost, Monica</t>
  </si>
  <si>
    <t>Whitney Lab Marineland</t>
  </si>
  <si>
    <t>Washington Oaks are</t>
  </si>
  <si>
    <t>Ford F150 - DEP22510</t>
  </si>
  <si>
    <t>Savanna Mathis, Orlando Cordero, Michael Espirilla</t>
  </si>
  <si>
    <t>jacob.berna@floridadep.gov</t>
  </si>
  <si>
    <t>Frank Butler Boat Ramp, Bing's Landing</t>
  </si>
  <si>
    <t>01 and 06 sites</t>
  </si>
  <si>
    <t>HI, PI, EC</t>
  </si>
  <si>
    <t>Douglas Crane Boat Ramp</t>
  </si>
  <si>
    <t>EC site</t>
  </si>
  <si>
    <t>PI site</t>
  </si>
  <si>
    <t>Hans prevost</t>
  </si>
  <si>
    <t>Tolomato Rakes</t>
  </si>
  <si>
    <t>Hans Prevost, Riza, anythony, Sarah, and jenny</t>
  </si>
  <si>
    <t xml:space="preserve">Nikki dix </t>
  </si>
  <si>
    <t xml:space="preserve">Monica Maldonado </t>
  </si>
  <si>
    <t>Monica.maldonado@floridadep.com</t>
  </si>
  <si>
    <t xml:space="preserve">Traversing the lake with Jon boat and HYCAT </t>
  </si>
  <si>
    <t>Daniele Pinton &amp; ChiaChu Chu</t>
  </si>
  <si>
    <t xml:space="preserve">Hans prevost </t>
  </si>
  <si>
    <t xml:space="preserve">Pellicer transects </t>
  </si>
  <si>
    <t xml:space="preserve">Jacob berna </t>
  </si>
  <si>
    <t>Pine island marsh monitoring sites</t>
  </si>
  <si>
    <t xml:space="preserve">North End/Dee Dee Bartels Boat Ramp, Holly Point </t>
  </si>
  <si>
    <t>Ford F150 2022 (NEAP) - DEP22491</t>
  </si>
  <si>
    <t>Pc site</t>
  </si>
  <si>
    <t>Allix North, (850) 420-7495, Jacob Berna, (904) 392-1966</t>
  </si>
  <si>
    <t>Hans Prevost, Savanna Mathis</t>
  </si>
  <si>
    <t>WO site</t>
  </si>
  <si>
    <t>Lisa Chambers and crew</t>
  </si>
  <si>
    <t xml:space="preserve">Hans Prevost, Savanna Mathis, Kala Neighbor </t>
  </si>
  <si>
    <t xml:space="preserve">Pellicer upper transect </t>
  </si>
  <si>
    <t>PC transects</t>
  </si>
  <si>
    <t>Hans Prevost Ches Verdeke, Kyle Derby</t>
  </si>
  <si>
    <t>Lower Transect Pc</t>
  </si>
  <si>
    <t>Hans Prevost, (337) 224-5522, Jacob Berna, (904) 392-1966, Nikki Dix, (352) 219-4079</t>
  </si>
  <si>
    <t>Ches Treveke, Kyle Derby</t>
  </si>
  <si>
    <t>Christopher Creek and Nassau River</t>
  </si>
  <si>
    <t>FM and SS SWMP sites</t>
  </si>
  <si>
    <t>Megan Howkins, (321) 427-1958</t>
  </si>
  <si>
    <t>Hans Prevost, (337) 224-5522, Jacob Berna, (904) 392-1966</t>
  </si>
  <si>
    <t>Savanna Mathis, Zach Lepera</t>
  </si>
  <si>
    <t xml:space="preserve">Moses creek dock </t>
  </si>
  <si>
    <t xml:space="preserve">Moses creek marsh monitoring sites </t>
  </si>
  <si>
    <t>Hans Prevost, (337) 224-5522</t>
  </si>
  <si>
    <t>Kala Neighbor, Savanna Mathis</t>
  </si>
  <si>
    <t>chris.kurtz@floridadep.gov</t>
  </si>
  <si>
    <t xml:space="preserve">Matanzas </t>
  </si>
  <si>
    <t>Tolomato river reefs</t>
  </si>
  <si>
    <t>Hans Prevost, (337) 224-5522, Shannon Dunnigan, (803) 727-5734</t>
  </si>
  <si>
    <t>Sam Chapman, Tess, Cathy, Jenny, Aaron</t>
  </si>
  <si>
    <t>Tolomato rakes</t>
  </si>
  <si>
    <t>UNF truck</t>
  </si>
  <si>
    <t>Megan Howkins, (321) 427-1958, Jenny, Scott Jones</t>
  </si>
  <si>
    <t>St. John’s River and Shad Creek</t>
  </si>
  <si>
    <t>monica.maldonado@floridadep.gov</t>
  </si>
  <si>
    <t>Sample grab</t>
  </si>
  <si>
    <t>Nicole de Venoge &amp; Bailee Porter</t>
  </si>
  <si>
    <t xml:space="preserve">Megan Howkins </t>
  </si>
  <si>
    <t>monica.maldonado@FloridaDEP.gov</t>
  </si>
  <si>
    <t>Guana mouth</t>
  </si>
  <si>
    <t xml:space="preserve">Training around Vilano </t>
  </si>
  <si>
    <t>Hans</t>
  </si>
  <si>
    <t>Jim King</t>
  </si>
  <si>
    <t>10/26/0023</t>
  </si>
  <si>
    <t>Christopher Creek</t>
  </si>
  <si>
    <t>North End/Dee Dee Bartels Boat Ramp, Holly point</t>
  </si>
  <si>
    <t>East Creek and Deep Creek</t>
  </si>
  <si>
    <t>Megan Howkins, (321) 427-1958, Scott Jones</t>
  </si>
  <si>
    <t xml:space="preserve">Monica Maldonaldo </t>
  </si>
  <si>
    <t xml:space="preserve">Guana river oyster reefs </t>
  </si>
  <si>
    <t>Mercer brugler</t>
  </si>
  <si>
    <t xml:space="preserve">Alyah Bennett, Matt kimball, Robert Dunn, Shelby Ziegler, Hans prevost </t>
  </si>
  <si>
    <t xml:space="preserve">GuaNa river </t>
  </si>
  <si>
    <t>Shelby Ziegler, Alyah Bennett, Hans prevost, Robert Dunn, Matt kimball</t>
  </si>
  <si>
    <t>Robert sun</t>
  </si>
  <si>
    <t xml:space="preserve">Hans Prevost, Nikki Dix, Robert Dunn, Matt Kimball, Shelby Zeigler </t>
  </si>
  <si>
    <t>autocratn</t>
  </si>
  <si>
    <t>autocratp</t>
  </si>
  <si>
    <t>activeMergeId</t>
  </si>
  <si>
    <t>"1ctSKjltsafviQXP39mzumBhJu2FZObAlwHyV1LDGk6w"</t>
  </si>
  <si>
    <t>dataSheetId</t>
  </si>
  <si>
    <t>"2.123793054E9"</t>
  </si>
  <si>
    <t>updateTime</t>
  </si>
  <si>
    <t>"1.696255361756E12"</t>
  </si>
  <si>
    <t>ssId</t>
  </si>
  <si>
    <t>"1ce9lfwY7vbvaG_fBhpw6f6WvZV2zoo9LfXeIdbMZGww"</t>
  </si>
  <si>
    <t>formTriggerSet</t>
  </si>
  <si>
    <t>"TRUE"</t>
  </si>
  <si>
    <t>formTriggerList</t>
  </si>
  <si>
    <t>"[\"1ctSKjltsafviQXP39mzumBhJu2FZObAlwHyV1LDGk6w\"]"</t>
  </si>
  <si>
    <t>dataSheetName</t>
  </si>
  <si>
    <t>"FloatPlanDetails"</t>
  </si>
  <si>
    <t>formTriggerSetBy</t>
  </si>
  <si>
    <t>"kenneth.rainer@gtmnerr.org"</t>
  </si>
  <si>
    <t>v</t>
  </si>
  <si>
    <t>"5.1"</t>
  </si>
  <si>
    <t>autocrat_sid</t>
  </si>
  <si>
    <t>"1449259415107"</t>
  </si>
  <si>
    <t>mergeKeys</t>
  </si>
  <si>
    <t>"{\"1ctSKjltsafviQXP39mzumBhJu2FZObAlwHyV1LDGk6w\":{\"mergeFileId\":\"1ctSKjltsafviQXP39mzumBhJu2FZObAlwHyV1LDGk6w\",\"name\":\"Float Plan Merge\",\"showInSidebar\":true}}"</t>
  </si>
  <si>
    <t>timeTriggerList</t>
  </si>
  <si>
    <t>"[]"</t>
  </si>
  <si>
    <t>vp</t>
  </si>
  <si>
    <t>1ctSKjltsafviQXP39mzumBhJu2FZObAlwHyV1LDGk6w</t>
  </si>
  <si>
    <t>{"fileName":"$yourFirstAndLastName $dateYouPlanToLaunch","name":"Float Plan Merge","templateId":"1ctSKjltsafviQXP39mzumBhJu2FZObAlwHyV1LDGk6w","sendEmail":"true","email":{"address":"$yourEmail","subject":"Float Plan for $dateYouPlanToLaunch","body":"Here is the PDF of your float plan which you can print off and provide to the front desk. Don't forget to reserve your vehicle and vessel(s) on the calendars.\n\nThanks,\nKenneth","attach":"PDF","savePdf":"true","isShareable":"true"},"conditions":{"header":"timestamp","opp":"=","test":""},"tags":[{"tag":"LaunchDate","mapHeader":"dateYouPlanToLaunch","multiTags":[],"isMultiTag":false,"isHyperlink":false,"isImage":false,"isNewTag":false},{"tag":"VesselDetail","mapHeader":"vesselDetails","multiTags":[],"isMultiTag":false,"isHyperlink":false,"isImage":false,"isNewTag":false},{"tag":"NumCanoesKayaks","mapHeader":"ifYouSelectedCanoesOrKayaksHowManyAreYouTaking","multiTags":[],"isMultiTag":false,"isHyperlink":false,"isImage":false,"isNewTag":false},{"tag":"TowingVehicle","mapHeader":"towingVehicle","multiTags":[],"isMultiTag":false,"isHyperlink":false,"isImage":false,"isNewTag":false},{"tag":"Captain","mapHeader":"whoIsCaptain","multiTags":[],"isMultiTag":false,"isHyperlink":false,"isImage":false,"isNewTag":false},{"tag":"CertifiedOperators","mapHeader":"whoIsAreTheCertifiedOperator","multiTags":[],"isMultiTag":false,"isHyperlink":false,"isImage":false,"isNewTag":false},{"tag":"PersonsOnboard","mapHeader":"whoIsAreTheOtherIndividualsOnboard","multiTags":[],"isMultiTag":false,"isHyperlink":false,"isImage":false,"isNewTag":false},{"tag":"LaunchSite","mapHeader":"launchSite","multiTags":[],"isMultiTag":false,"isHyperlink":false,"isImage":false,"isNewTag":false},{"tag":"Destination","mapHeader":"destination","multiTags":[],"isMultiTag":false,"isHyperlink":false,"isImage":false,"isNewTag":false},{"tag":"TimeOnWater","mapHeader":"estimatedTimeOnTheWater","multiTags":[],"isMultiTag":false,"isHyperlink":false,"isImage":false,"isNewTag":false},{"tag":"EstReturnOffice","mapHeader":"timeReturnToOfficeBestEstimate","multiTags":[],"isMultiTag":false,"isHyperlink":false,"isImage":false,"isNewTag":false},{"tag":"Name","mapHeader":"yourFirstAndLastName","multiTags":[],"isMultiTag":false,"isHyperlink":false,"isImage":false,"isNewTag":false},{"tag":"DatePlan","mapHeader":"dateYouPlanToFileTheFloatPlan","multiTags":[],"isMultiTag":false,"isHyperlink":false,"isImage":false,"isNewTag":false},{"tag":"FiledWith","mapHeader":"whoAreYouFilingThePlanWith","multiTags":[],"isMultiTag":false,"isHyperlink":false,"isImage":false,"isNewTag":false}],"folders":["0B5fOTXS6ex1VSEU4RVRSYzQySDQ"],"dataSheetId":"1.179006592E9","secondaryFolder":"","bigestJump":0,"fileType":"Google Doc","formTrigger":"on","timeTrigger":"off","timeTriggerFrequency":"","timeTriggerHour":"","showInSidebar":true}</t>
  </si>
  <si>
    <t>"1.490295596805E12"</t>
  </si>
  <si>
    <t>"1.179006592E9"</t>
  </si>
  <si>
    <t>"Form Responses 1"</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</si>
  <si>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</si>
  <si>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</si>
  <si>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</si>
  <si>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</si>
  <si>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</si>
  <si>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</si>
  <si>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</si>
  <si>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</si>
  <si>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</si>
  <si>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</si>
  <si>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</si>
  <si>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</si>
  <si>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</si>
  <si>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</si>
  <si>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</si>
  <si>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</si>
  <si>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</si>
  <si>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</si>
  <si>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</si>
  <si>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</si>
  <si>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</si>
  <si>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</si>
  <si>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</si>
  <si>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</si>
  <si>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</si>
  <si>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</si>
  <si>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</si>
  <si>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</si>
  <si>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</si>
  <si>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_1534320108884</t>
  </si>
  <si>
    <t>Float Plan Merge V2</t>
  </si>
  <si>
    <t>&lt;&lt;YOUR NAME&gt;&gt; - &lt;&lt;Date you plan to launch&gt;&gt; &lt;&lt;Time you plan to launch&gt;&gt;</t>
  </si>
  <si>
    <t>GOOG_DOC</t>
  </si>
  <si>
    <t>PDF</t>
  </si>
  <si>
    <t>["1su3rB04qHUixf_tRnHp0nQVP_nTB4Njl"]</t>
  </si>
  <si>
    <t>[]</t>
  </si>
  <si>
    <t>[{"headerMap":"Timestamp","value":"NOT NULL"}]</t>
  </si>
  <si>
    <t>MULTIPLE_OUTPUT</t>
  </si>
  <si>
    <t>[{"tag":"DateTimeLaunch","type":"STANDARD","details":{"isUnmapped":false,"headerMap":"Date you plan to launch"}},{"tag":"DateLaunch","type":"STANDARD","details":{"isUnmapped":false,"headerMap":"Date you plan to launch"}},{"tag":"TimeLaunch","type":"STANDARD","details":{"isUnmapped":false,"headerMap":"Time you plan to launch"}},{"tag":"EstTimeOffWater","type":"STANDARD","details":{"isUnmapped":false,"headerMap":"Estimated time off the water"}},{"tag":"Boat Box with Keys","type":"STANDARD","details":{"isUnmapped":false,"headerMap":" [Trailer Lights, Tire Pressure, Boat Box with Keys, Tool Kit, PFD's for every passenger, Type IV Throwable, Fuel, Battery, Radio/Cell Check, Anchor &amp; Line, Paddles and/or Push Pole, Boat Hook, First-Aid Kit, Whistle/Horn, Signal Devices, Fire Extinguisher, Navigation Lights]"}},{"tag":"Tool Kit","type":"STANDARD","details":{"isUnmapped":false,"headerMap":" [Tool Kit]"}},{"tag":"PFD's and Type IV throwable","type":"STANDARD","details":{"isUnmapped":false,"headerMap":" [PFD's and Type IV throwable]"}},{"tag":"Vessel","type":"STANDARD","details":{"isUnmapped":false,"headerMap":"Vessel Details"}},{"tag":"Fuel, Battery, and Radio/Cell Check","type":"STANDARD","details":{"isUnmapped":false,"headerMap":" [Fuel, Battery, and Radio/Cell Check]"}},{"tag":"NumCanoesKayaks","type":"STANDARD","details":{"isUnmapped":false,"headerMap":"If you selected Canoe(s) or Kayak(s), how many are you taking?"}},{"tag":"Anchor and Line","type":"STANDARD","details":{"isUnmapped":false,"headerMap":" [Anchor and Line]"}},{"tag":"Paddles, Push Pole","type":"STANDARD","details":{"isUnmapped":false,"headerMap":" [Paddles, Push Pole]"}},{"tag":"Boat Hook","type":"STANDARD","details":{"isUnmapped":false,"headerMap":" [Boat Hook]"}},{"tag":"TowVehicle","type":"STANDARD","details":{"isUnmapped":false,"headerMap":"Towing Vehicle"}},{"tag":"First-Aid Kit","type":"STANDARD","details":{"isUnmapped":false,"headerMap":" [First-Aid Kit]"}},{"tag":"Whistle/ Horn","type":"STANDARD","details":{"isUnmapped":false,"headerMap":" [Whistle/ Horn]"}},{"tag":"Signal Devices","type":"STANDARD","details":{"isUnmapped":false,"headerMap":" [Signal Devices]"}},{"tag":"CertOperators","type":"STANDARD","details":{"isUnmapped":false,"headerMap":"Who is (are) the Certified Operator(s)?"}},{"tag":"Fire Extinguisher","type":"STANDARD","details":{"isUnmapped":false,"headerMap":" [Fire Extinguisher]"}},{"tag":"OtherOnBoard","type":"STANDARD","details":{"isUnmapped":false,"headerMap":"Who is (are) the other individuals on-board?"}},{"tag":"Trailer and Boat Lights","type":"STANDARD","details":{"isUnmapped":false,"headerMap":" [Trailer and Boat Lights]"}},{"tag":"Tire Pressure","type":"STANDARD","details":{"isUnmapped":false,"headerMap":" [Tire Pressure]"}},{"tag":"PrimaryCaptain","type":"STANDARD","details":{"isUnmapped":false,"headerMap":"Who is the primary Captain?"}},{"tag":"LaunchSite","type":"STANDARD","details":{"isUnmapped":false,"headerMap":"BOAT RAMP"}},{"tag":"Destination","type":"STANDARD","details":{"isUnmapped":false,"headerMap":"Destination"}},{"tag":"ReturnOffice","type":"STANDARD","details":{"isUnmapped":false,"headerMap":"Time return to office (best estimate)"}},{"tag":"FirstLastName","type":"STANDARD","details":{"isUnmapped":false,"headerMap":"YOUR NAME"}},{"tag":"Float Plan Holder","type":"STANDARD","details":{"headerMap":"Float Plan Holder","isUnmapped":false}},{"tag":"Timestamp","type":"STANDARD","details":{"isUnmapped":false,"headerMap":"Timestamp"}}]</t>
  </si>
  <si>
    <t>&lt;&lt;Supervisor Email&gt;&gt;</t>
  </si>
  <si>
    <t>&lt;&lt;YOUR EMAIL&gt;&gt;, blythe.odzinski@floridadep.gov, stephanie.windham@floridadep.gov, lia.sansom@floridadep.gov</t>
  </si>
  <si>
    <t>&lt;&lt;YOUR EMAIL&gt;&gt;</t>
  </si>
  <si>
    <t>Float Plan for &lt;&lt;Who is the primary Captain?&gt;&gt; on - &lt;&lt;Date you plan to launch&gt;&gt; &lt;&lt;Time you plan to launch&gt;&gt;</t>
  </si>
  <si>
    <t>You are receiving the float plan for &lt;&lt;Who is the primary Captain?&gt;&gt; that has been filed by &lt;&lt;YOUR NAME&gt;&gt;.
For the person holding the float plan, please make sure to place your initials under the column AG and the actual time off the water under the column AH on the following Google Sheet (https://goo.gl/tX4GDA).</t>
  </si>
  <si>
    <t>2020-09-02T17:09:35.430Z</t>
  </si>
  <si>
    <t>2023-10-30T19:09:21.352Z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</si>
</sst>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quot;:&quot;mm&quot; &quot;AM/PM"/>
    <numFmt numFmtId="165" formatCode="m/d/yy\ h:mm:ss"/>
    <numFmt numFmtId="166" formatCode="mm/dd/yyyy\ h:mm:ss\ AM/PM"/>
    <numFmt numFmtId="167" formatCode="m/d/yyyy\ h:mm:ss"/>
    <numFmt numFmtId="168" formatCode="yyyy\-mm\-dd"/>
  </numFmts>
  <fonts count="12">
    <font>
      <sz val="10"/>
      <color rgb="FF000000"/>
      <name val="Arial"/>
    </font>
    <font>
      <b/>
      <sz val="10"/>
      <name val="Arial"/>
    </font>
    <font>
      <b/>
      <sz val="10"/>
      <color rgb="FF000000"/>
      <name val="Arial"/>
    </font>
    <font>
      <b/>
      <i/>
      <sz val="10"/>
      <color rgb="FF000000"/>
      <name val="Arial"/>
    </font>
    <font>
      <sz val="10"/>
      <name val="Arial"/>
    </font>
    <font>
      <u/>
      <sz val="10"/>
      <color rgb="FF0000FF"/>
      <name val="Arial"/>
    </font>
    <font>
      <u/>
      <sz val="10"/>
      <color rgb="FF0000FF"/>
      <name val="Arial"/>
    </font>
    <font>
      <sz val="10"/>
      <color rgb="FFFFFFFF"/>
      <name val="Arial"/>
    </font>
    <font>
      <sz val="10"/>
      <name val="Thread-000055d0-Id-00000009"/>
    </font>
    <font>
      <sz val="10"/>
      <name val="Arial"/>
    </font>
    <font>
      <sz val="10"/>
      <color rgb="FF000000"/>
      <name val="Arial"/>
    </font>
    <font>
      <u/>
      <sz val="10"/>
      <color rgb="FF1155CC"/>
      <name val="Arial"/>
    </font>
  </fonts>
  <fills count="5">
    <fill>
      <patternFill patternType="none"/>
    </fill>
    <fill>
      <patternFill patternType="gray125"/>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s>
  <borders count="1">
    <border>
      <left/>
      <right/>
      <top/>
      <bottom/>
      <diagonal/>
    </border>
  </borders>
  <cellStyleXfs count="1">
    <xf numFmtId="0" fontId="0" fillId="0" borderId="0"/>
  </cellStyleXfs>
  <cellXfs count="41">
    <xf numFmtId="0" fontId="0" fillId="0" borderId="0" xfId="0" applyFont="1" applyAlignment="1"/>
    <xf numFmtId="0" fontId="1" fillId="0" borderId="0" xfId="0" applyFont="1"/>
    <xf numFmtId="0" fontId="1" fillId="0" borderId="0" xfId="0" applyFont="1" applyAlignment="1"/>
    <xf numFmtId="164" fontId="1" fillId="0" borderId="0" xfId="0" applyNumberFormat="1" applyFont="1"/>
    <xf numFmtId="14" fontId="1" fillId="0" borderId="0" xfId="0" applyNumberFormat="1" applyFont="1"/>
    <xf numFmtId="164" fontId="1" fillId="0" borderId="0" xfId="0" applyNumberFormat="1" applyFont="1"/>
    <xf numFmtId="0" fontId="1" fillId="0" borderId="0" xfId="0" applyFont="1" applyAlignment="1"/>
    <xf numFmtId="0" fontId="1" fillId="2" borderId="0" xfId="0" applyFont="1" applyFill="1" applyAlignment="1"/>
    <xf numFmtId="0" fontId="2" fillId="3" borderId="0" xfId="0" applyFont="1" applyFill="1" applyAlignment="1"/>
    <xf numFmtId="0" fontId="3" fillId="3" borderId="0" xfId="0" applyFont="1" applyFill="1" applyAlignment="1"/>
    <xf numFmtId="165" fontId="4" fillId="0" borderId="0" xfId="0" applyNumberFormat="1" applyFont="1"/>
    <xf numFmtId="0" fontId="4" fillId="0" borderId="0" xfId="0" applyFont="1" applyAlignment="1"/>
    <xf numFmtId="0" fontId="4" fillId="0" borderId="0" xfId="0" applyFont="1" applyAlignment="1"/>
    <xf numFmtId="164" fontId="4" fillId="0" borderId="0" xfId="0" applyNumberFormat="1" applyFont="1"/>
    <xf numFmtId="14" fontId="4" fillId="0" borderId="0" xfId="0" applyNumberFormat="1" applyFont="1"/>
    <xf numFmtId="164" fontId="4" fillId="0" borderId="0" xfId="0" applyNumberFormat="1" applyFont="1"/>
    <xf numFmtId="166" fontId="4" fillId="0" borderId="0" xfId="0" applyNumberFormat="1" applyFont="1"/>
    <xf numFmtId="0" fontId="4" fillId="2" borderId="0" xfId="0" applyFont="1" applyFill="1" applyAlignment="1"/>
    <xf numFmtId="0" fontId="4" fillId="2" borderId="0" xfId="0" applyFont="1" applyFill="1"/>
    <xf numFmtId="0" fontId="5" fillId="0" borderId="0" xfId="0" applyFont="1" applyAlignment="1"/>
    <xf numFmtId="0" fontId="6" fillId="0" borderId="0" xfId="0" applyFont="1"/>
    <xf numFmtId="0" fontId="7" fillId="2" borderId="0" xfId="0" applyFont="1" applyFill="1" applyAlignment="1"/>
    <xf numFmtId="0" fontId="4" fillId="0" borderId="0" xfId="0" applyFont="1" applyAlignment="1"/>
    <xf numFmtId="20" fontId="4" fillId="0" borderId="0" xfId="0" applyNumberFormat="1" applyFont="1" applyAlignment="1"/>
    <xf numFmtId="14" fontId="4" fillId="0" borderId="0" xfId="0" applyNumberFormat="1" applyFont="1" applyAlignment="1"/>
    <xf numFmtId="0" fontId="8" fillId="2" borderId="0" xfId="0" applyFont="1" applyFill="1" applyAlignment="1"/>
    <xf numFmtId="0" fontId="1" fillId="2" borderId="0" xfId="0" applyFont="1" applyFill="1" applyAlignment="1">
      <alignment horizontal="left"/>
    </xf>
    <xf numFmtId="0" fontId="4" fillId="0" borderId="0" xfId="0" applyFont="1" applyAlignment="1"/>
    <xf numFmtId="0" fontId="4" fillId="0" borderId="0" xfId="0" applyFont="1"/>
    <xf numFmtId="167" fontId="4" fillId="0" borderId="0" xfId="0" applyNumberFormat="1" applyFont="1" applyAlignment="1"/>
    <xf numFmtId="14" fontId="4" fillId="0" borderId="0" xfId="0" applyNumberFormat="1" applyFont="1" applyAlignment="1"/>
    <xf numFmtId="46" fontId="4" fillId="0" borderId="0" xfId="0" applyNumberFormat="1" applyFont="1" applyAlignment="1"/>
    <xf numFmtId="19" fontId="4" fillId="0" borderId="0" xfId="0" applyNumberFormat="1" applyFont="1" applyAlignment="1"/>
    <xf numFmtId="0" fontId="9" fillId="0" borderId="0" xfId="0" applyFont="1" applyAlignment="1"/>
    <xf numFmtId="0" fontId="10" fillId="4" borderId="0" xfId="0" applyFont="1" applyFill="1" applyAlignment="1">
      <alignment horizontal="left"/>
    </xf>
    <xf numFmtId="0" fontId="4" fillId="0" borderId="0" xfId="0" applyFont="1" applyAlignment="1"/>
    <xf numFmtId="0" fontId="11" fillId="0" borderId="0" xfId="0" applyFont="1" applyAlignment="1"/>
    <xf numFmtId="165" fontId="4" fillId="0" borderId="0" xfId="0" applyNumberFormat="1" applyFont="1" applyAlignment="1"/>
    <xf numFmtId="168" fontId="4" fillId="0" borderId="0" xfId="0" applyNumberFormat="1" applyFont="1" applyAlignment="1"/>
    <xf numFmtId="166" fontId="4" fillId="0" borderId="0" xfId="0" applyNumberFormat="1" applyFont="1" applyAlignment="1"/>
    <xf numFmtId="0" fontId="4" fillId="0" borderId="0" xfId="0" applyFont="1"/>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000000"/>
          <bgColor rgb="FF000000"/>
        </patternFill>
      </fill>
    </dxf>
    <dxf>
      <fill>
        <patternFill patternType="solid">
          <fgColor rgb="FFB7E1CD"/>
          <bgColor rgb="FFB7E1CD"/>
        </patternFill>
      </fill>
    </dxf>
    <dxf>
      <fill>
        <patternFill patternType="solid">
          <fgColor rgb="FFF4C7C3"/>
          <bgColor rgb="FFF4C7C3"/>
        </patternFill>
      </fill>
    </dxf>
    <dxf>
      <fill>
        <patternFill patternType="solid">
          <fgColor rgb="FF000000"/>
          <bgColor rgb="FF000000"/>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000000"/>
          <bgColor rgb="FF000000"/>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ocs.google.com/document/d/1yedKFixA69V0VtSDY7-I0SVCLPtcIuBrNsPWlFA5t0Q/edit?usp=drivesdk" TargetMode="External"/><Relationship Id="rId671" Type="http://schemas.openxmlformats.org/officeDocument/2006/relationships/hyperlink" Target="https://docs.google.com/document/d/1Z1JJQsQxov90O7KDYQkzO9IJgFs8Rdut8_rF5OImVCc/edit?usp=drivesdk" TargetMode="External"/><Relationship Id="rId769" Type="http://schemas.openxmlformats.org/officeDocument/2006/relationships/hyperlink" Target="https://docs.google.com/document/d/1Nydp8CN4aLZ1B2xDp1ni510_5RsRmmL1cLWcaHBPhoY/edit?usp=drivesdk" TargetMode="External"/><Relationship Id="rId976" Type="http://schemas.openxmlformats.org/officeDocument/2006/relationships/hyperlink" Target="https://docs.google.com/document/d/1VTH2_VmoXNsC_PCEAjpKUDjS4mLk-3mtplLR4Ml4luQ/edit?usp=drivesdk" TargetMode="External"/><Relationship Id="rId21" Type="http://schemas.openxmlformats.org/officeDocument/2006/relationships/hyperlink" Target="https://docs.google.com/document/d/1JFryXOw2InmmGmXxxzshvZNk4sdpEONK7hn7Y_AqJRE/edit?usp=drivesdk" TargetMode="External"/><Relationship Id="rId324" Type="http://schemas.openxmlformats.org/officeDocument/2006/relationships/hyperlink" Target="https://docs.google.com/document/d/1l4E_ZfLzH_eFlbh_M4aNR8syJtRhBDp7zPqitvKaIG0/edit?usp=drivesdk" TargetMode="External"/><Relationship Id="rId531" Type="http://schemas.openxmlformats.org/officeDocument/2006/relationships/hyperlink" Target="https://docs.google.com/document/d/1_Wz2iYYGxS3czoPUvpOlW6wXRw_EwOuHmPf2xF-kOyg/edit?usp=drivesdk" TargetMode="External"/><Relationship Id="rId629" Type="http://schemas.openxmlformats.org/officeDocument/2006/relationships/hyperlink" Target="https://docs.google.com/document/d/1vUaCgm5Vq08qt30h83-tm3hv4O_T8KMl-U0Dn1Y-IJk/edit?usp=drivesdk" TargetMode="External"/><Relationship Id="rId170" Type="http://schemas.openxmlformats.org/officeDocument/2006/relationships/hyperlink" Target="https://docs.google.com/document/d/1PL271tW_lqAUNom36USh5xQ5-3Fx9KBM5GmY4JnYfd4/edit?usp=drivesdk" TargetMode="External"/><Relationship Id="rId836" Type="http://schemas.openxmlformats.org/officeDocument/2006/relationships/hyperlink" Target="https://docs.google.com/document/d/1EBQ9bdCE9rHyvASXsOwyWFToG8TotTLr6jAnAL3kQz8/edit?usp=drivesdk" TargetMode="External"/><Relationship Id="rId1021" Type="http://schemas.openxmlformats.org/officeDocument/2006/relationships/hyperlink" Target="https://docs.google.com/document/d/1EXHaKr12yF5KqNhvFUwUydtsGhGOvVH5q80WHCX5x6A/edit?usp=drivesdk" TargetMode="External"/><Relationship Id="rId268" Type="http://schemas.openxmlformats.org/officeDocument/2006/relationships/hyperlink" Target="https://docs.google.com/document/d/190TNo4ZUiEWHJnPN5QI9eTlWaIaeW3i_-JNB6ri0AA4/edit?usp=drivesdk" TargetMode="External"/><Relationship Id="rId475" Type="http://schemas.openxmlformats.org/officeDocument/2006/relationships/hyperlink" Target="https://docs.google.com/document/d/1bvXVf8WmVpH3pfe3D8ofkoXxKTDl4PJARSkF_Gv3FGY/edit?usp=drivesdk" TargetMode="External"/><Relationship Id="rId682" Type="http://schemas.openxmlformats.org/officeDocument/2006/relationships/hyperlink" Target="https://docs.google.com/document/d/1t_uYYgm0MStimQ49VYj0hyFu-JZaIofMV-1KXOhk0iM/edit?usp=drivesdk" TargetMode="External"/><Relationship Id="rId903" Type="http://schemas.openxmlformats.org/officeDocument/2006/relationships/hyperlink" Target="https://docs.google.com/document/d/16L2SYI_DHROVDdtCMXcVIFzOflevRZTuEjWMeVKV_2A/edit?usp=drivesdk" TargetMode="External"/><Relationship Id="rId32" Type="http://schemas.openxmlformats.org/officeDocument/2006/relationships/hyperlink" Target="https://docs.google.com/document/d/1UxSihKYLLd3ptxsJHs_8U8O3j5OHfzHKbjnt5FECBbs/edit?usp=drivesdk" TargetMode="External"/><Relationship Id="rId128" Type="http://schemas.openxmlformats.org/officeDocument/2006/relationships/hyperlink" Target="https://docs.google.com/document/d/1cwjqEBUaX4TZ2uiNweLlEFnrIqkIxDij-KCrl3jgdSs/edit?usp=drivesdk" TargetMode="External"/><Relationship Id="rId335" Type="http://schemas.openxmlformats.org/officeDocument/2006/relationships/hyperlink" Target="https://docs.google.com/document/d/157atlnV4PfNUXltB_9nowSR6oPh6zVU7PPouDkoFvdw/edit?usp=drivesdk" TargetMode="External"/><Relationship Id="rId542" Type="http://schemas.openxmlformats.org/officeDocument/2006/relationships/hyperlink" Target="https://docs.google.com/document/d/1t8PCzMtY-bxWrgPyelaUpH-ChTW3BmhoY3p8DzXwCP4/edit?usp=drivesdk" TargetMode="External"/><Relationship Id="rId987" Type="http://schemas.openxmlformats.org/officeDocument/2006/relationships/hyperlink" Target="https://docs.google.com/document/d/1PhLM-7PbkBkkr0cdE2tXtED-0GlkgiCE4EE1Dt-al7I/edit?usp=drivesdk" TargetMode="External"/><Relationship Id="rId181" Type="http://schemas.openxmlformats.org/officeDocument/2006/relationships/hyperlink" Target="https://docs.google.com/document/d/1uWbC2LTTPyzZ9D7G8dbN75G0kC0n3ExQXQUhFHsruTY/edit?usp=drivesdk" TargetMode="External"/><Relationship Id="rId402" Type="http://schemas.openxmlformats.org/officeDocument/2006/relationships/hyperlink" Target="https://docs.google.com/document/d/172vVxwop84YvNDb_72vQKInQJ2qcjf8BrLZ6GTgNcTo/edit?usp=drivesdk" TargetMode="External"/><Relationship Id="rId847" Type="http://schemas.openxmlformats.org/officeDocument/2006/relationships/hyperlink" Target="https://docs.google.com/document/d/1HLzHHewWBdvgp_aL9h1BUhMEdLIliJob9Kw-bLOozGc/edit?usp=drivesdk" TargetMode="External"/><Relationship Id="rId1032" Type="http://schemas.openxmlformats.org/officeDocument/2006/relationships/hyperlink" Target="https://docs.google.com/document/d/1YDxsZBGWrCGow8Njmh4mVCim3gdwYTOs7ToJIM8z1jQ/edit?usp=drivesdk" TargetMode="External"/><Relationship Id="rId279" Type="http://schemas.openxmlformats.org/officeDocument/2006/relationships/hyperlink" Target="https://docs.google.com/document/d/10yd_QWoX4-uGTi1hSALQIVk7-NQdFiPnAMvkiRZydsQ/edit?usp=drivesdk" TargetMode="External"/><Relationship Id="rId486" Type="http://schemas.openxmlformats.org/officeDocument/2006/relationships/hyperlink" Target="https://docs.google.com/document/d/1sioxX_7kAwKiYd29kdqEacmGxR4147m8O-gc6jdOMEk/edit?usp=drivesdk" TargetMode="External"/><Relationship Id="rId693" Type="http://schemas.openxmlformats.org/officeDocument/2006/relationships/hyperlink" Target="https://docs.google.com/document/d/1RdxOH3uOOikiVkhGYrXwvWJzcQdPTHLWCs9yuvGlHh0/edit?usp=drivesdk" TargetMode="External"/><Relationship Id="rId707" Type="http://schemas.openxmlformats.org/officeDocument/2006/relationships/hyperlink" Target="https://docs.google.com/document/d/1z4EiuCs43BCiuE64m3hFuDnHkgNpwR-Cp6nK4d8afXE/edit?usp=drivesdk" TargetMode="External"/><Relationship Id="rId914" Type="http://schemas.openxmlformats.org/officeDocument/2006/relationships/hyperlink" Target="https://docs.google.com/document/d/1f7S7eFjtv7oaSZ2EcGqy-7CtBgOc7qqo1FMFhrjl8yQ/edit?usp=drivesdk" TargetMode="External"/><Relationship Id="rId43" Type="http://schemas.openxmlformats.org/officeDocument/2006/relationships/hyperlink" Target="https://docs.google.com/document/d/1WsrMwbtq1vkTBudK_ew-NbpNttOyEo3T3Yuj3AdKLcs/edit?usp=drivesdk" TargetMode="External"/><Relationship Id="rId139" Type="http://schemas.openxmlformats.org/officeDocument/2006/relationships/hyperlink" Target="https://docs.google.com/document/d/1YbcgZerdP1LVsxnkBb1fZoOvlgu2Id6KK0LNMU632hw/edit?usp=drivesdk" TargetMode="External"/><Relationship Id="rId346" Type="http://schemas.openxmlformats.org/officeDocument/2006/relationships/hyperlink" Target="https://docs.google.com/document/d/1_ixFUqqY3pBFYyko_LJxme1mlZsxKkUiApejiVxk4Vk/edit?usp=drivesdk" TargetMode="External"/><Relationship Id="rId553" Type="http://schemas.openxmlformats.org/officeDocument/2006/relationships/hyperlink" Target="https://docs.google.com/document/d/1M4VsU4s9QNEO5RqbkxtUqKB6O5EUCsaugCcgOh_4WmI/edit?usp=drivesdk" TargetMode="External"/><Relationship Id="rId760" Type="http://schemas.openxmlformats.org/officeDocument/2006/relationships/hyperlink" Target="https://docs.google.com/document/d/1LvOKNXO9L3Lr5KFKS6NfGc4tQFBCc1BR1KxkxOXPLjk/edit?usp=drivesdk" TargetMode="External"/><Relationship Id="rId998" Type="http://schemas.openxmlformats.org/officeDocument/2006/relationships/hyperlink" Target="https://docs.google.com/document/d/1iF1vByLSFz8UqR13nww9soYlKNY1IhTp2ZYRLzXauLQ/edit?usp=drivesdk" TargetMode="External"/><Relationship Id="rId192" Type="http://schemas.openxmlformats.org/officeDocument/2006/relationships/hyperlink" Target="https://docs.google.com/document/d/1p7s5sR34YXc9wg1z-_VVivHlRGZkuTUZxMHhBUHtCco/edit?usp=drivesdk" TargetMode="External"/><Relationship Id="rId206" Type="http://schemas.openxmlformats.org/officeDocument/2006/relationships/hyperlink" Target="https://docs.google.com/document/d/1y2UDORHMpvgGxnWKusUow10nn0yr4r-KxQFkrbWVVDg/edit?usp=drivesdk" TargetMode="External"/><Relationship Id="rId413" Type="http://schemas.openxmlformats.org/officeDocument/2006/relationships/hyperlink" Target="https://docs.google.com/document/d/1sv52haYJAAYeV34nrDRRcelkEHhfK9YUVlfLYziSVak/edit?usp=drivesdk" TargetMode="External"/><Relationship Id="rId858" Type="http://schemas.openxmlformats.org/officeDocument/2006/relationships/hyperlink" Target="https://docs.google.com/document/d/1ro-4Y7p6cyziDtZoxCcvcm4YKUqSc90J4RxzMD550-U/edit?usp=drivesdk" TargetMode="External"/><Relationship Id="rId1043" Type="http://schemas.openxmlformats.org/officeDocument/2006/relationships/hyperlink" Target="https://docs.google.com/document/d/1NGErleydcpiP9zpmkdWpbuO6D2jAJx2NdT9HNlKbyhI/edit?usp=drivesdk" TargetMode="External"/><Relationship Id="rId497" Type="http://schemas.openxmlformats.org/officeDocument/2006/relationships/hyperlink" Target="https://docs.google.com/document/d/1OnbxaTXeSky7m3PTiGynbpPIuXLU4Lrrsd-orTI5bB4/edit?usp=drivesdk" TargetMode="External"/><Relationship Id="rId620" Type="http://schemas.openxmlformats.org/officeDocument/2006/relationships/hyperlink" Target="https://docs.google.com/document/d/15ByomRlQMROlCgizmLzxCdO8MylRBYZcT1KY5d413W4/edit?usp=drivesdk" TargetMode="External"/><Relationship Id="rId718" Type="http://schemas.openxmlformats.org/officeDocument/2006/relationships/hyperlink" Target="https://docs.google.com/document/d/1wCyjJDj8n7R22L-fvY6TnFYA_TSJ59z5pzoWDVuIXS8/edit?usp=drivesdk" TargetMode="External"/><Relationship Id="rId925" Type="http://schemas.openxmlformats.org/officeDocument/2006/relationships/hyperlink" Target="https://docs.google.com/document/d/189mkY3uc7eO_0x5KG-VlcY1xMlWClOI_H5XtgtHQiBc/edit?usp=drivesdk" TargetMode="External"/><Relationship Id="rId357" Type="http://schemas.openxmlformats.org/officeDocument/2006/relationships/hyperlink" Target="https://docs.google.com/document/d/1gzBZ5HfQJnnJWXvG5NS6oS9z2fy4WrO3XnzB6x8mkYc/edit?usp=drivesdk" TargetMode="External"/><Relationship Id="rId54" Type="http://schemas.openxmlformats.org/officeDocument/2006/relationships/hyperlink" Target="https://docs.google.com/document/d/14xL-FgR87Xdn5S8WoYx0_em_jRQvOEXqyE9kNUhAwZs/edit?usp=drivesdk" TargetMode="External"/><Relationship Id="rId217" Type="http://schemas.openxmlformats.org/officeDocument/2006/relationships/hyperlink" Target="https://docs.google.com/document/d/14VlWjsETlFQ2d5qk_szZ5WONt_dxnNxiUZBzsMiNW10/edit?usp=drivesdk" TargetMode="External"/><Relationship Id="rId564" Type="http://schemas.openxmlformats.org/officeDocument/2006/relationships/hyperlink" Target="https://docs.google.com/document/d/1SVywOAuNEjqW8IQh0YKIPSY2_88qhUGL-fE5jS68AJk/edit?usp=drivesdk" TargetMode="External"/><Relationship Id="rId771" Type="http://schemas.openxmlformats.org/officeDocument/2006/relationships/hyperlink" Target="https://docs.google.com/document/d/15VosDugBOaY_gE3qaPfgPdAEnqLsiqfJ617p7N2tERg/edit?usp=drivesdk" TargetMode="External"/><Relationship Id="rId869" Type="http://schemas.openxmlformats.org/officeDocument/2006/relationships/hyperlink" Target="https://docs.google.com/document/d/1c5l2a0XgVZ--ILn7XvMxMcxwqhqZn1aY2gglUKT1ozc/edit?usp=drivesdk" TargetMode="External"/><Relationship Id="rId424" Type="http://schemas.openxmlformats.org/officeDocument/2006/relationships/hyperlink" Target="https://docs.google.com/document/d/1pWK2QB9i5Z5g8copLcUu0qRLufMVCIWz1GjpKGk2rrc/edit?usp=drivesdk" TargetMode="External"/><Relationship Id="rId631" Type="http://schemas.openxmlformats.org/officeDocument/2006/relationships/hyperlink" Target="https://docs.google.com/document/d/1YFxxQk4D0EGT_2gH6-8FYC6Fn9CtgINpzLrbTsWW8DY/edit?usp=drivesdk" TargetMode="External"/><Relationship Id="rId729" Type="http://schemas.openxmlformats.org/officeDocument/2006/relationships/hyperlink" Target="https://docs.google.com/document/d/1Q76UcqM9qfnwA9mSlJwbdBACQ1POgKEurABOj0ZIcko/edit?usp=drivesdk" TargetMode="External"/><Relationship Id="rId1054" Type="http://schemas.openxmlformats.org/officeDocument/2006/relationships/hyperlink" Target="https://docs.google.com/document/d/1IwGgxLrifvzHjaKioIE0J_NjVwLNomRVXz7qS-AUL6U/edit?usp=drivesdk" TargetMode="External"/><Relationship Id="rId270" Type="http://schemas.openxmlformats.org/officeDocument/2006/relationships/hyperlink" Target="https://docs.google.com/document/d/1LBsjMCrOKskybnaVJZ8DrnF0haojvF7rUr38aeeaaBQ/edit?usp=drivesdk" TargetMode="External"/><Relationship Id="rId936" Type="http://schemas.openxmlformats.org/officeDocument/2006/relationships/hyperlink" Target="https://docs.google.com/document/d/1lkoSIuZV_dmplgtLpfr-4J0RP6kvS6QHaoT8faNnYmg/edit?usp=drivesdk" TargetMode="External"/><Relationship Id="rId65" Type="http://schemas.openxmlformats.org/officeDocument/2006/relationships/hyperlink" Target="https://docs.google.com/document/d/1FpILXcPLEtzulcfVT6SGTL70ibQT75O0hb2ZfXmGgmI/edit?usp=drivesdk" TargetMode="External"/><Relationship Id="rId130" Type="http://schemas.openxmlformats.org/officeDocument/2006/relationships/hyperlink" Target="https://docs.google.com/document/d/1vSRqTWP7CmpWxXBMw2pni-Z1VXWQUibiRPAhtbpU00M/edit?usp=drivesdk" TargetMode="External"/><Relationship Id="rId368" Type="http://schemas.openxmlformats.org/officeDocument/2006/relationships/hyperlink" Target="https://docs.google.com/document/d/1_OnavftpgaDV9tNWiIoIvKJWpdcg19g3rscONyVRkDo/edit?usp=drivesdk" TargetMode="External"/><Relationship Id="rId575" Type="http://schemas.openxmlformats.org/officeDocument/2006/relationships/hyperlink" Target="https://docs.google.com/document/d/1EDMY_R8pHhhWthteTstMllE6C8RZfpEAqzU6qVACBhk/edit?usp=drivesdk" TargetMode="External"/><Relationship Id="rId782" Type="http://schemas.openxmlformats.org/officeDocument/2006/relationships/hyperlink" Target="https://docs.google.com/document/d/1A6UsL82cJOKWCJE46iK9sdQ9aNsWxyCC2lU0JlUdrZU/edit?usp=drivesdk" TargetMode="External"/><Relationship Id="rId228" Type="http://schemas.openxmlformats.org/officeDocument/2006/relationships/hyperlink" Target="https://docs.google.com/document/d/1Wg9Zp0UHwlUm4go4IGLILI0V5u0WvC2wzcoeNBDzINg/edit?usp=drivesdk" TargetMode="External"/><Relationship Id="rId435" Type="http://schemas.openxmlformats.org/officeDocument/2006/relationships/hyperlink" Target="https://docs.google.com/document/d/1TfKfUlB6Fa99T2erVf-h8lic_B7WvdB6pl8P347q30k/edit?usp=drivesdk" TargetMode="External"/><Relationship Id="rId642" Type="http://schemas.openxmlformats.org/officeDocument/2006/relationships/hyperlink" Target="https://docs.google.com/document/d/1OBpBycc2MsHQzx0oGoIdhCX8jbPw7eMcLWlrrKwiONA/edit?usp=drivesdk" TargetMode="External"/><Relationship Id="rId1065" Type="http://schemas.openxmlformats.org/officeDocument/2006/relationships/hyperlink" Target="https://docs.google.com/document/d/1rTcx6yolbBb77iUMTocqjjPLW5y22ped614Z2XBc3UA/edit?usp=drivesdk" TargetMode="External"/><Relationship Id="rId281" Type="http://schemas.openxmlformats.org/officeDocument/2006/relationships/hyperlink" Target="https://docs.google.com/document/d/1TGJKwqK7tl-baAbH_IHsAK1BxN4w_NGJpCrIFFEFTWI/edit?usp=drivesdk" TargetMode="External"/><Relationship Id="rId502" Type="http://schemas.openxmlformats.org/officeDocument/2006/relationships/hyperlink" Target="https://docs.google.com/document/d/1wBMLTcTzN9Zqq0u-IaOJHhOFQmOphW-iC0VzVbo5WnI/edit?usp=drivesdk" TargetMode="External"/><Relationship Id="rId947" Type="http://schemas.openxmlformats.org/officeDocument/2006/relationships/hyperlink" Target="https://docs.google.com/document/d/1p5FtK8KxKaxod6zChNYGOCvzh9inhuw8jdJWqptdlk4/edit?usp=drivesdk" TargetMode="External"/><Relationship Id="rId76" Type="http://schemas.openxmlformats.org/officeDocument/2006/relationships/hyperlink" Target="https://docs.google.com/document/d/1wU-ztvrplHNJ3Wq6k-7vP1L8aMRqh_hvA2p-U5wWUF0/edit?usp=drivesdk" TargetMode="External"/><Relationship Id="rId141" Type="http://schemas.openxmlformats.org/officeDocument/2006/relationships/hyperlink" Target="https://docs.google.com/document/d/1JqTnJCbGjhbLNmpNm8MVKYBsWfwqFc2Spby_NHY6YBU/edit?usp=drivesdk" TargetMode="External"/><Relationship Id="rId379" Type="http://schemas.openxmlformats.org/officeDocument/2006/relationships/hyperlink" Target="https://docs.google.com/document/d/1lEUCZ8jzWthvDEXI6Yb01Db7gioIfBmZbkRci61BKvw/edit?usp=drivesdk" TargetMode="External"/><Relationship Id="rId586" Type="http://schemas.openxmlformats.org/officeDocument/2006/relationships/hyperlink" Target="https://docs.google.com/document/d/1D5NuM5QHMUNjLHTG_vM5TPItsGAlpEoiW1qb3GRSDpo/edit?usp=drivesdk" TargetMode="External"/><Relationship Id="rId793" Type="http://schemas.openxmlformats.org/officeDocument/2006/relationships/hyperlink" Target="https://docs.google.com/document/d/1dngjzQFAGN9M6CEHd97YOu766K7AQUFvDLSw76UNwNI/edit?usp=drivesdk" TargetMode="External"/><Relationship Id="rId807" Type="http://schemas.openxmlformats.org/officeDocument/2006/relationships/hyperlink" Target="https://docs.google.com/document/d/1O_wRyLBt3SRLq_j7tez8Etth4XCuqP1tVnu-RHJcJiU/edit?usp=drivesdk" TargetMode="External"/><Relationship Id="rId7" Type="http://schemas.openxmlformats.org/officeDocument/2006/relationships/hyperlink" Target="https://drive.google.com/a/gtmnerr.org/file/d/1jgjcWdO9z2WyqZPvktwTx42rtdLSC_0a/view?usp=drivesdk" TargetMode="External"/><Relationship Id="rId239" Type="http://schemas.openxmlformats.org/officeDocument/2006/relationships/hyperlink" Target="https://docs.google.com/document/d/1jnJsXS29HDOhrHeQq8n7gliU6CgrEEMc5ofm0gMZrKk/edit?usp=drivesdk" TargetMode="External"/><Relationship Id="rId446" Type="http://schemas.openxmlformats.org/officeDocument/2006/relationships/hyperlink" Target="https://docs.google.com/document/d/1Bpf7ojuRWo8Q2ilNRXfOzVHky-n3dnqdoLkTMDrGvlI/edit?usp=drivesdk" TargetMode="External"/><Relationship Id="rId653" Type="http://schemas.openxmlformats.org/officeDocument/2006/relationships/hyperlink" Target="https://docs.google.com/document/d/1i68mLHJDHXNCzhURt3YtetfOjf4I85zzPmJ7Z6D1lkM/edit?usp=drivesdk" TargetMode="External"/><Relationship Id="rId292" Type="http://schemas.openxmlformats.org/officeDocument/2006/relationships/hyperlink" Target="https://docs.google.com/document/d/164X_Qm-57KZWpDwSlzujouQd4VaB5hOiv035HofNRW4/edit?usp=drivesdk" TargetMode="External"/><Relationship Id="rId306" Type="http://schemas.openxmlformats.org/officeDocument/2006/relationships/hyperlink" Target="https://docs.google.com/document/d/1aBGvsEHCirIyyRknTERtRhpAFTNHS0JnXUlFaT1v4cE/edit?usp=drivesdk" TargetMode="External"/><Relationship Id="rId860" Type="http://schemas.openxmlformats.org/officeDocument/2006/relationships/hyperlink" Target="https://docs.google.com/document/d/17OnkznXDLUMXxnnB3QUe_MfYmMD4l6DKthEVWAJW0C8/edit?usp=drivesdk" TargetMode="External"/><Relationship Id="rId958" Type="http://schemas.openxmlformats.org/officeDocument/2006/relationships/hyperlink" Target="https://docs.google.com/document/d/1Z6QVM8vtKSkTQJzR8PF5WQqpEjwUAN4ctuqgyAiusUs/edit?usp=drivesdk" TargetMode="External"/><Relationship Id="rId87" Type="http://schemas.openxmlformats.org/officeDocument/2006/relationships/hyperlink" Target="https://docs.google.com/document/d/1g6-SDWzTDxEaT_6esAFl7Ag0FmdmW2RSeVn4yz_-SWI/edit?usp=drivesdk" TargetMode="External"/><Relationship Id="rId513" Type="http://schemas.openxmlformats.org/officeDocument/2006/relationships/hyperlink" Target="https://docs.google.com/document/d/141L8UhKJis0YSYB7-3YSCuAa6cFHq5iBXy0kgXy5xOI/edit?usp=drivesdk" TargetMode="External"/><Relationship Id="rId597" Type="http://schemas.openxmlformats.org/officeDocument/2006/relationships/hyperlink" Target="https://docs.google.com/document/d/1I7LEisB-1pASg12QSSjk380h25k2tlfImd_bJKaRSGs/edit?usp=drivesdk" TargetMode="External"/><Relationship Id="rId720" Type="http://schemas.openxmlformats.org/officeDocument/2006/relationships/hyperlink" Target="https://docs.google.com/document/d/1FtnlCJR-dcqXp33guQOumnYb_LXsWDtfI0AVPL8kZUA/edit?usp=drivesdk" TargetMode="External"/><Relationship Id="rId818" Type="http://schemas.openxmlformats.org/officeDocument/2006/relationships/hyperlink" Target="https://docs.google.com/document/d/1vXoxdA_o7QVyHwHaFUPDp0iNj1ISRm7FK5_dkcRkZ3M/edit?usp=drivesdk" TargetMode="External"/><Relationship Id="rId152" Type="http://schemas.openxmlformats.org/officeDocument/2006/relationships/hyperlink" Target="https://docs.google.com/document/d/1vhbaWsznObDXbxBjYZJm-c5mH0w0JZvCBOp-BzfpDKI/edit?usp=drivesdk" TargetMode="External"/><Relationship Id="rId457" Type="http://schemas.openxmlformats.org/officeDocument/2006/relationships/hyperlink" Target="https://docs.google.com/document/d/1rxH0rJ98dJK4X5bbJaoAGGflljfPw1gwfQL6B2O0ksM/edit?usp=drivesdk" TargetMode="External"/><Relationship Id="rId1003" Type="http://schemas.openxmlformats.org/officeDocument/2006/relationships/hyperlink" Target="https://docs.google.com/document/d/18AGevNj9cRT7yTQrcorCYy_POfI6GLB178Ewi8xpVV0/edit?usp=drivesdk" TargetMode="External"/><Relationship Id="rId664" Type="http://schemas.openxmlformats.org/officeDocument/2006/relationships/hyperlink" Target="https://docs.google.com/document/d/12fJKM8lnurmQLuj1oOk8vdzxrAlW_bVorBDrEpoRF6M/edit?usp=drivesdk" TargetMode="External"/><Relationship Id="rId871" Type="http://schemas.openxmlformats.org/officeDocument/2006/relationships/hyperlink" Target="https://docs.google.com/document/d/1ddMm0YunFs98NR-uXVxun77aRNAx051kf51ww3HRVSY/edit?usp=drivesdk" TargetMode="External"/><Relationship Id="rId969" Type="http://schemas.openxmlformats.org/officeDocument/2006/relationships/hyperlink" Target="https://docs.google.com/document/d/1PiGRf87FQYbon8Bd8tRK_MWvePIvMnMe_l7cS9sIJiQ/edit?usp=drivesdk" TargetMode="External"/><Relationship Id="rId14" Type="http://schemas.openxmlformats.org/officeDocument/2006/relationships/hyperlink" Target="https://drive.google.com/a/gtmnerr.org/file/d/1dZ2zFneiLNJ-LVQ0meYVs4oB71EuzBH6/view?usp=drivesdk" TargetMode="External"/><Relationship Id="rId317" Type="http://schemas.openxmlformats.org/officeDocument/2006/relationships/hyperlink" Target="https://docs.google.com/document/d/1Id6Jld1KzxQlELFCsAZGsrQF5n3rtGtVgl9NJOHfP_4/edit?usp=drivesdk" TargetMode="External"/><Relationship Id="rId524" Type="http://schemas.openxmlformats.org/officeDocument/2006/relationships/hyperlink" Target="https://docs.google.com/document/d/1PZFxSVDVF3SJp95FztnTIEm9_SQlJX4zUpmcX1M4rdQ/edit?usp=drivesdk" TargetMode="External"/><Relationship Id="rId731" Type="http://schemas.openxmlformats.org/officeDocument/2006/relationships/hyperlink" Target="https://docs.google.com/document/d/1DGsE9sKpGcIqF3RGe_eiQKQoVAUEMVVpb3MBbMO1UoE/edit?usp=drivesdk" TargetMode="External"/><Relationship Id="rId98" Type="http://schemas.openxmlformats.org/officeDocument/2006/relationships/hyperlink" Target="https://docs.google.com/document/d/1ewslJEYMYiLWpQVfKwKUIdB5aER5uzJ2SHLwyC5bnho/edit?usp=drivesdk" TargetMode="External"/><Relationship Id="rId163" Type="http://schemas.openxmlformats.org/officeDocument/2006/relationships/hyperlink" Target="https://docs.google.com/document/d/1Gx8Cm5JStNGnczb9BENMG9AfAMxlxOh8pLjeAEIKSJ8/edit?usp=drivesdk" TargetMode="External"/><Relationship Id="rId370" Type="http://schemas.openxmlformats.org/officeDocument/2006/relationships/hyperlink" Target="https://docs.google.com/document/d/13H-CpRkpjg-LceS1ZdSkL48440YBkAfc0YrhA4v9dnk/edit?usp=drivesdk" TargetMode="External"/><Relationship Id="rId829" Type="http://schemas.openxmlformats.org/officeDocument/2006/relationships/hyperlink" Target="https://docs.google.com/document/d/1Us5SM74ZfCTp_b1_lPZ911P1ub1UDdsnb8zLUk6601w/edit?usp=drivesdk" TargetMode="External"/><Relationship Id="rId1014" Type="http://schemas.openxmlformats.org/officeDocument/2006/relationships/hyperlink" Target="https://docs.google.com/document/d/1Kk3ymuYVNJBuIyMddyvoJsGdefyxqt1knvKkRnrWjlo/edit?usp=drivesdk" TargetMode="External"/><Relationship Id="rId230" Type="http://schemas.openxmlformats.org/officeDocument/2006/relationships/hyperlink" Target="https://docs.google.com/document/d/1MF4XTFcMuFaeeAGZvcZGTrRDTufu4yqULGm4wOzvNHk/edit?usp=drivesdk" TargetMode="External"/><Relationship Id="rId468" Type="http://schemas.openxmlformats.org/officeDocument/2006/relationships/hyperlink" Target="https://docs.google.com/document/d/1eWQd0y-2Ifc1Jo3GIVsL30Yze6kP_BNpjmRFsdCugbA/edit?usp=drivesdk" TargetMode="External"/><Relationship Id="rId675" Type="http://schemas.openxmlformats.org/officeDocument/2006/relationships/hyperlink" Target="https://docs.google.com/document/d/1Er-7G1hF-ryAb4u0yaNJXpwrtmmFUiji8neCakCNuN4/edit?usp=drivesdk" TargetMode="External"/><Relationship Id="rId882" Type="http://schemas.openxmlformats.org/officeDocument/2006/relationships/hyperlink" Target="https://docs.google.com/document/d/1RcuUkP0NsBcMMvdGlArCHR1WyCuQXK09SBwD4afbuXs/edit?usp=drivesdk" TargetMode="External"/><Relationship Id="rId25" Type="http://schemas.openxmlformats.org/officeDocument/2006/relationships/hyperlink" Target="https://docs.google.com/document/d/1eL5Q6SNkiPmg7jIbli2gKBq4HNhYtjpYK0Xasr2D1E4/edit?usp=drivesdk" TargetMode="External"/><Relationship Id="rId328" Type="http://schemas.openxmlformats.org/officeDocument/2006/relationships/hyperlink" Target="https://docs.google.com/document/d/1PSs6PJxfHNvQL0Gdx2FpaTy-9EKgmxmmCEUvK9qcJiU/edit?usp=drivesdk" TargetMode="External"/><Relationship Id="rId535" Type="http://schemas.openxmlformats.org/officeDocument/2006/relationships/hyperlink" Target="https://docs.google.com/document/d/1WXrznsaWYDGy2S6di5MDaVe9Y7EbAm73XW54OhLyVuk/edit?usp=drivesdk" TargetMode="External"/><Relationship Id="rId742" Type="http://schemas.openxmlformats.org/officeDocument/2006/relationships/hyperlink" Target="https://docs.google.com/document/d/1oG6Qu8QUno-GmbhOJ0qMrX5WOjz7n7AtrDct3Zpb1aM/edit?usp=drivesdk" TargetMode="External"/><Relationship Id="rId174" Type="http://schemas.openxmlformats.org/officeDocument/2006/relationships/hyperlink" Target="https://docs.google.com/document/d/1UytU1qoyfwDOxvXCNFzuyxYJSlOMrr0F6BOQspPMTz0/edit?usp=drivesdk" TargetMode="External"/><Relationship Id="rId381" Type="http://schemas.openxmlformats.org/officeDocument/2006/relationships/hyperlink" Target="https://docs.google.com/document/d/15j64OI3l-9JOaYM-CSUcSma3Xa3KxC0IETHE3a7jyMY/edit?usp=drivesdk" TargetMode="External"/><Relationship Id="rId602" Type="http://schemas.openxmlformats.org/officeDocument/2006/relationships/hyperlink" Target="https://docs.google.com/document/d/1fp3M7lZP4AKNZunJEtxpBIXW6vynbXglsC04sK0zXY0/edit?usp=drivesdk" TargetMode="External"/><Relationship Id="rId1025" Type="http://schemas.openxmlformats.org/officeDocument/2006/relationships/hyperlink" Target="https://docs.google.com/document/d/1JU2DuA0boNg20jvcm5okP14So82BfQV8N7ddX_4I-58/edit?usp=drivesdk" TargetMode="External"/><Relationship Id="rId241" Type="http://schemas.openxmlformats.org/officeDocument/2006/relationships/hyperlink" Target="https://docs.google.com/document/d/1L1BhSBkasbBc33FaIlGEUy1QJoKlaM_Jtc_EQeyB6rE/edit?usp=drivesdk" TargetMode="External"/><Relationship Id="rId479" Type="http://schemas.openxmlformats.org/officeDocument/2006/relationships/hyperlink" Target="https://docs.google.com/document/d/1sdZXFy4O1v4OgayNenBQ6cwwXuCx4MWi_3l287LgZlE/edit?usp=drivesdk" TargetMode="External"/><Relationship Id="rId686" Type="http://schemas.openxmlformats.org/officeDocument/2006/relationships/hyperlink" Target="https://docs.google.com/document/d/14qxRtX90qROZgdn9mffzFzSUVHCE0oQ1SjDA8Zla6RY/edit?usp=drivesdk" TargetMode="External"/><Relationship Id="rId893" Type="http://schemas.openxmlformats.org/officeDocument/2006/relationships/hyperlink" Target="https://docs.google.com/document/d/1QYQAVJT4KOuQvEcNN6-hDWwYUik4vwwicY7MNRA5wLA/edit?usp=drivesdk" TargetMode="External"/><Relationship Id="rId907" Type="http://schemas.openxmlformats.org/officeDocument/2006/relationships/hyperlink" Target="https://docs.google.com/document/d/1eb6p4GErWM1l2xYYqQGBI_ISnbaZcZ-YgurGUp4SJuQ/edit?usp=drivesdk" TargetMode="External"/><Relationship Id="rId36" Type="http://schemas.openxmlformats.org/officeDocument/2006/relationships/hyperlink" Target="https://docs.google.com/document/d/1As9djMbo-ypJ-TIGH9yy3dPkMxR0WI1KMjZ3T-YgY3o/edit?usp=drivesdk" TargetMode="External"/><Relationship Id="rId339" Type="http://schemas.openxmlformats.org/officeDocument/2006/relationships/hyperlink" Target="https://docs.google.com/document/d/113DLTrCCyaw_Y3on57xBfNQ45zZm907eJeve6z6J0rk/edit?usp=drivesdk" TargetMode="External"/><Relationship Id="rId546" Type="http://schemas.openxmlformats.org/officeDocument/2006/relationships/hyperlink" Target="https://docs.google.com/document/d/1KJQZc7MWi31FUMQ6MoPimX10w3FqrKaw_GGEZsAsJxU/edit?usp=drivesdk" TargetMode="External"/><Relationship Id="rId753" Type="http://schemas.openxmlformats.org/officeDocument/2006/relationships/hyperlink" Target="https://docs.google.com/document/d/1KEDpKM7jERTN6qm9zrltD1JjotcaIF7all5R8heaMDI/edit?usp=drivesdk" TargetMode="External"/><Relationship Id="rId101" Type="http://schemas.openxmlformats.org/officeDocument/2006/relationships/hyperlink" Target="https://docs.google.com/document/d/1ERbNqlmZ7cO96gpNW3hInnDf7lFEo276aaUSKUXyTaw/edit?usp=drivesdk" TargetMode="External"/><Relationship Id="rId185" Type="http://schemas.openxmlformats.org/officeDocument/2006/relationships/hyperlink" Target="https://docs.google.com/document/d/1YjoS9sKmNES22k8xi23oxX83WayzKLWesHbnmpWte98/edit?usp=drivesdk" TargetMode="External"/><Relationship Id="rId406" Type="http://schemas.openxmlformats.org/officeDocument/2006/relationships/hyperlink" Target="https://docs.google.com/document/d/1IKbSBBabOKlmi4SgTvDk2__OUMhoNNZui34H6pmKKbs/edit?usp=drivesdk" TargetMode="External"/><Relationship Id="rId960" Type="http://schemas.openxmlformats.org/officeDocument/2006/relationships/hyperlink" Target="https://docs.google.com/document/d/1RTTtQz2gqUtuhmdkGowFobwsRkv-WkPBPg_El8aBW64/edit?usp=drivesdk" TargetMode="External"/><Relationship Id="rId1036" Type="http://schemas.openxmlformats.org/officeDocument/2006/relationships/hyperlink" Target="https://docs.google.com/document/d/1c7jl1i6jOp-cr6LF0vHSqtm0qYza8tZ1yJ9cDXGZLgk/edit?usp=drivesdk" TargetMode="External"/><Relationship Id="rId392" Type="http://schemas.openxmlformats.org/officeDocument/2006/relationships/hyperlink" Target="https://docs.google.com/document/d/1osvIdgKYUEM3b9J7rEXHR3TOqEWzRRqJwFNEr4ZGZwk/edit?usp=drivesdk" TargetMode="External"/><Relationship Id="rId613" Type="http://schemas.openxmlformats.org/officeDocument/2006/relationships/hyperlink" Target="https://docs.google.com/document/d/1X29Blr7Ms-Gv4TqA3MWy6JeS3NmGfdpiiIDbw-bzfYw/edit?usp=drivesdk" TargetMode="External"/><Relationship Id="rId697" Type="http://schemas.openxmlformats.org/officeDocument/2006/relationships/hyperlink" Target="https://docs.google.com/document/d/1gUTuPNJLWfGG8KRiVIhPQzwBNVHIKmvW_-DqcZOixuE/edit?usp=drivesdk" TargetMode="External"/><Relationship Id="rId820" Type="http://schemas.openxmlformats.org/officeDocument/2006/relationships/hyperlink" Target="https://docs.google.com/document/d/1EwB27hL2wGlZROx7vF086LK_KtfV7TJqSfokLIz-SOI/edit?usp=drivesdk" TargetMode="External"/><Relationship Id="rId918" Type="http://schemas.openxmlformats.org/officeDocument/2006/relationships/hyperlink" Target="https://docs.google.com/document/d/1bU2XcSyug0fbDiHb3XS-D1tFWdLMQo2QWl83PTxlB5c/edit?usp=drivesdk" TargetMode="External"/><Relationship Id="rId252" Type="http://schemas.openxmlformats.org/officeDocument/2006/relationships/hyperlink" Target="https://docs.google.com/document/d/1vdwGK0Z5I5-j4ULO9LCgVjXiYeUTqd_O3ikT0-SRIwA/edit?usp=drivesdk" TargetMode="External"/><Relationship Id="rId47" Type="http://schemas.openxmlformats.org/officeDocument/2006/relationships/hyperlink" Target="https://docs.google.com/document/d/1Meihg5Jrur5EeX5nc6SpgFu2CqSqHvOVRaDjMu8Kzjw/edit?usp=drivesdk" TargetMode="External"/><Relationship Id="rId112" Type="http://schemas.openxmlformats.org/officeDocument/2006/relationships/hyperlink" Target="https://docs.google.com/document/d/1Lmr6ukcytK5A4BRLAWOczZ0_erfF7eQyrndmyQl55_4/edit?usp=drivesdk" TargetMode="External"/><Relationship Id="rId557" Type="http://schemas.openxmlformats.org/officeDocument/2006/relationships/hyperlink" Target="https://docs.google.com/document/d/1y5WTWFqifjETBG_YAtuc4ulueWqT6rTkgabXyZiXOrE/edit?usp=drivesdk" TargetMode="External"/><Relationship Id="rId764" Type="http://schemas.openxmlformats.org/officeDocument/2006/relationships/hyperlink" Target="https://docs.google.com/document/d/1-Y4ugSHyGas-VF1T85v_-Q9BUatlLWkzLUwMJFi8gn0/edit?usp=drivesdk" TargetMode="External"/><Relationship Id="rId971" Type="http://schemas.openxmlformats.org/officeDocument/2006/relationships/hyperlink" Target="https://docs.google.com/document/d/17HeAl_OmbbP074viBGB_uMnW72l7CFMsy5cLF_aA5ak/edit?usp=drivesdk" TargetMode="External"/><Relationship Id="rId196" Type="http://schemas.openxmlformats.org/officeDocument/2006/relationships/hyperlink" Target="https://docs.google.com/document/d/1gVI_jfcOWjzZEQMF4gbfgFQynt0Z5DO6MONlYJj8nUU/edit?usp=drivesdk" TargetMode="External"/><Relationship Id="rId417" Type="http://schemas.openxmlformats.org/officeDocument/2006/relationships/hyperlink" Target="https://docs.google.com/document/d/1k0IdqPD1MwqAUXUbNoCmwSxEsgGIxR9bse9b6Hn5OQA/edit?usp=drivesdk" TargetMode="External"/><Relationship Id="rId624" Type="http://schemas.openxmlformats.org/officeDocument/2006/relationships/hyperlink" Target="https://docs.google.com/document/d/1ilfIZrvO62UzSBALOu1mbx74xPf85fISvVYwYPw9Nj0/edit?usp=drivesdk" TargetMode="External"/><Relationship Id="rId831" Type="http://schemas.openxmlformats.org/officeDocument/2006/relationships/hyperlink" Target="https://docs.google.com/document/d/1DpNdqjUoSc8jb_1iT8Yw2jSD44j_n86A9FuVlbtwlpg/edit?usp=drivesdk" TargetMode="External"/><Relationship Id="rId1047" Type="http://schemas.openxmlformats.org/officeDocument/2006/relationships/hyperlink" Target="https://docs.google.com/document/d/1MLhS4r5TsAwDGy4Mb8BwuKiu2lhOzl9GLOskX73igZw/edit?usp=drivesdk" TargetMode="External"/><Relationship Id="rId263" Type="http://schemas.openxmlformats.org/officeDocument/2006/relationships/hyperlink" Target="https://docs.google.com/document/d/1T405mthEps_AdPOWw3Iy-nbrUnZ7A60jSwUoncMXVKg/edit?usp=drivesdk" TargetMode="External"/><Relationship Id="rId470" Type="http://schemas.openxmlformats.org/officeDocument/2006/relationships/hyperlink" Target="https://docs.google.com/document/d/1RKPchjyB_hbgCE_J8a9xDp9Nf5vICKyLYAqyTEmWwYQ/edit?usp=drivesdk" TargetMode="External"/><Relationship Id="rId929" Type="http://schemas.openxmlformats.org/officeDocument/2006/relationships/hyperlink" Target="https://docs.google.com/document/d/1Zxcj8fhQc8sfCVErWC0EQJdZGdneVswjFZdwpi1J8CE/edit?usp=drivesdk" TargetMode="External"/><Relationship Id="rId58" Type="http://schemas.openxmlformats.org/officeDocument/2006/relationships/hyperlink" Target="https://docs.google.com/document/d/1YErNHz-z5auJhRmMWf7quuIOf99gflm67GG5yE4XHtw/edit?usp=drivesdk" TargetMode="External"/><Relationship Id="rId123" Type="http://schemas.openxmlformats.org/officeDocument/2006/relationships/hyperlink" Target="https://docs.google.com/document/d/18a8HUQtBa0oDSzts9fdeoJSPbEzLp3lUXgyOK0PBc3I/edit?usp=drivesdk" TargetMode="External"/><Relationship Id="rId330" Type="http://schemas.openxmlformats.org/officeDocument/2006/relationships/hyperlink" Target="https://docs.google.com/document/d/1KcgaayyBJ7F6uQm0nvdHRmo9_83OCOz8oj2qRca9CDM/edit?usp=drivesdk" TargetMode="External"/><Relationship Id="rId568" Type="http://schemas.openxmlformats.org/officeDocument/2006/relationships/hyperlink" Target="https://docs.google.com/document/d/1STug514pNmA1jmFzYNDK6Ks1zoH4pwoWkMHTJFin0z4/edit?usp=drivesdk" TargetMode="External"/><Relationship Id="rId775" Type="http://schemas.openxmlformats.org/officeDocument/2006/relationships/hyperlink" Target="https://docs.google.com/document/d/1Y1R4hRK6Ok5gNMkN373nRQDRGN1OaPHARmS7Z73vHog/edit?usp=drivesdk" TargetMode="External"/><Relationship Id="rId982" Type="http://schemas.openxmlformats.org/officeDocument/2006/relationships/hyperlink" Target="https://docs.google.com/document/d/1qDBxXi4V44KQg9u1_bxMhgzabaDCDmxd5t28AjsIH8U/edit?usp=drivesdk" TargetMode="External"/><Relationship Id="rId428" Type="http://schemas.openxmlformats.org/officeDocument/2006/relationships/hyperlink" Target="https://docs.google.com/document/d/15riDRQddFewoCtebM5b3K6E6ZRdQtOvmuVhW4mV5b2w/edit?usp=drivesdk" TargetMode="External"/><Relationship Id="rId635" Type="http://schemas.openxmlformats.org/officeDocument/2006/relationships/hyperlink" Target="https://docs.google.com/document/d/1-N7ObJnoiZ6WWTtQgIBBqcnMXL7_PPljaPW9vRpIXN8/edit?usp=drivesdk" TargetMode="External"/><Relationship Id="rId842" Type="http://schemas.openxmlformats.org/officeDocument/2006/relationships/hyperlink" Target="https://docs.google.com/document/d/1quNwO__hKDdeEdO67juE1sj2qUjzIKoAOJ-VU7zbC-M/edit?usp=drivesdk" TargetMode="External"/><Relationship Id="rId1058" Type="http://schemas.openxmlformats.org/officeDocument/2006/relationships/hyperlink" Target="https://docs.google.com/document/d/16_Mbe5eS9xl7CqPjCVOvnJxXWyF6u_JZ2u2x0X9r3N0/edit?usp=drivesdk" TargetMode="External"/><Relationship Id="rId274" Type="http://schemas.openxmlformats.org/officeDocument/2006/relationships/hyperlink" Target="https://docs.google.com/document/d/1hNWRIRHrwQ2y_KjvuP6GF3lI-qpLwHP1zU8ba6Th2A8/edit?usp=drivesdk" TargetMode="External"/><Relationship Id="rId481" Type="http://schemas.openxmlformats.org/officeDocument/2006/relationships/hyperlink" Target="https://docs.google.com/document/d/18sqgyQ0lpg1V9eMGG7WJ7vmIQ_dgCxVILr4C4__E4IU/edit?usp=drivesdk" TargetMode="External"/><Relationship Id="rId702" Type="http://schemas.openxmlformats.org/officeDocument/2006/relationships/hyperlink" Target="https://docs.google.com/document/d/1lpWTQnSuPPWuRXnATKHSFXGX63ZZh1vbq9Axkizmt1Q/edit?usp=drivesdk" TargetMode="External"/><Relationship Id="rId69" Type="http://schemas.openxmlformats.org/officeDocument/2006/relationships/hyperlink" Target="https://docs.google.com/document/d/1qsBp188AIvYYa7bWDNtbtdNGEWYhVYQXnzAKQ6cwFU4/edit?usp=drivesdk" TargetMode="External"/><Relationship Id="rId134" Type="http://schemas.openxmlformats.org/officeDocument/2006/relationships/hyperlink" Target="https://docs.google.com/document/d/1XgPHyLVaetsiT9yAxWjsIn05pUXXzoUT6oXrjFlL0YY/edit?usp=drivesdk" TargetMode="External"/><Relationship Id="rId579" Type="http://schemas.openxmlformats.org/officeDocument/2006/relationships/hyperlink" Target="https://docs.google.com/document/d/1IUrMPD6iBY5CZuIacNfiprrWSoMydBaNlySHM8X-Ljo/edit?usp=drivesdk" TargetMode="External"/><Relationship Id="rId786" Type="http://schemas.openxmlformats.org/officeDocument/2006/relationships/hyperlink" Target="https://docs.google.com/document/d/1l2ynKXr_GH26yoI4PYfalXvmB1heVGbHRO95BuJYTpE/edit?usp=drivesdk" TargetMode="External"/><Relationship Id="rId993" Type="http://schemas.openxmlformats.org/officeDocument/2006/relationships/hyperlink" Target="https://docs.google.com/document/d/1F6b_W3k9oJyxkfVnCi16z04bR1CJQ8cBdgFg-i3WOaA/edit?usp=drivesdk" TargetMode="External"/><Relationship Id="rId341" Type="http://schemas.openxmlformats.org/officeDocument/2006/relationships/hyperlink" Target="https://docs.google.com/document/d/1CvkBjFbxX2vq9UR6Nu2rTcNsfr1a8UDMyRu0D7wuXhg/edit?usp=drivesdk" TargetMode="External"/><Relationship Id="rId439" Type="http://schemas.openxmlformats.org/officeDocument/2006/relationships/hyperlink" Target="https://docs.google.com/document/d/1q2m23PjSyDH6cKMBxl2b-8RlAo5GVdJl2Ouenx5a5uo/edit?usp=drivesdk" TargetMode="External"/><Relationship Id="rId646" Type="http://schemas.openxmlformats.org/officeDocument/2006/relationships/hyperlink" Target="https://docs.google.com/document/d/1TaU5Q6Q7dqu44JV_8zNyJ2TrqrIGaPAwiQWNiqgtWx4/edit?usp=drivesdk" TargetMode="External"/><Relationship Id="rId1069" Type="http://schemas.openxmlformats.org/officeDocument/2006/relationships/hyperlink" Target="https://docs.google.com/document/d/1JuJNwJGjgEpEcweOM_3mdxFnXCYWLoxl2pFQS7pOHYU/edit?usp=drivesdk" TargetMode="External"/><Relationship Id="rId201" Type="http://schemas.openxmlformats.org/officeDocument/2006/relationships/hyperlink" Target="https://docs.google.com/document/d/1BlhUooj52_5Yvz462SxTIX6_-Pjdb3OHBRmrvl_Ls6A/edit?usp=drivesdk" TargetMode="External"/><Relationship Id="rId285" Type="http://schemas.openxmlformats.org/officeDocument/2006/relationships/hyperlink" Target="https://docs.google.com/document/d/1pj9crTN-CZHYzkL4JhT9dLlzLTPl3Fqv8RKEmTo6R1g/edit?usp=drivesdk" TargetMode="External"/><Relationship Id="rId506" Type="http://schemas.openxmlformats.org/officeDocument/2006/relationships/hyperlink" Target="https://docs.google.com/document/d/1m1C7qH-RvtISodVTzFnc0zCfaESvlpdUWqL7qXa2jAI/edit?usp=drivesdk" TargetMode="External"/><Relationship Id="rId853" Type="http://schemas.openxmlformats.org/officeDocument/2006/relationships/hyperlink" Target="https://docs.google.com/document/d/1Xr9941vqY4-hu2yih4FaE0O31yAdaI5UQbtKju1n2RY/edit?usp=drivesdk" TargetMode="External"/><Relationship Id="rId492" Type="http://schemas.openxmlformats.org/officeDocument/2006/relationships/hyperlink" Target="https://docs.google.com/document/d/1xSdsO7dggDnMOeFIiLazDilZ_Y5BHrvlys2M7MHoxh8/edit?usp=drivesdk" TargetMode="External"/><Relationship Id="rId713" Type="http://schemas.openxmlformats.org/officeDocument/2006/relationships/hyperlink" Target="https://docs.google.com/document/d/1klQ4-yiCTrPET2Mxe7PxAw-It7EUqiZ171bravvkVPo/edit?usp=drivesdk" TargetMode="External"/><Relationship Id="rId797" Type="http://schemas.openxmlformats.org/officeDocument/2006/relationships/hyperlink" Target="https://docs.google.com/document/d/1eugl43RB5c-ECilBD_-Gln1wkKuTbn0rcvYHLdmcvuk/edit?usp=drivesdk" TargetMode="External"/><Relationship Id="rId920" Type="http://schemas.openxmlformats.org/officeDocument/2006/relationships/hyperlink" Target="https://docs.google.com/document/d/1NFy1O2PqImq_wHVQBw2rb3OAm1vseC5iVNiIqJDlzhk/edit?usp=drivesdk" TargetMode="External"/><Relationship Id="rId145" Type="http://schemas.openxmlformats.org/officeDocument/2006/relationships/hyperlink" Target="https://docs.google.com/document/d/1jLef7WH1ZWvUDuCPO5cYBeyKUgeRQ04zAG93ZEtwINk/edit?usp=drivesdk" TargetMode="External"/><Relationship Id="rId352" Type="http://schemas.openxmlformats.org/officeDocument/2006/relationships/hyperlink" Target="https://docs.google.com/document/d/1DbejGbhJM7OWl5fFkV9jQyRGb9Sziytoa1OTAioADpQ/edit?usp=drivesdk" TargetMode="External"/><Relationship Id="rId212" Type="http://schemas.openxmlformats.org/officeDocument/2006/relationships/hyperlink" Target="https://docs.google.com/document/d/1ySdWIilTOg-yyMQjktbgZWwdRIY5MumEp3vG29GzdsE/edit?usp=drivesdk" TargetMode="External"/><Relationship Id="rId657" Type="http://schemas.openxmlformats.org/officeDocument/2006/relationships/hyperlink" Target="https://docs.google.com/document/d/13wQtzPBxDz9vVoPf8NMtxXTTHP3iJk71Maci3COefXs/edit?usp=drivesdk" TargetMode="External"/><Relationship Id="rId864" Type="http://schemas.openxmlformats.org/officeDocument/2006/relationships/hyperlink" Target="https://docs.google.com/document/d/1e5oCMKtb8s_eKsGwO-qj_scE5oPmZl_3nx7JkIGJlBw/edit?usp=drivesdk" TargetMode="External"/><Relationship Id="rId296" Type="http://schemas.openxmlformats.org/officeDocument/2006/relationships/hyperlink" Target="https://docs.google.com/document/d/1VJnXPJs-V6D3x8ovy_Zxak_KhMiACK6sxW9bc_Tpvk4/edit?usp=drivesdk" TargetMode="External"/><Relationship Id="rId517" Type="http://schemas.openxmlformats.org/officeDocument/2006/relationships/hyperlink" Target="https://docs.google.com/document/d/1fXNdiViRN6z3y0xshseURKXRj9NzGXSu-PJTr5mB4Bo/edit?usp=drivesdk" TargetMode="External"/><Relationship Id="rId724" Type="http://schemas.openxmlformats.org/officeDocument/2006/relationships/hyperlink" Target="https://docs.google.com/document/d/1eeywEG1kHHzHtpUpxAsNnZDIk10QFUg1DcRAdJ--DxQ/edit?usp=drivesdk" TargetMode="External"/><Relationship Id="rId931" Type="http://schemas.openxmlformats.org/officeDocument/2006/relationships/hyperlink" Target="https://docs.google.com/document/d/1KLmOnfvjPcc7G-cAB2ny7FL7N6gRg0YfdpOvh_vT-sQ/edit?usp=drivesdk" TargetMode="External"/><Relationship Id="rId60" Type="http://schemas.openxmlformats.org/officeDocument/2006/relationships/hyperlink" Target="https://docs.google.com/document/d/1KwWbRZ0rfVkD6cgG4sahSuTzc2waIBHIwhs9aelaYeM/edit?usp=drivesdk" TargetMode="External"/><Relationship Id="rId156" Type="http://schemas.openxmlformats.org/officeDocument/2006/relationships/hyperlink" Target="https://docs.google.com/document/d/1Piq9pUUSz179ys6kT1N1gc9p86TbMAxgV-Uv5HnwE5E/edit?usp=drivesdk" TargetMode="External"/><Relationship Id="rId363" Type="http://schemas.openxmlformats.org/officeDocument/2006/relationships/hyperlink" Target="https://docs.google.com/document/d/1JowoqJjlGGOkTTrpZAL3e8PWLUS-yZZHWCQCIh7zT0w/edit?usp=drivesdk" TargetMode="External"/><Relationship Id="rId570" Type="http://schemas.openxmlformats.org/officeDocument/2006/relationships/hyperlink" Target="https://docs.google.com/document/d/1_9TYzYNTexZWet25uDu5v-sa3zvx8p1b76jtzUnx3YU/edit?usp=drivesdk" TargetMode="External"/><Relationship Id="rId1007" Type="http://schemas.openxmlformats.org/officeDocument/2006/relationships/hyperlink" Target="https://docs.google.com/document/d/1T7BSaPkOG9Yr-TUty7cKfy0mrTo0kEQuEUKJhw6hMKg/edit?usp=drivesdk" TargetMode="External"/><Relationship Id="rId223" Type="http://schemas.openxmlformats.org/officeDocument/2006/relationships/hyperlink" Target="https://docs.google.com/document/d/1vjgkI4Lfj1nbvK_7qvSxeRdAub1lhBKrshH59fnzSM4/edit?usp=drivesdk" TargetMode="External"/><Relationship Id="rId430" Type="http://schemas.openxmlformats.org/officeDocument/2006/relationships/hyperlink" Target="https://docs.google.com/document/d/1bOaRA6MwXwyJSUPqm-CvsNbw2NERAY_Pxr7kt3N14PE/edit?usp=drivesdk" TargetMode="External"/><Relationship Id="rId668" Type="http://schemas.openxmlformats.org/officeDocument/2006/relationships/hyperlink" Target="https://docs.google.com/document/d/1dBz4Scn8VY86c8Wql_fPiGbg4CHmPEk4l1foY2JKT80/edit?usp=drivesdk" TargetMode="External"/><Relationship Id="rId875" Type="http://schemas.openxmlformats.org/officeDocument/2006/relationships/hyperlink" Target="https://docs.google.com/document/d/19grliXh_OuV8dEWqZQLuLaRqwBIh0UqYKeZmd1GdmqA/edit?usp=drivesdk" TargetMode="External"/><Relationship Id="rId1060" Type="http://schemas.openxmlformats.org/officeDocument/2006/relationships/hyperlink" Target="https://docs.google.com/document/d/1emhsG7UfBMg_V4bMch6q0H-5dxehg0y-Q7H9bD9ym7k/edit?usp=drivesdk" TargetMode="External"/><Relationship Id="rId18" Type="http://schemas.openxmlformats.org/officeDocument/2006/relationships/hyperlink" Target="https://docs.google.com/document/d/1yuciw9UAQC0hXjE6C7ODRboAy7GXEhKwmAu3V1IstVw/edit?usp=drivesdk" TargetMode="External"/><Relationship Id="rId528" Type="http://schemas.openxmlformats.org/officeDocument/2006/relationships/hyperlink" Target="https://docs.google.com/document/d/1bpBNnEjekTILLoQsrtLwsvTXP7RiNHlmSJT6fKv6jds/edit?usp=drivesdk" TargetMode="External"/><Relationship Id="rId735" Type="http://schemas.openxmlformats.org/officeDocument/2006/relationships/hyperlink" Target="https://docs.google.com/document/d/1ecwbnsWAX6CekcH9clEM0J6-od8irCEc2qGuRpZgD1s/edit?usp=drivesdk" TargetMode="External"/><Relationship Id="rId942" Type="http://schemas.openxmlformats.org/officeDocument/2006/relationships/hyperlink" Target="https://docs.google.com/document/d/1-COIe64KcBgQpzgwIEMpHdKS_zv38ySIKRk2kkuH8-8/edit?usp=drivesdk" TargetMode="External"/><Relationship Id="rId167" Type="http://schemas.openxmlformats.org/officeDocument/2006/relationships/hyperlink" Target="https://docs.google.com/document/d/19Pl4hL-nT5KCVnZ4JEMGc1icTwYZpi4m7pzITqh2Uto/edit?usp=drivesdk" TargetMode="External"/><Relationship Id="rId374" Type="http://schemas.openxmlformats.org/officeDocument/2006/relationships/hyperlink" Target="https://docs.google.com/document/d/1Y7vwOzLhn0eXI5u7d9d732R4pzu7_c-q0K5-TwlcbW0/edit?usp=drivesdk" TargetMode="External"/><Relationship Id="rId581" Type="http://schemas.openxmlformats.org/officeDocument/2006/relationships/hyperlink" Target="https://docs.google.com/document/d/1IpCUNTz-nrXo0XbxdOBvyZNhJC-jeDY3gBX6TvO3BIs/edit?usp=drivesdk" TargetMode="External"/><Relationship Id="rId1018" Type="http://schemas.openxmlformats.org/officeDocument/2006/relationships/hyperlink" Target="https://docs.google.com/document/d/1OE7uQZrVQWncW-Begl_SiBQOi9x4Mh2tArzBSAB8lA8/edit?usp=drivesdk" TargetMode="External"/><Relationship Id="rId71" Type="http://schemas.openxmlformats.org/officeDocument/2006/relationships/hyperlink" Target="https://docs.google.com/document/d/1fdR1XrqTv5cgCvbuRnVbbi9FDd6k8Mk-S0hm8LSStSE/edit?usp=drivesdk" TargetMode="External"/><Relationship Id="rId234" Type="http://schemas.openxmlformats.org/officeDocument/2006/relationships/hyperlink" Target="https://docs.google.com/document/d/1THJY9npUUObsa_EIxEJih_JhyMtxohl0xQnwoTdyRVE/edit?usp=drivesdk" TargetMode="External"/><Relationship Id="rId679" Type="http://schemas.openxmlformats.org/officeDocument/2006/relationships/hyperlink" Target="https://docs.google.com/document/d/1U2zr6yNIxrnxjOGZZeBvisj7kkOCD3qMatYYN0LeKEE/edit?usp=drivesdk" TargetMode="External"/><Relationship Id="rId802" Type="http://schemas.openxmlformats.org/officeDocument/2006/relationships/hyperlink" Target="https://docs.google.com/document/d/1tw4mYUCCNzMhsRmvOhwgoJdo6uJQvZN9aYZYNNLzfiU/edit?usp=drivesdk" TargetMode="External"/><Relationship Id="rId886" Type="http://schemas.openxmlformats.org/officeDocument/2006/relationships/hyperlink" Target="https://docs.google.com/document/d/1jV8YgLr710ocIc2qmjU5A9XZ6bZX8zA9b3sIbT-Peng/edit?usp=drivesdk" TargetMode="External"/><Relationship Id="rId2" Type="http://schemas.openxmlformats.org/officeDocument/2006/relationships/hyperlink" Target="https://drive.google.com/a/gtmnerr.org/file/d/1PoGr328HmybT9p6Khc3j48PbR5wcYaea/view?usp=drivesdk" TargetMode="External"/><Relationship Id="rId29" Type="http://schemas.openxmlformats.org/officeDocument/2006/relationships/hyperlink" Target="https://docs.google.com/document/d/1v2wrRH98Mb6W56K8yPZheM1Zp9pKLMkjPI3HLleM2-E/edit?usp=drivesdk" TargetMode="External"/><Relationship Id="rId276" Type="http://schemas.openxmlformats.org/officeDocument/2006/relationships/hyperlink" Target="https://docs.google.com/document/d/1nwRxq9QzMWOE6F4rVgHmRuocKZ9SkDOahsobebfl3uQ/edit?usp=drivesdk" TargetMode="External"/><Relationship Id="rId441" Type="http://schemas.openxmlformats.org/officeDocument/2006/relationships/hyperlink" Target="https://docs.google.com/document/d/1ePCO4KHagTKnQfElL5MNB80sbs6Ckddhbe23E2ORdR4/edit?usp=drivesdk" TargetMode="External"/><Relationship Id="rId483" Type="http://schemas.openxmlformats.org/officeDocument/2006/relationships/hyperlink" Target="https://docs.google.com/document/d/1hfXJFXH3E1tUX8F2g62JVGeOxbDa7Lp7WOe8Xek4Lnc/edit?usp=drivesdk" TargetMode="External"/><Relationship Id="rId539" Type="http://schemas.openxmlformats.org/officeDocument/2006/relationships/hyperlink" Target="https://docs.google.com/document/d/1ID7fg6s-G87iRU8MQEMC-vVBeHs2jN30ywiO1N8Mwc4/edit?usp=drivesdk" TargetMode="External"/><Relationship Id="rId690" Type="http://schemas.openxmlformats.org/officeDocument/2006/relationships/hyperlink" Target="https://docs.google.com/document/d/1gdEKyRvN6Tl_2v3ZPv8SFW3aZ4u5rDmZgvhC1Aqziww/edit?usp=drivesdk" TargetMode="External"/><Relationship Id="rId704" Type="http://schemas.openxmlformats.org/officeDocument/2006/relationships/hyperlink" Target="https://docs.google.com/document/d/1XAjQ9zS2hbiYnZTHVAh8NaxtV1PkuihA2fKF5mbgqzE/edit?usp=drivesdk" TargetMode="External"/><Relationship Id="rId746" Type="http://schemas.openxmlformats.org/officeDocument/2006/relationships/hyperlink" Target="https://docs.google.com/document/d/1ONE8vCGbwNTEDasZ52WnlVLgbpHsZlmV5ISH2qcVA0s/edit?usp=drivesdk" TargetMode="External"/><Relationship Id="rId911" Type="http://schemas.openxmlformats.org/officeDocument/2006/relationships/hyperlink" Target="https://docs.google.com/document/d/1Xt4ayVP5CNQkjnlzBXxHfJkQ51ViteXE7KsPkGnXMiI/edit?usp=drivesdk" TargetMode="External"/><Relationship Id="rId1071" Type="http://schemas.openxmlformats.org/officeDocument/2006/relationships/hyperlink" Target="https://docs.google.com/document/d/12mbuxoE215GsGc9kiDtuYIRbCVnwUFeD-zM0UQuhU-o/edit?usp=drivesdk" TargetMode="External"/><Relationship Id="rId40" Type="http://schemas.openxmlformats.org/officeDocument/2006/relationships/hyperlink" Target="https://docs.google.com/document/d/1xPjlL2XpuJuVs9bhlQHaVaBJvaUVRrAiSl6QpD-EBQQ/edit?usp=drivesdk" TargetMode="External"/><Relationship Id="rId136" Type="http://schemas.openxmlformats.org/officeDocument/2006/relationships/hyperlink" Target="https://docs.google.com/document/d/1cZCSPnwhRfGhAyk0zgxcNQFgvBFuINflyXPMCG46zK4/edit?usp=drivesdk" TargetMode="External"/><Relationship Id="rId178" Type="http://schemas.openxmlformats.org/officeDocument/2006/relationships/hyperlink" Target="https://docs.google.com/document/d/1A8RL1csPx-oiXdee1EdEvumxx2HabklDEO-iwGQ4XE4/edit?usp=drivesdk" TargetMode="External"/><Relationship Id="rId301" Type="http://schemas.openxmlformats.org/officeDocument/2006/relationships/hyperlink" Target="https://docs.google.com/document/d/1O2axMQA5xDTQpskdWm80p09JuUPVL5tfWcrGdGzBO5k/edit?usp=drivesdk" TargetMode="External"/><Relationship Id="rId343" Type="http://schemas.openxmlformats.org/officeDocument/2006/relationships/hyperlink" Target="https://docs.google.com/document/d/1waXJaaxuMbyg-WQ34-bf7iNATV2Cu-MmkLtMWtKzsvc/edit?usp=drivesdk" TargetMode="External"/><Relationship Id="rId550" Type="http://schemas.openxmlformats.org/officeDocument/2006/relationships/hyperlink" Target="https://docs.google.com/document/d/1inSaAuTtr9jzKd4uA5waRJvI8Dw1f1px2Is6n7ndkkI/edit?usp=drivesdk" TargetMode="External"/><Relationship Id="rId788" Type="http://schemas.openxmlformats.org/officeDocument/2006/relationships/hyperlink" Target="https://docs.google.com/document/d/15yUitYFqeNHM3XLTVljmop0ne2sp8v8nTTZm1BUz2hY/edit?usp=drivesdk" TargetMode="External"/><Relationship Id="rId953" Type="http://schemas.openxmlformats.org/officeDocument/2006/relationships/hyperlink" Target="https://docs.google.com/document/d/1h3g8d6dDet5s0q35f7nW8dZKPlX0No3ECTxTvDKotVo/edit?usp=drivesdk" TargetMode="External"/><Relationship Id="rId995" Type="http://schemas.openxmlformats.org/officeDocument/2006/relationships/hyperlink" Target="https://docs.google.com/document/d/1braqLx2SryVZcgPqNaQdwgU5HBkJHJC2UrqfjfyZQXY/edit?usp=drivesdk" TargetMode="External"/><Relationship Id="rId1029" Type="http://schemas.openxmlformats.org/officeDocument/2006/relationships/hyperlink" Target="https://docs.google.com/document/d/1O-wo-83ToKh_nCsc6-LHkCe5wnQehZr6jH_QBXZe38g/edit?usp=drivesdk" TargetMode="External"/><Relationship Id="rId82" Type="http://schemas.openxmlformats.org/officeDocument/2006/relationships/hyperlink" Target="https://docs.google.com/document/d/1hYRN2pBVHw4Yusqyy9lepzKzhEppwr8z0-qaMhE2DYQ/edit?usp=drivesdk" TargetMode="External"/><Relationship Id="rId203" Type="http://schemas.openxmlformats.org/officeDocument/2006/relationships/hyperlink" Target="https://docs.google.com/document/d/1ashMolhPpUl0A5fQ5JeXWD9xog1UFTWMtXS3rIJnr9I/edit?usp=drivesdk" TargetMode="External"/><Relationship Id="rId385" Type="http://schemas.openxmlformats.org/officeDocument/2006/relationships/hyperlink" Target="https://docs.google.com/document/d/15IRTJxlG3VjfsXhPDtxtYTDiALUXkRoyVsHI6xd9aOE/edit?usp=drivesdk" TargetMode="External"/><Relationship Id="rId592" Type="http://schemas.openxmlformats.org/officeDocument/2006/relationships/hyperlink" Target="https://docs.google.com/document/d/1S5UXwtgI-UGlTvj6-7LNjO5pkrSsWf3PBkP2IaOClSQ/edit?usp=drivesdk" TargetMode="External"/><Relationship Id="rId606" Type="http://schemas.openxmlformats.org/officeDocument/2006/relationships/hyperlink" Target="https://docs.google.com/document/d/18ith3gtCPg5SHCe5eL28SQzY5fegvioTEbixkzDvkF4/edit?usp=drivesdk" TargetMode="External"/><Relationship Id="rId648" Type="http://schemas.openxmlformats.org/officeDocument/2006/relationships/hyperlink" Target="https://docs.google.com/document/d/1-HvzEkSelyXUpFWJkXgpVQCY3lfHfeKWT0TzFXeO9dc/edit?usp=drivesdk" TargetMode="External"/><Relationship Id="rId813" Type="http://schemas.openxmlformats.org/officeDocument/2006/relationships/hyperlink" Target="https://docs.google.com/document/d/1UVbk6VytLAp9Trr8U-QihEVnN1iL83aUcY14ZhlffiA/edit?usp=drivesdk" TargetMode="External"/><Relationship Id="rId855" Type="http://schemas.openxmlformats.org/officeDocument/2006/relationships/hyperlink" Target="https://docs.google.com/document/d/1p9TmGP2UwhfsiAdm7GT8VtNI_oMYbxWwn0M5F0QKEFA/edit?usp=drivesdk" TargetMode="External"/><Relationship Id="rId1040" Type="http://schemas.openxmlformats.org/officeDocument/2006/relationships/hyperlink" Target="https://docs.google.com/document/d/1lUPOJkcySo1CJBbtPCZurjqeXVX85H4kT1PyiFaPek4/edit?usp=drivesdk" TargetMode="External"/><Relationship Id="rId245" Type="http://schemas.openxmlformats.org/officeDocument/2006/relationships/hyperlink" Target="https://docs.google.com/document/d/1dGjXr-f0fBAgpju4CycNigpwZYO7y6akkSw-DyY80Hg/edit?usp=drivesdk" TargetMode="External"/><Relationship Id="rId287" Type="http://schemas.openxmlformats.org/officeDocument/2006/relationships/hyperlink" Target="https://docs.google.com/document/d/1vYPfTu_pYzTS1kX81IUb2Yn5ePGYoFRClmcO458xK2w/edit?usp=drivesdk" TargetMode="External"/><Relationship Id="rId410" Type="http://schemas.openxmlformats.org/officeDocument/2006/relationships/hyperlink" Target="https://docs.google.com/document/d/1txL1NkJIk-erA6B1p-O-zeeuqlFx5VgDXw_om0hByYQ/edit?usp=drivesdk" TargetMode="External"/><Relationship Id="rId452" Type="http://schemas.openxmlformats.org/officeDocument/2006/relationships/hyperlink" Target="https://docs.google.com/document/d/1P2c3NmveEvGKnZfUU2uvh3ndH8ul-gQOW4t1mqVBDUc/edit?usp=drivesdk" TargetMode="External"/><Relationship Id="rId494" Type="http://schemas.openxmlformats.org/officeDocument/2006/relationships/hyperlink" Target="https://docs.google.com/document/d/1dTyYrnhwQjAX3sMStPl1AF6LrKuibSwBLYE9k-OH3q8/edit?usp=drivesdk" TargetMode="External"/><Relationship Id="rId508" Type="http://schemas.openxmlformats.org/officeDocument/2006/relationships/hyperlink" Target="https://docs.google.com/document/d/1fXMWL0MZGV41kK88Fec-z8NpdovkfB2-VJnskCTii8Y/edit?usp=drivesdk" TargetMode="External"/><Relationship Id="rId715" Type="http://schemas.openxmlformats.org/officeDocument/2006/relationships/hyperlink" Target="https://docs.google.com/document/d/1rXCZuukgJFQXZ2kinRvhQOKwbvk7-6nL7BnCpH2Z4Ds/edit?usp=drivesdk" TargetMode="External"/><Relationship Id="rId897" Type="http://schemas.openxmlformats.org/officeDocument/2006/relationships/hyperlink" Target="https://docs.google.com/document/d/1tCrtJpQE_7LtmBawUuUooUmqnby6Y9o6l7xXQF_8bm0/edit?usp=drivesdk" TargetMode="External"/><Relationship Id="rId922" Type="http://schemas.openxmlformats.org/officeDocument/2006/relationships/hyperlink" Target="https://docs.google.com/document/d/1MHGXt_KA_yQI1HrE8A-F7w0o-V8hQGWYEqoGtf3auDU/edit?usp=drivesdk" TargetMode="External"/><Relationship Id="rId105" Type="http://schemas.openxmlformats.org/officeDocument/2006/relationships/hyperlink" Target="https://docs.google.com/document/d/1-b6Gewks7v19ieHsXcoC8h0jDEWW_u_gOcnr1iFkHVU/edit?usp=drivesdk" TargetMode="External"/><Relationship Id="rId147" Type="http://schemas.openxmlformats.org/officeDocument/2006/relationships/hyperlink" Target="https://docs.google.com/document/d/165OlHMSD7QQspuLihMnA4iOz0DUxDdUqPxfmQ1cBeNs/edit?usp=drivesdk" TargetMode="External"/><Relationship Id="rId312" Type="http://schemas.openxmlformats.org/officeDocument/2006/relationships/hyperlink" Target="https://docs.google.com/document/d/1MyR0KwbVK6DLOQXHSWopn30pPwPKufzUXd-DVwHJfoc/edit?usp=drivesdk" TargetMode="External"/><Relationship Id="rId354" Type="http://schemas.openxmlformats.org/officeDocument/2006/relationships/hyperlink" Target="https://docs.google.com/document/d/1Z3xYCrnpat_lvHHxFDMS8j1Zd0EyO6PwPk4_SrgvZEg/edit?usp=drivesdk" TargetMode="External"/><Relationship Id="rId757" Type="http://schemas.openxmlformats.org/officeDocument/2006/relationships/hyperlink" Target="https://docs.google.com/document/d/1swpA_g5eOH4rqszjoewhdlq9V0if_IhswqfOR0lV3L0/edit?usp=drivesdk" TargetMode="External"/><Relationship Id="rId799" Type="http://schemas.openxmlformats.org/officeDocument/2006/relationships/hyperlink" Target="https://docs.google.com/document/d/1qRJJY7H8Nse3yytMJqiH6uPvPSJhytrXUSLfZsMfcB0/edit?usp=drivesdk" TargetMode="External"/><Relationship Id="rId964" Type="http://schemas.openxmlformats.org/officeDocument/2006/relationships/hyperlink" Target="https://docs.google.com/document/d/1M_nxNjejQ1I4RcBYCLNnUOpEpDc1yK119giiH2aZmoI/edit?usp=drivesdk" TargetMode="External"/><Relationship Id="rId51" Type="http://schemas.openxmlformats.org/officeDocument/2006/relationships/hyperlink" Target="https://docs.google.com/document/d/1f4rCTUh5g2HKvT37iHIzLi2xkFwrlxrV8ZlB-EPRd_0/edit?usp=drivesdk" TargetMode="External"/><Relationship Id="rId93" Type="http://schemas.openxmlformats.org/officeDocument/2006/relationships/hyperlink" Target="https://docs.google.com/document/d/1_f4X9tN9ILtz5QvdB_rIlrFD1AFhQW601asBRe7AfEg/edit?usp=drivesdk" TargetMode="External"/><Relationship Id="rId189" Type="http://schemas.openxmlformats.org/officeDocument/2006/relationships/hyperlink" Target="https://docs.google.com/document/d/11wDe1iSta-uPiSj3aBwpM_PUcVB86619YC5CLL_mQ-I/edit?usp=drivesdk" TargetMode="External"/><Relationship Id="rId396" Type="http://schemas.openxmlformats.org/officeDocument/2006/relationships/hyperlink" Target="https://docs.google.com/document/d/1t6d4J_pxyGT889qf1VeYKuL_8J9rkyvXI5kFVzGtp5A/edit?usp=drivesdk" TargetMode="External"/><Relationship Id="rId561" Type="http://schemas.openxmlformats.org/officeDocument/2006/relationships/hyperlink" Target="https://docs.google.com/document/d/16HOj7sJiyhbt6sq30ZdNBTCsEQockfYRpJK3a2FFmgQ/edit?usp=drivesdk" TargetMode="External"/><Relationship Id="rId617" Type="http://schemas.openxmlformats.org/officeDocument/2006/relationships/hyperlink" Target="https://docs.google.com/document/d/1IpvBzYhsibNEy6YAc7s2ivWn_xlPRXOVrvABIOJqkBQ/edit?usp=drivesdk" TargetMode="External"/><Relationship Id="rId659" Type="http://schemas.openxmlformats.org/officeDocument/2006/relationships/hyperlink" Target="https://docs.google.com/document/d/1DTuAK5qRGgWYbUbBaRiKz06NBbtl_a8ZdN6wbZqmm4s/edit?usp=drivesdk" TargetMode="External"/><Relationship Id="rId824" Type="http://schemas.openxmlformats.org/officeDocument/2006/relationships/hyperlink" Target="https://docs.google.com/document/d/1dcKPf22LbtSFKJyZVWvRRaYwOx_Jg_SZP1pD41fEp2o/edit?usp=drivesdk" TargetMode="External"/><Relationship Id="rId866" Type="http://schemas.openxmlformats.org/officeDocument/2006/relationships/hyperlink" Target="https://docs.google.com/document/d/1wCXg7JH1a5Dr1V1VRyz1_HYTMsTChiBrTvEXv6dKbMY/edit?usp=drivesdk" TargetMode="External"/><Relationship Id="rId214" Type="http://schemas.openxmlformats.org/officeDocument/2006/relationships/hyperlink" Target="https://docs.google.com/document/d/1GOBsFESX6f9qZ6TPdcc-u6UgUVmptfCcKPpgKqBe1ww/edit?usp=drivesdk" TargetMode="External"/><Relationship Id="rId256" Type="http://schemas.openxmlformats.org/officeDocument/2006/relationships/hyperlink" Target="https://docs.google.com/document/d/1TyLRb51S5K0bKOXgD50rIy_6EfG9cLwNzFQtV53qkSg/edit?usp=drivesdk" TargetMode="External"/><Relationship Id="rId298" Type="http://schemas.openxmlformats.org/officeDocument/2006/relationships/hyperlink" Target="https://docs.google.com/document/d/1oFfq4LU7d1zTf_pe0yQ81_jHV2i5KQRSdELtjM6PJvU/edit?usp=drivesdk" TargetMode="External"/><Relationship Id="rId421" Type="http://schemas.openxmlformats.org/officeDocument/2006/relationships/hyperlink" Target="https://docs.google.com/document/d/1vxcCLU2G787dd9A-0n4xk2kuYKjTA12u0o60lx1iN80/edit?usp=drivesdk" TargetMode="External"/><Relationship Id="rId463" Type="http://schemas.openxmlformats.org/officeDocument/2006/relationships/hyperlink" Target="https://docs.google.com/document/d/1bJjngFVPOFzo5ER4E-G5LhmHysIoL1jI-vCNoprStLg/edit?usp=drivesdk" TargetMode="External"/><Relationship Id="rId519" Type="http://schemas.openxmlformats.org/officeDocument/2006/relationships/hyperlink" Target="https://docs.google.com/document/d/1S15ptbHUUJq9aFc4SGFo2_I2sySu_Y8qRzPSL60d2DI/edit?usp=drivesdk" TargetMode="External"/><Relationship Id="rId670" Type="http://schemas.openxmlformats.org/officeDocument/2006/relationships/hyperlink" Target="https://docs.google.com/document/d/1TQc4i12uH_161xXRN94WnjeTOLbwCwcuBfx7NrfkX28/edit?usp=drivesdk" TargetMode="External"/><Relationship Id="rId1051" Type="http://schemas.openxmlformats.org/officeDocument/2006/relationships/hyperlink" Target="https://docs.google.com/document/d/1a2M96INu3hj5wR0tapaLFQpatg8tisqwWBZUt9VHwVE/edit?usp=drivesdk" TargetMode="External"/><Relationship Id="rId116" Type="http://schemas.openxmlformats.org/officeDocument/2006/relationships/hyperlink" Target="https://docs.google.com/document/d/1uWaH_X62R2Liuv1Udb-7AgjTcZgYdkQkjrG1FW0qql4/edit?usp=drivesdk" TargetMode="External"/><Relationship Id="rId158" Type="http://schemas.openxmlformats.org/officeDocument/2006/relationships/hyperlink" Target="https://docs.google.com/document/d/1RX_gUfr2Cwzo06Md2uxfQ1lOEGgjQtJf8J9lleJZCOQ/edit?usp=drivesdk" TargetMode="External"/><Relationship Id="rId323" Type="http://schemas.openxmlformats.org/officeDocument/2006/relationships/hyperlink" Target="https://docs.google.com/document/d/1tLgUiv4bcn2V_cgRKNu_zZ5FGT2YBAuPzKuqiAXm0co/edit?usp=drivesdk" TargetMode="External"/><Relationship Id="rId530" Type="http://schemas.openxmlformats.org/officeDocument/2006/relationships/hyperlink" Target="https://docs.google.com/document/d/1rrSGmV68uISMAff0uk69jI2s34_Bevu1XfRtLGITDII/edit?usp=drivesdk" TargetMode="External"/><Relationship Id="rId726" Type="http://schemas.openxmlformats.org/officeDocument/2006/relationships/hyperlink" Target="https://docs.google.com/document/d/15U5053tSvrFOwVhP2PxcWmWmqskeYR3gqL2Tf5W3JFE/edit?usp=drivesdk" TargetMode="External"/><Relationship Id="rId768" Type="http://schemas.openxmlformats.org/officeDocument/2006/relationships/hyperlink" Target="https://docs.google.com/document/d/1nAm-UudUXrz0AOwBv9YPn_tY4H6rAmlNFt0DplwldWA/edit?usp=drivesdk" TargetMode="External"/><Relationship Id="rId933" Type="http://schemas.openxmlformats.org/officeDocument/2006/relationships/hyperlink" Target="https://docs.google.com/document/d/1mCRYQdEGJ546jAJxobFOQVGiu4OyXXmwp8MWEgLskEI/edit?usp=drivesdk" TargetMode="External"/><Relationship Id="rId975" Type="http://schemas.openxmlformats.org/officeDocument/2006/relationships/hyperlink" Target="https://docs.google.com/document/d/1ZWJzgoP4zfz5QBAnrSi3JWpf5SU_c3efpUkllhyP3rs/edit?usp=drivesdk" TargetMode="External"/><Relationship Id="rId1009" Type="http://schemas.openxmlformats.org/officeDocument/2006/relationships/hyperlink" Target="https://docs.google.com/document/d/1HCGl_xmhXoj0hzi3TMBUBKgDSMfKCutqMzDf1t0iDK4/edit?usp=drivesdk" TargetMode="External"/><Relationship Id="rId20" Type="http://schemas.openxmlformats.org/officeDocument/2006/relationships/hyperlink" Target="https://docs.google.com/document/d/1JEa1CEgHyehbkiQb0UeiGakohFPxlUdscuddwbzrIxE/edit?usp=drivesdk" TargetMode="External"/><Relationship Id="rId62" Type="http://schemas.openxmlformats.org/officeDocument/2006/relationships/hyperlink" Target="https://docs.google.com/document/d/1v7q-IULNLh2s7jlsl-iuhE7Fi_UIkWYnjOZQaPhKCSs/edit?usp=drivesdk" TargetMode="External"/><Relationship Id="rId365" Type="http://schemas.openxmlformats.org/officeDocument/2006/relationships/hyperlink" Target="https://docs.google.com/document/d/1Nkj7T_FeDiyVW9nQImrjvRaLtq2W7lwf3wsxD_brvdg/edit?usp=drivesdk" TargetMode="External"/><Relationship Id="rId572" Type="http://schemas.openxmlformats.org/officeDocument/2006/relationships/hyperlink" Target="https://docs.google.com/document/d/1eu1FQ3sTJQE4ZLjtetUWmjcyzwJpUo10MFWKwvPurdc/edit?usp=drivesdk" TargetMode="External"/><Relationship Id="rId628" Type="http://schemas.openxmlformats.org/officeDocument/2006/relationships/hyperlink" Target="https://docs.google.com/document/d/1twDCYSGGFpjl3D-p31e3FyoXOxFRS9v116t7vvqrBoA/edit?usp=drivesdk" TargetMode="External"/><Relationship Id="rId835" Type="http://schemas.openxmlformats.org/officeDocument/2006/relationships/hyperlink" Target="https://docs.google.com/document/d/15XYpnuH1je6oUIkwCjpsjD3wUjiB3an-2a5Ke4dn7bU/edit?usp=drivesdk" TargetMode="External"/><Relationship Id="rId225" Type="http://schemas.openxmlformats.org/officeDocument/2006/relationships/hyperlink" Target="https://docs.google.com/document/d/1eml75LLBrnwv1nCwBu_-OJNxHvJ3ubC1U_W3NBu9nRM/edit?usp=drivesdk" TargetMode="External"/><Relationship Id="rId267" Type="http://schemas.openxmlformats.org/officeDocument/2006/relationships/hyperlink" Target="https://docs.google.com/document/d/1zlJ_Fo8-K64oCgIGfP5Aj5buqM1dyZx_BJk8QFySHVc/edit?usp=drivesdk" TargetMode="External"/><Relationship Id="rId432" Type="http://schemas.openxmlformats.org/officeDocument/2006/relationships/hyperlink" Target="https://docs.google.com/document/d/15pl5c0Q7XZuL6VPAZlgrx280SO-_yYzrHSEimuYcJPo/edit?usp=drivesdk" TargetMode="External"/><Relationship Id="rId474" Type="http://schemas.openxmlformats.org/officeDocument/2006/relationships/hyperlink" Target="https://docs.google.com/document/d/1BD_3j3XqESf1MagD8d-LlTnX-jUffHUZziRlz10u5WA/edit?usp=drivesdk" TargetMode="External"/><Relationship Id="rId877" Type="http://schemas.openxmlformats.org/officeDocument/2006/relationships/hyperlink" Target="https://docs.google.com/document/d/1ZCS35kdIJcnZlQE03cEss_VXHIwNbPa9gGAzHfOKkvE/edit?usp=drivesdk" TargetMode="External"/><Relationship Id="rId1020" Type="http://schemas.openxmlformats.org/officeDocument/2006/relationships/hyperlink" Target="https://docs.google.com/document/d/1X-0JModAQTmwTI4w89ezN5xBTZWyhLybDiIzZ919C6A/edit?usp=drivesdk" TargetMode="External"/><Relationship Id="rId1062" Type="http://schemas.openxmlformats.org/officeDocument/2006/relationships/hyperlink" Target="https://docs.google.com/document/d/1wSrYsC9F3uPp2kX8aEKJKqnMJxIZC5EsA_F9yPwzp98/edit?usp=drivesdk" TargetMode="External"/><Relationship Id="rId127" Type="http://schemas.openxmlformats.org/officeDocument/2006/relationships/hyperlink" Target="https://docs.google.com/document/d/19gtAry6vLFmaQvsDWVMoI53O_6Z53p6xfjK01wQTQ_Y/edit?usp=drivesdk" TargetMode="External"/><Relationship Id="rId681" Type="http://schemas.openxmlformats.org/officeDocument/2006/relationships/hyperlink" Target="https://docs.google.com/document/d/1Dx45YFxdcrVQmOj-PypztBtJxF-9MY31ZN-X_QDW7IA/edit?usp=drivesdk" TargetMode="External"/><Relationship Id="rId737" Type="http://schemas.openxmlformats.org/officeDocument/2006/relationships/hyperlink" Target="https://docs.google.com/document/d/1ju6CTp_lZlCJGFMqP6KLu8UCXs8Isp8MVhn2OXYu3TE/edit?usp=drivesdk" TargetMode="External"/><Relationship Id="rId779" Type="http://schemas.openxmlformats.org/officeDocument/2006/relationships/hyperlink" Target="https://docs.google.com/document/d/1nH568YrCXg5IjAusStUKgmn5sFTlm14TbSze3zXCAdA/edit?usp=drivesdk" TargetMode="External"/><Relationship Id="rId902" Type="http://schemas.openxmlformats.org/officeDocument/2006/relationships/hyperlink" Target="https://docs.google.com/document/d/1MMdP_cXBpcKLREii8rNKwPoxeWrv0Er0jtl-yNZ1sfw/edit?usp=drivesdk" TargetMode="External"/><Relationship Id="rId944" Type="http://schemas.openxmlformats.org/officeDocument/2006/relationships/hyperlink" Target="https://docs.google.com/document/d/1FA_dWDmtf3OmDbReFBdDHs1seFSIZAgv6GuwVov1NQg/edit?usp=drivesdk" TargetMode="External"/><Relationship Id="rId986" Type="http://schemas.openxmlformats.org/officeDocument/2006/relationships/hyperlink" Target="https://docs.google.com/document/d/1YvcZZP08enAf0IvIpaSAiflRxd2ix_X3AU3yH792JPA/edit?usp=drivesdk" TargetMode="External"/><Relationship Id="rId31" Type="http://schemas.openxmlformats.org/officeDocument/2006/relationships/hyperlink" Target="https://docs.google.com/document/d/1aRzzSkR4_IR2TrYGXtPq9lf_h_sywa9CZFinxHZ5IvA/edit?usp=drivesdk" TargetMode="External"/><Relationship Id="rId73" Type="http://schemas.openxmlformats.org/officeDocument/2006/relationships/hyperlink" Target="https://docs.google.com/document/d/1g5f9yPdc6uaO_l9y9K3YLZPe5ak-o0BxRUX5eZ2dmP0/edit?usp=drivesdk" TargetMode="External"/><Relationship Id="rId169" Type="http://schemas.openxmlformats.org/officeDocument/2006/relationships/hyperlink" Target="https://docs.google.com/document/d/1633f9rTaCMPyS4IZy7tFzPfoCMpeoOCM4AqFBr6ZdaU/edit?usp=drivesdk" TargetMode="External"/><Relationship Id="rId334" Type="http://schemas.openxmlformats.org/officeDocument/2006/relationships/hyperlink" Target="https://docs.google.com/document/d/18J_oMGg9KxP1sUZubTUlVkgQbIimvibwL5Y_dskUwx4/edit?usp=drivesdk" TargetMode="External"/><Relationship Id="rId376" Type="http://schemas.openxmlformats.org/officeDocument/2006/relationships/hyperlink" Target="https://docs.google.com/document/d/1_FZkLDX6cpRq0sc7kubw9q1L4r-RNeHr1SqbZ9kcYEw/edit?usp=drivesdk" TargetMode="External"/><Relationship Id="rId541" Type="http://schemas.openxmlformats.org/officeDocument/2006/relationships/hyperlink" Target="https://docs.google.com/document/d/1zF7-f8NZ3AjVZikFt1vAssZO2nNxzuZw0VJUebF8-rg/edit?usp=drivesdk" TargetMode="External"/><Relationship Id="rId583" Type="http://schemas.openxmlformats.org/officeDocument/2006/relationships/hyperlink" Target="https://docs.google.com/document/d/1BayLoGvRo559NKAvGkryO6cFBrH2QW_I_JveRWh6FV4/edit?usp=drivesdk" TargetMode="External"/><Relationship Id="rId639" Type="http://schemas.openxmlformats.org/officeDocument/2006/relationships/hyperlink" Target="https://docs.google.com/document/d/1OY1u1kAzGZswOAH1f0ciSguY53h0a1Tkr5T1dwo-nf8/edit?usp=drivesdk" TargetMode="External"/><Relationship Id="rId790" Type="http://schemas.openxmlformats.org/officeDocument/2006/relationships/hyperlink" Target="https://docs.google.com/document/d/1s_Qz_DHHmKsdwGKt8pAYPzomkkhFis220u13NqHwR8k/edit?usp=drivesdk" TargetMode="External"/><Relationship Id="rId804" Type="http://schemas.openxmlformats.org/officeDocument/2006/relationships/hyperlink" Target="https://docs.google.com/document/d/1jM3Art9eEmJj478evdQbRyhabgOooyOVkOS77Ry0yAc/edit?usp=drivesdk" TargetMode="External"/><Relationship Id="rId4" Type="http://schemas.openxmlformats.org/officeDocument/2006/relationships/hyperlink" Target="https://drive.google.com/a/gtmnerr.org/file/d/1QvAZ7R1p5_SFBt5mF93Am43VNlxMzFTn/view?usp=drivesdk" TargetMode="External"/><Relationship Id="rId180" Type="http://schemas.openxmlformats.org/officeDocument/2006/relationships/hyperlink" Target="https://docs.google.com/document/d/1hauw2vE5xdSX1EdBY3STcNLUeeUqh_H2hN1zo1cocKU/edit?usp=drivesdk" TargetMode="External"/><Relationship Id="rId236" Type="http://schemas.openxmlformats.org/officeDocument/2006/relationships/hyperlink" Target="https://docs.google.com/document/d/16vjClCoqC7m3akVttcJyh9s3Hbn-CzZ-MyVW-Lji67g/edit?usp=drivesdk" TargetMode="External"/><Relationship Id="rId278" Type="http://schemas.openxmlformats.org/officeDocument/2006/relationships/hyperlink" Target="https://docs.google.com/document/d/1QxaRdHvDAJbUR2d5Aif51DAoEGlkAzlCnhkf3ioW5X8/edit?usp=drivesdk" TargetMode="External"/><Relationship Id="rId401" Type="http://schemas.openxmlformats.org/officeDocument/2006/relationships/hyperlink" Target="https://docs.google.com/document/d/1lKFj_Q6V3_7Ks5Z3aYgaiu-zNZ1Tcvga3effVH7ur7o/edit?usp=drivesdk" TargetMode="External"/><Relationship Id="rId443" Type="http://schemas.openxmlformats.org/officeDocument/2006/relationships/hyperlink" Target="https://docs.google.com/document/d/1LGB0_A8ZWtOqleEzjTfQHtsoVacH_5UR0QbIFYLaSwY/edit?usp=drivesdk" TargetMode="External"/><Relationship Id="rId650" Type="http://schemas.openxmlformats.org/officeDocument/2006/relationships/hyperlink" Target="https://docs.google.com/document/d/1OXE2gmbJ2i6Ig_wjJoHe7NUwlbbuni5X2FYkzMzd0-o/edit?usp=drivesdk" TargetMode="External"/><Relationship Id="rId846" Type="http://schemas.openxmlformats.org/officeDocument/2006/relationships/hyperlink" Target="https://docs.google.com/document/d/1hvJfOqGhQF7jAm0kqBPa8COF-1PmVAY7hNF0JTh2qK0/edit?usp=drivesdk" TargetMode="External"/><Relationship Id="rId888" Type="http://schemas.openxmlformats.org/officeDocument/2006/relationships/hyperlink" Target="https://docs.google.com/document/d/13lDNKbEqSFndSkGzkFPWIcrNvupznN6GjNV6h24l9E0/edit?usp=drivesdk" TargetMode="External"/><Relationship Id="rId1031" Type="http://schemas.openxmlformats.org/officeDocument/2006/relationships/hyperlink" Target="https://docs.google.com/document/d/1BOJ5tzHxRYQ49yWc2nf1bn9Ws9iOjs0r4bvO4E_938A/edit?usp=drivesdk" TargetMode="External"/><Relationship Id="rId303" Type="http://schemas.openxmlformats.org/officeDocument/2006/relationships/hyperlink" Target="https://docs.google.com/document/d/1qXtK3oH7DmcQDkV7PcKHYbDz7zDrjKI0qG6ostGLO4o/edit?usp=drivesdk" TargetMode="External"/><Relationship Id="rId485" Type="http://schemas.openxmlformats.org/officeDocument/2006/relationships/hyperlink" Target="https://docs.google.com/document/d/1ZrYUuVw7eqkXKsFKh5X-XrXKTleWrzXt9HOCbjZ0qpA/edit?usp=drivesdk" TargetMode="External"/><Relationship Id="rId692" Type="http://schemas.openxmlformats.org/officeDocument/2006/relationships/hyperlink" Target="https://docs.google.com/document/d/1J4V74AZQcb2QAYfv8oy5XVHiublVfC7hM_e6W3tsDpw/edit?usp=drivesdk" TargetMode="External"/><Relationship Id="rId706" Type="http://schemas.openxmlformats.org/officeDocument/2006/relationships/hyperlink" Target="https://docs.google.com/document/d/1IJD2y-kTec3LtSsITmyNrM5e_T_m8q7Ax0dpJ07HP5w/edit?usp=drivesdk" TargetMode="External"/><Relationship Id="rId748" Type="http://schemas.openxmlformats.org/officeDocument/2006/relationships/hyperlink" Target="https://docs.google.com/document/d/1jcBCWIC-3b1BYRCS7scleqkAOry-y2jHnbEZJ6F-VSY/edit?usp=drivesdk" TargetMode="External"/><Relationship Id="rId913" Type="http://schemas.openxmlformats.org/officeDocument/2006/relationships/hyperlink" Target="https://docs.google.com/document/d/1MXbex7R-jCLWwyreOHvDbWo_aiQKnthk73BOX0CGEWU/edit?usp=drivesdk" TargetMode="External"/><Relationship Id="rId955" Type="http://schemas.openxmlformats.org/officeDocument/2006/relationships/hyperlink" Target="https://docs.google.com/document/d/13Kj6QTA86lsQcffdhA0d7RtTxrhpW9uiIelPt2gYdCQ/edit?usp=drivesdk" TargetMode="External"/><Relationship Id="rId42" Type="http://schemas.openxmlformats.org/officeDocument/2006/relationships/hyperlink" Target="https://docs.google.com/document/d/1-UbK8hMJUW_5g5Rku1FY9ewcvvUW5AHNrwKQATrchv4/edit?usp=drivesdk" TargetMode="External"/><Relationship Id="rId84" Type="http://schemas.openxmlformats.org/officeDocument/2006/relationships/hyperlink" Target="https://docs.google.com/document/d/1BaYGUmqVMqP7K6yogEN7JA9Puier9G8taRo2F6LjQ64/edit?usp=drivesdk" TargetMode="External"/><Relationship Id="rId138" Type="http://schemas.openxmlformats.org/officeDocument/2006/relationships/hyperlink" Target="https://docs.google.com/document/d/1KDK2Lyv_0BANy_IEzxkUFIoBnnXj9uvp7TxHIpYvUyk/edit?usp=drivesdk" TargetMode="External"/><Relationship Id="rId345" Type="http://schemas.openxmlformats.org/officeDocument/2006/relationships/hyperlink" Target="https://docs.google.com/document/d/17-ejbLkrYmuOCBKs8rnXdpzSNQId2GnwAk45L75Y62U/edit?usp=drivesdk" TargetMode="External"/><Relationship Id="rId387" Type="http://schemas.openxmlformats.org/officeDocument/2006/relationships/hyperlink" Target="https://docs.google.com/document/d/1CRc4j6HLo0xqlKMTTNdvh8YrHb0mUQt_MH11cR4wB04/edit?usp=drivesdk" TargetMode="External"/><Relationship Id="rId510" Type="http://schemas.openxmlformats.org/officeDocument/2006/relationships/hyperlink" Target="https://docs.google.com/document/d/1nN7xLUceiqkgIR5qXSYfcLXQYVdvjss9mABDETalDM0/edit?usp=drivesdk" TargetMode="External"/><Relationship Id="rId552" Type="http://schemas.openxmlformats.org/officeDocument/2006/relationships/hyperlink" Target="https://docs.google.com/document/d/193RCU5aMClA-7dpfOEXam6HiYDyelIVdY52RcYkdoC8/edit?usp=drivesdk" TargetMode="External"/><Relationship Id="rId594" Type="http://schemas.openxmlformats.org/officeDocument/2006/relationships/hyperlink" Target="https://docs.google.com/document/d/156-PESRSxhrKbFjjSNL2hF0KI1smr4_Awd5_yna1gB0/edit?usp=drivesdk" TargetMode="External"/><Relationship Id="rId608" Type="http://schemas.openxmlformats.org/officeDocument/2006/relationships/hyperlink" Target="https://docs.google.com/document/d/1jwuxhnk9VZeVeotGbhWE7_YtYkY4YoqlLNAIHsRPF0U/edit?usp=drivesdk" TargetMode="External"/><Relationship Id="rId815" Type="http://schemas.openxmlformats.org/officeDocument/2006/relationships/hyperlink" Target="https://docs.google.com/document/d/1QI-bheWrGA_PiSBxiwh0Mb32APiwN0_bvVxubrX_rvE/edit?usp=drivesdk" TargetMode="External"/><Relationship Id="rId997" Type="http://schemas.openxmlformats.org/officeDocument/2006/relationships/hyperlink" Target="https://docs.google.com/document/d/14y-kqLeNd1jKuXrFqJ92ypbzVIYKmNkqt7bVCLOq-wA/edit?usp=drivesdk" TargetMode="External"/><Relationship Id="rId191" Type="http://schemas.openxmlformats.org/officeDocument/2006/relationships/hyperlink" Target="https://docs.google.com/document/d/16SdYODC-uCZ2zFLn33qfp7Qjty_GYbog-ssGQaMREx8/edit?usp=drivesdk" TargetMode="External"/><Relationship Id="rId205" Type="http://schemas.openxmlformats.org/officeDocument/2006/relationships/hyperlink" Target="https://docs.google.com/document/d/1BNVX05cr1434PSG7V5_vi5xdcMP9K4I0Om0n38jVaK0/edit?usp=drivesdk" TargetMode="External"/><Relationship Id="rId247" Type="http://schemas.openxmlformats.org/officeDocument/2006/relationships/hyperlink" Target="https://docs.google.com/document/d/1AfS58goBppKK1dhcQ15scXNHmkmINsEIlKN629Yv3FA/edit?usp=drivesdk" TargetMode="External"/><Relationship Id="rId412" Type="http://schemas.openxmlformats.org/officeDocument/2006/relationships/hyperlink" Target="https://docs.google.com/document/d/1zuFEsKkrq9M6ZGAYBwp5wojo8R4vd7PN6fTx65IXQLA/edit?usp=drivesdk" TargetMode="External"/><Relationship Id="rId857" Type="http://schemas.openxmlformats.org/officeDocument/2006/relationships/hyperlink" Target="https://docs.google.com/document/d/1v4coNZ73S1GtVPoxOlkQN9spJn13uE74cnmPyRObaLY/edit?usp=drivesdk" TargetMode="External"/><Relationship Id="rId899" Type="http://schemas.openxmlformats.org/officeDocument/2006/relationships/hyperlink" Target="https://docs.google.com/document/d/1D0NrTmUEXZfSt-FoLPhlxvKGHidXi6CTl2aXjjmn2vU/edit?usp=drivesdk" TargetMode="External"/><Relationship Id="rId1000" Type="http://schemas.openxmlformats.org/officeDocument/2006/relationships/hyperlink" Target="https://docs.google.com/document/d/1FW_xJVJ2zZByfz2rrHPuKHIhy_200BWxUu1w-msZRnY/edit?usp=drivesdk" TargetMode="External"/><Relationship Id="rId1042" Type="http://schemas.openxmlformats.org/officeDocument/2006/relationships/hyperlink" Target="https://docs.google.com/document/d/1KlKhkcYzY23XodylBdxMYpUlqUvJt6KvikMCtkLo3jg/edit?usp=drivesdk" TargetMode="External"/><Relationship Id="rId107" Type="http://schemas.openxmlformats.org/officeDocument/2006/relationships/hyperlink" Target="https://docs.google.com/document/d/1V_UjvbS_4beIAIbGI2rknHAZN_bkiraEkuj6Ua6mwWE/edit?usp=drivesdk" TargetMode="External"/><Relationship Id="rId289" Type="http://schemas.openxmlformats.org/officeDocument/2006/relationships/hyperlink" Target="https://docs.google.com/document/d/15x4EVSZ10MXuaxM4ij4M29WzWjxQAM3oj70GOLrnxF0/edit?usp=drivesdk" TargetMode="External"/><Relationship Id="rId454" Type="http://schemas.openxmlformats.org/officeDocument/2006/relationships/hyperlink" Target="https://docs.google.com/document/d/1PYruXjtnmoBwol6V6flRUmAVDTT2ew1vRytwXaJ8-S0/edit?usp=drivesdk" TargetMode="External"/><Relationship Id="rId496" Type="http://schemas.openxmlformats.org/officeDocument/2006/relationships/hyperlink" Target="https://docs.google.com/document/d/1309XjGptEng1kObv6mfBGIue6lck8JxZZAAQB143m_Y/edit?usp=drivesdk" TargetMode="External"/><Relationship Id="rId661" Type="http://schemas.openxmlformats.org/officeDocument/2006/relationships/hyperlink" Target="https://docs.google.com/document/d/196g3nB_MsP2IVrGSLLlSQJL7veNpCGVYW-s9YNQQ9yQ/edit?usp=drivesdk" TargetMode="External"/><Relationship Id="rId717" Type="http://schemas.openxmlformats.org/officeDocument/2006/relationships/hyperlink" Target="https://docs.google.com/document/d/1KgMj4h-dFOD4IzgckktpqLn3R_zntVp13AsAwThdf_I/edit?usp=drivesdk" TargetMode="External"/><Relationship Id="rId759" Type="http://schemas.openxmlformats.org/officeDocument/2006/relationships/hyperlink" Target="https://docs.google.com/document/d/1Qvtn9pd5CXfPdf3pcggK-vlaSik0jyCaNEPJV7jaEdM/edit?usp=drivesdk" TargetMode="External"/><Relationship Id="rId924" Type="http://schemas.openxmlformats.org/officeDocument/2006/relationships/hyperlink" Target="https://docs.google.com/document/d/1K5Q1YNcbbnFigP1EPaCwgp5LHSNvRpg2QWAEMpDA0-E/edit?usp=drivesdk" TargetMode="External"/><Relationship Id="rId966" Type="http://schemas.openxmlformats.org/officeDocument/2006/relationships/hyperlink" Target="https://docs.google.com/document/d/1FFPPvCWonFyuD-4mNXWR6g_BETCqCPeMzDf0mkaA-Fg/edit?usp=drivesdk" TargetMode="External"/><Relationship Id="rId11" Type="http://schemas.openxmlformats.org/officeDocument/2006/relationships/hyperlink" Target="https://drive.google.com/a/gtmnerr.org/file/d/1wwbmFLgI3rXytEVbNoq8P0VpSeSlZpZt/view?usp=drivesdk" TargetMode="External"/><Relationship Id="rId53" Type="http://schemas.openxmlformats.org/officeDocument/2006/relationships/hyperlink" Target="https://docs.google.com/document/d/1nhihx7WUJyq9xrne-IuE8z6M1bOCmJPhlEGshsFWGQU/edit?usp=drivesdk" TargetMode="External"/><Relationship Id="rId149" Type="http://schemas.openxmlformats.org/officeDocument/2006/relationships/hyperlink" Target="https://docs.google.com/document/d/1FPp7Ct0JiV_kWgKtlmLlCmGzPELIhER6zZ_PuQTEZXQ/edit?usp=drivesdk" TargetMode="External"/><Relationship Id="rId314" Type="http://schemas.openxmlformats.org/officeDocument/2006/relationships/hyperlink" Target="https://docs.google.com/document/d/1iIShRcHBMX9s2p9ixcmfD63N4BNpzZOhUMopEgZXVXU/edit?usp=drivesdk" TargetMode="External"/><Relationship Id="rId356" Type="http://schemas.openxmlformats.org/officeDocument/2006/relationships/hyperlink" Target="https://docs.google.com/document/d/1xJ9T5reUjpXl3feP0fqVH6FQi3ovB4PsTEfdY2ZNAcA/edit?usp=drivesdk" TargetMode="External"/><Relationship Id="rId398" Type="http://schemas.openxmlformats.org/officeDocument/2006/relationships/hyperlink" Target="https://docs.google.com/document/d/1lpL-hACJ0SZheqs2xwrGh_IJID2VnoX1qU7kXTxNXF4/edit?usp=drivesdk" TargetMode="External"/><Relationship Id="rId521" Type="http://schemas.openxmlformats.org/officeDocument/2006/relationships/hyperlink" Target="https://docs.google.com/document/d/1qma6puFFrt7NQoTtPamEsdozsztZmfmVmZUqUh87Dek/edit?usp=drivesdk" TargetMode="External"/><Relationship Id="rId563" Type="http://schemas.openxmlformats.org/officeDocument/2006/relationships/hyperlink" Target="https://docs.google.com/document/d/1uLp9r3K9CtvAKCI_QmB6JCOX1g9O6BGV7jC-9aCCvwQ/edit?usp=drivesdk" TargetMode="External"/><Relationship Id="rId619" Type="http://schemas.openxmlformats.org/officeDocument/2006/relationships/hyperlink" Target="https://docs.google.com/document/d/17ESLUd8LiCXpXnTLrCmLNuNBsD_kBxz56Og2l48ESxk/edit?usp=drivesdk" TargetMode="External"/><Relationship Id="rId770" Type="http://schemas.openxmlformats.org/officeDocument/2006/relationships/hyperlink" Target="https://docs.google.com/document/d/1B1oV74n96c-JNO8Knhcmf5--9vTDsKwcbFx10ztwQAk/edit?usp=drivesdk" TargetMode="External"/><Relationship Id="rId95" Type="http://schemas.openxmlformats.org/officeDocument/2006/relationships/hyperlink" Target="https://docs.google.com/document/d/1WiDFrx4D7wDtTG7xhG56FExYdRv-4DwwdP-wvUsnRMc/edit?usp=drivesdk" TargetMode="External"/><Relationship Id="rId160" Type="http://schemas.openxmlformats.org/officeDocument/2006/relationships/hyperlink" Target="https://docs.google.com/document/d/1wHN4Cbsn47rCWCLLPwvhvv0RSpz-ejSy8O1YNICpliM/edit?usp=drivesdk" TargetMode="External"/><Relationship Id="rId216" Type="http://schemas.openxmlformats.org/officeDocument/2006/relationships/hyperlink" Target="https://docs.google.com/document/d/1fSs9eCOq3hWlcEUsnZCYxYLdt3MBFViSiMNmwpFrbqo/edit?usp=drivesdk" TargetMode="External"/><Relationship Id="rId423" Type="http://schemas.openxmlformats.org/officeDocument/2006/relationships/hyperlink" Target="https://docs.google.com/document/d/1NYFBa2d_xJ4JGqNufDWqoEfYErT_YP-ItFLdDxsGPoY/edit?usp=drivesdk" TargetMode="External"/><Relationship Id="rId826" Type="http://schemas.openxmlformats.org/officeDocument/2006/relationships/hyperlink" Target="https://docs.google.com/document/d/1aRZ64q7pyxiSLdPWt2C9Dqogr6t4zWUgnSYHFC133r0/edit?usp=drivesdk" TargetMode="External"/><Relationship Id="rId868" Type="http://schemas.openxmlformats.org/officeDocument/2006/relationships/hyperlink" Target="https://docs.google.com/document/d/1RBHMjpI5oN5U21NgTp37NQns-aKSrjjKkFiMSxzj8Js/edit?usp=drivesdk" TargetMode="External"/><Relationship Id="rId1011" Type="http://schemas.openxmlformats.org/officeDocument/2006/relationships/hyperlink" Target="https://docs.google.com/document/d/11oDeUWKaxmwJFi59qhsrGbRNr2_5CyfTsHv-LoIl2vU/edit?usp=drivesdk" TargetMode="External"/><Relationship Id="rId1053" Type="http://schemas.openxmlformats.org/officeDocument/2006/relationships/hyperlink" Target="https://docs.google.com/document/d/1iUfCH0bLg2sJPNdERuf4M1pgyb_kXOe1RWeGGs3f7H8/edit?usp=drivesdk" TargetMode="External"/><Relationship Id="rId258" Type="http://schemas.openxmlformats.org/officeDocument/2006/relationships/hyperlink" Target="https://docs.google.com/document/d/1u7s5sF6N4c08VUpD9QaNfb9XH2JWFuYc9n9uv0nmrXs/edit?usp=drivesdk" TargetMode="External"/><Relationship Id="rId465" Type="http://schemas.openxmlformats.org/officeDocument/2006/relationships/hyperlink" Target="https://docs.google.com/document/d/1mRsg8UU1_qBmth7c0i0zK_eqLA777I_HlUDbnNeoAu8/edit?usp=drivesdk" TargetMode="External"/><Relationship Id="rId630" Type="http://schemas.openxmlformats.org/officeDocument/2006/relationships/hyperlink" Target="https://docs.google.com/document/d/1tMLiDIv4S7n30K1CYh_PT1j3tTcs7bR906peSLT1gOI/edit?usp=drivesdk" TargetMode="External"/><Relationship Id="rId672" Type="http://schemas.openxmlformats.org/officeDocument/2006/relationships/hyperlink" Target="https://docs.google.com/document/d/1NcjAe9J8MUl4hmY5gz32nPkoxrf1ZRydBqUWoudG8C4/edit?usp=drivesdk" TargetMode="External"/><Relationship Id="rId728" Type="http://schemas.openxmlformats.org/officeDocument/2006/relationships/hyperlink" Target="https://docs.google.com/document/d/1QqWTXJPxFmGW2jctmf8BBIEdKkbo52Km5vhh4UEf7kg/edit?usp=drivesdk" TargetMode="External"/><Relationship Id="rId935" Type="http://schemas.openxmlformats.org/officeDocument/2006/relationships/hyperlink" Target="https://docs.google.com/document/d/19-5F91WwjsX9ALFpBNsas3vcPBSJAXUKLTN5kotamW4/edit?usp=drivesdk" TargetMode="External"/><Relationship Id="rId22" Type="http://schemas.openxmlformats.org/officeDocument/2006/relationships/hyperlink" Target="https://docs.google.com/document/d/1cZgdQ9Bkry7GfAi9UtVtg27Em-ne__SFXnsOQWLIXOg/edit?usp=drivesdk" TargetMode="External"/><Relationship Id="rId64" Type="http://schemas.openxmlformats.org/officeDocument/2006/relationships/hyperlink" Target="https://docs.google.com/document/d/1ntrs6YFpK78CyX3JOrufebLGk1XUDopFAGN4tHmjzSY/edit?usp=drivesdk" TargetMode="External"/><Relationship Id="rId118" Type="http://schemas.openxmlformats.org/officeDocument/2006/relationships/hyperlink" Target="https://docs.google.com/document/d/17DVNObsevh1PglvOtUWG2_f9xR1DhwO97Kb9C_lXeyg/edit?usp=drivesdk" TargetMode="External"/><Relationship Id="rId325" Type="http://schemas.openxmlformats.org/officeDocument/2006/relationships/hyperlink" Target="https://docs.google.com/document/d/1YMJWkZrunPkqcijQlnoJEDDw7X8P59lFxv9qbVzbaSY/edit?usp=drivesdk" TargetMode="External"/><Relationship Id="rId367" Type="http://schemas.openxmlformats.org/officeDocument/2006/relationships/hyperlink" Target="https://docs.google.com/document/d/1i0dCUy4yeQ9EZHTLMk-Eqs7L_Kd-gV0olElUP-cbPpQ/edit?usp=drivesdk" TargetMode="External"/><Relationship Id="rId532" Type="http://schemas.openxmlformats.org/officeDocument/2006/relationships/hyperlink" Target="https://docs.google.com/document/d/1w-Th4TS4zE-uQxUEca1oUVi6cxWjnzp7NZVAwNDQxfI/edit?usp=drivesdk" TargetMode="External"/><Relationship Id="rId574" Type="http://schemas.openxmlformats.org/officeDocument/2006/relationships/hyperlink" Target="https://docs.google.com/document/d/1jvH8r1Fpa1KBJ-q1DX7vnXuphAeceU8tQP7UXXboXes/edit?usp=drivesdk" TargetMode="External"/><Relationship Id="rId977" Type="http://schemas.openxmlformats.org/officeDocument/2006/relationships/hyperlink" Target="https://docs.google.com/document/d/1GKqmoG9GJL60c45fsALGgHf4hBqezfMJOlgnBOFmcp4/edit?usp=drivesdk" TargetMode="External"/><Relationship Id="rId171" Type="http://schemas.openxmlformats.org/officeDocument/2006/relationships/hyperlink" Target="https://docs.google.com/document/d/1kbvT1CsqWVSgIaGJKDYhYIm_4ojgiC2OS4qGLdNc4tI/edit?usp=drivesdk" TargetMode="External"/><Relationship Id="rId227" Type="http://schemas.openxmlformats.org/officeDocument/2006/relationships/hyperlink" Target="https://docs.google.com/document/d/14pAUYwsaSmzX3501xXPXCLv9Bc9CBsp_aTg69Fj2q_c/edit?usp=drivesdk" TargetMode="External"/><Relationship Id="rId781" Type="http://schemas.openxmlformats.org/officeDocument/2006/relationships/hyperlink" Target="https://docs.google.com/document/d/1nW92-V1mHr6cUV3dzVuKRL7nq2ujm8uO92SNyLdK40s/edit?usp=drivesdk" TargetMode="External"/><Relationship Id="rId837" Type="http://schemas.openxmlformats.org/officeDocument/2006/relationships/hyperlink" Target="https://docs.google.com/document/d/1hPhejmHJLjPSFOTpCdxcZeiSR7hR98hHPnTEW_zTKEE/edit?usp=drivesdk" TargetMode="External"/><Relationship Id="rId879" Type="http://schemas.openxmlformats.org/officeDocument/2006/relationships/hyperlink" Target="https://docs.google.com/document/d/1mgd2mpQv8fh7nrB5OtNUG7FZDjHxvhBVEe-2YA29fIA/edit?usp=drivesdk" TargetMode="External"/><Relationship Id="rId1022" Type="http://schemas.openxmlformats.org/officeDocument/2006/relationships/hyperlink" Target="https://docs.google.com/document/d/1ILcBS7SlIaq4kaoKXEuaELPKHPGOvdSwmGkz9iL4ffs/edit?usp=drivesdk" TargetMode="External"/><Relationship Id="rId269" Type="http://schemas.openxmlformats.org/officeDocument/2006/relationships/hyperlink" Target="https://docs.google.com/document/d/1_V2iYWUNuyPpcY9McAiWWBOBaQ-9nnGnLE3AXu3Ways/edit?usp=drivesdk" TargetMode="External"/><Relationship Id="rId434" Type="http://schemas.openxmlformats.org/officeDocument/2006/relationships/hyperlink" Target="https://docs.google.com/document/d/166DeXIgY-PkIiQZNK8YR4ZysxCR-mcL5zODZFyoTbHY/edit?usp=drivesdk" TargetMode="External"/><Relationship Id="rId476" Type="http://schemas.openxmlformats.org/officeDocument/2006/relationships/hyperlink" Target="https://docs.google.com/document/d/1Sn_beP3kbP-m30Ouz34BZDqRb6UrdvloQgVA8tVVrJg/edit?usp=drivesdk" TargetMode="External"/><Relationship Id="rId641" Type="http://schemas.openxmlformats.org/officeDocument/2006/relationships/hyperlink" Target="https://docs.google.com/document/d/1UB-RFFrqN11JjwZn9UkiVebnT_rlycn7dUeaSiN5c88/edit?usp=drivesdk" TargetMode="External"/><Relationship Id="rId683" Type="http://schemas.openxmlformats.org/officeDocument/2006/relationships/hyperlink" Target="https://docs.google.com/document/d/1l7T7l5lGsAvwCSY7eyuLwzzIqNycdfh-23dShuDmFmU/edit?usp=drivesdk" TargetMode="External"/><Relationship Id="rId739" Type="http://schemas.openxmlformats.org/officeDocument/2006/relationships/hyperlink" Target="https://docs.google.com/document/d/1jvaOKaqYNceehu7t97c136tuUngRgnXw4vVwziN6GbM/edit?usp=drivesdk" TargetMode="External"/><Relationship Id="rId890" Type="http://schemas.openxmlformats.org/officeDocument/2006/relationships/hyperlink" Target="https://docs.google.com/document/d/1sa7bALf1C9xS6U1zRhbFGcN92wAvNmmpVruVZ5l9HZ0/edit?usp=drivesdk" TargetMode="External"/><Relationship Id="rId904" Type="http://schemas.openxmlformats.org/officeDocument/2006/relationships/hyperlink" Target="https://docs.google.com/document/d/1xFBvZRE3qcFijad7ftcixPuQpTRWiY8Rkjaz3qRfyjY/edit?usp=drivesdk" TargetMode="External"/><Relationship Id="rId1064" Type="http://schemas.openxmlformats.org/officeDocument/2006/relationships/hyperlink" Target="https://docs.google.com/document/d/1VddPxEGiowcYTe9ZrWn7qcaL_MxO-ZPD7j_ps1TKlb4/edit?usp=drivesdk" TargetMode="External"/><Relationship Id="rId33" Type="http://schemas.openxmlformats.org/officeDocument/2006/relationships/hyperlink" Target="https://docs.google.com/document/d/1YVH9hAY0Il0DCK6rFfBHIM-B2FMeHXQEEJUjpA6N7-U/edit?usp=drivesdk" TargetMode="External"/><Relationship Id="rId129" Type="http://schemas.openxmlformats.org/officeDocument/2006/relationships/hyperlink" Target="https://docs.google.com/document/d/1dbUQc-0YRcUCWv4ZLuAiuh-szs2P71qMm4cR0NVclQw/edit?usp=drivesdk" TargetMode="External"/><Relationship Id="rId280" Type="http://schemas.openxmlformats.org/officeDocument/2006/relationships/hyperlink" Target="https://docs.google.com/document/d/1oALdN25ww9lJ48fXJMH1m20lIQx2AKySaSRbjgF26Cc/edit?usp=drivesdk" TargetMode="External"/><Relationship Id="rId336" Type="http://schemas.openxmlformats.org/officeDocument/2006/relationships/hyperlink" Target="https://docs.google.com/document/d/15hEqU8nv3aRpQI8ho-4D11gMDcOtqzF6M5xm45xB7GM/edit?usp=drivesdk" TargetMode="External"/><Relationship Id="rId501" Type="http://schemas.openxmlformats.org/officeDocument/2006/relationships/hyperlink" Target="https://docs.google.com/document/d/178BSnhvFwmawHY74F6CtrmORuUcjGy0ztrYJWIOp00s/edit?usp=drivesdk" TargetMode="External"/><Relationship Id="rId543" Type="http://schemas.openxmlformats.org/officeDocument/2006/relationships/hyperlink" Target="https://docs.google.com/document/d/17YOndIeWKS2Vlzgq90Qn8xwwH2D8gJwRRBQD4mdkT-0/edit?usp=drivesdk" TargetMode="External"/><Relationship Id="rId946" Type="http://schemas.openxmlformats.org/officeDocument/2006/relationships/hyperlink" Target="https://docs.google.com/document/d/1mCUJlP9oKa5CsXamyOYyOOsIvU5NyFvRaYK3yTR8HMw/edit?usp=drivesdk" TargetMode="External"/><Relationship Id="rId988" Type="http://schemas.openxmlformats.org/officeDocument/2006/relationships/hyperlink" Target="https://docs.google.com/document/d/1YG3k9pbaxT3SGLmE7ZdU4N1Uee2yd9NghJqUu7Aeh5A/edit?usp=drivesdk" TargetMode="External"/><Relationship Id="rId75" Type="http://schemas.openxmlformats.org/officeDocument/2006/relationships/hyperlink" Target="https://docs.google.com/document/d/1acVIuNRHP6o9EhpjLyK7BPUBmQo2wAa7dSOlClJFeIA/edit?usp=drivesdk" TargetMode="External"/><Relationship Id="rId140" Type="http://schemas.openxmlformats.org/officeDocument/2006/relationships/hyperlink" Target="https://docs.google.com/document/d/10B-Y9mtzPJLK-Vl1R2A-xzT2AB0jOcgS4S3pnj8j_Ks/edit?usp=drivesdk" TargetMode="External"/><Relationship Id="rId182" Type="http://schemas.openxmlformats.org/officeDocument/2006/relationships/hyperlink" Target="https://docs.google.com/document/d/1MdfvTIYnceoqzhRGfam7t0apLcYPKCV83LbdbuAQAkg/edit?usp=drivesdk" TargetMode="External"/><Relationship Id="rId378" Type="http://schemas.openxmlformats.org/officeDocument/2006/relationships/hyperlink" Target="https://docs.google.com/document/d/1W0MUnKo0pddoDkyInqukilZfM2lV6gT-z8ANRIvhfzc/edit?usp=drivesdk" TargetMode="External"/><Relationship Id="rId403" Type="http://schemas.openxmlformats.org/officeDocument/2006/relationships/hyperlink" Target="https://docs.google.com/document/d/163XConguxRmfEJiz0qqtWQl8czIMwg0PZ_dbBQWiVoE/edit?usp=drivesdk" TargetMode="External"/><Relationship Id="rId585" Type="http://schemas.openxmlformats.org/officeDocument/2006/relationships/hyperlink" Target="https://docs.google.com/document/d/1BJmSLkKjFx_1sCbe0kzJ1-dpaH0_WwRn3EE7cA5XpV8/edit?usp=drivesdk" TargetMode="External"/><Relationship Id="rId750" Type="http://schemas.openxmlformats.org/officeDocument/2006/relationships/hyperlink" Target="https://docs.google.com/document/d/1LKNC16Z-pc_seCockRsaAhsMGC_7njoatJKwEf27IjE/edit?usp=drivesdk" TargetMode="External"/><Relationship Id="rId792" Type="http://schemas.openxmlformats.org/officeDocument/2006/relationships/hyperlink" Target="https://docs.google.com/document/d/1K-MRBhJEsaUtkdehCZZc3Xl29ITFLWDAje_TjqsU_ew/edit?usp=drivesdk" TargetMode="External"/><Relationship Id="rId806" Type="http://schemas.openxmlformats.org/officeDocument/2006/relationships/hyperlink" Target="https://docs.google.com/document/d/1DbhHUGgm9anbGDYHfrACBQ5TJShOf87aWsnFYPvwFAY/edit?usp=drivesdk" TargetMode="External"/><Relationship Id="rId848" Type="http://schemas.openxmlformats.org/officeDocument/2006/relationships/hyperlink" Target="https://docs.google.com/document/d/1vp2z9GoJlmGQ5mPFexJ_yeX8JywNrEKMegDAuvXR56U/edit?usp=drivesdk" TargetMode="External"/><Relationship Id="rId1033" Type="http://schemas.openxmlformats.org/officeDocument/2006/relationships/hyperlink" Target="https://docs.google.com/document/d/15MB_PMVu17RNBvan9KzwEKZXBGorimQFKLfAdmfiRKs/edit?usp=drivesdk" TargetMode="External"/><Relationship Id="rId6" Type="http://schemas.openxmlformats.org/officeDocument/2006/relationships/hyperlink" Target="https://drive.google.com/a/gtmnerr.org/file/d/1UDcTZ57HVMirRLXojC9fGFCmlWToZDMk/view?usp=drivesdk" TargetMode="External"/><Relationship Id="rId238" Type="http://schemas.openxmlformats.org/officeDocument/2006/relationships/hyperlink" Target="https://docs.google.com/document/d/1CE7RpdJaTh2JD6fLOPYtoqWGdMGQ2c8KX9dL8l5pYSk/edit?usp=drivesdk" TargetMode="External"/><Relationship Id="rId445" Type="http://schemas.openxmlformats.org/officeDocument/2006/relationships/hyperlink" Target="https://docs.google.com/document/d/141-rvnc8rquWsEyt7uGttPzhVWom2_hCURpb5ShysQk/edit?usp=drivesdk" TargetMode="External"/><Relationship Id="rId487" Type="http://schemas.openxmlformats.org/officeDocument/2006/relationships/hyperlink" Target="https://docs.google.com/document/d/1FXSJezVUTVrGBPpx3QrS2ASXwEakTDADX67cWCoa9q0/edit?usp=drivesdk" TargetMode="External"/><Relationship Id="rId610" Type="http://schemas.openxmlformats.org/officeDocument/2006/relationships/hyperlink" Target="https://docs.google.com/document/d/1LHaIygzSkWWa9gPRBovnDwiixCsnsg4ZaWHIN3lgKSg/edit?usp=drivesdk" TargetMode="External"/><Relationship Id="rId652" Type="http://schemas.openxmlformats.org/officeDocument/2006/relationships/hyperlink" Target="https://docs.google.com/document/d/1zC7icpZm6yNw-ML3h72vj-DHn7e8tsTP-avrs4nv6IU/edit?usp=drivesdk" TargetMode="External"/><Relationship Id="rId694" Type="http://schemas.openxmlformats.org/officeDocument/2006/relationships/hyperlink" Target="https://docs.google.com/document/d/1cxXfX67oIW42T1Oez5_-5cd6IRwPnZp0-2loUFTCpgg/edit?usp=drivesdk" TargetMode="External"/><Relationship Id="rId708" Type="http://schemas.openxmlformats.org/officeDocument/2006/relationships/hyperlink" Target="https://docs.google.com/document/d/1A4XvO64Wlw1x33x__pgLDWkyOUI371RwX25NSVUHZj0/edit?usp=drivesdk" TargetMode="External"/><Relationship Id="rId915" Type="http://schemas.openxmlformats.org/officeDocument/2006/relationships/hyperlink" Target="https://docs.google.com/document/d/1AXmjglSZyT-fgClbv1_snrdEzJhFXsBrN53DsuqPFow/edit?usp=drivesdk" TargetMode="External"/><Relationship Id="rId291" Type="http://schemas.openxmlformats.org/officeDocument/2006/relationships/hyperlink" Target="https://docs.google.com/document/d/1nBWzBiDSsyiR3ju6LhrlU1ZVjn_PV5JBs4--S8E4a3Q/edit?usp=drivesdk" TargetMode="External"/><Relationship Id="rId305" Type="http://schemas.openxmlformats.org/officeDocument/2006/relationships/hyperlink" Target="https://docs.google.com/document/d/1uTQ3cRptrbH2rU6bifYJQOp03goG-mR9xEJElr8rAvw/edit?usp=drivesdk" TargetMode="External"/><Relationship Id="rId347" Type="http://schemas.openxmlformats.org/officeDocument/2006/relationships/hyperlink" Target="https://docs.google.com/document/d/1XcVFZzDY85Qnprn6bdjN8xHXM896AB5RZfyIW2kUNRc/edit?usp=drivesdk" TargetMode="External"/><Relationship Id="rId512" Type="http://schemas.openxmlformats.org/officeDocument/2006/relationships/hyperlink" Target="https://docs.google.com/document/d/1byzPSWRScHvsiX5XKkYHTFEcYBwG1NT4fDZv-yHyYEk/edit?usp=drivesdk" TargetMode="External"/><Relationship Id="rId957" Type="http://schemas.openxmlformats.org/officeDocument/2006/relationships/hyperlink" Target="https://docs.google.com/document/d/1nZuojiG1Zz2B9baWliDwqINIwE_xuHB8dqiMVX-y-6E/edit?usp=drivesdk" TargetMode="External"/><Relationship Id="rId999" Type="http://schemas.openxmlformats.org/officeDocument/2006/relationships/hyperlink" Target="https://docs.google.com/document/d/1ajHrTrKCT2Q7oI0yHsSlCla1cU-eibIp7XbVM5KMess/edit?usp=drivesdk" TargetMode="External"/><Relationship Id="rId44" Type="http://schemas.openxmlformats.org/officeDocument/2006/relationships/hyperlink" Target="https://docs.google.com/document/d/1QBVhj8T9wlvA9MtmpE0nIHEBCK43PFkjVDTBjO99NHM/edit?usp=drivesdk" TargetMode="External"/><Relationship Id="rId86" Type="http://schemas.openxmlformats.org/officeDocument/2006/relationships/hyperlink" Target="https://docs.google.com/document/d/1cg_61x0Prb1H5bL7SShihaJ8nyb-k-Re1xSmZMw8yHQ/edit?usp=drivesdk" TargetMode="External"/><Relationship Id="rId151" Type="http://schemas.openxmlformats.org/officeDocument/2006/relationships/hyperlink" Target="https://docs.google.com/document/d/1RDmcLZdwMIRHDuujQWjczrbdq11SFvJ7BvyZZWaLJ_M/edit?usp=drivesdk" TargetMode="External"/><Relationship Id="rId389" Type="http://schemas.openxmlformats.org/officeDocument/2006/relationships/hyperlink" Target="https://docs.google.com/document/d/1hRHCgSxbnv7hu6DeHUy5JI5pBcEgXO0l_jaGUl_e9dU/edit?usp=drivesdk" TargetMode="External"/><Relationship Id="rId554" Type="http://schemas.openxmlformats.org/officeDocument/2006/relationships/hyperlink" Target="https://docs.google.com/document/d/1v1d_ycMucf1LgqyFha5kYLpVsR2kxTPYqANN4NehAQk/edit?usp=drivesdk" TargetMode="External"/><Relationship Id="rId596" Type="http://schemas.openxmlformats.org/officeDocument/2006/relationships/hyperlink" Target="https://docs.google.com/document/d/1QvEU8ZgbIaydkHW7DKb620NOSlvCMul-bNvMGhlseqU/edit?usp=drivesdk" TargetMode="External"/><Relationship Id="rId761" Type="http://schemas.openxmlformats.org/officeDocument/2006/relationships/hyperlink" Target="https://docs.google.com/document/d/1tDCt5DNiRtV4oJZ7GR1-mrLyLkZ0bQGPfkQpvm6DyVI/edit?usp=drivesdk" TargetMode="External"/><Relationship Id="rId817" Type="http://schemas.openxmlformats.org/officeDocument/2006/relationships/hyperlink" Target="https://docs.google.com/document/d/1189rlEgEhh8PC7eGGo3Z5n3vmlwZwqFwLyIfCTGRhco/edit?usp=drivesdk" TargetMode="External"/><Relationship Id="rId859" Type="http://schemas.openxmlformats.org/officeDocument/2006/relationships/hyperlink" Target="https://docs.google.com/document/d/14gdSDwcjH75LHzQIapjW8GiD85udQ4PIdtP-kja9pAQ/edit?usp=drivesdk" TargetMode="External"/><Relationship Id="rId1002" Type="http://schemas.openxmlformats.org/officeDocument/2006/relationships/hyperlink" Target="https://docs.google.com/document/d/1KNCZLl_ZY3EhKcrEBZDY2qR3MPmRxQavlZuUjYB4Qug/edit?usp=drivesdk" TargetMode="External"/><Relationship Id="rId193" Type="http://schemas.openxmlformats.org/officeDocument/2006/relationships/hyperlink" Target="https://docs.google.com/document/d/1w5yvrJDRg-YgyWDyeVMe6dpoKT5A2GMePvS1bvcmC00/edit?usp=drivesdk" TargetMode="External"/><Relationship Id="rId207" Type="http://schemas.openxmlformats.org/officeDocument/2006/relationships/hyperlink" Target="https://docs.google.com/document/d/14yTxW_f-O_a2XG44MuzS7iWl79ZZNjt9kb-KH_PVWqg/edit?usp=drivesdk" TargetMode="External"/><Relationship Id="rId249" Type="http://schemas.openxmlformats.org/officeDocument/2006/relationships/hyperlink" Target="https://docs.google.com/document/d/1Sn9bVL2GIklcZRZgPcVrs4YIzFCqYYDAXCMJVl9B1R0/edit?usp=drivesdk" TargetMode="External"/><Relationship Id="rId414" Type="http://schemas.openxmlformats.org/officeDocument/2006/relationships/hyperlink" Target="https://docs.google.com/document/d/1JWAEHsDzvl7pbzZIbe-Lnfe9jqYcORBAu_2CLinmP9I/edit?usp=drivesdk" TargetMode="External"/><Relationship Id="rId456" Type="http://schemas.openxmlformats.org/officeDocument/2006/relationships/hyperlink" Target="https://docs.google.com/document/d/1QddUwrZdJV4ixLSWPW4dMpr5PP4hsvdstW26I4rlJwE/edit?usp=drivesdk" TargetMode="External"/><Relationship Id="rId498" Type="http://schemas.openxmlformats.org/officeDocument/2006/relationships/hyperlink" Target="https://docs.google.com/document/d/1Cjb2-AzU_NBOyur8SA9JrJCvulKVrrmuAbi3ag8a9ck/edit?usp=drivesdk" TargetMode="External"/><Relationship Id="rId621" Type="http://schemas.openxmlformats.org/officeDocument/2006/relationships/hyperlink" Target="https://docs.google.com/document/d/1FKAqMEY_g_rya7YlNv19G33M5CA5yaNeQJYdoczRH0M/edit?usp=drivesdk" TargetMode="External"/><Relationship Id="rId663" Type="http://schemas.openxmlformats.org/officeDocument/2006/relationships/hyperlink" Target="https://docs.google.com/document/d/1ycI5xEFf1yEBO7dDvNut7gMIfOuux3hRYHJqrjI0Aik/edit?usp=drivesdk" TargetMode="External"/><Relationship Id="rId870" Type="http://schemas.openxmlformats.org/officeDocument/2006/relationships/hyperlink" Target="https://docs.google.com/document/d/1RNpvclHnJJr0u7JZP4GUl3UaxneiCGy09j_OwC6AbnQ/edit?usp=drivesdk" TargetMode="External"/><Relationship Id="rId1044" Type="http://schemas.openxmlformats.org/officeDocument/2006/relationships/hyperlink" Target="https://docs.google.com/document/d/1IYR7FqnSB_0Xnx73LkTDA7-_U_YDFv8xYprZC6_kY7A/edit?usp=drivesdk" TargetMode="External"/><Relationship Id="rId13" Type="http://schemas.openxmlformats.org/officeDocument/2006/relationships/hyperlink" Target="https://drive.google.com/a/gtmnerr.org/file/d/1xtziDCcDw8NcS5SRk_17AU3Q8TKpQ1Z4/view?usp=drivesdk" TargetMode="External"/><Relationship Id="rId109" Type="http://schemas.openxmlformats.org/officeDocument/2006/relationships/hyperlink" Target="https://docs.google.com/document/d/1XqXDCS49mMlYjyDJhRRyb2rd--vYYMQZl9cTt1SyJXY/edit?usp=drivesdk" TargetMode="External"/><Relationship Id="rId260" Type="http://schemas.openxmlformats.org/officeDocument/2006/relationships/hyperlink" Target="https://docs.google.com/document/d/1eXlcmMIv9zUf7k-HL1ZFahKVKf9u1qFeaJAyflX6R20/edit?usp=drivesdk" TargetMode="External"/><Relationship Id="rId316" Type="http://schemas.openxmlformats.org/officeDocument/2006/relationships/hyperlink" Target="https://docs.google.com/document/d/1i6f7kHhOK6gs1CovzkHGRW2qcF_O4PSMw6GEfKJFoiI/edit?usp=drivesdk" TargetMode="External"/><Relationship Id="rId523" Type="http://schemas.openxmlformats.org/officeDocument/2006/relationships/hyperlink" Target="https://docs.google.com/document/d/146mwHouOjG7aheOjGaaxhClEhLGk3MCg5yq1yEL_oJI/edit?usp=drivesdk" TargetMode="External"/><Relationship Id="rId719" Type="http://schemas.openxmlformats.org/officeDocument/2006/relationships/hyperlink" Target="https://docs.google.com/document/d/1XojH0yp8rDjqrI4tUMbjuC4OcVbYJB1xyxwEb2smsC0/edit?usp=drivesdk" TargetMode="External"/><Relationship Id="rId926" Type="http://schemas.openxmlformats.org/officeDocument/2006/relationships/hyperlink" Target="https://docs.google.com/document/d/1JwLAAoIjoCxsk1TIgtaY49Csia2vRzEuf9gY96LebkU/edit?usp=drivesdk" TargetMode="External"/><Relationship Id="rId968" Type="http://schemas.openxmlformats.org/officeDocument/2006/relationships/hyperlink" Target="https://docs.google.com/document/d/1l-iFtoGNM2B6-dcpQdwQCJ2BT2hve12jli6JoxWhvco/edit?usp=drivesdk" TargetMode="External"/><Relationship Id="rId55" Type="http://schemas.openxmlformats.org/officeDocument/2006/relationships/hyperlink" Target="https://docs.google.com/document/d/1Ad-FJGyHWoa6R8teeyJx_5DdPsF8CvyTVaG0dnm6hzA/edit?usp=drivesdk" TargetMode="External"/><Relationship Id="rId97" Type="http://schemas.openxmlformats.org/officeDocument/2006/relationships/hyperlink" Target="https://docs.google.com/document/d/17sdCynz09IpAwVH5o8CprezXdWWPeoNhVJw4691Iw8A/edit?usp=drivesdk" TargetMode="External"/><Relationship Id="rId120" Type="http://schemas.openxmlformats.org/officeDocument/2006/relationships/hyperlink" Target="https://docs.google.com/document/d/1pOCINOcEnSuc-joWQ1QIg6quFm4xBtL_1Iljg7H-ldU/edit?usp=drivesdk" TargetMode="External"/><Relationship Id="rId358" Type="http://schemas.openxmlformats.org/officeDocument/2006/relationships/hyperlink" Target="https://docs.google.com/document/d/1BAinsbnizosXnxABViaWb-GWFCx3cHjCFySCLmnYpts/edit?usp=drivesdk" TargetMode="External"/><Relationship Id="rId565" Type="http://schemas.openxmlformats.org/officeDocument/2006/relationships/hyperlink" Target="https://docs.google.com/document/d/1L789FymMi2DngmcMH0taqrUpMK9Jscf1vat03FiTFSM/edit?usp=drivesdk" TargetMode="External"/><Relationship Id="rId730" Type="http://schemas.openxmlformats.org/officeDocument/2006/relationships/hyperlink" Target="https://docs.google.com/document/d/1KXjyQBx819Ivx7D5dxZ-eyCgkuFt3cvyNWchlnX56Uc/edit?usp=drivesdk" TargetMode="External"/><Relationship Id="rId772" Type="http://schemas.openxmlformats.org/officeDocument/2006/relationships/hyperlink" Target="https://docs.google.com/document/d/1nsy5CuF89efKL0pDzRSeJgjs3aDaUBQEKHHN0TYOPII/edit?usp=drivesdk" TargetMode="External"/><Relationship Id="rId828" Type="http://schemas.openxmlformats.org/officeDocument/2006/relationships/hyperlink" Target="https://docs.google.com/document/d/1bPPIrLLzD-mBT2fbfSWmrkC3JqcjJWfEj6V_Mys-fMw/edit?usp=drivesdk" TargetMode="External"/><Relationship Id="rId1013" Type="http://schemas.openxmlformats.org/officeDocument/2006/relationships/hyperlink" Target="https://docs.google.com/document/d/1d8aClrAG239_Shik4H3iPa28RFbAE678n1Gt1kWr2X8/edit?usp=drivesdk" TargetMode="External"/><Relationship Id="rId162" Type="http://schemas.openxmlformats.org/officeDocument/2006/relationships/hyperlink" Target="https://docs.google.com/document/d/1HISdHTEExN4zHmyd24EnNJE9re7ldowomCTkQ-w64zU/edit?usp=drivesdk" TargetMode="External"/><Relationship Id="rId218" Type="http://schemas.openxmlformats.org/officeDocument/2006/relationships/hyperlink" Target="https://docs.google.com/document/d/1Vt0pUicYELfU8R8zAnYq1oBkEo08TQq0YR1IqW-z6do/edit?usp=drivesdk" TargetMode="External"/><Relationship Id="rId425" Type="http://schemas.openxmlformats.org/officeDocument/2006/relationships/hyperlink" Target="https://docs.google.com/document/d/1nm0g3cHNcN8q6vpEqBQxuQ23aekuvwwuSIK_-z3m66M/edit?usp=drivesdk" TargetMode="External"/><Relationship Id="rId467" Type="http://schemas.openxmlformats.org/officeDocument/2006/relationships/hyperlink" Target="https://docs.google.com/document/d/18ueYMCS9PuEcdj5e2Dexz71bQVfSkZh4Jcpu8cHWIEU/edit?usp=drivesdk" TargetMode="External"/><Relationship Id="rId632" Type="http://schemas.openxmlformats.org/officeDocument/2006/relationships/hyperlink" Target="https://docs.google.com/document/d/1CpOtr1dPIVZTlrRt4dFAvLFBIKCcDrIQYfPTFZo3Hsg/edit?usp=drivesdk" TargetMode="External"/><Relationship Id="rId1055" Type="http://schemas.openxmlformats.org/officeDocument/2006/relationships/hyperlink" Target="https://docs.google.com/document/d/1N7xFP-LtuYDRi67yqfeIt_bAFtrGa90SpPQ1U-R-mmA/edit?usp=drivesdk" TargetMode="External"/><Relationship Id="rId271" Type="http://schemas.openxmlformats.org/officeDocument/2006/relationships/hyperlink" Target="https://docs.google.com/document/d/1UEl-2dca8hhWbxoBq3pZJzZcixkeZmJLnspPZQ9oT-Q/edit?usp=drivesdk" TargetMode="External"/><Relationship Id="rId674" Type="http://schemas.openxmlformats.org/officeDocument/2006/relationships/hyperlink" Target="https://docs.google.com/document/d/1EPlJPHUcZdFYl2FAAXzx5mCYJyVFid6O0-u_9hsdwGY/edit?usp=drivesdk" TargetMode="External"/><Relationship Id="rId881" Type="http://schemas.openxmlformats.org/officeDocument/2006/relationships/hyperlink" Target="https://docs.google.com/document/d/1Vam4eAn0J_uSWai1w9dpRY1dAhOI4x27T2uQTWJfLLQ/edit?usp=drivesdk" TargetMode="External"/><Relationship Id="rId937" Type="http://schemas.openxmlformats.org/officeDocument/2006/relationships/hyperlink" Target="https://docs.google.com/document/d/1NEYka_0hwOS8Orqa0tmV85I3OlDD8X8y6VtYblhbHQw/edit?usp=drivesdk" TargetMode="External"/><Relationship Id="rId979" Type="http://schemas.openxmlformats.org/officeDocument/2006/relationships/hyperlink" Target="https://docs.google.com/document/d/1vuSrtCXQT7_Dj9IvtlFwGjxtRhz8Tq5CtWg1W1s-3yA/edit?usp=drivesdk" TargetMode="External"/><Relationship Id="rId24" Type="http://schemas.openxmlformats.org/officeDocument/2006/relationships/hyperlink" Target="https://docs.google.com/document/d/11JZf3cCy2oWzUnb0sX9zgzWgWoI2_8xAwaHHjF2yHkM/edit?usp=drivesdk" TargetMode="External"/><Relationship Id="rId66" Type="http://schemas.openxmlformats.org/officeDocument/2006/relationships/hyperlink" Target="https://docs.google.com/document/d/1XauK_Lwrv1Qt95jY2ZpwtpyOvOLtQrABuSS55AExW6U/edit?usp=drivesdk" TargetMode="External"/><Relationship Id="rId131" Type="http://schemas.openxmlformats.org/officeDocument/2006/relationships/hyperlink" Target="https://docs.google.com/document/d/1L1Qa-gJZob4LNqDWn65q46mBvDTDwlLwU3zjXy1ncsw/edit?usp=drivesdk" TargetMode="External"/><Relationship Id="rId327" Type="http://schemas.openxmlformats.org/officeDocument/2006/relationships/hyperlink" Target="https://docs.google.com/a/gtmnerr.org/document/d/11Q1zngHv0-P5AsO1ZgZYteXWIjY4Pp94rg3HG76Vfhk/edit?usp=drivesdk" TargetMode="External"/><Relationship Id="rId369" Type="http://schemas.openxmlformats.org/officeDocument/2006/relationships/hyperlink" Target="https://docs.google.com/document/d/1T1xgt2ahMRDccE_WEFm_45PLgPC27Ub_s2m5i78_c2Q/edit?usp=drivesdk" TargetMode="External"/><Relationship Id="rId534" Type="http://schemas.openxmlformats.org/officeDocument/2006/relationships/hyperlink" Target="https://docs.google.com/document/d/1cqSJb_LUoFXMpxSrAgR_tyVbdhnOCkKSX-WcS6zC0IM/edit?usp=drivesdk" TargetMode="External"/><Relationship Id="rId576" Type="http://schemas.openxmlformats.org/officeDocument/2006/relationships/hyperlink" Target="https://docs.google.com/document/d/11G2NIvkxYhVMIfFC7TtPcuYqWq3dXscydx5rkc-BfL8/edit?usp=drivesdk" TargetMode="External"/><Relationship Id="rId741" Type="http://schemas.openxmlformats.org/officeDocument/2006/relationships/hyperlink" Target="https://docs.google.com/document/d/1d_9k9uejrL2ejvPzAf3KlrFQjPlfjaoBPeof4xiZY9I/edit?usp=drivesdk" TargetMode="External"/><Relationship Id="rId783" Type="http://schemas.openxmlformats.org/officeDocument/2006/relationships/hyperlink" Target="https://docs.google.com/document/d/1_wnk2a_d2Xly2coV3fDD38xS3cK_b49E4biqTvlPGzY/edit?usp=drivesdk" TargetMode="External"/><Relationship Id="rId839" Type="http://schemas.openxmlformats.org/officeDocument/2006/relationships/hyperlink" Target="https://docs.google.com/document/d/1jRBmf_0hFlqY6-Ku43UFuR6_WekZNV3tLFwyqSuZ7_c/edit?usp=drivesdk" TargetMode="External"/><Relationship Id="rId990" Type="http://schemas.openxmlformats.org/officeDocument/2006/relationships/hyperlink" Target="https://docs.google.com/document/d/1s1JX6z8DZPXnX2WkBZ3cvLr9rnDCywmEKC9_kKYIdNw/edit?usp=drivesdk" TargetMode="External"/><Relationship Id="rId173" Type="http://schemas.openxmlformats.org/officeDocument/2006/relationships/hyperlink" Target="https://docs.google.com/document/d/1oCIbNyJwXRwNMINWHnLOK0AHi7aUYV5hxePSeCyfP2Q/edit?usp=drivesdk" TargetMode="External"/><Relationship Id="rId229" Type="http://schemas.openxmlformats.org/officeDocument/2006/relationships/hyperlink" Target="https://docs.google.com/document/d/1sDmDyYMJ_Z6YauBF7BJ7lbIu9r7ZI3aH4vnfTBeQ-Is/edit?usp=drivesdk" TargetMode="External"/><Relationship Id="rId380" Type="http://schemas.openxmlformats.org/officeDocument/2006/relationships/hyperlink" Target="https://docs.google.com/document/d/1h83vbiy0qIUMEJu9na-S6xILq_JKNVe8nRk6se4XBmI/edit?usp=drivesdk" TargetMode="External"/><Relationship Id="rId436" Type="http://schemas.openxmlformats.org/officeDocument/2006/relationships/hyperlink" Target="https://docs.google.com/document/d/1m-gcMOonRqpC2CRrsxi78JIIPqqWlY38V9zr7EZlAqE/edit?usp=drivesdk" TargetMode="External"/><Relationship Id="rId601" Type="http://schemas.openxmlformats.org/officeDocument/2006/relationships/hyperlink" Target="https://docs.google.com/document/d/1crtF05F3q5CAMEyM-5WMtJzayv4sDJC-8hgNvvAP3dA/edit?usp=drivesdk" TargetMode="External"/><Relationship Id="rId643" Type="http://schemas.openxmlformats.org/officeDocument/2006/relationships/hyperlink" Target="https://docs.google.com/document/d/179EwcNsSeb5b-4mufHGtmSQB11MCBJG9X_-GaLVF65A/edit?usp=drivesdk" TargetMode="External"/><Relationship Id="rId1024" Type="http://schemas.openxmlformats.org/officeDocument/2006/relationships/hyperlink" Target="https://docs.google.com/document/d/1kz63aCtD8EOo1dP1pCjC4IDQvpk4bY1ceXD212fNiQ8/edit?usp=drivesdk" TargetMode="External"/><Relationship Id="rId1066" Type="http://schemas.openxmlformats.org/officeDocument/2006/relationships/hyperlink" Target="https://docs.google.com/document/d/1P9H2KikmC9-bQW2BbO7h_tia5NqNec4RRkWd8Ewfb3k/edit?usp=drivesdk" TargetMode="External"/><Relationship Id="rId240" Type="http://schemas.openxmlformats.org/officeDocument/2006/relationships/hyperlink" Target="https://docs.google.com/document/d/1VtQ18zcO7flR4xUlRI4xlQwk7HLbxifr5GREZNqxXeE/edit?usp=drivesdk" TargetMode="External"/><Relationship Id="rId478" Type="http://schemas.openxmlformats.org/officeDocument/2006/relationships/hyperlink" Target="https://docs.google.com/document/d/1Q3RnEnYWyufu63NNQ7-DOQFAqeNUadnCOGapTsd72fs/edit?usp=drivesdk" TargetMode="External"/><Relationship Id="rId685" Type="http://schemas.openxmlformats.org/officeDocument/2006/relationships/hyperlink" Target="https://docs.google.com/document/d/1D7VnvlRYsXh23tW1OzsJiBw_0qMMA1QxRATmM1zC_dM/edit?usp=drivesdk" TargetMode="External"/><Relationship Id="rId850" Type="http://schemas.openxmlformats.org/officeDocument/2006/relationships/hyperlink" Target="https://docs.google.com/document/d/1BRJw2bdM1aYJfztrQhzxL9IXIuVuE7CBuSrnisRybno/edit?usp=drivesdk" TargetMode="External"/><Relationship Id="rId892" Type="http://schemas.openxmlformats.org/officeDocument/2006/relationships/hyperlink" Target="https://docs.google.com/document/d/1DQnFIKzmjyhwZg9pJIXA6hgD4noav7xEJ3PqtjBrRhk/edit?usp=drivesdk" TargetMode="External"/><Relationship Id="rId906" Type="http://schemas.openxmlformats.org/officeDocument/2006/relationships/hyperlink" Target="https://docs.google.com/document/d/1iqaaMs6923fCABIWXKbPSrIHg3EGKHOXykTwpfCOo2w/edit?usp=drivesdk" TargetMode="External"/><Relationship Id="rId948" Type="http://schemas.openxmlformats.org/officeDocument/2006/relationships/hyperlink" Target="https://docs.google.com/document/d/1Prk8_fnvolVGiW1vrMnpszsRwuu18kSjzDVQvwVAOTM/edit?usp=drivesdk" TargetMode="External"/><Relationship Id="rId35" Type="http://schemas.openxmlformats.org/officeDocument/2006/relationships/hyperlink" Target="https://docs.google.com/document/d/1NVKICve706r0YkCzp__mT8BDMJdF4QnbOgxRSabgmKc/edit?usp=drivesdk" TargetMode="External"/><Relationship Id="rId77" Type="http://schemas.openxmlformats.org/officeDocument/2006/relationships/hyperlink" Target="https://docs.google.com/document/d/1cWHC30uCG8clysPvFjcXE45CuDzXqmgLp_YEJ8TY14o/edit?usp=drivesdk" TargetMode="External"/><Relationship Id="rId100" Type="http://schemas.openxmlformats.org/officeDocument/2006/relationships/hyperlink" Target="https://docs.google.com/document/d/1Zr-dHoYFPh8hWNtbTV1mMdu01l2o95lPBKDPC730sdw/edit?usp=drivesdk" TargetMode="External"/><Relationship Id="rId282" Type="http://schemas.openxmlformats.org/officeDocument/2006/relationships/hyperlink" Target="https://docs.google.com/document/d/1AE-X1g5JwYwKIewk8HKwamVWj8F3gqOdlwE6ACEbgo8/edit?usp=drivesdk" TargetMode="External"/><Relationship Id="rId338" Type="http://schemas.openxmlformats.org/officeDocument/2006/relationships/hyperlink" Target="https://docs.google.com/document/d/1PicdNXXQZ-9U5WxAltsBvLegzKfGcnA5Rh_W_l0A7Ss/edit?usp=drivesdk" TargetMode="External"/><Relationship Id="rId503" Type="http://schemas.openxmlformats.org/officeDocument/2006/relationships/hyperlink" Target="https://docs.google.com/document/d/1sorxRew_pzwegTFEaF7rvDo2cZ-5GSHY1uilWuQtjWQ/edit?usp=drivesdk" TargetMode="External"/><Relationship Id="rId545" Type="http://schemas.openxmlformats.org/officeDocument/2006/relationships/hyperlink" Target="https://docs.google.com/document/d/1UM-tv4Autoa-LbBAytPK6GrjF7Dl4nDONos8fGnYw-I/edit?usp=drivesdk" TargetMode="External"/><Relationship Id="rId587" Type="http://schemas.openxmlformats.org/officeDocument/2006/relationships/hyperlink" Target="https://docs.google.com/document/d/1aTQ7YGe3tRxlPJOg63njfYo7QZVK1-wqIRVEKZ5pioA/edit?usp=drivesdk" TargetMode="External"/><Relationship Id="rId710" Type="http://schemas.openxmlformats.org/officeDocument/2006/relationships/hyperlink" Target="https://docs.google.com/document/d/1ydNdvaeB5pe3MmLPkoY0vCG0dE4YMX8a-5Sbq6oCxo0/edit?usp=drivesdk" TargetMode="External"/><Relationship Id="rId752" Type="http://schemas.openxmlformats.org/officeDocument/2006/relationships/hyperlink" Target="https://docs.google.com/document/d/1YvirKsF0w8xDh8Z_oCLakF_rxy2JMsSyuStfyg67JzA/edit?usp=drivesdk" TargetMode="External"/><Relationship Id="rId808" Type="http://schemas.openxmlformats.org/officeDocument/2006/relationships/hyperlink" Target="https://docs.google.com/document/d/1caFKnBqIU2MIWDetLrgImdOeoquQFwnU7BlQL3lz6QE/edit?usp=drivesdk" TargetMode="External"/><Relationship Id="rId8" Type="http://schemas.openxmlformats.org/officeDocument/2006/relationships/hyperlink" Target="https://drive.google.com/a/gtmnerr.org/file/d/1xdZPUxBQL3Q04nu9hZKEqU5OAwvcXjY4/view?usp=drivesdk" TargetMode="External"/><Relationship Id="rId142" Type="http://schemas.openxmlformats.org/officeDocument/2006/relationships/hyperlink" Target="https://docs.google.com/document/d/1OeQTHLSFGSAT31agDkq7pmB0XfjKbGB3H-0rpdiqzEk/edit?usp=drivesdk" TargetMode="External"/><Relationship Id="rId184" Type="http://schemas.openxmlformats.org/officeDocument/2006/relationships/hyperlink" Target="https://docs.google.com/document/d/1zstXvM6CwDhboX8ljkxSJeWbw2aJlIOMC9rK3xtsd2U/edit?usp=drivesdk" TargetMode="External"/><Relationship Id="rId391" Type="http://schemas.openxmlformats.org/officeDocument/2006/relationships/hyperlink" Target="https://docs.google.com/document/d/1TTDgJwN76xiXWyDlFbbKJxZHE_M1_FnRC9jx-Hp0QS4/edit?usp=drivesdk" TargetMode="External"/><Relationship Id="rId405" Type="http://schemas.openxmlformats.org/officeDocument/2006/relationships/hyperlink" Target="https://docs.google.com/document/d/1kHlAOqzXYOdFmF5mwK116zmtf-WGoNyKYM7eg3XI8fI/edit?usp=drivesdk" TargetMode="External"/><Relationship Id="rId447" Type="http://schemas.openxmlformats.org/officeDocument/2006/relationships/hyperlink" Target="https://docs.google.com/document/d/1GJCy6Iex1X0y338RB7zPqTEUS_P0oXSt368XSaXCcXo/edit?usp=drivesdk" TargetMode="External"/><Relationship Id="rId612" Type="http://schemas.openxmlformats.org/officeDocument/2006/relationships/hyperlink" Target="https://docs.google.com/document/d/1MP60ilCjVEwOAG1TTQJKcVrj8LBuGw_aE8o6gk6K4UI/edit?usp=drivesdk" TargetMode="External"/><Relationship Id="rId794" Type="http://schemas.openxmlformats.org/officeDocument/2006/relationships/hyperlink" Target="https://docs.google.com/document/d/1euQrZ_bUjQGXvmsIAky5C3hTAgHz9637UMF-abrjTHo/edit?usp=drivesdk" TargetMode="External"/><Relationship Id="rId1035" Type="http://schemas.openxmlformats.org/officeDocument/2006/relationships/hyperlink" Target="https://docs.google.com/document/d/1OqAh-TOLG0ZScvCqjvDRZYuc0dmvcq9FSb0z0TDc3rI/edit?usp=drivesdk" TargetMode="External"/><Relationship Id="rId251" Type="http://schemas.openxmlformats.org/officeDocument/2006/relationships/hyperlink" Target="https://docs.google.com/document/d/1uCFtG0-wU4D5kQQg_2QZmZQcdgRoCiQDn3rZkEBvv04/edit?usp=drivesdk" TargetMode="External"/><Relationship Id="rId489" Type="http://schemas.openxmlformats.org/officeDocument/2006/relationships/hyperlink" Target="https://docs.google.com/document/d/1FKui5boxPY6pfdmYNthCze8TyBroadTSUwD9x_BkpMc/edit?usp=drivesdk" TargetMode="External"/><Relationship Id="rId654" Type="http://schemas.openxmlformats.org/officeDocument/2006/relationships/hyperlink" Target="https://docs.google.com/document/d/1GxIs9p5uXK7zmSAlxjBRO0VxTiyBWhyxQkf29B3ufqI/edit?usp=drivesdk" TargetMode="External"/><Relationship Id="rId696" Type="http://schemas.openxmlformats.org/officeDocument/2006/relationships/hyperlink" Target="https://docs.google.com/document/d/1ydW9SMnCi_R1xMLxd-y-GdM_19LWlp7xByBFlAnlbQ0/edit?usp=drivesdk" TargetMode="External"/><Relationship Id="rId861" Type="http://schemas.openxmlformats.org/officeDocument/2006/relationships/hyperlink" Target="https://docs.google.com/document/d/1GM4Fa7kMUAsax3q5y8_21MNcaYO2AJNntZWfUSxr2ak/edit?usp=drivesdk" TargetMode="External"/><Relationship Id="rId917" Type="http://schemas.openxmlformats.org/officeDocument/2006/relationships/hyperlink" Target="https://docs.google.com/document/d/123ut7z1m-eqYHOtQdDpCAKH5sfmZLfTxuXlqMhmHYOE/edit?usp=drivesdk" TargetMode="External"/><Relationship Id="rId959" Type="http://schemas.openxmlformats.org/officeDocument/2006/relationships/hyperlink" Target="https://docs.google.com/document/d/1gYgU-QfaqEu6KpSw0iKxDCQKQMe1_tStWMQx9DevoFE/edit?usp=drivesdk" TargetMode="External"/><Relationship Id="rId46" Type="http://schemas.openxmlformats.org/officeDocument/2006/relationships/hyperlink" Target="https://docs.google.com/document/d/1GGxNyt9MBnblp9Zx3L_z8an_bzsgGlS6W15cDVnm3fk/edit?usp=drivesdk" TargetMode="External"/><Relationship Id="rId293" Type="http://schemas.openxmlformats.org/officeDocument/2006/relationships/hyperlink" Target="https://docs.google.com/document/d/1vh9SYwexF7o-MJsnwZb4b3TupfyrNa39KjhqGok5m9c/edit?usp=drivesdk" TargetMode="External"/><Relationship Id="rId307" Type="http://schemas.openxmlformats.org/officeDocument/2006/relationships/hyperlink" Target="https://docs.google.com/document/d/1i930KaeCQlWUDAixF0akElGqD6KN0UM1R3AMA3CzBgU/edit?usp=drivesdk" TargetMode="External"/><Relationship Id="rId349" Type="http://schemas.openxmlformats.org/officeDocument/2006/relationships/hyperlink" Target="https://docs.google.com/document/d/1A0N0MGKq44r4WVGGlz3AGJmeioeR0rtdAgdYTyR479E/edit?usp=drivesdk" TargetMode="External"/><Relationship Id="rId514" Type="http://schemas.openxmlformats.org/officeDocument/2006/relationships/hyperlink" Target="https://docs.google.com/document/d/1aYmJ0p8fesI4eujF2xZto-P721vPgu_tdrmmxkLjpus/edit?usp=drivesdk" TargetMode="External"/><Relationship Id="rId556" Type="http://schemas.openxmlformats.org/officeDocument/2006/relationships/hyperlink" Target="https://docs.google.com/document/d/1-DTv4tpnzAJLpiiq2bxbja_Q9n8aYizvebb8SQq0X6s/edit?usp=drivesdk" TargetMode="External"/><Relationship Id="rId721" Type="http://schemas.openxmlformats.org/officeDocument/2006/relationships/hyperlink" Target="https://docs.google.com/document/d/1B317P-lEcLwD8YoUdp-3z1HHQiAYXpCOdF9hws6OGho/edit?usp=drivesdk" TargetMode="External"/><Relationship Id="rId763" Type="http://schemas.openxmlformats.org/officeDocument/2006/relationships/hyperlink" Target="https://docs.google.com/document/d/1RUEnAO-XSvNXdXRbUg87kutppYphcF0KO3giDxFT4gM/edit?usp=drivesdk" TargetMode="External"/><Relationship Id="rId88" Type="http://schemas.openxmlformats.org/officeDocument/2006/relationships/hyperlink" Target="https://docs.google.com/document/d/1DymsQ1HeGPgIcWUJTZNcP4_6Zo3y4_qnZSDka3MTvQk/edit?usp=drivesdk" TargetMode="External"/><Relationship Id="rId111" Type="http://schemas.openxmlformats.org/officeDocument/2006/relationships/hyperlink" Target="https://docs.google.com/document/d/1n6ckOJjtT5Kbqv-5GwvO7IK8Y_xs2-jWe9dPvarxoEo/edit?usp=drivesdk" TargetMode="External"/><Relationship Id="rId153" Type="http://schemas.openxmlformats.org/officeDocument/2006/relationships/hyperlink" Target="https://docs.google.com/document/d/1ZNjLR5XjuWTsIS-2tFfq5tQYsgGh-MACWxn2ZoDEOuU/edit?usp=drivesdk" TargetMode="External"/><Relationship Id="rId195" Type="http://schemas.openxmlformats.org/officeDocument/2006/relationships/hyperlink" Target="https://docs.google.com/document/d/1SXZqdzN-q45bqHiSwks60gp_1yChmg6o0A3CtR_bRFY/edit?usp=drivesdk" TargetMode="External"/><Relationship Id="rId209" Type="http://schemas.openxmlformats.org/officeDocument/2006/relationships/hyperlink" Target="https://docs.google.com/document/d/1XZEg-gWWPTOj9opQYdpz_9DxyzyU6y5Gp45RZpWYD4Q/edit?usp=drivesdk" TargetMode="External"/><Relationship Id="rId360" Type="http://schemas.openxmlformats.org/officeDocument/2006/relationships/hyperlink" Target="https://docs.google.com/document/d/1CnmyIB1CMEK3y8oTsG8VVvIk28_ZM3rcS_hbz0BaXpM/edit?usp=drivesdk" TargetMode="External"/><Relationship Id="rId416" Type="http://schemas.openxmlformats.org/officeDocument/2006/relationships/hyperlink" Target="https://docs.google.com/document/d/1NYiCZEIo7QdI_MM5AwnxQK2cMAuJkE80A2NIC2gwWG0/edit?usp=drivesdk" TargetMode="External"/><Relationship Id="rId598" Type="http://schemas.openxmlformats.org/officeDocument/2006/relationships/hyperlink" Target="https://docs.google.com/document/d/1fsmPwCnR-Gpjvdf97oiSrahoYo5h_yyHzbgNHqOtJLc/edit?usp=drivesdk" TargetMode="External"/><Relationship Id="rId819" Type="http://schemas.openxmlformats.org/officeDocument/2006/relationships/hyperlink" Target="https://docs.google.com/document/d/1Nd1v2lMrQgjpNtEODCbADE_dVRtuSPXEji21TPN90FU/edit?usp=drivesdk" TargetMode="External"/><Relationship Id="rId970" Type="http://schemas.openxmlformats.org/officeDocument/2006/relationships/hyperlink" Target="https://docs.google.com/document/d/1P-BFqZTHN9dEPA-KiAZcwcxeocA5jxgc46026aOmr_Q/edit?usp=drivesdk" TargetMode="External"/><Relationship Id="rId1004" Type="http://schemas.openxmlformats.org/officeDocument/2006/relationships/hyperlink" Target="https://docs.google.com/document/d/1PChf2JfilFwD0GmROtkVICm_o_Hvb53_-8F3F1zIV1A/edit?usp=drivesdk" TargetMode="External"/><Relationship Id="rId1046" Type="http://schemas.openxmlformats.org/officeDocument/2006/relationships/hyperlink" Target="https://docs.google.com/document/d/1E_JqZzZXxHgEPUnx1LhYD5kexLdPmnFAcS0MYv676zo/edit?usp=drivesdk" TargetMode="External"/><Relationship Id="rId220" Type="http://schemas.openxmlformats.org/officeDocument/2006/relationships/hyperlink" Target="https://docs.google.com/document/d/1itUqLCg4quoRnKKQPLsV-rj3IX1_eBmEhbjlCHZeqlc/edit?usp=drivesdk" TargetMode="External"/><Relationship Id="rId458" Type="http://schemas.openxmlformats.org/officeDocument/2006/relationships/hyperlink" Target="https://docs.google.com/document/d/1F8W1BsCvrmv-v2LIuvU9wyI3HOyz_vu6ru4jTZf1DCY/edit?usp=drivesdk" TargetMode="External"/><Relationship Id="rId623" Type="http://schemas.openxmlformats.org/officeDocument/2006/relationships/hyperlink" Target="https://docs.google.com/document/d/1zYVTfIrPvK_uRD84Bt1UP_XagwKsuCgN-ntGvUkIvXA/edit?usp=drivesdk" TargetMode="External"/><Relationship Id="rId665" Type="http://schemas.openxmlformats.org/officeDocument/2006/relationships/hyperlink" Target="https://docs.google.com/document/d/1qyUjwT3iwzNGQaHgNFOes6d3yMk-RoO2aAXz47estPY/edit?usp=drivesdk" TargetMode="External"/><Relationship Id="rId830" Type="http://schemas.openxmlformats.org/officeDocument/2006/relationships/hyperlink" Target="https://docs.google.com/document/d/11-sCIQfVWmzzKVfsXOQ4OU8P64JW2uffCwBI4bz5UQA/edit?usp=drivesdk" TargetMode="External"/><Relationship Id="rId872" Type="http://schemas.openxmlformats.org/officeDocument/2006/relationships/hyperlink" Target="https://docs.google.com/document/d/1a73xZa5IDDQDNO_nPzuvRa66JBEEWrNC6uxiYOwMsHY/edit?usp=drivesdk" TargetMode="External"/><Relationship Id="rId928" Type="http://schemas.openxmlformats.org/officeDocument/2006/relationships/hyperlink" Target="https://docs.google.com/document/d/1rys_QpsALyGKGxvy4x6gCRKOSJHNDcpV3DIpYcxsjK4/edit?usp=drivesdk" TargetMode="External"/><Relationship Id="rId15" Type="http://schemas.openxmlformats.org/officeDocument/2006/relationships/hyperlink" Target="https://drive.google.com/a/gtmnerr.org/file/d/1iSoKHDcZ4JzQNG4JwzRoVeKu0BXy7IBM/view?usp=drivesdk" TargetMode="External"/><Relationship Id="rId57" Type="http://schemas.openxmlformats.org/officeDocument/2006/relationships/hyperlink" Target="https://docs.google.com/document/d/1segsGRdC7iRishkJwC9X3suCxEE9-PDWq8OEnJz3WW4/edit?usp=drivesdk" TargetMode="External"/><Relationship Id="rId262" Type="http://schemas.openxmlformats.org/officeDocument/2006/relationships/hyperlink" Target="https://docs.google.com/document/d/1Q9ML7tL-eCbAh36Z_OcvQHcpvugY7Asf2P4_F6COnTE/edit?usp=drivesdk" TargetMode="External"/><Relationship Id="rId318" Type="http://schemas.openxmlformats.org/officeDocument/2006/relationships/hyperlink" Target="https://docs.google.com/document/d/1dcxw6xlXtPDlo4G3zVliHM7eYEMWU9U5ZU03DGzm4Y4/edit?usp=drivesdk" TargetMode="External"/><Relationship Id="rId525" Type="http://schemas.openxmlformats.org/officeDocument/2006/relationships/hyperlink" Target="https://docs.google.com/document/d/1zkHBsV4qc-kLULeZhRe3eZljIkCzhWEvX5NqW3s8CUg/edit?usp=drivesdk" TargetMode="External"/><Relationship Id="rId567" Type="http://schemas.openxmlformats.org/officeDocument/2006/relationships/hyperlink" Target="https://docs.google.com/document/d/1GG45JwJCj6qjjnyoZcDEb3pcHAneGJOpHcTKu9x4jW0/edit?usp=drivesdk" TargetMode="External"/><Relationship Id="rId732" Type="http://schemas.openxmlformats.org/officeDocument/2006/relationships/hyperlink" Target="https://docs.google.com/document/d/1-0fXFz3yQVaz_nMxJU8N2R1p7TaQlIYMYw_2lbpqCck/edit?usp=drivesdk" TargetMode="External"/><Relationship Id="rId99" Type="http://schemas.openxmlformats.org/officeDocument/2006/relationships/hyperlink" Target="https://docs.google.com/document/d/1UoUokpEmpx5df0h6r4uANvSRcZZUW8I676NwUPCYPfg/edit?usp=drivesdk" TargetMode="External"/><Relationship Id="rId122" Type="http://schemas.openxmlformats.org/officeDocument/2006/relationships/hyperlink" Target="https://docs.google.com/document/d/1cwuPEokQaH8ROzsr7i8PtwhzKFzoCSG6aC6VvMPnr4c/edit?usp=drivesdk" TargetMode="External"/><Relationship Id="rId164" Type="http://schemas.openxmlformats.org/officeDocument/2006/relationships/hyperlink" Target="https://docs.google.com/document/d/17M5r-E0k9v_FKlTFq_QQgPbH7eVdZ0U53IGJR24U6D0/edit?usp=drivesdk" TargetMode="External"/><Relationship Id="rId371" Type="http://schemas.openxmlformats.org/officeDocument/2006/relationships/hyperlink" Target="https://docs.google.com/document/d/1QYU0K6Bg_b60Qb0JUgvwx83i12Fa5B9QcOUKDlg8KR4/edit?usp=drivesdk" TargetMode="External"/><Relationship Id="rId774" Type="http://schemas.openxmlformats.org/officeDocument/2006/relationships/hyperlink" Target="https://docs.google.com/document/d/1qwEmqtGayGdISIMpNWTgCk7OAZFe5tCpun_X48_ZesU/edit?usp=drivesdk" TargetMode="External"/><Relationship Id="rId981" Type="http://schemas.openxmlformats.org/officeDocument/2006/relationships/hyperlink" Target="https://docs.google.com/document/d/1Eb6dsX92Rh8ATpeGGeRTwg49pVCzW9Wp6B3qe83lpLQ/edit?usp=drivesdk" TargetMode="External"/><Relationship Id="rId1015" Type="http://schemas.openxmlformats.org/officeDocument/2006/relationships/hyperlink" Target="https://docs.google.com/document/d/132AB-wspJzGyfl6z_GKdMP6A3cmM5H3-N1aviZp8LcE/edit?usp=drivesdk" TargetMode="External"/><Relationship Id="rId1057" Type="http://schemas.openxmlformats.org/officeDocument/2006/relationships/hyperlink" Target="https://docs.google.com/document/d/1tAUT2VD3H6VzQm4dMnFWsbOrnWpQiyIicY9o_L7wlk4/edit?usp=drivesdk" TargetMode="External"/><Relationship Id="rId427" Type="http://schemas.openxmlformats.org/officeDocument/2006/relationships/hyperlink" Target="https://docs.google.com/document/d/1HSV531QesEHaEoEg2JNly_qNU43bFBGSW6qae_3nnUQ/edit?usp=drivesdk" TargetMode="External"/><Relationship Id="rId469" Type="http://schemas.openxmlformats.org/officeDocument/2006/relationships/hyperlink" Target="https://docs.google.com/document/d/1ZNiHciiuxCGN-TrD_Oge6bnmI0cb_1j_xs7GOnxOotw/edit?usp=drivesdk" TargetMode="External"/><Relationship Id="rId634" Type="http://schemas.openxmlformats.org/officeDocument/2006/relationships/hyperlink" Target="https://docs.google.com/document/d/1ELAjhbKfJ6dxjIxIiB9pk-rrnV9g09_ZJTrVlDo-Rm0/edit?usp=drivesdk" TargetMode="External"/><Relationship Id="rId676" Type="http://schemas.openxmlformats.org/officeDocument/2006/relationships/hyperlink" Target="https://docs.google.com/document/d/1zzyALf_i9LQ3GrwWeJ38Atu3isOdvJBSEYTzU8TCpgc/edit?usp=drivesdk" TargetMode="External"/><Relationship Id="rId841" Type="http://schemas.openxmlformats.org/officeDocument/2006/relationships/hyperlink" Target="https://docs.google.com/document/d/1mG7nM32uVVlBnXI1JDxReZ-DOBXSQkXTHkrWFIUoa2k/edit?usp=drivesdk" TargetMode="External"/><Relationship Id="rId883" Type="http://schemas.openxmlformats.org/officeDocument/2006/relationships/hyperlink" Target="https://docs.google.com/document/d/17P97fQUeMtfP6FWDjIN4XtKP1UVZHXztNwKTgGH5P7Q/edit?usp=drivesdk" TargetMode="External"/><Relationship Id="rId26" Type="http://schemas.openxmlformats.org/officeDocument/2006/relationships/hyperlink" Target="https://docs.google.com/document/d/1pqxIs0u3K7GhvcOKvyC8IjsZWvGnhWY4BbRyjvR0EHs/edit?usp=drivesdk" TargetMode="External"/><Relationship Id="rId231" Type="http://schemas.openxmlformats.org/officeDocument/2006/relationships/hyperlink" Target="https://docs.google.com/document/d/1SSjQWnl-mwCpqOXHeWdGBalJD7IGHDPVfgJa0kDIzdE/edit?usp=drivesdk" TargetMode="External"/><Relationship Id="rId273" Type="http://schemas.openxmlformats.org/officeDocument/2006/relationships/hyperlink" Target="https://docs.google.com/document/d/1pqnHvRBe93jYVA63NlfI2hkZWWO8LEXrZ0jP21_TsIw/edit?usp=drivesdk" TargetMode="External"/><Relationship Id="rId329" Type="http://schemas.openxmlformats.org/officeDocument/2006/relationships/hyperlink" Target="https://docs.google.com/document/d/1RWIKtoOaMeyPaIs4hJT3bwRUK1PkwCCzdMFo1k4GAxk/edit?usp=drivesdk" TargetMode="External"/><Relationship Id="rId480" Type="http://schemas.openxmlformats.org/officeDocument/2006/relationships/hyperlink" Target="https://docs.google.com/document/d/1lhvDJUqQ6VbuHFWCSjOTx-d-WCodZhXGqGuhuyYPnIo/edit?usp=drivesdk" TargetMode="External"/><Relationship Id="rId536" Type="http://schemas.openxmlformats.org/officeDocument/2006/relationships/hyperlink" Target="https://docs.google.com/document/d/1qCN09ct_Tsryz4yKClFzpJh4Y6JG8whq1y02TnLoOqY/edit?usp=drivesdk" TargetMode="External"/><Relationship Id="rId701" Type="http://schemas.openxmlformats.org/officeDocument/2006/relationships/hyperlink" Target="https://docs.google.com/document/d/1pw_beF-a4MJe7PvSa10QblkQ70ZBX6cKHzNAd2-heWE/edit?usp=drivesdk" TargetMode="External"/><Relationship Id="rId939" Type="http://schemas.openxmlformats.org/officeDocument/2006/relationships/hyperlink" Target="https://docs.google.com/document/d/18kkCIIc2g5bj-85gxt_blcEmZXwl3A2nT0qLYX5LJ48/edit?usp=drivesdk" TargetMode="External"/><Relationship Id="rId68" Type="http://schemas.openxmlformats.org/officeDocument/2006/relationships/hyperlink" Target="https://docs.google.com/document/d/1XiMLRnysfffxhmnRhmieWEnwz45lXHcfCtEJfVr3uy4/edit?usp=drivesdk" TargetMode="External"/><Relationship Id="rId133" Type="http://schemas.openxmlformats.org/officeDocument/2006/relationships/hyperlink" Target="https://docs.google.com/document/d/13L1BLRxELDJtkWSeTmCGPwxwpJo_bGihEn16D1Ndh94/edit?usp=drivesdk" TargetMode="External"/><Relationship Id="rId175" Type="http://schemas.openxmlformats.org/officeDocument/2006/relationships/hyperlink" Target="https://docs.google.com/document/d/1WPXaA7dO7Ju4PLovG3d8P_hfoKL3mzHt2dO7NERh5Nc/edit?usp=drivesdk" TargetMode="External"/><Relationship Id="rId340" Type="http://schemas.openxmlformats.org/officeDocument/2006/relationships/hyperlink" Target="https://docs.google.com/document/d/1llt-6l9NzJX6gjQSBbMbdkVYI69LprJx27c3azv2kbo/edit?usp=drivesdk" TargetMode="External"/><Relationship Id="rId578" Type="http://schemas.openxmlformats.org/officeDocument/2006/relationships/hyperlink" Target="https://docs.google.com/document/d/1MOA6wmcI4F1idx-EVZBeVOzYSTahLpXJr5yC3C875tE/edit?usp=drivesdk" TargetMode="External"/><Relationship Id="rId743" Type="http://schemas.openxmlformats.org/officeDocument/2006/relationships/hyperlink" Target="https://docs.google.com/document/d/1Rc6inT0zKvSdYk187TDESvphu43jlPeqOobFGAt4mWw/edit?usp=drivesdk" TargetMode="External"/><Relationship Id="rId785" Type="http://schemas.openxmlformats.org/officeDocument/2006/relationships/hyperlink" Target="https://docs.google.com/document/d/11jsmCel1PEBP8k1BTxeVPWlESFUXmpkrooaIwqhu98I/edit?usp=drivesdk" TargetMode="External"/><Relationship Id="rId950" Type="http://schemas.openxmlformats.org/officeDocument/2006/relationships/hyperlink" Target="https://docs.google.com/document/d/1qHQXrmYLNhGtVevWwTOIXTCanHEGF37CTT2qo3ILBoc/edit?usp=drivesdk" TargetMode="External"/><Relationship Id="rId992" Type="http://schemas.openxmlformats.org/officeDocument/2006/relationships/hyperlink" Target="https://docs.google.com/document/d/1BudSAgJxdaUUaXjTWjVETFgGp62r_wTou1_5hJNBPn4/edit?usp=drivesdk" TargetMode="External"/><Relationship Id="rId1026" Type="http://schemas.openxmlformats.org/officeDocument/2006/relationships/hyperlink" Target="https://docs.google.com/document/d/1F_eIGu3UuQ-ejLwijIxJlnnKWPg0p-FCsSbK8iqHBqk/edit?usp=drivesdk" TargetMode="External"/><Relationship Id="rId200" Type="http://schemas.openxmlformats.org/officeDocument/2006/relationships/hyperlink" Target="https://docs.google.com/document/d/1-LNoiYtth3TFidddGkp-DIB0m_Gtbagw1nKdq4vBdXE/edit?usp=drivesdk" TargetMode="External"/><Relationship Id="rId382" Type="http://schemas.openxmlformats.org/officeDocument/2006/relationships/hyperlink" Target="https://docs.google.com/document/d/1BjOP-8VPoeoJ2NRkI-tiC7P49H282nx17wHC2CG2JIc/edit?usp=drivesdk" TargetMode="External"/><Relationship Id="rId438" Type="http://schemas.openxmlformats.org/officeDocument/2006/relationships/hyperlink" Target="https://docs.google.com/document/d/1Lso36k1FWGmJAnvnNYjIBwRDm4Ef21ZOWQtvphNocP4/edit?usp=drivesdk" TargetMode="External"/><Relationship Id="rId603" Type="http://schemas.openxmlformats.org/officeDocument/2006/relationships/hyperlink" Target="https://docs.google.com/document/d/1Q9AR0hNi5W1l_JNEA55q1a385woNROh6LEzaMqLZCXk/edit?usp=drivesdk" TargetMode="External"/><Relationship Id="rId645" Type="http://schemas.openxmlformats.org/officeDocument/2006/relationships/hyperlink" Target="https://docs.google.com/document/d/11sRqTN3oRi0sr1ZNX-xmrrCRHXjR6DpZqWWdHWDM8PE/edit?usp=drivesdk" TargetMode="External"/><Relationship Id="rId687" Type="http://schemas.openxmlformats.org/officeDocument/2006/relationships/hyperlink" Target="https://docs.google.com/document/d/11jZGCFUa7B0fwht-WXRzwZSrPQLIk-Loku7QXsct5o8/edit?usp=drivesdk" TargetMode="External"/><Relationship Id="rId810" Type="http://schemas.openxmlformats.org/officeDocument/2006/relationships/hyperlink" Target="https://docs.google.com/document/d/1YnEKU-vUqbvRwGiZmqTmIsZG4fTAh2Wmj3ahRx66rko/edit?usp=drivesdk" TargetMode="External"/><Relationship Id="rId852" Type="http://schemas.openxmlformats.org/officeDocument/2006/relationships/hyperlink" Target="https://docs.google.com/document/d/1jgQqQUT6rv1OYR067QfljONC9GGmea1zjGVhiprrAnA/edit?usp=drivesdk" TargetMode="External"/><Relationship Id="rId908" Type="http://schemas.openxmlformats.org/officeDocument/2006/relationships/hyperlink" Target="https://docs.google.com/document/d/1hY-QzWHBay4X0spOZkCc6iEWz2U7t0_9gMnhpFokMpY/edit?usp=drivesdk" TargetMode="External"/><Relationship Id="rId1068" Type="http://schemas.openxmlformats.org/officeDocument/2006/relationships/hyperlink" Target="https://docs.google.com/document/d/1qp5rouXfRUbwOrl7K2z4KlVtSyOEIToErDIjtNjgWrk/edit?usp=drivesdk" TargetMode="External"/><Relationship Id="rId242" Type="http://schemas.openxmlformats.org/officeDocument/2006/relationships/hyperlink" Target="https://docs.google.com/document/d/1Dzim86Y4YGT_YVul2rHTGacthfweWnqj2ROmmM8TFk0/edit?usp=drivesdk" TargetMode="External"/><Relationship Id="rId284" Type="http://schemas.openxmlformats.org/officeDocument/2006/relationships/hyperlink" Target="https://docs.google.com/document/d/1Nk9n5eyGbsbIoXNmGFa0tJ56gRlGDnbkMU66Pzi_7zQ/edit?usp=drivesdk" TargetMode="External"/><Relationship Id="rId491" Type="http://schemas.openxmlformats.org/officeDocument/2006/relationships/hyperlink" Target="https://docs.google.com/document/d/1Fuxke1GPjmZmDti8kKZfOZoBG-lB5O6fQPlKVYK6pdI/edit?usp=drivesdk" TargetMode="External"/><Relationship Id="rId505" Type="http://schemas.openxmlformats.org/officeDocument/2006/relationships/hyperlink" Target="https://docs.google.com/document/d/1LKiFdPF2xoMtV-oMNwqBiUn6ICyiGtn1tnknYxYQ9Ls/edit?usp=drivesdk" TargetMode="External"/><Relationship Id="rId712" Type="http://schemas.openxmlformats.org/officeDocument/2006/relationships/hyperlink" Target="https://docs.google.com/document/d/1J3x9yOdxKjjDhtpswPIfm_2wPpmaExwNVcARXCpkolw/edit?usp=drivesdk" TargetMode="External"/><Relationship Id="rId894" Type="http://schemas.openxmlformats.org/officeDocument/2006/relationships/hyperlink" Target="https://docs.google.com/document/d/1G82bfglccreHjoSRRf1xzMAp_L4Pd0eFLrQ8wDRyo8M/edit?usp=drivesdk" TargetMode="External"/><Relationship Id="rId37" Type="http://schemas.openxmlformats.org/officeDocument/2006/relationships/hyperlink" Target="https://docs.google.com/document/d/1ZYCXLV6gt2oXgWl9Ziwcxz8bjA1d5w_O5I7Ap6ZOB2M/edit?usp=drivesdk" TargetMode="External"/><Relationship Id="rId79" Type="http://schemas.openxmlformats.org/officeDocument/2006/relationships/hyperlink" Target="https://docs.google.com/document/d/1Gyx9ROaTKWuy-76rkui4kE2dTnRUDtMTJAqKpXUVmj4/edit?usp=drivesdk" TargetMode="External"/><Relationship Id="rId102" Type="http://schemas.openxmlformats.org/officeDocument/2006/relationships/hyperlink" Target="https://docs.google.com/document/d/1Xqh3FggsY2bltRwZowLuBS6_e56PQHzyI4rVU95A2Zg/edit?usp=drivesdk" TargetMode="External"/><Relationship Id="rId144" Type="http://schemas.openxmlformats.org/officeDocument/2006/relationships/hyperlink" Target="https://docs.google.com/document/d/1JRlYA77vV_VIb-S6I2VOgzFmlAaoJSMri79y4krYTeg/edit?usp=drivesdk" TargetMode="External"/><Relationship Id="rId547" Type="http://schemas.openxmlformats.org/officeDocument/2006/relationships/hyperlink" Target="https://docs.google.com/document/d/1oqQhugOAMAiLjKVROUPEbrRT-TGBz8sePgq8nddUv9A/edit?usp=drivesdk" TargetMode="External"/><Relationship Id="rId589" Type="http://schemas.openxmlformats.org/officeDocument/2006/relationships/hyperlink" Target="https://docs.google.com/document/d/1sDoSxpj6uiUxvHHddV8RSClFdRSmIw-6_SMBWjR1irk/edit?usp=drivesdk" TargetMode="External"/><Relationship Id="rId754" Type="http://schemas.openxmlformats.org/officeDocument/2006/relationships/hyperlink" Target="https://docs.google.com/document/d/15YKxbYGnBEPyl2UiCAcC1iNtk1JxR9a8hAXPI2W4z-8/edit?usp=drivesdk" TargetMode="External"/><Relationship Id="rId796" Type="http://schemas.openxmlformats.org/officeDocument/2006/relationships/hyperlink" Target="https://docs.google.com/document/d/1LBBMGWVFqW8ctDnuI875H-tZ2-h_FLe2WfH9DWFHvU8/edit?usp=drivesdk" TargetMode="External"/><Relationship Id="rId961" Type="http://schemas.openxmlformats.org/officeDocument/2006/relationships/hyperlink" Target="https://docs.google.com/document/d/1vvDqfvrIOqmeOymSw-irOyn1msNY6v6S_JpSLSizMEc/edit?usp=drivesdk" TargetMode="External"/><Relationship Id="rId90" Type="http://schemas.openxmlformats.org/officeDocument/2006/relationships/hyperlink" Target="https://docs.google.com/document/d/18ANL2EAsbj-9X5mz0tRj4YzFgnSMdKPwDfVJotzLaHQ/edit?usp=drivesdk" TargetMode="External"/><Relationship Id="rId186" Type="http://schemas.openxmlformats.org/officeDocument/2006/relationships/hyperlink" Target="https://docs.google.com/document/d/1YiWcFq3l08V3qBUS4JCJ18wDAAtAadOsJGTbNWJ7y0o/edit?usp=drivesdk" TargetMode="External"/><Relationship Id="rId351" Type="http://schemas.openxmlformats.org/officeDocument/2006/relationships/hyperlink" Target="https://docs.google.com/document/d/1bJrBzE-p53jYgZXJ7d09hgLAWsK4ad1EDQSCTIFLbx8/edit?usp=drivesdk" TargetMode="External"/><Relationship Id="rId393" Type="http://schemas.openxmlformats.org/officeDocument/2006/relationships/hyperlink" Target="https://docs.google.com/document/d/1Fqg_cuyQPGZb6fNX36CPl90RsxTwCIBXz0rmsCxC0Bw/edit?usp=drivesdk" TargetMode="External"/><Relationship Id="rId407" Type="http://schemas.openxmlformats.org/officeDocument/2006/relationships/hyperlink" Target="https://docs.google.com/document/d/1qZ-a0BeL3hRyRq4l3YXrwKyyqKN5gkchWbLgF1XfHNo/edit?usp=drivesdk" TargetMode="External"/><Relationship Id="rId449" Type="http://schemas.openxmlformats.org/officeDocument/2006/relationships/hyperlink" Target="https://docs.google.com/document/d/1ul8UQMETh26VSjI04pzTDRAA7H0Qdpy0QDoLfZHiKdQ/edit?usp=drivesdk" TargetMode="External"/><Relationship Id="rId614" Type="http://schemas.openxmlformats.org/officeDocument/2006/relationships/hyperlink" Target="https://docs.google.com/document/d/1Nw7EJM7t_j9vhqZSHgk3rEK6VHR3PwtNLff2zjJgJGI/edit?usp=drivesdk" TargetMode="External"/><Relationship Id="rId656" Type="http://schemas.openxmlformats.org/officeDocument/2006/relationships/hyperlink" Target="https://docs.google.com/document/d/1gvuC5caiDoExiO12fjDGLugLCZVhCZhuajekqhHA3SM/edit?usp=drivesdk" TargetMode="External"/><Relationship Id="rId821" Type="http://schemas.openxmlformats.org/officeDocument/2006/relationships/hyperlink" Target="https://docs.google.com/document/d/1q-7iFjzLr9HBCQCgCXwOEDOZWkBdELTgj0mcwtJDVis/edit?usp=drivesdk" TargetMode="External"/><Relationship Id="rId863" Type="http://schemas.openxmlformats.org/officeDocument/2006/relationships/hyperlink" Target="https://docs.google.com/document/d/1PqNLRxM93w5m1ogMK5FtVniTPoec_JAGmCAQOlgkNnI/edit?usp=drivesdk" TargetMode="External"/><Relationship Id="rId1037" Type="http://schemas.openxmlformats.org/officeDocument/2006/relationships/hyperlink" Target="https://docs.google.com/document/d/14q6tauxoR4OmVErDgj-spZs-FoQ8BfMc4t1jLswyqdk/edit?usp=drivesdk" TargetMode="External"/><Relationship Id="rId211" Type="http://schemas.openxmlformats.org/officeDocument/2006/relationships/hyperlink" Target="https://docs.google.com/document/d/1VxyoSgDSUY1xZ5RK1eus2n0CN5AUTnIlYoMgzyp0JHQ/edit?usp=drivesdk" TargetMode="External"/><Relationship Id="rId253" Type="http://schemas.openxmlformats.org/officeDocument/2006/relationships/hyperlink" Target="https://docs.google.com/document/d/1ukzotZXuW2ove_jHqRm504KzOsplPkmvul8G0QbKoMY/edit?usp=drivesdk" TargetMode="External"/><Relationship Id="rId295" Type="http://schemas.openxmlformats.org/officeDocument/2006/relationships/hyperlink" Target="https://docs.google.com/document/d/1YLWiNhI8NozGXmYo5gZ2IVUl2kOr9Ek5uLEd8Mb9Y4s/edit?usp=drivesdk" TargetMode="External"/><Relationship Id="rId309" Type="http://schemas.openxmlformats.org/officeDocument/2006/relationships/hyperlink" Target="https://docs.google.com/document/d/1qfBh_O_GEYX9iCz3WJwlITP89zxKCd3VjFTCB8EEAZE/edit?usp=drivesdk" TargetMode="External"/><Relationship Id="rId460" Type="http://schemas.openxmlformats.org/officeDocument/2006/relationships/hyperlink" Target="https://docs.google.com/document/d/1RHiYVjY9-4YF0lckv35EaQ4iFUfcAeZtNCiaiKv_ifE/edit?usp=drivesdk" TargetMode="External"/><Relationship Id="rId516" Type="http://schemas.openxmlformats.org/officeDocument/2006/relationships/hyperlink" Target="https://docs.google.com/document/d/17vF5QGJAdkXF0jo3cLrIkESTJgy6NnF64YSJHcPUJFw/edit?usp=drivesdk" TargetMode="External"/><Relationship Id="rId698" Type="http://schemas.openxmlformats.org/officeDocument/2006/relationships/hyperlink" Target="https://docs.google.com/document/d/16o0dOrCJEe-9rqQRv-7czoBZKmnOlR4uuN9lJRNpNgE/edit?usp=drivesdk" TargetMode="External"/><Relationship Id="rId919" Type="http://schemas.openxmlformats.org/officeDocument/2006/relationships/hyperlink" Target="https://docs.google.com/document/d/16Iz1VksoxjRNGQhHDya6ne3GBHeLeUQm1gm2S2pQ9E4/edit?usp=drivesdk" TargetMode="External"/><Relationship Id="rId48" Type="http://schemas.openxmlformats.org/officeDocument/2006/relationships/hyperlink" Target="https://docs.google.com/document/d/1_BU8DyN37-pP7dXayBuVa2UgN4SSVZhJ2PswBb3iWpA/edit?usp=drivesdk" TargetMode="External"/><Relationship Id="rId113" Type="http://schemas.openxmlformats.org/officeDocument/2006/relationships/hyperlink" Target="https://docs.google.com/document/d/1O7zNwJ7tD7cHfDAv1vY8YMgIs28bfzrPCLqAZVh0D54/edit?usp=drivesdk" TargetMode="External"/><Relationship Id="rId320" Type="http://schemas.openxmlformats.org/officeDocument/2006/relationships/hyperlink" Target="https://docs.google.com/document/d/1E9aNIH6mCOOIwAQV51kZmcxa6B48JuJxjrm7UDpXd2w/edit?usp=drivesdk" TargetMode="External"/><Relationship Id="rId558" Type="http://schemas.openxmlformats.org/officeDocument/2006/relationships/hyperlink" Target="https://docs.google.com/document/d/1YTxsxvQpkmQDEVI8_ZufADtHl0ik3MtOGt2A9H1NDrw/edit?usp=drivesdk" TargetMode="External"/><Relationship Id="rId723" Type="http://schemas.openxmlformats.org/officeDocument/2006/relationships/hyperlink" Target="https://docs.google.com/document/d/1ByaOMjRmqhloRPOZrT1gOQI6fzyvqfFj4K5nQb57Zow/edit?usp=drivesdk" TargetMode="External"/><Relationship Id="rId765" Type="http://schemas.openxmlformats.org/officeDocument/2006/relationships/hyperlink" Target="https://docs.google.com/document/d/1bU4fg-Xh36bzQG9_vNHBv325HZyiJslxjuXJwtpYJbA/edit?usp=drivesdk" TargetMode="External"/><Relationship Id="rId930" Type="http://schemas.openxmlformats.org/officeDocument/2006/relationships/hyperlink" Target="https://docs.google.com/document/d/1-tKd8XbRO-Kbd36ht_hK3oT82Eb7Z_BIK2HJMMc8-d4/edit?usp=drivesdk" TargetMode="External"/><Relationship Id="rId972" Type="http://schemas.openxmlformats.org/officeDocument/2006/relationships/hyperlink" Target="https://docs.google.com/document/d/1SpkPMGtLF6qVPUM9BBCdqzW5cfn7rAe99LzwgX0kYZI/edit?usp=drivesdk" TargetMode="External"/><Relationship Id="rId1006" Type="http://schemas.openxmlformats.org/officeDocument/2006/relationships/hyperlink" Target="https://docs.google.com/document/d/1ePki7qRN0lHztB_4KAvGVVQNaLT1lKhdLgQI8uE0at8/edit?usp=drivesdk" TargetMode="External"/><Relationship Id="rId155" Type="http://schemas.openxmlformats.org/officeDocument/2006/relationships/hyperlink" Target="https://docs.google.com/document/d/1Qu9mmZmTv01KNWghm6u4OGUV88UmBjkTWh1ifHFSkZg/edit?usp=drivesdk" TargetMode="External"/><Relationship Id="rId197" Type="http://schemas.openxmlformats.org/officeDocument/2006/relationships/hyperlink" Target="https://docs.google.com/document/d/1IaxkgNOqPzkSPHLaQxOsCa-xiQoIeRtfPOqC3I0c1oI/edit?usp=drivesdk" TargetMode="External"/><Relationship Id="rId362" Type="http://schemas.openxmlformats.org/officeDocument/2006/relationships/hyperlink" Target="https://docs.google.com/document/d/1a_HZ0U1E4XkOCKRPrQgoKZZY19dqXs-pCBV4X0YTWX8/edit?usp=drivesdk" TargetMode="External"/><Relationship Id="rId418" Type="http://schemas.openxmlformats.org/officeDocument/2006/relationships/hyperlink" Target="https://docs.google.com/document/d/1SY1AFQABS1m_0urwA1wQqKcjqLgVxHFlzqV64VS0i00/edit?usp=drivesdk" TargetMode="External"/><Relationship Id="rId625" Type="http://schemas.openxmlformats.org/officeDocument/2006/relationships/hyperlink" Target="https://docs.google.com/document/d/1tTskTDAxujyZNr6Clu2EYfrHeo7SloH0j4KWIqM9LoQ/edit?usp=drivesdk" TargetMode="External"/><Relationship Id="rId832" Type="http://schemas.openxmlformats.org/officeDocument/2006/relationships/hyperlink" Target="https://docs.google.com/document/d/1eWzBVhlopeD17Xj9u7hMaTwla19Wuj3DI8G9xZRN9kI/edit?usp=drivesdk" TargetMode="External"/><Relationship Id="rId1048" Type="http://schemas.openxmlformats.org/officeDocument/2006/relationships/hyperlink" Target="https://docs.google.com/document/d/1awMKX3ncEobp1QNkfk1sgyVDQLrwCXosD5E01LL8TKE/edit?usp=drivesdk" TargetMode="External"/><Relationship Id="rId222" Type="http://schemas.openxmlformats.org/officeDocument/2006/relationships/hyperlink" Target="https://docs.google.com/document/d/1f2_RdO7f651I6OZS4bfi5p2XdGlREoePCDX_MNDvHz0/edit?usp=drivesdk" TargetMode="External"/><Relationship Id="rId264" Type="http://schemas.openxmlformats.org/officeDocument/2006/relationships/hyperlink" Target="https://docs.google.com/document/d/1g4e1jL6_o4Bnaqlw071EP28KdZfsft1fTcxM7y5K3hY/edit?usp=drivesdk" TargetMode="External"/><Relationship Id="rId471" Type="http://schemas.openxmlformats.org/officeDocument/2006/relationships/hyperlink" Target="https://docs.google.com/document/d/1MWTFNf0Lhv2c92QgArvO22rI85RTsw1fU_8zSFOmfMY/edit?usp=drivesdk" TargetMode="External"/><Relationship Id="rId667" Type="http://schemas.openxmlformats.org/officeDocument/2006/relationships/hyperlink" Target="https://docs.google.com/document/d/1_t8gru1uuPW1CkoHi4MrxR1KKtoPb6q_NSp-naY5gso/edit?usp=drivesdk" TargetMode="External"/><Relationship Id="rId874" Type="http://schemas.openxmlformats.org/officeDocument/2006/relationships/hyperlink" Target="https://docs.google.com/document/d/1uSihR3B2zuVCRc2LABznWXPKb6pB7vBb2tY9q3Ft6Uo/edit?usp=drivesdk" TargetMode="External"/><Relationship Id="rId17" Type="http://schemas.openxmlformats.org/officeDocument/2006/relationships/hyperlink" Target="https://docs.google.com/document/d/1lvnFSpiVYr6imjfOlWlxPW2ouTpS9jO0pAxu4_Njk7M/edit?usp=drivesdk" TargetMode="External"/><Relationship Id="rId59" Type="http://schemas.openxmlformats.org/officeDocument/2006/relationships/hyperlink" Target="https://docs.google.com/document/d/1zx2ToY0GcjujicDXZiUTnvQUpIp0-oiJuQlUByUuEXk/edit?usp=drivesdk" TargetMode="External"/><Relationship Id="rId124" Type="http://schemas.openxmlformats.org/officeDocument/2006/relationships/hyperlink" Target="https://docs.google.com/document/d/1o5u6URG4eEL0bZO7Pcc_tA0H2uas6Y_qmD-HJgPbqg4/edit?usp=drivesdk" TargetMode="External"/><Relationship Id="rId527" Type="http://schemas.openxmlformats.org/officeDocument/2006/relationships/hyperlink" Target="https://docs.google.com/document/d/1hPUo9axws3wB8I0xnB6B8DVDZrOClI1LSSWAHHnj03U/edit?usp=drivesdk" TargetMode="External"/><Relationship Id="rId569" Type="http://schemas.openxmlformats.org/officeDocument/2006/relationships/hyperlink" Target="https://docs.google.com/document/d/1gHgFgJT3c69j8bgWuRt8Qcizdn_c3Cb22fRg0SUqxSo/edit?usp=drivesdk" TargetMode="External"/><Relationship Id="rId734" Type="http://schemas.openxmlformats.org/officeDocument/2006/relationships/hyperlink" Target="https://docs.google.com/document/d/1Lfve4oxG7yLMT_NZAy7I8GxrDEkGjDrA9k0CV6s2Z4M/edit?usp=drivesdk" TargetMode="External"/><Relationship Id="rId776" Type="http://schemas.openxmlformats.org/officeDocument/2006/relationships/hyperlink" Target="https://docs.google.com/document/d/1027H_VD63bSVueZp-dJ3zy8foNvsSfpsSTu50j-b60M/edit?usp=drivesdk" TargetMode="External"/><Relationship Id="rId941" Type="http://schemas.openxmlformats.org/officeDocument/2006/relationships/hyperlink" Target="https://docs.google.com/document/d/1BWI4STkMAyxVFDTLuzKlp2Hl95nY7ZiRiiNar2110DE/edit?usp=drivesdk" TargetMode="External"/><Relationship Id="rId983" Type="http://schemas.openxmlformats.org/officeDocument/2006/relationships/hyperlink" Target="https://docs.google.com/document/d/1kBeQeEMW2PPOh0Posn_JzxAB8Mb15ae53Mzm40oDRPQ/edit?usp=drivesdk" TargetMode="External"/><Relationship Id="rId70" Type="http://schemas.openxmlformats.org/officeDocument/2006/relationships/hyperlink" Target="https://docs.google.com/document/d/1StEQUgg0DdG61MF8-4mfq09rrv9NLcT7qfqHE2eQsnQ/edit?usp=drivesdk" TargetMode="External"/><Relationship Id="rId166" Type="http://schemas.openxmlformats.org/officeDocument/2006/relationships/hyperlink" Target="https://docs.google.com/document/d/1OdROVKVnWNppbGnZBe8XQx4EcpL1Z_wheLxqjEAAvaY/edit?usp=drivesdk" TargetMode="External"/><Relationship Id="rId331" Type="http://schemas.openxmlformats.org/officeDocument/2006/relationships/hyperlink" Target="https://docs.google.com/document/d/117UlOtSgj_kq7O1HZU85eiTPSysmyUGc-U29QvcaS3M/edit?usp=drivesdk" TargetMode="External"/><Relationship Id="rId373" Type="http://schemas.openxmlformats.org/officeDocument/2006/relationships/hyperlink" Target="https://docs.google.com/document/d/1n-LG2HTy2qCWVs8L1YdkpPeRR8p2QgvCem4gUFsY-ls/edit?usp=drivesdk" TargetMode="External"/><Relationship Id="rId429" Type="http://schemas.openxmlformats.org/officeDocument/2006/relationships/hyperlink" Target="https://docs.google.com/document/d/1dYLg8a56TpS3ThfTK-kkrtwivojDdKrEDFi-Db6t4m8/edit?usp=drivesdk" TargetMode="External"/><Relationship Id="rId580" Type="http://schemas.openxmlformats.org/officeDocument/2006/relationships/hyperlink" Target="https://docs.google.com/document/d/1pgBAQ2jvyC83rl8gPNXci-lhigGemBEY5qh7x8qNjsA/edit?usp=drivesdk" TargetMode="External"/><Relationship Id="rId636" Type="http://schemas.openxmlformats.org/officeDocument/2006/relationships/hyperlink" Target="https://docs.google.com/document/d/1LC04Ch1QGfkdW8eVl1oyjdPmP16OZnx4YKzo0egSr7c/edit?usp=drivesdk" TargetMode="External"/><Relationship Id="rId801" Type="http://schemas.openxmlformats.org/officeDocument/2006/relationships/hyperlink" Target="https://docs.google.com/document/d/1f7OU-ly0C8xsOWYSn2kMAOGmsuBz01itbrxUlCznrQ0/edit?usp=drivesdk" TargetMode="External"/><Relationship Id="rId1017" Type="http://schemas.openxmlformats.org/officeDocument/2006/relationships/hyperlink" Target="https://docs.google.com/document/d/1Mg1kf-8Xef28ELL7_dckHkHmE0kHSIk-m4tYeT0i9J0/edit?usp=drivesdk" TargetMode="External"/><Relationship Id="rId1059" Type="http://schemas.openxmlformats.org/officeDocument/2006/relationships/hyperlink" Target="https://docs.google.com/document/d/1Zl9x6kZacmBI5zB_sgwtYjMjwrTFYgeKaMo9jxocSVM/edit?usp=drivesdk" TargetMode="External"/><Relationship Id="rId1" Type="http://schemas.openxmlformats.org/officeDocument/2006/relationships/hyperlink" Target="https://drive.google.com/a/gtmnerr.org/file/d/1-xBJcM5t4rp1kF8CtiHFHCGIYOyemNCh/view?usp=drivesdk" TargetMode="External"/><Relationship Id="rId233" Type="http://schemas.openxmlformats.org/officeDocument/2006/relationships/hyperlink" Target="https://docs.google.com/document/d/1iJsN9moJpH-rG7n8WmHd_EvVphFOsQgH3l5bndDInzo/edit?usp=drivesdk" TargetMode="External"/><Relationship Id="rId440" Type="http://schemas.openxmlformats.org/officeDocument/2006/relationships/hyperlink" Target="https://docs.google.com/document/d/1mNPO_GyVd2u4ik4BLnp61fbd_8_ai6qHicV6GLDH8k8/edit?usp=drivesdk" TargetMode="External"/><Relationship Id="rId678" Type="http://schemas.openxmlformats.org/officeDocument/2006/relationships/hyperlink" Target="https://docs.google.com/document/d/1TOtIhy5bi63YpQKzPOqGlXNXn4B_-5wK-uBhz5TiVS0/edit?usp=drivesdk" TargetMode="External"/><Relationship Id="rId843" Type="http://schemas.openxmlformats.org/officeDocument/2006/relationships/hyperlink" Target="https://docs.google.com/document/d/1Yh-37oXlFb4vOa4UqdYKRpbdCllxUNmnuKP2Pa7ZaEg/edit?usp=drivesdk" TargetMode="External"/><Relationship Id="rId885" Type="http://schemas.openxmlformats.org/officeDocument/2006/relationships/hyperlink" Target="https://docs.google.com/document/d/1xOvedWwB8qwbyzdN2Iwhd4eVevJ9cSgkI_5aTCXs0Dk/edit?usp=drivesdk" TargetMode="External"/><Relationship Id="rId1070" Type="http://schemas.openxmlformats.org/officeDocument/2006/relationships/hyperlink" Target="https://docs.google.com/document/d/1stP7zXd3N0SsPjG0IX58qMAoNv0o_wvhlfWB5PQVTaQ/edit?usp=drivesdk" TargetMode="External"/><Relationship Id="rId28" Type="http://schemas.openxmlformats.org/officeDocument/2006/relationships/hyperlink" Target="https://docs.google.com/document/d/15XlgdKXD7KIdSk2IIAY4JghUF2KIMnTCytAv-cTrJKA/edit?usp=drivesdk" TargetMode="External"/><Relationship Id="rId275" Type="http://schemas.openxmlformats.org/officeDocument/2006/relationships/hyperlink" Target="https://docs.google.com/document/d/1jQmJ2nmws9NbG4unV8L7tknjhGikOp5Wp60WoX0r9SU/edit?usp=drivesdk" TargetMode="External"/><Relationship Id="rId300" Type="http://schemas.openxmlformats.org/officeDocument/2006/relationships/hyperlink" Target="https://docs.google.com/document/d/1d2XWI0EjkYtmDxCVNlEHb93pARhb9WKgiaWv_9QPQ1I/edit?usp=drivesdk" TargetMode="External"/><Relationship Id="rId482" Type="http://schemas.openxmlformats.org/officeDocument/2006/relationships/hyperlink" Target="https://docs.google.com/document/d/1ya1ParIBtADBD_jkTpK00xrw3nvRI4NjwiCkgp2NY8k/edit?usp=drivesdk" TargetMode="External"/><Relationship Id="rId538" Type="http://schemas.openxmlformats.org/officeDocument/2006/relationships/hyperlink" Target="https://docs.google.com/document/d/1yC4UVIif0xCVbtIX2EldANeYUVysjsww0mXc3cHc884/edit?usp=drivesdk" TargetMode="External"/><Relationship Id="rId703" Type="http://schemas.openxmlformats.org/officeDocument/2006/relationships/hyperlink" Target="https://docs.google.com/document/d/1kisMOv45OuPjmd4K5TgIFCU7cPFO11upQeJYgygewpo/edit?usp=drivesdk" TargetMode="External"/><Relationship Id="rId745" Type="http://schemas.openxmlformats.org/officeDocument/2006/relationships/hyperlink" Target="https://docs.google.com/document/d/1dJpj_HJ8SuRllEXtyKSnnuWUA_ENZVekP203Chkh248/edit?usp=drivesdk" TargetMode="External"/><Relationship Id="rId910" Type="http://schemas.openxmlformats.org/officeDocument/2006/relationships/hyperlink" Target="https://docs.google.com/document/d/1bE4X6wClm7HiFrBNuDXxqkur4A-xbMSu2mhwcdlTUHY/edit?usp=drivesdk" TargetMode="External"/><Relationship Id="rId952" Type="http://schemas.openxmlformats.org/officeDocument/2006/relationships/hyperlink" Target="https://docs.google.com/document/d/1csow9KuxNR_anB0bMyWU8MRaCktETmpcbqrRAo2Cm_0/edit?usp=drivesdk" TargetMode="External"/><Relationship Id="rId81" Type="http://schemas.openxmlformats.org/officeDocument/2006/relationships/hyperlink" Target="https://docs.google.com/document/d/1_Jz1cLc_0eyZ6COebIUYyR_BuSj6Ej0LPmwxx-PUG2s/edit?usp=drivesdk" TargetMode="External"/><Relationship Id="rId135" Type="http://schemas.openxmlformats.org/officeDocument/2006/relationships/hyperlink" Target="https://docs.google.com/document/d/19y2xBdaEYRCaUdOVOFVL8R13UVTXTgDmuMIsfnSUrpc/edit?usp=drivesdk" TargetMode="External"/><Relationship Id="rId177" Type="http://schemas.openxmlformats.org/officeDocument/2006/relationships/hyperlink" Target="https://docs.google.com/document/d/1GVAYZH_XWuygN1DJkmLahy2vWDXRXeAZcQd7hsb812o/edit?usp=drivesdk" TargetMode="External"/><Relationship Id="rId342" Type="http://schemas.openxmlformats.org/officeDocument/2006/relationships/hyperlink" Target="https://docs.google.com/document/d/11x0CkR3ktEFIujcLW_1aRWhBz7-fh-ehKWEqiRQ6-Bs/edit?usp=drivesdk" TargetMode="External"/><Relationship Id="rId384" Type="http://schemas.openxmlformats.org/officeDocument/2006/relationships/hyperlink" Target="https://docs.google.com/document/d/1prWMueONgldddFzfRPQ9ygSaRH4jgTMVx9qL2sHIQOE/edit?usp=drivesdk" TargetMode="External"/><Relationship Id="rId591" Type="http://schemas.openxmlformats.org/officeDocument/2006/relationships/hyperlink" Target="https://docs.google.com/document/d/1bclUXTG86OjgHqyxkTi2lEId8CAgzItkLc86Mo3T0Hs/edit?usp=drivesdk" TargetMode="External"/><Relationship Id="rId605" Type="http://schemas.openxmlformats.org/officeDocument/2006/relationships/hyperlink" Target="https://docs.google.com/document/d/1myxKeon_x40RgP9PvrOf6lZzxP-gH7adTtx-_gxaK-s/edit?usp=drivesdk" TargetMode="External"/><Relationship Id="rId787" Type="http://schemas.openxmlformats.org/officeDocument/2006/relationships/hyperlink" Target="https://docs.google.com/document/d/1vAwBQOmmdegzONyCyqgsw_PdspYAZ3491T1M8nHBrtA/edit?usp=drivesdk" TargetMode="External"/><Relationship Id="rId812" Type="http://schemas.openxmlformats.org/officeDocument/2006/relationships/hyperlink" Target="https://docs.google.com/document/d/1A-aime5s5B_5s8SpoRjN_uf2gshh91aA-31VNzkGYpo/edit?usp=drivesdk" TargetMode="External"/><Relationship Id="rId994" Type="http://schemas.openxmlformats.org/officeDocument/2006/relationships/hyperlink" Target="https://docs.google.com/document/d/1JHE2-n3g0Z-HFgsQAqhUAzfsu0_HHwuo3xGXLQbzL44/edit?usp=drivesdk" TargetMode="External"/><Relationship Id="rId1028" Type="http://schemas.openxmlformats.org/officeDocument/2006/relationships/hyperlink" Target="https://docs.google.com/document/d/1--x_quWRk7v4tOXVm68b4ImeRzUb8B9PWczpxVwCQTk/edit?usp=drivesdk" TargetMode="External"/><Relationship Id="rId202" Type="http://schemas.openxmlformats.org/officeDocument/2006/relationships/hyperlink" Target="https://docs.google.com/document/d/1wCwibueR_wcJviqe1JCJpLlTRhJP87kkXm9YSbcKdXU/edit?usp=drivesdk" TargetMode="External"/><Relationship Id="rId244" Type="http://schemas.openxmlformats.org/officeDocument/2006/relationships/hyperlink" Target="https://docs.google.com/document/d/1hBWPvOMDWDX1__sfEInbaoUfl4W3yrdgE2duMe0b6N8/edit?usp=drivesdk" TargetMode="External"/><Relationship Id="rId647" Type="http://schemas.openxmlformats.org/officeDocument/2006/relationships/hyperlink" Target="https://docs.google.com/document/d/1uacCpT17Uvo2Shbv0SkaCBW-M-J5taDBnBKyZXZ-gQs/edit?usp=drivesdk" TargetMode="External"/><Relationship Id="rId689" Type="http://schemas.openxmlformats.org/officeDocument/2006/relationships/hyperlink" Target="https://docs.google.com/document/d/1-1t7SpdzNiPZUQBzAhGClTMAiUXsxUF_tizJvsjRHCI/edit?usp=drivesdk" TargetMode="External"/><Relationship Id="rId854" Type="http://schemas.openxmlformats.org/officeDocument/2006/relationships/hyperlink" Target="https://docs.google.com/document/d/15lNDMSGEk_R1rMeziaLuwP95ngHoSL5S61DXP5E-EWQ/edit?usp=drivesdk" TargetMode="External"/><Relationship Id="rId896" Type="http://schemas.openxmlformats.org/officeDocument/2006/relationships/hyperlink" Target="https://docs.google.com/document/d/16unQjogjJIPsG-F_BARKYu3h7Bw3HC9EKsGX7jo1d9o/edit?usp=drivesdk" TargetMode="External"/><Relationship Id="rId39" Type="http://schemas.openxmlformats.org/officeDocument/2006/relationships/hyperlink" Target="https://docs.google.com/document/d/1_HH9Z8-j5vEDahK3SVVb5cw1dwoAO7QFzxqAWGE-CnI/edit?usp=drivesdk" TargetMode="External"/><Relationship Id="rId286" Type="http://schemas.openxmlformats.org/officeDocument/2006/relationships/hyperlink" Target="https://docs.google.com/document/d/14h26rC8fooKg2LUPrRqgDafgqZqTt7bXcBEoYTV6AwQ/edit?usp=drivesdk" TargetMode="External"/><Relationship Id="rId451" Type="http://schemas.openxmlformats.org/officeDocument/2006/relationships/hyperlink" Target="https://docs.google.com/document/d/1t_HbU2KMIckKkFaXHUZlIFIY1bDLUHLlTkApJ2_oJx8/edit?usp=drivesdk" TargetMode="External"/><Relationship Id="rId493" Type="http://schemas.openxmlformats.org/officeDocument/2006/relationships/hyperlink" Target="https://docs.google.com/document/d/1mPnOS7jC8kvI2BlgVe8wKc6eNG8V-sYOC5x1OCtyzH4/edit?usp=drivesdk" TargetMode="External"/><Relationship Id="rId507" Type="http://schemas.openxmlformats.org/officeDocument/2006/relationships/hyperlink" Target="https://docs.google.com/document/d/1X9wfvTORjybGnVdhkI654jew_V9OeuF-Dtd6PT2PZgc/edit?usp=drivesdk" TargetMode="External"/><Relationship Id="rId549" Type="http://schemas.openxmlformats.org/officeDocument/2006/relationships/hyperlink" Target="https://docs.google.com/document/d/1nbL5P6Oo6a4QltxS3KZuALSx9YoVpCUbIVIJ8Xyf4xc/edit?usp=drivesdk" TargetMode="External"/><Relationship Id="rId714" Type="http://schemas.openxmlformats.org/officeDocument/2006/relationships/hyperlink" Target="https://docs.google.com/document/d/1xDgpPkfGU47__ZsWkI2GvMhFAhz0nOcemPpXy6Rxz_o/edit?usp=drivesdk" TargetMode="External"/><Relationship Id="rId756" Type="http://schemas.openxmlformats.org/officeDocument/2006/relationships/hyperlink" Target="https://docs.google.com/document/d/1_z1RZARPY2T5IV1zEqBsB9nnqR7NrKe_jDGVjqA-Evg/edit?usp=drivesdk" TargetMode="External"/><Relationship Id="rId921" Type="http://schemas.openxmlformats.org/officeDocument/2006/relationships/hyperlink" Target="https://docs.google.com/document/d/1DO-1slZ5Bu1G5XvG0dwG4d1-hVIfxAqmFbey0sNptV4/edit?usp=drivesdk" TargetMode="External"/><Relationship Id="rId50" Type="http://schemas.openxmlformats.org/officeDocument/2006/relationships/hyperlink" Target="https://docs.google.com/document/d/1OT1kes3CIgU0ZoBNEpPtzP0zZ3y229Cg9-mTm6wn5UM/edit?usp=drivesdk" TargetMode="External"/><Relationship Id="rId104" Type="http://schemas.openxmlformats.org/officeDocument/2006/relationships/hyperlink" Target="https://docs.google.com/document/d/1q53uSpEdchRnj-Rtxaj4hDDzRXe32da2SRUUmKfdEYs/edit?usp=drivesdk" TargetMode="External"/><Relationship Id="rId146" Type="http://schemas.openxmlformats.org/officeDocument/2006/relationships/hyperlink" Target="https://docs.google.com/document/d/1LuCtXJrW5W_uDwtAy3HfcI7oOa4lD8iG7UzSamPCoDk/edit?usp=drivesdk" TargetMode="External"/><Relationship Id="rId188" Type="http://schemas.openxmlformats.org/officeDocument/2006/relationships/hyperlink" Target="https://docs.google.com/document/d/1Uul-M4yHrQoQPnrQFZYN9DfqLTVHhiUvwWZpw-wNmWI/edit?usp=drivesdk" TargetMode="External"/><Relationship Id="rId311" Type="http://schemas.openxmlformats.org/officeDocument/2006/relationships/hyperlink" Target="https://docs.google.com/document/d/1fe-2hVqu4qRXiK7uZpdjNWbt09bbNO2CMjpLNLRqic4/edit?usp=drivesdk" TargetMode="External"/><Relationship Id="rId353" Type="http://schemas.openxmlformats.org/officeDocument/2006/relationships/hyperlink" Target="https://docs.google.com/document/d/1qIaFzaKCnPb1lZek9agDPwVAvyZMEizaSV_xR-V6yDE/edit?usp=drivesdk" TargetMode="External"/><Relationship Id="rId395" Type="http://schemas.openxmlformats.org/officeDocument/2006/relationships/hyperlink" Target="https://docs.google.com/document/d/17Sljgu1FaFjQKGdaD1c81vRCgs0R4l8zXXHwviylLbc/edit?usp=drivesdk" TargetMode="External"/><Relationship Id="rId409" Type="http://schemas.openxmlformats.org/officeDocument/2006/relationships/hyperlink" Target="https://docs.google.com/document/d/1LC1IYvAnDIH6sgJDDdHDIbOJPCKDdI8tSBH5EYeaN9I/edit?usp=drivesdk" TargetMode="External"/><Relationship Id="rId560" Type="http://schemas.openxmlformats.org/officeDocument/2006/relationships/hyperlink" Target="https://docs.google.com/document/d/1-r_DNoJo_KUQycyzLE_bEaa2Vn1rqABASHGTK6Z4Y6g/edit?usp=drivesdk" TargetMode="External"/><Relationship Id="rId798" Type="http://schemas.openxmlformats.org/officeDocument/2006/relationships/hyperlink" Target="https://docs.google.com/document/d/11x7KebBL3BsFbCvmXPMfkeGhvbsDkveSebCGBcM_2mE/edit?usp=drivesdk" TargetMode="External"/><Relationship Id="rId963" Type="http://schemas.openxmlformats.org/officeDocument/2006/relationships/hyperlink" Target="https://docs.google.com/document/d/1qTNtisk6l7OU0_Q_FAgAO60CvfRlKUL6nCB4-ubBj70/edit?usp=drivesdk" TargetMode="External"/><Relationship Id="rId1039" Type="http://schemas.openxmlformats.org/officeDocument/2006/relationships/hyperlink" Target="https://docs.google.com/document/d/1JnE7WCfpnNx27yT2xKV7txkHOy4hKlLMPz8d8l6cIJI/edit?usp=drivesdk" TargetMode="External"/><Relationship Id="rId92" Type="http://schemas.openxmlformats.org/officeDocument/2006/relationships/hyperlink" Target="https://docs.google.com/document/d/1CEf7cA2GIPp1xy65JDmnWfxQvW39taVTsOsaX1Ue6ho/edit?usp=drivesdk" TargetMode="External"/><Relationship Id="rId213" Type="http://schemas.openxmlformats.org/officeDocument/2006/relationships/hyperlink" Target="https://docs.google.com/document/d/1CUCpLehHRWB0zqBa_QILwFpQoJRVitx2XHWrEXyFSLw/edit?usp=drivesdk" TargetMode="External"/><Relationship Id="rId420" Type="http://schemas.openxmlformats.org/officeDocument/2006/relationships/hyperlink" Target="https://docs.google.com/document/d/1YcHhKdoml0dFm_B8BUS-a7DkgHQdzwhNiPXIvKAZZZQ/edit?usp=drivesdk" TargetMode="External"/><Relationship Id="rId616" Type="http://schemas.openxmlformats.org/officeDocument/2006/relationships/hyperlink" Target="https://docs.google.com/document/d/1LelJQCt9xhCaCvWsqB5qcSlE51HDB-stfFAndoITg9w/edit?usp=drivesdk" TargetMode="External"/><Relationship Id="rId658" Type="http://schemas.openxmlformats.org/officeDocument/2006/relationships/hyperlink" Target="https://docs.google.com/document/d/1hed7KvFcn3BsHc1lgAORkSljv9JYt2q2ixsyaM6glHU/edit?usp=drivesdk" TargetMode="External"/><Relationship Id="rId823" Type="http://schemas.openxmlformats.org/officeDocument/2006/relationships/hyperlink" Target="https://docs.google.com/document/d/1k_BiEimGWHiy4pYooJn9vBurZRI41irz03ma652liYQ/edit?usp=drivesdk" TargetMode="External"/><Relationship Id="rId865" Type="http://schemas.openxmlformats.org/officeDocument/2006/relationships/hyperlink" Target="https://docs.google.com/document/d/16dYCi1go_NcZnqx_wC1cNdkRoTcNSa8IECOK-ODwVic/edit?usp=drivesdk" TargetMode="External"/><Relationship Id="rId1050" Type="http://schemas.openxmlformats.org/officeDocument/2006/relationships/hyperlink" Target="https://docs.google.com/document/d/1uqCbFjI_w6lpNNDfIxI6ysGM0eWY_9JElUgXY-gjeLg/edit?usp=drivesdk" TargetMode="External"/><Relationship Id="rId255" Type="http://schemas.openxmlformats.org/officeDocument/2006/relationships/hyperlink" Target="https://docs.google.com/document/d/1j4CjBxVsEV7eiXaAaDkQ54i3LKlo5QbAlHvFo8FQYLI/edit?usp=drivesdk" TargetMode="External"/><Relationship Id="rId297" Type="http://schemas.openxmlformats.org/officeDocument/2006/relationships/hyperlink" Target="https://docs.google.com/document/d/1LBlWKL2pKmxOCG6VVr5KzjV_Qs6EWYJnMRPZXBuCHyY/edit?usp=drivesdk" TargetMode="External"/><Relationship Id="rId462" Type="http://schemas.openxmlformats.org/officeDocument/2006/relationships/hyperlink" Target="https://docs.google.com/document/d/1cRqHYijxrV4_pPbX7RD-5IfiCLeFdjnQzlrF8IOye4A/edit?usp=drivesdk" TargetMode="External"/><Relationship Id="rId518" Type="http://schemas.openxmlformats.org/officeDocument/2006/relationships/hyperlink" Target="https://docs.google.com/document/d/1feDKB5XJIcLW757JEVpNCpY7Nc9O763eK3hyEom3kzE/edit?usp=drivesdk" TargetMode="External"/><Relationship Id="rId725" Type="http://schemas.openxmlformats.org/officeDocument/2006/relationships/hyperlink" Target="https://docs.google.com/document/d/1h1VxgevN7KnnCx3EjxMmYbF6u5Ia7VAYF6G4AmQIalk/edit?usp=drivesdk" TargetMode="External"/><Relationship Id="rId932" Type="http://schemas.openxmlformats.org/officeDocument/2006/relationships/hyperlink" Target="https://docs.google.com/document/d/1fKpng-P49KlWpmGADkL10mPqxIbcw_1qKeZ1andnXs8/edit?usp=drivesdk" TargetMode="External"/><Relationship Id="rId115" Type="http://schemas.openxmlformats.org/officeDocument/2006/relationships/hyperlink" Target="https://docs.google.com/document/d/1hlaZ7sS4mysE6nV8d7dJ53WrBvYx2rjjVBaLtrkEUXE/edit?usp=drivesdk" TargetMode="External"/><Relationship Id="rId157" Type="http://schemas.openxmlformats.org/officeDocument/2006/relationships/hyperlink" Target="https://docs.google.com/document/d/1yRmCu21DibXxTmzuabRnKsTEkg4ImN6YDeiFUo9b1mQ/edit?usp=drivesdk" TargetMode="External"/><Relationship Id="rId322" Type="http://schemas.openxmlformats.org/officeDocument/2006/relationships/hyperlink" Target="https://docs.google.com/document/d/1nsjrzaiK-XGxSSZHB42jsZNNYxbyV3RJtQXB9v-oEB4/edit?usp=drivesdk" TargetMode="External"/><Relationship Id="rId364" Type="http://schemas.openxmlformats.org/officeDocument/2006/relationships/hyperlink" Target="https://docs.google.com/document/d/1Weo71KyE42pJv6eQho_VuZl_I_N1oT_tQDYaPUWJgXg/edit?usp=drivesdk" TargetMode="External"/><Relationship Id="rId767" Type="http://schemas.openxmlformats.org/officeDocument/2006/relationships/hyperlink" Target="https://docs.google.com/document/d/1Cp7qq9Bol8FhHDJuebs8pcpLXc7UAafHPmolW_N4TcQ/edit?usp=drivesdk" TargetMode="External"/><Relationship Id="rId974" Type="http://schemas.openxmlformats.org/officeDocument/2006/relationships/hyperlink" Target="https://docs.google.com/document/d/1S9PnpTSZN5NJQJmBlQYdIFb3DunUjQ5YdxS6ZE32qTw/edit?usp=drivesdk" TargetMode="External"/><Relationship Id="rId1008" Type="http://schemas.openxmlformats.org/officeDocument/2006/relationships/hyperlink" Target="https://docs.google.com/document/d/11nOFS5H3fVnhwSWdbAULHekHnQLzKZSQ4-4v94-_g4c/edit?usp=drivesdk" TargetMode="External"/><Relationship Id="rId61" Type="http://schemas.openxmlformats.org/officeDocument/2006/relationships/hyperlink" Target="https://docs.google.com/document/d/18sH7tpcvRVPrnvu5INSV_e-yIKj2uGcQozGVLnx_pZU/edit?usp=drivesdk" TargetMode="External"/><Relationship Id="rId199" Type="http://schemas.openxmlformats.org/officeDocument/2006/relationships/hyperlink" Target="https://docs.google.com/document/d/1sp3x5m3NjyONG81qm62pZZCQIhwJORfCMNu2kAoMkJc/edit?usp=drivesdk" TargetMode="External"/><Relationship Id="rId571" Type="http://schemas.openxmlformats.org/officeDocument/2006/relationships/hyperlink" Target="https://docs.google.com/document/d/1E0Y7htd1WRAHZCyT7jglsno2V2-glfRZaXBZBxjLKbs/edit?usp=drivesdk" TargetMode="External"/><Relationship Id="rId627" Type="http://schemas.openxmlformats.org/officeDocument/2006/relationships/hyperlink" Target="https://docs.google.com/document/d/1v6kVTGJ7y-AZCLEEsRweiQiMwBSa8h09Stv1Nc3ILb4/edit?usp=drivesdk" TargetMode="External"/><Relationship Id="rId669" Type="http://schemas.openxmlformats.org/officeDocument/2006/relationships/hyperlink" Target="https://docs.google.com/document/d/1McYH7tSGP2luoR6sjuQCc2xH_rUQmHJkYi_wUAjnrbc/edit?usp=drivesdk" TargetMode="External"/><Relationship Id="rId834" Type="http://schemas.openxmlformats.org/officeDocument/2006/relationships/hyperlink" Target="https://docs.google.com/document/d/1CuviBo2093SqQWhwYyA1EJRujNq-RMyvXj17Ab6JryI/edit?usp=drivesdk" TargetMode="External"/><Relationship Id="rId876" Type="http://schemas.openxmlformats.org/officeDocument/2006/relationships/hyperlink" Target="https://docs.google.com/document/d/1DT0Zx6uwyKzgx3z_u36aB1rUheUamDD3XCrKC_er6G0/edit?usp=drivesdk" TargetMode="External"/><Relationship Id="rId19" Type="http://schemas.openxmlformats.org/officeDocument/2006/relationships/hyperlink" Target="https://docs.google.com/document/d/1xUIhT2sRTDOWmpUEFwaZu47fXh5-6Kw9MpWVOIypX_Y/edit?usp=drivesdk" TargetMode="External"/><Relationship Id="rId224" Type="http://schemas.openxmlformats.org/officeDocument/2006/relationships/hyperlink" Target="https://docs.google.com/document/d/1Yt2HD3iejFIbR5_nzxBX4oSXL467Y0dEFPeCK--9RKY/edit?usp=drivesdk" TargetMode="External"/><Relationship Id="rId266" Type="http://schemas.openxmlformats.org/officeDocument/2006/relationships/hyperlink" Target="https://docs.google.com/document/d/1gYNhicIovTf1c9Zf3C3aODQwJQQizjlNU7MM4uM7Cq8/edit?usp=drivesdk" TargetMode="External"/><Relationship Id="rId431" Type="http://schemas.openxmlformats.org/officeDocument/2006/relationships/hyperlink" Target="https://docs.google.com/document/d/1fV7ujv8mdM-qcN_Fc0mQNchgUTDr7W6eeg26ipk9aYg/edit?usp=drivesdk" TargetMode="External"/><Relationship Id="rId473" Type="http://schemas.openxmlformats.org/officeDocument/2006/relationships/hyperlink" Target="https://docs.google.com/document/d/1ySb_Wf_HDbpc0L6WS7Fvxm7BA3n0qsprVE5boNnOhyE/edit?usp=drivesdk" TargetMode="External"/><Relationship Id="rId529" Type="http://schemas.openxmlformats.org/officeDocument/2006/relationships/hyperlink" Target="https://docs.google.com/document/d/1pkIBFW1gRbyD3YvB5xgGMFmoAjuEz1P_wLzVY3WATC0/edit?usp=drivesdk" TargetMode="External"/><Relationship Id="rId680" Type="http://schemas.openxmlformats.org/officeDocument/2006/relationships/hyperlink" Target="https://docs.google.com/document/d/1AK89D3zATwCbB9j94cgqzUMBGJ-NNLW-U1t8PCqZwmI/edit?usp=drivesdk" TargetMode="External"/><Relationship Id="rId736" Type="http://schemas.openxmlformats.org/officeDocument/2006/relationships/hyperlink" Target="https://docs.google.com/document/d/17rInVDPurLR36IqMnzTPCaOhpbOVndiaydEZ_Zz9Sis/edit?usp=drivesdk" TargetMode="External"/><Relationship Id="rId901" Type="http://schemas.openxmlformats.org/officeDocument/2006/relationships/hyperlink" Target="https://docs.google.com/document/d/1DFy6isb3YaH8jceTQyAahMjLvq-aZ6SFqm8G6_dypIc/edit?usp=drivesdk" TargetMode="External"/><Relationship Id="rId1061" Type="http://schemas.openxmlformats.org/officeDocument/2006/relationships/hyperlink" Target="https://docs.google.com/document/d/1DqNdmiPeqP4y1wR01OK9Yvli8zTz4cS0bI7LK8gUtY8/edit?usp=drivesdk" TargetMode="External"/><Relationship Id="rId30" Type="http://schemas.openxmlformats.org/officeDocument/2006/relationships/hyperlink" Target="https://docs.google.com/document/d/1v_EdmdvVGzhAN3sdHRshOKc3HcBBu2-dgl8Cd4de5UM/edit?usp=drivesdk" TargetMode="External"/><Relationship Id="rId126" Type="http://schemas.openxmlformats.org/officeDocument/2006/relationships/hyperlink" Target="https://docs.google.com/document/d/1LQqlIwHGCF52aRRtJim0ILCgeeS8U4NH2xgD9iHPfTc/edit?usp=drivesdk" TargetMode="External"/><Relationship Id="rId168" Type="http://schemas.openxmlformats.org/officeDocument/2006/relationships/hyperlink" Target="https://docs.google.com/document/d/1i7gzGMRtKsIfqsAqJWP2driUwJ2sHFfr9kkmwR3CAzc/edit?usp=drivesdk" TargetMode="External"/><Relationship Id="rId333" Type="http://schemas.openxmlformats.org/officeDocument/2006/relationships/hyperlink" Target="https://docs.google.com/document/d/17k__OhYheTr3nYbx5FarCqsKPH8rt5B5IyLMdHihyxo/edit?usp=drivesdk" TargetMode="External"/><Relationship Id="rId540" Type="http://schemas.openxmlformats.org/officeDocument/2006/relationships/hyperlink" Target="https://docs.google.com/document/d/1A1qYUPKO5Wb8iRIfFTId93wLRSQa7adkF6FTHhgTtVk/edit?usp=drivesdk" TargetMode="External"/><Relationship Id="rId778" Type="http://schemas.openxmlformats.org/officeDocument/2006/relationships/hyperlink" Target="https://docs.google.com/document/d/1LuFbqTwBStOON6ehl0wjjqXi8oKWPhHeMVBlYyXOC5I/edit?usp=drivesdk" TargetMode="External"/><Relationship Id="rId943" Type="http://schemas.openxmlformats.org/officeDocument/2006/relationships/hyperlink" Target="https://docs.google.com/document/d/16R1Elvgge74p1YRX--lBcAapIqp4h7R8oqHwVevPvj4/edit?usp=drivesdk" TargetMode="External"/><Relationship Id="rId985" Type="http://schemas.openxmlformats.org/officeDocument/2006/relationships/hyperlink" Target="https://docs.google.com/document/d/1CASd18gaOx2lCQ2ert7OBhDTks6lDY34gvTp5COXVvk/edit?usp=drivesdk" TargetMode="External"/><Relationship Id="rId1019" Type="http://schemas.openxmlformats.org/officeDocument/2006/relationships/hyperlink" Target="https://docs.google.com/document/d/1Jvqbq3zRB5n4FbmCwZ1_2rN0yASDAlLZPtjp9Kt3jIA/edit?usp=drivesdk" TargetMode="External"/><Relationship Id="rId72" Type="http://schemas.openxmlformats.org/officeDocument/2006/relationships/hyperlink" Target="https://docs.google.com/document/d/1B6fzv88D5-nJ8bnEEW7BlQPXBFnv4G5EWzrYGS9Jm9w/edit?usp=drivesdk" TargetMode="External"/><Relationship Id="rId375" Type="http://schemas.openxmlformats.org/officeDocument/2006/relationships/hyperlink" Target="https://docs.google.com/document/d/1yjeYvgPYir5ZjPhpr6dgyr3QLWQtzniq9SwDgTcD6K4/edit?usp=drivesdk" TargetMode="External"/><Relationship Id="rId582" Type="http://schemas.openxmlformats.org/officeDocument/2006/relationships/hyperlink" Target="https://docs.google.com/document/d/1E-CD4sjerVVgprVtUwd_KzPzxuQxMZpRHPM_P2PT2i8/edit?usp=drivesdk" TargetMode="External"/><Relationship Id="rId638" Type="http://schemas.openxmlformats.org/officeDocument/2006/relationships/hyperlink" Target="https://docs.google.com/document/d/1uRhHSAGCJ80NopkLKRzX-7mrl_FPkcOqqzu9Kt-w3Y4/edit?usp=drivesdk" TargetMode="External"/><Relationship Id="rId803" Type="http://schemas.openxmlformats.org/officeDocument/2006/relationships/hyperlink" Target="https://docs.google.com/document/d/1hEYgeh2jQejLOOevmoVy-gg2QtzceiI5WB6SCICw0pw/edit?usp=drivesdk" TargetMode="External"/><Relationship Id="rId845" Type="http://schemas.openxmlformats.org/officeDocument/2006/relationships/hyperlink" Target="https://docs.google.com/document/d/1ZJCGcvhnfwf-t_zdbviQxirSzGrI9otVyjXSP90YCTc/edit?usp=drivesdk" TargetMode="External"/><Relationship Id="rId1030" Type="http://schemas.openxmlformats.org/officeDocument/2006/relationships/hyperlink" Target="https://docs.google.com/document/d/1sRGeTHnxYYqxcGPJ2vRJBl_UBZGoGYZiK60_oEHdu34/edit?usp=drivesdk" TargetMode="External"/><Relationship Id="rId3" Type="http://schemas.openxmlformats.org/officeDocument/2006/relationships/hyperlink" Target="https://drive.google.com/a/gtmnerr.org/file/d/1lZDSHrj3qsq_O52lhKl_J8Ol3Ppm2wpf/view?usp=drivesdk" TargetMode="External"/><Relationship Id="rId235" Type="http://schemas.openxmlformats.org/officeDocument/2006/relationships/hyperlink" Target="https://docs.google.com/document/d/1TJtSa6lbULLrc9i4aU81PsSx6hsWL8HJ2uszk5W7kv8/edit?usp=drivesdk" TargetMode="External"/><Relationship Id="rId277" Type="http://schemas.openxmlformats.org/officeDocument/2006/relationships/hyperlink" Target="https://docs.google.com/document/d/1QBSxmJEW8haI9t5gOvOxhfJQdjnU8UExtzvNGSdRJeU/edit?usp=drivesdk" TargetMode="External"/><Relationship Id="rId400" Type="http://schemas.openxmlformats.org/officeDocument/2006/relationships/hyperlink" Target="https://docs.google.com/document/d/1gYnYcrd2vVUnyywSfLpzSXQMaeBhGeh-LmrYZ9gNiQs/edit?usp=drivesdk" TargetMode="External"/><Relationship Id="rId442" Type="http://schemas.openxmlformats.org/officeDocument/2006/relationships/hyperlink" Target="https://docs.google.com/document/d/1ZpHNgTfwEUWpacFvXODvASHbr6p2nOLQFoJ0GljaYLs/edit?usp=drivesdk" TargetMode="External"/><Relationship Id="rId484" Type="http://schemas.openxmlformats.org/officeDocument/2006/relationships/hyperlink" Target="https://docs.google.com/document/d/1s9l85XooOHcl3JjhuW9mrAkWSXGvDtchsQtTw8Orqo4/edit?usp=drivesdk" TargetMode="External"/><Relationship Id="rId705" Type="http://schemas.openxmlformats.org/officeDocument/2006/relationships/hyperlink" Target="https://docs.google.com/document/d/11sMVGTJ0lCXe9iqhHcanu3Fr18pLhFNOHeSXZ4Y0Omo/edit?usp=drivesdk" TargetMode="External"/><Relationship Id="rId887" Type="http://schemas.openxmlformats.org/officeDocument/2006/relationships/hyperlink" Target="https://docs.google.com/document/d/1V13gmgiF_K9qJ2_cHNnybPy4e7hXbs8oq-Wwh71eOi4/edit?usp=drivesdk" TargetMode="External"/><Relationship Id="rId137" Type="http://schemas.openxmlformats.org/officeDocument/2006/relationships/hyperlink" Target="https://docs.google.com/document/d/10rU4XDlqfzQWaY9r_oxgwKKaIF7s4-1zNcxL46nYc7c/edit?usp=drivesdk" TargetMode="External"/><Relationship Id="rId302" Type="http://schemas.openxmlformats.org/officeDocument/2006/relationships/hyperlink" Target="https://docs.google.com/document/d/1Lj3Corcrdfv8NhADDnB5MnFLc80Lp1cbT2jtyOaAzZg/edit?usp=drivesdk" TargetMode="External"/><Relationship Id="rId344" Type="http://schemas.openxmlformats.org/officeDocument/2006/relationships/hyperlink" Target="https://docs.google.com/document/d/1VFwoXvxUp9esJMS9AjQJUjDLucKnSGwDdiqVmF5mxvQ/edit?usp=drivesdk" TargetMode="External"/><Relationship Id="rId691" Type="http://schemas.openxmlformats.org/officeDocument/2006/relationships/hyperlink" Target="https://docs.google.com/document/d/10PPtUeZxUW0GRSdf3nxgyb44bbz5wQ1STydMXPbs1OY/edit?usp=drivesdk" TargetMode="External"/><Relationship Id="rId747" Type="http://schemas.openxmlformats.org/officeDocument/2006/relationships/hyperlink" Target="https://docs.google.com/document/d/19ueDMAb4P410DlLtrZbhnS3Q7bAjtdsyiEKgyeSyBgo/edit?usp=drivesdk" TargetMode="External"/><Relationship Id="rId789" Type="http://schemas.openxmlformats.org/officeDocument/2006/relationships/hyperlink" Target="https://docs.google.com/document/d/1C3qf2_4UpCkvbMnhPJHaFCvqu7xhzdGIW6xahqIf4g8/edit?usp=drivesdk" TargetMode="External"/><Relationship Id="rId912" Type="http://schemas.openxmlformats.org/officeDocument/2006/relationships/hyperlink" Target="https://docs.google.com/document/d/1Ax5whJAXoyvkNv80yhIVDXTah_j70azkxvOzVN0nuDo/edit?usp=drivesdk" TargetMode="External"/><Relationship Id="rId954" Type="http://schemas.openxmlformats.org/officeDocument/2006/relationships/hyperlink" Target="https://docs.google.com/document/d/1Pb2EgSPuWH0vva2fU4gzOxz0CWRbqByXtV4nMpkLmZs/edit?usp=drivesdk" TargetMode="External"/><Relationship Id="rId996" Type="http://schemas.openxmlformats.org/officeDocument/2006/relationships/hyperlink" Target="https://docs.google.com/document/d/15jKXlIM7xkbNSuXitQYKXSHui1pHg4OjAtnh9Bnrxsw/edit?usp=drivesdk" TargetMode="External"/><Relationship Id="rId41" Type="http://schemas.openxmlformats.org/officeDocument/2006/relationships/hyperlink" Target="https://docs.google.com/document/d/1Z8dAn-NJRpmpNLlG1zkbjukS7RuYIXNvx0IZ730X_Lk/edit?usp=drivesdk" TargetMode="External"/><Relationship Id="rId83" Type="http://schemas.openxmlformats.org/officeDocument/2006/relationships/hyperlink" Target="https://docs.google.com/document/d/1Yf58Vo3igrV_L3FTGJfaglDeuNiDkG2mScsf6Af2oGg/edit?usp=drivesdk" TargetMode="External"/><Relationship Id="rId179" Type="http://schemas.openxmlformats.org/officeDocument/2006/relationships/hyperlink" Target="https://docs.google.com/document/d/1oTcfsWZOgZYgI5Fy-XeM-Rzu-vTXU288StIZED4uEX8/edit?usp=drivesdk" TargetMode="External"/><Relationship Id="rId386" Type="http://schemas.openxmlformats.org/officeDocument/2006/relationships/hyperlink" Target="https://docs.google.com/document/d/1M7xpibvSmVbgcBf-KshDdhZJdbWlKw_O9smFLdfK_xY/edit?usp=drivesdk" TargetMode="External"/><Relationship Id="rId551" Type="http://schemas.openxmlformats.org/officeDocument/2006/relationships/hyperlink" Target="https://docs.google.com/document/d/12oEpuM28DHseLo4rhITNUOBHZoSLauObccYEJGAhUec/edit?usp=drivesdk" TargetMode="External"/><Relationship Id="rId593" Type="http://schemas.openxmlformats.org/officeDocument/2006/relationships/hyperlink" Target="https://docs.google.com/document/d/12Xh6PCNmuBUlDAzQSQeIvg_2kwveS3AgQxjGUTSrOSk/edit?usp=drivesdk" TargetMode="External"/><Relationship Id="rId607" Type="http://schemas.openxmlformats.org/officeDocument/2006/relationships/hyperlink" Target="https://docs.google.com/document/d/15ryWPaEC9QD9CGo79CYeu5aO05GgMvH3od9_9mdrlP0/edit?usp=drivesdk" TargetMode="External"/><Relationship Id="rId649" Type="http://schemas.openxmlformats.org/officeDocument/2006/relationships/hyperlink" Target="https://docs.google.com/document/d/1QVWN5IMPmVwsi0ToyQccgphuzufNnTdYPlN02idb2i4/edit?usp=drivesdk" TargetMode="External"/><Relationship Id="rId814" Type="http://schemas.openxmlformats.org/officeDocument/2006/relationships/hyperlink" Target="https://docs.google.com/document/d/1Qb1pARkYXxaFxa9FSunL6WYLa2K609KQDw4RVUepTMY/edit?usp=drivesdk" TargetMode="External"/><Relationship Id="rId856" Type="http://schemas.openxmlformats.org/officeDocument/2006/relationships/hyperlink" Target="https://docs.google.com/document/d/1t-iXgZBRD6BHtMCUQ4VXPpyWX3djDTjyiF37jVwvZso/edit?usp=drivesdk" TargetMode="External"/><Relationship Id="rId190" Type="http://schemas.openxmlformats.org/officeDocument/2006/relationships/hyperlink" Target="https://docs.google.com/document/d/16OYOj5TIsxB7aLpe8-WmMHmeLPl3WJceZcqhaNcR8ug/edit?usp=drivesdk" TargetMode="External"/><Relationship Id="rId204" Type="http://schemas.openxmlformats.org/officeDocument/2006/relationships/hyperlink" Target="https://docs.google.com/document/d/1ySIzZqkUgYZOnUT2s6MMktH4mDF9DGVF0uvVl5xf4BM/edit?usp=drivesdk" TargetMode="External"/><Relationship Id="rId246" Type="http://schemas.openxmlformats.org/officeDocument/2006/relationships/hyperlink" Target="https://docs.google.com/document/d/1zpiiQnRk_ny2eghst2yO43NK7mtn9wSbSuVWKqfFa1w/edit?usp=drivesdk" TargetMode="External"/><Relationship Id="rId288" Type="http://schemas.openxmlformats.org/officeDocument/2006/relationships/hyperlink" Target="https://docs.google.com/document/d/1qA0BXQylOFUw2Hvi7IhmXc7q1Hw-adob7CuuwLH6Z1g/edit?usp=drivesdk" TargetMode="External"/><Relationship Id="rId411" Type="http://schemas.openxmlformats.org/officeDocument/2006/relationships/hyperlink" Target="https://docs.google.com/document/d/1NN0E003fhNBJAqT_4wA1n1fHv_OIrnwXZ5Cod5eNRaQ/edit?usp=drivesdk" TargetMode="External"/><Relationship Id="rId453" Type="http://schemas.openxmlformats.org/officeDocument/2006/relationships/hyperlink" Target="https://docs.google.com/document/d/1e08sBtJqFFpwenXSA3mAXTmmgBTa13oAmwQ_-AZbT-o/edit?usp=drivesdk" TargetMode="External"/><Relationship Id="rId509" Type="http://schemas.openxmlformats.org/officeDocument/2006/relationships/hyperlink" Target="https://docs.google.com/document/d/1RJLYcS9IsMyhVVNWNhAD2e09aoyEC06a4739oiXVskI/edit?usp=drivesdk" TargetMode="External"/><Relationship Id="rId660" Type="http://schemas.openxmlformats.org/officeDocument/2006/relationships/hyperlink" Target="https://docs.google.com/document/d/1ZdmjKKdJiREnW5Ncq3ZwQuf2ZogrztDCw_xRnm51fNA/edit?usp=drivesdk" TargetMode="External"/><Relationship Id="rId898" Type="http://schemas.openxmlformats.org/officeDocument/2006/relationships/hyperlink" Target="https://docs.google.com/document/d/15iOgpdqC-MR_VlmeyY_IpqO6qxDbhn_N6aZdBzrCAao/edit?usp=drivesdk" TargetMode="External"/><Relationship Id="rId1041" Type="http://schemas.openxmlformats.org/officeDocument/2006/relationships/hyperlink" Target="https://docs.google.com/document/d/1bLUwMO7mLyD8vTW5FM8VYXOStIoKfXLUYCzP5BoMGQU/edit?usp=drivesdk" TargetMode="External"/><Relationship Id="rId106" Type="http://schemas.openxmlformats.org/officeDocument/2006/relationships/hyperlink" Target="https://docs.google.com/document/d/1FbfrpXrmysodX8qvntPP4u8abx1oSvLdYgvdnAhlqV4/edit?usp=drivesdk" TargetMode="External"/><Relationship Id="rId313" Type="http://schemas.openxmlformats.org/officeDocument/2006/relationships/hyperlink" Target="https://docs.google.com/document/d/1DEEZagV5EBkLzROR_9oxeIWIQiNWeE6h9eGZvDKJGBc/edit?usp=drivesdk" TargetMode="External"/><Relationship Id="rId495" Type="http://schemas.openxmlformats.org/officeDocument/2006/relationships/hyperlink" Target="https://docs.google.com/document/d/1Dt-ZmkYh9sJc_5nz2kHJYETzZcNnYCNSEdUHBi5zbLk/edit?usp=drivesdk" TargetMode="External"/><Relationship Id="rId716" Type="http://schemas.openxmlformats.org/officeDocument/2006/relationships/hyperlink" Target="https://docs.google.com/document/d/1WoSGJkq6XbxD-4dWVlBIEIuDkwmcTqx6kPr9AAeKmWA/edit?usp=drivesdk" TargetMode="External"/><Relationship Id="rId758" Type="http://schemas.openxmlformats.org/officeDocument/2006/relationships/hyperlink" Target="https://docs.google.com/document/d/1K0Z_RD4f4e39o03KC0ogKRZ33KkiYO_D7PE8uplW3rk/edit?usp=drivesdk" TargetMode="External"/><Relationship Id="rId923" Type="http://schemas.openxmlformats.org/officeDocument/2006/relationships/hyperlink" Target="https://docs.google.com/document/d/1IgQxMF75KPn2PEBatkooPV5A16sAEX_ibVhMqjcz1Tw/edit?usp=drivesdk" TargetMode="External"/><Relationship Id="rId965" Type="http://schemas.openxmlformats.org/officeDocument/2006/relationships/hyperlink" Target="https://docs.google.com/document/d/1qXhYhs84JVytnsSuPrRtjVFlbgRJVzqXVYgWkSgEvhc/edit?usp=drivesdk" TargetMode="External"/><Relationship Id="rId10" Type="http://schemas.openxmlformats.org/officeDocument/2006/relationships/hyperlink" Target="https://drive.google.com/a/gtmnerr.org/file/d/1VQkdorZRbfabc3AEa7o8ja86ZuyLfsIJ/view?usp=drivesdk" TargetMode="External"/><Relationship Id="rId52" Type="http://schemas.openxmlformats.org/officeDocument/2006/relationships/hyperlink" Target="https://docs.google.com/document/d/1omI7AifJyv7VBder7xWpamlAqbP_DccSbkNyJKL1wJk/edit?usp=drivesdk" TargetMode="External"/><Relationship Id="rId94" Type="http://schemas.openxmlformats.org/officeDocument/2006/relationships/hyperlink" Target="https://docs.google.com/document/d/1gFmRMe2zpH3j4wfW__4Oo9qMajLX3jmZ0kcbMSYh65A/edit?usp=drivesdk" TargetMode="External"/><Relationship Id="rId148" Type="http://schemas.openxmlformats.org/officeDocument/2006/relationships/hyperlink" Target="https://docs.google.com/document/d/1L1XIyzHuHRQHoWUjLZVh96I0pkX6GW-koS18WeV4S5A/edit?usp=drivesdk" TargetMode="External"/><Relationship Id="rId355" Type="http://schemas.openxmlformats.org/officeDocument/2006/relationships/hyperlink" Target="https://docs.google.com/document/d/1c3oIBDOSh2u6pFvXb4E_3APsR9Lem7S_3eSczmJQrGg/edit?usp=drivesdk" TargetMode="External"/><Relationship Id="rId397" Type="http://schemas.openxmlformats.org/officeDocument/2006/relationships/hyperlink" Target="https://docs.google.com/document/d/1ZdD5urJCsgWVyivnfEYQGGfYEd6NlfeS7KymF33zbS8/edit?usp=drivesdk" TargetMode="External"/><Relationship Id="rId520" Type="http://schemas.openxmlformats.org/officeDocument/2006/relationships/hyperlink" Target="https://docs.google.com/document/d/1Jfu7MNTZxcWqcdmbBNfPU9qElNTyO5e-_VHY7GnFWzY/edit?usp=drivesdk" TargetMode="External"/><Relationship Id="rId562" Type="http://schemas.openxmlformats.org/officeDocument/2006/relationships/hyperlink" Target="https://docs.google.com/document/d/1wCAaC3FSDkVURqi_u3lTD-VMOlPEXHK4CgCm06OztsU/edit?usp=drivesdk" TargetMode="External"/><Relationship Id="rId618" Type="http://schemas.openxmlformats.org/officeDocument/2006/relationships/hyperlink" Target="https://docs.google.com/document/d/1zbyf1Ti39tstyzZoENWWgRG16TpZdz6rKhveKnCd6u8/edit?usp=drivesdk" TargetMode="External"/><Relationship Id="rId825" Type="http://schemas.openxmlformats.org/officeDocument/2006/relationships/hyperlink" Target="https://docs.google.com/document/d/1L9AiVxaArm2hGAwYSGnY5_NnzDzsidWhCWFAakiRSSc/edit?usp=drivesdk" TargetMode="External"/><Relationship Id="rId215" Type="http://schemas.openxmlformats.org/officeDocument/2006/relationships/hyperlink" Target="https://docs.google.com/document/d/1cLJrO_7vYjsC5Las3DO7HiNkHwUoPLtkT1XEBLKwk2I/edit?usp=drivesdk" TargetMode="External"/><Relationship Id="rId257" Type="http://schemas.openxmlformats.org/officeDocument/2006/relationships/hyperlink" Target="https://docs.google.com/document/d/1Jwwqnazwww9YKvWyHVkc7djKCR6FkjdvBevqEEgTxgc/edit?usp=drivesdk" TargetMode="External"/><Relationship Id="rId422" Type="http://schemas.openxmlformats.org/officeDocument/2006/relationships/hyperlink" Target="https://docs.google.com/document/d/1P-w6hP0JJ9aHdnVtE_cy6KvZFgiNy7248mQ9lxxED0E/edit?usp=drivesdk" TargetMode="External"/><Relationship Id="rId464" Type="http://schemas.openxmlformats.org/officeDocument/2006/relationships/hyperlink" Target="https://docs.google.com/document/d/1SOV0UdB55rp9XaUmInRbqKUHRSOAHs5qFw6sitgs6Wk/edit?usp=drivesdk" TargetMode="External"/><Relationship Id="rId867" Type="http://schemas.openxmlformats.org/officeDocument/2006/relationships/hyperlink" Target="https://docs.google.com/document/d/1CLsEPNbtiMlBICQ7QSJM9HInpB5hNSsZUQ57flyjCMQ/edit?usp=drivesdk" TargetMode="External"/><Relationship Id="rId1010" Type="http://schemas.openxmlformats.org/officeDocument/2006/relationships/hyperlink" Target="https://docs.google.com/document/d/1RzGSq5fDPd4qR4Y61M-L41q1N5eErFd3dXnoVJzQteo/edit?usp=drivesdk" TargetMode="External"/><Relationship Id="rId1052" Type="http://schemas.openxmlformats.org/officeDocument/2006/relationships/hyperlink" Target="https://docs.google.com/document/d/1jBXcomq0QnqBEfhyoONHIkUDNPwnIOTSdji2bC8Fvag/edit?usp=drivesdk" TargetMode="External"/><Relationship Id="rId299" Type="http://schemas.openxmlformats.org/officeDocument/2006/relationships/hyperlink" Target="https://docs.google.com/document/d/1KgtsJJKzhgVyGWsX20RlzbAQfyhax9XMYyQYU7_jT3Q/edit?usp=drivesdk" TargetMode="External"/><Relationship Id="rId727" Type="http://schemas.openxmlformats.org/officeDocument/2006/relationships/hyperlink" Target="https://docs.google.com/document/d/18AkP3_-C5aOjdaEN7QSMn5MYONN1V-m-9VkruOFZDXw/edit?usp=drivesdk" TargetMode="External"/><Relationship Id="rId934" Type="http://schemas.openxmlformats.org/officeDocument/2006/relationships/hyperlink" Target="https://docs.google.com/document/d/1JkH8yjET55FIGYZsYWYdzq0b7YO-szZL847QUpB-Ovs/edit?usp=drivesdk" TargetMode="External"/><Relationship Id="rId63" Type="http://schemas.openxmlformats.org/officeDocument/2006/relationships/hyperlink" Target="https://docs.google.com/document/d/1L0kzkzO3R_dAJCQe55pzE_QXkWNAsyj-X0rnm0gVaQY/edit?usp=drivesdk" TargetMode="External"/><Relationship Id="rId159" Type="http://schemas.openxmlformats.org/officeDocument/2006/relationships/hyperlink" Target="https://docs.google.com/document/d/1s3JiwQ-KWulWysULpBhqbwpxDkxCnkakIu_ciCP-aHE/edit?usp=drivesdk" TargetMode="External"/><Relationship Id="rId366" Type="http://schemas.openxmlformats.org/officeDocument/2006/relationships/hyperlink" Target="https://docs.google.com/document/d/1R67aWa6YbeD9LJQCyYhLFFgo-n7BFuc4yGofXLj2i4s/edit?usp=drivesdk" TargetMode="External"/><Relationship Id="rId573" Type="http://schemas.openxmlformats.org/officeDocument/2006/relationships/hyperlink" Target="https://docs.google.com/document/d/1MvlAKL96LDrRfUSWS-rFRacHhpjLC-Ft77AJyjsHHVY/edit?usp=drivesdk" TargetMode="External"/><Relationship Id="rId780" Type="http://schemas.openxmlformats.org/officeDocument/2006/relationships/hyperlink" Target="https://docs.google.com/document/d/1EFp1szLBShCuIfDlu-z1NS7U6gQAIr8KdVnaPhh9Gyk/edit?usp=drivesdk" TargetMode="External"/><Relationship Id="rId226" Type="http://schemas.openxmlformats.org/officeDocument/2006/relationships/hyperlink" Target="https://docs.google.com/document/d/1vmmHbbEKOlfRp-_iKH2vKvCl0CVCLNAqtyyG8zrDGGo/edit?usp=drivesdk" TargetMode="External"/><Relationship Id="rId433" Type="http://schemas.openxmlformats.org/officeDocument/2006/relationships/hyperlink" Target="https://docs.google.com/document/d/1cooWly9CdWRCoCXhOkU5l07MF3gtnaqhh5Nb1u9tu_s/edit?usp=drivesdk" TargetMode="External"/><Relationship Id="rId878" Type="http://schemas.openxmlformats.org/officeDocument/2006/relationships/hyperlink" Target="https://docs.google.com/document/d/1hm4NrgHQKwMVu9Eq-JgzT17dXJV98HIjQcwNtMObRpU/edit?usp=drivesdk" TargetMode="External"/><Relationship Id="rId1063" Type="http://schemas.openxmlformats.org/officeDocument/2006/relationships/hyperlink" Target="https://docs.google.com/document/d/1hz-MeBBnY8kDBUGgpbb-UIthb7pBKF74Wg8oKBHspQ0/edit?usp=drivesdk" TargetMode="External"/><Relationship Id="rId640" Type="http://schemas.openxmlformats.org/officeDocument/2006/relationships/hyperlink" Target="https://docs.google.com/document/d/1F_A1Sdi5q3ONoxUN0nG0uquujAIUcQzwOq3TlHfElTs/edit?usp=drivesdk" TargetMode="External"/><Relationship Id="rId738" Type="http://schemas.openxmlformats.org/officeDocument/2006/relationships/hyperlink" Target="https://docs.google.com/document/d/1R10Ypm0lKtac3h6RRQBrkJKg9_8oIiGwd1jci39jpzg/edit?usp=drivesdk" TargetMode="External"/><Relationship Id="rId945" Type="http://schemas.openxmlformats.org/officeDocument/2006/relationships/hyperlink" Target="https://docs.google.com/document/d/1NROaleDAzD-tCqzIUe4dhM5EC9pJyVOJhPZm7GisFDM/edit?usp=drivesdk" TargetMode="External"/><Relationship Id="rId74" Type="http://schemas.openxmlformats.org/officeDocument/2006/relationships/hyperlink" Target="https://docs.google.com/document/d/1FGSJu50WpKVPQMMjfQsJgZFm6YVlPd9AmbZ7l5n8PbY/edit?usp=drivesdk" TargetMode="External"/><Relationship Id="rId377" Type="http://schemas.openxmlformats.org/officeDocument/2006/relationships/hyperlink" Target="https://docs.google.com/document/d/1tSD6e648rzgMuzDP9hhqwOSc2wFY4LzC4gX0xMLr3mM/edit?usp=drivesdk" TargetMode="External"/><Relationship Id="rId500" Type="http://schemas.openxmlformats.org/officeDocument/2006/relationships/hyperlink" Target="https://docs.google.com/document/d/1iz2Vel11zSDZsiIc26uFzdHrE5PzaLzl9KuvA_T_xSg/edit?usp=drivesdk" TargetMode="External"/><Relationship Id="rId584" Type="http://schemas.openxmlformats.org/officeDocument/2006/relationships/hyperlink" Target="https://docs.google.com/document/d/1Wbjnn0Vhj7oSUtgx1TRihhEjbS0AcCtX1r8B6Sbu4GM/edit?usp=drivesdk" TargetMode="External"/><Relationship Id="rId805" Type="http://schemas.openxmlformats.org/officeDocument/2006/relationships/hyperlink" Target="https://docs.google.com/document/d/1Xsk60b6soG02NV3ap-2XymywigJ_ux5MNN7Rue-wpA8/edit?usp=drivesdk" TargetMode="External"/><Relationship Id="rId5" Type="http://schemas.openxmlformats.org/officeDocument/2006/relationships/hyperlink" Target="https://drive.google.com/a/gtmnerr.org/file/d/1YinwlBsrG6skh50eUb96HFs4ROS8w5Vd/view?usp=drivesdk" TargetMode="External"/><Relationship Id="rId237" Type="http://schemas.openxmlformats.org/officeDocument/2006/relationships/hyperlink" Target="https://docs.google.com/document/d/1odhTpTLuy9rmKb4m7VExrlFUjNvK50mcGTUs0hW18L8/edit?usp=drivesdk" TargetMode="External"/><Relationship Id="rId791" Type="http://schemas.openxmlformats.org/officeDocument/2006/relationships/hyperlink" Target="https://docs.google.com/document/d/181YLQc9zh9FGL-hyGYzwKeZWTm2cJfvazBcYqsqkOWY/edit?usp=drivesdk" TargetMode="External"/><Relationship Id="rId889" Type="http://schemas.openxmlformats.org/officeDocument/2006/relationships/hyperlink" Target="https://docs.google.com/document/d/1fXj3y-7RnJGNC0AeHgZY-SeIzaikF7F10xhTEgY9ocE/edit?usp=drivesdk" TargetMode="External"/><Relationship Id="rId444" Type="http://schemas.openxmlformats.org/officeDocument/2006/relationships/hyperlink" Target="https://docs.google.com/document/d/1RhI2g82fbFAKOgTn73GYXSoJOtPGjCugxGRLUVIJdgE/edit?usp=drivesdk" TargetMode="External"/><Relationship Id="rId651" Type="http://schemas.openxmlformats.org/officeDocument/2006/relationships/hyperlink" Target="https://docs.google.com/document/d/1MhDUCG80v0Brcr6OO5iaJpQMB3G1L1mtGvU2n3_UN4s/edit?usp=drivesdk" TargetMode="External"/><Relationship Id="rId749" Type="http://schemas.openxmlformats.org/officeDocument/2006/relationships/hyperlink" Target="https://docs.google.com/document/d/13Sa2k-flzOyeu3eX-seO_vq8JizM8vlvBz9dEhJ5ylw/edit?usp=drivesdk" TargetMode="External"/><Relationship Id="rId290" Type="http://schemas.openxmlformats.org/officeDocument/2006/relationships/hyperlink" Target="https://docs.google.com/document/d/1EYWgKjtFQfT6Aj2PtcKOQtTPMo2fy52Im86yup5t7eA/edit?usp=drivesdk" TargetMode="External"/><Relationship Id="rId304" Type="http://schemas.openxmlformats.org/officeDocument/2006/relationships/hyperlink" Target="https://docs.google.com/document/d/1Obn3valZ5ZFWEdYba74PwGZ9qtkhWraIPZUu6aHGrnU/edit?usp=drivesdk" TargetMode="External"/><Relationship Id="rId388" Type="http://schemas.openxmlformats.org/officeDocument/2006/relationships/hyperlink" Target="https://docs.google.com/document/d/18_-rvKQZAj4zj-xu5XIOunNjjc1B25_eNVm9KFoW9Dk/edit?usp=drivesdk" TargetMode="External"/><Relationship Id="rId511" Type="http://schemas.openxmlformats.org/officeDocument/2006/relationships/hyperlink" Target="https://docs.google.com/document/d/14oulgEg-yJPFmQSY4bD3bdsJ4sA8mYaLqVL8UtUMh5E/edit?usp=drivesdk" TargetMode="External"/><Relationship Id="rId609" Type="http://schemas.openxmlformats.org/officeDocument/2006/relationships/hyperlink" Target="https://docs.google.com/document/d/17N_ylvr_yUkSNe6xKQXU0mqwMZ1yslteAdiu1dDQRTs/edit?usp=drivesdk" TargetMode="External"/><Relationship Id="rId956" Type="http://schemas.openxmlformats.org/officeDocument/2006/relationships/hyperlink" Target="https://docs.google.com/document/d/1gYu1jaaz1Trv_xOD5UPqYXsZIEy876OBEp4Q5drGLCw/edit?usp=drivesdk" TargetMode="External"/><Relationship Id="rId85" Type="http://schemas.openxmlformats.org/officeDocument/2006/relationships/hyperlink" Target="https://docs.google.com/document/d/1tlC1SwEUPLpFXpij-oCM2rMilZlFExtd_0xZd7qUeZM/edit?usp=drivesdk" TargetMode="External"/><Relationship Id="rId150" Type="http://schemas.openxmlformats.org/officeDocument/2006/relationships/hyperlink" Target="https://docs.google.com/document/d/1JGMIP5SQ2ZMKd8eDucsvIls3aSK9Tt3z-nF29BgavLw/edit?usp=drivesdk" TargetMode="External"/><Relationship Id="rId595" Type="http://schemas.openxmlformats.org/officeDocument/2006/relationships/hyperlink" Target="https://docs.google.com/document/d/1BdQgdqFIL-GWM6dSSJcumLsPhQtGGYDS8sZVZhBC7dk/edit?usp=drivesdk" TargetMode="External"/><Relationship Id="rId816" Type="http://schemas.openxmlformats.org/officeDocument/2006/relationships/hyperlink" Target="https://docs.google.com/document/d/11V-H2dQ7-KDUvpU5pyp-4ShFDDZOcIURix0_lZ3GLlw/edit?usp=drivesdk" TargetMode="External"/><Relationship Id="rId1001" Type="http://schemas.openxmlformats.org/officeDocument/2006/relationships/hyperlink" Target="https://docs.google.com/document/d/100yr0OhUh7TuisaJMg88LU2HbmxxvJDUmscBreyYt3U/edit?usp=drivesdk" TargetMode="External"/><Relationship Id="rId248" Type="http://schemas.openxmlformats.org/officeDocument/2006/relationships/hyperlink" Target="https://docs.google.com/document/d/1I5BcUrGICWQ1wd-pOkEzau0SJ4sOIRHp-C2jzuUxtbg/edit?usp=drivesdk" TargetMode="External"/><Relationship Id="rId455" Type="http://schemas.openxmlformats.org/officeDocument/2006/relationships/hyperlink" Target="https://docs.google.com/document/d/17DpJQQVWVYncHaLGLqF9eLNSJ1q7pYx7n6G7Wv-Qn8Y/edit?usp=drivesdk" TargetMode="External"/><Relationship Id="rId662" Type="http://schemas.openxmlformats.org/officeDocument/2006/relationships/hyperlink" Target="https://docs.google.com/document/d/1Zs4KvJUKej0kkdrjCl5G6ohzBkxJFk15bC8U2eliQDI/edit?usp=drivesdk" TargetMode="External"/><Relationship Id="rId12" Type="http://schemas.openxmlformats.org/officeDocument/2006/relationships/hyperlink" Target="https://drive.google.com/a/gtmnerr.org/file/d/1PS5YPza6b0J9agPHBVTnWxTfvhLIFch7/view?usp=drivesdk" TargetMode="External"/><Relationship Id="rId108" Type="http://schemas.openxmlformats.org/officeDocument/2006/relationships/hyperlink" Target="https://docs.google.com/document/d/1FoCPEaVaT4-aS9Qr0r4nW6zlRTuDNZoJ3QoyHDTqm4A/edit?usp=drivesdk" TargetMode="External"/><Relationship Id="rId315" Type="http://schemas.openxmlformats.org/officeDocument/2006/relationships/hyperlink" Target="https://docs.google.com/document/d/19iCCJZ_O23GPhy55Pb4Tax0fp71UZC6HAdOjd8p_lds/edit?usp=drivesdk" TargetMode="External"/><Relationship Id="rId522" Type="http://schemas.openxmlformats.org/officeDocument/2006/relationships/hyperlink" Target="https://docs.google.com/document/d/1THdyICZ1L8LA9MCvuwsx2tIuGityBrXTE6fqFyE5tQw/edit?usp=drivesdk" TargetMode="External"/><Relationship Id="rId967" Type="http://schemas.openxmlformats.org/officeDocument/2006/relationships/hyperlink" Target="https://docs.google.com/document/d/1aXhiUnfLc-VRDqgwlYdFMMASsIHTKpXN4QnoRcOCkGw/edit?usp=drivesdk" TargetMode="External"/><Relationship Id="rId96" Type="http://schemas.openxmlformats.org/officeDocument/2006/relationships/hyperlink" Target="https://docs.google.com/document/d/1c5DkI6jJ5VBQm3EWgcA563cNGIBizGgTtaIKGIJ2dE8/edit?usp=drivesdk" TargetMode="External"/><Relationship Id="rId161" Type="http://schemas.openxmlformats.org/officeDocument/2006/relationships/hyperlink" Target="https://docs.google.com/document/d/1Rrrw9hXvd2dswIm7DTQzp7Bj3bZQddXoz6ZiVQaAymE/edit?usp=drivesdk" TargetMode="External"/><Relationship Id="rId399" Type="http://schemas.openxmlformats.org/officeDocument/2006/relationships/hyperlink" Target="https://docs.google.com/document/d/1VaWJIE3K1kYxS9ekiUDrgSvi82MS4ihWUVx1sk6R0Yk/edit?usp=drivesdk" TargetMode="External"/><Relationship Id="rId827" Type="http://schemas.openxmlformats.org/officeDocument/2006/relationships/hyperlink" Target="https://docs.google.com/document/d/1H1qj7yEV_X8izV1tri-Y_qqlM1bbdSn-75KrpZMC96M/edit?usp=drivesdk" TargetMode="External"/><Relationship Id="rId1012" Type="http://schemas.openxmlformats.org/officeDocument/2006/relationships/hyperlink" Target="https://docs.google.com/document/d/11gwb0BBclvZs4XuZRPSIk-BvBJoFPykEcOvI5fwtwbY/edit?usp=drivesdk" TargetMode="External"/><Relationship Id="rId259" Type="http://schemas.openxmlformats.org/officeDocument/2006/relationships/hyperlink" Target="https://docs.google.com/document/d/1yVYWUcznor89rZKLN7JNHkOJi-hKAXwvKPawozANPrs/edit?usp=drivesdk" TargetMode="External"/><Relationship Id="rId466" Type="http://schemas.openxmlformats.org/officeDocument/2006/relationships/hyperlink" Target="https://docs.google.com/document/d/10Pq2dFcd8rSR6s3ZPl55x0eCQEeN13hjFpn0InKn-zA/edit?usp=drivesdk" TargetMode="External"/><Relationship Id="rId673" Type="http://schemas.openxmlformats.org/officeDocument/2006/relationships/hyperlink" Target="https://docs.google.com/document/d/1DBlv64wyERSQ3DgN89FZCMQAkqKdXAak9Ukf97Oz2-M/edit?usp=drivesdk" TargetMode="External"/><Relationship Id="rId880" Type="http://schemas.openxmlformats.org/officeDocument/2006/relationships/hyperlink" Target="https://docs.google.com/document/d/1TDDjB2_bOKNzyRW0ANNSGnTIw2Mz2kRieAl9-ce9eFo/edit?usp=drivesdk" TargetMode="External"/><Relationship Id="rId23" Type="http://schemas.openxmlformats.org/officeDocument/2006/relationships/hyperlink" Target="https://docs.google.com/document/d/141YwKW4KI8Q1dzT2ZpYz1hJTIpHl_K-P_b2fL-FVL80/edit?usp=drivesdk" TargetMode="External"/><Relationship Id="rId119" Type="http://schemas.openxmlformats.org/officeDocument/2006/relationships/hyperlink" Target="https://docs.google.com/document/d/1vK2OVKgBHmbnDyydJiI28-r72XA9d-1diz04IeBEKo4/edit?usp=drivesdk" TargetMode="External"/><Relationship Id="rId326" Type="http://schemas.openxmlformats.org/officeDocument/2006/relationships/hyperlink" Target="https://docs.google.com/document/d/1mAuPt1x3SC6PF8ujlRcp2_FSebhAGV02h612BkmlcNs/edit?usp=drivesdk" TargetMode="External"/><Relationship Id="rId533" Type="http://schemas.openxmlformats.org/officeDocument/2006/relationships/hyperlink" Target="https://docs.google.com/document/d/15L_iCQOicXhAl3vT2wnaf11CQCwFh19IQjAbl8rU2LY/edit?usp=drivesdk" TargetMode="External"/><Relationship Id="rId978" Type="http://schemas.openxmlformats.org/officeDocument/2006/relationships/hyperlink" Target="https://docs.google.com/document/d/1D99DfLhI-SGQ5ShtMszGaTlItsuLzZTtUkgb0LvRWqc/edit?usp=drivesdk" TargetMode="External"/><Relationship Id="rId740" Type="http://schemas.openxmlformats.org/officeDocument/2006/relationships/hyperlink" Target="https://docs.google.com/document/d/1U_kMgXkzMiiQXXHBkP-xlIrNOMuO9MY4WMU7ootv5Ns/edit?usp=drivesdk" TargetMode="External"/><Relationship Id="rId838" Type="http://schemas.openxmlformats.org/officeDocument/2006/relationships/hyperlink" Target="https://docs.google.com/document/d/1jx9otMehzTRWRmxe-TER7VJ-JBdydsYH4gEeIdV0fKI/edit?usp=drivesdk" TargetMode="External"/><Relationship Id="rId1023" Type="http://schemas.openxmlformats.org/officeDocument/2006/relationships/hyperlink" Target="https://docs.google.com/document/d/1aiWp8pgnWI2DZ_4E7VqF7ZxOu158dgSPL--VqzWjJIk/edit?usp=drivesdk" TargetMode="External"/><Relationship Id="rId172" Type="http://schemas.openxmlformats.org/officeDocument/2006/relationships/hyperlink" Target="https://docs.google.com/document/d/1Ro8NJhnFBHEkHT8r9UkoHcGushyxmf7T7UxF2d3EPTo/edit?usp=drivesdk" TargetMode="External"/><Relationship Id="rId477" Type="http://schemas.openxmlformats.org/officeDocument/2006/relationships/hyperlink" Target="https://docs.google.com/document/d/1wWWw2_W3NFYQsTK6GU3NuVWpTJA30Wc6ARtYZq28A-8/edit?usp=drivesdk" TargetMode="External"/><Relationship Id="rId600" Type="http://schemas.openxmlformats.org/officeDocument/2006/relationships/hyperlink" Target="https://docs.google.com/document/d/1Gn3ce4eF2_TQniGodtJS-zyBDXcXyTC6DufeG8v4j9U/edit?usp=drivesdk" TargetMode="External"/><Relationship Id="rId684" Type="http://schemas.openxmlformats.org/officeDocument/2006/relationships/hyperlink" Target="https://docs.google.com/document/d/1movB5RqqSuVpo8tiywxjBHz7_LQkMkDF9P4Gl2iWNjg/edit?usp=drivesdk" TargetMode="External"/><Relationship Id="rId337" Type="http://schemas.openxmlformats.org/officeDocument/2006/relationships/hyperlink" Target="https://docs.google.com/document/d/14fkCLW9hj_7t4_UA1zwCoY5Xee29jCtOYN7O8CObxMM/edit?usp=drivesdk" TargetMode="External"/><Relationship Id="rId891" Type="http://schemas.openxmlformats.org/officeDocument/2006/relationships/hyperlink" Target="https://docs.google.com/document/d/1O_1-eCrgJ9YUxJSS4Kj_Ge2EWkubt9ai68iPlm0Wy5A/edit?usp=drivesdk" TargetMode="External"/><Relationship Id="rId905" Type="http://schemas.openxmlformats.org/officeDocument/2006/relationships/hyperlink" Target="https://docs.google.com/document/d/1kvF7G9YmHbK-kHsCp-FTJbOrvt0L2KKA6N3V1Yu6n6g/edit?usp=drivesdk" TargetMode="External"/><Relationship Id="rId989" Type="http://schemas.openxmlformats.org/officeDocument/2006/relationships/hyperlink" Target="https://docs.google.com/document/d/1uhAvGUJ1MlS7JG4Q8SLaFV8qToA6LPg46A4cywd4dhI/edit?usp=drivesdk" TargetMode="External"/><Relationship Id="rId34" Type="http://schemas.openxmlformats.org/officeDocument/2006/relationships/hyperlink" Target="https://docs.google.com/document/d/12huri7tFQSawQjEXKj8ob1-TqT9eABr2dmxojMW4czY/edit?usp=drivesdk" TargetMode="External"/><Relationship Id="rId544" Type="http://schemas.openxmlformats.org/officeDocument/2006/relationships/hyperlink" Target="https://docs.google.com/document/d/1kgGG-tmOF4vE1rwbJyS-NHuz4sIA_zAcScNG6fLNBzs/edit?usp=drivesdk" TargetMode="External"/><Relationship Id="rId751" Type="http://schemas.openxmlformats.org/officeDocument/2006/relationships/hyperlink" Target="https://docs.google.com/document/d/1SVTIJ7c-udPZCIDC_Ur2O8sJaXs80zEzqHcmybj2lTM/edit?usp=drivesdk" TargetMode="External"/><Relationship Id="rId849" Type="http://schemas.openxmlformats.org/officeDocument/2006/relationships/hyperlink" Target="https://docs.google.com/document/d/1Py0eELnjyMJBoK2Ni_wM5tf-ax0Ofra3psHqmRvrIpk/edit?usp=drivesdk" TargetMode="External"/><Relationship Id="rId183" Type="http://schemas.openxmlformats.org/officeDocument/2006/relationships/hyperlink" Target="https://docs.google.com/document/d/1h0R2PZU0rvgtqbs53JDBEKKuDogTM-nMHYHY7C7YB0Q/edit?usp=drivesdk" TargetMode="External"/><Relationship Id="rId390" Type="http://schemas.openxmlformats.org/officeDocument/2006/relationships/hyperlink" Target="https://docs.google.com/document/d/1Sf_4ILjN5K-5V3F6cTF8vBnLuPZyBmGl95mM0XiRX78/edit?usp=drivesdk" TargetMode="External"/><Relationship Id="rId404" Type="http://schemas.openxmlformats.org/officeDocument/2006/relationships/hyperlink" Target="https://docs.google.com/document/d/1_EblonXbm1yhjT1MEa_-F031_IGkFPSW7vWvu5Hsklg/edit?usp=drivesdk" TargetMode="External"/><Relationship Id="rId611" Type="http://schemas.openxmlformats.org/officeDocument/2006/relationships/hyperlink" Target="https://docs.google.com/document/d/1zQ2OPNTBGvQK_WZ8BbS8vVDDUAaIHBqqAQBeIg9UfJ0/edit?usp=drivesdk" TargetMode="External"/><Relationship Id="rId1034" Type="http://schemas.openxmlformats.org/officeDocument/2006/relationships/hyperlink" Target="https://docs.google.com/document/d/1uhPWtXHLdZniHCHJGEV3Ak2H6Xdmb_RKUypLdQolbcQ/edit?usp=drivesdk" TargetMode="External"/><Relationship Id="rId250" Type="http://schemas.openxmlformats.org/officeDocument/2006/relationships/hyperlink" Target="https://docs.google.com/document/d/1hzl70eQJdCH-lpArjQbSGfHA1SGjOSraKKhyqg58B68/edit?usp=drivesdk" TargetMode="External"/><Relationship Id="rId488" Type="http://schemas.openxmlformats.org/officeDocument/2006/relationships/hyperlink" Target="https://docs.google.com/document/d/164-ZNfriHZGOF3Ng0KgkJ2IITAy5FFA293vbwC-uTPc/edit?usp=drivesdk" TargetMode="External"/><Relationship Id="rId695" Type="http://schemas.openxmlformats.org/officeDocument/2006/relationships/hyperlink" Target="https://docs.google.com/document/d/1EpEAQJX7aUWw_GC6eUEI6Gn-8VYdcstXkzRCuUki4PQ/edit?usp=drivesdk" TargetMode="External"/><Relationship Id="rId709" Type="http://schemas.openxmlformats.org/officeDocument/2006/relationships/hyperlink" Target="https://docs.google.com/document/d/1xFU4IYJNUxJSUnHO8VJ0rauA7riYvIbmuZieSZDGONc/edit?usp=drivesdk" TargetMode="External"/><Relationship Id="rId916" Type="http://schemas.openxmlformats.org/officeDocument/2006/relationships/hyperlink" Target="https://docs.google.com/document/d/1cj6b6LeEu3bbAbShZwChVJrQuAFsb0aZuH8XuKCWJqU/edit?usp=drivesdk" TargetMode="External"/><Relationship Id="rId45" Type="http://schemas.openxmlformats.org/officeDocument/2006/relationships/hyperlink" Target="https://docs.google.com/document/d/18xsY3dGulHPGl_CAhmxP1foemiasC677-RRywmPh4mc/edit?usp=drivesdk" TargetMode="External"/><Relationship Id="rId110" Type="http://schemas.openxmlformats.org/officeDocument/2006/relationships/hyperlink" Target="https://docs.google.com/document/d/12qKaqDTA40f8qxQAUU_wtTRdEwjpjOsa3wmJ7Cm-CR0/edit?usp=drivesdk" TargetMode="External"/><Relationship Id="rId348" Type="http://schemas.openxmlformats.org/officeDocument/2006/relationships/hyperlink" Target="https://docs.google.com/document/d/17A4uRgXYnvF9AqyKS1BltihQdj9B2XvMFNMWZqS165M/edit?usp=drivesdk" TargetMode="External"/><Relationship Id="rId555" Type="http://schemas.openxmlformats.org/officeDocument/2006/relationships/hyperlink" Target="https://docs.google.com/document/d/1ZGseZwHpr2fXn9K46E8ncC8WVsOQrNhgkb_tIOOwnEA/edit?usp=drivesdk" TargetMode="External"/><Relationship Id="rId762" Type="http://schemas.openxmlformats.org/officeDocument/2006/relationships/hyperlink" Target="https://docs.google.com/document/d/1jYuJiYZDtMKls_1ezoZ-2NPClv2PjHEk_cQfcmWHavg/edit?usp=drivesdk" TargetMode="External"/><Relationship Id="rId194" Type="http://schemas.openxmlformats.org/officeDocument/2006/relationships/hyperlink" Target="https://docs.google.com/document/d/1UTMHhAq_kXygMb9yCTHtxEDXQXCiJxKdNDQMS38t11M/edit?usp=drivesdk" TargetMode="External"/><Relationship Id="rId208" Type="http://schemas.openxmlformats.org/officeDocument/2006/relationships/hyperlink" Target="https://docs.google.com/document/d/1Sid9zj_P_dXtirRpSMOa44APDNbBmBxfUhLaW12NacM/edit?usp=drivesdk" TargetMode="External"/><Relationship Id="rId415" Type="http://schemas.openxmlformats.org/officeDocument/2006/relationships/hyperlink" Target="https://docs.google.com/document/d/1VRt0LSeu7WyUk5Y7qIS1MvLNZbbwax7OHCqNDHhV_5I/edit?usp=drivesdk" TargetMode="External"/><Relationship Id="rId622" Type="http://schemas.openxmlformats.org/officeDocument/2006/relationships/hyperlink" Target="https://docs.google.com/document/d/1obr-jGW9cIwNGsODO7PY8lMWa6oFoNT8h5C0AMSDqhA/edit?usp=drivesdk" TargetMode="External"/><Relationship Id="rId1045" Type="http://schemas.openxmlformats.org/officeDocument/2006/relationships/hyperlink" Target="https://docs.google.com/document/d/1FD-TMUgzU4iLV9GRG4FO0rxbN0kwMthQkHq_NiYJHqU/edit?usp=drivesdk" TargetMode="External"/><Relationship Id="rId261" Type="http://schemas.openxmlformats.org/officeDocument/2006/relationships/hyperlink" Target="https://docs.google.com/document/d/1Si4U5YmHvfX7oP5-r6Jt3hFsP-8Kn9NMVMWY0BZp7kU/edit?usp=drivesdk" TargetMode="External"/><Relationship Id="rId499" Type="http://schemas.openxmlformats.org/officeDocument/2006/relationships/hyperlink" Target="https://docs.google.com/document/d/1OFTOfRzbVOT0chIp2JvpOjp3qyB-dRFsV1fMGvZ2YOc/edit?usp=drivesdk" TargetMode="External"/><Relationship Id="rId927" Type="http://schemas.openxmlformats.org/officeDocument/2006/relationships/hyperlink" Target="https://docs.google.com/document/d/1Dgx03u6sDF3TsqHKk7tYbquA-CYulyhLafc839drt3U/edit?usp=drivesdk" TargetMode="External"/><Relationship Id="rId56" Type="http://schemas.openxmlformats.org/officeDocument/2006/relationships/hyperlink" Target="https://docs.google.com/document/d/1ZVWr_QqAdt-Iz7q9i3GNK8i0lyZgwCCfyxmlR1hJwkw/edit?usp=drivesdk" TargetMode="External"/><Relationship Id="rId359" Type="http://schemas.openxmlformats.org/officeDocument/2006/relationships/hyperlink" Target="https://docs.google.com/document/d/1LTJH8ulRvbXzhhYPuyDroEp7Q2546Kpw3GyUZ3Rj3OQ/edit?usp=drivesdk" TargetMode="External"/><Relationship Id="rId566" Type="http://schemas.openxmlformats.org/officeDocument/2006/relationships/hyperlink" Target="https://docs.google.com/document/d/1ZJ_4v9rOEDVY1wjLCb3Zb4RGQysWf2bPIZ0l_jbWxxM/edit?usp=drivesdk" TargetMode="External"/><Relationship Id="rId773" Type="http://schemas.openxmlformats.org/officeDocument/2006/relationships/hyperlink" Target="https://docs.google.com/document/d/1RVSd0i2kgRgqW0g_XJ4HpTN1PE7ptn-Ge2gOaS7rqKc/edit?usp=drivesdk" TargetMode="External"/><Relationship Id="rId121" Type="http://schemas.openxmlformats.org/officeDocument/2006/relationships/hyperlink" Target="https://docs.google.com/document/d/1horU_i0hM4yRqRXVdDj8o-byRvvnkNKOrgAhhkzyH94/edit?usp=drivesdk" TargetMode="External"/><Relationship Id="rId219" Type="http://schemas.openxmlformats.org/officeDocument/2006/relationships/hyperlink" Target="https://docs.google.com/document/d/1R42heGi2q08QFfpu_TBe529dTzIeq4zdK5DrHcNnHbY/edit?usp=drivesdk" TargetMode="External"/><Relationship Id="rId426" Type="http://schemas.openxmlformats.org/officeDocument/2006/relationships/hyperlink" Target="https://docs.google.com/document/d/1vr68pb_4DSQ2K_rUzUyFGyXqreH2BWPTyvGlQ3QgH5g/edit?usp=drivesdk" TargetMode="External"/><Relationship Id="rId633" Type="http://schemas.openxmlformats.org/officeDocument/2006/relationships/hyperlink" Target="https://docs.google.com/document/d/1Q5RQ6-0RoiSNWrs2IBjnfOVehYFzS128DUtEWeQ_JcA/edit?usp=drivesdk" TargetMode="External"/><Relationship Id="rId980" Type="http://schemas.openxmlformats.org/officeDocument/2006/relationships/hyperlink" Target="https://docs.google.com/document/d/1oXXoGXH76qUl4tIJYfkkfpEP9LHH0C_HqgzBWSfk7G8/edit?usp=drivesdk" TargetMode="External"/><Relationship Id="rId1056" Type="http://schemas.openxmlformats.org/officeDocument/2006/relationships/hyperlink" Target="https://docs.google.com/document/d/1hBj3Otm2DL-1HbHusGETQJSFjqnLzIfWXp3kYovn75w/edit?usp=drivesdk" TargetMode="External"/><Relationship Id="rId840" Type="http://schemas.openxmlformats.org/officeDocument/2006/relationships/hyperlink" Target="https://docs.google.com/document/d/14kAgBkTWtxB5UI5qw7O_UlnySpKkvxgARcYyIDRzJpg/edit?usp=drivesdk" TargetMode="External"/><Relationship Id="rId938" Type="http://schemas.openxmlformats.org/officeDocument/2006/relationships/hyperlink" Target="https://docs.google.com/document/d/1JATayVX_khwNwcx-kKNUyfDfN9jocGSePajdp6w5mVw/edit?usp=drivesdk" TargetMode="External"/><Relationship Id="rId67" Type="http://schemas.openxmlformats.org/officeDocument/2006/relationships/hyperlink" Target="https://docs.google.com/document/d/1jQ1Oq7IYAKkafOHydGGQLYmkCHw1ud0uqub5wzV9okc/edit?usp=drivesdk" TargetMode="External"/><Relationship Id="rId272" Type="http://schemas.openxmlformats.org/officeDocument/2006/relationships/hyperlink" Target="https://docs.google.com/document/d/1tRygHe_g-Mb2L8SiXS2htKn66bxuHvsx3mLZX6RrvRw/edit?usp=drivesdk" TargetMode="External"/><Relationship Id="rId577" Type="http://schemas.openxmlformats.org/officeDocument/2006/relationships/hyperlink" Target="https://docs.google.com/document/d/119RI9XLNctfmcjIUgZhLTr8MppA_bTUPhB_yDwqWXO4/edit?usp=drivesdk" TargetMode="External"/><Relationship Id="rId700" Type="http://schemas.openxmlformats.org/officeDocument/2006/relationships/hyperlink" Target="https://docs.google.com/document/d/1FRXWyhqQ6GibQgUhbyBahS34zPQh_PlErOJnvzI4ocY/edit?usp=drivesdk" TargetMode="External"/><Relationship Id="rId132" Type="http://schemas.openxmlformats.org/officeDocument/2006/relationships/hyperlink" Target="https://docs.google.com/document/d/1BEemg3yUgKS4kZmHueWdHy0Eq3TwI6BuvwXCR9oCHpE/edit?usp=drivesdk" TargetMode="External"/><Relationship Id="rId784" Type="http://schemas.openxmlformats.org/officeDocument/2006/relationships/hyperlink" Target="https://docs.google.com/document/d/14piQMMvwaIq28hwdQoAzsOa8LT_6fWzYn-FiYWPAZyc/edit?usp=drivesdk" TargetMode="External"/><Relationship Id="rId991" Type="http://schemas.openxmlformats.org/officeDocument/2006/relationships/hyperlink" Target="https://docs.google.com/document/d/1W4xH1DYp_Xeq7mTKqRqj7-Kzzlv23eVhIKQHTYEJDv0/edit?usp=drivesdk" TargetMode="External"/><Relationship Id="rId1067" Type="http://schemas.openxmlformats.org/officeDocument/2006/relationships/hyperlink" Target="https://docs.google.com/document/d/1-NdSUMOj3WQxAooO-WcnQB2FGtGUTEQw4dWbiERTBfs/edit?usp=drivesdk" TargetMode="External"/><Relationship Id="rId437" Type="http://schemas.openxmlformats.org/officeDocument/2006/relationships/hyperlink" Target="https://docs.google.com/document/d/1GzkY8izK06JsClfLYPWUgMRmQ1z2XstFMkeF9ixlJuU/edit?usp=drivesdk" TargetMode="External"/><Relationship Id="rId644" Type="http://schemas.openxmlformats.org/officeDocument/2006/relationships/hyperlink" Target="https://docs.google.com/document/d/1NSXCOMs-mZ8gMXSva1KviVW_Iy7SaZL7JgeQ9duT2Dc/edit?usp=drivesdk" TargetMode="External"/><Relationship Id="rId851" Type="http://schemas.openxmlformats.org/officeDocument/2006/relationships/hyperlink" Target="https://docs.google.com/document/d/1dZJMMDyCAlzBBB90I0BvE73CK9AgSYkLb7jDkVxBBF8/edit?usp=drivesdk" TargetMode="External"/><Relationship Id="rId283" Type="http://schemas.openxmlformats.org/officeDocument/2006/relationships/hyperlink" Target="https://docs.google.com/document/d/1dCEu2hsgN4CNpOXcvJv99aq_Gid7YoqeBDIpSpkQ4nU/edit?usp=drivesdk" TargetMode="External"/><Relationship Id="rId490" Type="http://schemas.openxmlformats.org/officeDocument/2006/relationships/hyperlink" Target="https://docs.google.com/document/d/1YX75KOVPU6rdPBgbPB-1WHfNjmb2BsEEb3dUR5-WNS8/edit?usp=drivesdk" TargetMode="External"/><Relationship Id="rId504" Type="http://schemas.openxmlformats.org/officeDocument/2006/relationships/hyperlink" Target="https://docs.google.com/document/d/1_E6_g5iposFy2WcBX--JAtTlDMw8mQI9CnaZjAGUTc4/edit?usp=drivesdk" TargetMode="External"/><Relationship Id="rId711" Type="http://schemas.openxmlformats.org/officeDocument/2006/relationships/hyperlink" Target="https://docs.google.com/document/d/1e431v6W5vtWcmmkPmlyyJtxVUSw38Av4Fx14UNexzws/edit?usp=drivesdk" TargetMode="External"/><Relationship Id="rId949" Type="http://schemas.openxmlformats.org/officeDocument/2006/relationships/hyperlink" Target="https://docs.google.com/document/d/1TVc6MZybt0ANaOVZaOdBTgmqrqfmNqGBNY1zxtl1e18/edit?usp=drivesdk" TargetMode="External"/><Relationship Id="rId78" Type="http://schemas.openxmlformats.org/officeDocument/2006/relationships/hyperlink" Target="https://docs.google.com/document/d/15JSaSCbxrJwu6kwkLTnDA9-lYy2XQUHFjS2JiRUKLGM/edit?usp=drivesdk" TargetMode="External"/><Relationship Id="rId143" Type="http://schemas.openxmlformats.org/officeDocument/2006/relationships/hyperlink" Target="https://docs.google.com/document/d/1h91QH6PngBZUaCNZ-MO08urM96IecrjSB_niSTukIOo/edit?usp=drivesdk" TargetMode="External"/><Relationship Id="rId350" Type="http://schemas.openxmlformats.org/officeDocument/2006/relationships/hyperlink" Target="https://docs.google.com/document/d/1yjBfH6H6zIFAi5tn-uHL0_Gz62OBYgYXcoJvx0NpG70/edit?usp=drivesdk" TargetMode="External"/><Relationship Id="rId588" Type="http://schemas.openxmlformats.org/officeDocument/2006/relationships/hyperlink" Target="https://docs.google.com/document/d/1zfmqUNOfTYidIxcf3bAjnFIUUuYEyrKzNa1zayl2VXc/edit?usp=drivesdk" TargetMode="External"/><Relationship Id="rId795" Type="http://schemas.openxmlformats.org/officeDocument/2006/relationships/hyperlink" Target="https://docs.google.com/document/d/1ayYTiNi1v2sq-uYAzaToJwrS4wZsca6mreu1-jbpvF0/edit?usp=drivesdk" TargetMode="External"/><Relationship Id="rId809" Type="http://schemas.openxmlformats.org/officeDocument/2006/relationships/hyperlink" Target="https://docs.google.com/document/d/1CHg977fk_r7WO8qNXcDUX8ldxumritxHaIUAj2_7mzc/edit?usp=drivesdk" TargetMode="External"/><Relationship Id="rId9" Type="http://schemas.openxmlformats.org/officeDocument/2006/relationships/hyperlink" Target="https://drive.google.com/a/gtmnerr.org/file/d/1CqRffsFMJFT8y9LOWdRzM3m5rD9ZeP2D/view?usp=drivesdk" TargetMode="External"/><Relationship Id="rId210" Type="http://schemas.openxmlformats.org/officeDocument/2006/relationships/hyperlink" Target="https://docs.google.com/document/d/14k-y4LM7_8qVmY3d7q2kykDV05hX-vJ64NitEnXnQnc/edit?usp=drivesdk" TargetMode="External"/><Relationship Id="rId448" Type="http://schemas.openxmlformats.org/officeDocument/2006/relationships/hyperlink" Target="https://docs.google.com/document/d/1I2AtTZU48vr_j58JnQ7CCqEsOX1W59aS-zCtRzHyvls/edit?usp=drivesdk" TargetMode="External"/><Relationship Id="rId655" Type="http://schemas.openxmlformats.org/officeDocument/2006/relationships/hyperlink" Target="https://docs.google.com/document/d/1B6B6QtkGCAY1L3PnzTUl2BQ-wHzBgYmWN4hIEw06Ra4/edit?usp=drivesdk" TargetMode="External"/><Relationship Id="rId862" Type="http://schemas.openxmlformats.org/officeDocument/2006/relationships/hyperlink" Target="https://docs.google.com/document/d/1Ge1rUUL3asJtbxW0wLNAEWEzyzz_kWGfdIyXraPx0u4/edit?usp=drivesdk" TargetMode="External"/><Relationship Id="rId294" Type="http://schemas.openxmlformats.org/officeDocument/2006/relationships/hyperlink" Target="https://docs.google.com/document/d/1qfUcmR9cqqC24YrVwYMSNWmDE13w6gaXtQiKLuEI16A/edit?usp=drivesdk" TargetMode="External"/><Relationship Id="rId308" Type="http://schemas.openxmlformats.org/officeDocument/2006/relationships/hyperlink" Target="https://docs.google.com/document/d/1fsp2VE6J3eq1qlBaOs9_c3VwCKjWu0Kv5nHjHXrgkIw/edit?usp=drivesdk" TargetMode="External"/><Relationship Id="rId515" Type="http://schemas.openxmlformats.org/officeDocument/2006/relationships/hyperlink" Target="https://docs.google.com/document/d/15R6KDcAgMg4g32JX0yb0OtN7Ba7cEz3LJa5uRR2T0aA/edit?usp=drivesdk" TargetMode="External"/><Relationship Id="rId722" Type="http://schemas.openxmlformats.org/officeDocument/2006/relationships/hyperlink" Target="https://docs.google.com/document/d/1-dkt15lQHXnmdv6fZafU5fxajvk9r53KLbIK0rbybSc/edit?usp=drivesdk" TargetMode="External"/><Relationship Id="rId89" Type="http://schemas.openxmlformats.org/officeDocument/2006/relationships/hyperlink" Target="https://docs.google.com/document/d/1M1nSKDRh8KbBXalT-n5-pUJ-LMgc4RpRlvCNRApVBRo/edit?usp=drivesdk" TargetMode="External"/><Relationship Id="rId154" Type="http://schemas.openxmlformats.org/officeDocument/2006/relationships/hyperlink" Target="https://docs.google.com/document/d/1KDW4JIx-TDLtUs2oIxpu-004J3DLKclKRdUK1ysIZ4w/edit?usp=drivesdk" TargetMode="External"/><Relationship Id="rId361" Type="http://schemas.openxmlformats.org/officeDocument/2006/relationships/hyperlink" Target="https://docs.google.com/document/d/1qxj8kHphmaIWg1tKrIOUvKkGlR3JL7DkmWriw0FlSr0/edit?usp=drivesdk" TargetMode="External"/><Relationship Id="rId599" Type="http://schemas.openxmlformats.org/officeDocument/2006/relationships/hyperlink" Target="https://docs.google.com/document/d/1EGTWDi6rArU3Jo1f4GPYovDwu6apKGJ1nxqVzwdqZ-Q/edit?usp=drivesdk" TargetMode="External"/><Relationship Id="rId1005" Type="http://schemas.openxmlformats.org/officeDocument/2006/relationships/hyperlink" Target="https://docs.google.com/document/d/1TlsiSVWl3HOSvQ0D7IQkq-FOeuy_nynVEaXSeX96qz0/edit?usp=drivesdk" TargetMode="External"/><Relationship Id="rId459" Type="http://schemas.openxmlformats.org/officeDocument/2006/relationships/hyperlink" Target="https://docs.google.com/document/d/1exSR_49qEXTDF3RI0mOobFnMhkRjTAvhT5YDX3nR2bY/edit?usp=drivesdk" TargetMode="External"/><Relationship Id="rId666" Type="http://schemas.openxmlformats.org/officeDocument/2006/relationships/hyperlink" Target="https://docs.google.com/document/d/1HzeuGXGV-RGYfPnn_4g7ezUAcz9GWFOlUNvh7Yr_Ixc/edit?usp=drivesdk" TargetMode="External"/><Relationship Id="rId873" Type="http://schemas.openxmlformats.org/officeDocument/2006/relationships/hyperlink" Target="https://docs.google.com/document/d/1X5omORKg9q1Q2uqzxp0k9JirDU65flqZ6bcze6GUIGw/edit?usp=drivesdk" TargetMode="External"/><Relationship Id="rId16" Type="http://schemas.openxmlformats.org/officeDocument/2006/relationships/hyperlink" Target="https://drive.google.com/a/gtmnerr.org/file/d/1X-tbMcKrUC7VZG_2B5PruW_7lMpu_1vI/view?usp=drivesdk" TargetMode="External"/><Relationship Id="rId221" Type="http://schemas.openxmlformats.org/officeDocument/2006/relationships/hyperlink" Target="https://docs.google.com/document/d/1bAeE-YdJ3DaWyl_d93o31dCFP2fpmOBW8VVlRCpTtr8/edit?usp=drivesdk" TargetMode="External"/><Relationship Id="rId319" Type="http://schemas.openxmlformats.org/officeDocument/2006/relationships/hyperlink" Target="https://docs.google.com/document/d/1jxJbOyJ-efuz4tHXDy8L3GTN2d42synPAf0a9KwhPj4/edit?usp=drivesdk" TargetMode="External"/><Relationship Id="rId526" Type="http://schemas.openxmlformats.org/officeDocument/2006/relationships/hyperlink" Target="https://docs.google.com/document/d/1T0BVJzGfN8ijap99bejNCNJ_m3mJfzCO4wxnGf2pyO0/edit?usp=drivesdk" TargetMode="External"/><Relationship Id="rId733" Type="http://schemas.openxmlformats.org/officeDocument/2006/relationships/hyperlink" Target="https://docs.google.com/document/d/19njMuPbjpORt-EyFiHfokSb7FSvbGPC0yK34g-brneo/edit?usp=drivesdk" TargetMode="External"/><Relationship Id="rId940" Type="http://schemas.openxmlformats.org/officeDocument/2006/relationships/hyperlink" Target="https://docs.google.com/document/d/1B63RMZQIkQ_BQTBIsxz4sFoBhexgNi7hgFafs-r5sTU/edit?usp=drivesdk" TargetMode="External"/><Relationship Id="rId1016" Type="http://schemas.openxmlformats.org/officeDocument/2006/relationships/hyperlink" Target="https://docs.google.com/document/d/1wGz_asKaXS0fonZg69HmTuiU65TNcxnypna0kSdVd8o/edit?usp=drivesdk" TargetMode="External"/><Relationship Id="rId165" Type="http://schemas.openxmlformats.org/officeDocument/2006/relationships/hyperlink" Target="https://docs.google.com/document/d/1Hfjuh-87HyMgDwCqQ1yxd7fH8nLij__YzoKp6Zt-A88/edit?usp=drivesdk" TargetMode="External"/><Relationship Id="rId372" Type="http://schemas.openxmlformats.org/officeDocument/2006/relationships/hyperlink" Target="https://docs.google.com/document/d/1al6pBTAEsUyBSpAntmTSWLZzNIag_kw43aas-BmHQso/edit?usp=drivesdk" TargetMode="External"/><Relationship Id="rId677" Type="http://schemas.openxmlformats.org/officeDocument/2006/relationships/hyperlink" Target="https://docs.google.com/document/d/1f9yAsZP_FphQOEaj_lW8tiYXaPado21emEUnLiPvMsw/edit?usp=drivesdk" TargetMode="External"/><Relationship Id="rId800" Type="http://schemas.openxmlformats.org/officeDocument/2006/relationships/hyperlink" Target="https://docs.google.com/document/d/1ZFtVelt27j2kWBG82IdINFl7nZ-PExYNLz2tAbS3SoA/edit?usp=drivesdk" TargetMode="External"/><Relationship Id="rId232" Type="http://schemas.openxmlformats.org/officeDocument/2006/relationships/hyperlink" Target="https://docs.google.com/document/d/13swHtX7gKJbnmI4FTAIM1Ytz2fAZaljKFxQgPpMXl7w/edit?usp=drivesdk" TargetMode="External"/><Relationship Id="rId884" Type="http://schemas.openxmlformats.org/officeDocument/2006/relationships/hyperlink" Target="https://docs.google.com/document/d/1hKfRf4G64Bvv_kowa6RgiOmrDX3VxVdMUfCKfxeT9LQ/edit?usp=drivesdk" TargetMode="External"/><Relationship Id="rId27" Type="http://schemas.openxmlformats.org/officeDocument/2006/relationships/hyperlink" Target="https://docs.google.com/document/d/1o_kh_Z-U6_tGhTgiT0C3Z1YHstpG_03KK-kY2lq7ebs/edit?usp=drivesdk" TargetMode="External"/><Relationship Id="rId537" Type="http://schemas.openxmlformats.org/officeDocument/2006/relationships/hyperlink" Target="https://docs.google.com/document/d/1J3xLXhrXR36_4jQ6EunovXGNuHVzx2rMiTRe22qnvEM/edit?usp=drivesdk" TargetMode="External"/><Relationship Id="rId744" Type="http://schemas.openxmlformats.org/officeDocument/2006/relationships/hyperlink" Target="https://docs.google.com/document/d/1ZXtdL5L3fA7UvoQDrnlmAvjjQ7Nnm75Xtd4g1eIQDPY/edit?usp=drivesdk" TargetMode="External"/><Relationship Id="rId951" Type="http://schemas.openxmlformats.org/officeDocument/2006/relationships/hyperlink" Target="https://docs.google.com/document/d/1MigLgUpDveYKNQudw3uGzBNw3aVRz3dREv584_BjKs8/edit?usp=drivesdk" TargetMode="External"/><Relationship Id="rId80" Type="http://schemas.openxmlformats.org/officeDocument/2006/relationships/hyperlink" Target="https://docs.google.com/document/d/1B2B_zzU6VYd5JQ-56maF2bnECN2oN8ZVlQhWEyzl5pg/edit?usp=drivesdk" TargetMode="External"/><Relationship Id="rId176" Type="http://schemas.openxmlformats.org/officeDocument/2006/relationships/hyperlink" Target="https://docs.google.com/document/d/1-6d6hvJWvO6BYtbO2WWaqb1in49kdbEkIdMZcbPaJuo/edit?usp=drivesdk" TargetMode="External"/><Relationship Id="rId383" Type="http://schemas.openxmlformats.org/officeDocument/2006/relationships/hyperlink" Target="https://docs.google.com/document/d/1_d5fECny22GGiNZdf1tqjhG5JV1OTtPAjBfXMp_UcRA/edit?usp=drivesdk" TargetMode="External"/><Relationship Id="rId590" Type="http://schemas.openxmlformats.org/officeDocument/2006/relationships/hyperlink" Target="https://docs.google.com/document/d/1qbYPgp2vi6CI_xpE0ANuNz8XsoLPePktMEZ4Ka9tVLw/edit?usp=drivesdk" TargetMode="External"/><Relationship Id="rId604" Type="http://schemas.openxmlformats.org/officeDocument/2006/relationships/hyperlink" Target="https://docs.google.com/document/d/1_QL2GWUsfZlzAGXgUOXLioeNaCl-VQI4XH56wGvnpDo/edit?usp=drivesdk" TargetMode="External"/><Relationship Id="rId811" Type="http://schemas.openxmlformats.org/officeDocument/2006/relationships/hyperlink" Target="https://docs.google.com/document/d/1WCg8MQFRSDjm6JjIr8NQ067k5ryb-rmIdv1LwjkKg7A/edit?usp=drivesdk" TargetMode="External"/><Relationship Id="rId1027" Type="http://schemas.openxmlformats.org/officeDocument/2006/relationships/hyperlink" Target="https://docs.google.com/document/d/1HJG3RjyGlzpYaYTI9kuxS_rBCqnuMCfC-9RY9k9-ziA/edit?usp=drivesdk" TargetMode="External"/><Relationship Id="rId243" Type="http://schemas.openxmlformats.org/officeDocument/2006/relationships/hyperlink" Target="https://docs.google.com/document/d/1mBCEfKk4M0GnmEfttHkg7DYLU8NC9VAAZ_0zCFxBuws/edit?usp=drivesdk" TargetMode="External"/><Relationship Id="rId450" Type="http://schemas.openxmlformats.org/officeDocument/2006/relationships/hyperlink" Target="https://docs.google.com/document/d/1QJ8qppcBqpikeIHSEle2xykj56OYREhWCr7N0Svg7Gw/edit?usp=drivesdk" TargetMode="External"/><Relationship Id="rId688" Type="http://schemas.openxmlformats.org/officeDocument/2006/relationships/hyperlink" Target="https://docs.google.com/document/d/1l0nbiasO6RtBymwaJfWfmEF-T5_jWk8DfIu6TXOUaQU/edit?usp=drivesdk" TargetMode="External"/><Relationship Id="rId895" Type="http://schemas.openxmlformats.org/officeDocument/2006/relationships/hyperlink" Target="https://docs.google.com/document/d/1ywcCWmvTYzjPRu71_53WtV4Ws6XeC5sKmCfCC0Hkf6M/edit?usp=drivesdk" TargetMode="External"/><Relationship Id="rId909" Type="http://schemas.openxmlformats.org/officeDocument/2006/relationships/hyperlink" Target="https://docs.google.com/document/d/1bbDwF4y4WaD1NJqZXrQ92xLVoz_4mFmcpB8bW-RJYvg/edit?usp=drivesdk" TargetMode="External"/><Relationship Id="rId38" Type="http://schemas.openxmlformats.org/officeDocument/2006/relationships/hyperlink" Target="https://docs.google.com/document/d/10nnniawQVtJWr1j6dGtxHYuaPvjUZS_oEzRZ6f249BE/edit?usp=drivesdk" TargetMode="External"/><Relationship Id="rId103" Type="http://schemas.openxmlformats.org/officeDocument/2006/relationships/hyperlink" Target="https://docs.google.com/document/d/1LabdHmssr2wUehcOV54gssrkT8MfwEnxZTasLs1gtgo/edit?usp=drivesdk" TargetMode="External"/><Relationship Id="rId310" Type="http://schemas.openxmlformats.org/officeDocument/2006/relationships/hyperlink" Target="https://docs.google.com/document/d/1ZCXGxgcM0SMf47GDz2P2nEKQwWPen_IopWAdo9gZUe8/edit?usp=drivesdk" TargetMode="External"/><Relationship Id="rId548" Type="http://schemas.openxmlformats.org/officeDocument/2006/relationships/hyperlink" Target="https://docs.google.com/document/d/1_NTRpo7Fe0NailxzsAMix3W_BroHBORKhMB7p6Te6hM/edit?usp=drivesdk" TargetMode="External"/><Relationship Id="rId755" Type="http://schemas.openxmlformats.org/officeDocument/2006/relationships/hyperlink" Target="https://docs.google.com/document/d/1cT7sXXif7nbYKbMyTmwrePioyrt_z8tU_PlxifProMg/edit?usp=drivesdk" TargetMode="External"/><Relationship Id="rId962" Type="http://schemas.openxmlformats.org/officeDocument/2006/relationships/hyperlink" Target="https://docs.google.com/document/d/1MvTgsE1iDl3lQYft7YZO6S1i-AFzJc8916VMeb8X_ys/edit?usp=drivesdk" TargetMode="External"/><Relationship Id="rId91" Type="http://schemas.openxmlformats.org/officeDocument/2006/relationships/hyperlink" Target="https://docs.google.com/document/d/1_xpbSdAQxiV952g8DEviihzsJ9JvdoIja7XikkzE2jM/edit?usp=drivesdk" TargetMode="External"/><Relationship Id="rId187" Type="http://schemas.openxmlformats.org/officeDocument/2006/relationships/hyperlink" Target="https://docs.google.com/document/d/1urGKS6Hhgz61wxKnJxIwXPH6FT9q0n0PP04qBW5_huw/edit?usp=drivesdk" TargetMode="External"/><Relationship Id="rId394" Type="http://schemas.openxmlformats.org/officeDocument/2006/relationships/hyperlink" Target="https://docs.google.com/document/d/128yGHiKh6RHRa87fgjOY9jOg9ivCVWoJzv7lAX_ujHQ/edit?usp=drivesdk" TargetMode="External"/><Relationship Id="rId408" Type="http://schemas.openxmlformats.org/officeDocument/2006/relationships/hyperlink" Target="https://docs.google.com/document/d/1OPJyWfnlaorB8XlVsMWimPBNc-pOQRB-7mepBOTyZ_U/edit?usp=drivesdk" TargetMode="External"/><Relationship Id="rId615" Type="http://schemas.openxmlformats.org/officeDocument/2006/relationships/hyperlink" Target="https://docs.google.com/document/d/1GLkHyx96fjLQQp8wkpzq0eODy3ErqntnD24uni6JNcI/edit?usp=drivesdk" TargetMode="External"/><Relationship Id="rId822" Type="http://schemas.openxmlformats.org/officeDocument/2006/relationships/hyperlink" Target="https://docs.google.com/document/d/1chySodYfMdoaJFPoC6P9bFs0oDt2xCAyuhC-gxx2v8w/edit?usp=drivesdk" TargetMode="External"/><Relationship Id="rId1038" Type="http://schemas.openxmlformats.org/officeDocument/2006/relationships/hyperlink" Target="https://docs.google.com/document/d/1_nkTGRlfIuXb6iz2H9etu-rn7NIzOVtKvdVgUYetGSE/edit?usp=drivesdk" TargetMode="External"/><Relationship Id="rId254" Type="http://schemas.openxmlformats.org/officeDocument/2006/relationships/hyperlink" Target="https://docs.google.com/document/d/1oHYrfxnlmihGFpWtZ-1v641ONBZilcpq2UIDfKsPFDs/edit?usp=drivesdk" TargetMode="External"/><Relationship Id="rId699" Type="http://schemas.openxmlformats.org/officeDocument/2006/relationships/hyperlink" Target="https://docs.google.com/document/d/1v7tvESxScdxPO1ijmE9JH_PlC0Hcp8joj993Qebffeg/edit?usp=drivesdk" TargetMode="External"/><Relationship Id="rId49" Type="http://schemas.openxmlformats.org/officeDocument/2006/relationships/hyperlink" Target="https://docs.google.com/document/d/1_99TZLD-k-C9EsSVpSJNccEWzt4WrxyVPB59pY1zq1c/edit?usp=drivesdk" TargetMode="External"/><Relationship Id="rId114" Type="http://schemas.openxmlformats.org/officeDocument/2006/relationships/hyperlink" Target="https://docs.google.com/document/d/1kJHcvyhgyIpKw8P9mBqauadO_E-MGaX1yx9HngVDcEU/edit?usp=drivesdk" TargetMode="External"/><Relationship Id="rId461" Type="http://schemas.openxmlformats.org/officeDocument/2006/relationships/hyperlink" Target="https://docs.google.com/document/d/1ht4KR4PwKwVAbilS9T0Jtztvf1v3rhtaFwZhObvyNLw/edit?usp=drivesdk" TargetMode="External"/><Relationship Id="rId559" Type="http://schemas.openxmlformats.org/officeDocument/2006/relationships/hyperlink" Target="https://docs.google.com/document/d/1Nk3rB_8qh2IsB-pbaM3d-wH8zo1dMTNyZP-zXDfi7_4/edit?usp=drivesdk" TargetMode="External"/><Relationship Id="rId766" Type="http://schemas.openxmlformats.org/officeDocument/2006/relationships/hyperlink" Target="https://docs.google.com/document/d/1nVgXq-Ep7lpfh0HVmQuhOD5T7pveA5E0cFSw1SO5phA/edit?usp=drivesdk" TargetMode="External"/><Relationship Id="rId198" Type="http://schemas.openxmlformats.org/officeDocument/2006/relationships/hyperlink" Target="https://docs.google.com/document/d/17RQ4Ys5vhUgH_js1ld3jCjcGkUV1G8rZmkNP458_zYM/edit?usp=drivesdk" TargetMode="External"/><Relationship Id="rId321" Type="http://schemas.openxmlformats.org/officeDocument/2006/relationships/hyperlink" Target="https://docs.google.com/document/d/1UHxq4c6sGkIXHA_Cj_Kx_dd2yABgFStnfCZ4va8AwCQ/edit?usp=drivesdk" TargetMode="External"/><Relationship Id="rId419" Type="http://schemas.openxmlformats.org/officeDocument/2006/relationships/hyperlink" Target="https://docs.google.com/document/d/1uIaj-Gpp7jUBol4xzTQxvQ0pO5aT50zo_NhfC8bR37g/edit?usp=drivesdk" TargetMode="External"/><Relationship Id="rId626" Type="http://schemas.openxmlformats.org/officeDocument/2006/relationships/hyperlink" Target="https://docs.google.com/document/d/1yRN5WZ2bCkiqgVZYjeW2Q_xF52lxdbO9mVIC4drDNzo/edit?usp=drivesdk" TargetMode="External"/><Relationship Id="rId973" Type="http://schemas.openxmlformats.org/officeDocument/2006/relationships/hyperlink" Target="https://docs.google.com/document/d/1S4RdLABRl1wRc4v94jEitUOBobjLcIRtBdcUkuMExQ8/edit?usp=drivesdk" TargetMode="External"/><Relationship Id="rId1049" Type="http://schemas.openxmlformats.org/officeDocument/2006/relationships/hyperlink" Target="https://docs.google.com/document/d/1nADoQLQojn3iBHgfaOWgNn6On910xaxB7aJ-q5QBtjY/edit?usp=drivesdk" TargetMode="External"/><Relationship Id="rId833" Type="http://schemas.openxmlformats.org/officeDocument/2006/relationships/hyperlink" Target="https://docs.google.com/document/d/1FeYI1anbxkJC12K-4m_HgzfV9Vv0CiJXq3zGZUH5EvQ/edit?usp=drivesdk" TargetMode="External"/><Relationship Id="rId265" Type="http://schemas.openxmlformats.org/officeDocument/2006/relationships/hyperlink" Target="https://docs.google.com/document/d/1vkQaUeNfFpD_o02fHgg_xTiGVFe9jSGR2yTxiIOVFIE/edit?usp=drivesdk" TargetMode="External"/><Relationship Id="rId472" Type="http://schemas.openxmlformats.org/officeDocument/2006/relationships/hyperlink" Target="https://docs.google.com/document/d/14ChhDbWuhFadEfgUpMMpRE-DlfOhS-DAKG-MgVEaWf4/edit?usp=drivesdk" TargetMode="External"/><Relationship Id="rId900" Type="http://schemas.openxmlformats.org/officeDocument/2006/relationships/hyperlink" Target="https://docs.google.com/document/d/12prjhxN5a5cs59ywgET2x0Nrd3DDmK51RXMqTzJ1RYU/edit?usp=drivesdk" TargetMode="External"/><Relationship Id="rId125" Type="http://schemas.openxmlformats.org/officeDocument/2006/relationships/hyperlink" Target="https://docs.google.com/document/d/13cBA5zcD8QJszQ_sgnLYt3r_hQFmNxCM9ctlDrF2yaI/edit?usp=drivesdk" TargetMode="External"/><Relationship Id="rId332" Type="http://schemas.openxmlformats.org/officeDocument/2006/relationships/hyperlink" Target="https://docs.google.com/document/d/1sG4FS2pAmky1WC9QNvN3opCN2KZ3liAWKRz-jnsPPrY/edit?usp=drivesdk" TargetMode="External"/><Relationship Id="rId777" Type="http://schemas.openxmlformats.org/officeDocument/2006/relationships/hyperlink" Target="https://docs.google.com/document/d/1Ci0Kjh2DDBbgIC16AkvXKnuOE-w9zeXYn5r7ZJVXma4/edit?usp=drivesdk" TargetMode="External"/><Relationship Id="rId984" Type="http://schemas.openxmlformats.org/officeDocument/2006/relationships/hyperlink" Target="https://docs.google.com/document/d/1AZbJqxORjj9vjh8fcS7ADWtE91SvDdoUZVaR_LhwRkI/edit?usp=drivesdk" TargetMode="External"/><Relationship Id="rId637" Type="http://schemas.openxmlformats.org/officeDocument/2006/relationships/hyperlink" Target="https://docs.google.com/document/d/1ocg5_VguQ-eWqasvlpE9eF4YbobMluuDifsIm8x1hjs/edit?usp=drivesdk" TargetMode="External"/><Relationship Id="rId844" Type="http://schemas.openxmlformats.org/officeDocument/2006/relationships/hyperlink" Target="https://docs.google.com/document/d/1GWTMHhEG3qliYQ8kuhxetPwIJdYWw773ZmmxC0h10mM/edit?usp=drivesdk"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ocs.google.com/document/d/1yedKFixA69V0VtSDY7-I0SVCLPtcIuBrNsPWlFA5t0Q/edit?usp=drivesdk" TargetMode="External"/><Relationship Id="rId299" Type="http://schemas.openxmlformats.org/officeDocument/2006/relationships/hyperlink" Target="https://docs.google.com/document/d/1KgtsJJKzhgVyGWsX20RlzbAQfyhax9XMYyQYU7_jT3Q/edit?usp=drivesdk" TargetMode="External"/><Relationship Id="rId21" Type="http://schemas.openxmlformats.org/officeDocument/2006/relationships/hyperlink" Target="https://docs.google.com/document/d/1JFryXOw2InmmGmXxxzshvZNk4sdpEONK7hn7Y_AqJRE/edit?usp=drivesdk" TargetMode="External"/><Relationship Id="rId63" Type="http://schemas.openxmlformats.org/officeDocument/2006/relationships/hyperlink" Target="https://docs.google.com/document/d/1L0kzkzO3R_dAJCQe55pzE_QXkWNAsyj-X0rnm0gVaQY/edit?usp=drivesdk" TargetMode="External"/><Relationship Id="rId159" Type="http://schemas.openxmlformats.org/officeDocument/2006/relationships/hyperlink" Target="https://docs.google.com/document/d/1s3JiwQ-KWulWysULpBhqbwpxDkxCnkakIu_ciCP-aHE/edit?usp=drivesdk" TargetMode="External"/><Relationship Id="rId324" Type="http://schemas.openxmlformats.org/officeDocument/2006/relationships/hyperlink" Target="https://docs.google.com/document/d/1l4E_ZfLzH_eFlbh_M4aNR8syJtRhBDp7zPqitvKaIG0/edit?usp=drivesdk" TargetMode="External"/><Relationship Id="rId366" Type="http://schemas.openxmlformats.org/officeDocument/2006/relationships/hyperlink" Target="https://docs.google.com/document/d/1R67aWa6YbeD9LJQCyYhLFFgo-n7BFuc4yGofXLj2i4s/edit?usp=drivesdk" TargetMode="External"/><Relationship Id="rId170" Type="http://schemas.openxmlformats.org/officeDocument/2006/relationships/hyperlink" Target="https://docs.google.com/document/d/1PL271tW_lqAUNom36USh5xQ5-3Fx9KBM5GmY4JnYfd4/edit?usp=drivesdk" TargetMode="External"/><Relationship Id="rId226" Type="http://schemas.openxmlformats.org/officeDocument/2006/relationships/hyperlink" Target="https://docs.google.com/document/d/1vmmHbbEKOlfRp-_iKH2vKvCl0CVCLNAqtyyG8zrDGGo/edit?usp=drivesdk" TargetMode="External"/><Relationship Id="rId268" Type="http://schemas.openxmlformats.org/officeDocument/2006/relationships/hyperlink" Target="https://docs.google.com/document/d/190TNo4ZUiEWHJnPN5QI9eTlWaIaeW3i_-JNB6ri0AA4/edit?usp=drivesdk" TargetMode="External"/><Relationship Id="rId32" Type="http://schemas.openxmlformats.org/officeDocument/2006/relationships/hyperlink" Target="https://docs.google.com/document/d/1UxSihKYLLd3ptxsJHs_8U8O3j5OHfzHKbjnt5FECBbs/edit?usp=drivesdk" TargetMode="External"/><Relationship Id="rId74" Type="http://schemas.openxmlformats.org/officeDocument/2006/relationships/hyperlink" Target="https://docs.google.com/document/d/1FGSJu50WpKVPQMMjfQsJgZFm6YVlPd9AmbZ7l5n8PbY/edit?usp=drivesdk" TargetMode="External"/><Relationship Id="rId128" Type="http://schemas.openxmlformats.org/officeDocument/2006/relationships/hyperlink" Target="https://docs.google.com/document/d/1cwjqEBUaX4TZ2uiNweLlEFnrIqkIxDij-KCrl3jgdSs/edit?usp=drivesdk" TargetMode="External"/><Relationship Id="rId335" Type="http://schemas.openxmlformats.org/officeDocument/2006/relationships/hyperlink" Target="https://docs.google.com/document/d/157atlnV4PfNUXltB_9nowSR6oPh6zVU7PPouDkoFvdw/edit?usp=drivesdk" TargetMode="External"/><Relationship Id="rId377" Type="http://schemas.openxmlformats.org/officeDocument/2006/relationships/hyperlink" Target="https://docs.google.com/document/d/1tSD6e648rzgMuzDP9hhqwOSc2wFY4LzC4gX0xMLr3mM/edit?usp=drivesdk" TargetMode="External"/><Relationship Id="rId5" Type="http://schemas.openxmlformats.org/officeDocument/2006/relationships/hyperlink" Target="https://drive.google.com/a/gtmnerr.org/file/d/1YinwlBsrG6skh50eUb96HFs4ROS8w5Vd/view?usp=drivesdk" TargetMode="External"/><Relationship Id="rId95" Type="http://schemas.openxmlformats.org/officeDocument/2006/relationships/hyperlink" Target="https://docs.google.com/document/d/1WiDFrx4D7wDtTG7xhG56FExYdRv-4DwwdP-wvUsnRMc/edit?usp=drivesdk" TargetMode="External"/><Relationship Id="rId160" Type="http://schemas.openxmlformats.org/officeDocument/2006/relationships/hyperlink" Target="https://docs.google.com/document/d/1wHN4Cbsn47rCWCLLPwvhvv0RSpz-ejSy8O1YNICpliM/edit?usp=drivesdk" TargetMode="External"/><Relationship Id="rId181" Type="http://schemas.openxmlformats.org/officeDocument/2006/relationships/hyperlink" Target="https://docs.google.com/document/d/1uWbC2LTTPyzZ9D7G8dbN75G0kC0n3ExQXQUhFHsruTY/edit?usp=drivesdk" TargetMode="External"/><Relationship Id="rId216" Type="http://schemas.openxmlformats.org/officeDocument/2006/relationships/hyperlink" Target="https://docs.google.com/document/d/1fSs9eCOq3hWlcEUsnZCYxYLdt3MBFViSiMNmwpFrbqo/edit?usp=drivesdk" TargetMode="External"/><Relationship Id="rId237" Type="http://schemas.openxmlformats.org/officeDocument/2006/relationships/hyperlink" Target="https://docs.google.com/document/d/1odhTpTLuy9rmKb4m7VExrlFUjNvK50mcGTUs0hW18L8/edit?usp=drivesdk" TargetMode="External"/><Relationship Id="rId402" Type="http://schemas.openxmlformats.org/officeDocument/2006/relationships/hyperlink" Target="https://docs.google.com/document/d/172vVxwop84YvNDb_72vQKInQJ2qcjf8BrLZ6GTgNcTo/edit?usp=drivesdk" TargetMode="External"/><Relationship Id="rId258" Type="http://schemas.openxmlformats.org/officeDocument/2006/relationships/hyperlink" Target="https://docs.google.com/document/d/1u7s5sF6N4c08VUpD9QaNfb9XH2JWFuYc9n9uv0nmrXs/edit?usp=drivesdk" TargetMode="External"/><Relationship Id="rId279" Type="http://schemas.openxmlformats.org/officeDocument/2006/relationships/hyperlink" Target="https://docs.google.com/document/d/10yd_QWoX4-uGTi1hSALQIVk7-NQdFiPnAMvkiRZydsQ/edit?usp=drivesdk" TargetMode="External"/><Relationship Id="rId22" Type="http://schemas.openxmlformats.org/officeDocument/2006/relationships/hyperlink" Target="https://docs.google.com/document/d/1cZgdQ9Bkry7GfAi9UtVtg27Em-ne__SFXnsOQWLIXOg/edit?usp=drivesdk" TargetMode="External"/><Relationship Id="rId43" Type="http://schemas.openxmlformats.org/officeDocument/2006/relationships/hyperlink" Target="https://docs.google.com/document/d/1WsrMwbtq1vkTBudK_ew-NbpNttOyEo3T3Yuj3AdKLcs/edit?usp=drivesdk" TargetMode="External"/><Relationship Id="rId64" Type="http://schemas.openxmlformats.org/officeDocument/2006/relationships/hyperlink" Target="https://docs.google.com/document/d/1ntrs6YFpK78CyX3JOrufebLGk1XUDopFAGN4tHmjzSY/edit?usp=drivesdk" TargetMode="External"/><Relationship Id="rId118" Type="http://schemas.openxmlformats.org/officeDocument/2006/relationships/hyperlink" Target="https://docs.google.com/document/d/17DVNObsevh1PglvOtUWG2_f9xR1DhwO97Kb9C_lXeyg/edit?usp=drivesdk" TargetMode="External"/><Relationship Id="rId139" Type="http://schemas.openxmlformats.org/officeDocument/2006/relationships/hyperlink" Target="https://docs.google.com/document/d/1YbcgZerdP1LVsxnkBb1fZoOvlgu2Id6KK0LNMU632hw/edit?usp=drivesdk" TargetMode="External"/><Relationship Id="rId290" Type="http://schemas.openxmlformats.org/officeDocument/2006/relationships/hyperlink" Target="https://docs.google.com/document/d/1EYWgKjtFQfT6Aj2PtcKOQtTPMo2fy52Im86yup5t7eA/edit?usp=drivesdk" TargetMode="External"/><Relationship Id="rId304" Type="http://schemas.openxmlformats.org/officeDocument/2006/relationships/hyperlink" Target="https://docs.google.com/document/d/1Obn3valZ5ZFWEdYba74PwGZ9qtkhWraIPZUu6aHGrnU/edit?usp=drivesdk" TargetMode="External"/><Relationship Id="rId325" Type="http://schemas.openxmlformats.org/officeDocument/2006/relationships/hyperlink" Target="https://docs.google.com/document/d/1YMJWkZrunPkqcijQlnoJEDDw7X8P59lFxv9qbVzbaSY/edit?usp=drivesdk" TargetMode="External"/><Relationship Id="rId346" Type="http://schemas.openxmlformats.org/officeDocument/2006/relationships/hyperlink" Target="https://docs.google.com/document/d/1_ixFUqqY3pBFYyko_LJxme1mlZsxKkUiApejiVxk4Vk/edit?usp=drivesdk" TargetMode="External"/><Relationship Id="rId367" Type="http://schemas.openxmlformats.org/officeDocument/2006/relationships/hyperlink" Target="https://docs.google.com/document/d/1i0dCUy4yeQ9EZHTLMk-Eqs7L_Kd-gV0olElUP-cbPpQ/edit?usp=drivesdk" TargetMode="External"/><Relationship Id="rId388" Type="http://schemas.openxmlformats.org/officeDocument/2006/relationships/hyperlink" Target="https://docs.google.com/document/d/18_-rvKQZAj4zj-xu5XIOunNjjc1B25_eNVm9KFoW9Dk/edit?usp=drivesdk" TargetMode="External"/><Relationship Id="rId85" Type="http://schemas.openxmlformats.org/officeDocument/2006/relationships/hyperlink" Target="https://docs.google.com/document/d/1tlC1SwEUPLpFXpij-oCM2rMilZlFExtd_0xZd7qUeZM/edit?usp=drivesdk" TargetMode="External"/><Relationship Id="rId150" Type="http://schemas.openxmlformats.org/officeDocument/2006/relationships/hyperlink" Target="https://docs.google.com/document/d/1JGMIP5SQ2ZMKd8eDucsvIls3aSK9Tt3z-nF29BgavLw/edit?usp=drivesdk" TargetMode="External"/><Relationship Id="rId171" Type="http://schemas.openxmlformats.org/officeDocument/2006/relationships/hyperlink" Target="https://docs.google.com/document/d/1kbvT1CsqWVSgIaGJKDYhYIm_4ojgiC2OS4qGLdNc4tI/edit?usp=drivesdk" TargetMode="External"/><Relationship Id="rId192" Type="http://schemas.openxmlformats.org/officeDocument/2006/relationships/hyperlink" Target="https://docs.google.com/document/d/1p7s5sR34YXc9wg1z-_VVivHlRGZkuTUZxMHhBUHtCco/edit?usp=drivesdk" TargetMode="External"/><Relationship Id="rId206" Type="http://schemas.openxmlformats.org/officeDocument/2006/relationships/hyperlink" Target="https://docs.google.com/document/d/1y2UDORHMpvgGxnWKusUow10nn0yr4r-KxQFkrbWVVDg/edit?usp=drivesdk" TargetMode="External"/><Relationship Id="rId227" Type="http://schemas.openxmlformats.org/officeDocument/2006/relationships/hyperlink" Target="https://docs.google.com/document/d/14pAUYwsaSmzX3501xXPXCLv9Bc9CBsp_aTg69Fj2q_c/edit?usp=drivesdk" TargetMode="External"/><Relationship Id="rId413" Type="http://schemas.openxmlformats.org/officeDocument/2006/relationships/hyperlink" Target="https://docs.google.com/document/d/1sv52haYJAAYeV34nrDRRcelkEHhfK9YUVlfLYziSVak/edit?usp=drivesdk" TargetMode="External"/><Relationship Id="rId248" Type="http://schemas.openxmlformats.org/officeDocument/2006/relationships/hyperlink" Target="https://docs.google.com/document/d/1I5BcUrGICWQ1wd-pOkEzau0SJ4sOIRHp-C2jzuUxtbg/edit?usp=drivesdk" TargetMode="External"/><Relationship Id="rId269" Type="http://schemas.openxmlformats.org/officeDocument/2006/relationships/hyperlink" Target="https://docs.google.com/document/d/1_V2iYWUNuyPpcY9McAiWWBOBaQ-9nnGnLE3AXu3Ways/edit?usp=drivesdk" TargetMode="External"/><Relationship Id="rId12" Type="http://schemas.openxmlformats.org/officeDocument/2006/relationships/hyperlink" Target="https://drive.google.com/a/gtmnerr.org/file/d/1PS5YPza6b0J9agPHBVTnWxTfvhLIFch7/view?usp=drivesdk" TargetMode="External"/><Relationship Id="rId33" Type="http://schemas.openxmlformats.org/officeDocument/2006/relationships/hyperlink" Target="https://docs.google.com/document/d/1YVH9hAY0Il0DCK6rFfBHIM-B2FMeHXQEEJUjpA6N7-U/edit?usp=drivesdk" TargetMode="External"/><Relationship Id="rId108" Type="http://schemas.openxmlformats.org/officeDocument/2006/relationships/hyperlink" Target="https://docs.google.com/document/d/1FoCPEaVaT4-aS9Qr0r4nW6zlRTuDNZoJ3QoyHDTqm4A/edit?usp=drivesdk" TargetMode="External"/><Relationship Id="rId129" Type="http://schemas.openxmlformats.org/officeDocument/2006/relationships/hyperlink" Target="https://docs.google.com/document/d/1dbUQc-0YRcUCWv4ZLuAiuh-szs2P71qMm4cR0NVclQw/edit?usp=drivesdk" TargetMode="External"/><Relationship Id="rId280" Type="http://schemas.openxmlformats.org/officeDocument/2006/relationships/hyperlink" Target="https://docs.google.com/document/d/1oALdN25ww9lJ48fXJMH1m20lIQx2AKySaSRbjgF26Cc/edit?usp=drivesdk" TargetMode="External"/><Relationship Id="rId315" Type="http://schemas.openxmlformats.org/officeDocument/2006/relationships/hyperlink" Target="https://docs.google.com/document/d/19iCCJZ_O23GPhy55Pb4Tax0fp71UZC6HAdOjd8p_lds/edit?usp=drivesdk" TargetMode="External"/><Relationship Id="rId336" Type="http://schemas.openxmlformats.org/officeDocument/2006/relationships/hyperlink" Target="https://docs.google.com/document/d/15hEqU8nv3aRpQI8ho-4D11gMDcOtqzF6M5xm45xB7GM/edit?usp=drivesdk" TargetMode="External"/><Relationship Id="rId357" Type="http://schemas.openxmlformats.org/officeDocument/2006/relationships/hyperlink" Target="https://docs.google.com/document/d/1gzBZ5HfQJnnJWXvG5NS6oS9z2fy4WrO3XnzB6x8mkYc/edit?usp=drivesdk" TargetMode="External"/><Relationship Id="rId54" Type="http://schemas.openxmlformats.org/officeDocument/2006/relationships/hyperlink" Target="https://docs.google.com/document/d/14xL-FgR87Xdn5S8WoYx0_em_jRQvOEXqyE9kNUhAwZs/edit?usp=drivesdk" TargetMode="External"/><Relationship Id="rId75" Type="http://schemas.openxmlformats.org/officeDocument/2006/relationships/hyperlink" Target="https://docs.google.com/document/d/1acVIuNRHP6o9EhpjLyK7BPUBmQo2wAa7dSOlClJFeIA/edit?usp=drivesdk" TargetMode="External"/><Relationship Id="rId96" Type="http://schemas.openxmlformats.org/officeDocument/2006/relationships/hyperlink" Target="https://docs.google.com/document/d/1c5DkI6jJ5VBQm3EWgcA563cNGIBizGgTtaIKGIJ2dE8/edit?usp=drivesdk" TargetMode="External"/><Relationship Id="rId140" Type="http://schemas.openxmlformats.org/officeDocument/2006/relationships/hyperlink" Target="https://docs.google.com/document/d/10B-Y9mtzPJLK-Vl1R2A-xzT2AB0jOcgS4S3pnj8j_Ks/edit?usp=drivesdk" TargetMode="External"/><Relationship Id="rId161" Type="http://schemas.openxmlformats.org/officeDocument/2006/relationships/hyperlink" Target="https://docs.google.com/document/d/1Rrrw9hXvd2dswIm7DTQzp7Bj3bZQddXoz6ZiVQaAymE/edit?usp=drivesdk" TargetMode="External"/><Relationship Id="rId182" Type="http://schemas.openxmlformats.org/officeDocument/2006/relationships/hyperlink" Target="https://docs.google.com/document/d/1MdfvTIYnceoqzhRGfam7t0apLcYPKCV83LbdbuAQAkg/edit?usp=drivesdk" TargetMode="External"/><Relationship Id="rId217" Type="http://schemas.openxmlformats.org/officeDocument/2006/relationships/hyperlink" Target="https://docs.google.com/document/d/14VlWjsETlFQ2d5qk_szZ5WONt_dxnNxiUZBzsMiNW10/edit?usp=drivesdk" TargetMode="External"/><Relationship Id="rId378" Type="http://schemas.openxmlformats.org/officeDocument/2006/relationships/hyperlink" Target="https://docs.google.com/document/d/1W0MUnKo0pddoDkyInqukilZfM2lV6gT-z8ANRIvhfzc/edit?usp=drivesdk" TargetMode="External"/><Relationship Id="rId399" Type="http://schemas.openxmlformats.org/officeDocument/2006/relationships/hyperlink" Target="https://docs.google.com/document/d/1VaWJIE3K1kYxS9ekiUDrgSvi82MS4ihWUVx1sk6R0Yk/edit?usp=drivesdk" TargetMode="External"/><Relationship Id="rId403" Type="http://schemas.openxmlformats.org/officeDocument/2006/relationships/hyperlink" Target="https://docs.google.com/document/d/163XConguxRmfEJiz0qqtWQl8czIMwg0PZ_dbBQWiVoE/edit?usp=drivesdk" TargetMode="External"/><Relationship Id="rId6" Type="http://schemas.openxmlformats.org/officeDocument/2006/relationships/hyperlink" Target="https://drive.google.com/a/gtmnerr.org/file/d/1UDcTZ57HVMirRLXojC9fGFCmlWToZDMk/view?usp=drivesdk" TargetMode="External"/><Relationship Id="rId238" Type="http://schemas.openxmlformats.org/officeDocument/2006/relationships/hyperlink" Target="https://docs.google.com/document/d/1CE7RpdJaTh2JD6fLOPYtoqWGdMGQ2c8KX9dL8l5pYSk/edit?usp=drivesdk" TargetMode="External"/><Relationship Id="rId259" Type="http://schemas.openxmlformats.org/officeDocument/2006/relationships/hyperlink" Target="https://docs.google.com/document/d/1yVYWUcznor89rZKLN7JNHkOJi-hKAXwvKPawozANPrs/edit?usp=drivesdk" TargetMode="External"/><Relationship Id="rId23" Type="http://schemas.openxmlformats.org/officeDocument/2006/relationships/hyperlink" Target="https://docs.google.com/document/d/141YwKW4KI8Q1dzT2ZpYz1hJTIpHl_K-P_b2fL-FVL80/edit?usp=drivesdk" TargetMode="External"/><Relationship Id="rId119" Type="http://schemas.openxmlformats.org/officeDocument/2006/relationships/hyperlink" Target="https://docs.google.com/document/d/1vK2OVKgBHmbnDyydJiI28-r72XA9d-1diz04IeBEKo4/edit?usp=drivesdk" TargetMode="External"/><Relationship Id="rId270" Type="http://schemas.openxmlformats.org/officeDocument/2006/relationships/hyperlink" Target="https://docs.google.com/document/d/1LBsjMCrOKskybnaVJZ8DrnF0haojvF7rUr38aeeaaBQ/edit?usp=drivesdk" TargetMode="External"/><Relationship Id="rId291" Type="http://schemas.openxmlformats.org/officeDocument/2006/relationships/hyperlink" Target="https://docs.google.com/document/d/1nBWzBiDSsyiR3ju6LhrlU1ZVjn_PV5JBs4--S8E4a3Q/edit?usp=drivesdk" TargetMode="External"/><Relationship Id="rId305" Type="http://schemas.openxmlformats.org/officeDocument/2006/relationships/hyperlink" Target="https://docs.google.com/document/d/1uTQ3cRptrbH2rU6bifYJQOp03goG-mR9xEJElr8rAvw/edit?usp=drivesdk" TargetMode="External"/><Relationship Id="rId326" Type="http://schemas.openxmlformats.org/officeDocument/2006/relationships/hyperlink" Target="https://docs.google.com/document/d/1mAuPt1x3SC6PF8ujlRcp2_FSebhAGV02h612BkmlcNs/edit?usp=drivesdk" TargetMode="External"/><Relationship Id="rId347" Type="http://schemas.openxmlformats.org/officeDocument/2006/relationships/hyperlink" Target="https://docs.google.com/document/d/1XcVFZzDY85Qnprn6bdjN8xHXM896AB5RZfyIW2kUNRc/edit?usp=drivesdk" TargetMode="External"/><Relationship Id="rId44" Type="http://schemas.openxmlformats.org/officeDocument/2006/relationships/hyperlink" Target="https://docs.google.com/document/d/1QBVhj8T9wlvA9MtmpE0nIHEBCK43PFkjVDTBjO99NHM/edit?usp=drivesdk" TargetMode="External"/><Relationship Id="rId65" Type="http://schemas.openxmlformats.org/officeDocument/2006/relationships/hyperlink" Target="https://docs.google.com/document/d/1FpILXcPLEtzulcfVT6SGTL70ibQT75O0hb2ZfXmGgmI/edit?usp=drivesdk" TargetMode="External"/><Relationship Id="rId86" Type="http://schemas.openxmlformats.org/officeDocument/2006/relationships/hyperlink" Target="https://docs.google.com/document/d/1cg_61x0Prb1H5bL7SShihaJ8nyb-k-Re1xSmZMw8yHQ/edit?usp=drivesdk" TargetMode="External"/><Relationship Id="rId130" Type="http://schemas.openxmlformats.org/officeDocument/2006/relationships/hyperlink" Target="https://docs.google.com/document/d/1vSRqTWP7CmpWxXBMw2pni-Z1VXWQUibiRPAhtbpU00M/edit?usp=drivesdk" TargetMode="External"/><Relationship Id="rId151" Type="http://schemas.openxmlformats.org/officeDocument/2006/relationships/hyperlink" Target="https://docs.google.com/document/d/1RDmcLZdwMIRHDuujQWjczrbdq11SFvJ7BvyZZWaLJ_M/edit?usp=drivesdk" TargetMode="External"/><Relationship Id="rId368" Type="http://schemas.openxmlformats.org/officeDocument/2006/relationships/hyperlink" Target="https://docs.google.com/document/d/1_OnavftpgaDV9tNWiIoIvKJWpdcg19g3rscONyVRkDo/edit?usp=drivesdk" TargetMode="External"/><Relationship Id="rId389" Type="http://schemas.openxmlformats.org/officeDocument/2006/relationships/hyperlink" Target="https://docs.google.com/document/d/1hRHCgSxbnv7hu6DeHUy5JI5pBcEgXO0l_jaGUl_e9dU/edit?usp=drivesdk" TargetMode="External"/><Relationship Id="rId172" Type="http://schemas.openxmlformats.org/officeDocument/2006/relationships/hyperlink" Target="https://docs.google.com/document/d/1Ro8NJhnFBHEkHT8r9UkoHcGushyxmf7T7UxF2d3EPTo/edit?usp=drivesdk" TargetMode="External"/><Relationship Id="rId193" Type="http://schemas.openxmlformats.org/officeDocument/2006/relationships/hyperlink" Target="https://docs.google.com/document/d/1w5yvrJDRg-YgyWDyeVMe6dpoKT5A2GMePvS1bvcmC00/edit?usp=drivesdk" TargetMode="External"/><Relationship Id="rId207" Type="http://schemas.openxmlformats.org/officeDocument/2006/relationships/hyperlink" Target="https://docs.google.com/document/d/14yTxW_f-O_a2XG44MuzS7iWl79ZZNjt9kb-KH_PVWqg/edit?usp=drivesdk" TargetMode="External"/><Relationship Id="rId228" Type="http://schemas.openxmlformats.org/officeDocument/2006/relationships/hyperlink" Target="https://docs.google.com/document/d/1Wg9Zp0UHwlUm4go4IGLILI0V5u0WvC2wzcoeNBDzINg/edit?usp=drivesdk" TargetMode="External"/><Relationship Id="rId249" Type="http://schemas.openxmlformats.org/officeDocument/2006/relationships/hyperlink" Target="https://docs.google.com/document/d/1Sn9bVL2GIklcZRZgPcVrs4YIzFCqYYDAXCMJVl9B1R0/edit?usp=drivesdk" TargetMode="External"/><Relationship Id="rId13" Type="http://schemas.openxmlformats.org/officeDocument/2006/relationships/hyperlink" Target="https://drive.google.com/a/gtmnerr.org/file/d/1xtziDCcDw8NcS5SRk_17AU3Q8TKpQ1Z4/view?usp=drivesdk" TargetMode="External"/><Relationship Id="rId109" Type="http://schemas.openxmlformats.org/officeDocument/2006/relationships/hyperlink" Target="https://docs.google.com/document/d/1XqXDCS49mMlYjyDJhRRyb2rd--vYYMQZl9cTt1SyJXY/edit?usp=drivesdk" TargetMode="External"/><Relationship Id="rId260" Type="http://schemas.openxmlformats.org/officeDocument/2006/relationships/hyperlink" Target="https://docs.google.com/document/d/1eXlcmMIv9zUf7k-HL1ZFahKVKf9u1qFeaJAyflX6R20/edit?usp=drivesdk" TargetMode="External"/><Relationship Id="rId281" Type="http://schemas.openxmlformats.org/officeDocument/2006/relationships/hyperlink" Target="https://docs.google.com/document/d/1TGJKwqK7tl-baAbH_IHsAK1BxN4w_NGJpCrIFFEFTWI/edit?usp=drivesdk" TargetMode="External"/><Relationship Id="rId316" Type="http://schemas.openxmlformats.org/officeDocument/2006/relationships/hyperlink" Target="https://docs.google.com/document/d/1i6f7kHhOK6gs1CovzkHGRW2qcF_O4PSMw6GEfKJFoiI/edit?usp=drivesdk" TargetMode="External"/><Relationship Id="rId337" Type="http://schemas.openxmlformats.org/officeDocument/2006/relationships/hyperlink" Target="https://docs.google.com/document/d/14fkCLW9hj_7t4_UA1zwCoY5Xee29jCtOYN7O8CObxMM/edit?usp=drivesdk" TargetMode="External"/><Relationship Id="rId34" Type="http://schemas.openxmlformats.org/officeDocument/2006/relationships/hyperlink" Target="https://docs.google.com/document/d/12huri7tFQSawQjEXKj8ob1-TqT9eABr2dmxojMW4czY/edit?usp=drivesdk" TargetMode="External"/><Relationship Id="rId55" Type="http://schemas.openxmlformats.org/officeDocument/2006/relationships/hyperlink" Target="https://docs.google.com/document/d/1Ad-FJGyHWoa6R8teeyJx_5DdPsF8CvyTVaG0dnm6hzA/edit?usp=drivesdk" TargetMode="External"/><Relationship Id="rId76" Type="http://schemas.openxmlformats.org/officeDocument/2006/relationships/hyperlink" Target="https://docs.google.com/document/d/1wU-ztvrplHNJ3Wq6k-7vP1L8aMRqh_hvA2p-U5wWUF0/edit?usp=drivesdk" TargetMode="External"/><Relationship Id="rId97" Type="http://schemas.openxmlformats.org/officeDocument/2006/relationships/hyperlink" Target="https://docs.google.com/document/d/17sdCynz09IpAwVH5o8CprezXdWWPeoNhVJw4691Iw8A/edit?usp=drivesdk" TargetMode="External"/><Relationship Id="rId120" Type="http://schemas.openxmlformats.org/officeDocument/2006/relationships/hyperlink" Target="https://docs.google.com/document/d/1pOCINOcEnSuc-joWQ1QIg6quFm4xBtL_1Iljg7H-ldU/edit?usp=drivesdk" TargetMode="External"/><Relationship Id="rId141" Type="http://schemas.openxmlformats.org/officeDocument/2006/relationships/hyperlink" Target="https://docs.google.com/document/d/1JqTnJCbGjhbLNmpNm8MVKYBsWfwqFc2Spby_NHY6YBU/edit?usp=drivesdk" TargetMode="External"/><Relationship Id="rId358" Type="http://schemas.openxmlformats.org/officeDocument/2006/relationships/hyperlink" Target="https://docs.google.com/document/d/1BAinsbnizosXnxABViaWb-GWFCx3cHjCFySCLmnYpts/edit?usp=drivesdk" TargetMode="External"/><Relationship Id="rId379" Type="http://schemas.openxmlformats.org/officeDocument/2006/relationships/hyperlink" Target="https://docs.google.com/document/d/1lEUCZ8jzWthvDEXI6Yb01Db7gioIfBmZbkRci61BKvw/edit?usp=drivesdk" TargetMode="External"/><Relationship Id="rId7" Type="http://schemas.openxmlformats.org/officeDocument/2006/relationships/hyperlink" Target="https://drive.google.com/a/gtmnerr.org/file/d/1jgjcWdO9z2WyqZPvktwTx42rtdLSC_0a/view?usp=drivesdk" TargetMode="External"/><Relationship Id="rId162" Type="http://schemas.openxmlformats.org/officeDocument/2006/relationships/hyperlink" Target="https://docs.google.com/document/d/1HISdHTEExN4zHmyd24EnNJE9re7ldowomCTkQ-w64zU/edit?usp=drivesdk" TargetMode="External"/><Relationship Id="rId183" Type="http://schemas.openxmlformats.org/officeDocument/2006/relationships/hyperlink" Target="https://docs.google.com/document/d/1h0R2PZU0rvgtqbs53JDBEKKuDogTM-nMHYHY7C7YB0Q/edit?usp=drivesdk" TargetMode="External"/><Relationship Id="rId218" Type="http://schemas.openxmlformats.org/officeDocument/2006/relationships/hyperlink" Target="https://docs.google.com/document/d/1Vt0pUicYELfU8R8zAnYq1oBkEo08TQq0YR1IqW-z6do/edit?usp=drivesdk" TargetMode="External"/><Relationship Id="rId239" Type="http://schemas.openxmlformats.org/officeDocument/2006/relationships/hyperlink" Target="https://docs.google.com/document/d/1jnJsXS29HDOhrHeQq8n7gliU6CgrEEMc5ofm0gMZrKk/edit?usp=drivesdk" TargetMode="External"/><Relationship Id="rId390" Type="http://schemas.openxmlformats.org/officeDocument/2006/relationships/hyperlink" Target="https://docs.google.com/document/d/1Sf_4ILjN5K-5V3F6cTF8vBnLuPZyBmGl95mM0XiRX78/edit?usp=drivesdk" TargetMode="External"/><Relationship Id="rId404" Type="http://schemas.openxmlformats.org/officeDocument/2006/relationships/hyperlink" Target="https://docs.google.com/document/d/1_EblonXbm1yhjT1MEa_-F031_IGkFPSW7vWvu5Hsklg/edit?usp=drivesdk" TargetMode="External"/><Relationship Id="rId250" Type="http://schemas.openxmlformats.org/officeDocument/2006/relationships/hyperlink" Target="https://docs.google.com/document/d/1hzl70eQJdCH-lpArjQbSGfHA1SGjOSraKKhyqg58B68/edit?usp=drivesdk" TargetMode="External"/><Relationship Id="rId271" Type="http://schemas.openxmlformats.org/officeDocument/2006/relationships/hyperlink" Target="https://docs.google.com/document/d/1UEl-2dca8hhWbxoBq3pZJzZcixkeZmJLnspPZQ9oT-Q/edit?usp=drivesdk" TargetMode="External"/><Relationship Id="rId292" Type="http://schemas.openxmlformats.org/officeDocument/2006/relationships/hyperlink" Target="https://docs.google.com/document/d/164X_Qm-57KZWpDwSlzujouQd4VaB5hOiv035HofNRW4/edit?usp=drivesdk" TargetMode="External"/><Relationship Id="rId306" Type="http://schemas.openxmlformats.org/officeDocument/2006/relationships/hyperlink" Target="https://docs.google.com/document/d/1aBGvsEHCirIyyRknTERtRhpAFTNHS0JnXUlFaT1v4cE/edit?usp=drivesdk" TargetMode="External"/><Relationship Id="rId24" Type="http://schemas.openxmlformats.org/officeDocument/2006/relationships/hyperlink" Target="https://docs.google.com/document/d/11JZf3cCy2oWzUnb0sX9zgzWgWoI2_8xAwaHHjF2yHkM/edit?usp=drivesdk" TargetMode="External"/><Relationship Id="rId45" Type="http://schemas.openxmlformats.org/officeDocument/2006/relationships/hyperlink" Target="https://docs.google.com/document/d/18xsY3dGulHPGl_CAhmxP1foemiasC677-RRywmPh4mc/edit?usp=drivesdk" TargetMode="External"/><Relationship Id="rId66" Type="http://schemas.openxmlformats.org/officeDocument/2006/relationships/hyperlink" Target="https://docs.google.com/document/d/1XauK_Lwrv1Qt95jY2ZpwtpyOvOLtQrABuSS55AExW6U/edit?usp=drivesdk" TargetMode="External"/><Relationship Id="rId87" Type="http://schemas.openxmlformats.org/officeDocument/2006/relationships/hyperlink" Target="https://docs.google.com/document/d/1g6-SDWzTDxEaT_6esAFl7Ag0FmdmW2RSeVn4yz_-SWI/edit?usp=drivesdk" TargetMode="External"/><Relationship Id="rId110" Type="http://schemas.openxmlformats.org/officeDocument/2006/relationships/hyperlink" Target="https://docs.google.com/document/d/12qKaqDTA40f8qxQAUU_wtTRdEwjpjOsa3wmJ7Cm-CR0/edit?usp=drivesdk" TargetMode="External"/><Relationship Id="rId131" Type="http://schemas.openxmlformats.org/officeDocument/2006/relationships/hyperlink" Target="https://docs.google.com/document/d/1L1Qa-gJZob4LNqDWn65q46mBvDTDwlLwU3zjXy1ncsw/edit?usp=drivesdk" TargetMode="External"/><Relationship Id="rId327" Type="http://schemas.openxmlformats.org/officeDocument/2006/relationships/hyperlink" Target="https://docs.google.com/a/gtmnerr.org/document/d/11Q1zngHv0-P5AsO1ZgZYteXWIjY4Pp94rg3HG76Vfhk/edit?usp=drivesdk" TargetMode="External"/><Relationship Id="rId348" Type="http://schemas.openxmlformats.org/officeDocument/2006/relationships/hyperlink" Target="https://docs.google.com/document/d/17A4uRgXYnvF9AqyKS1BltihQdj9B2XvMFNMWZqS165M/edit?usp=drivesdk" TargetMode="External"/><Relationship Id="rId369" Type="http://schemas.openxmlformats.org/officeDocument/2006/relationships/hyperlink" Target="https://docs.google.com/document/d/1T1xgt2ahMRDccE_WEFm_45PLgPC27Ub_s2m5i78_c2Q/edit?usp=drivesdk" TargetMode="External"/><Relationship Id="rId152" Type="http://schemas.openxmlformats.org/officeDocument/2006/relationships/hyperlink" Target="https://docs.google.com/document/d/1vhbaWsznObDXbxBjYZJm-c5mH0w0JZvCBOp-BzfpDKI/edit?usp=drivesdk" TargetMode="External"/><Relationship Id="rId173" Type="http://schemas.openxmlformats.org/officeDocument/2006/relationships/hyperlink" Target="https://docs.google.com/document/d/1oCIbNyJwXRwNMINWHnLOK0AHi7aUYV5hxePSeCyfP2Q/edit?usp=drivesdk" TargetMode="External"/><Relationship Id="rId194" Type="http://schemas.openxmlformats.org/officeDocument/2006/relationships/hyperlink" Target="https://docs.google.com/document/d/1UTMHhAq_kXygMb9yCTHtxEDXQXCiJxKdNDQMS38t11M/edit?usp=drivesdk" TargetMode="External"/><Relationship Id="rId208" Type="http://schemas.openxmlformats.org/officeDocument/2006/relationships/hyperlink" Target="https://docs.google.com/document/d/1Sid9zj_P_dXtirRpSMOa44APDNbBmBxfUhLaW12NacM/edit?usp=drivesdk" TargetMode="External"/><Relationship Id="rId229" Type="http://schemas.openxmlformats.org/officeDocument/2006/relationships/hyperlink" Target="https://docs.google.com/document/d/1sDmDyYMJ_Z6YauBF7BJ7lbIu9r7ZI3aH4vnfTBeQ-Is/edit?usp=drivesdk" TargetMode="External"/><Relationship Id="rId380" Type="http://schemas.openxmlformats.org/officeDocument/2006/relationships/hyperlink" Target="https://docs.google.com/document/d/1h83vbiy0qIUMEJu9na-S6xILq_JKNVe8nRk6se4XBmI/edit?usp=drivesdk" TargetMode="External"/><Relationship Id="rId240" Type="http://schemas.openxmlformats.org/officeDocument/2006/relationships/hyperlink" Target="https://docs.google.com/document/d/1VtQ18zcO7flR4xUlRI4xlQwk7HLbxifr5GREZNqxXeE/edit?usp=drivesdk" TargetMode="External"/><Relationship Id="rId261" Type="http://schemas.openxmlformats.org/officeDocument/2006/relationships/hyperlink" Target="https://docs.google.com/document/d/1Si4U5YmHvfX7oP5-r6Jt3hFsP-8Kn9NMVMWY0BZp7kU/edit?usp=drivesdk" TargetMode="External"/><Relationship Id="rId14" Type="http://schemas.openxmlformats.org/officeDocument/2006/relationships/hyperlink" Target="https://drive.google.com/a/gtmnerr.org/file/d/1dZ2zFneiLNJ-LVQ0meYVs4oB71EuzBH6/view?usp=drivesdk" TargetMode="External"/><Relationship Id="rId35" Type="http://schemas.openxmlformats.org/officeDocument/2006/relationships/hyperlink" Target="https://docs.google.com/document/d/1NVKICve706r0YkCzp__mT8BDMJdF4QnbOgxRSabgmKc/edit?usp=drivesdk" TargetMode="External"/><Relationship Id="rId56" Type="http://schemas.openxmlformats.org/officeDocument/2006/relationships/hyperlink" Target="https://docs.google.com/document/d/1ZVWr_QqAdt-Iz7q9i3GNK8i0lyZgwCCfyxmlR1hJwkw/edit?usp=drivesdk" TargetMode="External"/><Relationship Id="rId77" Type="http://schemas.openxmlformats.org/officeDocument/2006/relationships/hyperlink" Target="https://docs.google.com/document/d/1cWHC30uCG8clysPvFjcXE45CuDzXqmgLp_YEJ8TY14o/edit?usp=drivesdk" TargetMode="External"/><Relationship Id="rId100" Type="http://schemas.openxmlformats.org/officeDocument/2006/relationships/hyperlink" Target="https://docs.google.com/document/d/1Zr-dHoYFPh8hWNtbTV1mMdu01l2o95lPBKDPC730sdw/edit?usp=drivesdk" TargetMode="External"/><Relationship Id="rId282" Type="http://schemas.openxmlformats.org/officeDocument/2006/relationships/hyperlink" Target="https://docs.google.com/document/d/1AE-X1g5JwYwKIewk8HKwamVWj8F3gqOdlwE6ACEbgo8/edit?usp=drivesdk" TargetMode="External"/><Relationship Id="rId317" Type="http://schemas.openxmlformats.org/officeDocument/2006/relationships/hyperlink" Target="https://docs.google.com/document/d/1Id6Jld1KzxQlELFCsAZGsrQF5n3rtGtVgl9NJOHfP_4/edit?usp=drivesdk" TargetMode="External"/><Relationship Id="rId338" Type="http://schemas.openxmlformats.org/officeDocument/2006/relationships/hyperlink" Target="https://docs.google.com/document/d/1PicdNXXQZ-9U5WxAltsBvLegzKfGcnA5Rh_W_l0A7Ss/edit?usp=drivesdk" TargetMode="External"/><Relationship Id="rId359" Type="http://schemas.openxmlformats.org/officeDocument/2006/relationships/hyperlink" Target="https://docs.google.com/document/d/1LTJH8ulRvbXzhhYPuyDroEp7Q2546Kpw3GyUZ3Rj3OQ/edit?usp=drivesdk" TargetMode="External"/><Relationship Id="rId8" Type="http://schemas.openxmlformats.org/officeDocument/2006/relationships/hyperlink" Target="https://drive.google.com/a/gtmnerr.org/file/d/1xdZPUxBQL3Q04nu9hZKEqU5OAwvcXjY4/view?usp=drivesdk" TargetMode="External"/><Relationship Id="rId98" Type="http://schemas.openxmlformats.org/officeDocument/2006/relationships/hyperlink" Target="https://docs.google.com/document/d/1ewslJEYMYiLWpQVfKwKUIdB5aER5uzJ2SHLwyC5bnho/edit?usp=drivesdk" TargetMode="External"/><Relationship Id="rId121" Type="http://schemas.openxmlformats.org/officeDocument/2006/relationships/hyperlink" Target="https://docs.google.com/document/d/1horU_i0hM4yRqRXVdDj8o-byRvvnkNKOrgAhhkzyH94/edit?usp=drivesdk" TargetMode="External"/><Relationship Id="rId142" Type="http://schemas.openxmlformats.org/officeDocument/2006/relationships/hyperlink" Target="https://docs.google.com/document/d/1OeQTHLSFGSAT31agDkq7pmB0XfjKbGB3H-0rpdiqzEk/edit?usp=drivesdk" TargetMode="External"/><Relationship Id="rId163" Type="http://schemas.openxmlformats.org/officeDocument/2006/relationships/hyperlink" Target="https://docs.google.com/document/d/1Gx8Cm5JStNGnczb9BENMG9AfAMxlxOh8pLjeAEIKSJ8/edit?usp=drivesdk" TargetMode="External"/><Relationship Id="rId184" Type="http://schemas.openxmlformats.org/officeDocument/2006/relationships/hyperlink" Target="https://docs.google.com/document/d/1zstXvM6CwDhboX8ljkxSJeWbw2aJlIOMC9rK3xtsd2U/edit?usp=drivesdk" TargetMode="External"/><Relationship Id="rId219" Type="http://schemas.openxmlformats.org/officeDocument/2006/relationships/hyperlink" Target="https://docs.google.com/document/d/1R42heGi2q08QFfpu_TBe529dTzIeq4zdK5DrHcNnHbY/edit?usp=drivesdk" TargetMode="External"/><Relationship Id="rId370" Type="http://schemas.openxmlformats.org/officeDocument/2006/relationships/hyperlink" Target="https://docs.google.com/document/d/13H-CpRkpjg-LceS1ZdSkL48440YBkAfc0YrhA4v9dnk/edit?usp=drivesdk" TargetMode="External"/><Relationship Id="rId391" Type="http://schemas.openxmlformats.org/officeDocument/2006/relationships/hyperlink" Target="https://docs.google.com/document/d/1TTDgJwN76xiXWyDlFbbKJxZHE_M1_FnRC9jx-Hp0QS4/edit?usp=drivesdk" TargetMode="External"/><Relationship Id="rId405" Type="http://schemas.openxmlformats.org/officeDocument/2006/relationships/hyperlink" Target="https://docs.google.com/document/d/1kHlAOqzXYOdFmF5mwK116zmtf-WGoNyKYM7eg3XI8fI/edit?usp=drivesdk" TargetMode="External"/><Relationship Id="rId230" Type="http://schemas.openxmlformats.org/officeDocument/2006/relationships/hyperlink" Target="https://docs.google.com/document/d/1MF4XTFcMuFaeeAGZvcZGTrRDTufu4yqULGm4wOzvNHk/edit?usp=drivesdk" TargetMode="External"/><Relationship Id="rId251" Type="http://schemas.openxmlformats.org/officeDocument/2006/relationships/hyperlink" Target="https://docs.google.com/document/d/1uCFtG0-wU4D5kQQg_2QZmZQcdgRoCiQDn3rZkEBvv04/edit?usp=drivesdk" TargetMode="External"/><Relationship Id="rId25" Type="http://schemas.openxmlformats.org/officeDocument/2006/relationships/hyperlink" Target="https://docs.google.com/document/d/1eL5Q6SNkiPmg7jIbli2gKBq4HNhYtjpYK0Xasr2D1E4/edit?usp=drivesdk" TargetMode="External"/><Relationship Id="rId46" Type="http://schemas.openxmlformats.org/officeDocument/2006/relationships/hyperlink" Target="https://docs.google.com/document/d/1GGxNyt9MBnblp9Zx3L_z8an_bzsgGlS6W15cDVnm3fk/edit?usp=drivesdk" TargetMode="External"/><Relationship Id="rId67" Type="http://schemas.openxmlformats.org/officeDocument/2006/relationships/hyperlink" Target="https://docs.google.com/document/d/1jQ1Oq7IYAKkafOHydGGQLYmkCHw1ud0uqub5wzV9okc/edit?usp=drivesdk" TargetMode="External"/><Relationship Id="rId272" Type="http://schemas.openxmlformats.org/officeDocument/2006/relationships/hyperlink" Target="https://docs.google.com/document/d/1tRygHe_g-Mb2L8SiXS2htKn66bxuHvsx3mLZX6RrvRw/edit?usp=drivesdk" TargetMode="External"/><Relationship Id="rId293" Type="http://schemas.openxmlformats.org/officeDocument/2006/relationships/hyperlink" Target="https://docs.google.com/document/d/1vh9SYwexF7o-MJsnwZb4b3TupfyrNa39KjhqGok5m9c/edit?usp=drivesdk" TargetMode="External"/><Relationship Id="rId307" Type="http://schemas.openxmlformats.org/officeDocument/2006/relationships/hyperlink" Target="https://docs.google.com/document/d/1i930KaeCQlWUDAixF0akElGqD6KN0UM1R3AMA3CzBgU/edit?usp=drivesdk" TargetMode="External"/><Relationship Id="rId328" Type="http://schemas.openxmlformats.org/officeDocument/2006/relationships/hyperlink" Target="https://docs.google.com/document/d/1PSs6PJxfHNvQL0Gdx2FpaTy-9EKgmxmmCEUvK9qcJiU/edit?usp=drivesdk" TargetMode="External"/><Relationship Id="rId349" Type="http://schemas.openxmlformats.org/officeDocument/2006/relationships/hyperlink" Target="https://docs.google.com/document/d/1A0N0MGKq44r4WVGGlz3AGJmeioeR0rtdAgdYTyR479E/edit?usp=drivesdk" TargetMode="External"/><Relationship Id="rId88" Type="http://schemas.openxmlformats.org/officeDocument/2006/relationships/hyperlink" Target="https://docs.google.com/document/d/1DymsQ1HeGPgIcWUJTZNcP4_6Zo3y4_qnZSDka3MTvQk/edit?usp=drivesdk" TargetMode="External"/><Relationship Id="rId111" Type="http://schemas.openxmlformats.org/officeDocument/2006/relationships/hyperlink" Target="https://docs.google.com/document/d/1n6ckOJjtT5Kbqv-5GwvO7IK8Y_xs2-jWe9dPvarxoEo/edit?usp=drivesdk" TargetMode="External"/><Relationship Id="rId132" Type="http://schemas.openxmlformats.org/officeDocument/2006/relationships/hyperlink" Target="https://docs.google.com/document/d/1BEemg3yUgKS4kZmHueWdHy0Eq3TwI6BuvwXCR9oCHpE/edit?usp=drivesdk" TargetMode="External"/><Relationship Id="rId153" Type="http://schemas.openxmlformats.org/officeDocument/2006/relationships/hyperlink" Target="https://docs.google.com/document/d/1ZNjLR5XjuWTsIS-2tFfq5tQYsgGh-MACWxn2ZoDEOuU/edit?usp=drivesdk" TargetMode="External"/><Relationship Id="rId174" Type="http://schemas.openxmlformats.org/officeDocument/2006/relationships/hyperlink" Target="https://docs.google.com/document/d/1UytU1qoyfwDOxvXCNFzuyxYJSlOMrr0F6BOQspPMTz0/edit?usp=drivesdk" TargetMode="External"/><Relationship Id="rId195" Type="http://schemas.openxmlformats.org/officeDocument/2006/relationships/hyperlink" Target="https://docs.google.com/document/d/1SXZqdzN-q45bqHiSwks60gp_1yChmg6o0A3CtR_bRFY/edit?usp=drivesdk" TargetMode="External"/><Relationship Id="rId209" Type="http://schemas.openxmlformats.org/officeDocument/2006/relationships/hyperlink" Target="https://docs.google.com/document/d/1XZEg-gWWPTOj9opQYdpz_9DxyzyU6y5Gp45RZpWYD4Q/edit?usp=drivesdk" TargetMode="External"/><Relationship Id="rId360" Type="http://schemas.openxmlformats.org/officeDocument/2006/relationships/hyperlink" Target="https://docs.google.com/document/d/1CnmyIB1CMEK3y8oTsG8VVvIk28_ZM3rcS_hbz0BaXpM/edit?usp=drivesdk" TargetMode="External"/><Relationship Id="rId381" Type="http://schemas.openxmlformats.org/officeDocument/2006/relationships/hyperlink" Target="https://docs.google.com/document/d/15j64OI3l-9JOaYM-CSUcSma3Xa3KxC0IETHE3a7jyMY/edit?usp=drivesdk" TargetMode="External"/><Relationship Id="rId220" Type="http://schemas.openxmlformats.org/officeDocument/2006/relationships/hyperlink" Target="https://docs.google.com/document/d/1itUqLCg4quoRnKKQPLsV-rj3IX1_eBmEhbjlCHZeqlc/edit?usp=drivesdk" TargetMode="External"/><Relationship Id="rId241" Type="http://schemas.openxmlformats.org/officeDocument/2006/relationships/hyperlink" Target="https://docs.google.com/document/d/1L1BhSBkasbBc33FaIlGEUy1QJoKlaM_Jtc_EQeyB6rE/edit?usp=drivesdk" TargetMode="External"/><Relationship Id="rId15" Type="http://schemas.openxmlformats.org/officeDocument/2006/relationships/hyperlink" Target="https://drive.google.com/a/gtmnerr.org/file/d/1iSoKHDcZ4JzQNG4JwzRoVeKu0BXy7IBM/view?usp=drivesdk" TargetMode="External"/><Relationship Id="rId36" Type="http://schemas.openxmlformats.org/officeDocument/2006/relationships/hyperlink" Target="https://docs.google.com/document/d/1As9djMbo-ypJ-TIGH9yy3dPkMxR0WI1KMjZ3T-YgY3o/edit?usp=drivesdk" TargetMode="External"/><Relationship Id="rId57" Type="http://schemas.openxmlformats.org/officeDocument/2006/relationships/hyperlink" Target="https://docs.google.com/document/d/1segsGRdC7iRishkJwC9X3suCxEE9-PDWq8OEnJz3WW4/edit?usp=drivesdk" TargetMode="External"/><Relationship Id="rId262" Type="http://schemas.openxmlformats.org/officeDocument/2006/relationships/hyperlink" Target="https://docs.google.com/document/d/1Q9ML7tL-eCbAh36Z_OcvQHcpvugY7Asf2P4_F6COnTE/edit?usp=drivesdk" TargetMode="External"/><Relationship Id="rId283" Type="http://schemas.openxmlformats.org/officeDocument/2006/relationships/hyperlink" Target="https://docs.google.com/document/d/1dCEu2hsgN4CNpOXcvJv99aq_Gid7YoqeBDIpSpkQ4nU/edit?usp=drivesdk" TargetMode="External"/><Relationship Id="rId318" Type="http://schemas.openxmlformats.org/officeDocument/2006/relationships/hyperlink" Target="https://docs.google.com/document/d/1dcxw6xlXtPDlo4G3zVliHM7eYEMWU9U5ZU03DGzm4Y4/edit?usp=drivesdk" TargetMode="External"/><Relationship Id="rId339" Type="http://schemas.openxmlformats.org/officeDocument/2006/relationships/hyperlink" Target="https://docs.google.com/document/d/113DLTrCCyaw_Y3on57xBfNQ45zZm907eJeve6z6J0rk/edit?usp=drivesdk" TargetMode="External"/><Relationship Id="rId78" Type="http://schemas.openxmlformats.org/officeDocument/2006/relationships/hyperlink" Target="https://docs.google.com/document/d/15JSaSCbxrJwu6kwkLTnDA9-lYy2XQUHFjS2JiRUKLGM/edit?usp=drivesdk" TargetMode="External"/><Relationship Id="rId99" Type="http://schemas.openxmlformats.org/officeDocument/2006/relationships/hyperlink" Target="https://docs.google.com/document/d/1UoUokpEmpx5df0h6r4uANvSRcZZUW8I676NwUPCYPfg/edit?usp=drivesdk" TargetMode="External"/><Relationship Id="rId101" Type="http://schemas.openxmlformats.org/officeDocument/2006/relationships/hyperlink" Target="https://docs.google.com/document/d/1ERbNqlmZ7cO96gpNW3hInnDf7lFEo276aaUSKUXyTaw/edit?usp=drivesdk" TargetMode="External"/><Relationship Id="rId122" Type="http://schemas.openxmlformats.org/officeDocument/2006/relationships/hyperlink" Target="https://docs.google.com/document/d/1cwuPEokQaH8ROzsr7i8PtwhzKFzoCSG6aC6VvMPnr4c/edit?usp=drivesdk" TargetMode="External"/><Relationship Id="rId143" Type="http://schemas.openxmlformats.org/officeDocument/2006/relationships/hyperlink" Target="https://docs.google.com/document/d/1h91QH6PngBZUaCNZ-MO08urM96IecrjSB_niSTukIOo/edit?usp=drivesdk" TargetMode="External"/><Relationship Id="rId164" Type="http://schemas.openxmlformats.org/officeDocument/2006/relationships/hyperlink" Target="https://docs.google.com/document/d/17M5r-E0k9v_FKlTFq_QQgPbH7eVdZ0U53IGJR24U6D0/edit?usp=drivesdk" TargetMode="External"/><Relationship Id="rId185" Type="http://schemas.openxmlformats.org/officeDocument/2006/relationships/hyperlink" Target="https://docs.google.com/document/d/1YjoS9sKmNES22k8xi23oxX83WayzKLWesHbnmpWte98/edit?usp=drivesdk" TargetMode="External"/><Relationship Id="rId350" Type="http://schemas.openxmlformats.org/officeDocument/2006/relationships/hyperlink" Target="https://docs.google.com/document/d/1yjBfH6H6zIFAi5tn-uHL0_Gz62OBYgYXcoJvx0NpG70/edit?usp=drivesdk" TargetMode="External"/><Relationship Id="rId371" Type="http://schemas.openxmlformats.org/officeDocument/2006/relationships/hyperlink" Target="https://docs.google.com/document/d/1QYU0K6Bg_b60Qb0JUgvwx83i12Fa5B9QcOUKDlg8KR4/edit?usp=drivesdk" TargetMode="External"/><Relationship Id="rId406" Type="http://schemas.openxmlformats.org/officeDocument/2006/relationships/hyperlink" Target="https://docs.google.com/document/d/1IKbSBBabOKlmi4SgTvDk2__OUMhoNNZui34H6pmKKbs/edit?usp=drivesdk" TargetMode="External"/><Relationship Id="rId9" Type="http://schemas.openxmlformats.org/officeDocument/2006/relationships/hyperlink" Target="https://drive.google.com/a/gtmnerr.org/file/d/1CqRffsFMJFT8y9LOWdRzM3m5rD9ZeP2D/view?usp=drivesdk" TargetMode="External"/><Relationship Id="rId210" Type="http://schemas.openxmlformats.org/officeDocument/2006/relationships/hyperlink" Target="https://docs.google.com/document/d/14k-y4LM7_8qVmY3d7q2kykDV05hX-vJ64NitEnXnQnc/edit?usp=drivesdk" TargetMode="External"/><Relationship Id="rId392" Type="http://schemas.openxmlformats.org/officeDocument/2006/relationships/hyperlink" Target="https://docs.google.com/document/d/1osvIdgKYUEM3b9J7rEXHR3TOqEWzRRqJwFNEr4ZGZwk/edit?usp=drivesdk" TargetMode="External"/><Relationship Id="rId26" Type="http://schemas.openxmlformats.org/officeDocument/2006/relationships/hyperlink" Target="https://docs.google.com/document/d/1pqxIs0u3K7GhvcOKvyC8IjsZWvGnhWY4BbRyjvR0EHs/edit?usp=drivesdk" TargetMode="External"/><Relationship Id="rId231" Type="http://schemas.openxmlformats.org/officeDocument/2006/relationships/hyperlink" Target="https://docs.google.com/document/d/1SSjQWnl-mwCpqOXHeWdGBalJD7IGHDPVfgJa0kDIzdE/edit?usp=drivesdk" TargetMode="External"/><Relationship Id="rId252" Type="http://schemas.openxmlformats.org/officeDocument/2006/relationships/hyperlink" Target="https://docs.google.com/document/d/1vdwGK0Z5I5-j4ULO9LCgVjXiYeUTqd_O3ikT0-SRIwA/edit?usp=drivesdk" TargetMode="External"/><Relationship Id="rId273" Type="http://schemas.openxmlformats.org/officeDocument/2006/relationships/hyperlink" Target="https://docs.google.com/document/d/1pqnHvRBe93jYVA63NlfI2hkZWWO8LEXrZ0jP21_TsIw/edit?usp=drivesdk" TargetMode="External"/><Relationship Id="rId294" Type="http://schemas.openxmlformats.org/officeDocument/2006/relationships/hyperlink" Target="https://docs.google.com/document/d/1qfUcmR9cqqC24YrVwYMSNWmDE13w6gaXtQiKLuEI16A/edit?usp=drivesdk" TargetMode="External"/><Relationship Id="rId308" Type="http://schemas.openxmlformats.org/officeDocument/2006/relationships/hyperlink" Target="https://docs.google.com/document/d/1fsp2VE6J3eq1qlBaOs9_c3VwCKjWu0Kv5nHjHXrgkIw/edit?usp=drivesdk" TargetMode="External"/><Relationship Id="rId329" Type="http://schemas.openxmlformats.org/officeDocument/2006/relationships/hyperlink" Target="https://docs.google.com/document/d/1RWIKtoOaMeyPaIs4hJT3bwRUK1PkwCCzdMFo1k4GAxk/edit?usp=drivesdk" TargetMode="External"/><Relationship Id="rId47" Type="http://schemas.openxmlformats.org/officeDocument/2006/relationships/hyperlink" Target="https://docs.google.com/document/d/1Meihg5Jrur5EeX5nc6SpgFu2CqSqHvOVRaDjMu8Kzjw/edit?usp=drivesdk" TargetMode="External"/><Relationship Id="rId68" Type="http://schemas.openxmlformats.org/officeDocument/2006/relationships/hyperlink" Target="https://docs.google.com/document/d/1XiMLRnysfffxhmnRhmieWEnwz45lXHcfCtEJfVr3uy4/edit?usp=drivesdk" TargetMode="External"/><Relationship Id="rId89" Type="http://schemas.openxmlformats.org/officeDocument/2006/relationships/hyperlink" Target="https://docs.google.com/document/d/1M1nSKDRh8KbBXalT-n5-pUJ-LMgc4RpRlvCNRApVBRo/edit?usp=drivesdk" TargetMode="External"/><Relationship Id="rId112" Type="http://schemas.openxmlformats.org/officeDocument/2006/relationships/hyperlink" Target="https://docs.google.com/document/d/1Lmr6ukcytK5A4BRLAWOczZ0_erfF7eQyrndmyQl55_4/edit?usp=drivesdk" TargetMode="External"/><Relationship Id="rId133" Type="http://schemas.openxmlformats.org/officeDocument/2006/relationships/hyperlink" Target="https://docs.google.com/document/d/13L1BLRxELDJtkWSeTmCGPwxwpJo_bGihEn16D1Ndh94/edit?usp=drivesdk" TargetMode="External"/><Relationship Id="rId154" Type="http://schemas.openxmlformats.org/officeDocument/2006/relationships/hyperlink" Target="https://docs.google.com/document/d/1KDW4JIx-TDLtUs2oIxpu-004J3DLKclKRdUK1ysIZ4w/edit?usp=drivesdk" TargetMode="External"/><Relationship Id="rId175" Type="http://schemas.openxmlformats.org/officeDocument/2006/relationships/hyperlink" Target="https://docs.google.com/document/d/1WPXaA7dO7Ju4PLovG3d8P_hfoKL3mzHt2dO7NERh5Nc/edit?usp=drivesdk" TargetMode="External"/><Relationship Id="rId340" Type="http://schemas.openxmlformats.org/officeDocument/2006/relationships/hyperlink" Target="https://docs.google.com/document/d/1llt-6l9NzJX6gjQSBbMbdkVYI69LprJx27c3azv2kbo/edit?usp=drivesdk" TargetMode="External"/><Relationship Id="rId361" Type="http://schemas.openxmlformats.org/officeDocument/2006/relationships/hyperlink" Target="https://docs.google.com/document/d/1qxj8kHphmaIWg1tKrIOUvKkGlR3JL7DkmWriw0FlSr0/edit?usp=drivesdk" TargetMode="External"/><Relationship Id="rId196" Type="http://schemas.openxmlformats.org/officeDocument/2006/relationships/hyperlink" Target="https://docs.google.com/document/d/1gVI_jfcOWjzZEQMF4gbfgFQynt0Z5DO6MONlYJj8nUU/edit?usp=drivesdk" TargetMode="External"/><Relationship Id="rId200" Type="http://schemas.openxmlformats.org/officeDocument/2006/relationships/hyperlink" Target="https://docs.google.com/document/d/1-LNoiYtth3TFidddGkp-DIB0m_Gtbagw1nKdq4vBdXE/edit?usp=drivesdk" TargetMode="External"/><Relationship Id="rId382" Type="http://schemas.openxmlformats.org/officeDocument/2006/relationships/hyperlink" Target="https://docs.google.com/document/d/1BjOP-8VPoeoJ2NRkI-tiC7P49H282nx17wHC2CG2JIc/edit?usp=drivesdk" TargetMode="External"/><Relationship Id="rId16" Type="http://schemas.openxmlformats.org/officeDocument/2006/relationships/hyperlink" Target="https://drive.google.com/a/gtmnerr.org/file/d/1X-tbMcKrUC7VZG_2B5PruW_7lMpu_1vI/view?usp=drivesdk" TargetMode="External"/><Relationship Id="rId221" Type="http://schemas.openxmlformats.org/officeDocument/2006/relationships/hyperlink" Target="https://docs.google.com/document/d/1bAeE-YdJ3DaWyl_d93o31dCFP2fpmOBW8VVlRCpTtr8/edit?usp=drivesdk" TargetMode="External"/><Relationship Id="rId242" Type="http://schemas.openxmlformats.org/officeDocument/2006/relationships/hyperlink" Target="https://docs.google.com/document/d/1Dzim86Y4YGT_YVul2rHTGacthfweWnqj2ROmmM8TFk0/edit?usp=drivesdk" TargetMode="External"/><Relationship Id="rId263" Type="http://schemas.openxmlformats.org/officeDocument/2006/relationships/hyperlink" Target="https://docs.google.com/document/d/1T405mthEps_AdPOWw3Iy-nbrUnZ7A60jSwUoncMXVKg/edit?usp=drivesdk" TargetMode="External"/><Relationship Id="rId284" Type="http://schemas.openxmlformats.org/officeDocument/2006/relationships/hyperlink" Target="https://docs.google.com/document/d/1Nk9n5eyGbsbIoXNmGFa0tJ56gRlGDnbkMU66Pzi_7zQ/edit?usp=drivesdk" TargetMode="External"/><Relationship Id="rId319" Type="http://schemas.openxmlformats.org/officeDocument/2006/relationships/hyperlink" Target="https://docs.google.com/document/d/1jxJbOyJ-efuz4tHXDy8L3GTN2d42synPAf0a9KwhPj4/edit?usp=drivesdk" TargetMode="External"/><Relationship Id="rId37" Type="http://schemas.openxmlformats.org/officeDocument/2006/relationships/hyperlink" Target="https://docs.google.com/document/d/1ZYCXLV6gt2oXgWl9Ziwcxz8bjA1d5w_O5I7Ap6ZOB2M/edit?usp=drivesdk" TargetMode="External"/><Relationship Id="rId58" Type="http://schemas.openxmlformats.org/officeDocument/2006/relationships/hyperlink" Target="https://docs.google.com/document/d/1YErNHz-z5auJhRmMWf7quuIOf99gflm67GG5yE4XHtw/edit?usp=drivesdk" TargetMode="External"/><Relationship Id="rId79" Type="http://schemas.openxmlformats.org/officeDocument/2006/relationships/hyperlink" Target="https://docs.google.com/document/d/1Gyx9ROaTKWuy-76rkui4kE2dTnRUDtMTJAqKpXUVmj4/edit?usp=drivesdk" TargetMode="External"/><Relationship Id="rId102" Type="http://schemas.openxmlformats.org/officeDocument/2006/relationships/hyperlink" Target="https://docs.google.com/document/d/1Xqh3FggsY2bltRwZowLuBS6_e56PQHzyI4rVU95A2Zg/edit?usp=drivesdk" TargetMode="External"/><Relationship Id="rId123" Type="http://schemas.openxmlformats.org/officeDocument/2006/relationships/hyperlink" Target="https://docs.google.com/document/d/18a8HUQtBa0oDSzts9fdeoJSPbEzLp3lUXgyOK0PBc3I/edit?usp=drivesdk" TargetMode="External"/><Relationship Id="rId144" Type="http://schemas.openxmlformats.org/officeDocument/2006/relationships/hyperlink" Target="https://docs.google.com/document/d/1JRlYA77vV_VIb-S6I2VOgzFmlAaoJSMri79y4krYTeg/edit?usp=drivesdk" TargetMode="External"/><Relationship Id="rId330" Type="http://schemas.openxmlformats.org/officeDocument/2006/relationships/hyperlink" Target="https://docs.google.com/document/d/1KcgaayyBJ7F6uQm0nvdHRmo9_83OCOz8oj2qRca9CDM/edit?usp=drivesdk" TargetMode="External"/><Relationship Id="rId90" Type="http://schemas.openxmlformats.org/officeDocument/2006/relationships/hyperlink" Target="https://docs.google.com/document/d/18ANL2EAsbj-9X5mz0tRj4YzFgnSMdKPwDfVJotzLaHQ/edit?usp=drivesdk" TargetMode="External"/><Relationship Id="rId165" Type="http://schemas.openxmlformats.org/officeDocument/2006/relationships/hyperlink" Target="https://docs.google.com/document/d/1Hfjuh-87HyMgDwCqQ1yxd7fH8nLij__YzoKp6Zt-A88/edit?usp=drivesdk" TargetMode="External"/><Relationship Id="rId186" Type="http://schemas.openxmlformats.org/officeDocument/2006/relationships/hyperlink" Target="https://docs.google.com/document/d/1YiWcFq3l08V3qBUS4JCJ18wDAAtAadOsJGTbNWJ7y0o/edit?usp=drivesdk" TargetMode="External"/><Relationship Id="rId351" Type="http://schemas.openxmlformats.org/officeDocument/2006/relationships/hyperlink" Target="https://docs.google.com/document/d/1bJrBzE-p53jYgZXJ7d09hgLAWsK4ad1EDQSCTIFLbx8/edit?usp=drivesdk" TargetMode="External"/><Relationship Id="rId372" Type="http://schemas.openxmlformats.org/officeDocument/2006/relationships/hyperlink" Target="https://docs.google.com/document/d/1al6pBTAEsUyBSpAntmTSWLZzNIag_kw43aas-BmHQso/edit?usp=drivesdk" TargetMode="External"/><Relationship Id="rId393" Type="http://schemas.openxmlformats.org/officeDocument/2006/relationships/hyperlink" Target="https://docs.google.com/document/d/1Fqg_cuyQPGZb6fNX36CPl90RsxTwCIBXz0rmsCxC0Bw/edit?usp=drivesdk" TargetMode="External"/><Relationship Id="rId407" Type="http://schemas.openxmlformats.org/officeDocument/2006/relationships/hyperlink" Target="https://docs.google.com/document/d/1qZ-a0BeL3hRyRq4l3YXrwKyyqKN5gkchWbLgF1XfHNo/edit?usp=drivesdk" TargetMode="External"/><Relationship Id="rId211" Type="http://schemas.openxmlformats.org/officeDocument/2006/relationships/hyperlink" Target="https://docs.google.com/document/d/1VxyoSgDSUY1xZ5RK1eus2n0CN5AUTnIlYoMgzyp0JHQ/edit?usp=drivesdk" TargetMode="External"/><Relationship Id="rId232" Type="http://schemas.openxmlformats.org/officeDocument/2006/relationships/hyperlink" Target="https://docs.google.com/document/d/13swHtX7gKJbnmI4FTAIM1Ytz2fAZaljKFxQgPpMXl7w/edit?usp=drivesdk" TargetMode="External"/><Relationship Id="rId253" Type="http://schemas.openxmlformats.org/officeDocument/2006/relationships/hyperlink" Target="https://docs.google.com/document/d/1ukzotZXuW2ove_jHqRm504KzOsplPkmvul8G0QbKoMY/edit?usp=drivesdk" TargetMode="External"/><Relationship Id="rId274" Type="http://schemas.openxmlformats.org/officeDocument/2006/relationships/hyperlink" Target="https://docs.google.com/document/d/1hNWRIRHrwQ2y_KjvuP6GF3lI-qpLwHP1zU8ba6Th2A8/edit?usp=drivesdk" TargetMode="External"/><Relationship Id="rId295" Type="http://schemas.openxmlformats.org/officeDocument/2006/relationships/hyperlink" Target="https://docs.google.com/document/d/1YLWiNhI8NozGXmYo5gZ2IVUl2kOr9Ek5uLEd8Mb9Y4s/edit?usp=drivesdk" TargetMode="External"/><Relationship Id="rId309" Type="http://schemas.openxmlformats.org/officeDocument/2006/relationships/hyperlink" Target="https://docs.google.com/document/d/1qfBh_O_GEYX9iCz3WJwlITP89zxKCd3VjFTCB8EEAZE/edit?usp=drivesdk" TargetMode="External"/><Relationship Id="rId27" Type="http://schemas.openxmlformats.org/officeDocument/2006/relationships/hyperlink" Target="https://docs.google.com/document/d/1o_kh_Z-U6_tGhTgiT0C3Z1YHstpG_03KK-kY2lq7ebs/edit?usp=drivesdk" TargetMode="External"/><Relationship Id="rId48" Type="http://schemas.openxmlformats.org/officeDocument/2006/relationships/hyperlink" Target="https://docs.google.com/document/d/1_BU8DyN37-pP7dXayBuVa2UgN4SSVZhJ2PswBb3iWpA/edit?usp=drivesdk" TargetMode="External"/><Relationship Id="rId69" Type="http://schemas.openxmlformats.org/officeDocument/2006/relationships/hyperlink" Target="https://docs.google.com/document/d/1qsBp188AIvYYa7bWDNtbtdNGEWYhVYQXnzAKQ6cwFU4/edit?usp=drivesdk" TargetMode="External"/><Relationship Id="rId113" Type="http://schemas.openxmlformats.org/officeDocument/2006/relationships/hyperlink" Target="https://docs.google.com/document/d/1O7zNwJ7tD7cHfDAv1vY8YMgIs28bfzrPCLqAZVh0D54/edit?usp=drivesdk" TargetMode="External"/><Relationship Id="rId134" Type="http://schemas.openxmlformats.org/officeDocument/2006/relationships/hyperlink" Target="https://docs.google.com/document/d/1XgPHyLVaetsiT9yAxWjsIn05pUXXzoUT6oXrjFlL0YY/edit?usp=drivesdk" TargetMode="External"/><Relationship Id="rId320" Type="http://schemas.openxmlformats.org/officeDocument/2006/relationships/hyperlink" Target="https://docs.google.com/document/d/1E9aNIH6mCOOIwAQV51kZmcxa6B48JuJxjrm7UDpXd2w/edit?usp=drivesdk" TargetMode="External"/><Relationship Id="rId80" Type="http://schemas.openxmlformats.org/officeDocument/2006/relationships/hyperlink" Target="https://docs.google.com/document/d/1B2B_zzU6VYd5JQ-56maF2bnECN2oN8ZVlQhWEyzl5pg/edit?usp=drivesdk" TargetMode="External"/><Relationship Id="rId155" Type="http://schemas.openxmlformats.org/officeDocument/2006/relationships/hyperlink" Target="https://docs.google.com/document/d/1Qu9mmZmTv01KNWghm6u4OGUV88UmBjkTWh1ifHFSkZg/edit?usp=drivesdk" TargetMode="External"/><Relationship Id="rId176" Type="http://schemas.openxmlformats.org/officeDocument/2006/relationships/hyperlink" Target="https://docs.google.com/document/d/1-6d6hvJWvO6BYtbO2WWaqb1in49kdbEkIdMZcbPaJuo/edit?usp=drivesdk" TargetMode="External"/><Relationship Id="rId197" Type="http://schemas.openxmlformats.org/officeDocument/2006/relationships/hyperlink" Target="https://docs.google.com/document/d/1IaxkgNOqPzkSPHLaQxOsCa-xiQoIeRtfPOqC3I0c1oI/edit?usp=drivesdk" TargetMode="External"/><Relationship Id="rId341" Type="http://schemas.openxmlformats.org/officeDocument/2006/relationships/hyperlink" Target="https://docs.google.com/document/d/1CvkBjFbxX2vq9UR6Nu2rTcNsfr1a8UDMyRu0D7wuXhg/edit?usp=drivesdk" TargetMode="External"/><Relationship Id="rId362" Type="http://schemas.openxmlformats.org/officeDocument/2006/relationships/hyperlink" Target="https://docs.google.com/document/d/1a_HZ0U1E4XkOCKRPrQgoKZZY19dqXs-pCBV4X0YTWX8/edit?usp=drivesdk" TargetMode="External"/><Relationship Id="rId383" Type="http://schemas.openxmlformats.org/officeDocument/2006/relationships/hyperlink" Target="https://docs.google.com/document/d/1_d5fECny22GGiNZdf1tqjhG5JV1OTtPAjBfXMp_UcRA/edit?usp=drivesdk" TargetMode="External"/><Relationship Id="rId201" Type="http://schemas.openxmlformats.org/officeDocument/2006/relationships/hyperlink" Target="https://docs.google.com/document/d/1BlhUooj52_5Yvz462SxTIX6_-Pjdb3OHBRmrvl_Ls6A/edit?usp=drivesdk" TargetMode="External"/><Relationship Id="rId222" Type="http://schemas.openxmlformats.org/officeDocument/2006/relationships/hyperlink" Target="https://docs.google.com/document/d/1f2_RdO7f651I6OZS4bfi5p2XdGlREoePCDX_MNDvHz0/edit?usp=drivesdk" TargetMode="External"/><Relationship Id="rId243" Type="http://schemas.openxmlformats.org/officeDocument/2006/relationships/hyperlink" Target="https://docs.google.com/document/d/1mBCEfKk4M0GnmEfttHkg7DYLU8NC9VAAZ_0zCFxBuws/edit?usp=drivesdk" TargetMode="External"/><Relationship Id="rId264" Type="http://schemas.openxmlformats.org/officeDocument/2006/relationships/hyperlink" Target="https://docs.google.com/document/d/1g4e1jL6_o4Bnaqlw071EP28KdZfsft1fTcxM7y5K3hY/edit?usp=drivesdk" TargetMode="External"/><Relationship Id="rId285" Type="http://schemas.openxmlformats.org/officeDocument/2006/relationships/hyperlink" Target="https://docs.google.com/document/d/1pj9crTN-CZHYzkL4JhT9dLlzLTPl3Fqv8RKEmTo6R1g/edit?usp=drivesdk" TargetMode="External"/><Relationship Id="rId17" Type="http://schemas.openxmlformats.org/officeDocument/2006/relationships/hyperlink" Target="https://docs.google.com/document/d/1lvnFSpiVYr6imjfOlWlxPW2ouTpS9jO0pAxu4_Njk7M/edit?usp=drivesdk" TargetMode="External"/><Relationship Id="rId38" Type="http://schemas.openxmlformats.org/officeDocument/2006/relationships/hyperlink" Target="https://docs.google.com/document/d/10nnniawQVtJWr1j6dGtxHYuaPvjUZS_oEzRZ6f249BE/edit?usp=drivesdk" TargetMode="External"/><Relationship Id="rId59" Type="http://schemas.openxmlformats.org/officeDocument/2006/relationships/hyperlink" Target="https://docs.google.com/document/d/1zx2ToY0GcjujicDXZiUTnvQUpIp0-oiJuQlUByUuEXk/edit?usp=drivesdk" TargetMode="External"/><Relationship Id="rId103" Type="http://schemas.openxmlformats.org/officeDocument/2006/relationships/hyperlink" Target="https://docs.google.com/document/d/1LabdHmssr2wUehcOV54gssrkT8MfwEnxZTasLs1gtgo/edit?usp=drivesdk" TargetMode="External"/><Relationship Id="rId124" Type="http://schemas.openxmlformats.org/officeDocument/2006/relationships/hyperlink" Target="https://docs.google.com/document/d/1o5u6URG4eEL0bZO7Pcc_tA0H2uas6Y_qmD-HJgPbqg4/edit?usp=drivesdk" TargetMode="External"/><Relationship Id="rId310" Type="http://schemas.openxmlformats.org/officeDocument/2006/relationships/hyperlink" Target="https://docs.google.com/document/d/1ZCXGxgcM0SMf47GDz2P2nEKQwWPen_IopWAdo9gZUe8/edit?usp=drivesdk" TargetMode="External"/><Relationship Id="rId70" Type="http://schemas.openxmlformats.org/officeDocument/2006/relationships/hyperlink" Target="https://docs.google.com/document/d/1StEQUgg0DdG61MF8-4mfq09rrv9NLcT7qfqHE2eQsnQ/edit?usp=drivesdk" TargetMode="External"/><Relationship Id="rId91" Type="http://schemas.openxmlformats.org/officeDocument/2006/relationships/hyperlink" Target="https://docs.google.com/document/d/1_xpbSdAQxiV952g8DEviihzsJ9JvdoIja7XikkzE2jM/edit?usp=drivesdk" TargetMode="External"/><Relationship Id="rId145" Type="http://schemas.openxmlformats.org/officeDocument/2006/relationships/hyperlink" Target="https://docs.google.com/document/d/1jLef7WH1ZWvUDuCPO5cYBeyKUgeRQ04zAG93ZEtwINk/edit?usp=drivesdk" TargetMode="External"/><Relationship Id="rId166" Type="http://schemas.openxmlformats.org/officeDocument/2006/relationships/hyperlink" Target="https://docs.google.com/document/d/1OdROVKVnWNppbGnZBe8XQx4EcpL1Z_wheLxqjEAAvaY/edit?usp=drivesdk" TargetMode="External"/><Relationship Id="rId187" Type="http://schemas.openxmlformats.org/officeDocument/2006/relationships/hyperlink" Target="https://docs.google.com/document/d/1urGKS6Hhgz61wxKnJxIwXPH6FT9q0n0PP04qBW5_huw/edit?usp=drivesdk" TargetMode="External"/><Relationship Id="rId331" Type="http://schemas.openxmlformats.org/officeDocument/2006/relationships/hyperlink" Target="https://docs.google.com/document/d/117UlOtSgj_kq7O1HZU85eiTPSysmyUGc-U29QvcaS3M/edit?usp=drivesdk" TargetMode="External"/><Relationship Id="rId352" Type="http://schemas.openxmlformats.org/officeDocument/2006/relationships/hyperlink" Target="https://docs.google.com/document/d/1DbejGbhJM7OWl5fFkV9jQyRGb9Sziytoa1OTAioADpQ/edit?usp=drivesdk" TargetMode="External"/><Relationship Id="rId373" Type="http://schemas.openxmlformats.org/officeDocument/2006/relationships/hyperlink" Target="https://docs.google.com/document/d/1n-LG2HTy2qCWVs8L1YdkpPeRR8p2QgvCem4gUFsY-ls/edit?usp=drivesdk" TargetMode="External"/><Relationship Id="rId394" Type="http://schemas.openxmlformats.org/officeDocument/2006/relationships/hyperlink" Target="https://docs.google.com/document/d/128yGHiKh6RHRa87fgjOY9jOg9ivCVWoJzv7lAX_ujHQ/edit?usp=drivesdk" TargetMode="External"/><Relationship Id="rId408" Type="http://schemas.openxmlformats.org/officeDocument/2006/relationships/hyperlink" Target="https://docs.google.com/document/d/1OPJyWfnlaorB8XlVsMWimPBNc-pOQRB-7mepBOTyZ_U/edit?usp=drivesdk" TargetMode="External"/><Relationship Id="rId1" Type="http://schemas.openxmlformats.org/officeDocument/2006/relationships/hyperlink" Target="https://drive.google.com/a/gtmnerr.org/file/d/1-xBJcM5t4rp1kF8CtiHFHCGIYOyemNCh/view?usp=drivesdk" TargetMode="External"/><Relationship Id="rId212" Type="http://schemas.openxmlformats.org/officeDocument/2006/relationships/hyperlink" Target="https://docs.google.com/document/d/1ySdWIilTOg-yyMQjktbgZWwdRIY5MumEp3vG29GzdsE/edit?usp=drivesdk" TargetMode="External"/><Relationship Id="rId233" Type="http://schemas.openxmlformats.org/officeDocument/2006/relationships/hyperlink" Target="https://docs.google.com/document/d/1iJsN9moJpH-rG7n8WmHd_EvVphFOsQgH3l5bndDInzo/edit?usp=drivesdk" TargetMode="External"/><Relationship Id="rId254" Type="http://schemas.openxmlformats.org/officeDocument/2006/relationships/hyperlink" Target="https://docs.google.com/document/d/1oHYrfxnlmihGFpWtZ-1v641ONBZilcpq2UIDfKsPFDs/edit?usp=drivesdk" TargetMode="External"/><Relationship Id="rId28" Type="http://schemas.openxmlformats.org/officeDocument/2006/relationships/hyperlink" Target="https://docs.google.com/document/d/15XlgdKXD7KIdSk2IIAY4JghUF2KIMnTCytAv-cTrJKA/edit?usp=drivesdk" TargetMode="External"/><Relationship Id="rId49" Type="http://schemas.openxmlformats.org/officeDocument/2006/relationships/hyperlink" Target="https://docs.google.com/document/d/1_99TZLD-k-C9EsSVpSJNccEWzt4WrxyVPB59pY1zq1c/edit?usp=drivesdk" TargetMode="External"/><Relationship Id="rId114" Type="http://schemas.openxmlformats.org/officeDocument/2006/relationships/hyperlink" Target="https://docs.google.com/document/d/1kJHcvyhgyIpKw8P9mBqauadO_E-MGaX1yx9HngVDcEU/edit?usp=drivesdk" TargetMode="External"/><Relationship Id="rId275" Type="http://schemas.openxmlformats.org/officeDocument/2006/relationships/hyperlink" Target="https://docs.google.com/document/d/1jQmJ2nmws9NbG4unV8L7tknjhGikOp5Wp60WoX0r9SU/edit?usp=drivesdk" TargetMode="External"/><Relationship Id="rId296" Type="http://schemas.openxmlformats.org/officeDocument/2006/relationships/hyperlink" Target="https://docs.google.com/document/d/1VJnXPJs-V6D3x8ovy_Zxak_KhMiACK6sxW9bc_Tpvk4/edit?usp=drivesdk" TargetMode="External"/><Relationship Id="rId300" Type="http://schemas.openxmlformats.org/officeDocument/2006/relationships/hyperlink" Target="https://docs.google.com/document/d/1d2XWI0EjkYtmDxCVNlEHb93pARhb9WKgiaWv_9QPQ1I/edit?usp=drivesdk" TargetMode="External"/><Relationship Id="rId60" Type="http://schemas.openxmlformats.org/officeDocument/2006/relationships/hyperlink" Target="https://docs.google.com/document/d/1KwWbRZ0rfVkD6cgG4sahSuTzc2waIBHIwhs9aelaYeM/edit?usp=drivesdk" TargetMode="External"/><Relationship Id="rId81" Type="http://schemas.openxmlformats.org/officeDocument/2006/relationships/hyperlink" Target="https://docs.google.com/document/d/1_Jz1cLc_0eyZ6COebIUYyR_BuSj6Ej0LPmwxx-PUG2s/edit?usp=drivesdk" TargetMode="External"/><Relationship Id="rId135" Type="http://schemas.openxmlformats.org/officeDocument/2006/relationships/hyperlink" Target="https://docs.google.com/document/d/19y2xBdaEYRCaUdOVOFVL8R13UVTXTgDmuMIsfnSUrpc/edit?usp=drivesdk" TargetMode="External"/><Relationship Id="rId156" Type="http://schemas.openxmlformats.org/officeDocument/2006/relationships/hyperlink" Target="https://docs.google.com/document/d/1Piq9pUUSz179ys6kT1N1gc9p86TbMAxgV-Uv5HnwE5E/edit?usp=drivesdk" TargetMode="External"/><Relationship Id="rId177" Type="http://schemas.openxmlformats.org/officeDocument/2006/relationships/hyperlink" Target="https://docs.google.com/document/d/1GVAYZH_XWuygN1DJkmLahy2vWDXRXeAZcQd7hsb812o/edit?usp=drivesdk" TargetMode="External"/><Relationship Id="rId198" Type="http://schemas.openxmlformats.org/officeDocument/2006/relationships/hyperlink" Target="https://docs.google.com/document/d/17RQ4Ys5vhUgH_js1ld3jCjcGkUV1G8rZmkNP458_zYM/edit?usp=drivesdk" TargetMode="External"/><Relationship Id="rId321" Type="http://schemas.openxmlformats.org/officeDocument/2006/relationships/hyperlink" Target="https://docs.google.com/document/d/1UHxq4c6sGkIXHA_Cj_Kx_dd2yABgFStnfCZ4va8AwCQ/edit?usp=drivesdk" TargetMode="External"/><Relationship Id="rId342" Type="http://schemas.openxmlformats.org/officeDocument/2006/relationships/hyperlink" Target="https://docs.google.com/document/d/11x0CkR3ktEFIujcLW_1aRWhBz7-fh-ehKWEqiRQ6-Bs/edit?usp=drivesdk" TargetMode="External"/><Relationship Id="rId363" Type="http://schemas.openxmlformats.org/officeDocument/2006/relationships/hyperlink" Target="https://docs.google.com/document/d/1JowoqJjlGGOkTTrpZAL3e8PWLUS-yZZHWCQCIh7zT0w/edit?usp=drivesdk" TargetMode="External"/><Relationship Id="rId384" Type="http://schemas.openxmlformats.org/officeDocument/2006/relationships/hyperlink" Target="https://docs.google.com/document/d/1prWMueONgldddFzfRPQ9ygSaRH4jgTMVx9qL2sHIQOE/edit?usp=drivesdk" TargetMode="External"/><Relationship Id="rId202" Type="http://schemas.openxmlformats.org/officeDocument/2006/relationships/hyperlink" Target="https://docs.google.com/document/d/1wCwibueR_wcJviqe1JCJpLlTRhJP87kkXm9YSbcKdXU/edit?usp=drivesdk" TargetMode="External"/><Relationship Id="rId223" Type="http://schemas.openxmlformats.org/officeDocument/2006/relationships/hyperlink" Target="https://docs.google.com/document/d/1vjgkI4Lfj1nbvK_7qvSxeRdAub1lhBKrshH59fnzSM4/edit?usp=drivesdk" TargetMode="External"/><Relationship Id="rId244" Type="http://schemas.openxmlformats.org/officeDocument/2006/relationships/hyperlink" Target="https://docs.google.com/document/d/1hBWPvOMDWDX1__sfEInbaoUfl4W3yrdgE2duMe0b6N8/edit?usp=drivesdk" TargetMode="External"/><Relationship Id="rId18" Type="http://schemas.openxmlformats.org/officeDocument/2006/relationships/hyperlink" Target="https://docs.google.com/document/d/1yuciw9UAQC0hXjE6C7ODRboAy7GXEhKwmAu3V1IstVw/edit?usp=drivesdk" TargetMode="External"/><Relationship Id="rId39" Type="http://schemas.openxmlformats.org/officeDocument/2006/relationships/hyperlink" Target="https://docs.google.com/document/d/1_HH9Z8-j5vEDahK3SVVb5cw1dwoAO7QFzxqAWGE-CnI/edit?usp=drivesdk" TargetMode="External"/><Relationship Id="rId265" Type="http://schemas.openxmlformats.org/officeDocument/2006/relationships/hyperlink" Target="https://docs.google.com/document/d/1vkQaUeNfFpD_o02fHgg_xTiGVFe9jSGR2yTxiIOVFIE/edit?usp=drivesdk" TargetMode="External"/><Relationship Id="rId286" Type="http://schemas.openxmlformats.org/officeDocument/2006/relationships/hyperlink" Target="https://docs.google.com/document/d/14h26rC8fooKg2LUPrRqgDafgqZqTt7bXcBEoYTV6AwQ/edit?usp=drivesdk" TargetMode="External"/><Relationship Id="rId50" Type="http://schemas.openxmlformats.org/officeDocument/2006/relationships/hyperlink" Target="https://docs.google.com/document/d/1OT1kes3CIgU0ZoBNEpPtzP0zZ3y229Cg9-mTm6wn5UM/edit?usp=drivesdk" TargetMode="External"/><Relationship Id="rId104" Type="http://schemas.openxmlformats.org/officeDocument/2006/relationships/hyperlink" Target="https://docs.google.com/document/d/1q53uSpEdchRnj-Rtxaj4hDDzRXe32da2SRUUmKfdEYs/edit?usp=drivesdk" TargetMode="External"/><Relationship Id="rId125" Type="http://schemas.openxmlformats.org/officeDocument/2006/relationships/hyperlink" Target="https://docs.google.com/document/d/13cBA5zcD8QJszQ_sgnLYt3r_hQFmNxCM9ctlDrF2yaI/edit?usp=drivesdk" TargetMode="External"/><Relationship Id="rId146" Type="http://schemas.openxmlformats.org/officeDocument/2006/relationships/hyperlink" Target="https://docs.google.com/document/d/1LuCtXJrW5W_uDwtAy3HfcI7oOa4lD8iG7UzSamPCoDk/edit?usp=drivesdk" TargetMode="External"/><Relationship Id="rId167" Type="http://schemas.openxmlformats.org/officeDocument/2006/relationships/hyperlink" Target="https://docs.google.com/document/d/19Pl4hL-nT5KCVnZ4JEMGc1icTwYZpi4m7pzITqh2Uto/edit?usp=drivesdk" TargetMode="External"/><Relationship Id="rId188" Type="http://schemas.openxmlformats.org/officeDocument/2006/relationships/hyperlink" Target="https://docs.google.com/document/d/1Uul-M4yHrQoQPnrQFZYN9DfqLTVHhiUvwWZpw-wNmWI/edit?usp=drivesdk" TargetMode="External"/><Relationship Id="rId311" Type="http://schemas.openxmlformats.org/officeDocument/2006/relationships/hyperlink" Target="https://docs.google.com/document/d/1fe-2hVqu4qRXiK7uZpdjNWbt09bbNO2CMjpLNLRqic4/edit?usp=drivesdk" TargetMode="External"/><Relationship Id="rId332" Type="http://schemas.openxmlformats.org/officeDocument/2006/relationships/hyperlink" Target="https://docs.google.com/document/d/1sG4FS2pAmky1WC9QNvN3opCN2KZ3liAWKRz-jnsPPrY/edit?usp=drivesdk" TargetMode="External"/><Relationship Id="rId353" Type="http://schemas.openxmlformats.org/officeDocument/2006/relationships/hyperlink" Target="https://docs.google.com/document/d/1qIaFzaKCnPb1lZek9agDPwVAvyZMEizaSV_xR-V6yDE/edit?usp=drivesdk" TargetMode="External"/><Relationship Id="rId374" Type="http://schemas.openxmlformats.org/officeDocument/2006/relationships/hyperlink" Target="https://docs.google.com/document/d/1Y7vwOzLhn0eXI5u7d9d732R4pzu7_c-q0K5-TwlcbW0/edit?usp=drivesdk" TargetMode="External"/><Relationship Id="rId395" Type="http://schemas.openxmlformats.org/officeDocument/2006/relationships/hyperlink" Target="https://docs.google.com/document/d/17Sljgu1FaFjQKGdaD1c81vRCgs0R4l8zXXHwviylLbc/edit?usp=drivesdk" TargetMode="External"/><Relationship Id="rId409" Type="http://schemas.openxmlformats.org/officeDocument/2006/relationships/hyperlink" Target="https://docs.google.com/document/d/1LC1IYvAnDIH6sgJDDdHDIbOJPCKDdI8tSBH5EYeaN9I/edit?usp=drivesdk" TargetMode="External"/><Relationship Id="rId71" Type="http://schemas.openxmlformats.org/officeDocument/2006/relationships/hyperlink" Target="https://docs.google.com/document/d/1fdR1XrqTv5cgCvbuRnVbbi9FDd6k8Mk-S0hm8LSStSE/edit?usp=drivesdk" TargetMode="External"/><Relationship Id="rId92" Type="http://schemas.openxmlformats.org/officeDocument/2006/relationships/hyperlink" Target="https://docs.google.com/document/d/1CEf7cA2GIPp1xy65JDmnWfxQvW39taVTsOsaX1Ue6ho/edit?usp=drivesdk" TargetMode="External"/><Relationship Id="rId213" Type="http://schemas.openxmlformats.org/officeDocument/2006/relationships/hyperlink" Target="https://docs.google.com/document/d/1CUCpLehHRWB0zqBa_QILwFpQoJRVitx2XHWrEXyFSLw/edit?usp=drivesdk" TargetMode="External"/><Relationship Id="rId234" Type="http://schemas.openxmlformats.org/officeDocument/2006/relationships/hyperlink" Target="https://docs.google.com/document/d/1THJY9npUUObsa_EIxEJih_JhyMtxohl0xQnwoTdyRVE/edit?usp=drivesdk" TargetMode="External"/><Relationship Id="rId2" Type="http://schemas.openxmlformats.org/officeDocument/2006/relationships/hyperlink" Target="https://drive.google.com/a/gtmnerr.org/file/d/1PoGr328HmybT9p6Khc3j48PbR5wcYaea/view?usp=drivesdk" TargetMode="External"/><Relationship Id="rId29" Type="http://schemas.openxmlformats.org/officeDocument/2006/relationships/hyperlink" Target="https://docs.google.com/document/d/1v2wrRH98Mb6W56K8yPZheM1Zp9pKLMkjPI3HLleM2-E/edit?usp=drivesdk" TargetMode="External"/><Relationship Id="rId255" Type="http://schemas.openxmlformats.org/officeDocument/2006/relationships/hyperlink" Target="https://docs.google.com/document/d/1j4CjBxVsEV7eiXaAaDkQ54i3LKlo5QbAlHvFo8FQYLI/edit?usp=drivesdk" TargetMode="External"/><Relationship Id="rId276" Type="http://schemas.openxmlformats.org/officeDocument/2006/relationships/hyperlink" Target="https://docs.google.com/document/d/1nwRxq9QzMWOE6F4rVgHmRuocKZ9SkDOahsobebfl3uQ/edit?usp=drivesdk" TargetMode="External"/><Relationship Id="rId297" Type="http://schemas.openxmlformats.org/officeDocument/2006/relationships/hyperlink" Target="https://docs.google.com/document/d/1LBlWKL2pKmxOCG6VVr5KzjV_Qs6EWYJnMRPZXBuCHyY/edit?usp=drivesdk" TargetMode="External"/><Relationship Id="rId40" Type="http://schemas.openxmlformats.org/officeDocument/2006/relationships/hyperlink" Target="https://docs.google.com/document/d/1xPjlL2XpuJuVs9bhlQHaVaBJvaUVRrAiSl6QpD-EBQQ/edit?usp=drivesdk" TargetMode="External"/><Relationship Id="rId115" Type="http://schemas.openxmlformats.org/officeDocument/2006/relationships/hyperlink" Target="https://docs.google.com/document/d/1hlaZ7sS4mysE6nV8d7dJ53WrBvYx2rjjVBaLtrkEUXE/edit?usp=drivesdk" TargetMode="External"/><Relationship Id="rId136" Type="http://schemas.openxmlformats.org/officeDocument/2006/relationships/hyperlink" Target="https://docs.google.com/document/d/1cZCSPnwhRfGhAyk0zgxcNQFgvBFuINflyXPMCG46zK4/edit?usp=drivesdk" TargetMode="External"/><Relationship Id="rId157" Type="http://schemas.openxmlformats.org/officeDocument/2006/relationships/hyperlink" Target="https://docs.google.com/document/d/1yRmCu21DibXxTmzuabRnKsTEkg4ImN6YDeiFUo9b1mQ/edit?usp=drivesdk" TargetMode="External"/><Relationship Id="rId178" Type="http://schemas.openxmlformats.org/officeDocument/2006/relationships/hyperlink" Target="https://docs.google.com/document/d/1A8RL1csPx-oiXdee1EdEvumxx2HabklDEO-iwGQ4XE4/edit?usp=drivesdk" TargetMode="External"/><Relationship Id="rId301" Type="http://schemas.openxmlformats.org/officeDocument/2006/relationships/hyperlink" Target="https://docs.google.com/document/d/1O2axMQA5xDTQpskdWm80p09JuUPVL5tfWcrGdGzBO5k/edit?usp=drivesdk" TargetMode="External"/><Relationship Id="rId322" Type="http://schemas.openxmlformats.org/officeDocument/2006/relationships/hyperlink" Target="https://docs.google.com/document/d/1nsjrzaiK-XGxSSZHB42jsZNNYxbyV3RJtQXB9v-oEB4/edit?usp=drivesdk" TargetMode="External"/><Relationship Id="rId343" Type="http://schemas.openxmlformats.org/officeDocument/2006/relationships/hyperlink" Target="https://docs.google.com/document/d/1waXJaaxuMbyg-WQ34-bf7iNATV2Cu-MmkLtMWtKzsvc/edit?usp=drivesdk" TargetMode="External"/><Relationship Id="rId364" Type="http://schemas.openxmlformats.org/officeDocument/2006/relationships/hyperlink" Target="https://docs.google.com/document/d/1Weo71KyE42pJv6eQho_VuZl_I_N1oT_tQDYaPUWJgXg/edit?usp=drivesdk" TargetMode="External"/><Relationship Id="rId61" Type="http://schemas.openxmlformats.org/officeDocument/2006/relationships/hyperlink" Target="https://docs.google.com/document/d/18sH7tpcvRVPrnvu5INSV_e-yIKj2uGcQozGVLnx_pZU/edit?usp=drivesdk" TargetMode="External"/><Relationship Id="rId82" Type="http://schemas.openxmlformats.org/officeDocument/2006/relationships/hyperlink" Target="https://docs.google.com/document/d/1hYRN2pBVHw4Yusqyy9lepzKzhEppwr8z0-qaMhE2DYQ/edit?usp=drivesdk" TargetMode="External"/><Relationship Id="rId199" Type="http://schemas.openxmlformats.org/officeDocument/2006/relationships/hyperlink" Target="https://docs.google.com/document/d/1sp3x5m3NjyONG81qm62pZZCQIhwJORfCMNu2kAoMkJc/edit?usp=drivesdk" TargetMode="External"/><Relationship Id="rId203" Type="http://schemas.openxmlformats.org/officeDocument/2006/relationships/hyperlink" Target="https://docs.google.com/document/d/1ashMolhPpUl0A5fQ5JeXWD9xog1UFTWMtXS3rIJnr9I/edit?usp=drivesdk" TargetMode="External"/><Relationship Id="rId385" Type="http://schemas.openxmlformats.org/officeDocument/2006/relationships/hyperlink" Target="https://docs.google.com/document/d/15IRTJxlG3VjfsXhPDtxtYTDiALUXkRoyVsHI6xd9aOE/edit?usp=drivesdk" TargetMode="External"/><Relationship Id="rId19" Type="http://schemas.openxmlformats.org/officeDocument/2006/relationships/hyperlink" Target="https://docs.google.com/document/d/1xUIhT2sRTDOWmpUEFwaZu47fXh5-6Kw9MpWVOIypX_Y/edit?usp=drivesdk" TargetMode="External"/><Relationship Id="rId224" Type="http://schemas.openxmlformats.org/officeDocument/2006/relationships/hyperlink" Target="https://docs.google.com/document/d/1Yt2HD3iejFIbR5_nzxBX4oSXL467Y0dEFPeCK--9RKY/edit?usp=drivesdk" TargetMode="External"/><Relationship Id="rId245" Type="http://schemas.openxmlformats.org/officeDocument/2006/relationships/hyperlink" Target="https://docs.google.com/document/d/1dGjXr-f0fBAgpju4CycNigpwZYO7y6akkSw-DyY80Hg/edit?usp=drivesdk" TargetMode="External"/><Relationship Id="rId266" Type="http://schemas.openxmlformats.org/officeDocument/2006/relationships/hyperlink" Target="https://docs.google.com/document/d/1gYNhicIovTf1c9Zf3C3aODQwJQQizjlNU7MM4uM7Cq8/edit?usp=drivesdk" TargetMode="External"/><Relationship Id="rId287" Type="http://schemas.openxmlformats.org/officeDocument/2006/relationships/hyperlink" Target="https://docs.google.com/document/d/1vYPfTu_pYzTS1kX81IUb2Yn5ePGYoFRClmcO458xK2w/edit?usp=drivesdk" TargetMode="External"/><Relationship Id="rId410" Type="http://schemas.openxmlformats.org/officeDocument/2006/relationships/hyperlink" Target="https://docs.google.com/document/d/1txL1NkJIk-erA6B1p-O-zeeuqlFx5VgDXw_om0hByYQ/edit?usp=drivesdk" TargetMode="External"/><Relationship Id="rId30" Type="http://schemas.openxmlformats.org/officeDocument/2006/relationships/hyperlink" Target="https://docs.google.com/document/d/1v_EdmdvVGzhAN3sdHRshOKc3HcBBu2-dgl8Cd4de5UM/edit?usp=drivesdk" TargetMode="External"/><Relationship Id="rId105" Type="http://schemas.openxmlformats.org/officeDocument/2006/relationships/hyperlink" Target="https://docs.google.com/document/d/1-b6Gewks7v19ieHsXcoC8h0jDEWW_u_gOcnr1iFkHVU/edit?usp=drivesdk" TargetMode="External"/><Relationship Id="rId126" Type="http://schemas.openxmlformats.org/officeDocument/2006/relationships/hyperlink" Target="https://docs.google.com/document/d/1LQqlIwHGCF52aRRtJim0ILCgeeS8U4NH2xgD9iHPfTc/edit?usp=drivesdk" TargetMode="External"/><Relationship Id="rId147" Type="http://schemas.openxmlformats.org/officeDocument/2006/relationships/hyperlink" Target="https://docs.google.com/document/d/165OlHMSD7QQspuLihMnA4iOz0DUxDdUqPxfmQ1cBeNs/edit?usp=drivesdk" TargetMode="External"/><Relationship Id="rId168" Type="http://schemas.openxmlformats.org/officeDocument/2006/relationships/hyperlink" Target="https://docs.google.com/document/d/1i7gzGMRtKsIfqsAqJWP2driUwJ2sHFfr9kkmwR3CAzc/edit?usp=drivesdk" TargetMode="External"/><Relationship Id="rId312" Type="http://schemas.openxmlformats.org/officeDocument/2006/relationships/hyperlink" Target="https://docs.google.com/document/d/1MyR0KwbVK6DLOQXHSWopn30pPwPKufzUXd-DVwHJfoc/edit?usp=drivesdk" TargetMode="External"/><Relationship Id="rId333" Type="http://schemas.openxmlformats.org/officeDocument/2006/relationships/hyperlink" Target="https://docs.google.com/document/d/17k__OhYheTr3nYbx5FarCqsKPH8rt5B5IyLMdHihyxo/edit?usp=drivesdk" TargetMode="External"/><Relationship Id="rId354" Type="http://schemas.openxmlformats.org/officeDocument/2006/relationships/hyperlink" Target="https://docs.google.com/document/d/1Z3xYCrnpat_lvHHxFDMS8j1Zd0EyO6PwPk4_SrgvZEg/edit?usp=drivesdk" TargetMode="External"/><Relationship Id="rId51" Type="http://schemas.openxmlformats.org/officeDocument/2006/relationships/hyperlink" Target="https://docs.google.com/document/d/1f4rCTUh5g2HKvT37iHIzLi2xkFwrlxrV8ZlB-EPRd_0/edit?usp=drivesdk" TargetMode="External"/><Relationship Id="rId72" Type="http://schemas.openxmlformats.org/officeDocument/2006/relationships/hyperlink" Target="https://docs.google.com/document/d/1B6fzv88D5-nJ8bnEEW7BlQPXBFnv4G5EWzrYGS9Jm9w/edit?usp=drivesdk" TargetMode="External"/><Relationship Id="rId93" Type="http://schemas.openxmlformats.org/officeDocument/2006/relationships/hyperlink" Target="https://docs.google.com/document/d/1_f4X9tN9ILtz5QvdB_rIlrFD1AFhQW601asBRe7AfEg/edit?usp=drivesdk" TargetMode="External"/><Relationship Id="rId189" Type="http://schemas.openxmlformats.org/officeDocument/2006/relationships/hyperlink" Target="https://docs.google.com/document/d/11wDe1iSta-uPiSj3aBwpM_PUcVB86619YC5CLL_mQ-I/edit?usp=drivesdk" TargetMode="External"/><Relationship Id="rId375" Type="http://schemas.openxmlformats.org/officeDocument/2006/relationships/hyperlink" Target="https://docs.google.com/document/d/1yjeYvgPYir5ZjPhpr6dgyr3QLWQtzniq9SwDgTcD6K4/edit?usp=drivesdk" TargetMode="External"/><Relationship Id="rId396" Type="http://schemas.openxmlformats.org/officeDocument/2006/relationships/hyperlink" Target="https://docs.google.com/document/d/1t6d4J_pxyGT889qf1VeYKuL_8J9rkyvXI5kFVzGtp5A/edit?usp=drivesdk" TargetMode="External"/><Relationship Id="rId3" Type="http://schemas.openxmlformats.org/officeDocument/2006/relationships/hyperlink" Target="https://drive.google.com/a/gtmnerr.org/file/d/1lZDSHrj3qsq_O52lhKl_J8Ol3Ppm2wpf/view?usp=drivesdk" TargetMode="External"/><Relationship Id="rId214" Type="http://schemas.openxmlformats.org/officeDocument/2006/relationships/hyperlink" Target="https://docs.google.com/document/d/1GOBsFESX6f9qZ6TPdcc-u6UgUVmptfCcKPpgKqBe1ww/edit?usp=drivesdk" TargetMode="External"/><Relationship Id="rId235" Type="http://schemas.openxmlformats.org/officeDocument/2006/relationships/hyperlink" Target="https://docs.google.com/document/d/1TJtSa6lbULLrc9i4aU81PsSx6hsWL8HJ2uszk5W7kv8/edit?usp=drivesdk" TargetMode="External"/><Relationship Id="rId256" Type="http://schemas.openxmlformats.org/officeDocument/2006/relationships/hyperlink" Target="https://docs.google.com/document/d/1TyLRb51S5K0bKOXgD50rIy_6EfG9cLwNzFQtV53qkSg/edit?usp=drivesdk" TargetMode="External"/><Relationship Id="rId277" Type="http://schemas.openxmlformats.org/officeDocument/2006/relationships/hyperlink" Target="https://docs.google.com/document/d/1QBSxmJEW8haI9t5gOvOxhfJQdjnU8UExtzvNGSdRJeU/edit?usp=drivesdk" TargetMode="External"/><Relationship Id="rId298" Type="http://schemas.openxmlformats.org/officeDocument/2006/relationships/hyperlink" Target="https://docs.google.com/document/d/1oFfq4LU7d1zTf_pe0yQ81_jHV2i5KQRSdELtjM6PJvU/edit?usp=drivesdk" TargetMode="External"/><Relationship Id="rId400" Type="http://schemas.openxmlformats.org/officeDocument/2006/relationships/hyperlink" Target="https://docs.google.com/document/d/1gYnYcrd2vVUnyywSfLpzSXQMaeBhGeh-LmrYZ9gNiQs/edit?usp=drivesdk" TargetMode="External"/><Relationship Id="rId116" Type="http://schemas.openxmlformats.org/officeDocument/2006/relationships/hyperlink" Target="https://docs.google.com/document/d/1uWaH_X62R2Liuv1Udb-7AgjTcZgYdkQkjrG1FW0qql4/edit?usp=drivesdk" TargetMode="External"/><Relationship Id="rId137" Type="http://schemas.openxmlformats.org/officeDocument/2006/relationships/hyperlink" Target="https://docs.google.com/document/d/10rU4XDlqfzQWaY9r_oxgwKKaIF7s4-1zNcxL46nYc7c/edit?usp=drivesdk" TargetMode="External"/><Relationship Id="rId158" Type="http://schemas.openxmlformats.org/officeDocument/2006/relationships/hyperlink" Target="https://docs.google.com/document/d/1RX_gUfr2Cwzo06Md2uxfQ1lOEGgjQtJf8J9lleJZCOQ/edit?usp=drivesdk" TargetMode="External"/><Relationship Id="rId302" Type="http://schemas.openxmlformats.org/officeDocument/2006/relationships/hyperlink" Target="https://docs.google.com/document/d/1Lj3Corcrdfv8NhADDnB5MnFLc80Lp1cbT2jtyOaAzZg/edit?usp=drivesdk" TargetMode="External"/><Relationship Id="rId323" Type="http://schemas.openxmlformats.org/officeDocument/2006/relationships/hyperlink" Target="https://docs.google.com/document/d/1tLgUiv4bcn2V_cgRKNu_zZ5FGT2YBAuPzKuqiAXm0co/edit?usp=drivesdk" TargetMode="External"/><Relationship Id="rId344" Type="http://schemas.openxmlformats.org/officeDocument/2006/relationships/hyperlink" Target="https://docs.google.com/document/d/1VFwoXvxUp9esJMS9AjQJUjDLucKnSGwDdiqVmF5mxvQ/edit?usp=drivesdk" TargetMode="External"/><Relationship Id="rId20" Type="http://schemas.openxmlformats.org/officeDocument/2006/relationships/hyperlink" Target="https://docs.google.com/document/d/1JEa1CEgHyehbkiQb0UeiGakohFPxlUdscuddwbzrIxE/edit?usp=drivesdk" TargetMode="External"/><Relationship Id="rId41" Type="http://schemas.openxmlformats.org/officeDocument/2006/relationships/hyperlink" Target="https://docs.google.com/document/d/1Z8dAn-NJRpmpNLlG1zkbjukS7RuYIXNvx0IZ730X_Lk/edit?usp=drivesdk" TargetMode="External"/><Relationship Id="rId62" Type="http://schemas.openxmlformats.org/officeDocument/2006/relationships/hyperlink" Target="https://docs.google.com/document/d/1v7q-IULNLh2s7jlsl-iuhE7Fi_UIkWYnjOZQaPhKCSs/edit?usp=drivesdk" TargetMode="External"/><Relationship Id="rId83" Type="http://schemas.openxmlformats.org/officeDocument/2006/relationships/hyperlink" Target="https://docs.google.com/document/d/1Yf58Vo3igrV_L3FTGJfaglDeuNiDkG2mScsf6Af2oGg/edit?usp=drivesdk" TargetMode="External"/><Relationship Id="rId179" Type="http://schemas.openxmlformats.org/officeDocument/2006/relationships/hyperlink" Target="https://docs.google.com/document/d/1oTcfsWZOgZYgI5Fy-XeM-Rzu-vTXU288StIZED4uEX8/edit?usp=drivesdk" TargetMode="External"/><Relationship Id="rId365" Type="http://schemas.openxmlformats.org/officeDocument/2006/relationships/hyperlink" Target="https://docs.google.com/document/d/1Nkj7T_FeDiyVW9nQImrjvRaLtq2W7lwf3wsxD_brvdg/edit?usp=drivesdk" TargetMode="External"/><Relationship Id="rId386" Type="http://schemas.openxmlformats.org/officeDocument/2006/relationships/hyperlink" Target="https://docs.google.com/document/d/1M7xpibvSmVbgcBf-KshDdhZJdbWlKw_O9smFLdfK_xY/edit?usp=drivesdk" TargetMode="External"/><Relationship Id="rId190" Type="http://schemas.openxmlformats.org/officeDocument/2006/relationships/hyperlink" Target="https://docs.google.com/document/d/16OYOj5TIsxB7aLpe8-WmMHmeLPl3WJceZcqhaNcR8ug/edit?usp=drivesdk" TargetMode="External"/><Relationship Id="rId204" Type="http://schemas.openxmlformats.org/officeDocument/2006/relationships/hyperlink" Target="https://docs.google.com/document/d/1ySIzZqkUgYZOnUT2s6MMktH4mDF9DGVF0uvVl5xf4BM/edit?usp=drivesdk" TargetMode="External"/><Relationship Id="rId225" Type="http://schemas.openxmlformats.org/officeDocument/2006/relationships/hyperlink" Target="https://docs.google.com/document/d/1eml75LLBrnwv1nCwBu_-OJNxHvJ3ubC1U_W3NBu9nRM/edit?usp=drivesdk" TargetMode="External"/><Relationship Id="rId246" Type="http://schemas.openxmlformats.org/officeDocument/2006/relationships/hyperlink" Target="https://docs.google.com/document/d/1zpiiQnRk_ny2eghst2yO43NK7mtn9wSbSuVWKqfFa1w/edit?usp=drivesdk" TargetMode="External"/><Relationship Id="rId267" Type="http://schemas.openxmlformats.org/officeDocument/2006/relationships/hyperlink" Target="https://docs.google.com/document/d/1zlJ_Fo8-K64oCgIGfP5Aj5buqM1dyZx_BJk8QFySHVc/edit?usp=drivesdk" TargetMode="External"/><Relationship Id="rId288" Type="http://schemas.openxmlformats.org/officeDocument/2006/relationships/hyperlink" Target="https://docs.google.com/document/d/1qA0BXQylOFUw2Hvi7IhmXc7q1Hw-adob7CuuwLH6Z1g/edit?usp=drivesdk" TargetMode="External"/><Relationship Id="rId411" Type="http://schemas.openxmlformats.org/officeDocument/2006/relationships/hyperlink" Target="https://docs.google.com/document/d/1NN0E003fhNBJAqT_4wA1n1fHv_OIrnwXZ5Cod5eNRaQ/edit?usp=drivesdk" TargetMode="External"/><Relationship Id="rId106" Type="http://schemas.openxmlformats.org/officeDocument/2006/relationships/hyperlink" Target="https://docs.google.com/document/d/1FbfrpXrmysodX8qvntPP4u8abx1oSvLdYgvdnAhlqV4/edit?usp=drivesdk" TargetMode="External"/><Relationship Id="rId127" Type="http://schemas.openxmlformats.org/officeDocument/2006/relationships/hyperlink" Target="https://docs.google.com/document/d/19gtAry6vLFmaQvsDWVMoI53O_6Z53p6xfjK01wQTQ_Y/edit?usp=drivesdk" TargetMode="External"/><Relationship Id="rId313" Type="http://schemas.openxmlformats.org/officeDocument/2006/relationships/hyperlink" Target="https://docs.google.com/document/d/1DEEZagV5EBkLzROR_9oxeIWIQiNWeE6h9eGZvDKJGBc/edit?usp=drivesdk" TargetMode="External"/><Relationship Id="rId10" Type="http://schemas.openxmlformats.org/officeDocument/2006/relationships/hyperlink" Target="https://drive.google.com/a/gtmnerr.org/file/d/1VQkdorZRbfabc3AEa7o8ja86ZuyLfsIJ/view?usp=drivesdk" TargetMode="External"/><Relationship Id="rId31" Type="http://schemas.openxmlformats.org/officeDocument/2006/relationships/hyperlink" Target="https://docs.google.com/document/d/1aRzzSkR4_IR2TrYGXtPq9lf_h_sywa9CZFinxHZ5IvA/edit?usp=drivesdk" TargetMode="External"/><Relationship Id="rId52" Type="http://schemas.openxmlformats.org/officeDocument/2006/relationships/hyperlink" Target="https://docs.google.com/document/d/1omI7AifJyv7VBder7xWpamlAqbP_DccSbkNyJKL1wJk/edit?usp=drivesdk" TargetMode="External"/><Relationship Id="rId73" Type="http://schemas.openxmlformats.org/officeDocument/2006/relationships/hyperlink" Target="https://docs.google.com/document/d/1g5f9yPdc6uaO_l9y9K3YLZPe5ak-o0BxRUX5eZ2dmP0/edit?usp=drivesdk" TargetMode="External"/><Relationship Id="rId94" Type="http://schemas.openxmlformats.org/officeDocument/2006/relationships/hyperlink" Target="https://docs.google.com/document/d/1gFmRMe2zpH3j4wfW__4Oo9qMajLX3jmZ0kcbMSYh65A/edit?usp=drivesdk" TargetMode="External"/><Relationship Id="rId148" Type="http://schemas.openxmlformats.org/officeDocument/2006/relationships/hyperlink" Target="https://docs.google.com/document/d/1L1XIyzHuHRQHoWUjLZVh96I0pkX6GW-koS18WeV4S5A/edit?usp=drivesdk" TargetMode="External"/><Relationship Id="rId169" Type="http://schemas.openxmlformats.org/officeDocument/2006/relationships/hyperlink" Target="https://docs.google.com/document/d/1633f9rTaCMPyS4IZy7tFzPfoCMpeoOCM4AqFBr6ZdaU/edit?usp=drivesdk" TargetMode="External"/><Relationship Id="rId334" Type="http://schemas.openxmlformats.org/officeDocument/2006/relationships/hyperlink" Target="https://docs.google.com/document/d/18J_oMGg9KxP1sUZubTUlVkgQbIimvibwL5Y_dskUwx4/edit?usp=drivesdk" TargetMode="External"/><Relationship Id="rId355" Type="http://schemas.openxmlformats.org/officeDocument/2006/relationships/hyperlink" Target="https://docs.google.com/document/d/1c3oIBDOSh2u6pFvXb4E_3APsR9Lem7S_3eSczmJQrGg/edit?usp=drivesdk" TargetMode="External"/><Relationship Id="rId376" Type="http://schemas.openxmlformats.org/officeDocument/2006/relationships/hyperlink" Target="https://docs.google.com/document/d/1_FZkLDX6cpRq0sc7kubw9q1L4r-RNeHr1SqbZ9kcYEw/edit?usp=drivesdk" TargetMode="External"/><Relationship Id="rId397" Type="http://schemas.openxmlformats.org/officeDocument/2006/relationships/hyperlink" Target="https://docs.google.com/document/d/1ZdD5urJCsgWVyivnfEYQGGfYEd6NlfeS7KymF33zbS8/edit?usp=drivesdk" TargetMode="External"/><Relationship Id="rId4" Type="http://schemas.openxmlformats.org/officeDocument/2006/relationships/hyperlink" Target="https://drive.google.com/a/gtmnerr.org/file/d/1QvAZ7R1p5_SFBt5mF93Am43VNlxMzFTn/view?usp=drivesdk" TargetMode="External"/><Relationship Id="rId180" Type="http://schemas.openxmlformats.org/officeDocument/2006/relationships/hyperlink" Target="https://docs.google.com/document/d/1hauw2vE5xdSX1EdBY3STcNLUeeUqh_H2hN1zo1cocKU/edit?usp=drivesdk" TargetMode="External"/><Relationship Id="rId215" Type="http://schemas.openxmlformats.org/officeDocument/2006/relationships/hyperlink" Target="https://docs.google.com/document/d/1cLJrO_7vYjsC5Las3DO7HiNkHwUoPLtkT1XEBLKwk2I/edit?usp=drivesdk" TargetMode="External"/><Relationship Id="rId236" Type="http://schemas.openxmlformats.org/officeDocument/2006/relationships/hyperlink" Target="https://docs.google.com/document/d/16vjClCoqC7m3akVttcJyh9s3Hbn-CzZ-MyVW-Lji67g/edit?usp=drivesdk" TargetMode="External"/><Relationship Id="rId257" Type="http://schemas.openxmlformats.org/officeDocument/2006/relationships/hyperlink" Target="https://docs.google.com/document/d/1Jwwqnazwww9YKvWyHVkc7djKCR6FkjdvBevqEEgTxgc/edit?usp=drivesdk" TargetMode="External"/><Relationship Id="rId278" Type="http://schemas.openxmlformats.org/officeDocument/2006/relationships/hyperlink" Target="https://docs.google.com/document/d/1QxaRdHvDAJbUR2d5Aif51DAoEGlkAzlCnhkf3ioW5X8/edit?usp=drivesdk" TargetMode="External"/><Relationship Id="rId401" Type="http://schemas.openxmlformats.org/officeDocument/2006/relationships/hyperlink" Target="https://docs.google.com/document/d/1lKFj_Q6V3_7Ks5Z3aYgaiu-zNZ1Tcvga3effVH7ur7o/edit?usp=drivesdk" TargetMode="External"/><Relationship Id="rId303" Type="http://schemas.openxmlformats.org/officeDocument/2006/relationships/hyperlink" Target="https://docs.google.com/document/d/1qXtK3oH7DmcQDkV7PcKHYbDz7zDrjKI0qG6ostGLO4o/edit?usp=drivesdk" TargetMode="External"/><Relationship Id="rId42" Type="http://schemas.openxmlformats.org/officeDocument/2006/relationships/hyperlink" Target="https://docs.google.com/document/d/1-UbK8hMJUW_5g5Rku1FY9ewcvvUW5AHNrwKQATrchv4/edit?usp=drivesdk" TargetMode="External"/><Relationship Id="rId84" Type="http://schemas.openxmlformats.org/officeDocument/2006/relationships/hyperlink" Target="https://docs.google.com/document/d/1BaYGUmqVMqP7K6yogEN7JA9Puier9G8taRo2F6LjQ64/edit?usp=drivesdk" TargetMode="External"/><Relationship Id="rId138" Type="http://schemas.openxmlformats.org/officeDocument/2006/relationships/hyperlink" Target="https://docs.google.com/document/d/1KDK2Lyv_0BANy_IEzxkUFIoBnnXj9uvp7TxHIpYvUyk/edit?usp=drivesdk" TargetMode="External"/><Relationship Id="rId345" Type="http://schemas.openxmlformats.org/officeDocument/2006/relationships/hyperlink" Target="https://docs.google.com/document/d/17-ejbLkrYmuOCBKs8rnXdpzSNQId2GnwAk45L75Y62U/edit?usp=drivesdk" TargetMode="External"/><Relationship Id="rId387" Type="http://schemas.openxmlformats.org/officeDocument/2006/relationships/hyperlink" Target="https://docs.google.com/document/d/1CRc4j6HLo0xqlKMTTNdvh8YrHb0mUQt_MH11cR4wB04/edit?usp=drivesdk" TargetMode="External"/><Relationship Id="rId191" Type="http://schemas.openxmlformats.org/officeDocument/2006/relationships/hyperlink" Target="https://docs.google.com/document/d/16SdYODC-uCZ2zFLn33qfp7Qjty_GYbog-ssGQaMREx8/edit?usp=drivesdk" TargetMode="External"/><Relationship Id="rId205" Type="http://schemas.openxmlformats.org/officeDocument/2006/relationships/hyperlink" Target="https://docs.google.com/document/d/1BNVX05cr1434PSG7V5_vi5xdcMP9K4I0Om0n38jVaK0/edit?usp=drivesdk" TargetMode="External"/><Relationship Id="rId247" Type="http://schemas.openxmlformats.org/officeDocument/2006/relationships/hyperlink" Target="https://docs.google.com/document/d/1AfS58goBppKK1dhcQ15scXNHmkmINsEIlKN629Yv3FA/edit?usp=drivesdk" TargetMode="External"/><Relationship Id="rId412" Type="http://schemas.openxmlformats.org/officeDocument/2006/relationships/hyperlink" Target="https://docs.google.com/document/d/1zuFEsKkrq9M6ZGAYBwp5wojo8R4vd7PN6fTx65IXQLA/edit?usp=drivesdk" TargetMode="External"/><Relationship Id="rId107" Type="http://schemas.openxmlformats.org/officeDocument/2006/relationships/hyperlink" Target="https://docs.google.com/document/d/1V_UjvbS_4beIAIbGI2rknHAZN_bkiraEkuj6Ua6mwWE/edit?usp=drivesdk" TargetMode="External"/><Relationship Id="rId289" Type="http://schemas.openxmlformats.org/officeDocument/2006/relationships/hyperlink" Target="https://docs.google.com/document/d/15x4EVSZ10MXuaxM4ij4M29WzWjxQAM3oj70GOLrnxF0/edit?usp=drivesdk" TargetMode="External"/><Relationship Id="rId11" Type="http://schemas.openxmlformats.org/officeDocument/2006/relationships/hyperlink" Target="https://drive.google.com/a/gtmnerr.org/file/d/1wwbmFLgI3rXytEVbNoq8P0VpSeSlZpZt/view?usp=drivesdk" TargetMode="External"/><Relationship Id="rId53" Type="http://schemas.openxmlformats.org/officeDocument/2006/relationships/hyperlink" Target="https://docs.google.com/document/d/1nhihx7WUJyq9xrne-IuE8z6M1bOCmJPhlEGshsFWGQU/edit?usp=drivesdk" TargetMode="External"/><Relationship Id="rId149" Type="http://schemas.openxmlformats.org/officeDocument/2006/relationships/hyperlink" Target="https://docs.google.com/document/d/1FPp7Ct0JiV_kWgKtlmLlCmGzPELIhER6zZ_PuQTEZXQ/edit?usp=drivesdk" TargetMode="External"/><Relationship Id="rId314" Type="http://schemas.openxmlformats.org/officeDocument/2006/relationships/hyperlink" Target="https://docs.google.com/document/d/1iIShRcHBMX9s2p9ixcmfD63N4BNpzZOhUMopEgZXVXU/edit?usp=drivesdk" TargetMode="External"/><Relationship Id="rId356" Type="http://schemas.openxmlformats.org/officeDocument/2006/relationships/hyperlink" Target="https://docs.google.com/document/d/1xJ9T5reUjpXl3feP0fqVH6FQi3ovB4PsTEfdY2ZNAcA/edit?usp=drivesdk" TargetMode="External"/><Relationship Id="rId398" Type="http://schemas.openxmlformats.org/officeDocument/2006/relationships/hyperlink" Target="https://docs.google.com/document/d/1lpL-hACJ0SZheqs2xwrGh_IJID2VnoX1qU7kXTxNXF4/edit?usp=drivesdk"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cs.google.com/document/d/1yedKFixA69V0VtSDY7-I0SVCLPtcIuBrNsPWlFA5t0Q/edit?usp=drivesdk" TargetMode="External"/><Relationship Id="rId21" Type="http://schemas.openxmlformats.org/officeDocument/2006/relationships/hyperlink" Target="https://docs.google.com/document/d/1JFryXOw2InmmGmXxxzshvZNk4sdpEONK7hn7Y_AqJRE/edit?usp=drivesdk" TargetMode="External"/><Relationship Id="rId42" Type="http://schemas.openxmlformats.org/officeDocument/2006/relationships/hyperlink" Target="https://docs.google.com/document/d/1-UbK8hMJUW_5g5Rku1FY9ewcvvUW5AHNrwKQATrchv4/edit?usp=drivesdk" TargetMode="External"/><Relationship Id="rId63" Type="http://schemas.openxmlformats.org/officeDocument/2006/relationships/hyperlink" Target="https://docs.google.com/document/d/1L0kzkzO3R_dAJCQe55pzE_QXkWNAsyj-X0rnm0gVaQY/edit?usp=drivesdk" TargetMode="External"/><Relationship Id="rId84" Type="http://schemas.openxmlformats.org/officeDocument/2006/relationships/hyperlink" Target="https://docs.google.com/document/d/1BaYGUmqVMqP7K6yogEN7JA9Puier9G8taRo2F6LjQ64/edit?usp=drivesdk" TargetMode="External"/><Relationship Id="rId138" Type="http://schemas.openxmlformats.org/officeDocument/2006/relationships/hyperlink" Target="https://docs.google.com/document/d/1KDK2Lyv_0BANy_IEzxkUFIoBnnXj9uvp7TxHIpYvUyk/edit?usp=drivesdk" TargetMode="External"/><Relationship Id="rId159" Type="http://schemas.openxmlformats.org/officeDocument/2006/relationships/hyperlink" Target="https://docs.google.com/document/d/1s3JiwQ-KWulWysULpBhqbwpxDkxCnkakIu_ciCP-aHE/edit?usp=drivesdk" TargetMode="External"/><Relationship Id="rId170" Type="http://schemas.openxmlformats.org/officeDocument/2006/relationships/hyperlink" Target="https://docs.google.com/document/d/1PL271tW_lqAUNom36USh5xQ5-3Fx9KBM5GmY4JnYfd4/edit?usp=drivesdk" TargetMode="External"/><Relationship Id="rId191" Type="http://schemas.openxmlformats.org/officeDocument/2006/relationships/hyperlink" Target="https://docs.google.com/document/d/16SdYODC-uCZ2zFLn33qfp7Qjty_GYbog-ssGQaMREx8/edit?usp=drivesdk" TargetMode="External"/><Relationship Id="rId196" Type="http://schemas.openxmlformats.org/officeDocument/2006/relationships/hyperlink" Target="https://docs.google.com/document/d/1gVI_jfcOWjzZEQMF4gbfgFQynt0Z5DO6MONlYJj8nUU/edit?usp=drivesdk" TargetMode="External"/><Relationship Id="rId16" Type="http://schemas.openxmlformats.org/officeDocument/2006/relationships/hyperlink" Target="https://drive.google.com/a/gtmnerr.org/file/d/1X-tbMcKrUC7VZG_2B5PruW_7lMpu_1vI/view?usp=drivesdk" TargetMode="External"/><Relationship Id="rId107" Type="http://schemas.openxmlformats.org/officeDocument/2006/relationships/hyperlink" Target="https://docs.google.com/document/d/1V_UjvbS_4beIAIbGI2rknHAZN_bkiraEkuj6Ua6mwWE/edit?usp=drivesdk" TargetMode="External"/><Relationship Id="rId11" Type="http://schemas.openxmlformats.org/officeDocument/2006/relationships/hyperlink" Target="https://drive.google.com/a/gtmnerr.org/file/d/1wwbmFLgI3rXytEVbNoq8P0VpSeSlZpZt/view?usp=drivesdk" TargetMode="External"/><Relationship Id="rId32" Type="http://schemas.openxmlformats.org/officeDocument/2006/relationships/hyperlink" Target="https://docs.google.com/document/d/1UxSihKYLLd3ptxsJHs_8U8O3j5OHfzHKbjnt5FECBbs/edit?usp=drivesdk" TargetMode="External"/><Relationship Id="rId37" Type="http://schemas.openxmlformats.org/officeDocument/2006/relationships/hyperlink" Target="https://docs.google.com/document/d/1ZYCXLV6gt2oXgWl9Ziwcxz8bjA1d5w_O5I7Ap6ZOB2M/edit?usp=drivesdk" TargetMode="External"/><Relationship Id="rId53" Type="http://schemas.openxmlformats.org/officeDocument/2006/relationships/hyperlink" Target="https://docs.google.com/document/d/1nhihx7WUJyq9xrne-IuE8z6M1bOCmJPhlEGshsFWGQU/edit?usp=drivesdk" TargetMode="External"/><Relationship Id="rId58" Type="http://schemas.openxmlformats.org/officeDocument/2006/relationships/hyperlink" Target="https://docs.google.com/document/d/1YErNHz-z5auJhRmMWf7quuIOf99gflm67GG5yE4XHtw/edit?usp=drivesdk" TargetMode="External"/><Relationship Id="rId74" Type="http://schemas.openxmlformats.org/officeDocument/2006/relationships/hyperlink" Target="https://docs.google.com/document/d/1FGSJu50WpKVPQMMjfQsJgZFm6YVlPd9AmbZ7l5n8PbY/edit?usp=drivesdk" TargetMode="External"/><Relationship Id="rId79" Type="http://schemas.openxmlformats.org/officeDocument/2006/relationships/hyperlink" Target="https://docs.google.com/document/d/1Gyx9ROaTKWuy-76rkui4kE2dTnRUDtMTJAqKpXUVmj4/edit?usp=drivesdk" TargetMode="External"/><Relationship Id="rId102" Type="http://schemas.openxmlformats.org/officeDocument/2006/relationships/hyperlink" Target="https://docs.google.com/document/d/1Xqh3FggsY2bltRwZowLuBS6_e56PQHzyI4rVU95A2Zg/edit?usp=drivesdk" TargetMode="External"/><Relationship Id="rId123" Type="http://schemas.openxmlformats.org/officeDocument/2006/relationships/hyperlink" Target="https://docs.google.com/document/d/18a8HUQtBa0oDSzts9fdeoJSPbEzLp3lUXgyOK0PBc3I/edit?usp=drivesdk" TargetMode="External"/><Relationship Id="rId128" Type="http://schemas.openxmlformats.org/officeDocument/2006/relationships/hyperlink" Target="https://docs.google.com/document/d/1cwjqEBUaX4TZ2uiNweLlEFnrIqkIxDij-KCrl3jgdSs/edit?usp=drivesdk" TargetMode="External"/><Relationship Id="rId144" Type="http://schemas.openxmlformats.org/officeDocument/2006/relationships/hyperlink" Target="https://docs.google.com/document/d/1JRlYA77vV_VIb-S6I2VOgzFmlAaoJSMri79y4krYTeg/edit?usp=drivesdk" TargetMode="External"/><Relationship Id="rId149" Type="http://schemas.openxmlformats.org/officeDocument/2006/relationships/hyperlink" Target="https://docs.google.com/document/d/1FPp7Ct0JiV_kWgKtlmLlCmGzPELIhER6zZ_PuQTEZXQ/edit?usp=drivesdk" TargetMode="External"/><Relationship Id="rId5" Type="http://schemas.openxmlformats.org/officeDocument/2006/relationships/hyperlink" Target="https://drive.google.com/a/gtmnerr.org/file/d/1YinwlBsrG6skh50eUb96HFs4ROS8w5Vd/view?usp=drivesdk" TargetMode="External"/><Relationship Id="rId90" Type="http://schemas.openxmlformats.org/officeDocument/2006/relationships/hyperlink" Target="https://docs.google.com/document/d/18ANL2EAsbj-9X5mz0tRj4YzFgnSMdKPwDfVJotzLaHQ/edit?usp=drivesdk" TargetMode="External"/><Relationship Id="rId95" Type="http://schemas.openxmlformats.org/officeDocument/2006/relationships/hyperlink" Target="https://docs.google.com/document/d/1WiDFrx4D7wDtTG7xhG56FExYdRv-4DwwdP-wvUsnRMc/edit?usp=drivesdk" TargetMode="External"/><Relationship Id="rId160" Type="http://schemas.openxmlformats.org/officeDocument/2006/relationships/hyperlink" Target="https://docs.google.com/document/d/1wHN4Cbsn47rCWCLLPwvhvv0RSpz-ejSy8O1YNICpliM/edit?usp=drivesdk" TargetMode="External"/><Relationship Id="rId165" Type="http://schemas.openxmlformats.org/officeDocument/2006/relationships/hyperlink" Target="https://docs.google.com/document/d/1Hfjuh-87HyMgDwCqQ1yxd7fH8nLij__YzoKp6Zt-A88/edit?usp=drivesdk" TargetMode="External"/><Relationship Id="rId181" Type="http://schemas.openxmlformats.org/officeDocument/2006/relationships/hyperlink" Target="https://docs.google.com/document/d/1uWbC2LTTPyzZ9D7G8dbN75G0kC0n3ExQXQUhFHsruTY/edit?usp=drivesdk" TargetMode="External"/><Relationship Id="rId186" Type="http://schemas.openxmlformats.org/officeDocument/2006/relationships/hyperlink" Target="https://docs.google.com/document/d/1YiWcFq3l08V3qBUS4JCJ18wDAAtAadOsJGTbNWJ7y0o/edit?usp=drivesdk" TargetMode="External"/><Relationship Id="rId22" Type="http://schemas.openxmlformats.org/officeDocument/2006/relationships/hyperlink" Target="https://docs.google.com/document/d/1cZgdQ9Bkry7GfAi9UtVtg27Em-ne__SFXnsOQWLIXOg/edit?usp=drivesdk" TargetMode="External"/><Relationship Id="rId27" Type="http://schemas.openxmlformats.org/officeDocument/2006/relationships/hyperlink" Target="https://docs.google.com/document/d/1o_kh_Z-U6_tGhTgiT0C3Z1YHstpG_03KK-kY2lq7ebs/edit?usp=drivesdk" TargetMode="External"/><Relationship Id="rId43" Type="http://schemas.openxmlformats.org/officeDocument/2006/relationships/hyperlink" Target="https://docs.google.com/document/d/1WsrMwbtq1vkTBudK_ew-NbpNttOyEo3T3Yuj3AdKLcs/edit?usp=drivesdk" TargetMode="External"/><Relationship Id="rId48" Type="http://schemas.openxmlformats.org/officeDocument/2006/relationships/hyperlink" Target="https://docs.google.com/document/d/1_BU8DyN37-pP7dXayBuVa2UgN4SSVZhJ2PswBb3iWpA/edit?usp=drivesdk" TargetMode="External"/><Relationship Id="rId64" Type="http://schemas.openxmlformats.org/officeDocument/2006/relationships/hyperlink" Target="https://docs.google.com/document/d/1ntrs6YFpK78CyX3JOrufebLGk1XUDopFAGN4tHmjzSY/edit?usp=drivesdk" TargetMode="External"/><Relationship Id="rId69" Type="http://schemas.openxmlformats.org/officeDocument/2006/relationships/hyperlink" Target="https://docs.google.com/document/d/1qsBp188AIvYYa7bWDNtbtdNGEWYhVYQXnzAKQ6cwFU4/edit?usp=drivesdk" TargetMode="External"/><Relationship Id="rId113" Type="http://schemas.openxmlformats.org/officeDocument/2006/relationships/hyperlink" Target="https://docs.google.com/document/d/1O7zNwJ7tD7cHfDAv1vY8YMgIs28bfzrPCLqAZVh0D54/edit?usp=drivesdk" TargetMode="External"/><Relationship Id="rId118" Type="http://schemas.openxmlformats.org/officeDocument/2006/relationships/hyperlink" Target="https://docs.google.com/document/d/17DVNObsevh1PglvOtUWG2_f9xR1DhwO97Kb9C_lXeyg/edit?usp=drivesdk" TargetMode="External"/><Relationship Id="rId134" Type="http://schemas.openxmlformats.org/officeDocument/2006/relationships/hyperlink" Target="https://docs.google.com/document/d/1XgPHyLVaetsiT9yAxWjsIn05pUXXzoUT6oXrjFlL0YY/edit?usp=drivesdk" TargetMode="External"/><Relationship Id="rId139" Type="http://schemas.openxmlformats.org/officeDocument/2006/relationships/hyperlink" Target="https://docs.google.com/document/d/1YbcgZerdP1LVsxnkBb1fZoOvlgu2Id6KK0LNMU632hw/edit?usp=drivesdk" TargetMode="External"/><Relationship Id="rId80" Type="http://schemas.openxmlformats.org/officeDocument/2006/relationships/hyperlink" Target="https://docs.google.com/document/d/1B2B_zzU6VYd5JQ-56maF2bnECN2oN8ZVlQhWEyzl5pg/edit?usp=drivesdk" TargetMode="External"/><Relationship Id="rId85" Type="http://schemas.openxmlformats.org/officeDocument/2006/relationships/hyperlink" Target="https://docs.google.com/document/d/1tlC1SwEUPLpFXpij-oCM2rMilZlFExtd_0xZd7qUeZM/edit?usp=drivesdk" TargetMode="External"/><Relationship Id="rId150" Type="http://schemas.openxmlformats.org/officeDocument/2006/relationships/hyperlink" Target="https://docs.google.com/document/d/1JGMIP5SQ2ZMKd8eDucsvIls3aSK9Tt3z-nF29BgavLw/edit?usp=drivesdk" TargetMode="External"/><Relationship Id="rId155" Type="http://schemas.openxmlformats.org/officeDocument/2006/relationships/hyperlink" Target="https://docs.google.com/document/d/1Qu9mmZmTv01KNWghm6u4OGUV88UmBjkTWh1ifHFSkZg/edit?usp=drivesdk" TargetMode="External"/><Relationship Id="rId171" Type="http://schemas.openxmlformats.org/officeDocument/2006/relationships/hyperlink" Target="https://docs.google.com/document/d/1kbvT1CsqWVSgIaGJKDYhYIm_4ojgiC2OS4qGLdNc4tI/edit?usp=drivesdk" TargetMode="External"/><Relationship Id="rId176" Type="http://schemas.openxmlformats.org/officeDocument/2006/relationships/hyperlink" Target="https://docs.google.com/document/d/1-6d6hvJWvO6BYtbO2WWaqb1in49kdbEkIdMZcbPaJuo/edit?usp=drivesdk" TargetMode="External"/><Relationship Id="rId192" Type="http://schemas.openxmlformats.org/officeDocument/2006/relationships/hyperlink" Target="https://docs.google.com/document/d/1p7s5sR34YXc9wg1z-_VVivHlRGZkuTUZxMHhBUHtCco/edit?usp=drivesdk" TargetMode="External"/><Relationship Id="rId197" Type="http://schemas.openxmlformats.org/officeDocument/2006/relationships/hyperlink" Target="https://docs.google.com/document/d/1IaxkgNOqPzkSPHLaQxOsCa-xiQoIeRtfPOqC3I0c1oI/edit?usp=drivesdk" TargetMode="External"/><Relationship Id="rId12" Type="http://schemas.openxmlformats.org/officeDocument/2006/relationships/hyperlink" Target="https://drive.google.com/a/gtmnerr.org/file/d/1PS5YPza6b0J9agPHBVTnWxTfvhLIFch7/view?usp=drivesdk" TargetMode="External"/><Relationship Id="rId17" Type="http://schemas.openxmlformats.org/officeDocument/2006/relationships/hyperlink" Target="https://docs.google.com/document/d/1lvnFSpiVYr6imjfOlWlxPW2ouTpS9jO0pAxu4_Njk7M/edit?usp=drivesdk" TargetMode="External"/><Relationship Id="rId33" Type="http://schemas.openxmlformats.org/officeDocument/2006/relationships/hyperlink" Target="https://docs.google.com/document/d/1YVH9hAY0Il0DCK6rFfBHIM-B2FMeHXQEEJUjpA6N7-U/edit?usp=drivesdk" TargetMode="External"/><Relationship Id="rId38" Type="http://schemas.openxmlformats.org/officeDocument/2006/relationships/hyperlink" Target="https://docs.google.com/document/d/10nnniawQVtJWr1j6dGtxHYuaPvjUZS_oEzRZ6f249BE/edit?usp=drivesdk" TargetMode="External"/><Relationship Id="rId59" Type="http://schemas.openxmlformats.org/officeDocument/2006/relationships/hyperlink" Target="https://docs.google.com/document/d/1zx2ToY0GcjujicDXZiUTnvQUpIp0-oiJuQlUByUuEXk/edit?usp=drivesdk" TargetMode="External"/><Relationship Id="rId103" Type="http://schemas.openxmlformats.org/officeDocument/2006/relationships/hyperlink" Target="https://docs.google.com/document/d/1LabdHmssr2wUehcOV54gssrkT8MfwEnxZTasLs1gtgo/edit?usp=drivesdk" TargetMode="External"/><Relationship Id="rId108" Type="http://schemas.openxmlformats.org/officeDocument/2006/relationships/hyperlink" Target="https://docs.google.com/document/d/1FoCPEaVaT4-aS9Qr0r4nW6zlRTuDNZoJ3QoyHDTqm4A/edit?usp=drivesdk" TargetMode="External"/><Relationship Id="rId124" Type="http://schemas.openxmlformats.org/officeDocument/2006/relationships/hyperlink" Target="https://docs.google.com/document/d/1o5u6URG4eEL0bZO7Pcc_tA0H2uas6Y_qmD-HJgPbqg4/edit?usp=drivesdk" TargetMode="External"/><Relationship Id="rId129" Type="http://schemas.openxmlformats.org/officeDocument/2006/relationships/hyperlink" Target="https://docs.google.com/document/d/1dbUQc-0YRcUCWv4ZLuAiuh-szs2P71qMm4cR0NVclQw/edit?usp=drivesdk" TargetMode="External"/><Relationship Id="rId54" Type="http://schemas.openxmlformats.org/officeDocument/2006/relationships/hyperlink" Target="https://docs.google.com/document/d/14xL-FgR87Xdn5S8WoYx0_em_jRQvOEXqyE9kNUhAwZs/edit?usp=drivesdk" TargetMode="External"/><Relationship Id="rId70" Type="http://schemas.openxmlformats.org/officeDocument/2006/relationships/hyperlink" Target="https://docs.google.com/document/d/1StEQUgg0DdG61MF8-4mfq09rrv9NLcT7qfqHE2eQsnQ/edit?usp=drivesdk" TargetMode="External"/><Relationship Id="rId75" Type="http://schemas.openxmlformats.org/officeDocument/2006/relationships/hyperlink" Target="https://docs.google.com/document/d/1acVIuNRHP6o9EhpjLyK7BPUBmQo2wAa7dSOlClJFeIA/edit?usp=drivesdk" TargetMode="External"/><Relationship Id="rId91" Type="http://schemas.openxmlformats.org/officeDocument/2006/relationships/hyperlink" Target="https://docs.google.com/document/d/1_xpbSdAQxiV952g8DEviihzsJ9JvdoIja7XikkzE2jM/edit?usp=drivesdk" TargetMode="External"/><Relationship Id="rId96" Type="http://schemas.openxmlformats.org/officeDocument/2006/relationships/hyperlink" Target="https://docs.google.com/document/d/1c5DkI6jJ5VBQm3EWgcA563cNGIBizGgTtaIKGIJ2dE8/edit?usp=drivesdk" TargetMode="External"/><Relationship Id="rId140" Type="http://schemas.openxmlformats.org/officeDocument/2006/relationships/hyperlink" Target="https://docs.google.com/document/d/10B-Y9mtzPJLK-Vl1R2A-xzT2AB0jOcgS4S3pnj8j_Ks/edit?usp=drivesdk" TargetMode="External"/><Relationship Id="rId145" Type="http://schemas.openxmlformats.org/officeDocument/2006/relationships/hyperlink" Target="https://docs.google.com/document/d/1jLef7WH1ZWvUDuCPO5cYBeyKUgeRQ04zAG93ZEtwINk/edit?usp=drivesdk" TargetMode="External"/><Relationship Id="rId161" Type="http://schemas.openxmlformats.org/officeDocument/2006/relationships/hyperlink" Target="https://docs.google.com/document/d/1Rrrw9hXvd2dswIm7DTQzp7Bj3bZQddXoz6ZiVQaAymE/edit?usp=drivesdk" TargetMode="External"/><Relationship Id="rId166" Type="http://schemas.openxmlformats.org/officeDocument/2006/relationships/hyperlink" Target="https://docs.google.com/document/d/1OdROVKVnWNppbGnZBe8XQx4EcpL1Z_wheLxqjEAAvaY/edit?usp=drivesdk" TargetMode="External"/><Relationship Id="rId182" Type="http://schemas.openxmlformats.org/officeDocument/2006/relationships/hyperlink" Target="https://docs.google.com/document/d/1MdfvTIYnceoqzhRGfam7t0apLcYPKCV83LbdbuAQAkg/edit?usp=drivesdk" TargetMode="External"/><Relationship Id="rId187" Type="http://schemas.openxmlformats.org/officeDocument/2006/relationships/hyperlink" Target="https://docs.google.com/document/d/1urGKS6Hhgz61wxKnJxIwXPH6FT9q0n0PP04qBW5_huw/edit?usp=drivesdk" TargetMode="External"/><Relationship Id="rId1" Type="http://schemas.openxmlformats.org/officeDocument/2006/relationships/hyperlink" Target="https://drive.google.com/a/gtmnerr.org/file/d/1-xBJcM5t4rp1kF8CtiHFHCGIYOyemNCh/view?usp=drivesdk" TargetMode="External"/><Relationship Id="rId6" Type="http://schemas.openxmlformats.org/officeDocument/2006/relationships/hyperlink" Target="https://drive.google.com/a/gtmnerr.org/file/d/1UDcTZ57HVMirRLXojC9fGFCmlWToZDMk/view?usp=drivesdk" TargetMode="External"/><Relationship Id="rId23" Type="http://schemas.openxmlformats.org/officeDocument/2006/relationships/hyperlink" Target="https://docs.google.com/document/d/141YwKW4KI8Q1dzT2ZpYz1hJTIpHl_K-P_b2fL-FVL80/edit?usp=drivesdk" TargetMode="External"/><Relationship Id="rId28" Type="http://schemas.openxmlformats.org/officeDocument/2006/relationships/hyperlink" Target="https://docs.google.com/document/d/15XlgdKXD7KIdSk2IIAY4JghUF2KIMnTCytAv-cTrJKA/edit?usp=drivesdk" TargetMode="External"/><Relationship Id="rId49" Type="http://schemas.openxmlformats.org/officeDocument/2006/relationships/hyperlink" Target="https://docs.google.com/document/d/1_99TZLD-k-C9EsSVpSJNccEWzt4WrxyVPB59pY1zq1c/edit?usp=drivesdk" TargetMode="External"/><Relationship Id="rId114" Type="http://schemas.openxmlformats.org/officeDocument/2006/relationships/hyperlink" Target="https://docs.google.com/document/d/1kJHcvyhgyIpKw8P9mBqauadO_E-MGaX1yx9HngVDcEU/edit?usp=drivesdk" TargetMode="External"/><Relationship Id="rId119" Type="http://schemas.openxmlformats.org/officeDocument/2006/relationships/hyperlink" Target="https://docs.google.com/document/d/1vK2OVKgBHmbnDyydJiI28-r72XA9d-1diz04IeBEKo4/edit?usp=drivesdk" TargetMode="External"/><Relationship Id="rId44" Type="http://schemas.openxmlformats.org/officeDocument/2006/relationships/hyperlink" Target="https://docs.google.com/document/d/1QBVhj8T9wlvA9MtmpE0nIHEBCK43PFkjVDTBjO99NHM/edit?usp=drivesdk" TargetMode="External"/><Relationship Id="rId60" Type="http://schemas.openxmlformats.org/officeDocument/2006/relationships/hyperlink" Target="https://docs.google.com/document/d/1KwWbRZ0rfVkD6cgG4sahSuTzc2waIBHIwhs9aelaYeM/edit?usp=drivesdk" TargetMode="External"/><Relationship Id="rId65" Type="http://schemas.openxmlformats.org/officeDocument/2006/relationships/hyperlink" Target="https://docs.google.com/document/d/1FpILXcPLEtzulcfVT6SGTL70ibQT75O0hb2ZfXmGgmI/edit?usp=drivesdk" TargetMode="External"/><Relationship Id="rId81" Type="http://schemas.openxmlformats.org/officeDocument/2006/relationships/hyperlink" Target="https://docs.google.com/document/d/1_Jz1cLc_0eyZ6COebIUYyR_BuSj6Ej0LPmwxx-PUG2s/edit?usp=drivesdk" TargetMode="External"/><Relationship Id="rId86" Type="http://schemas.openxmlformats.org/officeDocument/2006/relationships/hyperlink" Target="https://docs.google.com/document/d/1cg_61x0Prb1H5bL7SShihaJ8nyb-k-Re1xSmZMw8yHQ/edit?usp=drivesdk" TargetMode="External"/><Relationship Id="rId130" Type="http://schemas.openxmlformats.org/officeDocument/2006/relationships/hyperlink" Target="https://docs.google.com/document/d/1vSRqTWP7CmpWxXBMw2pni-Z1VXWQUibiRPAhtbpU00M/edit?usp=drivesdk" TargetMode="External"/><Relationship Id="rId135" Type="http://schemas.openxmlformats.org/officeDocument/2006/relationships/hyperlink" Target="https://docs.google.com/document/d/19y2xBdaEYRCaUdOVOFVL8R13UVTXTgDmuMIsfnSUrpc/edit?usp=drivesdk" TargetMode="External"/><Relationship Id="rId151" Type="http://schemas.openxmlformats.org/officeDocument/2006/relationships/hyperlink" Target="https://docs.google.com/document/d/1RDmcLZdwMIRHDuujQWjczrbdq11SFvJ7BvyZZWaLJ_M/edit?usp=drivesdk" TargetMode="External"/><Relationship Id="rId156" Type="http://schemas.openxmlformats.org/officeDocument/2006/relationships/hyperlink" Target="https://docs.google.com/document/d/1Piq9pUUSz179ys6kT1N1gc9p86TbMAxgV-Uv5HnwE5E/edit?usp=drivesdk" TargetMode="External"/><Relationship Id="rId177" Type="http://schemas.openxmlformats.org/officeDocument/2006/relationships/hyperlink" Target="https://docs.google.com/document/d/1GVAYZH_XWuygN1DJkmLahy2vWDXRXeAZcQd7hsb812o/edit?usp=drivesdk" TargetMode="External"/><Relationship Id="rId198" Type="http://schemas.openxmlformats.org/officeDocument/2006/relationships/hyperlink" Target="https://docs.google.com/document/d/17RQ4Ys5vhUgH_js1ld3jCjcGkUV1G8rZmkNP458_zYM/edit?usp=drivesdk" TargetMode="External"/><Relationship Id="rId172" Type="http://schemas.openxmlformats.org/officeDocument/2006/relationships/hyperlink" Target="https://docs.google.com/document/d/1Ro8NJhnFBHEkHT8r9UkoHcGushyxmf7T7UxF2d3EPTo/edit?usp=drivesdk" TargetMode="External"/><Relationship Id="rId193" Type="http://schemas.openxmlformats.org/officeDocument/2006/relationships/hyperlink" Target="https://docs.google.com/document/d/1w5yvrJDRg-YgyWDyeVMe6dpoKT5A2GMePvS1bvcmC00/edit?usp=drivesdk" TargetMode="External"/><Relationship Id="rId13" Type="http://schemas.openxmlformats.org/officeDocument/2006/relationships/hyperlink" Target="https://drive.google.com/a/gtmnerr.org/file/d/1xtziDCcDw8NcS5SRk_17AU3Q8TKpQ1Z4/view?usp=drivesdk" TargetMode="External"/><Relationship Id="rId18" Type="http://schemas.openxmlformats.org/officeDocument/2006/relationships/hyperlink" Target="https://docs.google.com/document/d/1yuciw9UAQC0hXjE6C7ODRboAy7GXEhKwmAu3V1IstVw/edit?usp=drivesdk" TargetMode="External"/><Relationship Id="rId39" Type="http://schemas.openxmlformats.org/officeDocument/2006/relationships/hyperlink" Target="https://docs.google.com/document/d/1_HH9Z8-j5vEDahK3SVVb5cw1dwoAO7QFzxqAWGE-CnI/edit?usp=drivesdk" TargetMode="External"/><Relationship Id="rId109" Type="http://schemas.openxmlformats.org/officeDocument/2006/relationships/hyperlink" Target="https://docs.google.com/document/d/1XqXDCS49mMlYjyDJhRRyb2rd--vYYMQZl9cTt1SyJXY/edit?usp=drivesdk" TargetMode="External"/><Relationship Id="rId34" Type="http://schemas.openxmlformats.org/officeDocument/2006/relationships/hyperlink" Target="https://docs.google.com/document/d/12huri7tFQSawQjEXKj8ob1-TqT9eABr2dmxojMW4czY/edit?usp=drivesdk" TargetMode="External"/><Relationship Id="rId50" Type="http://schemas.openxmlformats.org/officeDocument/2006/relationships/hyperlink" Target="https://docs.google.com/document/d/1OT1kes3CIgU0ZoBNEpPtzP0zZ3y229Cg9-mTm6wn5UM/edit?usp=drivesdk" TargetMode="External"/><Relationship Id="rId55" Type="http://schemas.openxmlformats.org/officeDocument/2006/relationships/hyperlink" Target="https://docs.google.com/document/d/1Ad-FJGyHWoa6R8teeyJx_5DdPsF8CvyTVaG0dnm6hzA/edit?usp=drivesdk" TargetMode="External"/><Relationship Id="rId76" Type="http://schemas.openxmlformats.org/officeDocument/2006/relationships/hyperlink" Target="https://docs.google.com/document/d/1wU-ztvrplHNJ3Wq6k-7vP1L8aMRqh_hvA2p-U5wWUF0/edit?usp=drivesdk" TargetMode="External"/><Relationship Id="rId97" Type="http://schemas.openxmlformats.org/officeDocument/2006/relationships/hyperlink" Target="https://docs.google.com/document/d/17sdCynz09IpAwVH5o8CprezXdWWPeoNhVJw4691Iw8A/edit?usp=drivesdk" TargetMode="External"/><Relationship Id="rId104" Type="http://schemas.openxmlformats.org/officeDocument/2006/relationships/hyperlink" Target="https://docs.google.com/document/d/1q53uSpEdchRnj-Rtxaj4hDDzRXe32da2SRUUmKfdEYs/edit?usp=drivesdk" TargetMode="External"/><Relationship Id="rId120" Type="http://schemas.openxmlformats.org/officeDocument/2006/relationships/hyperlink" Target="https://docs.google.com/document/d/1pOCINOcEnSuc-joWQ1QIg6quFm4xBtL_1Iljg7H-ldU/edit?usp=drivesdk" TargetMode="External"/><Relationship Id="rId125" Type="http://schemas.openxmlformats.org/officeDocument/2006/relationships/hyperlink" Target="https://docs.google.com/document/d/13cBA5zcD8QJszQ_sgnLYt3r_hQFmNxCM9ctlDrF2yaI/edit?usp=drivesdk" TargetMode="External"/><Relationship Id="rId141" Type="http://schemas.openxmlformats.org/officeDocument/2006/relationships/hyperlink" Target="https://docs.google.com/document/d/1JqTnJCbGjhbLNmpNm8MVKYBsWfwqFc2Spby_NHY6YBU/edit?usp=drivesdk" TargetMode="External"/><Relationship Id="rId146" Type="http://schemas.openxmlformats.org/officeDocument/2006/relationships/hyperlink" Target="https://docs.google.com/document/d/1LuCtXJrW5W_uDwtAy3HfcI7oOa4lD8iG7UzSamPCoDk/edit?usp=drivesdk" TargetMode="External"/><Relationship Id="rId167" Type="http://schemas.openxmlformats.org/officeDocument/2006/relationships/hyperlink" Target="https://docs.google.com/document/d/19Pl4hL-nT5KCVnZ4JEMGc1icTwYZpi4m7pzITqh2Uto/edit?usp=drivesdk" TargetMode="External"/><Relationship Id="rId188" Type="http://schemas.openxmlformats.org/officeDocument/2006/relationships/hyperlink" Target="https://docs.google.com/document/d/1Uul-M4yHrQoQPnrQFZYN9DfqLTVHhiUvwWZpw-wNmWI/edit?usp=drivesdk" TargetMode="External"/><Relationship Id="rId7" Type="http://schemas.openxmlformats.org/officeDocument/2006/relationships/hyperlink" Target="https://drive.google.com/a/gtmnerr.org/file/d/1jgjcWdO9z2WyqZPvktwTx42rtdLSC_0a/view?usp=drivesdk" TargetMode="External"/><Relationship Id="rId71" Type="http://schemas.openxmlformats.org/officeDocument/2006/relationships/hyperlink" Target="https://docs.google.com/document/d/1fdR1XrqTv5cgCvbuRnVbbi9FDd6k8Mk-S0hm8LSStSE/edit?usp=drivesdk" TargetMode="External"/><Relationship Id="rId92" Type="http://schemas.openxmlformats.org/officeDocument/2006/relationships/hyperlink" Target="https://docs.google.com/document/d/1CEf7cA2GIPp1xy65JDmnWfxQvW39taVTsOsaX1Ue6ho/edit?usp=drivesdk" TargetMode="External"/><Relationship Id="rId162" Type="http://schemas.openxmlformats.org/officeDocument/2006/relationships/hyperlink" Target="https://docs.google.com/document/d/1HISdHTEExN4zHmyd24EnNJE9re7ldowomCTkQ-w64zU/edit?usp=drivesdk" TargetMode="External"/><Relationship Id="rId183" Type="http://schemas.openxmlformats.org/officeDocument/2006/relationships/hyperlink" Target="https://docs.google.com/document/d/1h0R2PZU0rvgtqbs53JDBEKKuDogTM-nMHYHY7C7YB0Q/edit?usp=drivesdk" TargetMode="External"/><Relationship Id="rId2" Type="http://schemas.openxmlformats.org/officeDocument/2006/relationships/hyperlink" Target="https://drive.google.com/a/gtmnerr.org/file/d/1PoGr328HmybT9p6Khc3j48PbR5wcYaea/view?usp=drivesdk" TargetMode="External"/><Relationship Id="rId29" Type="http://schemas.openxmlformats.org/officeDocument/2006/relationships/hyperlink" Target="https://docs.google.com/document/d/1v2wrRH98Mb6W56K8yPZheM1Zp9pKLMkjPI3HLleM2-E/edit?usp=drivesdk" TargetMode="External"/><Relationship Id="rId24" Type="http://schemas.openxmlformats.org/officeDocument/2006/relationships/hyperlink" Target="https://docs.google.com/document/d/11JZf3cCy2oWzUnb0sX9zgzWgWoI2_8xAwaHHjF2yHkM/edit?usp=drivesdk" TargetMode="External"/><Relationship Id="rId40" Type="http://schemas.openxmlformats.org/officeDocument/2006/relationships/hyperlink" Target="https://docs.google.com/document/d/1xPjlL2XpuJuVs9bhlQHaVaBJvaUVRrAiSl6QpD-EBQQ/edit?usp=drivesdk" TargetMode="External"/><Relationship Id="rId45" Type="http://schemas.openxmlformats.org/officeDocument/2006/relationships/hyperlink" Target="https://docs.google.com/document/d/18xsY3dGulHPGl_CAhmxP1foemiasC677-RRywmPh4mc/edit?usp=drivesdk" TargetMode="External"/><Relationship Id="rId66" Type="http://schemas.openxmlformats.org/officeDocument/2006/relationships/hyperlink" Target="https://docs.google.com/document/d/1XauK_Lwrv1Qt95jY2ZpwtpyOvOLtQrABuSS55AExW6U/edit?usp=drivesdk" TargetMode="External"/><Relationship Id="rId87" Type="http://schemas.openxmlformats.org/officeDocument/2006/relationships/hyperlink" Target="https://docs.google.com/document/d/1g6-SDWzTDxEaT_6esAFl7Ag0FmdmW2RSeVn4yz_-SWI/edit?usp=drivesdk" TargetMode="External"/><Relationship Id="rId110" Type="http://schemas.openxmlformats.org/officeDocument/2006/relationships/hyperlink" Target="https://docs.google.com/document/d/12qKaqDTA40f8qxQAUU_wtTRdEwjpjOsa3wmJ7Cm-CR0/edit?usp=drivesdk" TargetMode="External"/><Relationship Id="rId115" Type="http://schemas.openxmlformats.org/officeDocument/2006/relationships/hyperlink" Target="https://docs.google.com/document/d/1hlaZ7sS4mysE6nV8d7dJ53WrBvYx2rjjVBaLtrkEUXE/edit?usp=drivesdk" TargetMode="External"/><Relationship Id="rId131" Type="http://schemas.openxmlformats.org/officeDocument/2006/relationships/hyperlink" Target="https://docs.google.com/document/d/1L1Qa-gJZob4LNqDWn65q46mBvDTDwlLwU3zjXy1ncsw/edit?usp=drivesdk" TargetMode="External"/><Relationship Id="rId136" Type="http://schemas.openxmlformats.org/officeDocument/2006/relationships/hyperlink" Target="https://docs.google.com/document/d/1cZCSPnwhRfGhAyk0zgxcNQFgvBFuINflyXPMCG46zK4/edit?usp=drivesdk" TargetMode="External"/><Relationship Id="rId157" Type="http://schemas.openxmlformats.org/officeDocument/2006/relationships/hyperlink" Target="https://docs.google.com/document/d/1yRmCu21DibXxTmzuabRnKsTEkg4ImN6YDeiFUo9b1mQ/edit?usp=drivesdk" TargetMode="External"/><Relationship Id="rId178" Type="http://schemas.openxmlformats.org/officeDocument/2006/relationships/hyperlink" Target="https://docs.google.com/document/d/1A8RL1csPx-oiXdee1EdEvumxx2HabklDEO-iwGQ4XE4/edit?usp=drivesdk" TargetMode="External"/><Relationship Id="rId61" Type="http://schemas.openxmlformats.org/officeDocument/2006/relationships/hyperlink" Target="https://docs.google.com/document/d/18sH7tpcvRVPrnvu5INSV_e-yIKj2uGcQozGVLnx_pZU/edit?usp=drivesdk" TargetMode="External"/><Relationship Id="rId82" Type="http://schemas.openxmlformats.org/officeDocument/2006/relationships/hyperlink" Target="https://docs.google.com/document/d/1hYRN2pBVHw4Yusqyy9lepzKzhEppwr8z0-qaMhE2DYQ/edit?usp=drivesdk" TargetMode="External"/><Relationship Id="rId152" Type="http://schemas.openxmlformats.org/officeDocument/2006/relationships/hyperlink" Target="https://docs.google.com/document/d/1vhbaWsznObDXbxBjYZJm-c5mH0w0JZvCBOp-BzfpDKI/edit?usp=drivesdk" TargetMode="External"/><Relationship Id="rId173" Type="http://schemas.openxmlformats.org/officeDocument/2006/relationships/hyperlink" Target="https://docs.google.com/document/d/1oCIbNyJwXRwNMINWHnLOK0AHi7aUYV5hxePSeCyfP2Q/edit?usp=drivesdk" TargetMode="External"/><Relationship Id="rId194" Type="http://schemas.openxmlformats.org/officeDocument/2006/relationships/hyperlink" Target="https://docs.google.com/document/d/1UTMHhAq_kXygMb9yCTHtxEDXQXCiJxKdNDQMS38t11M/edit?usp=drivesdk" TargetMode="External"/><Relationship Id="rId199" Type="http://schemas.openxmlformats.org/officeDocument/2006/relationships/hyperlink" Target="https://docs.google.com/document/d/1sp3x5m3NjyONG81qm62pZZCQIhwJORfCMNu2kAoMkJc/edit?usp=drivesdk" TargetMode="External"/><Relationship Id="rId19" Type="http://schemas.openxmlformats.org/officeDocument/2006/relationships/hyperlink" Target="https://docs.google.com/document/d/1xUIhT2sRTDOWmpUEFwaZu47fXh5-6Kw9MpWVOIypX_Y/edit?usp=drivesdk" TargetMode="External"/><Relationship Id="rId14" Type="http://schemas.openxmlformats.org/officeDocument/2006/relationships/hyperlink" Target="https://drive.google.com/a/gtmnerr.org/file/d/1dZ2zFneiLNJ-LVQ0meYVs4oB71EuzBH6/view?usp=drivesdk" TargetMode="External"/><Relationship Id="rId30" Type="http://schemas.openxmlformats.org/officeDocument/2006/relationships/hyperlink" Target="https://docs.google.com/document/d/1v_EdmdvVGzhAN3sdHRshOKc3HcBBu2-dgl8Cd4de5UM/edit?usp=drivesdk" TargetMode="External"/><Relationship Id="rId35" Type="http://schemas.openxmlformats.org/officeDocument/2006/relationships/hyperlink" Target="https://docs.google.com/document/d/1NVKICve706r0YkCzp__mT8BDMJdF4QnbOgxRSabgmKc/edit?usp=drivesdk" TargetMode="External"/><Relationship Id="rId56" Type="http://schemas.openxmlformats.org/officeDocument/2006/relationships/hyperlink" Target="https://docs.google.com/document/d/1ZVWr_QqAdt-Iz7q9i3GNK8i0lyZgwCCfyxmlR1hJwkw/edit?usp=drivesdk" TargetMode="External"/><Relationship Id="rId77" Type="http://schemas.openxmlformats.org/officeDocument/2006/relationships/hyperlink" Target="https://docs.google.com/document/d/1cWHC30uCG8clysPvFjcXE45CuDzXqmgLp_YEJ8TY14o/edit?usp=drivesdk" TargetMode="External"/><Relationship Id="rId100" Type="http://schemas.openxmlformats.org/officeDocument/2006/relationships/hyperlink" Target="https://docs.google.com/document/d/1Zr-dHoYFPh8hWNtbTV1mMdu01l2o95lPBKDPC730sdw/edit?usp=drivesdk" TargetMode="External"/><Relationship Id="rId105" Type="http://schemas.openxmlformats.org/officeDocument/2006/relationships/hyperlink" Target="https://docs.google.com/document/d/1-b6Gewks7v19ieHsXcoC8h0jDEWW_u_gOcnr1iFkHVU/edit?usp=drivesdk" TargetMode="External"/><Relationship Id="rId126" Type="http://schemas.openxmlformats.org/officeDocument/2006/relationships/hyperlink" Target="https://docs.google.com/document/d/1LQqlIwHGCF52aRRtJim0ILCgeeS8U4NH2xgD9iHPfTc/edit?usp=drivesdk" TargetMode="External"/><Relationship Id="rId147" Type="http://schemas.openxmlformats.org/officeDocument/2006/relationships/hyperlink" Target="https://docs.google.com/document/d/165OlHMSD7QQspuLihMnA4iOz0DUxDdUqPxfmQ1cBeNs/edit?usp=drivesdk" TargetMode="External"/><Relationship Id="rId168" Type="http://schemas.openxmlformats.org/officeDocument/2006/relationships/hyperlink" Target="https://docs.google.com/document/d/1i7gzGMRtKsIfqsAqJWP2driUwJ2sHFfr9kkmwR3CAzc/edit?usp=drivesdk" TargetMode="External"/><Relationship Id="rId8" Type="http://schemas.openxmlformats.org/officeDocument/2006/relationships/hyperlink" Target="https://drive.google.com/a/gtmnerr.org/file/d/1xdZPUxBQL3Q04nu9hZKEqU5OAwvcXjY4/view?usp=drivesdk" TargetMode="External"/><Relationship Id="rId51" Type="http://schemas.openxmlformats.org/officeDocument/2006/relationships/hyperlink" Target="https://docs.google.com/document/d/1f4rCTUh5g2HKvT37iHIzLi2xkFwrlxrV8ZlB-EPRd_0/edit?usp=drivesdk" TargetMode="External"/><Relationship Id="rId72" Type="http://schemas.openxmlformats.org/officeDocument/2006/relationships/hyperlink" Target="https://docs.google.com/document/d/1B6fzv88D5-nJ8bnEEW7BlQPXBFnv4G5EWzrYGS9Jm9w/edit?usp=drivesdk" TargetMode="External"/><Relationship Id="rId93" Type="http://schemas.openxmlformats.org/officeDocument/2006/relationships/hyperlink" Target="https://docs.google.com/document/d/1_f4X9tN9ILtz5QvdB_rIlrFD1AFhQW601asBRe7AfEg/edit?usp=drivesdk" TargetMode="External"/><Relationship Id="rId98" Type="http://schemas.openxmlformats.org/officeDocument/2006/relationships/hyperlink" Target="https://docs.google.com/document/d/1ewslJEYMYiLWpQVfKwKUIdB5aER5uzJ2SHLwyC5bnho/edit?usp=drivesdk" TargetMode="External"/><Relationship Id="rId121" Type="http://schemas.openxmlformats.org/officeDocument/2006/relationships/hyperlink" Target="https://docs.google.com/document/d/1horU_i0hM4yRqRXVdDj8o-byRvvnkNKOrgAhhkzyH94/edit?usp=drivesdk" TargetMode="External"/><Relationship Id="rId142" Type="http://schemas.openxmlformats.org/officeDocument/2006/relationships/hyperlink" Target="https://docs.google.com/document/d/1OeQTHLSFGSAT31agDkq7pmB0XfjKbGB3H-0rpdiqzEk/edit?usp=drivesdk" TargetMode="External"/><Relationship Id="rId163" Type="http://schemas.openxmlformats.org/officeDocument/2006/relationships/hyperlink" Target="https://docs.google.com/document/d/1Gx8Cm5JStNGnczb9BENMG9AfAMxlxOh8pLjeAEIKSJ8/edit?usp=drivesdk" TargetMode="External"/><Relationship Id="rId184" Type="http://schemas.openxmlformats.org/officeDocument/2006/relationships/hyperlink" Target="https://docs.google.com/document/d/1zstXvM6CwDhboX8ljkxSJeWbw2aJlIOMC9rK3xtsd2U/edit?usp=drivesdk" TargetMode="External"/><Relationship Id="rId189" Type="http://schemas.openxmlformats.org/officeDocument/2006/relationships/hyperlink" Target="https://docs.google.com/document/d/11wDe1iSta-uPiSj3aBwpM_PUcVB86619YC5CLL_mQ-I/edit?usp=drivesdk" TargetMode="External"/><Relationship Id="rId3" Type="http://schemas.openxmlformats.org/officeDocument/2006/relationships/hyperlink" Target="https://drive.google.com/a/gtmnerr.org/file/d/1lZDSHrj3qsq_O52lhKl_J8Ol3Ppm2wpf/view?usp=drivesdk" TargetMode="External"/><Relationship Id="rId25" Type="http://schemas.openxmlformats.org/officeDocument/2006/relationships/hyperlink" Target="https://docs.google.com/document/d/1eL5Q6SNkiPmg7jIbli2gKBq4HNhYtjpYK0Xasr2D1E4/edit?usp=drivesdk" TargetMode="External"/><Relationship Id="rId46" Type="http://schemas.openxmlformats.org/officeDocument/2006/relationships/hyperlink" Target="https://docs.google.com/document/d/1GGxNyt9MBnblp9Zx3L_z8an_bzsgGlS6W15cDVnm3fk/edit?usp=drivesdk" TargetMode="External"/><Relationship Id="rId67" Type="http://schemas.openxmlformats.org/officeDocument/2006/relationships/hyperlink" Target="https://docs.google.com/document/d/1jQ1Oq7IYAKkafOHydGGQLYmkCHw1ud0uqub5wzV9okc/edit?usp=drivesdk" TargetMode="External"/><Relationship Id="rId116" Type="http://schemas.openxmlformats.org/officeDocument/2006/relationships/hyperlink" Target="https://docs.google.com/document/d/1uWaH_X62R2Liuv1Udb-7AgjTcZgYdkQkjrG1FW0qql4/edit?usp=drivesdk" TargetMode="External"/><Relationship Id="rId137" Type="http://schemas.openxmlformats.org/officeDocument/2006/relationships/hyperlink" Target="https://docs.google.com/document/d/10rU4XDlqfzQWaY9r_oxgwKKaIF7s4-1zNcxL46nYc7c/edit?usp=drivesdk" TargetMode="External"/><Relationship Id="rId158" Type="http://schemas.openxmlformats.org/officeDocument/2006/relationships/hyperlink" Target="https://docs.google.com/document/d/1RX_gUfr2Cwzo06Md2uxfQ1lOEGgjQtJf8J9lleJZCOQ/edit?usp=drivesdk" TargetMode="External"/><Relationship Id="rId20" Type="http://schemas.openxmlformats.org/officeDocument/2006/relationships/hyperlink" Target="https://docs.google.com/document/d/1JEa1CEgHyehbkiQb0UeiGakohFPxlUdscuddwbzrIxE/edit?usp=drivesdk" TargetMode="External"/><Relationship Id="rId41" Type="http://schemas.openxmlformats.org/officeDocument/2006/relationships/hyperlink" Target="https://docs.google.com/document/d/1Z8dAn-NJRpmpNLlG1zkbjukS7RuYIXNvx0IZ730X_Lk/edit?usp=drivesdk" TargetMode="External"/><Relationship Id="rId62" Type="http://schemas.openxmlformats.org/officeDocument/2006/relationships/hyperlink" Target="https://docs.google.com/document/d/1v7q-IULNLh2s7jlsl-iuhE7Fi_UIkWYnjOZQaPhKCSs/edit?usp=drivesdk" TargetMode="External"/><Relationship Id="rId83" Type="http://schemas.openxmlformats.org/officeDocument/2006/relationships/hyperlink" Target="https://docs.google.com/document/d/1Yf58Vo3igrV_L3FTGJfaglDeuNiDkG2mScsf6Af2oGg/edit?usp=drivesdk" TargetMode="External"/><Relationship Id="rId88" Type="http://schemas.openxmlformats.org/officeDocument/2006/relationships/hyperlink" Target="https://docs.google.com/document/d/1DymsQ1HeGPgIcWUJTZNcP4_6Zo3y4_qnZSDka3MTvQk/edit?usp=drivesdk" TargetMode="External"/><Relationship Id="rId111" Type="http://schemas.openxmlformats.org/officeDocument/2006/relationships/hyperlink" Target="https://docs.google.com/document/d/1n6ckOJjtT5Kbqv-5GwvO7IK8Y_xs2-jWe9dPvarxoEo/edit?usp=drivesdk" TargetMode="External"/><Relationship Id="rId132" Type="http://schemas.openxmlformats.org/officeDocument/2006/relationships/hyperlink" Target="https://docs.google.com/document/d/1BEemg3yUgKS4kZmHueWdHy0Eq3TwI6BuvwXCR9oCHpE/edit?usp=drivesdk" TargetMode="External"/><Relationship Id="rId153" Type="http://schemas.openxmlformats.org/officeDocument/2006/relationships/hyperlink" Target="https://docs.google.com/document/d/1ZNjLR5XjuWTsIS-2tFfq5tQYsgGh-MACWxn2ZoDEOuU/edit?usp=drivesdk" TargetMode="External"/><Relationship Id="rId174" Type="http://schemas.openxmlformats.org/officeDocument/2006/relationships/hyperlink" Target="https://docs.google.com/document/d/1UytU1qoyfwDOxvXCNFzuyxYJSlOMrr0F6BOQspPMTz0/edit?usp=drivesdk" TargetMode="External"/><Relationship Id="rId179" Type="http://schemas.openxmlformats.org/officeDocument/2006/relationships/hyperlink" Target="https://docs.google.com/document/d/1oTcfsWZOgZYgI5Fy-XeM-Rzu-vTXU288StIZED4uEX8/edit?usp=drivesdk" TargetMode="External"/><Relationship Id="rId195" Type="http://schemas.openxmlformats.org/officeDocument/2006/relationships/hyperlink" Target="https://docs.google.com/document/d/1SXZqdzN-q45bqHiSwks60gp_1yChmg6o0A3CtR_bRFY/edit?usp=drivesdk" TargetMode="External"/><Relationship Id="rId190" Type="http://schemas.openxmlformats.org/officeDocument/2006/relationships/hyperlink" Target="https://docs.google.com/document/d/16OYOj5TIsxB7aLpe8-WmMHmeLPl3WJceZcqhaNcR8ug/edit?usp=drivesdk" TargetMode="External"/><Relationship Id="rId15" Type="http://schemas.openxmlformats.org/officeDocument/2006/relationships/hyperlink" Target="https://drive.google.com/a/gtmnerr.org/file/d/1iSoKHDcZ4JzQNG4JwzRoVeKu0BXy7IBM/view?usp=drivesdk" TargetMode="External"/><Relationship Id="rId36" Type="http://schemas.openxmlformats.org/officeDocument/2006/relationships/hyperlink" Target="https://docs.google.com/document/d/1As9djMbo-ypJ-TIGH9yy3dPkMxR0WI1KMjZ3T-YgY3o/edit?usp=drivesdk" TargetMode="External"/><Relationship Id="rId57" Type="http://schemas.openxmlformats.org/officeDocument/2006/relationships/hyperlink" Target="https://docs.google.com/document/d/1segsGRdC7iRishkJwC9X3suCxEE9-PDWq8OEnJz3WW4/edit?usp=drivesdk" TargetMode="External"/><Relationship Id="rId106" Type="http://schemas.openxmlformats.org/officeDocument/2006/relationships/hyperlink" Target="https://docs.google.com/document/d/1FbfrpXrmysodX8qvntPP4u8abx1oSvLdYgvdnAhlqV4/edit?usp=drivesdk" TargetMode="External"/><Relationship Id="rId127" Type="http://schemas.openxmlformats.org/officeDocument/2006/relationships/hyperlink" Target="https://docs.google.com/document/d/19gtAry6vLFmaQvsDWVMoI53O_6Z53p6xfjK01wQTQ_Y/edit?usp=drivesdk" TargetMode="External"/><Relationship Id="rId10" Type="http://schemas.openxmlformats.org/officeDocument/2006/relationships/hyperlink" Target="https://drive.google.com/a/gtmnerr.org/file/d/1VQkdorZRbfabc3AEa7o8ja86ZuyLfsIJ/view?usp=drivesdk" TargetMode="External"/><Relationship Id="rId31" Type="http://schemas.openxmlformats.org/officeDocument/2006/relationships/hyperlink" Target="https://docs.google.com/document/d/1aRzzSkR4_IR2TrYGXtPq9lf_h_sywa9CZFinxHZ5IvA/edit?usp=drivesdk" TargetMode="External"/><Relationship Id="rId52" Type="http://schemas.openxmlformats.org/officeDocument/2006/relationships/hyperlink" Target="https://docs.google.com/document/d/1omI7AifJyv7VBder7xWpamlAqbP_DccSbkNyJKL1wJk/edit?usp=drivesdk" TargetMode="External"/><Relationship Id="rId73" Type="http://schemas.openxmlformats.org/officeDocument/2006/relationships/hyperlink" Target="https://docs.google.com/document/d/1g5f9yPdc6uaO_l9y9K3YLZPe5ak-o0BxRUX5eZ2dmP0/edit?usp=drivesdk" TargetMode="External"/><Relationship Id="rId78" Type="http://schemas.openxmlformats.org/officeDocument/2006/relationships/hyperlink" Target="https://docs.google.com/document/d/15JSaSCbxrJwu6kwkLTnDA9-lYy2XQUHFjS2JiRUKLGM/edit?usp=drivesdk" TargetMode="External"/><Relationship Id="rId94" Type="http://schemas.openxmlformats.org/officeDocument/2006/relationships/hyperlink" Target="https://docs.google.com/document/d/1gFmRMe2zpH3j4wfW__4Oo9qMajLX3jmZ0kcbMSYh65A/edit?usp=drivesdk" TargetMode="External"/><Relationship Id="rId99" Type="http://schemas.openxmlformats.org/officeDocument/2006/relationships/hyperlink" Target="https://docs.google.com/document/d/1UoUokpEmpx5df0h6r4uANvSRcZZUW8I676NwUPCYPfg/edit?usp=drivesdk" TargetMode="External"/><Relationship Id="rId101" Type="http://schemas.openxmlformats.org/officeDocument/2006/relationships/hyperlink" Target="https://docs.google.com/document/d/1ERbNqlmZ7cO96gpNW3hInnDf7lFEo276aaUSKUXyTaw/edit?usp=drivesdk" TargetMode="External"/><Relationship Id="rId122" Type="http://schemas.openxmlformats.org/officeDocument/2006/relationships/hyperlink" Target="https://docs.google.com/document/d/1cwuPEokQaH8ROzsr7i8PtwhzKFzoCSG6aC6VvMPnr4c/edit?usp=drivesdk" TargetMode="External"/><Relationship Id="rId143" Type="http://schemas.openxmlformats.org/officeDocument/2006/relationships/hyperlink" Target="https://docs.google.com/document/d/1h91QH6PngBZUaCNZ-MO08urM96IecrjSB_niSTukIOo/edit?usp=drivesdk" TargetMode="External"/><Relationship Id="rId148" Type="http://schemas.openxmlformats.org/officeDocument/2006/relationships/hyperlink" Target="https://docs.google.com/document/d/1L1XIyzHuHRQHoWUjLZVh96I0pkX6GW-koS18WeV4S5A/edit?usp=drivesdk" TargetMode="External"/><Relationship Id="rId164" Type="http://schemas.openxmlformats.org/officeDocument/2006/relationships/hyperlink" Target="https://docs.google.com/document/d/17M5r-E0k9v_FKlTFq_QQgPbH7eVdZ0U53IGJR24U6D0/edit?usp=drivesdk" TargetMode="External"/><Relationship Id="rId169" Type="http://schemas.openxmlformats.org/officeDocument/2006/relationships/hyperlink" Target="https://docs.google.com/document/d/1633f9rTaCMPyS4IZy7tFzPfoCMpeoOCM4AqFBr6ZdaU/edit?usp=drivesdk" TargetMode="External"/><Relationship Id="rId185" Type="http://schemas.openxmlformats.org/officeDocument/2006/relationships/hyperlink" Target="https://docs.google.com/document/d/1YjoS9sKmNES22k8xi23oxX83WayzKLWesHbnmpWte98/edit?usp=drivesdk" TargetMode="External"/><Relationship Id="rId4" Type="http://schemas.openxmlformats.org/officeDocument/2006/relationships/hyperlink" Target="https://drive.google.com/a/gtmnerr.org/file/d/1QvAZ7R1p5_SFBt5mF93Am43VNlxMzFTn/view?usp=drivesdk" TargetMode="External"/><Relationship Id="rId9" Type="http://schemas.openxmlformats.org/officeDocument/2006/relationships/hyperlink" Target="https://drive.google.com/a/gtmnerr.org/file/d/1CqRffsFMJFT8y9LOWdRzM3m5rD9ZeP2D/view?usp=drivesdk" TargetMode="External"/><Relationship Id="rId180" Type="http://schemas.openxmlformats.org/officeDocument/2006/relationships/hyperlink" Target="https://docs.google.com/document/d/1hauw2vE5xdSX1EdBY3STcNLUeeUqh_H2hN1zo1cocKU/edit?usp=drivesdk" TargetMode="External"/><Relationship Id="rId26" Type="http://schemas.openxmlformats.org/officeDocument/2006/relationships/hyperlink" Target="https://docs.google.com/document/d/1pqxIs0u3K7GhvcOKvyC8IjsZWvGnhWY4BbRyjvR0EHs/edit?usp=drivesdk" TargetMode="External"/><Relationship Id="rId47" Type="http://schemas.openxmlformats.org/officeDocument/2006/relationships/hyperlink" Target="https://docs.google.com/document/d/1Meihg5Jrur5EeX5nc6SpgFu2CqSqHvOVRaDjMu8Kzjw/edit?usp=drivesdk" TargetMode="External"/><Relationship Id="rId68" Type="http://schemas.openxmlformats.org/officeDocument/2006/relationships/hyperlink" Target="https://docs.google.com/document/d/1XiMLRnysfffxhmnRhmieWEnwz45lXHcfCtEJfVr3uy4/edit?usp=drivesdk" TargetMode="External"/><Relationship Id="rId89" Type="http://schemas.openxmlformats.org/officeDocument/2006/relationships/hyperlink" Target="https://docs.google.com/document/d/1M1nSKDRh8KbBXalT-n5-pUJ-LMgc4RpRlvCNRApVBRo/edit?usp=drivesdk" TargetMode="External"/><Relationship Id="rId112" Type="http://schemas.openxmlformats.org/officeDocument/2006/relationships/hyperlink" Target="https://docs.google.com/document/d/1Lmr6ukcytK5A4BRLAWOczZ0_erfF7eQyrndmyQl55_4/edit?usp=drivesdk" TargetMode="External"/><Relationship Id="rId133" Type="http://schemas.openxmlformats.org/officeDocument/2006/relationships/hyperlink" Target="https://docs.google.com/document/d/13L1BLRxELDJtkWSeTmCGPwxwpJo_bGihEn16D1Ndh94/edit?usp=drivesdk" TargetMode="External"/><Relationship Id="rId154" Type="http://schemas.openxmlformats.org/officeDocument/2006/relationships/hyperlink" Target="https://docs.google.com/document/d/1KDW4JIx-TDLtUs2oIxpu-004J3DLKclKRdUK1ysIZ4w/edit?usp=drivesdk" TargetMode="External"/><Relationship Id="rId175" Type="http://schemas.openxmlformats.org/officeDocument/2006/relationships/hyperlink" Target="https://docs.google.com/document/d/1WPXaA7dO7Ju4PLovG3d8P_hfoKL3mzHt2dO7NERh5Nc/edit?usp=drives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AL1475"/>
  <sheetViews>
    <sheetView tabSelected="1" workbookViewId="0">
      <pane xSplit="4" ySplit="1" topLeftCell="E2" activePane="bottomRight" state="frozen"/>
      <selection pane="topRight" activeCell="E1" sqref="E1"/>
      <selection pane="bottomLeft" activeCell="A2" sqref="A2"/>
      <selection pane="bottomRight" activeCell="E2" sqref="E2"/>
    </sheetView>
  </sheetViews>
  <sheetFormatPr defaultColWidth="12.5703125" defaultRowHeight="15.75" customHeight="1"/>
  <cols>
    <col min="4" max="4" width="16.7109375" customWidth="1"/>
    <col min="6" max="6" width="18" customWidth="1"/>
    <col min="7" max="7" width="24" customWidth="1"/>
    <col min="8" max="8" width="22.5703125" customWidth="1"/>
    <col min="9" max="9" width="16.5703125" customWidth="1"/>
    <col min="10" max="10" width="28.5703125" customWidth="1"/>
    <col min="13" max="13" width="41.85546875" customWidth="1"/>
    <col min="14" max="14" width="43.28515625" customWidth="1"/>
    <col min="15" max="15" width="95.42578125" customWidth="1"/>
    <col min="31" max="31" width="22.7109375" customWidth="1"/>
    <col min="32" max="32" width="28.140625" customWidth="1"/>
    <col min="33" max="33" width="17.28515625" customWidth="1"/>
    <col min="34" max="34" width="18.85546875" customWidth="1"/>
    <col min="35" max="35" width="45.5703125" customWidth="1"/>
    <col min="36" max="36" width="90.85546875" customWidth="1"/>
    <col min="37" max="37" width="59.28515625" customWidth="1"/>
    <col min="38" max="38" width="289.5703125" customWidth="1"/>
  </cols>
  <sheetData>
    <row r="1" spans="1:38" ht="15.75" customHeight="1">
      <c r="A1" s="1" t="str">
        <f ca="1">IFERROR(__xludf.DUMMYFUNCTION("QUERY('Form Responses 2'!A1:AE1475,""select A, B, C, D, E, AE, F, G, H, I, J, K, L, M, N, O, P, Q, R, S, T, U, V, W, X, Y, Z, AA, AB, AC, AD"")"),"Timestamp")</f>
        <v>Timestamp</v>
      </c>
      <c r="B1" s="2" t="str">
        <f ca="1">IFERROR(__xludf.DUMMYFUNCTION("""COMPUTED_VALUE"""),"YOUR NAME")</f>
        <v>YOUR NAME</v>
      </c>
      <c r="C1" s="1" t="str">
        <f ca="1">IFERROR(__xludf.DUMMYFUNCTION("""COMPUTED_VALUE"""),"YOUR EMAIL")</f>
        <v>YOUR EMAIL</v>
      </c>
      <c r="D1" s="1" t="str">
        <f ca="1">IFERROR(__xludf.DUMMYFUNCTION("""COMPUTED_VALUE"""),"Float Plan Holder")</f>
        <v>Float Plan Holder</v>
      </c>
      <c r="E1" s="1" t="str">
        <f ca="1">IFERROR(__xludf.DUMMYFUNCTION("""COMPUTED_VALUE"""),"BOAT RAMP")</f>
        <v>BOAT RAMP</v>
      </c>
      <c r="F1" s="3" t="str">
        <f ca="1">IFERROR(__xludf.DUMMYFUNCTION("""COMPUTED_VALUE"""),"Time you plan to launch")</f>
        <v>Time you plan to launch</v>
      </c>
      <c r="G1" s="4" t="str">
        <f ca="1">IFERROR(__xludf.DUMMYFUNCTION("""COMPUTED_VALUE"""),"Date you plan to launch")</f>
        <v>Date you plan to launch</v>
      </c>
      <c r="H1" s="1" t="str">
        <f ca="1">IFERROR(__xludf.DUMMYFUNCTION("""COMPUTED_VALUE"""),"Destination")</f>
        <v>Destination</v>
      </c>
      <c r="I1" s="5" t="str">
        <f ca="1">IFERROR(__xludf.DUMMYFUNCTION("""COMPUTED_VALUE"""),"Estimated time off the water")</f>
        <v>Estimated time off the water</v>
      </c>
      <c r="J1" s="1" t="str">
        <f ca="1">IFERROR(__xludf.DUMMYFUNCTION("""COMPUTED_VALUE"""),"Time return to office (best estimate)")</f>
        <v>Time return to office (best estimate)</v>
      </c>
      <c r="K1" s="1" t="str">
        <f ca="1">IFERROR(__xludf.DUMMYFUNCTION("""COMPUTED_VALUE"""),"Vessel Details")</f>
        <v>Vessel Details</v>
      </c>
      <c r="L1" s="1" t="str">
        <f ca="1">IFERROR(__xludf.DUMMYFUNCTION("""COMPUTED_VALUE"""),"If you selected Canoe(s) or Kayak(s), how many are you taking?")</f>
        <v>If you selected Canoe(s) or Kayak(s), how many are you taking?</v>
      </c>
      <c r="M1" s="1" t="str">
        <f ca="1">IFERROR(__xludf.DUMMYFUNCTION("""COMPUTED_VALUE"""),"Towing Vehicle")</f>
        <v>Towing Vehicle</v>
      </c>
      <c r="N1" s="1" t="str">
        <f ca="1">IFERROR(__xludf.DUMMYFUNCTION("""COMPUTED_VALUE"""),"Who is (are) the Certified Operator(s)?")</f>
        <v>Who is (are) the Certified Operator(s)?</v>
      </c>
      <c r="O1" s="1" t="str">
        <f ca="1">IFERROR(__xludf.DUMMYFUNCTION("""COMPUTED_VALUE"""),"Who is (are) the other individuals on-board?")</f>
        <v>Who is (are) the other individuals on-board?</v>
      </c>
      <c r="P1" s="1" t="str">
        <f ca="1">IFERROR(__xludf.DUMMYFUNCTION("""COMPUTED_VALUE"""),"Who is the primary Captain?")</f>
        <v>Who is the primary Captain?</v>
      </c>
      <c r="Q1" s="1" t="str">
        <f ca="1">IFERROR(__xludf.DUMMYFUNCTION("""COMPUTED_VALUE""")," [Trailer Lights, Tire Pressure, Boat Box with Keys, Tool Kit, PFD's for every passenger, Type IV Throwable, Fuel, Battery, Radio/Cell Check, Anchor &amp; Line, Paddles and/or Push Pole, Boat Hook, First-Aid Kit, Whistle/Horn, Signal Devices, Fire Extinguishe"&amp;"r, Navigation Lights]")</f>
        <v xml:space="preserve"> [Trailer Lights, Tire Pressure, Boat Box with Keys, Tool Kit, PFD's for every passenger, Type IV Throwable, Fuel, Battery, Radio/Cell Check, Anchor &amp; Line, Paddles and/or Push Pole, Boat Hook, First-Aid Kit, Whistle/Horn, Signal Devices, Fire Extinguisher, Navigation Lights]</v>
      </c>
      <c r="R1" s="1" t="str">
        <f ca="1">IFERROR(__xludf.DUMMYFUNCTION("""COMPUTED_VALUE""")," [Tool Kit]")</f>
        <v xml:space="preserve"> [Tool Kit]</v>
      </c>
      <c r="S1" s="1" t="str">
        <f ca="1">IFERROR(__xludf.DUMMYFUNCTION("""COMPUTED_VALUE""")," [PFD's and Type IV throwable]")</f>
        <v xml:space="preserve"> [PFD's and Type IV throwable]</v>
      </c>
      <c r="T1" s="1" t="str">
        <f ca="1">IFERROR(__xludf.DUMMYFUNCTION("""COMPUTED_VALUE""")," [Fuel, Battery, and Radio/Cell Check]")</f>
        <v xml:space="preserve"> [Fuel, Battery, and Radio/Cell Check]</v>
      </c>
      <c r="U1" s="1" t="str">
        <f ca="1">IFERROR(__xludf.DUMMYFUNCTION("""COMPUTED_VALUE""")," [Anchor and Line]")</f>
        <v xml:space="preserve"> [Anchor and Line]</v>
      </c>
      <c r="V1" s="1" t="str">
        <f ca="1">IFERROR(__xludf.DUMMYFUNCTION("""COMPUTED_VALUE""")," [Paddles, Push Pole]")</f>
        <v xml:space="preserve"> [Paddles, Push Pole]</v>
      </c>
      <c r="W1" s="1" t="str">
        <f ca="1">IFERROR(__xludf.DUMMYFUNCTION("""COMPUTED_VALUE""")," [Boat Hook]")</f>
        <v xml:space="preserve"> [Boat Hook]</v>
      </c>
      <c r="X1" s="1" t="str">
        <f ca="1">IFERROR(__xludf.DUMMYFUNCTION("""COMPUTED_VALUE""")," [First-Aid Kit]")</f>
        <v xml:space="preserve"> [First-Aid Kit]</v>
      </c>
      <c r="Y1" s="1" t="str">
        <f ca="1">IFERROR(__xludf.DUMMYFUNCTION("""COMPUTED_VALUE""")," [Whistle/ Horn]")</f>
        <v xml:space="preserve"> [Whistle/ Horn]</v>
      </c>
      <c r="Z1" s="1" t="str">
        <f ca="1">IFERROR(__xludf.DUMMYFUNCTION("""COMPUTED_VALUE""")," [Signal Devices]")</f>
        <v xml:space="preserve"> [Signal Devices]</v>
      </c>
      <c r="AA1" s="1" t="str">
        <f ca="1">IFERROR(__xludf.DUMMYFUNCTION("""COMPUTED_VALUE""")," [Fire Extinguisher]")</f>
        <v xml:space="preserve"> [Fire Extinguisher]</v>
      </c>
      <c r="AB1" s="1" t="str">
        <f ca="1">IFERROR(__xludf.DUMMYFUNCTION("""COMPUTED_VALUE""")," [Trailer and Boat Lights]")</f>
        <v xml:space="preserve"> [Trailer and Boat Lights]</v>
      </c>
      <c r="AC1" s="1" t="str">
        <f ca="1">IFERROR(__xludf.DUMMYFUNCTION("""COMPUTED_VALUE""")," [Tire Pressure]")</f>
        <v xml:space="preserve"> [Tire Pressure]</v>
      </c>
      <c r="AD1" s="1" t="str">
        <f ca="1">IFERROR(__xludf.DUMMYFUNCTION("""COMPUTED_VALUE"""),"Check the Weather (Optional)")</f>
        <v>Check the Weather (Optional)</v>
      </c>
      <c r="AE1" s="1" t="str">
        <f ca="1">IFERROR(__xludf.DUMMYFUNCTION("""COMPUTED_VALUE"""),"Check the Tides (Optional)")</f>
        <v>Check the Tides (Optional)</v>
      </c>
      <c r="AF1" s="6" t="s">
        <v>0</v>
      </c>
      <c r="AG1" s="7" t="s">
        <v>1</v>
      </c>
      <c r="AH1" s="8" t="s">
        <v>2</v>
      </c>
      <c r="AI1" s="9" t="s">
        <v>3</v>
      </c>
      <c r="AJ1" s="9" t="s">
        <v>4</v>
      </c>
      <c r="AK1" s="9" t="s">
        <v>5</v>
      </c>
      <c r="AL1" s="9" t="s">
        <v>6</v>
      </c>
    </row>
    <row r="2" spans="1:38" ht="15.75" customHeight="1">
      <c r="A2" s="10">
        <f ca="1">IFERROR(__xludf.DUMMYFUNCTION("""COMPUTED_VALUE"""),42342.6323527893)</f>
        <v>42342.632352789296</v>
      </c>
      <c r="B2" s="11" t="str">
        <f ca="1">IFERROR(__xludf.DUMMYFUNCTION("""COMPUTED_VALUE"""),"Kenneth Rainer")</f>
        <v>Kenneth Rainer</v>
      </c>
      <c r="C2" t="str">
        <f ca="1">IFERROR(__xludf.DUMMYFUNCTION("""COMPUTED_VALUE"""),"KennethCRainer@gmail.com")</f>
        <v>KennethCRainer@gmail.com</v>
      </c>
      <c r="D2" s="12" t="str">
        <f ca="1">IFERROR(__xludf.DUMMYFUNCTION("""COMPUTED_VALUE"""),"Research/Pam")</f>
        <v>Research/Pam</v>
      </c>
      <c r="E2" t="str">
        <f ca="1">IFERROR(__xludf.DUMMYFUNCTION("""COMPUTED_VALUE"""),"Aunt Kate's")</f>
        <v>Aunt Kate's</v>
      </c>
      <c r="F2" s="13"/>
      <c r="G2" s="14">
        <f ca="1">IFERROR(__xludf.DUMMYFUNCTION("""COMPUTED_VALUE"""),42342)</f>
        <v>42342</v>
      </c>
      <c r="H2" t="str">
        <f ca="1">IFERROR(__xludf.DUMMYFUNCTION("""COMPUTED_VALUE"""),"Field Station")</f>
        <v>Field Station</v>
      </c>
      <c r="I2" s="15">
        <f ca="1">IFERROR(__xludf.DUMMYFUNCTION("""COMPUTED_VALUE"""),0.0625)</f>
        <v>6.25E-2</v>
      </c>
      <c r="J2" s="16">
        <f ca="1">IFERROR(__xludf.DUMMYFUNCTION("""COMPUTED_VALUE"""),0.666666666667879)</f>
        <v>0.66666666666787899</v>
      </c>
      <c r="K2" t="str">
        <f ca="1">IFERROR(__xludf.DUMMYFUNCTION("""COMPUTED_VALUE"""),"17ft Skill FL0642GW DEP07239")</f>
        <v>17ft Skill FL0642GW DEP07239</v>
      </c>
      <c r="M2" t="str">
        <f ca="1">IFERROR(__xludf.DUMMYFUNCTION("""COMPUTED_VALUE"""),"Ford F150 2015 (White) - DEP21448")</f>
        <v>Ford F150 2015 (White) - DEP21448</v>
      </c>
      <c r="N2" t="str">
        <f ca="1">IFERROR(__xludf.DUMMYFUNCTION("""COMPUTED_VALUE"""),"Nikki Dix, (352) 219-4079, Pam Marcum, (480) 332-5414")</f>
        <v>Nikki Dix, (352) 219-4079, Pam Marcum, (480) 332-5414</v>
      </c>
      <c r="O2" t="str">
        <f ca="1">IFERROR(__xludf.DUMMYFUNCTION("""COMPUTED_VALUE"""),"Joseph Burgess, Katie Petrinec, (904) 891-2956, Kenneth Rainer, (936) 499-1853, Matt Welsh, (904) 705-5617")</f>
        <v>Joseph Burgess, Katie Petrinec, (904) 891-2956, Kenneth Rainer, (936) 499-1853, Matt Welsh, (904) 705-5617</v>
      </c>
      <c r="P2" t="str">
        <f ca="1">IFERROR(__xludf.DUMMYFUNCTION("""COMPUTED_VALUE"""),"Joseph Burgess")</f>
        <v>Joseph Burgess</v>
      </c>
      <c r="AF2" s="11" t="str">
        <f t="array" ref="AF2:AF1201">IF(LEN('Form Responses 2'!$A2:$A1475),IF('Form Responses 2'!D2:D1475="Research","Nikki.Dix@floridadep.gov",IF('Form Responses 2'!D2:D1475="Stewardship (Aquatic)","Scott.Eastman@floridadep.gov",IF('Form Responses 2'!D2:D1475="Education","Kenneth.Rainer@floridadep.gov",IF('Form Responses 2'!D2:D1475="Stewardship (Uplands)","Candace.Killian@floridadep.gov",IF('Form Responses 2'!D2:D1475="Coastal Training Program","Kaitlyn.Dietz@floridadep.gov",IF('Form Responses 2'!D2:D1475="Volunteer","Shannon.Rininger@floridadep.gov",IF('Form Responses 2'!D2:D1475="Administration","Lia.Sansom@floridadep.gov",IF('Form Responses 2'!D2:D1475="Research/Nikki","Nikki.Dix@floridadep.gov",IF('Form Responses 2'!D2:D1475="Research/Pam","Pamela.Marcum@floridadep.gov",IF('Form Responses 2'!D2:D1475="Research/Shannon","Shannon.Dunnigan@floridadep.gov",IF('Form Responses 2'!D2:D1475="Research/Silas","Silas.Tanner@floridadep.gov",IF('Form Responses 2'!D2:D1475="Nikki Dix","Nikki.Dix@floridadep.gov",IF('Form Responses 2'!D2:D1475="Pam Marcum","Pamela.Marcum@floridadep.gov",IF('Form Responses 2'!D2:D1475="Shannon Dunnigan","Shannon.Dunnigan@floridadep.gov",IF('Form Responses 2'!D2:D1475="Silas Tanner","Silas.Tanner@floridadep.gov",IF('Form Responses 2'!D2:D1475="Katie Petrinec","Kathryn.Petrinec@floridadep.gov",IF('Form Responses 2'!D2:D1475="Scott Eastman","Scott.Eastman@floridadep.gov",IF('Form Responses 2'!D2:D1475="Suzi Porterfield","Susan.Porterfield@floridadep.gov",IF('Form Responses 2'!D2:D1475="Jimmy Tomazinis","James.Tomazinis@floridadep.gov",IF('Form Responses 2'!D2:D1475="Alee Knoell","Alee.Knoell@floridadep.gov",IF('Form Responses 2'!D2:D1475="Candace Killian","Candace.Killian@floridadep.gov",IF('Form Responses 2'!D2:D1475="Josie Spearman","Josephine.Spearman@floridadep.gov",IF('Form Responses 2'!D2:D1475="Blythe Odzinski","Blythe.Odzinski@floridadep.gov",IF('Form Responses 2'!D2:D1475="Jessica Lee","Jessica.Lee@floridadep.gov", IF('Form Responses 2'!D2:D1475="Jacob Berna","Jacob.Berna@floridadep.gov"))))))))))))))))))))))))))</f>
        <v>Pamela.Marcum@floridadep.gov</v>
      </c>
      <c r="AG2" s="17" t="s">
        <v>7</v>
      </c>
      <c r="AH2" s="12"/>
      <c r="AI2" s="12" t="s">
        <v>8</v>
      </c>
      <c r="AJ2" s="12" t="s">
        <v>8</v>
      </c>
      <c r="AK2" s="12" t="s">
        <v>8</v>
      </c>
      <c r="AL2" s="12" t="s">
        <v>8</v>
      </c>
    </row>
    <row r="3" spans="1:38" ht="15.75" customHeight="1">
      <c r="A3" s="10">
        <f ca="1">IFERROR(__xludf.DUMMYFUNCTION("""COMPUTED_VALUE"""),42342.6371359953)</f>
        <v>42342.637135995297</v>
      </c>
      <c r="B3" s="11" t="str">
        <f ca="1">IFERROR(__xludf.DUMMYFUNCTION("""COMPUTED_VALUE"""),"Kenneth Rainer")</f>
        <v>Kenneth Rainer</v>
      </c>
      <c r="C3" t="str">
        <f ca="1">IFERROR(__xludf.DUMMYFUNCTION("""COMPUTED_VALUE"""),"KennethCRainer@gmail.com")</f>
        <v>KennethCRainer@gmail.com</v>
      </c>
      <c r="D3" t="str">
        <f ca="1">IFERROR(__xludf.DUMMYFUNCTION("""COMPUTED_VALUE"""),"Education")</f>
        <v>Education</v>
      </c>
      <c r="E3" t="str">
        <f ca="1">IFERROR(__xludf.DUMMYFUNCTION("""COMPUTED_VALUE"""),"Aunt Kate's")</f>
        <v>Aunt Kate's</v>
      </c>
      <c r="F3" s="13"/>
      <c r="G3" s="14">
        <f ca="1">IFERROR(__xludf.DUMMYFUNCTION("""COMPUTED_VALUE"""),42342)</f>
        <v>42342</v>
      </c>
      <c r="H3" t="str">
        <f ca="1">IFERROR(__xludf.DUMMYFUNCTION("""COMPUTED_VALUE"""),"Field Station")</f>
        <v>Field Station</v>
      </c>
      <c r="I3" s="15">
        <f ca="1">IFERROR(__xludf.DUMMYFUNCTION("""COMPUTED_VALUE"""),0.0520833333321206)</f>
        <v>5.2083333332120597E-2</v>
      </c>
      <c r="J3" s="16">
        <f ca="1">IFERROR(__xludf.DUMMYFUNCTION("""COMPUTED_VALUE"""),0.666666666667879)</f>
        <v>0.66666666666787899</v>
      </c>
      <c r="K3" t="str">
        <f ca="1">IFERROR(__xludf.DUMMYFUNCTION("""COMPUTED_VALUE"""),"F 20ft Sea Ark (Easy 200)")</f>
        <v>F 20ft Sea Ark (Easy 200)</v>
      </c>
      <c r="M3" t="str">
        <f ca="1">IFERROR(__xludf.DUMMYFUNCTION("""COMPUTED_VALUE"""),"Ford F150 2015 (White) - DEP21448")</f>
        <v>Ford F150 2015 (White) - DEP21448</v>
      </c>
      <c r="N3" t="str">
        <f ca="1">IFERROR(__xludf.DUMMYFUNCTION("""COMPUTED_VALUE"""),"Joseph Burgess, Pam Marcum, (480) 332-5414")</f>
        <v>Joseph Burgess, Pam Marcum, (480) 332-5414</v>
      </c>
      <c r="O3" t="str">
        <f ca="1">IFERROR(__xludf.DUMMYFUNCTION("""COMPUTED_VALUE"""),"Pam Marcum, (480) 332-5414, Matt Monroe, Kenneth Rainer, (936) 499-1853")</f>
        <v>Pam Marcum, (480) 332-5414, Matt Monroe, Kenneth Rainer, (936) 499-1853</v>
      </c>
      <c r="P3" t="str">
        <f ca="1">IFERROR(__xludf.DUMMYFUNCTION("""COMPUTED_VALUE"""),"Nikki Dix, (352) 219-4079")</f>
        <v>Nikki Dix, (352) 219-4079</v>
      </c>
      <c r="AE3" s="11"/>
      <c r="AF3" s="12" t="str">
        <v>Kenneth.Rainer@floridadep.gov</v>
      </c>
      <c r="AG3" s="17"/>
      <c r="AH3" s="12"/>
      <c r="AI3" s="12" t="s">
        <v>8</v>
      </c>
      <c r="AJ3" s="12" t="s">
        <v>8</v>
      </c>
      <c r="AK3" s="12" t="s">
        <v>8</v>
      </c>
      <c r="AL3" s="12" t="s">
        <v>8</v>
      </c>
    </row>
    <row r="4" spans="1:38" ht="15.75" customHeight="1">
      <c r="A4" s="10">
        <f ca="1">IFERROR(__xludf.DUMMYFUNCTION("""COMPUTED_VALUE"""),42346.6481451851)</f>
        <v>42346.6481451851</v>
      </c>
      <c r="B4" s="11" t="str">
        <f ca="1">IFERROR(__xludf.DUMMYFUNCTION("""COMPUTED_VALUE"""),"Kenneth Rainer")</f>
        <v>Kenneth Rainer</v>
      </c>
      <c r="C4" t="str">
        <f ca="1">IFERROR(__xludf.DUMMYFUNCTION("""COMPUTED_VALUE"""),"Kenneth.Rainer@dep.state.fl.us")</f>
        <v>Kenneth.Rainer@dep.state.fl.us</v>
      </c>
      <c r="D4" t="str">
        <f ca="1">IFERROR(__xludf.DUMMYFUNCTION("""COMPUTED_VALUE"""),"Education")</f>
        <v>Education</v>
      </c>
      <c r="E4" t="str">
        <f ca="1">IFERROR(__xludf.DUMMYFUNCTION("""COMPUTED_VALUE"""),"Vilano Boat Ramp (Campeche Cove)")</f>
        <v>Vilano Boat Ramp (Campeche Cove)</v>
      </c>
      <c r="F4" s="13"/>
      <c r="G4" s="14">
        <f ca="1">IFERROR(__xludf.DUMMYFUNCTION("""COMPUTED_VALUE"""),42347)</f>
        <v>42347</v>
      </c>
      <c r="H4" t="str">
        <f ca="1">IFERROR(__xludf.DUMMYFUNCTION("""COMPUTED_VALUE"""),"Moses Creek")</f>
        <v>Moses Creek</v>
      </c>
      <c r="I4" s="15">
        <f ca="1">IFERROR(__xludf.DUMMYFUNCTION("""COMPUTED_VALUE"""),0.375)</f>
        <v>0.375</v>
      </c>
      <c r="J4" s="16">
        <f ca="1">IFERROR(__xludf.DUMMYFUNCTION("""COMPUTED_VALUE"""),42347.7083333333)</f>
        <v>42347.708333333299</v>
      </c>
      <c r="K4" t="str">
        <f ca="1">IFERROR(__xludf.DUMMYFUNCTION("""COMPUTED_VALUE"""),"F 20ft Sea Ark (Easy 200)")</f>
        <v>F 20ft Sea Ark (Easy 200)</v>
      </c>
      <c r="M4" t="str">
        <f ca="1">IFERROR(__xludf.DUMMYFUNCTION("""COMPUTED_VALUE"""),"Ford F150 2015 (White) - DEP21448")</f>
        <v>Ford F150 2015 (White) - DEP21448</v>
      </c>
      <c r="N4" t="str">
        <f ca="1">IFERROR(__xludf.DUMMYFUNCTION("""COMPUTED_VALUE"""),"Pam Marcum, (480) 332-5414, Kenneth Rainer, (936) 499-1853")</f>
        <v>Pam Marcum, (480) 332-5414, Kenneth Rainer, (936) 499-1853</v>
      </c>
      <c r="O4" t="str">
        <f ca="1">IFERROR(__xludf.DUMMYFUNCTION("""COMPUTED_VALUE"""),"Volunteers")</f>
        <v>Volunteers</v>
      </c>
      <c r="P4" t="str">
        <f ca="1">IFERROR(__xludf.DUMMYFUNCTION("""COMPUTED_VALUE"""),"Kenneth Rainer, (936) 499-1853")</f>
        <v>Kenneth Rainer, (936) 499-1853</v>
      </c>
      <c r="AE4" s="11"/>
      <c r="AF4" t="str">
        <v>Kenneth.Rainer@floridadep.gov</v>
      </c>
      <c r="AG4" s="18"/>
      <c r="AH4" s="12"/>
      <c r="AI4" s="12" t="s">
        <v>8</v>
      </c>
      <c r="AJ4" s="12" t="s">
        <v>8</v>
      </c>
      <c r="AK4" s="12" t="s">
        <v>8</v>
      </c>
      <c r="AL4" s="12" t="s">
        <v>8</v>
      </c>
    </row>
    <row r="5" spans="1:38" ht="15.75" customHeight="1">
      <c r="A5" s="10">
        <f ca="1">IFERROR(__xludf.DUMMYFUNCTION("""COMPUTED_VALUE"""),42536.5394540972)</f>
        <v>42536.539454097197</v>
      </c>
      <c r="B5" s="11" t="str">
        <f ca="1">IFERROR(__xludf.DUMMYFUNCTION("""COMPUTED_VALUE"""),"Kenneth Rainer")</f>
        <v>Kenneth Rainer</v>
      </c>
      <c r="C5" t="str">
        <f ca="1">IFERROR(__xludf.DUMMYFUNCTION("""COMPUTED_VALUE"""),"Kenneth.Rainer@dep.state.fl.us")</f>
        <v>Kenneth.Rainer@dep.state.fl.us</v>
      </c>
      <c r="D5" t="str">
        <f ca="1">IFERROR(__xludf.DUMMYFUNCTION("""COMPUTED_VALUE"""),"Education")</f>
        <v>Education</v>
      </c>
      <c r="E5" t="str">
        <f ca="1">IFERROR(__xludf.DUMMYFUNCTION("""COMPUTED_VALUE"""),"Usina Boat Ramp (Aunt Kate's)")</f>
        <v>Usina Boat Ramp (Aunt Kate's)</v>
      </c>
      <c r="F5" s="13"/>
      <c r="G5" s="14">
        <f ca="1">IFERROR(__xludf.DUMMYFUNCTION("""COMPUTED_VALUE"""),42537)</f>
        <v>42537</v>
      </c>
      <c r="H5" t="str">
        <f ca="1">IFERROR(__xludf.DUMMYFUNCTION("""COMPUTED_VALUE"""),"Wright's Landing (Tolomato River)")</f>
        <v>Wright's Landing (Tolomato River)</v>
      </c>
      <c r="I5" s="15">
        <f ca="1">IFERROR(__xludf.DUMMYFUNCTION("""COMPUTED_VALUE"""),0.166666666667879)</f>
        <v>0.16666666666787899</v>
      </c>
      <c r="J5" s="16">
        <f ca="1">IFERROR(__xludf.DUMMYFUNCTION("""COMPUTED_VALUE"""),42537.5833333333)</f>
        <v>42537.583333333299</v>
      </c>
      <c r="K5" t="str">
        <f ca="1">IFERROR(__xludf.DUMMYFUNCTION("""COMPUTED_VALUE"""),"23ft Skiff FL7972LJ DEP07613")</f>
        <v>23ft Skiff FL7972LJ DEP07613</v>
      </c>
      <c r="M5" t="str">
        <f ca="1">IFERROR(__xludf.DUMMYFUNCTION("""COMPUTED_VALUE"""),"Ford F150 2015 (White) - DEP21448")</f>
        <v>Ford F150 2015 (White) - DEP21448</v>
      </c>
      <c r="N5" t="str">
        <f ca="1">IFERROR(__xludf.DUMMYFUNCTION("""COMPUTED_VALUE"""),"Kenneth Rainer, (936) 499-1853")</f>
        <v>Kenneth Rainer, (936) 499-1853</v>
      </c>
      <c r="O5" t="str">
        <f ca="1">IFERROR(__xludf.DUMMYFUNCTION("""COMPUTED_VALUE"""),"Erin Elliot, Meghan Higgins, 7-9yr campers (June 13-17, 2016 week)")</f>
        <v>Erin Elliot, Meghan Higgins, 7-9yr campers (June 13-17, 2016 week)</v>
      </c>
      <c r="P5" t="str">
        <f ca="1">IFERROR(__xludf.DUMMYFUNCTION("""COMPUTED_VALUE"""),"Kenneth Rainer, (936) 499-1853")</f>
        <v>Kenneth Rainer, (936) 499-1853</v>
      </c>
      <c r="AE5" s="11"/>
      <c r="AF5" t="str">
        <v>Kenneth.Rainer@floridadep.gov</v>
      </c>
      <c r="AG5" s="18"/>
      <c r="AH5" s="12"/>
      <c r="AI5" s="12" t="s">
        <v>8</v>
      </c>
      <c r="AJ5" s="12" t="s">
        <v>8</v>
      </c>
      <c r="AK5" s="12" t="s">
        <v>8</v>
      </c>
      <c r="AL5" s="12" t="s">
        <v>8</v>
      </c>
    </row>
    <row r="6" spans="1:38" ht="15.75" customHeight="1">
      <c r="A6" s="10">
        <f ca="1">IFERROR(__xludf.DUMMYFUNCTION("""COMPUTED_VALUE"""),42542.4538064351)</f>
        <v>42542.4538064351</v>
      </c>
      <c r="B6" s="11" t="str">
        <f ca="1">IFERROR(__xludf.DUMMYFUNCTION("""COMPUTED_VALUE"""),"Kenneth Rainer")</f>
        <v>Kenneth Rainer</v>
      </c>
      <c r="C6" t="str">
        <f ca="1">IFERROR(__xludf.DUMMYFUNCTION("""COMPUTED_VALUE"""),"Kenneth.Rainer@dep.state.fl.us")</f>
        <v>Kenneth.Rainer@dep.state.fl.us</v>
      </c>
      <c r="D6" t="str">
        <f ca="1">IFERROR(__xludf.DUMMYFUNCTION("""COMPUTED_VALUE"""),"Education")</f>
        <v>Education</v>
      </c>
      <c r="E6" t="str">
        <f ca="1">IFERROR(__xludf.DUMMYFUNCTION("""COMPUTED_VALUE"""),"Usina Boat Ramp")</f>
        <v>Usina Boat Ramp</v>
      </c>
      <c r="F6" s="13"/>
      <c r="G6" s="14">
        <f ca="1">IFERROR(__xludf.DUMMYFUNCTION("""COMPUTED_VALUE"""),42543)</f>
        <v>42543</v>
      </c>
      <c r="H6" t="str">
        <f ca="1">IFERROR(__xludf.DUMMYFUNCTION("""COMPUTED_VALUE"""),"Shell Bluff and then to tip of Guana Peninsula")</f>
        <v>Shell Bluff and then to tip of Guana Peninsula</v>
      </c>
      <c r="I6" s="15">
        <f ca="1">IFERROR(__xludf.DUMMYFUNCTION("""COMPUTED_VALUE"""),0.375)</f>
        <v>0.375</v>
      </c>
      <c r="J6" s="16">
        <f ca="1">IFERROR(__xludf.DUMMYFUNCTION("""COMPUTED_VALUE"""),42543.5416666666)</f>
        <v>42543.541666666599</v>
      </c>
      <c r="K6" t="str">
        <f ca="1">IFERROR(__xludf.DUMMYFUNCTION("""COMPUTED_VALUE"""),"23ft Skiff FL7972LJ DEP07613")</f>
        <v>23ft Skiff FL7972LJ DEP07613</v>
      </c>
      <c r="M6" t="str">
        <f ca="1">IFERROR(__xludf.DUMMYFUNCTION("""COMPUTED_VALUE"""),"Ford F150 2015 (White) - DEP21448")</f>
        <v>Ford F150 2015 (White) - DEP21448</v>
      </c>
      <c r="N6" t="str">
        <f ca="1">IFERROR(__xludf.DUMMYFUNCTION("""COMPUTED_VALUE"""),"Kenneth Rainer, (936) 499-1853")</f>
        <v>Kenneth Rainer, (936) 499-1853</v>
      </c>
      <c r="O6" t="str">
        <f ca="1">IFERROR(__xludf.DUMMYFUNCTION("""COMPUTED_VALUE"""),"Erin Elliot, Meghan Higgins, 10-12yr Ocean Week Campers")</f>
        <v>Erin Elliot, Meghan Higgins, 10-12yr Ocean Week Campers</v>
      </c>
      <c r="P6" t="str">
        <f ca="1">IFERROR(__xludf.DUMMYFUNCTION("""COMPUTED_VALUE"""),"Kenneth Rainer, (936) 499-1853")</f>
        <v>Kenneth Rainer, (936) 499-1853</v>
      </c>
      <c r="AE6" s="11"/>
      <c r="AF6" t="str">
        <v>Kenneth.Rainer@floridadep.gov</v>
      </c>
      <c r="AG6" s="18"/>
      <c r="AH6" s="12"/>
      <c r="AI6" s="12" t="s">
        <v>8</v>
      </c>
      <c r="AJ6" s="12" t="s">
        <v>8</v>
      </c>
      <c r="AK6" s="12" t="s">
        <v>8</v>
      </c>
      <c r="AL6" s="12" t="s">
        <v>8</v>
      </c>
    </row>
    <row r="7" spans="1:38" ht="15.75" customHeight="1">
      <c r="A7" s="10">
        <f ca="1">IFERROR(__xludf.DUMMYFUNCTION("""COMPUTED_VALUE"""),42596.453526412)</f>
        <v>42596.453526411999</v>
      </c>
      <c r="B7" s="11" t="str">
        <f ca="1">IFERROR(__xludf.DUMMYFUNCTION("""COMPUTED_VALUE"""),"Kenneth Rainer")</f>
        <v>Kenneth Rainer</v>
      </c>
      <c r="C7" t="str">
        <f ca="1">IFERROR(__xludf.DUMMYFUNCTION("""COMPUTED_VALUE"""),"Kenneth.Rainer@dep.state.fl.us")</f>
        <v>Kenneth.Rainer@dep.state.fl.us</v>
      </c>
      <c r="D7" t="str">
        <f ca="1">IFERROR(__xludf.DUMMYFUNCTION("""COMPUTED_VALUE"""),"Education")</f>
        <v>Education</v>
      </c>
      <c r="E7" t="str">
        <f ca="1">IFERROR(__xludf.DUMMYFUNCTION("""COMPUTED_VALUE"""),"Vilano Boat Ramp")</f>
        <v>Vilano Boat Ramp</v>
      </c>
      <c r="F7" s="13"/>
      <c r="G7" s="14">
        <f ca="1">IFERROR(__xludf.DUMMYFUNCTION("""COMPUTED_VALUE"""),42597)</f>
        <v>42597</v>
      </c>
      <c r="H7" t="str">
        <f ca="1">IFERROR(__xludf.DUMMYFUNCTION("""COMPUTED_VALUE"""),"Northern Component to conduct Nekton Surveys")</f>
        <v>Northern Component to conduct Nekton Surveys</v>
      </c>
      <c r="I7" s="15">
        <f ca="1">IFERROR(__xludf.DUMMYFUNCTION("""COMPUTED_VALUE"""),0.28125)</f>
        <v>0.28125</v>
      </c>
      <c r="J7" s="16">
        <f ca="1">IFERROR(__xludf.DUMMYFUNCTION("""COMPUTED_VALUE"""),42536.5416666666)</f>
        <v>42536.541666666599</v>
      </c>
      <c r="K7" t="str">
        <f ca="1">IFERROR(__xludf.DUMMYFUNCTION("""COMPUTED_VALUE"""),"23ft Skiff FL7972LJ DEP07613")</f>
        <v>23ft Skiff FL7972LJ DEP07613</v>
      </c>
      <c r="M7" t="str">
        <f ca="1">IFERROR(__xludf.DUMMYFUNCTION("""COMPUTED_VALUE"""),"Ford F150 2015 (White) - DEP21448")</f>
        <v>Ford F150 2015 (White) - DEP21448</v>
      </c>
      <c r="N7" t="str">
        <f ca="1">IFERROR(__xludf.DUMMYFUNCTION("""COMPUTED_VALUE"""),"Kenneth Rainer, (936) 499-1853")</f>
        <v>Kenneth Rainer, (936) 499-1853</v>
      </c>
      <c r="O7" t="str">
        <f ca="1">IFERROR(__xludf.DUMMYFUNCTION("""COMPUTED_VALUE"""),"Ed McGinley")</f>
        <v>Ed McGinley</v>
      </c>
      <c r="P7" t="str">
        <f ca="1">IFERROR(__xludf.DUMMYFUNCTION("""COMPUTED_VALUE"""),"Kenneth Rainer, (936) 499-1853")</f>
        <v>Kenneth Rainer, (936) 499-1853</v>
      </c>
      <c r="AE7" s="11"/>
      <c r="AF7" t="str">
        <v>Kenneth.Rainer@floridadep.gov</v>
      </c>
      <c r="AG7" s="18"/>
      <c r="AH7" s="12"/>
      <c r="AI7" s="12" t="s">
        <v>8</v>
      </c>
      <c r="AJ7" s="12" t="s">
        <v>8</v>
      </c>
      <c r="AK7" s="12" t="s">
        <v>8</v>
      </c>
      <c r="AL7" s="12" t="s">
        <v>8</v>
      </c>
    </row>
    <row r="8" spans="1:38" ht="15.75" customHeight="1">
      <c r="A8" s="10">
        <f ca="1">IFERROR(__xludf.DUMMYFUNCTION("""COMPUTED_VALUE"""),42628.4610398263)</f>
        <v>42628.461039826303</v>
      </c>
      <c r="B8" s="11" t="str">
        <f ca="1">IFERROR(__xludf.DUMMYFUNCTION("""COMPUTED_VALUE"""),"Kenneth Rainer")</f>
        <v>Kenneth Rainer</v>
      </c>
      <c r="C8" t="str">
        <f ca="1">IFERROR(__xludf.DUMMYFUNCTION("""COMPUTED_VALUE"""),"Kenneth.Rainer@dep.state.fl.us")</f>
        <v>Kenneth.Rainer@dep.state.fl.us</v>
      </c>
      <c r="D8" t="str">
        <f ca="1">IFERROR(__xludf.DUMMYFUNCTION("""COMPUTED_VALUE"""),"Education")</f>
        <v>Education</v>
      </c>
      <c r="E8" t="str">
        <f ca="1">IFERROR(__xludf.DUMMYFUNCTION("""COMPUTED_VALUE"""),"Vilano Boat Ramp")</f>
        <v>Vilano Boat Ramp</v>
      </c>
      <c r="F8" s="13"/>
      <c r="G8" s="14">
        <f ca="1">IFERROR(__xludf.DUMMYFUNCTION("""COMPUTED_VALUE"""),42629)</f>
        <v>42629</v>
      </c>
      <c r="H8" t="str">
        <f ca="1">IFERROR(__xludf.DUMMYFUNCTION("""COMPUTED_VALUE"""),"Nekton Survey Sample Sites")</f>
        <v>Nekton Survey Sample Sites</v>
      </c>
      <c r="I8" s="15">
        <f ca="1">IFERROR(__xludf.DUMMYFUNCTION("""COMPUTED_VALUE"""),0.291666666667879)</f>
        <v>0.29166666666787899</v>
      </c>
      <c r="J8" s="16">
        <f ca="1">IFERROR(__xludf.DUMMYFUNCTION("""COMPUTED_VALUE"""),42629.5416666666)</f>
        <v>42629.541666666599</v>
      </c>
      <c r="K8" t="str">
        <f ca="1">IFERROR(__xludf.DUMMYFUNCTION("""COMPUTED_VALUE"""),"23ft Skiff FL7972LJ DEP07613")</f>
        <v>23ft Skiff FL7972LJ DEP07613</v>
      </c>
      <c r="M8" t="str">
        <f ca="1">IFERROR(__xludf.DUMMYFUNCTION("""COMPUTED_VALUE"""),"Ford F150 2015 (White) - DEP21448")</f>
        <v>Ford F150 2015 (White) - DEP21448</v>
      </c>
      <c r="N8" t="str">
        <f ca="1">IFERROR(__xludf.DUMMYFUNCTION("""COMPUTED_VALUE"""),"Kenneth Rainer, (936) 499-1853")</f>
        <v>Kenneth Rainer, (936) 499-1853</v>
      </c>
      <c r="O8" t="str">
        <f ca="1">IFERROR(__xludf.DUMMYFUNCTION("""COMPUTED_VALUE"""),"Ed McGinley, Flagler Students")</f>
        <v>Ed McGinley, Flagler Students</v>
      </c>
      <c r="P8" t="str">
        <f ca="1">IFERROR(__xludf.DUMMYFUNCTION("""COMPUTED_VALUE"""),"Kenneth Rainer, (936) 499-1853")</f>
        <v>Kenneth Rainer, (936) 499-1853</v>
      </c>
      <c r="AE8" s="11"/>
      <c r="AF8" t="str">
        <v>Kenneth.Rainer@floridadep.gov</v>
      </c>
      <c r="AG8" s="18"/>
      <c r="AH8" s="12"/>
      <c r="AI8" s="12" t="s">
        <v>8</v>
      </c>
      <c r="AJ8" s="12" t="s">
        <v>8</v>
      </c>
      <c r="AK8" s="12" t="s">
        <v>8</v>
      </c>
      <c r="AL8" s="12" t="s">
        <v>8</v>
      </c>
    </row>
    <row r="9" spans="1:38" ht="15.75" customHeight="1">
      <c r="A9" s="10">
        <f ca="1">IFERROR(__xludf.DUMMYFUNCTION("""COMPUTED_VALUE"""),42642.6175006597)</f>
        <v>42642.617500659697</v>
      </c>
      <c r="B9" s="11" t="str">
        <f ca="1">IFERROR(__xludf.DUMMYFUNCTION("""COMPUTED_VALUE"""),"Kenneth Rainer")</f>
        <v>Kenneth Rainer</v>
      </c>
      <c r="C9" t="str">
        <f ca="1">IFERROR(__xludf.DUMMYFUNCTION("""COMPUTED_VALUE"""),"Kenneth.Rainer@dep.state.fl.us")</f>
        <v>Kenneth.Rainer@dep.state.fl.us</v>
      </c>
      <c r="D9" t="str">
        <f ca="1">IFERROR(__xludf.DUMMYFUNCTION("""COMPUTED_VALUE"""),"Education")</f>
        <v>Education</v>
      </c>
      <c r="E9" t="str">
        <f ca="1">IFERROR(__xludf.DUMMYFUNCTION("""COMPUTED_VALUE"""),"Vilano Boat Ramp")</f>
        <v>Vilano Boat Ramp</v>
      </c>
      <c r="F9" s="13"/>
      <c r="G9" s="14">
        <f ca="1">IFERROR(__xludf.DUMMYFUNCTION("""COMPUTED_VALUE"""),42643)</f>
        <v>42643</v>
      </c>
      <c r="H9" t="str">
        <f ca="1">IFERROR(__xludf.DUMMYFUNCTION("""COMPUTED_VALUE"""),"Nekton Survey (northern component)")</f>
        <v>Nekton Survey (northern component)</v>
      </c>
      <c r="I9" s="15">
        <f ca="1">IFERROR(__xludf.DUMMYFUNCTION("""COMPUTED_VALUE"""),0.33333333333212)</f>
        <v>0.33333333333212001</v>
      </c>
      <c r="J9" s="16">
        <f ca="1">IFERROR(__xludf.DUMMYFUNCTION("""COMPUTED_VALUE"""),42643.5)</f>
        <v>42643.5</v>
      </c>
      <c r="K9" t="str">
        <f ca="1">IFERROR(__xludf.DUMMYFUNCTION("""COMPUTED_VALUE"""),"23ft Skiff FL7972LJ DEP07613")</f>
        <v>23ft Skiff FL7972LJ DEP07613</v>
      </c>
      <c r="M9" t="str">
        <f ca="1">IFERROR(__xludf.DUMMYFUNCTION("""COMPUTED_VALUE"""),"Ford F150 2015 (White) - DEP21448")</f>
        <v>Ford F150 2015 (White) - DEP21448</v>
      </c>
      <c r="N9" t="str">
        <f ca="1">IFERROR(__xludf.DUMMYFUNCTION("""COMPUTED_VALUE"""),"Kenneth Rainer, (936) 499-1853")</f>
        <v>Kenneth Rainer, (936) 499-1853</v>
      </c>
      <c r="O9" t="str">
        <f ca="1">IFERROR(__xludf.DUMMYFUNCTION("""COMPUTED_VALUE"""),"Ed McGinley, Molly Hoffman, Tim Mullen")</f>
        <v>Ed McGinley, Molly Hoffman, Tim Mullen</v>
      </c>
      <c r="P9" t="str">
        <f ca="1">IFERROR(__xludf.DUMMYFUNCTION("""COMPUTED_VALUE"""),"Kenneth Rainer, (936) 499-1853")</f>
        <v>Kenneth Rainer, (936) 499-1853</v>
      </c>
      <c r="AE9" s="11"/>
      <c r="AF9" t="str">
        <v>Kenneth.Rainer@floridadep.gov</v>
      </c>
      <c r="AG9" s="18"/>
      <c r="AH9" s="12"/>
      <c r="AI9" s="12" t="s">
        <v>8</v>
      </c>
      <c r="AJ9" s="12" t="s">
        <v>8</v>
      </c>
      <c r="AK9" s="12" t="s">
        <v>8</v>
      </c>
      <c r="AL9" s="12" t="s">
        <v>8</v>
      </c>
    </row>
    <row r="10" spans="1:38" ht="15.75" customHeight="1">
      <c r="A10" s="10">
        <f ca="1">IFERROR(__xludf.DUMMYFUNCTION("""COMPUTED_VALUE"""),42655.6890326504)</f>
        <v>42655.6890326504</v>
      </c>
      <c r="B10" s="11" t="str">
        <f ca="1">IFERROR(__xludf.DUMMYFUNCTION("""COMPUTED_VALUE"""),"Kenneth Rainer")</f>
        <v>Kenneth Rainer</v>
      </c>
      <c r="C10" t="str">
        <f ca="1">IFERROR(__xludf.DUMMYFUNCTION("""COMPUTED_VALUE"""),"Kenneth.Rainer@dep.state.fl.us")</f>
        <v>Kenneth.Rainer@dep.state.fl.us</v>
      </c>
      <c r="D10" t="str">
        <f ca="1">IFERROR(__xludf.DUMMYFUNCTION("""COMPUTED_VALUE"""),"Education")</f>
        <v>Education</v>
      </c>
      <c r="E10" t="str">
        <f ca="1">IFERROR(__xludf.DUMMYFUNCTION("""COMPUTED_VALUE"""),"Vilano Boat Ramp")</f>
        <v>Vilano Boat Ramp</v>
      </c>
      <c r="F10" s="13"/>
      <c r="G10" s="14">
        <f ca="1">IFERROR(__xludf.DUMMYFUNCTION("""COMPUTED_VALUE"""),42656)</f>
        <v>42656</v>
      </c>
      <c r="H10" t="str">
        <f ca="1">IFERROR(__xludf.DUMMYFUNCTION("""COMPUTED_VALUE"""),"Southern Component - Nekton Trawl")</f>
        <v>Southern Component - Nekton Trawl</v>
      </c>
      <c r="I10" s="15">
        <f ca="1">IFERROR(__xludf.DUMMYFUNCTION("""COMPUTED_VALUE"""),0.27083333333212)</f>
        <v>0.27083333333212001</v>
      </c>
      <c r="J10" s="16">
        <f ca="1">IFERROR(__xludf.DUMMYFUNCTION("""COMPUTED_VALUE"""),42656.5)</f>
        <v>42656.5</v>
      </c>
      <c r="K10" t="str">
        <f ca="1">IFERROR(__xludf.DUMMYFUNCTION("""COMPUTED_VALUE"""),"23ft Skiff FL7972LJ DEP07613")</f>
        <v>23ft Skiff FL7972LJ DEP07613</v>
      </c>
      <c r="M10" t="str">
        <f ca="1">IFERROR(__xludf.DUMMYFUNCTION("""COMPUTED_VALUE"""),"Ford F150 2015 (White) - DEP21448")</f>
        <v>Ford F150 2015 (White) - DEP21448</v>
      </c>
      <c r="N10" t="str">
        <f ca="1">IFERROR(__xludf.DUMMYFUNCTION("""COMPUTED_VALUE"""),"Kenneth Rainer, (936) 499-1853")</f>
        <v>Kenneth Rainer, (936) 499-1853</v>
      </c>
      <c r="O10" t="str">
        <f ca="1">IFERROR(__xludf.DUMMYFUNCTION("""COMPUTED_VALUE"""),"Josephine Spearman, Nicholas Scheffer, Benjamin Rome, Ed McGinley")</f>
        <v>Josephine Spearman, Nicholas Scheffer, Benjamin Rome, Ed McGinley</v>
      </c>
      <c r="P10" t="str">
        <f ca="1">IFERROR(__xludf.DUMMYFUNCTION("""COMPUTED_VALUE"""),"Kenneth Rainer, (936) 499-1853")</f>
        <v>Kenneth Rainer, (936) 499-1853</v>
      </c>
      <c r="AE10" s="11"/>
      <c r="AF10" t="str">
        <v>Kenneth.Rainer@floridadep.gov</v>
      </c>
      <c r="AG10" s="18"/>
      <c r="AH10" s="12"/>
      <c r="AI10" s="12" t="s">
        <v>8</v>
      </c>
      <c r="AJ10" s="12" t="s">
        <v>8</v>
      </c>
      <c r="AK10" s="12" t="s">
        <v>8</v>
      </c>
      <c r="AL10" s="12" t="s">
        <v>8</v>
      </c>
    </row>
    <row r="11" spans="1:38" ht="15.75" customHeight="1">
      <c r="A11" s="10">
        <f ca="1">IFERROR(__xludf.DUMMYFUNCTION("""COMPUTED_VALUE"""),42710.5658244675)</f>
        <v>42710.5658244675</v>
      </c>
      <c r="B11" s="11" t="str">
        <f ca="1">IFERROR(__xludf.DUMMYFUNCTION("""COMPUTED_VALUE"""),"Kenneth Rainer")</f>
        <v>Kenneth Rainer</v>
      </c>
      <c r="C11" t="str">
        <f ca="1">IFERROR(__xludf.DUMMYFUNCTION("""COMPUTED_VALUE"""),"Kenneth.Rainer@dep.state.fl.us")</f>
        <v>Kenneth.Rainer@dep.state.fl.us</v>
      </c>
      <c r="D11" t="str">
        <f ca="1">IFERROR(__xludf.DUMMYFUNCTION("""COMPUTED_VALUE"""),"Education")</f>
        <v>Education</v>
      </c>
      <c r="E11" t="str">
        <f ca="1">IFERROR(__xludf.DUMMYFUNCTION("""COMPUTED_VALUE"""),"Vilano Boat Ramp")</f>
        <v>Vilano Boat Ramp</v>
      </c>
      <c r="F11" s="13"/>
      <c r="G11" s="14">
        <f ca="1">IFERROR(__xludf.DUMMYFUNCTION("""COMPUTED_VALUE"""),42711)</f>
        <v>42711</v>
      </c>
      <c r="H11" t="str">
        <f ca="1">IFERROR(__xludf.DUMMYFUNCTION("""COMPUTED_VALUE"""),"Nekton Sampling Sites")</f>
        <v>Nekton Sampling Sites</v>
      </c>
      <c r="I11" s="15">
        <f ca="1">IFERROR(__xludf.DUMMYFUNCTION("""COMPUTED_VALUE"""),0.5625)</f>
        <v>0.5625</v>
      </c>
      <c r="J11" s="16">
        <f ca="1">IFERROR(__xludf.DUMMYFUNCTION("""COMPUTED_VALUE"""),42711.7083333333)</f>
        <v>42711.708333333299</v>
      </c>
      <c r="K11" t="str">
        <f ca="1">IFERROR(__xludf.DUMMYFUNCTION("""COMPUTED_VALUE"""),"20ft Sea Ark FL5351SJ UNF 2015")</f>
        <v>20ft Sea Ark FL5351SJ UNF 2015</v>
      </c>
      <c r="M11" t="str">
        <f ca="1">IFERROR(__xludf.DUMMYFUNCTION("""COMPUTED_VALUE"""),"Ford F150 2015 (White) - DEP21448")</f>
        <v>Ford F150 2015 (White) - DEP21448</v>
      </c>
      <c r="N11" t="str">
        <f ca="1">IFERROR(__xludf.DUMMYFUNCTION("""COMPUTED_VALUE"""),"Kenneth Rainer, (936) 499-1853")</f>
        <v>Kenneth Rainer, (936) 499-1853</v>
      </c>
      <c r="O11" t="str">
        <f ca="1">IFERROR(__xludf.DUMMYFUNCTION("""COMPUTED_VALUE"""),"Ed McGinley")</f>
        <v>Ed McGinley</v>
      </c>
      <c r="P11" t="str">
        <f ca="1">IFERROR(__xludf.DUMMYFUNCTION("""COMPUTED_VALUE"""),"Kenneth Rainer, (936) 499-1853")</f>
        <v>Kenneth Rainer, (936) 499-1853</v>
      </c>
      <c r="AE11" s="11"/>
      <c r="AF11" t="str">
        <v>Kenneth.Rainer@floridadep.gov</v>
      </c>
      <c r="AG11" s="18"/>
      <c r="AH11" s="12"/>
      <c r="AI11" s="12" t="s">
        <v>8</v>
      </c>
      <c r="AJ11" s="12" t="s">
        <v>8</v>
      </c>
      <c r="AK11" s="12" t="s">
        <v>8</v>
      </c>
      <c r="AL11" s="12" t="s">
        <v>8</v>
      </c>
    </row>
    <row r="12" spans="1:38" ht="15.75" customHeight="1">
      <c r="A12" s="10">
        <f ca="1">IFERROR(__xludf.DUMMYFUNCTION("""COMPUTED_VALUE"""),42710.5665154512)</f>
        <v>42710.566515451297</v>
      </c>
      <c r="B12" s="11" t="str">
        <f ca="1">IFERROR(__xludf.DUMMYFUNCTION("""COMPUTED_VALUE"""),"Kenneth Rainer")</f>
        <v>Kenneth Rainer</v>
      </c>
      <c r="C12" t="str">
        <f ca="1">IFERROR(__xludf.DUMMYFUNCTION("""COMPUTED_VALUE"""),"Kenneth.Rainer@dep.state.fl.us")</f>
        <v>Kenneth.Rainer@dep.state.fl.us</v>
      </c>
      <c r="D12" t="str">
        <f ca="1">IFERROR(__xludf.DUMMYFUNCTION("""COMPUTED_VALUE"""),"Education")</f>
        <v>Education</v>
      </c>
      <c r="E12" t="str">
        <f ca="1">IFERROR(__xludf.DUMMYFUNCTION("""COMPUTED_VALUE"""),"Vilano Boat Ramp")</f>
        <v>Vilano Boat Ramp</v>
      </c>
      <c r="F12" s="13"/>
      <c r="G12" s="14">
        <f ca="1">IFERROR(__xludf.DUMMYFUNCTION("""COMPUTED_VALUE"""),42713)</f>
        <v>42713</v>
      </c>
      <c r="H12" t="str">
        <f ca="1">IFERROR(__xludf.DUMMYFUNCTION("""COMPUTED_VALUE"""),"Nekton Sampling Sites")</f>
        <v>Nekton Sampling Sites</v>
      </c>
      <c r="I12" s="15">
        <f ca="1">IFERROR(__xludf.DUMMYFUNCTION("""COMPUTED_VALUE"""),0.64583333333212)</f>
        <v>0.64583333333212001</v>
      </c>
      <c r="J12" s="16">
        <f ca="1">IFERROR(__xludf.DUMMYFUNCTION("""COMPUTED_VALUE"""),42713.75)</f>
        <v>42713.75</v>
      </c>
      <c r="K12" t="str">
        <f ca="1">IFERROR(__xludf.DUMMYFUNCTION("""COMPUTED_VALUE"""),"20ft Sea Ark FL5351SJ UNF 2015")</f>
        <v>20ft Sea Ark FL5351SJ UNF 2015</v>
      </c>
      <c r="M12" t="str">
        <f ca="1">IFERROR(__xludf.DUMMYFUNCTION("""COMPUTED_VALUE"""),"Ford F150 2015 (White) - DEP21448")</f>
        <v>Ford F150 2015 (White) - DEP21448</v>
      </c>
      <c r="N12" t="str">
        <f ca="1">IFERROR(__xludf.DUMMYFUNCTION("""COMPUTED_VALUE"""),"Kenneth Rainer, (936) 499-1853")</f>
        <v>Kenneth Rainer, (936) 499-1853</v>
      </c>
      <c r="O12" t="str">
        <f ca="1">IFERROR(__xludf.DUMMYFUNCTION("""COMPUTED_VALUE"""),"Ed McGinley")</f>
        <v>Ed McGinley</v>
      </c>
      <c r="P12" t="str">
        <f ca="1">IFERROR(__xludf.DUMMYFUNCTION("""COMPUTED_VALUE"""),"Kenneth Rainer, (936) 499-1853")</f>
        <v>Kenneth Rainer, (936) 499-1853</v>
      </c>
      <c r="AE12" s="11"/>
      <c r="AF12" t="str">
        <v>Kenneth.Rainer@floridadep.gov</v>
      </c>
      <c r="AG12" s="18"/>
      <c r="AH12" s="12"/>
      <c r="AI12" s="12" t="s">
        <v>8</v>
      </c>
      <c r="AJ12" s="12" t="s">
        <v>8</v>
      </c>
      <c r="AK12" s="12" t="s">
        <v>8</v>
      </c>
      <c r="AL12" s="12" t="s">
        <v>8</v>
      </c>
    </row>
    <row r="13" spans="1:38" ht="15.75" customHeight="1">
      <c r="A13" s="10">
        <f ca="1">IFERROR(__xludf.DUMMYFUNCTION("""COMPUTED_VALUE"""),42775.5226729861)</f>
        <v>42775.522672986102</v>
      </c>
      <c r="B13" s="11" t="str">
        <f ca="1">IFERROR(__xludf.DUMMYFUNCTION("""COMPUTED_VALUE"""),"Kenneth Rainer")</f>
        <v>Kenneth Rainer</v>
      </c>
      <c r="C13" t="str">
        <f ca="1">IFERROR(__xludf.DUMMYFUNCTION("""COMPUTED_VALUE"""),"Kenneth.Rainer@dep.state.fl.us")</f>
        <v>Kenneth.Rainer@dep.state.fl.us</v>
      </c>
      <c r="D13" t="str">
        <f ca="1">IFERROR(__xludf.DUMMYFUNCTION("""COMPUTED_VALUE"""),"Education")</f>
        <v>Education</v>
      </c>
      <c r="E13" t="str">
        <f ca="1">IFERROR(__xludf.DUMMYFUNCTION("""COMPUTED_VALUE"""),"Vilano Boat Ramp")</f>
        <v>Vilano Boat Ramp</v>
      </c>
      <c r="F13" s="13"/>
      <c r="G13" s="14">
        <f ca="1">IFERROR(__xludf.DUMMYFUNCTION("""COMPUTED_VALUE"""),42776)</f>
        <v>42776</v>
      </c>
      <c r="H13" t="str">
        <f ca="1">IFERROR(__xludf.DUMMYFUNCTION("""COMPUTED_VALUE"""),"Southern Component")</f>
        <v>Southern Component</v>
      </c>
      <c r="I13" s="15">
        <f ca="1">IFERROR(__xludf.DUMMYFUNCTION("""COMPUTED_VALUE"""),0.30208333333212)</f>
        <v>0.30208333333212001</v>
      </c>
      <c r="J13" s="16">
        <f ca="1">IFERROR(__xludf.DUMMYFUNCTION("""COMPUTED_VALUE"""),42776.5)</f>
        <v>42776.5</v>
      </c>
      <c r="M13" t="str">
        <f ca="1">IFERROR(__xludf.DUMMYFUNCTION("""COMPUTED_VALUE"""),"Ford F150 2015 (White) - DEP21448")</f>
        <v>Ford F150 2015 (White) - DEP21448</v>
      </c>
      <c r="N13" t="str">
        <f ca="1">IFERROR(__xludf.DUMMYFUNCTION("""COMPUTED_VALUE"""),"Kenneth Rainer, (936) 499-1853")</f>
        <v>Kenneth Rainer, (936) 499-1853</v>
      </c>
      <c r="O13" t="str">
        <f ca="1">IFERROR(__xludf.DUMMYFUNCTION("""COMPUTED_VALUE"""),"Lia Sansom, Ed McGinley, Two Flagler Students")</f>
        <v>Lia Sansom, Ed McGinley, Two Flagler Students</v>
      </c>
      <c r="P13" t="str">
        <f ca="1">IFERROR(__xludf.DUMMYFUNCTION("""COMPUTED_VALUE"""),"Kenneth Rainer, (936) 499-1853")</f>
        <v>Kenneth Rainer, (936) 499-1853</v>
      </c>
      <c r="AE13" s="11"/>
      <c r="AF13" t="str">
        <v>Kenneth.Rainer@floridadep.gov</v>
      </c>
      <c r="AG13" s="18"/>
      <c r="AH13" s="12"/>
      <c r="AI13" s="12" t="s">
        <v>8</v>
      </c>
      <c r="AJ13" s="12" t="s">
        <v>8</v>
      </c>
      <c r="AK13" s="12" t="s">
        <v>8</v>
      </c>
      <c r="AL13" s="12" t="s">
        <v>8</v>
      </c>
    </row>
    <row r="14" spans="1:38" ht="15.75" customHeight="1">
      <c r="A14" s="10">
        <f ca="1">IFERROR(__xludf.DUMMYFUNCTION("""COMPUTED_VALUE"""),42789.4239907523)</f>
        <v>42789.423990752301</v>
      </c>
      <c r="B14" s="11" t="str">
        <f ca="1">IFERROR(__xludf.DUMMYFUNCTION("""COMPUTED_VALUE"""),"Kenneth Rainer")</f>
        <v>Kenneth Rainer</v>
      </c>
      <c r="C14" t="str">
        <f ca="1">IFERROR(__xludf.DUMMYFUNCTION("""COMPUTED_VALUE"""),"Kenneth.Rainer@dep.state.fl.us")</f>
        <v>Kenneth.Rainer@dep.state.fl.us</v>
      </c>
      <c r="D14" t="str">
        <f ca="1">IFERROR(__xludf.DUMMYFUNCTION("""COMPUTED_VALUE"""),"Education")</f>
        <v>Education</v>
      </c>
      <c r="E14" t="str">
        <f ca="1">IFERROR(__xludf.DUMMYFUNCTION("""COMPUTED_VALUE"""),"Vilano Boat Ramp")</f>
        <v>Vilano Boat Ramp</v>
      </c>
      <c r="F14" s="13"/>
      <c r="G14" s="14">
        <f ca="1">IFERROR(__xludf.DUMMYFUNCTION("""COMPUTED_VALUE"""),42790)</f>
        <v>42790</v>
      </c>
      <c r="H14" t="str">
        <f ca="1">IFERROR(__xludf.DUMMYFUNCTION("""COMPUTED_VALUE"""),"Northern Component for Nekton Survey")</f>
        <v>Northern Component for Nekton Survey</v>
      </c>
      <c r="I14" s="15">
        <f ca="1">IFERROR(__xludf.DUMMYFUNCTION("""COMPUTED_VALUE"""),0.263888888890505)</f>
        <v>0.26388888889050499</v>
      </c>
      <c r="J14" s="16">
        <f ca="1">IFERROR(__xludf.DUMMYFUNCTION("""COMPUTED_VALUE"""),42790.5)</f>
        <v>42790.5</v>
      </c>
      <c r="K14" t="str">
        <f ca="1">IFERROR(__xludf.DUMMYFUNCTION("""COMPUTED_VALUE"""),"23ft Skiff FL7972LJ DEP07613")</f>
        <v>23ft Skiff FL7972LJ DEP07613</v>
      </c>
      <c r="M14" t="str">
        <f ca="1">IFERROR(__xludf.DUMMYFUNCTION("""COMPUTED_VALUE"""),"Ford F150 2015 (White) - DEP21448")</f>
        <v>Ford F150 2015 (White) - DEP21448</v>
      </c>
      <c r="N14" t="str">
        <f ca="1">IFERROR(__xludf.DUMMYFUNCTION("""COMPUTED_VALUE"""),"Kenneth Rainer, (936) 499-1853")</f>
        <v>Kenneth Rainer, (936) 499-1853</v>
      </c>
      <c r="O14" t="str">
        <f ca="1">IFERROR(__xludf.DUMMYFUNCTION("""COMPUTED_VALUE"""),"Ed McGinley, 3 Flagler Students")</f>
        <v>Ed McGinley, 3 Flagler Students</v>
      </c>
      <c r="P14" t="str">
        <f ca="1">IFERROR(__xludf.DUMMYFUNCTION("""COMPUTED_VALUE"""),"Kenneth Rainer, (936) 499-1853")</f>
        <v>Kenneth Rainer, (936) 499-1853</v>
      </c>
      <c r="AE14" s="11"/>
      <c r="AF14" t="str">
        <v>Kenneth.Rainer@floridadep.gov</v>
      </c>
      <c r="AG14" s="18"/>
      <c r="AH14" s="12"/>
      <c r="AI14" s="12" t="s">
        <v>8</v>
      </c>
      <c r="AJ14" s="12" t="s">
        <v>8</v>
      </c>
      <c r="AK14" s="12" t="s">
        <v>8</v>
      </c>
      <c r="AL14" s="12" t="s">
        <v>8</v>
      </c>
    </row>
    <row r="15" spans="1:38" ht="15.75" customHeight="1">
      <c r="A15" s="10">
        <f ca="1">IFERROR(__xludf.DUMMYFUNCTION("""COMPUTED_VALUE"""),42804.3224152083)</f>
        <v>42804.322415208298</v>
      </c>
      <c r="B15" s="11" t="str">
        <f ca="1">IFERROR(__xludf.DUMMYFUNCTION("""COMPUTED_VALUE"""),"Kenneth Rainer")</f>
        <v>Kenneth Rainer</v>
      </c>
      <c r="C15" t="str">
        <f ca="1">IFERROR(__xludf.DUMMYFUNCTION("""COMPUTED_VALUE"""),"Kenneth.Rainer@dep.state.fl.us")</f>
        <v>Kenneth.Rainer@dep.state.fl.us</v>
      </c>
      <c r="D15" t="str">
        <f ca="1">IFERROR(__xludf.DUMMYFUNCTION("""COMPUTED_VALUE"""),"Education")</f>
        <v>Education</v>
      </c>
      <c r="E15" t="str">
        <f ca="1">IFERROR(__xludf.DUMMYFUNCTION("""COMPUTED_VALUE"""),"Usina Boat Ramp")</f>
        <v>Usina Boat Ramp</v>
      </c>
      <c r="F15" s="13"/>
      <c r="G15" s="14">
        <f ca="1">IFERROR(__xludf.DUMMYFUNCTION("""COMPUTED_VALUE"""),42804)</f>
        <v>42804</v>
      </c>
      <c r="H15" t="str">
        <f ca="1">IFERROR(__xludf.DUMMYFUNCTION("""COMPUTED_VALUE"""),"Northern Component of GTM")</f>
        <v>Northern Component of GTM</v>
      </c>
      <c r="I15" s="15">
        <f ca="1">IFERROR(__xludf.DUMMYFUNCTION("""COMPUTED_VALUE"""),0.354166666667879)</f>
        <v>0.35416666666787899</v>
      </c>
      <c r="J15" s="16">
        <f ca="1">IFERROR(__xludf.DUMMYFUNCTION("""COMPUTED_VALUE"""),42804.5416666666)</f>
        <v>42804.541666666599</v>
      </c>
      <c r="K15" t="str">
        <f ca="1">IFERROR(__xludf.DUMMYFUNCTION("""COMPUTED_VALUE"""),"23ft Skiff FL7972LJ DEP07613")</f>
        <v>23ft Skiff FL7972LJ DEP07613</v>
      </c>
      <c r="N15" t="str">
        <f ca="1">IFERROR(__xludf.DUMMYFUNCTION("""COMPUTED_VALUE"""),"Kenneth Rainer, (936) 499-1853")</f>
        <v>Kenneth Rainer, (936) 499-1853</v>
      </c>
      <c r="O15" t="str">
        <f ca="1">IFERROR(__xludf.DUMMYFUNCTION("""COMPUTED_VALUE"""),"Kenneth Rainer, (936) 499-1853, McCoy students and teachers")</f>
        <v>Kenneth Rainer, (936) 499-1853, McCoy students and teachers</v>
      </c>
      <c r="P15" t="str">
        <f ca="1">IFERROR(__xludf.DUMMYFUNCTION("""COMPUTED_VALUE"""),"Kenneth Rainer, (936) 499-1853")</f>
        <v>Kenneth Rainer, (936) 499-1853</v>
      </c>
      <c r="AE15" s="11"/>
      <c r="AF15" t="str">
        <v>Kenneth.Rainer@floridadep.gov</v>
      </c>
      <c r="AG15" s="18"/>
      <c r="AH15" s="12"/>
      <c r="AI15" s="12" t="s">
        <v>8</v>
      </c>
      <c r="AJ15" s="12" t="s">
        <v>8</v>
      </c>
      <c r="AK15" s="12" t="s">
        <v>8</v>
      </c>
      <c r="AL15" s="12" t="s">
        <v>8</v>
      </c>
    </row>
    <row r="16" spans="1:38" ht="15.75" customHeight="1">
      <c r="A16" s="10">
        <f ca="1">IFERROR(__xludf.DUMMYFUNCTION("""COMPUTED_VALUE"""),42838.3923666435)</f>
        <v>42838.3923666435</v>
      </c>
      <c r="B16" s="11" t="str">
        <f ca="1">IFERROR(__xludf.DUMMYFUNCTION("""COMPUTED_VALUE"""),"Kenneth Rainer")</f>
        <v>Kenneth Rainer</v>
      </c>
      <c r="C16" t="str">
        <f ca="1">IFERROR(__xludf.DUMMYFUNCTION("""COMPUTED_VALUE"""),"Kenneth.Rainer@dep.state.fl.us")</f>
        <v>Kenneth.Rainer@dep.state.fl.us</v>
      </c>
      <c r="D16" t="str">
        <f ca="1">IFERROR(__xludf.DUMMYFUNCTION("""COMPUTED_VALUE"""),"Education")</f>
        <v>Education</v>
      </c>
      <c r="E16" t="str">
        <f ca="1">IFERROR(__xludf.DUMMYFUNCTION("""COMPUTED_VALUE"""),"Vilano Boat Ramp")</f>
        <v>Vilano Boat Ramp</v>
      </c>
      <c r="F16" s="13"/>
      <c r="G16" s="14">
        <f ca="1">IFERROR(__xludf.DUMMYFUNCTION("""COMPUTED_VALUE"""),42840)</f>
        <v>42840</v>
      </c>
      <c r="H16" t="str">
        <f ca="1">IFERROR(__xludf.DUMMYFUNCTION("""COMPUTED_VALUE"""),"Northern Component")</f>
        <v>Northern Component</v>
      </c>
      <c r="I16" s="15">
        <f ca="1">IFERROR(__xludf.DUMMYFUNCTION("""COMPUTED_VALUE"""),0.33333333333212)</f>
        <v>0.33333333333212001</v>
      </c>
      <c r="J16" s="16">
        <f ca="1">IFERROR(__xludf.DUMMYFUNCTION("""COMPUTED_VALUE"""),42842.3333333333)</f>
        <v>42842.333333333299</v>
      </c>
      <c r="K16" t="str">
        <f ca="1">IFERROR(__xludf.DUMMYFUNCTION("""COMPUTED_VALUE"""),"23ft Skiff FL7972LJ DEP07613")</f>
        <v>23ft Skiff FL7972LJ DEP07613</v>
      </c>
      <c r="M16" t="str">
        <f ca="1">IFERROR(__xludf.DUMMYFUNCTION("""COMPUTED_VALUE"""),"Ford F150 2015 (White) - DEP21448")</f>
        <v>Ford F150 2015 (White) - DEP21448</v>
      </c>
      <c r="N16" t="str">
        <f ca="1">IFERROR(__xludf.DUMMYFUNCTION("""COMPUTED_VALUE"""),"Kenneth Rainer, (936) 499-1853")</f>
        <v>Kenneth Rainer, (936) 499-1853</v>
      </c>
      <c r="O16" t="str">
        <f ca="1">IFERROR(__xludf.DUMMYFUNCTION("""COMPUTED_VALUE"""),"Joe McCoy; Nancy Watson; Mary Turner; Michael Chen; Matthew Petty; Isabella Cioffi; Kaleb Cowart")</f>
        <v>Joe McCoy; Nancy Watson; Mary Turner; Michael Chen; Matthew Petty; Isabella Cioffi; Kaleb Cowart</v>
      </c>
      <c r="P16" t="str">
        <f ca="1">IFERROR(__xludf.DUMMYFUNCTION("""COMPUTED_VALUE"""),"Kenneth Rainer, (936) 499-1853")</f>
        <v>Kenneth Rainer, (936) 499-1853</v>
      </c>
      <c r="AE16" s="11"/>
      <c r="AF16" t="str">
        <v>Kenneth.Rainer@floridadep.gov</v>
      </c>
      <c r="AG16" s="18"/>
      <c r="AH16" s="12"/>
      <c r="AI16" s="12" t="s">
        <v>8</v>
      </c>
      <c r="AJ16" s="12" t="s">
        <v>8</v>
      </c>
      <c r="AK16" s="12" t="s">
        <v>8</v>
      </c>
      <c r="AL16" s="12" t="s">
        <v>8</v>
      </c>
    </row>
    <row r="17" spans="1:38" ht="15.75" customHeight="1">
      <c r="A17" s="10">
        <f ca="1">IFERROR(__xludf.DUMMYFUNCTION("""COMPUTED_VALUE"""),42845.5247933333)</f>
        <v>42845.524793333301</v>
      </c>
      <c r="B17" s="11" t="str">
        <f ca="1">IFERROR(__xludf.DUMMYFUNCTION("""COMPUTED_VALUE"""),"Kenneth Rainer")</f>
        <v>Kenneth Rainer</v>
      </c>
      <c r="C17" t="str">
        <f ca="1">IFERROR(__xludf.DUMMYFUNCTION("""COMPUTED_VALUE"""),"Kenneth.Rainer@dep.state.fl.us")</f>
        <v>Kenneth.Rainer@dep.state.fl.us</v>
      </c>
      <c r="D17" t="str">
        <f ca="1">IFERROR(__xludf.DUMMYFUNCTION("""COMPUTED_VALUE"""),"Education")</f>
        <v>Education</v>
      </c>
      <c r="E17" t="str">
        <f ca="1">IFERROR(__xludf.DUMMYFUNCTION("""COMPUTED_VALUE"""),"Vilano Boat Ramp")</f>
        <v>Vilano Boat Ramp</v>
      </c>
      <c r="F17" s="13"/>
      <c r="G17" s="14">
        <f ca="1">IFERROR(__xludf.DUMMYFUNCTION("""COMPUTED_VALUE"""),42846)</f>
        <v>42846</v>
      </c>
      <c r="H17" t="str">
        <f ca="1">IFERROR(__xludf.DUMMYFUNCTION("""COMPUTED_VALUE"""),"Northern Component")</f>
        <v>Northern Component</v>
      </c>
      <c r="I17" s="15">
        <f ca="1">IFERROR(__xludf.DUMMYFUNCTION("""COMPUTED_VALUE"""),0.27083333333212)</f>
        <v>0.27083333333212001</v>
      </c>
      <c r="J17" s="16">
        <f ca="1">IFERROR(__xludf.DUMMYFUNCTION("""COMPUTED_VALUE"""),42846.5416666666)</f>
        <v>42846.541666666599</v>
      </c>
      <c r="K17" t="str">
        <f ca="1">IFERROR(__xludf.DUMMYFUNCTION("""COMPUTED_VALUE"""),"20ft Sea Ark FL5351SJ UNF 2015")</f>
        <v>20ft Sea Ark FL5351SJ UNF 2015</v>
      </c>
      <c r="M17" t="str">
        <f ca="1">IFERROR(__xludf.DUMMYFUNCTION("""COMPUTED_VALUE"""),"Ford F150 2015 (White) - DEP21448")</f>
        <v>Ford F150 2015 (White) - DEP21448</v>
      </c>
      <c r="N17" t="str">
        <f ca="1">IFERROR(__xludf.DUMMYFUNCTION("""COMPUTED_VALUE"""),"Kenneth Rainer, (936) 499-1853")</f>
        <v>Kenneth Rainer, (936) 499-1853</v>
      </c>
      <c r="O17" t="str">
        <f ca="1">IFERROR(__xludf.DUMMYFUNCTION("""COMPUTED_VALUE"""),"Nikki Dix, (352) 219-4079, Matt Monroe, Ed McGinley")</f>
        <v>Nikki Dix, (352) 219-4079, Matt Monroe, Ed McGinley</v>
      </c>
      <c r="P17" t="str">
        <f ca="1">IFERROR(__xludf.DUMMYFUNCTION("""COMPUTED_VALUE"""),"Kenneth Rainer, (936) 499-1853")</f>
        <v>Kenneth Rainer, (936) 499-1853</v>
      </c>
      <c r="AE17" s="11"/>
      <c r="AF17" t="str">
        <v>Kenneth.Rainer@floridadep.gov</v>
      </c>
      <c r="AG17" s="18"/>
      <c r="AH17" s="12"/>
      <c r="AI17" s="12" t="s">
        <v>8</v>
      </c>
      <c r="AJ17" s="12" t="s">
        <v>8</v>
      </c>
      <c r="AK17" s="12" t="s">
        <v>8</v>
      </c>
      <c r="AL17" s="12" t="s">
        <v>8</v>
      </c>
    </row>
    <row r="18" spans="1:38" ht="15.75" customHeight="1">
      <c r="A18" s="10">
        <f ca="1">IFERROR(__xludf.DUMMYFUNCTION("""COMPUTED_VALUE"""),42852.4168922106)</f>
        <v>42852.416892210596</v>
      </c>
      <c r="B18" s="11" t="str">
        <f ca="1">IFERROR(__xludf.DUMMYFUNCTION("""COMPUTED_VALUE"""),"Kenneth Rainer")</f>
        <v>Kenneth Rainer</v>
      </c>
      <c r="C18" t="str">
        <f ca="1">IFERROR(__xludf.DUMMYFUNCTION("""COMPUTED_VALUE"""),"Kenneth.Rainer@dep.state.fl.us")</f>
        <v>Kenneth.Rainer@dep.state.fl.us</v>
      </c>
      <c r="D18" t="str">
        <f ca="1">IFERROR(__xludf.DUMMYFUNCTION("""COMPUTED_VALUE"""),"Education")</f>
        <v>Education</v>
      </c>
      <c r="E18" t="str">
        <f ca="1">IFERROR(__xludf.DUMMYFUNCTION("""COMPUTED_VALUE"""),"Vilano Boat Ramp")</f>
        <v>Vilano Boat Ramp</v>
      </c>
      <c r="F18" s="13"/>
      <c r="G18" s="14">
        <f ca="1">IFERROR(__xludf.DUMMYFUNCTION("""COMPUTED_VALUE"""),42853)</f>
        <v>42853</v>
      </c>
      <c r="H18" t="str">
        <f ca="1">IFERROR(__xludf.DUMMYFUNCTION("""COMPUTED_VALUE"""),"Southern Component")</f>
        <v>Southern Component</v>
      </c>
      <c r="I18" s="15">
        <f ca="1">IFERROR(__xludf.DUMMYFUNCTION("""COMPUTED_VALUE"""),0.416666666667879)</f>
        <v>0.41666666666787899</v>
      </c>
      <c r="J18" s="16">
        <f ca="1">IFERROR(__xludf.DUMMYFUNCTION("""COMPUTED_VALUE"""),42853.5833333333)</f>
        <v>42853.583333333299</v>
      </c>
      <c r="K18" t="str">
        <f ca="1">IFERROR(__xludf.DUMMYFUNCTION("""COMPUTED_VALUE"""),"23ft Skiff FL7972LJ DEP07613")</f>
        <v>23ft Skiff FL7972LJ DEP07613</v>
      </c>
      <c r="M18" t="str">
        <f ca="1">IFERROR(__xludf.DUMMYFUNCTION("""COMPUTED_VALUE"""),"Ford F150 2015 (White) - DEP21448")</f>
        <v>Ford F150 2015 (White) - DEP21448</v>
      </c>
      <c r="N18" t="str">
        <f ca="1">IFERROR(__xludf.DUMMYFUNCTION("""COMPUTED_VALUE"""),"Kenneth Rainer, (936) 499-1853")</f>
        <v>Kenneth Rainer, (936) 499-1853</v>
      </c>
      <c r="O18" t="str">
        <f ca="1">IFERROR(__xludf.DUMMYFUNCTION("""COMPUTED_VALUE"""),"Matt Monroe, Ed McGinley")</f>
        <v>Matt Monroe, Ed McGinley</v>
      </c>
      <c r="AE18" s="11"/>
      <c r="AF18" t="str">
        <v>Kenneth.Rainer@floridadep.gov</v>
      </c>
      <c r="AG18" s="18"/>
      <c r="AH18" s="12"/>
      <c r="AI18" s="12" t="s">
        <v>8</v>
      </c>
      <c r="AJ18" s="12" t="s">
        <v>8</v>
      </c>
      <c r="AK18" s="12" t="s">
        <v>8</v>
      </c>
      <c r="AL18" s="12" t="s">
        <v>8</v>
      </c>
    </row>
    <row r="19" spans="1:38" ht="15.75" customHeight="1">
      <c r="A19" s="10">
        <f ca="1">IFERROR(__xludf.DUMMYFUNCTION("""COMPUTED_VALUE"""),42858.3942624421)</f>
        <v>42858.394262442103</v>
      </c>
      <c r="B19" s="11" t="str">
        <f ca="1">IFERROR(__xludf.DUMMYFUNCTION("""COMPUTED_VALUE"""),"Kenneth Rainer")</f>
        <v>Kenneth Rainer</v>
      </c>
      <c r="C19" t="str">
        <f ca="1">IFERROR(__xludf.DUMMYFUNCTION("""COMPUTED_VALUE"""),"Kenneth.Rainer@dep.state.fl.us")</f>
        <v>Kenneth.Rainer@dep.state.fl.us</v>
      </c>
      <c r="D19" t="str">
        <f ca="1">IFERROR(__xludf.DUMMYFUNCTION("""COMPUTED_VALUE"""),"Education")</f>
        <v>Education</v>
      </c>
      <c r="E19" t="str">
        <f ca="1">IFERROR(__xludf.DUMMYFUNCTION("""COMPUTED_VALUE"""),"Usina Boat Ramp")</f>
        <v>Usina Boat Ramp</v>
      </c>
      <c r="F19" s="13"/>
      <c r="G19" s="14">
        <f ca="1">IFERROR(__xludf.DUMMYFUNCTION("""COMPUTED_VALUE"""),42860)</f>
        <v>42860</v>
      </c>
      <c r="H19" t="str">
        <f ca="1">IFERROR(__xludf.DUMMYFUNCTION("""COMPUTED_VALUE"""),"Northern Portion of GTM NERR")</f>
        <v>Northern Portion of GTM NERR</v>
      </c>
      <c r="I19" s="15">
        <f ca="1">IFERROR(__xludf.DUMMYFUNCTION("""COMPUTED_VALUE"""),0.291666666667879)</f>
        <v>0.29166666666787899</v>
      </c>
      <c r="J19" s="16">
        <f ca="1">IFERROR(__xludf.DUMMYFUNCTION("""COMPUTED_VALUE"""),42860.5833333333)</f>
        <v>42860.583333333299</v>
      </c>
      <c r="K19" t="str">
        <f ca="1">IFERROR(__xludf.DUMMYFUNCTION("""COMPUTED_VALUE"""),"23ft Skiff FL7972LJ DEP07613")</f>
        <v>23ft Skiff FL7972LJ DEP07613</v>
      </c>
      <c r="M19" t="str">
        <f ca="1">IFERROR(__xludf.DUMMYFUNCTION("""COMPUTED_VALUE"""),"Ford F150 2015 (White) - DEP21448")</f>
        <v>Ford F150 2015 (White) - DEP21448</v>
      </c>
      <c r="N19" t="str">
        <f ca="1">IFERROR(__xludf.DUMMYFUNCTION("""COMPUTED_VALUE"""),"Kenneth Rainer, (936) 499-1853")</f>
        <v>Kenneth Rainer, (936) 499-1853</v>
      </c>
      <c r="O19" t="str">
        <f ca="1">IFERROR(__xludf.DUMMYFUNCTION("""COMPUTED_VALUE"""),"Emma Hanson")</f>
        <v>Emma Hanson</v>
      </c>
      <c r="P19" t="str">
        <f ca="1">IFERROR(__xludf.DUMMYFUNCTION("""COMPUTED_VALUE"""),"Kenneth Rainer, (936) 499-1853")</f>
        <v>Kenneth Rainer, (936) 499-1853</v>
      </c>
      <c r="AE19" s="11"/>
      <c r="AF19" t="str">
        <v>Kenneth.Rainer@floridadep.gov</v>
      </c>
      <c r="AG19" s="18"/>
      <c r="AH19" s="12"/>
      <c r="AI19" s="12" t="s">
        <v>8</v>
      </c>
      <c r="AJ19" s="12" t="s">
        <v>8</v>
      </c>
      <c r="AK19" s="12" t="s">
        <v>8</v>
      </c>
      <c r="AL19" s="12" t="s">
        <v>8</v>
      </c>
    </row>
    <row r="20" spans="1:38" ht="15.75" customHeight="1">
      <c r="A20" s="10">
        <f ca="1">IFERROR(__xludf.DUMMYFUNCTION("""COMPUTED_VALUE"""),42891.4967387615)</f>
        <v>42891.496738761503</v>
      </c>
      <c r="B20" s="11" t="str">
        <f ca="1">IFERROR(__xludf.DUMMYFUNCTION("""COMPUTED_VALUE"""),"Kenneth Rainer")</f>
        <v>Kenneth Rainer</v>
      </c>
      <c r="C20" t="str">
        <f ca="1">IFERROR(__xludf.DUMMYFUNCTION("""COMPUTED_VALUE"""),"Kenneth.Rainer@dep.state.fl.us")</f>
        <v>Kenneth.Rainer@dep.state.fl.us</v>
      </c>
      <c r="D20" t="str">
        <f ca="1">IFERROR(__xludf.DUMMYFUNCTION("""COMPUTED_VALUE"""),"Education")</f>
        <v>Education</v>
      </c>
      <c r="F20" s="13"/>
      <c r="G20" s="14">
        <f ca="1">IFERROR(__xludf.DUMMYFUNCTION("""COMPUTED_VALUE"""),42894)</f>
        <v>42894</v>
      </c>
      <c r="I20" s="15">
        <f ca="1">IFERROR(__xludf.DUMMYFUNCTION("""COMPUTED_VALUE"""),0.33333333333212)</f>
        <v>0.33333333333212001</v>
      </c>
      <c r="J20" s="16">
        <f ca="1">IFERROR(__xludf.DUMMYFUNCTION("""COMPUTED_VALUE"""),42894.5833333333)</f>
        <v>42894.583333333299</v>
      </c>
      <c r="K20" t="str">
        <f ca="1">IFERROR(__xludf.DUMMYFUNCTION("""COMPUTED_VALUE"""),"23ft Skiff FL7972LJ DEP07613")</f>
        <v>23ft Skiff FL7972LJ DEP07613</v>
      </c>
      <c r="M20" t="str">
        <f ca="1">IFERROR(__xludf.DUMMYFUNCTION("""COMPUTED_VALUE"""),"Ford F150 2015 (White) - DEP21448")</f>
        <v>Ford F150 2015 (White) - DEP21448</v>
      </c>
      <c r="N20" t="str">
        <f ca="1">IFERROR(__xludf.DUMMYFUNCTION("""COMPUTED_VALUE"""),"Kenneth Rainer, (936) 499-1853")</f>
        <v>Kenneth Rainer, (936) 499-1853</v>
      </c>
      <c r="O20" t="str">
        <f ca="1">IFERROR(__xludf.DUMMYFUNCTION("""COMPUTED_VALUE"""),"Kenneth Rainer, (936) 499-1853")</f>
        <v>Kenneth Rainer, (936) 499-1853</v>
      </c>
      <c r="P20" t="str">
        <f ca="1">IFERROR(__xludf.DUMMYFUNCTION("""COMPUTED_VALUE"""),"Kenneth Rainer, (936) 499-1853")</f>
        <v>Kenneth Rainer, (936) 499-1853</v>
      </c>
      <c r="AE20" s="11"/>
      <c r="AF20" t="str">
        <v>Kenneth.Rainer@floridadep.gov</v>
      </c>
      <c r="AG20" s="18"/>
      <c r="AH20" s="12"/>
      <c r="AI20" s="12" t="s">
        <v>8</v>
      </c>
      <c r="AJ20" s="12" t="s">
        <v>8</v>
      </c>
      <c r="AK20" s="12" t="s">
        <v>8</v>
      </c>
      <c r="AL20" s="12" t="s">
        <v>8</v>
      </c>
    </row>
    <row r="21" spans="1:38" ht="15.75" customHeight="1">
      <c r="A21" s="10">
        <f ca="1">IFERROR(__xludf.DUMMYFUNCTION("""COMPUTED_VALUE"""),42891.4973265972)</f>
        <v>42891.4973265972</v>
      </c>
      <c r="B21" s="11" t="str">
        <f ca="1">IFERROR(__xludf.DUMMYFUNCTION("""COMPUTED_VALUE"""),"Kenneth Rainer")</f>
        <v>Kenneth Rainer</v>
      </c>
      <c r="C21" t="str">
        <f ca="1">IFERROR(__xludf.DUMMYFUNCTION("""COMPUTED_VALUE"""),"Kenneth.Rainer@dep.state.fl.us")</f>
        <v>Kenneth.Rainer@dep.state.fl.us</v>
      </c>
      <c r="D21" t="str">
        <f ca="1">IFERROR(__xludf.DUMMYFUNCTION("""COMPUTED_VALUE"""),"Education")</f>
        <v>Education</v>
      </c>
      <c r="F21" s="13"/>
      <c r="G21" s="14">
        <f ca="1">IFERROR(__xludf.DUMMYFUNCTION("""COMPUTED_VALUE"""),42895)</f>
        <v>42895</v>
      </c>
      <c r="I21" s="15">
        <f ca="1">IFERROR(__xludf.DUMMYFUNCTION("""COMPUTED_VALUE"""),0.33333333333212)</f>
        <v>0.33333333333212001</v>
      </c>
      <c r="J21" s="16">
        <f ca="1">IFERROR(__xludf.DUMMYFUNCTION("""COMPUTED_VALUE"""),42895.5833333333)</f>
        <v>42895.583333333299</v>
      </c>
      <c r="K21" t="str">
        <f ca="1">IFERROR(__xludf.DUMMYFUNCTION("""COMPUTED_VALUE"""),"23ft Skiff FL7972LJ DEP07613")</f>
        <v>23ft Skiff FL7972LJ DEP07613</v>
      </c>
      <c r="M21" t="str">
        <f ca="1">IFERROR(__xludf.DUMMYFUNCTION("""COMPUTED_VALUE"""),"Ford F150 2015 (White) - DEP21448")</f>
        <v>Ford F150 2015 (White) - DEP21448</v>
      </c>
      <c r="N21" t="str">
        <f ca="1">IFERROR(__xludf.DUMMYFUNCTION("""COMPUTED_VALUE"""),"Kenneth Rainer, (936) 499-1853")</f>
        <v>Kenneth Rainer, (936) 499-1853</v>
      </c>
      <c r="O21" t="str">
        <f ca="1">IFERROR(__xludf.DUMMYFUNCTION("""COMPUTED_VALUE"""),"Kenneth Rainer, (936) 499-1853")</f>
        <v>Kenneth Rainer, (936) 499-1853</v>
      </c>
      <c r="P21" t="str">
        <f ca="1">IFERROR(__xludf.DUMMYFUNCTION("""COMPUTED_VALUE"""),"Kenneth Rainer, (936) 499-1853")</f>
        <v>Kenneth Rainer, (936) 499-1853</v>
      </c>
      <c r="AE21" s="11"/>
      <c r="AF21" t="str">
        <v>Kenneth.Rainer@floridadep.gov</v>
      </c>
      <c r="AG21" s="18"/>
      <c r="AH21" s="12"/>
      <c r="AI21" s="12" t="s">
        <v>8</v>
      </c>
      <c r="AJ21" s="12" t="s">
        <v>8</v>
      </c>
      <c r="AK21" s="12" t="s">
        <v>8</v>
      </c>
      <c r="AL21" s="12" t="s">
        <v>8</v>
      </c>
    </row>
    <row r="22" spans="1:38" ht="15.75" customHeight="1">
      <c r="A22" s="10">
        <f ca="1">IFERROR(__xludf.DUMMYFUNCTION("""COMPUTED_VALUE"""),42899.4301591087)</f>
        <v>42899.430159108699</v>
      </c>
      <c r="B22" s="11" t="str">
        <f ca="1">IFERROR(__xludf.DUMMYFUNCTION("""COMPUTED_VALUE"""),"Kenneth Rainer")</f>
        <v>Kenneth Rainer</v>
      </c>
      <c r="C22" t="str">
        <f ca="1">IFERROR(__xludf.DUMMYFUNCTION("""COMPUTED_VALUE"""),"Kenneth.Rainer@dep.state.fl.us")</f>
        <v>Kenneth.Rainer@dep.state.fl.us</v>
      </c>
      <c r="D22" t="str">
        <f ca="1">IFERROR(__xludf.DUMMYFUNCTION("""COMPUTED_VALUE"""),"Education")</f>
        <v>Education</v>
      </c>
      <c r="E22" t="str">
        <f ca="1">IFERROR(__xludf.DUMMYFUNCTION("""COMPUTED_VALUE"""),"Aunt Kate's")</f>
        <v>Aunt Kate's</v>
      </c>
      <c r="F22" s="13"/>
      <c r="G22" s="14">
        <f ca="1">IFERROR(__xludf.DUMMYFUNCTION("""COMPUTED_VALUE"""),42900)</f>
        <v>42900</v>
      </c>
      <c r="H22" t="str">
        <f ca="1">IFERROR(__xludf.DUMMYFUNCTION("""COMPUTED_VALUE"""),"Guana Peninsula")</f>
        <v>Guana Peninsula</v>
      </c>
      <c r="I22" s="15">
        <f ca="1">IFERROR(__xludf.DUMMYFUNCTION("""COMPUTED_VALUE"""),0.375)</f>
        <v>0.375</v>
      </c>
      <c r="J22" s="16">
        <f ca="1">IFERROR(__xludf.DUMMYFUNCTION("""COMPUTED_VALUE"""),42900.5416666666)</f>
        <v>42900.541666666599</v>
      </c>
      <c r="K22" t="str">
        <f ca="1">IFERROR(__xludf.DUMMYFUNCTION("""COMPUTED_VALUE"""),"23ft Skiff FL7972LJ DEP07613")</f>
        <v>23ft Skiff FL7972LJ DEP07613</v>
      </c>
      <c r="M22" t="str">
        <f ca="1">IFERROR(__xludf.DUMMYFUNCTION("""COMPUTED_VALUE"""),"Ford F150 2015 (White) - DEP21448")</f>
        <v>Ford F150 2015 (White) - DEP21448</v>
      </c>
      <c r="N22" t="str">
        <f ca="1">IFERROR(__xludf.DUMMYFUNCTION("""COMPUTED_VALUE"""),"Kenneth Rainer, (936) 499-1853")</f>
        <v>Kenneth Rainer, (936) 499-1853</v>
      </c>
      <c r="O22" t="str">
        <f ca="1">IFERROR(__xludf.DUMMYFUNCTION("""COMPUTED_VALUE"""),"Kenneth Rainer, (936) 499-1853")</f>
        <v>Kenneth Rainer, (936) 499-1853</v>
      </c>
      <c r="P22" t="str">
        <f ca="1">IFERROR(__xludf.DUMMYFUNCTION("""COMPUTED_VALUE"""),"Kenneth Rainer, (936) 499-1853")</f>
        <v>Kenneth Rainer, (936) 499-1853</v>
      </c>
      <c r="AD22" t="str">
        <f ca="1">IFERROR(__xludf.DUMMYFUNCTION("""COMPUTED_VALUE"""),"Weather at 9:00 A.M. - 78F, 51% rain, 3mph S")</f>
        <v>Weather at 9:00 A.M. - 78F, 51% rain, 3mph S</v>
      </c>
      <c r="AE22" s="11" t="str">
        <f ca="1">IFERROR(__xludf.DUMMYFUNCTION("""COMPUTED_VALUE"""),"Tides: Low at 6:31 A.M. and High at 12:34 P.M.")</f>
        <v>Tides: Low at 6:31 A.M. and High at 12:34 P.M.</v>
      </c>
      <c r="AF22" t="str">
        <v>Kenneth.Rainer@floridadep.gov</v>
      </c>
      <c r="AG22" s="18"/>
      <c r="AH22" s="12"/>
      <c r="AI22" s="12" t="s">
        <v>8</v>
      </c>
      <c r="AJ22" s="12" t="s">
        <v>8</v>
      </c>
      <c r="AK22" s="12" t="s">
        <v>8</v>
      </c>
      <c r="AL22" s="12" t="s">
        <v>8</v>
      </c>
    </row>
    <row r="23" spans="1:38" ht="15.75" customHeight="1">
      <c r="A23" s="10">
        <f ca="1">IFERROR(__xludf.DUMMYFUNCTION("""COMPUTED_VALUE"""),42906.5227764467)</f>
        <v>42906.522776446698</v>
      </c>
      <c r="B23" s="11" t="str">
        <f ca="1">IFERROR(__xludf.DUMMYFUNCTION("""COMPUTED_VALUE"""),"Kenneth Rainer")</f>
        <v>Kenneth Rainer</v>
      </c>
      <c r="C23" t="str">
        <f ca="1">IFERROR(__xludf.DUMMYFUNCTION("""COMPUTED_VALUE"""),"Kenneth.Rainer@dep.state.fl.us")</f>
        <v>Kenneth.Rainer@dep.state.fl.us</v>
      </c>
      <c r="D23" t="str">
        <f ca="1">IFERROR(__xludf.DUMMYFUNCTION("""COMPUTED_VALUE"""),"Education")</f>
        <v>Education</v>
      </c>
      <c r="E23" t="str">
        <f ca="1">IFERROR(__xludf.DUMMYFUNCTION("""COMPUTED_VALUE"""),"Aunt Kate's Boat Ramp")</f>
        <v>Aunt Kate's Boat Ramp</v>
      </c>
      <c r="F23" s="13"/>
      <c r="G23" s="14">
        <f ca="1">IFERROR(__xludf.DUMMYFUNCTION("""COMPUTED_VALUE"""),42907)</f>
        <v>42907</v>
      </c>
      <c r="H23" t="str">
        <f ca="1">IFERROR(__xludf.DUMMYFUNCTION("""COMPUTED_VALUE"""),"Northern Component (along Guana peninsula)")</f>
        <v>Northern Component (along Guana peninsula)</v>
      </c>
      <c r="I23" s="15">
        <f ca="1">IFERROR(__xludf.DUMMYFUNCTION("""COMPUTED_VALUE"""),0.354166666667879)</f>
        <v>0.35416666666787899</v>
      </c>
      <c r="J23" s="16">
        <f ca="1">IFERROR(__xludf.DUMMYFUNCTION("""COMPUTED_VALUE"""),42907.5625)</f>
        <v>42907.5625</v>
      </c>
      <c r="K23" t="str">
        <f ca="1">IFERROR(__xludf.DUMMYFUNCTION("""COMPUTED_VALUE"""),"23ft Skiff FL7972LJ DEP07613")</f>
        <v>23ft Skiff FL7972LJ DEP07613</v>
      </c>
      <c r="M23" t="str">
        <f ca="1">IFERROR(__xludf.DUMMYFUNCTION("""COMPUTED_VALUE"""),"Ford F150 2015 (White) - DEP21448")</f>
        <v>Ford F150 2015 (White) - DEP21448</v>
      </c>
      <c r="N23" t="str">
        <f ca="1">IFERROR(__xludf.DUMMYFUNCTION("""COMPUTED_VALUE"""),"Kenneth Rainer, (936) 499-1853")</f>
        <v>Kenneth Rainer, (936) 499-1853</v>
      </c>
      <c r="O23" t="str">
        <f ca="1">IFERROR(__xludf.DUMMYFUNCTION("""COMPUTED_VALUE"""),"Kenneth Rainer, (936) 499-1853")</f>
        <v>Kenneth Rainer, (936) 499-1853</v>
      </c>
      <c r="P23" t="str">
        <f ca="1">IFERROR(__xludf.DUMMYFUNCTION("""COMPUTED_VALUE"""),"Kenneth Rainer, (936) 499-1853")</f>
        <v>Kenneth Rainer, (936) 499-1853</v>
      </c>
      <c r="AD23" t="str">
        <f ca="1">IFERROR(__xludf.DUMMYFUNCTION("""COMPUTED_VALUE"""),"Weather: 8AM, 78F, 15% chance rain, 8mph SSE")</f>
        <v>Weather: 8AM, 78F, 15% chance rain, 8mph SSE</v>
      </c>
      <c r="AE23" s="11" t="str">
        <f ca="1">IFERROR(__xludf.DUMMYFUNCTION("""COMPUTED_VALUE"""),"Tides: High is 6:26AM, Low is 12:38PM")</f>
        <v>Tides: High is 6:26AM, Low is 12:38PM</v>
      </c>
      <c r="AF23" t="str">
        <v>Kenneth.Rainer@floridadep.gov</v>
      </c>
      <c r="AG23" s="18"/>
      <c r="AH23" s="12"/>
      <c r="AI23" s="12" t="s">
        <v>8</v>
      </c>
      <c r="AJ23" s="12" t="s">
        <v>8</v>
      </c>
      <c r="AK23" s="12" t="s">
        <v>8</v>
      </c>
      <c r="AL23" s="12" t="s">
        <v>8</v>
      </c>
    </row>
    <row r="24" spans="1:38" ht="15.75" customHeight="1">
      <c r="A24" s="10">
        <f ca="1">IFERROR(__xludf.DUMMYFUNCTION("""COMPUTED_VALUE"""),42927.4307686574)</f>
        <v>42927.430768657403</v>
      </c>
      <c r="B24" s="11" t="str">
        <f ca="1">IFERROR(__xludf.DUMMYFUNCTION("""COMPUTED_VALUE"""),"Kenneth Rainer")</f>
        <v>Kenneth Rainer</v>
      </c>
      <c r="C24" t="str">
        <f ca="1">IFERROR(__xludf.DUMMYFUNCTION("""COMPUTED_VALUE"""),"Kenneth.Rainer@dep.state.fl.us")</f>
        <v>Kenneth.Rainer@dep.state.fl.us</v>
      </c>
      <c r="D24" t="str">
        <f ca="1">IFERROR(__xludf.DUMMYFUNCTION("""COMPUTED_VALUE"""),"Education")</f>
        <v>Education</v>
      </c>
      <c r="E24" t="str">
        <f ca="1">IFERROR(__xludf.DUMMYFUNCTION("""COMPUTED_VALUE"""),"Usina Boat Ramp")</f>
        <v>Usina Boat Ramp</v>
      </c>
      <c r="F24" s="13"/>
      <c r="G24" s="14">
        <f ca="1">IFERROR(__xludf.DUMMYFUNCTION("""COMPUTED_VALUE"""),42928)</f>
        <v>42928</v>
      </c>
      <c r="H24" t="str">
        <f ca="1">IFERROR(__xludf.DUMMYFUNCTION("""COMPUTED_VALUE"""),"Northern Component")</f>
        <v>Northern Component</v>
      </c>
      <c r="I24" s="15">
        <f ca="1">IFERROR(__xludf.DUMMYFUNCTION("""COMPUTED_VALUE"""),0.354166666667879)</f>
        <v>0.35416666666787899</v>
      </c>
      <c r="J24" s="16">
        <f ca="1">IFERROR(__xludf.DUMMYFUNCTION("""COMPUTED_VALUE"""),42928.5416666666)</f>
        <v>42928.541666666599</v>
      </c>
      <c r="K24" t="str">
        <f ca="1">IFERROR(__xludf.DUMMYFUNCTION("""COMPUTED_VALUE"""),"23ft Skiff FL7972LJ DEP07613")</f>
        <v>23ft Skiff FL7972LJ DEP07613</v>
      </c>
      <c r="M24" t="str">
        <f ca="1">IFERROR(__xludf.DUMMYFUNCTION("""COMPUTED_VALUE"""),"Ford F150 2015 (White) - DEP21448")</f>
        <v>Ford F150 2015 (White) - DEP21448</v>
      </c>
      <c r="N24" t="str">
        <f ca="1">IFERROR(__xludf.DUMMYFUNCTION("""COMPUTED_VALUE"""),"Kenneth Rainer, (936) 499-1853")</f>
        <v>Kenneth Rainer, (936) 499-1853</v>
      </c>
      <c r="O24" t="str">
        <f ca="1">IFERROR(__xludf.DUMMYFUNCTION("""COMPUTED_VALUE"""),"7-9yr Summer Campers, Taylor, Silvia, Ashton, Emma")</f>
        <v>7-9yr Summer Campers, Taylor, Silvia, Ashton, Emma</v>
      </c>
      <c r="P24" t="str">
        <f ca="1">IFERROR(__xludf.DUMMYFUNCTION("""COMPUTED_VALUE"""),"Kenneth Rainer, (936) 499-1853")</f>
        <v>Kenneth Rainer, (936) 499-1853</v>
      </c>
      <c r="AD24" t="str">
        <f ca="1">IFERROR(__xludf.DUMMYFUNCTION("""COMPUTED_VALUE"""),"Weather (9am): 82F, 7% chance rain, 3mph ESE")</f>
        <v>Weather (9am): 82F, 7% chance rain, 3mph ESE</v>
      </c>
      <c r="AE24" s="11" t="str">
        <f ca="1">IFERROR(__xludf.DUMMYFUNCTION("""COMPUTED_VALUE"""),"Tides: Low Tide 5:22AM; High Tide 11:28pm (incoming tide)")</f>
        <v>Tides: Low Tide 5:22AM; High Tide 11:28pm (incoming tide)</v>
      </c>
      <c r="AF24" t="str">
        <v>Kenneth.Rainer@floridadep.gov</v>
      </c>
      <c r="AG24" s="18"/>
      <c r="AH24" s="12"/>
      <c r="AI24" s="12" t="s">
        <v>8</v>
      </c>
      <c r="AJ24" s="12" t="s">
        <v>8</v>
      </c>
      <c r="AK24" s="12" t="s">
        <v>8</v>
      </c>
      <c r="AL24" s="12" t="s">
        <v>8</v>
      </c>
    </row>
    <row r="25" spans="1:38" ht="15.75" customHeight="1">
      <c r="A25" s="10">
        <f ca="1">IFERROR(__xludf.DUMMYFUNCTION("""COMPUTED_VALUE"""),42928.6313663657)</f>
        <v>42928.631366365698</v>
      </c>
      <c r="B25" s="11" t="str">
        <f ca="1">IFERROR(__xludf.DUMMYFUNCTION("""COMPUTED_VALUE"""),"Josephine Spearman")</f>
        <v>Josephine Spearman</v>
      </c>
      <c r="C25" t="str">
        <f ca="1">IFERROR(__xludf.DUMMYFUNCTION("""COMPUTED_VALUE"""),"Josephine.Spearman@dep.state.fl.us")</f>
        <v>Josephine.Spearman@dep.state.fl.us</v>
      </c>
      <c r="D25" t="str">
        <f ca="1">IFERROR(__xludf.DUMMYFUNCTION("""COMPUTED_VALUE"""),"Education")</f>
        <v>Education</v>
      </c>
      <c r="E25" t="str">
        <f ca="1">IFERROR(__xludf.DUMMYFUNCTION("""COMPUTED_VALUE"""),"Guana Dam")</f>
        <v>Guana Dam</v>
      </c>
      <c r="F25" s="13"/>
      <c r="G25" s="14">
        <f ca="1">IFERROR(__xludf.DUMMYFUNCTION("""COMPUTED_VALUE"""),42929)</f>
        <v>42929</v>
      </c>
      <c r="H25" t="str">
        <f ca="1">IFERROR(__xludf.DUMMYFUNCTION("""COMPUTED_VALUE"""),"Guana Lake")</f>
        <v>Guana Lake</v>
      </c>
      <c r="I25" s="15">
        <f ca="1">IFERROR(__xludf.DUMMYFUNCTION("""COMPUTED_VALUE"""),0.375)</f>
        <v>0.375</v>
      </c>
      <c r="J25" s="16">
        <f ca="1">IFERROR(__xludf.DUMMYFUNCTION("""COMPUTED_VALUE"""),42929.5416666666)</f>
        <v>42929.541666666599</v>
      </c>
      <c r="K25" t="str">
        <f ca="1">IFERROR(__xludf.DUMMYFUNCTION("""COMPUTED_VALUE"""),"Kayak(s)")</f>
        <v>Kayak(s)</v>
      </c>
      <c r="L25">
        <f ca="1">IFERROR(__xludf.DUMMYFUNCTION("""COMPUTED_VALUE"""),7)</f>
        <v>7</v>
      </c>
      <c r="M25" t="str">
        <f ca="1">IFERROR(__xludf.DUMMYFUNCTION("""COMPUTED_VALUE"""),"Ford F150 2015 (White) - DEP21448")</f>
        <v>Ford F150 2015 (White) - DEP21448</v>
      </c>
      <c r="N25" t="str">
        <f ca="1">IFERROR(__xludf.DUMMYFUNCTION("""COMPUTED_VALUE"""),"Josephine Spearman")</f>
        <v>Josephine Spearman</v>
      </c>
      <c r="O25" t="str">
        <f ca="1">IFERROR(__xludf.DUMMYFUNCTION("""COMPUTED_VALUE"""),"7-9yr Campers, Ashton, Emma, Taylor, Sylvia")</f>
        <v>7-9yr Campers, Ashton, Emma, Taylor, Sylvia</v>
      </c>
      <c r="P25" t="str">
        <f ca="1">IFERROR(__xludf.DUMMYFUNCTION("""COMPUTED_VALUE"""),"Josephine Spearman")</f>
        <v>Josephine Spearman</v>
      </c>
      <c r="AD25" t="str">
        <f ca="1">IFERROR(__xludf.DUMMYFUNCTION("""COMPUTED_VALUE"""),"Weather (@9am): 82F, 15% chance rain, 6mph ENE")</f>
        <v>Weather (@9am): 82F, 15% chance rain, 6mph ENE</v>
      </c>
      <c r="AE25" s="11"/>
      <c r="AF25" t="str">
        <v>Kenneth.Rainer@floridadep.gov</v>
      </c>
      <c r="AG25" s="18"/>
      <c r="AH25" s="12"/>
      <c r="AI25" s="12" t="s">
        <v>8</v>
      </c>
      <c r="AJ25" s="12" t="s">
        <v>8</v>
      </c>
      <c r="AK25" s="12" t="s">
        <v>8</v>
      </c>
      <c r="AL25" s="12" t="s">
        <v>8</v>
      </c>
    </row>
    <row r="26" spans="1:38" ht="15.75" customHeight="1">
      <c r="A26" s="10">
        <f ca="1">IFERROR(__xludf.DUMMYFUNCTION("""COMPUTED_VALUE"""),42935.5106154166)</f>
        <v>42935.510615416599</v>
      </c>
      <c r="B26" s="11" t="str">
        <f ca="1">IFERROR(__xludf.DUMMYFUNCTION("""COMPUTED_VALUE"""),"Kenneth Rainer")</f>
        <v>Kenneth Rainer</v>
      </c>
      <c r="C26" t="str">
        <f ca="1">IFERROR(__xludf.DUMMYFUNCTION("""COMPUTED_VALUE"""),"Kenneth.Rainer@dep.state.fl.us")</f>
        <v>Kenneth.Rainer@dep.state.fl.us</v>
      </c>
      <c r="D26" t="str">
        <f ca="1">IFERROR(__xludf.DUMMYFUNCTION("""COMPUTED_VALUE"""),"Education")</f>
        <v>Education</v>
      </c>
      <c r="E26" t="str">
        <f ca="1">IFERROR(__xludf.DUMMYFUNCTION("""COMPUTED_VALUE"""),"Usina Boat Ramp")</f>
        <v>Usina Boat Ramp</v>
      </c>
      <c r="F26" s="13"/>
      <c r="G26" s="14">
        <f ca="1">IFERROR(__xludf.DUMMYFUNCTION("""COMPUTED_VALUE"""),42936)</f>
        <v>42936</v>
      </c>
      <c r="H26" t="str">
        <f ca="1">IFERROR(__xludf.DUMMYFUNCTION("""COMPUTED_VALUE"""),"Northern Component")</f>
        <v>Northern Component</v>
      </c>
      <c r="I26" s="15">
        <f ca="1">IFERROR(__xludf.DUMMYFUNCTION("""COMPUTED_VALUE"""),0.33333333333212)</f>
        <v>0.33333333333212001</v>
      </c>
      <c r="J26" s="16">
        <f ca="1">IFERROR(__xludf.DUMMYFUNCTION("""COMPUTED_VALUE"""),42936.5416666666)</f>
        <v>42936.541666666599</v>
      </c>
      <c r="K26" t="str">
        <f ca="1">IFERROR(__xludf.DUMMYFUNCTION("""COMPUTED_VALUE"""),"23ft Skiff FL7972LJ DEP07613")</f>
        <v>23ft Skiff FL7972LJ DEP07613</v>
      </c>
      <c r="M26" t="str">
        <f ca="1">IFERROR(__xludf.DUMMYFUNCTION("""COMPUTED_VALUE"""),"Ford F150 2015 (White) - DEP21448")</f>
        <v>Ford F150 2015 (White) - DEP21448</v>
      </c>
      <c r="N26" t="str">
        <f ca="1">IFERROR(__xludf.DUMMYFUNCTION("""COMPUTED_VALUE"""),"Kenneth Rainer, (936) 499-1853")</f>
        <v>Kenneth Rainer, (936) 499-1853</v>
      </c>
      <c r="O26" t="str">
        <f ca="1">IFERROR(__xludf.DUMMYFUNCTION("""COMPUTED_VALUE"""),"Ashton, Taylor, Sylvia, 10-12yr Campers")</f>
        <v>Ashton, Taylor, Sylvia, 10-12yr Campers</v>
      </c>
      <c r="P26" t="str">
        <f ca="1">IFERROR(__xludf.DUMMYFUNCTION("""COMPUTED_VALUE"""),"Kenneth Rainer, (936) 499-1853")</f>
        <v>Kenneth Rainer, (936) 499-1853</v>
      </c>
      <c r="AD26" t="str">
        <f ca="1">IFERROR(__xludf.DUMMYFUNCTION("""COMPUTED_VALUE"""),"Weather: 9am 81F, 6% chance rain, 4mph WNW")</f>
        <v>Weather: 9am 81F, 6% chance rain, 4mph WNW</v>
      </c>
      <c r="AE26" s="11" t="str">
        <f ca="1">IFERROR(__xludf.DUMMYFUNCTION("""COMPUTED_VALUE"""),"Tides: High Tide (6:04 a.m.), Low Tide (12:16 p.m.)")</f>
        <v>Tides: High Tide (6:04 a.m.), Low Tide (12:16 p.m.)</v>
      </c>
      <c r="AF26" t="str">
        <v>Kenneth.Rainer@floridadep.gov</v>
      </c>
      <c r="AG26" s="18"/>
      <c r="AH26" s="12"/>
      <c r="AI26" s="12" t="s">
        <v>8</v>
      </c>
      <c r="AJ26" s="12" t="s">
        <v>8</v>
      </c>
      <c r="AK26" s="12" t="s">
        <v>8</v>
      </c>
      <c r="AL26" s="12" t="s">
        <v>8</v>
      </c>
    </row>
    <row r="27" spans="1:38" ht="15.75" customHeight="1">
      <c r="A27" s="10">
        <f ca="1">IFERROR(__xludf.DUMMYFUNCTION("""COMPUTED_VALUE"""),43166.4240187962)</f>
        <v>43166.424018796199</v>
      </c>
      <c r="B27" s="11" t="str">
        <f ca="1">IFERROR(__xludf.DUMMYFUNCTION("""COMPUTED_VALUE"""),"Trey Tester")</f>
        <v>Trey Tester</v>
      </c>
      <c r="C27" t="str">
        <f ca="1">IFERROR(__xludf.DUMMYFUNCTION("""COMPUTED_VALUE"""),"Kenneth.Rainer@floridadep.gov")</f>
        <v>Kenneth.Rainer@floridadep.gov</v>
      </c>
      <c r="D27" t="str">
        <f ca="1">IFERROR(__xludf.DUMMYFUNCTION("""COMPUTED_VALUE"""),"Education")</f>
        <v>Education</v>
      </c>
      <c r="E27" t="str">
        <f ca="1">IFERROR(__xludf.DUMMYFUNCTION("""COMPUTED_VALUE"""),"Usina Boat Ramp")</f>
        <v>Usina Boat Ramp</v>
      </c>
      <c r="F27" s="13"/>
      <c r="G27" s="14">
        <f ca="1">IFERROR(__xludf.DUMMYFUNCTION("""COMPUTED_VALUE"""),43166)</f>
        <v>43166</v>
      </c>
      <c r="H27" t="str">
        <f ca="1">IFERROR(__xludf.DUMMYFUNCTION("""COMPUTED_VALUE"""),"Angelini Project")</f>
        <v>Angelini Project</v>
      </c>
      <c r="I27" s="15">
        <f ca="1">IFERROR(__xludf.DUMMYFUNCTION("""COMPUTED_VALUE"""),0.125)</f>
        <v>0.125</v>
      </c>
      <c r="J27" s="16">
        <f ca="1">IFERROR(__xludf.DUMMYFUNCTION("""COMPUTED_VALUE"""),43166.7083333333)</f>
        <v>43166.708333333299</v>
      </c>
      <c r="K27" t="str">
        <f ca="1">IFERROR(__xludf.DUMMYFUNCTION("""COMPUTED_VALUE"""),"F 20ft Sea Ark (Easy 200) FL8534PY DEP21451")</f>
        <v>F 20ft Sea Ark (Easy 200) FL8534PY DEP21451</v>
      </c>
      <c r="M27" t="str">
        <f ca="1">IFERROR(__xludf.DUMMYFUNCTION("""COMPUTED_VALUE"""),"Ford F150 2005 (Blue Bomber) - DEP06139")</f>
        <v>Ford F150 2005 (Blue Bomber) - DEP06139</v>
      </c>
      <c r="N27" t="str">
        <f ca="1">IFERROR(__xludf.DUMMYFUNCTION("""COMPUTED_VALUE"""),"Kenneth Rainer, (936) 499-1853")</f>
        <v>Kenneth Rainer, (936) 499-1853</v>
      </c>
      <c r="O27" t="str">
        <f ca="1">IFERROR(__xludf.DUMMYFUNCTION("""COMPUTED_VALUE"""),"Silas Tanner, Scott Eastman, Joseph Burgess, Josie Spearman")</f>
        <v>Silas Tanner, Scott Eastman, Joseph Burgess, Josie Spearman</v>
      </c>
      <c r="P27" t="str">
        <f ca="1">IFERROR(__xludf.DUMMYFUNCTION("""COMPUTED_VALUE"""),"Kenneth Rainer")</f>
        <v>Kenneth Rainer</v>
      </c>
      <c r="Q27" t="str">
        <f ca="1">IFERROR(__xludf.DUMMYFUNCTION("""COMPUTED_VALUE"""),"Good")</f>
        <v>Good</v>
      </c>
      <c r="R27" t="str">
        <f ca="1">IFERROR(__xludf.DUMMYFUNCTION("""COMPUTED_VALUE"""),"Good")</f>
        <v>Good</v>
      </c>
      <c r="S27" t="str">
        <f ca="1">IFERROR(__xludf.DUMMYFUNCTION("""COMPUTED_VALUE"""),"Good")</f>
        <v>Good</v>
      </c>
      <c r="T27" t="str">
        <f ca="1">IFERROR(__xludf.DUMMYFUNCTION("""COMPUTED_VALUE"""),"Good")</f>
        <v>Good</v>
      </c>
      <c r="U27" t="str">
        <f ca="1">IFERROR(__xludf.DUMMYFUNCTION("""COMPUTED_VALUE"""),"Good")</f>
        <v>Good</v>
      </c>
      <c r="V27" t="str">
        <f ca="1">IFERROR(__xludf.DUMMYFUNCTION("""COMPUTED_VALUE"""),"Good")</f>
        <v>Good</v>
      </c>
      <c r="W27" t="str">
        <f ca="1">IFERROR(__xludf.DUMMYFUNCTION("""COMPUTED_VALUE"""),"Good")</f>
        <v>Good</v>
      </c>
      <c r="X27" t="str">
        <f ca="1">IFERROR(__xludf.DUMMYFUNCTION("""COMPUTED_VALUE"""),"Good")</f>
        <v>Good</v>
      </c>
      <c r="Y27" t="str">
        <f ca="1">IFERROR(__xludf.DUMMYFUNCTION("""COMPUTED_VALUE"""),"Good")</f>
        <v>Good</v>
      </c>
      <c r="Z27" t="str">
        <f ca="1">IFERROR(__xludf.DUMMYFUNCTION("""COMPUTED_VALUE"""),"Good")</f>
        <v>Good</v>
      </c>
      <c r="AA27" t="str">
        <f ca="1">IFERROR(__xludf.DUMMYFUNCTION("""COMPUTED_VALUE"""),"Good")</f>
        <v>Good</v>
      </c>
      <c r="AB27" t="str">
        <f ca="1">IFERROR(__xludf.DUMMYFUNCTION("""COMPUTED_VALUE"""),"Good")</f>
        <v>Good</v>
      </c>
      <c r="AC27" t="str">
        <f ca="1">IFERROR(__xludf.DUMMYFUNCTION("""COMPUTED_VALUE"""),"Good")</f>
        <v>Good</v>
      </c>
      <c r="AD27" t="str">
        <f ca="1">IFERROR(__xludf.DUMMYFUNCTION("""COMPUTED_VALUE"""),"Beautiful")</f>
        <v>Beautiful</v>
      </c>
      <c r="AE27" s="11" t="str">
        <f ca="1">IFERROR(__xludf.DUMMYFUNCTION("""COMPUTED_VALUE"""),"Very Very High")</f>
        <v>Very Very High</v>
      </c>
      <c r="AF27" s="12" t="str">
        <v>Kenneth.Rainer@floridadep.gov</v>
      </c>
      <c r="AG27" s="17" t="s">
        <v>7</v>
      </c>
      <c r="AH27" s="12"/>
      <c r="AI27" s="12" t="s">
        <v>10</v>
      </c>
      <c r="AJ27" s="19" t="s">
        <v>11</v>
      </c>
      <c r="AK27" s="20" t="str">
        <f>HYPERLINK("https://drive.google.com/a/gtmnerr.org/file/d/1-xBJcM5t4rp1kF8CtiHFHCGIYOyemNCh/view?usp=drivesdk","Trey Tester - 3/7/2018")</f>
        <v>Trey Tester - 3/7/2018</v>
      </c>
      <c r="AL27" s="12" t="s">
        <v>12</v>
      </c>
    </row>
    <row r="28" spans="1:38" ht="15.75" customHeight="1">
      <c r="A28" s="10">
        <f ca="1">IFERROR(__xludf.DUMMYFUNCTION("""COMPUTED_VALUE"""),43175.3990988888)</f>
        <v>43175.399098888804</v>
      </c>
      <c r="B28" s="11" t="str">
        <f ca="1">IFERROR(__xludf.DUMMYFUNCTION("""COMPUTED_VALUE"""),"Pamela Marcum")</f>
        <v>Pamela Marcum</v>
      </c>
      <c r="C28" t="str">
        <f ca="1">IFERROR(__xludf.DUMMYFUNCTION("""COMPUTED_VALUE"""),"Pamela.Marcum@Dep.state.fl.us")</f>
        <v>Pamela.Marcum@Dep.state.fl.us</v>
      </c>
      <c r="D28" t="str">
        <f ca="1">IFERROR(__xludf.DUMMYFUNCTION("""COMPUTED_VALUE"""),"Research")</f>
        <v>Research</v>
      </c>
      <c r="E28" t="str">
        <f ca="1">IFERROR(__xludf.DUMMYFUNCTION("""COMPUTED_VALUE"""),"Bing's Landing")</f>
        <v>Bing's Landing</v>
      </c>
      <c r="F28" s="13"/>
      <c r="G28" s="14">
        <f ca="1">IFERROR(__xludf.DUMMYFUNCTION("""COMPUTED_VALUE"""),43175)</f>
        <v>43175</v>
      </c>
      <c r="H28" t="str">
        <f ca="1">IFERROR(__xludf.DUMMYFUNCTION("""COMPUTED_VALUE"""),"Matanzas River &amp; Jordan Island")</f>
        <v>Matanzas River &amp; Jordan Island</v>
      </c>
      <c r="I28" s="15">
        <f ca="1">IFERROR(__xludf.DUMMYFUNCTION("""COMPUTED_VALUE"""),0.64583333333212)</f>
        <v>0.64583333333212001</v>
      </c>
      <c r="J28" s="16">
        <f ca="1">IFERROR(__xludf.DUMMYFUNCTION("""COMPUTED_VALUE"""),43175.6875)</f>
        <v>43175.6875</v>
      </c>
      <c r="K28" t="str">
        <f ca="1">IFERROR(__xludf.DUMMYFUNCTION("""COMPUTED_VALUE"""),"23ft Skiff (Bertha) FL7972LJ DEP07613")</f>
        <v>23ft Skiff (Bertha) FL7972LJ DEP07613</v>
      </c>
      <c r="M28" t="str">
        <f ca="1">IFERROR(__xludf.DUMMYFUNCTION("""COMPUTED_VALUE"""),"Ford F150 2008 - DEP18041 (ML)")</f>
        <v>Ford F150 2008 - DEP18041 (ML)</v>
      </c>
      <c r="N28" t="str">
        <f ca="1">IFERROR(__xludf.DUMMYFUNCTION("""COMPUTED_VALUE"""),"Pam Marcum, (480) 332-5414")</f>
        <v>Pam Marcum, (480) 332-5414</v>
      </c>
      <c r="O28" t="str">
        <f ca="1">IFERROR(__xludf.DUMMYFUNCTION("""COMPUTED_VALUE"""),"Ben Mowbray, Weslty Woodward")</f>
        <v>Ben Mowbray, Weslty Woodward</v>
      </c>
      <c r="P28" t="str">
        <f ca="1">IFERROR(__xludf.DUMMYFUNCTION("""COMPUTED_VALUE"""),"Pam")</f>
        <v>Pam</v>
      </c>
      <c r="Q28" t="str">
        <f ca="1">IFERROR(__xludf.DUMMYFUNCTION("""COMPUTED_VALUE"""),"Good")</f>
        <v>Good</v>
      </c>
      <c r="R28" t="str">
        <f ca="1">IFERROR(__xludf.DUMMYFUNCTION("""COMPUTED_VALUE"""),"Good")</f>
        <v>Good</v>
      </c>
      <c r="S28" t="str">
        <f ca="1">IFERROR(__xludf.DUMMYFUNCTION("""COMPUTED_VALUE"""),"Good")</f>
        <v>Good</v>
      </c>
      <c r="T28" t="str">
        <f ca="1">IFERROR(__xludf.DUMMYFUNCTION("""COMPUTED_VALUE"""),"Good")</f>
        <v>Good</v>
      </c>
      <c r="U28" t="str">
        <f ca="1">IFERROR(__xludf.DUMMYFUNCTION("""COMPUTED_VALUE"""),"Good")</f>
        <v>Good</v>
      </c>
      <c r="V28" t="str">
        <f ca="1">IFERROR(__xludf.DUMMYFUNCTION("""COMPUTED_VALUE"""),"Good")</f>
        <v>Good</v>
      </c>
      <c r="W28" t="str">
        <f ca="1">IFERROR(__xludf.DUMMYFUNCTION("""COMPUTED_VALUE"""),"Good")</f>
        <v>Good</v>
      </c>
      <c r="X28" t="str">
        <f ca="1">IFERROR(__xludf.DUMMYFUNCTION("""COMPUTED_VALUE"""),"Good")</f>
        <v>Good</v>
      </c>
      <c r="Y28" t="str">
        <f ca="1">IFERROR(__xludf.DUMMYFUNCTION("""COMPUTED_VALUE"""),"Good")</f>
        <v>Good</v>
      </c>
      <c r="Z28" t="str">
        <f ca="1">IFERROR(__xludf.DUMMYFUNCTION("""COMPUTED_VALUE"""),"Good")</f>
        <v>Good</v>
      </c>
      <c r="AA28" t="str">
        <f ca="1">IFERROR(__xludf.DUMMYFUNCTION("""COMPUTED_VALUE"""),"Good")</f>
        <v>Good</v>
      </c>
      <c r="AB28" t="str">
        <f ca="1">IFERROR(__xludf.DUMMYFUNCTION("""COMPUTED_VALUE"""),"Good")</f>
        <v>Good</v>
      </c>
      <c r="AC28" t="str">
        <f ca="1">IFERROR(__xludf.DUMMYFUNCTION("""COMPUTED_VALUE"""),"Good")</f>
        <v>Good</v>
      </c>
      <c r="AD28" t="str">
        <f ca="1">IFERROR(__xludf.DUMMYFUNCTION("""COMPUTED_VALUE"""),"OK")</f>
        <v>OK</v>
      </c>
      <c r="AE28" s="11"/>
      <c r="AF28" s="12" t="str">
        <v>Nikki.Dix@floridadep.gov</v>
      </c>
      <c r="AG28" s="17" t="s">
        <v>13</v>
      </c>
      <c r="AH28" s="12"/>
      <c r="AI28" s="12" t="s">
        <v>14</v>
      </c>
      <c r="AJ28" s="19" t="s">
        <v>15</v>
      </c>
      <c r="AK28" s="20" t="str">
        <f>HYPERLINK("https://drive.google.com/a/gtmnerr.org/file/d/1PoGr328HmybT9p6Khc3j48PbR5wcYaea/view?usp=drivesdk","Pamela Marcum - 3/16/2018")</f>
        <v>Pamela Marcum - 3/16/2018</v>
      </c>
      <c r="AL28" s="12" t="s">
        <v>16</v>
      </c>
    </row>
    <row r="29" spans="1:38" ht="15.75" customHeight="1">
      <c r="A29" s="10">
        <f ca="1">IFERROR(__xludf.DUMMYFUNCTION("""COMPUTED_VALUE"""),43182.3609942245)</f>
        <v>43182.360994224502</v>
      </c>
      <c r="B29" s="11" t="str">
        <f ca="1">IFERROR(__xludf.DUMMYFUNCTION("""COMPUTED_VALUE"""),"Pamela Marcum")</f>
        <v>Pamela Marcum</v>
      </c>
      <c r="C29" t="str">
        <f ca="1">IFERROR(__xludf.DUMMYFUNCTION("""COMPUTED_VALUE"""),"Pamela.Marcum@dep.state.fl.us")</f>
        <v>Pamela.Marcum@dep.state.fl.us</v>
      </c>
      <c r="D29" t="str">
        <f ca="1">IFERROR(__xludf.DUMMYFUNCTION("""COMPUTED_VALUE"""),"Research")</f>
        <v>Research</v>
      </c>
      <c r="F29" s="13"/>
      <c r="G29" s="14">
        <f ca="1">IFERROR(__xludf.DUMMYFUNCTION("""COMPUTED_VALUE"""),43181)</f>
        <v>43181</v>
      </c>
      <c r="H29" t="str">
        <f ca="1">IFERROR(__xludf.DUMMYFUNCTION("""COMPUTED_VALUE"""),"Upper Pellicer Creek")</f>
        <v>Upper Pellicer Creek</v>
      </c>
      <c r="I29" s="15">
        <f ca="1">IFERROR(__xludf.DUMMYFUNCTION("""COMPUTED_VALUE"""),0.625)</f>
        <v>0.625</v>
      </c>
      <c r="J29" s="16">
        <f ca="1">IFERROR(__xludf.DUMMYFUNCTION("""COMPUTED_VALUE"""),43181.6875)</f>
        <v>43181.6875</v>
      </c>
      <c r="K29" t="str">
        <f ca="1">IFERROR(__xludf.DUMMYFUNCTION("""COMPUTED_VALUE"""),"23ft Skiff (Bertha) FL7972LJ DEP07613")</f>
        <v>23ft Skiff (Bertha) FL7972LJ DEP07613</v>
      </c>
      <c r="M29" t="str">
        <f ca="1">IFERROR(__xludf.DUMMYFUNCTION("""COMPUTED_VALUE"""),"Ford F150 2008 - DEP18041 (ML)")</f>
        <v>Ford F150 2008 - DEP18041 (ML)</v>
      </c>
      <c r="N29" t="str">
        <f ca="1">IFERROR(__xludf.DUMMYFUNCTION("""COMPUTED_VALUE"""),"Pam Marcum, (480) 332-5414, Remo Mondazzi")</f>
        <v>Pam Marcum, (480) 332-5414, Remo Mondazzi</v>
      </c>
      <c r="O29" t="str">
        <f ca="1">IFERROR(__xludf.DUMMYFUNCTION("""COMPUTED_VALUE"""),"Ben Mowbray")</f>
        <v>Ben Mowbray</v>
      </c>
      <c r="P29" t="str">
        <f ca="1">IFERROR(__xludf.DUMMYFUNCTION("""COMPUTED_VALUE"""),"Pamela Marcum")</f>
        <v>Pamela Marcum</v>
      </c>
      <c r="Q29" t="str">
        <f ca="1">IFERROR(__xludf.DUMMYFUNCTION("""COMPUTED_VALUE"""),"Good")</f>
        <v>Good</v>
      </c>
      <c r="R29" t="str">
        <f ca="1">IFERROR(__xludf.DUMMYFUNCTION("""COMPUTED_VALUE"""),"Good")</f>
        <v>Good</v>
      </c>
      <c r="S29" t="str">
        <f ca="1">IFERROR(__xludf.DUMMYFUNCTION("""COMPUTED_VALUE"""),"Good")</f>
        <v>Good</v>
      </c>
      <c r="T29" t="str">
        <f ca="1">IFERROR(__xludf.DUMMYFUNCTION("""COMPUTED_VALUE"""),"Good")</f>
        <v>Good</v>
      </c>
      <c r="U29" t="str">
        <f ca="1">IFERROR(__xludf.DUMMYFUNCTION("""COMPUTED_VALUE"""),"Good")</f>
        <v>Good</v>
      </c>
      <c r="V29" t="str">
        <f ca="1">IFERROR(__xludf.DUMMYFUNCTION("""COMPUTED_VALUE"""),"Good")</f>
        <v>Good</v>
      </c>
      <c r="W29" t="str">
        <f ca="1">IFERROR(__xludf.DUMMYFUNCTION("""COMPUTED_VALUE"""),"Good")</f>
        <v>Good</v>
      </c>
      <c r="X29" t="str">
        <f ca="1">IFERROR(__xludf.DUMMYFUNCTION("""COMPUTED_VALUE"""),"Good")</f>
        <v>Good</v>
      </c>
      <c r="Y29" t="str">
        <f ca="1">IFERROR(__xludf.DUMMYFUNCTION("""COMPUTED_VALUE"""),"Good")</f>
        <v>Good</v>
      </c>
      <c r="Z29" t="str">
        <f ca="1">IFERROR(__xludf.DUMMYFUNCTION("""COMPUTED_VALUE"""),"Good")</f>
        <v>Good</v>
      </c>
      <c r="AA29" t="str">
        <f ca="1">IFERROR(__xludf.DUMMYFUNCTION("""COMPUTED_VALUE"""),"Good")</f>
        <v>Good</v>
      </c>
      <c r="AB29" t="str">
        <f ca="1">IFERROR(__xludf.DUMMYFUNCTION("""COMPUTED_VALUE"""),"Good")</f>
        <v>Good</v>
      </c>
      <c r="AC29" t="str">
        <f ca="1">IFERROR(__xludf.DUMMYFUNCTION("""COMPUTED_VALUE"""),"Good")</f>
        <v>Good</v>
      </c>
      <c r="AE29" s="11"/>
      <c r="AF29" s="12" t="str">
        <v>Nikki.Dix@floridadep.gov</v>
      </c>
      <c r="AG29" s="17" t="s">
        <v>17</v>
      </c>
      <c r="AH29" s="12"/>
      <c r="AI29" s="12" t="s">
        <v>18</v>
      </c>
      <c r="AJ29" s="19" t="s">
        <v>19</v>
      </c>
      <c r="AK29" s="20" t="str">
        <f>HYPERLINK("https://drive.google.com/a/gtmnerr.org/file/d/1lZDSHrj3qsq_O52lhKl_J8Ol3Ppm2wpf/view?usp=drivesdk","Pamela Marcum - 3/22/2018")</f>
        <v>Pamela Marcum - 3/22/2018</v>
      </c>
      <c r="AL29" s="12" t="s">
        <v>20</v>
      </c>
    </row>
    <row r="30" spans="1:38" ht="15.75" customHeight="1">
      <c r="A30" s="10">
        <f ca="1">IFERROR(__xludf.DUMMYFUNCTION("""COMPUTED_VALUE"""),43183.3722159259)</f>
        <v>43183.372215925898</v>
      </c>
      <c r="B30" s="11" t="str">
        <f ca="1">IFERROR(__xludf.DUMMYFUNCTION("""COMPUTED_VALUE"""),"Pamela Marcum")</f>
        <v>Pamela Marcum</v>
      </c>
      <c r="C30" t="str">
        <f ca="1">IFERROR(__xludf.DUMMYFUNCTION("""COMPUTED_VALUE"""),"Pamela.Marcum@Dep.state.fl.us")</f>
        <v>Pamela.Marcum@Dep.state.fl.us</v>
      </c>
      <c r="D30" t="str">
        <f ca="1">IFERROR(__xludf.DUMMYFUNCTION("""COMPUTED_VALUE"""),"Research")</f>
        <v>Research</v>
      </c>
      <c r="E30" t="str">
        <f ca="1">IFERROR(__xludf.DUMMYFUNCTION("""COMPUTED_VALUE"""),"Faver-Dykes")</f>
        <v>Faver-Dykes</v>
      </c>
      <c r="F30" s="13"/>
      <c r="G30" s="14">
        <f ca="1">IFERROR(__xludf.DUMMYFUNCTION("""COMPUTED_VALUE"""),43183)</f>
        <v>43183</v>
      </c>
      <c r="H30" t="str">
        <f ca="1">IFERROR(__xludf.DUMMYFUNCTION("""COMPUTED_VALUE"""),"Middle Pellicer Creek")</f>
        <v>Middle Pellicer Creek</v>
      </c>
      <c r="I30" s="15">
        <f ca="1">IFERROR(__xludf.DUMMYFUNCTION("""COMPUTED_VALUE"""),0.625)</f>
        <v>0.625</v>
      </c>
      <c r="J30" s="16">
        <f ca="1">IFERROR(__xludf.DUMMYFUNCTION("""COMPUTED_VALUE"""),43183.6875)</f>
        <v>43183.6875</v>
      </c>
      <c r="K30" t="str">
        <f ca="1">IFERROR(__xludf.DUMMYFUNCTION("""COMPUTED_VALUE"""),"23ft Skiff (Bertha) FL7972LJ DEP07613")</f>
        <v>23ft Skiff (Bertha) FL7972LJ DEP07613</v>
      </c>
      <c r="M30" t="str">
        <f ca="1">IFERROR(__xludf.DUMMYFUNCTION("""COMPUTED_VALUE"""),"Ford F150 2008 - DEP18041 (ML)")</f>
        <v>Ford F150 2008 - DEP18041 (ML)</v>
      </c>
      <c r="N30" t="str">
        <f ca="1">IFERROR(__xludf.DUMMYFUNCTION("""COMPUTED_VALUE"""),"Pam Marcum, (480) 332-5414")</f>
        <v>Pam Marcum, (480) 332-5414</v>
      </c>
      <c r="O30" t="str">
        <f ca="1">IFERROR(__xludf.DUMMYFUNCTION("""COMPUTED_VALUE"""),"Greg Hornsby")</f>
        <v>Greg Hornsby</v>
      </c>
      <c r="P30" t="str">
        <f ca="1">IFERROR(__xludf.DUMMYFUNCTION("""COMPUTED_VALUE"""),"Pamela Marcum")</f>
        <v>Pamela Marcum</v>
      </c>
      <c r="Q30" t="str">
        <f ca="1">IFERROR(__xludf.DUMMYFUNCTION("""COMPUTED_VALUE"""),"Good")</f>
        <v>Good</v>
      </c>
      <c r="R30" t="str">
        <f ca="1">IFERROR(__xludf.DUMMYFUNCTION("""COMPUTED_VALUE"""),"Good")</f>
        <v>Good</v>
      </c>
      <c r="S30" t="str">
        <f ca="1">IFERROR(__xludf.DUMMYFUNCTION("""COMPUTED_VALUE"""),"Good")</f>
        <v>Good</v>
      </c>
      <c r="T30" t="str">
        <f ca="1">IFERROR(__xludf.DUMMYFUNCTION("""COMPUTED_VALUE"""),"Good")</f>
        <v>Good</v>
      </c>
      <c r="U30" t="str">
        <f ca="1">IFERROR(__xludf.DUMMYFUNCTION("""COMPUTED_VALUE"""),"Good")</f>
        <v>Good</v>
      </c>
      <c r="V30" t="str">
        <f ca="1">IFERROR(__xludf.DUMMYFUNCTION("""COMPUTED_VALUE"""),"Good")</f>
        <v>Good</v>
      </c>
      <c r="W30" t="str">
        <f ca="1">IFERROR(__xludf.DUMMYFUNCTION("""COMPUTED_VALUE"""),"Good")</f>
        <v>Good</v>
      </c>
      <c r="X30" t="str">
        <f ca="1">IFERROR(__xludf.DUMMYFUNCTION("""COMPUTED_VALUE"""),"Good")</f>
        <v>Good</v>
      </c>
      <c r="Y30" t="str">
        <f ca="1">IFERROR(__xludf.DUMMYFUNCTION("""COMPUTED_VALUE"""),"Good")</f>
        <v>Good</v>
      </c>
      <c r="Z30" t="str">
        <f ca="1">IFERROR(__xludf.DUMMYFUNCTION("""COMPUTED_VALUE"""),"Good")</f>
        <v>Good</v>
      </c>
      <c r="AA30" t="str">
        <f ca="1">IFERROR(__xludf.DUMMYFUNCTION("""COMPUTED_VALUE"""),"Good")</f>
        <v>Good</v>
      </c>
      <c r="AB30" t="str">
        <f ca="1">IFERROR(__xludf.DUMMYFUNCTION("""COMPUTED_VALUE"""),"Good")</f>
        <v>Good</v>
      </c>
      <c r="AC30" t="str">
        <f ca="1">IFERROR(__xludf.DUMMYFUNCTION("""COMPUTED_VALUE"""),"Good")</f>
        <v>Good</v>
      </c>
      <c r="AE30" s="11"/>
      <c r="AF30" s="12" t="str">
        <v>Nikki.Dix@floridadep.gov</v>
      </c>
      <c r="AG30" s="17" t="s">
        <v>21</v>
      </c>
      <c r="AH30" s="12"/>
      <c r="AI30" s="12" t="s">
        <v>22</v>
      </c>
      <c r="AJ30" s="19" t="s">
        <v>23</v>
      </c>
      <c r="AK30" s="20" t="str">
        <f>HYPERLINK("https://drive.google.com/a/gtmnerr.org/file/d/1QvAZ7R1p5_SFBt5mF93Am43VNlxMzFTn/view?usp=drivesdk","Pamela Marcum - 3/24/2018")</f>
        <v>Pamela Marcum - 3/24/2018</v>
      </c>
      <c r="AL30" s="12" t="s">
        <v>24</v>
      </c>
    </row>
    <row r="31" spans="1:38" ht="15.75" customHeight="1">
      <c r="A31" s="10">
        <f ca="1">IFERROR(__xludf.DUMMYFUNCTION("""COMPUTED_VALUE"""),43185.5852039004)</f>
        <v>43185.585203900402</v>
      </c>
      <c r="B31" s="11" t="str">
        <f ca="1">IFERROR(__xludf.DUMMYFUNCTION("""COMPUTED_VALUE"""),"Silas Tanner")</f>
        <v>Silas Tanner</v>
      </c>
      <c r="C31" t="str">
        <f ca="1">IFERROR(__xludf.DUMMYFUNCTION("""COMPUTED_VALUE"""),"silas.tanner@floridadep.gov")</f>
        <v>silas.tanner@floridadep.gov</v>
      </c>
      <c r="D31" t="str">
        <f ca="1">IFERROR(__xludf.DUMMYFUNCTION("""COMPUTED_VALUE"""),"Research")</f>
        <v>Research</v>
      </c>
      <c r="E31" t="str">
        <f ca="1">IFERROR(__xludf.DUMMYFUNCTION("""COMPUTED_VALUE"""),"Usina Boat Ramp")</f>
        <v>Usina Boat Ramp</v>
      </c>
      <c r="F31" s="13"/>
      <c r="G31" s="14">
        <f ca="1">IFERROR(__xludf.DUMMYFUNCTION("""COMPUTED_VALUE"""),43186)</f>
        <v>43186</v>
      </c>
      <c r="H31" t="str">
        <f ca="1">IFERROR(__xludf.DUMMYFUNCTION("""COMPUTED_VALUE"""),"ICW around Pine Island")</f>
        <v>ICW around Pine Island</v>
      </c>
      <c r="I31" s="15">
        <f ca="1">IFERROR(__xludf.DUMMYFUNCTION("""COMPUTED_VALUE"""),0.979166666667879)</f>
        <v>0.97916666666787899</v>
      </c>
      <c r="J31" s="16">
        <f ca="1">IFERROR(__xludf.DUMMYFUNCTION("""COMPUTED_VALUE"""),43186.9895833333)</f>
        <v>43186.989583333299</v>
      </c>
      <c r="K31" t="str">
        <f ca="1">IFERROR(__xludf.DUMMYFUNCTION("""COMPUTED_VALUE"""),"23ft Skiff (Bertha) FL7972LJ DEP07613")</f>
        <v>23ft Skiff (Bertha) FL7972LJ DEP07613</v>
      </c>
      <c r="M31" t="str">
        <f ca="1">IFERROR(__xludf.DUMMYFUNCTION("""COMPUTED_VALUE"""),"Ford F250 2017 (Moby Dix) - DEP0021578")</f>
        <v>Ford F250 2017 (Moby Dix) - DEP0021578</v>
      </c>
      <c r="N31" t="str">
        <f ca="1">IFERROR(__xludf.DUMMYFUNCTION("""COMPUTED_VALUE"""),"Silas Tanner, Jimmy Tomazinis")</f>
        <v>Silas Tanner, Jimmy Tomazinis</v>
      </c>
      <c r="O31" t="str">
        <f ca="1">IFERROR(__xludf.DUMMYFUNCTION("""COMPUTED_VALUE"""),"Adam Rosenblatt, Courtney Lanasa, Mason Thackston")</f>
        <v>Adam Rosenblatt, Courtney Lanasa, Mason Thackston</v>
      </c>
      <c r="P31" t="str">
        <f ca="1">IFERROR(__xludf.DUMMYFUNCTION("""COMPUTED_VALUE"""),"Silas Tanner")</f>
        <v>Silas Tanner</v>
      </c>
      <c r="Q31" t="str">
        <f ca="1">IFERROR(__xludf.DUMMYFUNCTION("""COMPUTED_VALUE"""),"Good")</f>
        <v>Good</v>
      </c>
      <c r="R31" t="str">
        <f ca="1">IFERROR(__xludf.DUMMYFUNCTION("""COMPUTED_VALUE"""),"Good")</f>
        <v>Good</v>
      </c>
      <c r="S31" t="str">
        <f ca="1">IFERROR(__xludf.DUMMYFUNCTION("""COMPUTED_VALUE"""),"Good")</f>
        <v>Good</v>
      </c>
      <c r="T31" t="str">
        <f ca="1">IFERROR(__xludf.DUMMYFUNCTION("""COMPUTED_VALUE"""),"Good")</f>
        <v>Good</v>
      </c>
      <c r="U31" t="str">
        <f ca="1">IFERROR(__xludf.DUMMYFUNCTION("""COMPUTED_VALUE"""),"Good")</f>
        <v>Good</v>
      </c>
      <c r="V31" t="str">
        <f ca="1">IFERROR(__xludf.DUMMYFUNCTION("""COMPUTED_VALUE"""),"Good")</f>
        <v>Good</v>
      </c>
      <c r="W31" t="str">
        <f ca="1">IFERROR(__xludf.DUMMYFUNCTION("""COMPUTED_VALUE"""),"Good")</f>
        <v>Good</v>
      </c>
      <c r="X31" t="str">
        <f ca="1">IFERROR(__xludf.DUMMYFUNCTION("""COMPUTED_VALUE"""),"Good")</f>
        <v>Good</v>
      </c>
      <c r="Y31" t="str">
        <f ca="1">IFERROR(__xludf.DUMMYFUNCTION("""COMPUTED_VALUE"""),"Good")</f>
        <v>Good</v>
      </c>
      <c r="Z31" t="str">
        <f ca="1">IFERROR(__xludf.DUMMYFUNCTION("""COMPUTED_VALUE"""),"Good")</f>
        <v>Good</v>
      </c>
      <c r="AA31" t="str">
        <f ca="1">IFERROR(__xludf.DUMMYFUNCTION("""COMPUTED_VALUE"""),"Good")</f>
        <v>Good</v>
      </c>
      <c r="AB31" t="str">
        <f ca="1">IFERROR(__xludf.DUMMYFUNCTION("""COMPUTED_VALUE"""),"Good")</f>
        <v>Good</v>
      </c>
      <c r="AC31" t="str">
        <f ca="1">IFERROR(__xludf.DUMMYFUNCTION("""COMPUTED_VALUE"""),"Good")</f>
        <v>Good</v>
      </c>
      <c r="AE31" s="11"/>
      <c r="AF31" s="12" t="str">
        <v>Nikki.Dix@floridadep.gov</v>
      </c>
      <c r="AG31" s="17" t="s">
        <v>21</v>
      </c>
      <c r="AH31" s="12"/>
      <c r="AI31" s="12" t="s">
        <v>25</v>
      </c>
      <c r="AJ31" s="19" t="s">
        <v>26</v>
      </c>
      <c r="AK31" s="20" t="str">
        <f>HYPERLINK("https://drive.google.com/a/gtmnerr.org/file/d/1YinwlBsrG6skh50eUb96HFs4ROS8w5Vd/view?usp=drivesdk","Silas Tanner - 3/27/2018")</f>
        <v>Silas Tanner - 3/27/2018</v>
      </c>
      <c r="AL31" s="12" t="s">
        <v>27</v>
      </c>
    </row>
    <row r="32" spans="1:38" ht="15.75" customHeight="1">
      <c r="A32" s="10">
        <f ca="1">IFERROR(__xludf.DUMMYFUNCTION("""COMPUTED_VALUE"""),43185.5877775462)</f>
        <v>43185.5877775462</v>
      </c>
      <c r="B32" s="11" t="str">
        <f ca="1">IFERROR(__xludf.DUMMYFUNCTION("""COMPUTED_VALUE"""),"Silas Tanner")</f>
        <v>Silas Tanner</v>
      </c>
      <c r="C32" t="str">
        <f ca="1">IFERROR(__xludf.DUMMYFUNCTION("""COMPUTED_VALUE"""),"silas.tanner@floridadep.gov")</f>
        <v>silas.tanner@floridadep.gov</v>
      </c>
      <c r="D32" t="str">
        <f ca="1">IFERROR(__xludf.DUMMYFUNCTION("""COMPUTED_VALUE"""),"Research")</f>
        <v>Research</v>
      </c>
      <c r="E32" t="str">
        <f ca="1">IFERROR(__xludf.DUMMYFUNCTION("""COMPUTED_VALUE"""),"Vilano County Ramp")</f>
        <v>Vilano County Ramp</v>
      </c>
      <c r="F32" s="13"/>
      <c r="G32" s="14">
        <f ca="1">IFERROR(__xludf.DUMMYFUNCTION("""COMPUTED_VALUE"""),43186)</f>
        <v>43186</v>
      </c>
      <c r="H32" t="str">
        <f ca="1">IFERROR(__xludf.DUMMYFUNCTION("""COMPUTED_VALUE"""),"ICW: SWMP sites")</f>
        <v>ICW: SWMP sites</v>
      </c>
      <c r="I32" s="15">
        <f ca="1">IFERROR(__xludf.DUMMYFUNCTION("""COMPUTED_VALUE"""),0.5625)</f>
        <v>0.5625</v>
      </c>
      <c r="J32" s="16">
        <f ca="1">IFERROR(__xludf.DUMMYFUNCTION("""COMPUTED_VALUE"""),43186.5729166666)</f>
        <v>43186.572916666599</v>
      </c>
      <c r="K32" t="str">
        <f ca="1">IFERROR(__xludf.DUMMYFUNCTION("""COMPUTED_VALUE"""),"23ft Skiff (Bertha) FL7972LJ DEP07613")</f>
        <v>23ft Skiff (Bertha) FL7972LJ DEP07613</v>
      </c>
      <c r="M32" t="str">
        <f ca="1">IFERROR(__xludf.DUMMYFUNCTION("""COMPUTED_VALUE"""),"Ford F250 2017 (Moby Dix) - DEP0021578")</f>
        <v>Ford F250 2017 (Moby Dix) - DEP0021578</v>
      </c>
      <c r="N32" t="str">
        <f ca="1">IFERROR(__xludf.DUMMYFUNCTION("""COMPUTED_VALUE"""),"Silas Tanner, Jimmy Tomazinis")</f>
        <v>Silas Tanner, Jimmy Tomazinis</v>
      </c>
      <c r="O32" t="str">
        <f ca="1">IFERROR(__xludf.DUMMYFUNCTION("""COMPUTED_VALUE"""),"Matthew Sturchio")</f>
        <v>Matthew Sturchio</v>
      </c>
      <c r="P32" t="str">
        <f ca="1">IFERROR(__xludf.DUMMYFUNCTION("""COMPUTED_VALUE"""),"Silas Tanner")</f>
        <v>Silas Tanner</v>
      </c>
      <c r="Q32" t="str">
        <f ca="1">IFERROR(__xludf.DUMMYFUNCTION("""COMPUTED_VALUE"""),"Good")</f>
        <v>Good</v>
      </c>
      <c r="R32" t="str">
        <f ca="1">IFERROR(__xludf.DUMMYFUNCTION("""COMPUTED_VALUE"""),"Good")</f>
        <v>Good</v>
      </c>
      <c r="S32" t="str">
        <f ca="1">IFERROR(__xludf.DUMMYFUNCTION("""COMPUTED_VALUE"""),"Good")</f>
        <v>Good</v>
      </c>
      <c r="T32" t="str">
        <f ca="1">IFERROR(__xludf.DUMMYFUNCTION("""COMPUTED_VALUE"""),"Good")</f>
        <v>Good</v>
      </c>
      <c r="U32" t="str">
        <f ca="1">IFERROR(__xludf.DUMMYFUNCTION("""COMPUTED_VALUE"""),"Good")</f>
        <v>Good</v>
      </c>
      <c r="V32" t="str">
        <f ca="1">IFERROR(__xludf.DUMMYFUNCTION("""COMPUTED_VALUE"""),"Good")</f>
        <v>Good</v>
      </c>
      <c r="W32" t="str">
        <f ca="1">IFERROR(__xludf.DUMMYFUNCTION("""COMPUTED_VALUE"""),"Good")</f>
        <v>Good</v>
      </c>
      <c r="X32" t="str">
        <f ca="1">IFERROR(__xludf.DUMMYFUNCTION("""COMPUTED_VALUE"""),"Good")</f>
        <v>Good</v>
      </c>
      <c r="Y32" t="str">
        <f ca="1">IFERROR(__xludf.DUMMYFUNCTION("""COMPUTED_VALUE"""),"Good")</f>
        <v>Good</v>
      </c>
      <c r="Z32" t="str">
        <f ca="1">IFERROR(__xludf.DUMMYFUNCTION("""COMPUTED_VALUE"""),"Good")</f>
        <v>Good</v>
      </c>
      <c r="AA32" t="str">
        <f ca="1">IFERROR(__xludf.DUMMYFUNCTION("""COMPUTED_VALUE"""),"Good")</f>
        <v>Good</v>
      </c>
      <c r="AB32" t="str">
        <f ca="1">IFERROR(__xludf.DUMMYFUNCTION("""COMPUTED_VALUE"""),"Good")</f>
        <v>Good</v>
      </c>
      <c r="AC32" t="str">
        <f ca="1">IFERROR(__xludf.DUMMYFUNCTION("""COMPUTED_VALUE"""),"Good")</f>
        <v>Good</v>
      </c>
      <c r="AE32" s="11"/>
      <c r="AF32" s="12" t="str">
        <v>Nikki.Dix@floridadep.gov</v>
      </c>
      <c r="AG32" s="17" t="s">
        <v>17</v>
      </c>
      <c r="AH32" s="12"/>
      <c r="AI32" s="12" t="s">
        <v>28</v>
      </c>
      <c r="AJ32" s="19" t="s">
        <v>29</v>
      </c>
      <c r="AK32" s="20" t="str">
        <f>HYPERLINK("https://drive.google.com/a/gtmnerr.org/file/d/1UDcTZ57HVMirRLXojC9fGFCmlWToZDMk/view?usp=drivesdk","Silas Tanner - 3/27/2018")</f>
        <v>Silas Tanner - 3/27/2018</v>
      </c>
      <c r="AL32" s="12" t="s">
        <v>30</v>
      </c>
    </row>
    <row r="33" spans="1:38" ht="15.75" customHeight="1">
      <c r="A33" s="10">
        <f ca="1">IFERROR(__xludf.DUMMYFUNCTION("""COMPUTED_VALUE"""),43187.3173052314)</f>
        <v>43187.317305231401</v>
      </c>
      <c r="B33" s="11" t="str">
        <f ca="1">IFERROR(__xludf.DUMMYFUNCTION("""COMPUTED_VALUE"""),"James Tomazinis")</f>
        <v>James Tomazinis</v>
      </c>
      <c r="C33" t="str">
        <f ca="1">IFERROR(__xludf.DUMMYFUNCTION("""COMPUTED_VALUE"""),"james.tomazinis@floridadep.gov")</f>
        <v>james.tomazinis@floridadep.gov</v>
      </c>
      <c r="D33" t="str">
        <f ca="1">IFERROR(__xludf.DUMMYFUNCTION("""COMPUTED_VALUE"""),"Stewardship (Aquatic)")</f>
        <v>Stewardship (Aquatic)</v>
      </c>
      <c r="E33" t="str">
        <f ca="1">IFERROR(__xludf.DUMMYFUNCTION("""COMPUTED_VALUE"""),"Guana Dam")</f>
        <v>Guana Dam</v>
      </c>
      <c r="F33" s="13"/>
      <c r="G33" s="14">
        <f ca="1">IFERROR(__xludf.DUMMYFUNCTION("""COMPUTED_VALUE"""),43187)</f>
        <v>43187</v>
      </c>
      <c r="H33" t="str">
        <f ca="1">IFERROR(__xludf.DUMMYFUNCTION("""COMPUTED_VALUE"""),"Guana Nutrient sites")</f>
        <v>Guana Nutrient sites</v>
      </c>
      <c r="I33" s="15">
        <f ca="1">IFERROR(__xludf.DUMMYFUNCTION("""COMPUTED_VALUE"""),0.5)</f>
        <v>0.5</v>
      </c>
      <c r="J33" s="16">
        <f ca="1">IFERROR(__xludf.DUMMYFUNCTION("""COMPUTED_VALUE"""),43187.0104166666)</f>
        <v>43187.010416666599</v>
      </c>
      <c r="K33" t="str">
        <f ca="1">IFERROR(__xludf.DUMMYFUNCTION("""COMPUTED_VALUE"""),"Jon Boat FL0484NP DEP06819")</f>
        <v>Jon Boat FL0484NP DEP06819</v>
      </c>
      <c r="M33" t="str">
        <f ca="1">IFERROR(__xludf.DUMMYFUNCTION("""COMPUTED_VALUE"""),"Ford F150 2008 - DEP18041 (ML)")</f>
        <v>Ford F150 2008 - DEP18041 (ML)</v>
      </c>
      <c r="N33" t="str">
        <f ca="1">IFERROR(__xludf.DUMMYFUNCTION("""COMPUTED_VALUE"""),"Silas Tanner, Jimmy Tomazinis")</f>
        <v>Silas Tanner, Jimmy Tomazinis</v>
      </c>
      <c r="P33" t="str">
        <f ca="1">IFERROR(__xludf.DUMMYFUNCTION("""COMPUTED_VALUE"""),"James Tomazinis")</f>
        <v>James Tomazinis</v>
      </c>
      <c r="Q33" t="str">
        <f ca="1">IFERROR(__xludf.DUMMYFUNCTION("""COMPUTED_VALUE"""),"Good")</f>
        <v>Good</v>
      </c>
      <c r="R33" t="str">
        <f ca="1">IFERROR(__xludf.DUMMYFUNCTION("""COMPUTED_VALUE"""),"Good")</f>
        <v>Good</v>
      </c>
      <c r="S33" t="str">
        <f ca="1">IFERROR(__xludf.DUMMYFUNCTION("""COMPUTED_VALUE"""),"Good")</f>
        <v>Good</v>
      </c>
      <c r="T33" t="str">
        <f ca="1">IFERROR(__xludf.DUMMYFUNCTION("""COMPUTED_VALUE"""),"Good")</f>
        <v>Good</v>
      </c>
      <c r="U33" t="str">
        <f ca="1">IFERROR(__xludf.DUMMYFUNCTION("""COMPUTED_VALUE"""),"Good")</f>
        <v>Good</v>
      </c>
      <c r="V33" t="str">
        <f ca="1">IFERROR(__xludf.DUMMYFUNCTION("""COMPUTED_VALUE"""),"Good")</f>
        <v>Good</v>
      </c>
      <c r="W33" t="str">
        <f ca="1">IFERROR(__xludf.DUMMYFUNCTION("""COMPUTED_VALUE"""),"Good")</f>
        <v>Good</v>
      </c>
      <c r="X33" t="str">
        <f ca="1">IFERROR(__xludf.DUMMYFUNCTION("""COMPUTED_VALUE"""),"Good")</f>
        <v>Good</v>
      </c>
      <c r="Y33" t="str">
        <f ca="1">IFERROR(__xludf.DUMMYFUNCTION("""COMPUTED_VALUE"""),"Good")</f>
        <v>Good</v>
      </c>
      <c r="Z33" t="str">
        <f ca="1">IFERROR(__xludf.DUMMYFUNCTION("""COMPUTED_VALUE"""),"Good")</f>
        <v>Good</v>
      </c>
      <c r="AA33" t="str">
        <f ca="1">IFERROR(__xludf.DUMMYFUNCTION("""COMPUTED_VALUE"""),"Good")</f>
        <v>Good</v>
      </c>
      <c r="AB33" t="str">
        <f ca="1">IFERROR(__xludf.DUMMYFUNCTION("""COMPUTED_VALUE"""),"Good")</f>
        <v>Good</v>
      </c>
      <c r="AC33" t="str">
        <f ca="1">IFERROR(__xludf.DUMMYFUNCTION("""COMPUTED_VALUE"""),"Good")</f>
        <v>Good</v>
      </c>
      <c r="AE33" s="11"/>
      <c r="AF33" s="12" t="str">
        <v>Scott.Eastman@floridadep.gov</v>
      </c>
      <c r="AG33" s="17" t="s">
        <v>17</v>
      </c>
      <c r="AH33" s="12"/>
      <c r="AI33" s="12" t="s">
        <v>31</v>
      </c>
      <c r="AJ33" s="19" t="s">
        <v>32</v>
      </c>
      <c r="AK33" s="20" t="str">
        <f>HYPERLINK("https://drive.google.com/a/gtmnerr.org/file/d/1jgjcWdO9z2WyqZPvktwTx42rtdLSC_0a/view?usp=drivesdk","James Tomazinis - 3/28/2018")</f>
        <v>James Tomazinis - 3/28/2018</v>
      </c>
      <c r="AL33" s="12" t="s">
        <v>33</v>
      </c>
    </row>
    <row r="34" spans="1:38" ht="15.75" customHeight="1">
      <c r="A34" s="10">
        <f ca="1">IFERROR(__xludf.DUMMYFUNCTION("""COMPUTED_VALUE"""),43188.3608278472)</f>
        <v>43188.360827847202</v>
      </c>
      <c r="B34" s="11" t="str">
        <f ca="1">IFERROR(__xludf.DUMMYFUNCTION("""COMPUTED_VALUE"""),"James Tomazinis")</f>
        <v>James Tomazinis</v>
      </c>
      <c r="C34" t="str">
        <f ca="1">IFERROR(__xludf.DUMMYFUNCTION("""COMPUTED_VALUE"""),"james.tomazinis@floridadep.gov")</f>
        <v>james.tomazinis@floridadep.gov</v>
      </c>
      <c r="D34" t="str">
        <f ca="1">IFERROR(__xludf.DUMMYFUNCTION("""COMPUTED_VALUE"""),"Stewardship (Aquatic)")</f>
        <v>Stewardship (Aquatic)</v>
      </c>
      <c r="E34" t="str">
        <f ca="1">IFERROR(__xludf.DUMMYFUNCTION("""COMPUTED_VALUE"""),"Aunt Kates")</f>
        <v>Aunt Kates</v>
      </c>
      <c r="F34" s="13"/>
      <c r="G34" s="14">
        <f ca="1">IFERROR(__xludf.DUMMYFUNCTION("""COMPUTED_VALUE"""),43188)</f>
        <v>43188</v>
      </c>
      <c r="H34" t="str">
        <f ca="1">IFERROR(__xludf.DUMMYFUNCTION("""COMPUTED_VALUE"""),"Angelini Sites")</f>
        <v>Angelini Sites</v>
      </c>
      <c r="I34" s="15">
        <f ca="1">IFERROR(__xludf.DUMMYFUNCTION("""COMPUTED_VALUE"""),0.70833333333212)</f>
        <v>0.70833333333212001</v>
      </c>
      <c r="J34" s="16">
        <f ca="1">IFERROR(__xludf.DUMMYFUNCTION("""COMPUTED_VALUE"""),43188.71875)</f>
        <v>43188.71875</v>
      </c>
      <c r="K34" t="str">
        <f ca="1">IFERROR(__xludf.DUMMYFUNCTION("""COMPUTED_VALUE"""),"23ft Skiff (Bertha) FL7972LJ DEP07613")</f>
        <v>23ft Skiff (Bertha) FL7972LJ DEP07613</v>
      </c>
      <c r="M34" t="str">
        <f ca="1">IFERROR(__xludf.DUMMYFUNCTION("""COMPUTED_VALUE"""),"Ford F250 2017 (Moby Dix) - DEP0021578")</f>
        <v>Ford F250 2017 (Moby Dix) - DEP0021578</v>
      </c>
      <c r="N34" t="str">
        <f ca="1">IFERROR(__xludf.DUMMYFUNCTION("""COMPUTED_VALUE"""),"Jimmy Tomazinis")</f>
        <v>Jimmy Tomazinis</v>
      </c>
      <c r="O34" t="str">
        <f ca="1">IFERROR(__xludf.DUMMYFUNCTION("""COMPUTED_VALUE"""),"Greg")</f>
        <v>Greg</v>
      </c>
      <c r="P34" t="str">
        <f ca="1">IFERROR(__xludf.DUMMYFUNCTION("""COMPUTED_VALUE"""),"Jimmy")</f>
        <v>Jimmy</v>
      </c>
      <c r="Q34" t="str">
        <f ca="1">IFERROR(__xludf.DUMMYFUNCTION("""COMPUTED_VALUE"""),"Good")</f>
        <v>Good</v>
      </c>
      <c r="R34" t="str">
        <f ca="1">IFERROR(__xludf.DUMMYFUNCTION("""COMPUTED_VALUE"""),"Good")</f>
        <v>Good</v>
      </c>
      <c r="S34" t="str">
        <f ca="1">IFERROR(__xludf.DUMMYFUNCTION("""COMPUTED_VALUE"""),"Good")</f>
        <v>Good</v>
      </c>
      <c r="T34" t="str">
        <f ca="1">IFERROR(__xludf.DUMMYFUNCTION("""COMPUTED_VALUE"""),"Good")</f>
        <v>Good</v>
      </c>
      <c r="U34" t="str">
        <f ca="1">IFERROR(__xludf.DUMMYFUNCTION("""COMPUTED_VALUE"""),"Good")</f>
        <v>Good</v>
      </c>
      <c r="V34" t="str">
        <f ca="1">IFERROR(__xludf.DUMMYFUNCTION("""COMPUTED_VALUE"""),"Good")</f>
        <v>Good</v>
      </c>
      <c r="W34" t="str">
        <f ca="1">IFERROR(__xludf.DUMMYFUNCTION("""COMPUTED_VALUE"""),"Good")</f>
        <v>Good</v>
      </c>
      <c r="X34" t="str">
        <f ca="1">IFERROR(__xludf.DUMMYFUNCTION("""COMPUTED_VALUE"""),"Good")</f>
        <v>Good</v>
      </c>
      <c r="Y34" t="str">
        <f ca="1">IFERROR(__xludf.DUMMYFUNCTION("""COMPUTED_VALUE"""),"Good")</f>
        <v>Good</v>
      </c>
      <c r="Z34" t="str">
        <f ca="1">IFERROR(__xludf.DUMMYFUNCTION("""COMPUTED_VALUE"""),"Good")</f>
        <v>Good</v>
      </c>
      <c r="AA34" t="str">
        <f ca="1">IFERROR(__xludf.DUMMYFUNCTION("""COMPUTED_VALUE"""),"Good")</f>
        <v>Good</v>
      </c>
      <c r="AB34" t="str">
        <f ca="1">IFERROR(__xludf.DUMMYFUNCTION("""COMPUTED_VALUE"""),"Good")</f>
        <v>Good</v>
      </c>
      <c r="AC34" t="str">
        <f ca="1">IFERROR(__xludf.DUMMYFUNCTION("""COMPUTED_VALUE"""),"Good")</f>
        <v>Good</v>
      </c>
      <c r="AE34" s="11"/>
      <c r="AF34" s="12" t="str">
        <v>Scott.Eastman@floridadep.gov</v>
      </c>
      <c r="AG34" s="17" t="s">
        <v>21</v>
      </c>
      <c r="AH34" s="12"/>
      <c r="AI34" s="12" t="s">
        <v>34</v>
      </c>
      <c r="AJ34" s="19" t="s">
        <v>35</v>
      </c>
      <c r="AK34" s="20" t="str">
        <f>HYPERLINK("https://drive.google.com/a/gtmnerr.org/file/d/1xdZPUxBQL3Q04nu9hZKEqU5OAwvcXjY4/view?usp=drivesdk","James Tomazinis - 3/29/2018")</f>
        <v>James Tomazinis - 3/29/2018</v>
      </c>
      <c r="AL34" s="12" t="s">
        <v>36</v>
      </c>
    </row>
    <row r="35" spans="1:38" ht="15.75" customHeight="1">
      <c r="A35" s="10">
        <f ca="1">IFERROR(__xludf.DUMMYFUNCTION("""COMPUTED_VALUE"""),43189.4947829398)</f>
        <v>43189.494782939801</v>
      </c>
      <c r="B35" s="11" t="str">
        <f ca="1">IFERROR(__xludf.DUMMYFUNCTION("""COMPUTED_VALUE"""),"Kenneth Rainer")</f>
        <v>Kenneth Rainer</v>
      </c>
      <c r="C35" t="str">
        <f ca="1">IFERROR(__xludf.DUMMYFUNCTION("""COMPUTED_VALUE"""),"Kenneth.Rainer@dep.state.fl.us")</f>
        <v>Kenneth.Rainer@dep.state.fl.us</v>
      </c>
      <c r="D35" t="str">
        <f ca="1">IFERROR(__xludf.DUMMYFUNCTION("""COMPUTED_VALUE"""),"Education")</f>
        <v>Education</v>
      </c>
      <c r="E35" t="str">
        <f ca="1">IFERROR(__xludf.DUMMYFUNCTION("""COMPUTED_VALUE"""),"Frank Butler West Boat Ramp")</f>
        <v>Frank Butler West Boat Ramp</v>
      </c>
      <c r="F35" s="13"/>
      <c r="G35" s="14">
        <f ca="1">IFERROR(__xludf.DUMMYFUNCTION("""COMPUTED_VALUE"""),43190)</f>
        <v>43190</v>
      </c>
      <c r="H35" t="str">
        <f ca="1">IFERROR(__xludf.DUMMYFUNCTION("""COMPUTED_VALUE"""),"Southern Component (Matanzas River)")</f>
        <v>Southern Component (Matanzas River)</v>
      </c>
      <c r="I35" s="15">
        <f ca="1">IFERROR(__xludf.DUMMYFUNCTION("""COMPUTED_VALUE"""),0.541666666667879)</f>
        <v>0.54166666666787899</v>
      </c>
      <c r="J35" s="16">
        <f ca="1">IFERROR(__xludf.DUMMYFUNCTION("""COMPUTED_VALUE"""),43190.7083333333)</f>
        <v>43190.708333333299</v>
      </c>
      <c r="K35" t="str">
        <f ca="1">IFERROR(__xludf.DUMMYFUNCTION("""COMPUTED_VALUE"""),"23ft Skiff (Bertha) FL7972LJ DEP07613")</f>
        <v>23ft Skiff (Bertha) FL7972LJ DEP07613</v>
      </c>
      <c r="M35" t="str">
        <f ca="1">IFERROR(__xludf.DUMMYFUNCTION("""COMPUTED_VALUE"""),"Ford F250 2017 (Moby Dix) - DEP0021578")</f>
        <v>Ford F250 2017 (Moby Dix) - DEP0021578</v>
      </c>
      <c r="N35" t="str">
        <f ca="1">IFERROR(__xludf.DUMMYFUNCTION("""COMPUTED_VALUE"""),"Kenneth Rainer, (936) 499-1853")</f>
        <v>Kenneth Rainer, (936) 499-1853</v>
      </c>
      <c r="O35" t="str">
        <f ca="1">IFERROR(__xludf.DUMMYFUNCTION("""COMPUTED_VALUE"""),"Joe McCoy, Five High School Students (provided DEP release waivers)")</f>
        <v>Joe McCoy, Five High School Students (provided DEP release waivers)</v>
      </c>
      <c r="P35" t="str">
        <f ca="1">IFERROR(__xludf.DUMMYFUNCTION("""COMPUTED_VALUE"""),"Kenneth Rainer")</f>
        <v>Kenneth Rainer</v>
      </c>
      <c r="Q35" t="str">
        <f ca="1">IFERROR(__xludf.DUMMYFUNCTION("""COMPUTED_VALUE"""),"Good")</f>
        <v>Good</v>
      </c>
      <c r="R35" t="str">
        <f ca="1">IFERROR(__xludf.DUMMYFUNCTION("""COMPUTED_VALUE"""),"Good")</f>
        <v>Good</v>
      </c>
      <c r="S35" t="str">
        <f ca="1">IFERROR(__xludf.DUMMYFUNCTION("""COMPUTED_VALUE"""),"Good")</f>
        <v>Good</v>
      </c>
      <c r="T35" t="str">
        <f ca="1">IFERROR(__xludf.DUMMYFUNCTION("""COMPUTED_VALUE"""),"Good")</f>
        <v>Good</v>
      </c>
      <c r="U35" t="str">
        <f ca="1">IFERROR(__xludf.DUMMYFUNCTION("""COMPUTED_VALUE"""),"Good")</f>
        <v>Good</v>
      </c>
      <c r="V35" t="str">
        <f ca="1">IFERROR(__xludf.DUMMYFUNCTION("""COMPUTED_VALUE"""),"Good")</f>
        <v>Good</v>
      </c>
      <c r="W35" t="str">
        <f ca="1">IFERROR(__xludf.DUMMYFUNCTION("""COMPUTED_VALUE"""),"Good")</f>
        <v>Good</v>
      </c>
      <c r="X35" t="str">
        <f ca="1">IFERROR(__xludf.DUMMYFUNCTION("""COMPUTED_VALUE"""),"Good")</f>
        <v>Good</v>
      </c>
      <c r="Y35" t="str">
        <f ca="1">IFERROR(__xludf.DUMMYFUNCTION("""COMPUTED_VALUE"""),"Good")</f>
        <v>Good</v>
      </c>
      <c r="Z35" t="str">
        <f ca="1">IFERROR(__xludf.DUMMYFUNCTION("""COMPUTED_VALUE"""),"Good")</f>
        <v>Good</v>
      </c>
      <c r="AA35" t="str">
        <f ca="1">IFERROR(__xludf.DUMMYFUNCTION("""COMPUTED_VALUE"""),"Good")</f>
        <v>Good</v>
      </c>
      <c r="AB35" t="str">
        <f ca="1">IFERROR(__xludf.DUMMYFUNCTION("""COMPUTED_VALUE"""),"Good")</f>
        <v>Good</v>
      </c>
      <c r="AC35" t="str">
        <f ca="1">IFERROR(__xludf.DUMMYFUNCTION("""COMPUTED_VALUE"""),"Good")</f>
        <v>Good</v>
      </c>
      <c r="AD35" t="str">
        <f ca="1">IFERROR(__xludf.DUMMYFUNCTION("""COMPUTED_VALUE"""),"Partly Cloudy, High 72 F, 16% rain, wind is 10mph NNW")</f>
        <v>Partly Cloudy, High 72 F, 16% rain, wind is 10mph NNW</v>
      </c>
      <c r="AE35" s="11" t="str">
        <f ca="1">IFERROR(__xludf.DUMMYFUNCTION("""COMPUTED_VALUE"""),"High Tide (4.8') 10:07 AM; Low Tide (-0.2') 4:34 PM")</f>
        <v>High Tide (4.8') 10:07 AM; Low Tide (-0.2') 4:34 PM</v>
      </c>
      <c r="AF35" s="12" t="str">
        <v>Kenneth.Rainer@floridadep.gov</v>
      </c>
      <c r="AG35" s="17" t="s">
        <v>37</v>
      </c>
      <c r="AH35" s="12"/>
      <c r="AI35" s="12" t="s">
        <v>38</v>
      </c>
      <c r="AJ35" s="19" t="s">
        <v>39</v>
      </c>
      <c r="AK35" s="20" t="str">
        <f>HYPERLINK("https://drive.google.com/a/gtmnerr.org/file/d/1CqRffsFMJFT8y9LOWdRzM3m5rD9ZeP2D/view?usp=drivesdk","Kenneth Rainer - 3/31/2018")</f>
        <v>Kenneth Rainer - 3/31/2018</v>
      </c>
      <c r="AL35" s="12" t="s">
        <v>40</v>
      </c>
    </row>
    <row r="36" spans="1:38" ht="15.75" customHeight="1">
      <c r="A36" s="10">
        <f ca="1">IFERROR(__xludf.DUMMYFUNCTION("""COMPUTED_VALUE"""),43193.3148996527)</f>
        <v>43193.314899652702</v>
      </c>
      <c r="B36" s="11" t="str">
        <f ca="1">IFERROR(__xludf.DUMMYFUNCTION("""COMPUTED_VALUE"""),"Pamela Marcum")</f>
        <v>Pamela Marcum</v>
      </c>
      <c r="C36" t="str">
        <f ca="1">IFERROR(__xludf.DUMMYFUNCTION("""COMPUTED_VALUE"""),"Pamela.Marcum@dep.state.fl.us")</f>
        <v>Pamela.Marcum@dep.state.fl.us</v>
      </c>
      <c r="D36" t="str">
        <f ca="1">IFERROR(__xludf.DUMMYFUNCTION("""COMPUTED_VALUE"""),"Research")</f>
        <v>Research</v>
      </c>
      <c r="E36" t="str">
        <f ca="1">IFERROR(__xludf.DUMMYFUNCTION("""COMPUTED_VALUE"""),"Aunt Kate's/Usina")</f>
        <v>Aunt Kate's/Usina</v>
      </c>
      <c r="F36" s="13"/>
      <c r="G36" s="14">
        <f ca="1">IFERROR(__xludf.DUMMYFUNCTION("""COMPUTED_VALUE"""),43193)</f>
        <v>43193</v>
      </c>
      <c r="H36" t="str">
        <f ca="1">IFERROR(__xludf.DUMMYFUNCTION("""COMPUTED_VALUE"""),"Spat Run, Marsh Platforms, Angelini Site")</f>
        <v>Spat Run, Marsh Platforms, Angelini Site</v>
      </c>
      <c r="I36" s="15">
        <f ca="1">IFERROR(__xludf.DUMMYFUNCTION("""COMPUTED_VALUE"""),0.64583333333212)</f>
        <v>0.64583333333212001</v>
      </c>
      <c r="J36" s="16">
        <f ca="1">IFERROR(__xludf.DUMMYFUNCTION("""COMPUTED_VALUE"""),43193.6666666666)</f>
        <v>43193.666666666599</v>
      </c>
      <c r="K36" t="str">
        <f ca="1">IFERROR(__xludf.DUMMYFUNCTION("""COMPUTED_VALUE"""),"23ft Skiff (Bertha) FL7972LJ DEP07613")</f>
        <v>23ft Skiff (Bertha) FL7972LJ DEP07613</v>
      </c>
      <c r="M36" t="str">
        <f ca="1">IFERROR(__xludf.DUMMYFUNCTION("""COMPUTED_VALUE"""),"Ford F150 2008 - DEP18041 (ML)")</f>
        <v>Ford F150 2008 - DEP18041 (ML)</v>
      </c>
      <c r="N36" t="str">
        <f ca="1">IFERROR(__xludf.DUMMYFUNCTION("""COMPUTED_VALUE"""),"Pam Marcum, (480) 332-5414")</f>
        <v>Pam Marcum, (480) 332-5414</v>
      </c>
      <c r="O36" t="str">
        <f ca="1">IFERROR(__xludf.DUMMYFUNCTION("""COMPUTED_VALUE"""),"Ben Mowbray")</f>
        <v>Ben Mowbray</v>
      </c>
      <c r="P36" t="str">
        <f ca="1">IFERROR(__xludf.DUMMYFUNCTION("""COMPUTED_VALUE"""),"Pam ")</f>
        <v xml:space="preserve">Pam </v>
      </c>
      <c r="Q36" t="str">
        <f ca="1">IFERROR(__xludf.DUMMYFUNCTION("""COMPUTED_VALUE"""),"Good")</f>
        <v>Good</v>
      </c>
      <c r="R36" t="str">
        <f ca="1">IFERROR(__xludf.DUMMYFUNCTION("""COMPUTED_VALUE"""),"Good")</f>
        <v>Good</v>
      </c>
      <c r="S36" t="str">
        <f ca="1">IFERROR(__xludf.DUMMYFUNCTION("""COMPUTED_VALUE"""),"Good")</f>
        <v>Good</v>
      </c>
      <c r="T36" t="str">
        <f ca="1">IFERROR(__xludf.DUMMYFUNCTION("""COMPUTED_VALUE"""),"Good")</f>
        <v>Good</v>
      </c>
      <c r="U36" t="str">
        <f ca="1">IFERROR(__xludf.DUMMYFUNCTION("""COMPUTED_VALUE"""),"Good")</f>
        <v>Good</v>
      </c>
      <c r="V36" t="str">
        <f ca="1">IFERROR(__xludf.DUMMYFUNCTION("""COMPUTED_VALUE"""),"Good")</f>
        <v>Good</v>
      </c>
      <c r="W36" t="str">
        <f ca="1">IFERROR(__xludf.DUMMYFUNCTION("""COMPUTED_VALUE"""),"Good")</f>
        <v>Good</v>
      </c>
      <c r="X36" t="str">
        <f ca="1">IFERROR(__xludf.DUMMYFUNCTION("""COMPUTED_VALUE"""),"Good")</f>
        <v>Good</v>
      </c>
      <c r="Y36" t="str">
        <f ca="1">IFERROR(__xludf.DUMMYFUNCTION("""COMPUTED_VALUE"""),"Good")</f>
        <v>Good</v>
      </c>
      <c r="Z36" t="str">
        <f ca="1">IFERROR(__xludf.DUMMYFUNCTION("""COMPUTED_VALUE"""),"Good")</f>
        <v>Good</v>
      </c>
      <c r="AA36" t="str">
        <f ca="1">IFERROR(__xludf.DUMMYFUNCTION("""COMPUTED_VALUE"""),"Good")</f>
        <v>Good</v>
      </c>
      <c r="AB36" t="str">
        <f ca="1">IFERROR(__xludf.DUMMYFUNCTION("""COMPUTED_VALUE"""),"Good")</f>
        <v>Good</v>
      </c>
      <c r="AC36" t="str">
        <f ca="1">IFERROR(__xludf.DUMMYFUNCTION("""COMPUTED_VALUE"""),"Good")</f>
        <v>Good</v>
      </c>
      <c r="AE36" s="11"/>
      <c r="AF36" s="12" t="str">
        <v>Nikki.Dix@floridadep.gov</v>
      </c>
      <c r="AG36" s="17" t="s">
        <v>41</v>
      </c>
      <c r="AH36" s="12"/>
      <c r="AI36" s="12" t="s">
        <v>42</v>
      </c>
      <c r="AJ36" s="19" t="s">
        <v>43</v>
      </c>
      <c r="AK36" s="20" t="str">
        <f>HYPERLINK("https://drive.google.com/a/gtmnerr.org/file/d/1VQkdorZRbfabc3AEa7o8ja86ZuyLfsIJ/view?usp=drivesdk","Pamela Marcum - 4/3/2018")</f>
        <v>Pamela Marcum - 4/3/2018</v>
      </c>
      <c r="AL36" s="12" t="s">
        <v>44</v>
      </c>
    </row>
    <row r="37" spans="1:38" ht="12.75">
      <c r="A37" s="10">
        <f ca="1">IFERROR(__xludf.DUMMYFUNCTION("""COMPUTED_VALUE"""),43195.3253082986)</f>
        <v>43195.325308298598</v>
      </c>
      <c r="B37" s="11" t="str">
        <f ca="1">IFERROR(__xludf.DUMMYFUNCTION("""COMPUTED_VALUE"""),"Pam Marcum")</f>
        <v>Pam Marcum</v>
      </c>
      <c r="C37" t="str">
        <f ca="1">IFERROR(__xludf.DUMMYFUNCTION("""COMPUTED_VALUE"""),"Pamela.Marcum@dep.state.fl.us")</f>
        <v>Pamela.Marcum@dep.state.fl.us</v>
      </c>
      <c r="D37" t="str">
        <f ca="1">IFERROR(__xludf.DUMMYFUNCTION("""COMPUTED_VALUE"""),"Research")</f>
        <v>Research</v>
      </c>
      <c r="E37" t="str">
        <f ca="1">IFERROR(__xludf.DUMMYFUNCTION("""COMPUTED_VALUE"""),"Usina")</f>
        <v>Usina</v>
      </c>
      <c r="F37" s="13"/>
      <c r="G37" s="14">
        <f ca="1">IFERROR(__xludf.DUMMYFUNCTION("""COMPUTED_VALUE"""),43195)</f>
        <v>43195</v>
      </c>
      <c r="H37" t="str">
        <f ca="1">IFERROR(__xludf.DUMMYFUNCTION("""COMPUTED_VALUE"""),"Guana River")</f>
        <v>Guana River</v>
      </c>
      <c r="I37" s="15">
        <f ca="1">IFERROR(__xludf.DUMMYFUNCTION("""COMPUTED_VALUE"""),0.4375)</f>
        <v>0.4375</v>
      </c>
      <c r="J37" s="16">
        <f ca="1">IFERROR(__xludf.DUMMYFUNCTION("""COMPUTED_VALUE"""),43195.4583333333)</f>
        <v>43195.458333333299</v>
      </c>
      <c r="K37" t="str">
        <f ca="1">IFERROR(__xludf.DUMMYFUNCTION("""COMPUTED_VALUE"""),"23ft Skiff (Bertha) FL7972LJ DEP07613")</f>
        <v>23ft Skiff (Bertha) FL7972LJ DEP07613</v>
      </c>
      <c r="M37" t="str">
        <f ca="1">IFERROR(__xludf.DUMMYFUNCTION("""COMPUTED_VALUE"""),"Ford F150 2008 - DEP18041 (ML)")</f>
        <v>Ford F150 2008 - DEP18041 (ML)</v>
      </c>
      <c r="N37" t="str">
        <f ca="1">IFERROR(__xludf.DUMMYFUNCTION("""COMPUTED_VALUE"""),"Pam Marcum, (480) 332-5414")</f>
        <v>Pam Marcum, (480) 332-5414</v>
      </c>
      <c r="O37" t="str">
        <f ca="1">IFERROR(__xludf.DUMMYFUNCTION("""COMPUTED_VALUE"""),"Ben Mowbray (407) 962-8782")</f>
        <v>Ben Mowbray (407) 962-8782</v>
      </c>
      <c r="P37" t="str">
        <f ca="1">IFERROR(__xludf.DUMMYFUNCTION("""COMPUTED_VALUE"""),"Pam Marcum")</f>
        <v>Pam Marcum</v>
      </c>
      <c r="Q37" t="str">
        <f ca="1">IFERROR(__xludf.DUMMYFUNCTION("""COMPUTED_VALUE"""),"Good")</f>
        <v>Good</v>
      </c>
      <c r="R37" t="str">
        <f ca="1">IFERROR(__xludf.DUMMYFUNCTION("""COMPUTED_VALUE"""),"Good")</f>
        <v>Good</v>
      </c>
      <c r="S37" t="str">
        <f ca="1">IFERROR(__xludf.DUMMYFUNCTION("""COMPUTED_VALUE"""),"Good")</f>
        <v>Good</v>
      </c>
      <c r="T37" t="str">
        <f ca="1">IFERROR(__xludf.DUMMYFUNCTION("""COMPUTED_VALUE"""),"Good")</f>
        <v>Good</v>
      </c>
      <c r="U37" t="str">
        <f ca="1">IFERROR(__xludf.DUMMYFUNCTION("""COMPUTED_VALUE"""),"Good")</f>
        <v>Good</v>
      </c>
      <c r="V37" t="str">
        <f ca="1">IFERROR(__xludf.DUMMYFUNCTION("""COMPUTED_VALUE"""),"Good")</f>
        <v>Good</v>
      </c>
      <c r="W37" t="str">
        <f ca="1">IFERROR(__xludf.DUMMYFUNCTION("""COMPUTED_VALUE"""),"Good")</f>
        <v>Good</v>
      </c>
      <c r="X37" t="str">
        <f ca="1">IFERROR(__xludf.DUMMYFUNCTION("""COMPUTED_VALUE"""),"Good")</f>
        <v>Good</v>
      </c>
      <c r="Y37" t="str">
        <f ca="1">IFERROR(__xludf.DUMMYFUNCTION("""COMPUTED_VALUE"""),"Good")</f>
        <v>Good</v>
      </c>
      <c r="Z37" t="str">
        <f ca="1">IFERROR(__xludf.DUMMYFUNCTION("""COMPUTED_VALUE"""),"Good")</f>
        <v>Good</v>
      </c>
      <c r="AA37" t="str">
        <f ca="1">IFERROR(__xludf.DUMMYFUNCTION("""COMPUTED_VALUE"""),"Good")</f>
        <v>Good</v>
      </c>
      <c r="AB37" t="str">
        <f ca="1">IFERROR(__xludf.DUMMYFUNCTION("""COMPUTED_VALUE"""),"Good")</f>
        <v>Good</v>
      </c>
      <c r="AC37" t="str">
        <f ca="1">IFERROR(__xludf.DUMMYFUNCTION("""COMPUTED_VALUE"""),"Good")</f>
        <v>Good</v>
      </c>
      <c r="AE37" s="11"/>
      <c r="AF37" s="12" t="str">
        <v>Nikki.Dix@floridadep.gov</v>
      </c>
      <c r="AG37" s="17" t="s">
        <v>17</v>
      </c>
      <c r="AH37" s="12"/>
      <c r="AI37" s="12" t="s">
        <v>45</v>
      </c>
      <c r="AJ37" s="19" t="s">
        <v>46</v>
      </c>
      <c r="AK37" s="20" t="str">
        <f>HYPERLINK("https://drive.google.com/a/gtmnerr.org/file/d/1wwbmFLgI3rXytEVbNoq8P0VpSeSlZpZt/view?usp=drivesdk","Pam Marcum - 4/5/2018")</f>
        <v>Pam Marcum - 4/5/2018</v>
      </c>
      <c r="AL37" s="12" t="s">
        <v>47</v>
      </c>
    </row>
    <row r="38" spans="1:38" ht="12.75">
      <c r="A38" s="10">
        <f ca="1">IFERROR(__xludf.DUMMYFUNCTION("""COMPUTED_VALUE"""),43197.3709065856)</f>
        <v>43197.370906585602</v>
      </c>
      <c r="B38" s="11" t="str">
        <f ca="1">IFERROR(__xludf.DUMMYFUNCTION("""COMPUTED_VALUE"""),"Benjamin E Mowbray")</f>
        <v>Benjamin E Mowbray</v>
      </c>
      <c r="C38" t="str">
        <f ca="1">IFERROR(__xludf.DUMMYFUNCTION("""COMPUTED_VALUE"""),"mowbraybenjamin@gmail.com")</f>
        <v>mowbraybenjamin@gmail.com</v>
      </c>
      <c r="D38" t="str">
        <f ca="1">IFERROR(__xludf.DUMMYFUNCTION("""COMPUTED_VALUE"""),"Research")</f>
        <v>Research</v>
      </c>
      <c r="E38" t="str">
        <f ca="1">IFERROR(__xludf.DUMMYFUNCTION("""COMPUTED_VALUE"""),"Usina")</f>
        <v>Usina</v>
      </c>
      <c r="F38" s="13"/>
      <c r="G38" s="14">
        <f ca="1">IFERROR(__xludf.DUMMYFUNCTION("""COMPUTED_VALUE"""),43197)</f>
        <v>43197</v>
      </c>
      <c r="H38" t="str">
        <f ca="1">IFERROR(__xludf.DUMMYFUNCTION("""COMPUTED_VALUE"""),"Wright's landing")</f>
        <v>Wright's landing</v>
      </c>
      <c r="I38" s="15">
        <f ca="1">IFERROR(__xludf.DUMMYFUNCTION("""COMPUTED_VALUE"""),0.493055555554747)</f>
        <v>0.493055555554747</v>
      </c>
      <c r="J38" s="16">
        <f ca="1">IFERROR(__xludf.DUMMYFUNCTION("""COMPUTED_VALUE"""),43197.5208333333)</f>
        <v>43197.520833333299</v>
      </c>
      <c r="K38" t="str">
        <f ca="1">IFERROR(__xludf.DUMMYFUNCTION("""COMPUTED_VALUE"""),"23ft Skiff (Bertha) FL7972LJ DEP07613")</f>
        <v>23ft Skiff (Bertha) FL7972LJ DEP07613</v>
      </c>
      <c r="M38" t="str">
        <f ca="1">IFERROR(__xludf.DUMMYFUNCTION("""COMPUTED_VALUE"""),"Ford F250 2017 (Moby Dix) - DEP0021578")</f>
        <v>Ford F250 2017 (Moby Dix) - DEP0021578</v>
      </c>
      <c r="N38" t="str">
        <f ca="1">IFERROR(__xludf.DUMMYFUNCTION("""COMPUTED_VALUE"""),"Jimmy Tomazinis")</f>
        <v>Jimmy Tomazinis</v>
      </c>
      <c r="O38" t="str">
        <f ca="1">IFERROR(__xludf.DUMMYFUNCTION("""COMPUTED_VALUE"""),"Ben Mowbray")</f>
        <v>Ben Mowbray</v>
      </c>
      <c r="P38" t="str">
        <f ca="1">IFERROR(__xludf.DUMMYFUNCTION("""COMPUTED_VALUE"""),"Jimmy")</f>
        <v>Jimmy</v>
      </c>
      <c r="Q38" t="str">
        <f ca="1">IFERROR(__xludf.DUMMYFUNCTION("""COMPUTED_VALUE"""),"Good")</f>
        <v>Good</v>
      </c>
      <c r="R38" t="str">
        <f ca="1">IFERROR(__xludf.DUMMYFUNCTION("""COMPUTED_VALUE"""),"Good")</f>
        <v>Good</v>
      </c>
      <c r="S38" t="str">
        <f ca="1">IFERROR(__xludf.DUMMYFUNCTION("""COMPUTED_VALUE"""),"Good")</f>
        <v>Good</v>
      </c>
      <c r="T38" t="str">
        <f ca="1">IFERROR(__xludf.DUMMYFUNCTION("""COMPUTED_VALUE"""),"Good")</f>
        <v>Good</v>
      </c>
      <c r="U38" t="str">
        <f ca="1">IFERROR(__xludf.DUMMYFUNCTION("""COMPUTED_VALUE"""),"Good")</f>
        <v>Good</v>
      </c>
      <c r="V38" t="str">
        <f ca="1">IFERROR(__xludf.DUMMYFUNCTION("""COMPUTED_VALUE"""),"Good")</f>
        <v>Good</v>
      </c>
      <c r="W38" t="str">
        <f ca="1">IFERROR(__xludf.DUMMYFUNCTION("""COMPUTED_VALUE"""),"Good")</f>
        <v>Good</v>
      </c>
      <c r="X38" t="str">
        <f ca="1">IFERROR(__xludf.DUMMYFUNCTION("""COMPUTED_VALUE"""),"Good")</f>
        <v>Good</v>
      </c>
      <c r="Y38" t="str">
        <f ca="1">IFERROR(__xludf.DUMMYFUNCTION("""COMPUTED_VALUE"""),"Good")</f>
        <v>Good</v>
      </c>
      <c r="Z38" t="str">
        <f ca="1">IFERROR(__xludf.DUMMYFUNCTION("""COMPUTED_VALUE"""),"Good")</f>
        <v>Good</v>
      </c>
      <c r="AA38" t="str">
        <f ca="1">IFERROR(__xludf.DUMMYFUNCTION("""COMPUTED_VALUE"""),"Good")</f>
        <v>Good</v>
      </c>
      <c r="AB38" t="str">
        <f ca="1">IFERROR(__xludf.DUMMYFUNCTION("""COMPUTED_VALUE"""),"Good")</f>
        <v>Good</v>
      </c>
      <c r="AC38" t="str">
        <f ca="1">IFERROR(__xludf.DUMMYFUNCTION("""COMPUTED_VALUE"""),"Good")</f>
        <v>Good</v>
      </c>
      <c r="AE38" s="11"/>
      <c r="AF38" s="12" t="str">
        <v>Nikki.Dix@floridadep.gov</v>
      </c>
      <c r="AG38" s="17" t="s">
        <v>41</v>
      </c>
      <c r="AH38" s="12"/>
      <c r="AI38" s="12" t="s">
        <v>48</v>
      </c>
      <c r="AJ38" s="19" t="s">
        <v>49</v>
      </c>
      <c r="AK38" s="20" t="str">
        <f>HYPERLINK("https://drive.google.com/a/gtmnerr.org/file/d/1PS5YPza6b0J9agPHBVTnWxTfvhLIFch7/view?usp=drivesdk","Benjamin E Mowbray - 4/7/2018")</f>
        <v>Benjamin E Mowbray - 4/7/2018</v>
      </c>
      <c r="AL38" s="12" t="s">
        <v>50</v>
      </c>
    </row>
    <row r="39" spans="1:38" ht="12.75">
      <c r="A39" s="10">
        <f ca="1">IFERROR(__xludf.DUMMYFUNCTION("""COMPUTED_VALUE"""),43197.3721735879)</f>
        <v>43197.372173587901</v>
      </c>
      <c r="B39" s="11" t="str">
        <f ca="1">IFERROR(__xludf.DUMMYFUNCTION("""COMPUTED_VALUE"""),"Ben Mowbray")</f>
        <v>Ben Mowbray</v>
      </c>
      <c r="C39" t="str">
        <f ca="1">IFERROR(__xludf.DUMMYFUNCTION("""COMPUTED_VALUE"""),"mowbraybenjamin@gmail.com")</f>
        <v>mowbraybenjamin@gmail.com</v>
      </c>
      <c r="D39" t="str">
        <f ca="1">IFERROR(__xludf.DUMMYFUNCTION("""COMPUTED_VALUE"""),"Research")</f>
        <v>Research</v>
      </c>
      <c r="E39" t="str">
        <f ca="1">IFERROR(__xludf.DUMMYFUNCTION("""COMPUTED_VALUE"""),"Usina")</f>
        <v>Usina</v>
      </c>
      <c r="F39" s="13"/>
      <c r="G39" s="14">
        <f ca="1">IFERROR(__xludf.DUMMYFUNCTION("""COMPUTED_VALUE"""),43197)</f>
        <v>43197</v>
      </c>
      <c r="H39" t="str">
        <f ca="1">IFERROR(__xludf.DUMMYFUNCTION("""COMPUTED_VALUE"""),"Wright's landing")</f>
        <v>Wright's landing</v>
      </c>
      <c r="I39" s="15">
        <f ca="1">IFERROR(__xludf.DUMMYFUNCTION("""COMPUTED_VALUE"""),0.493055555554747)</f>
        <v>0.493055555554747</v>
      </c>
      <c r="J39" s="16">
        <f ca="1">IFERROR(__xludf.DUMMYFUNCTION("""COMPUTED_VALUE"""),43197.5208333333)</f>
        <v>43197.520833333299</v>
      </c>
      <c r="K39" t="str">
        <f ca="1">IFERROR(__xludf.DUMMYFUNCTION("""COMPUTED_VALUE"""),"20ft Sea Ark FL5351SJ UNF 2015")</f>
        <v>20ft Sea Ark FL5351SJ UNF 2015</v>
      </c>
      <c r="M39" t="str">
        <f ca="1">IFERROR(__xludf.DUMMYFUNCTION("""COMPUTED_VALUE"""),"Ford F150 2008 - DEP18041 (ML)")</f>
        <v>Ford F150 2008 - DEP18041 (ML)</v>
      </c>
      <c r="N39" t="str">
        <f ca="1">IFERROR(__xludf.DUMMYFUNCTION("""COMPUTED_VALUE"""),"Pam Marcum, (480) 332-5414, Gabriela Canas")</f>
        <v>Pam Marcum, (480) 332-5414, Gabriela Canas</v>
      </c>
      <c r="P39" t="str">
        <f ca="1">IFERROR(__xludf.DUMMYFUNCTION("""COMPUTED_VALUE"""),"Pam")</f>
        <v>Pam</v>
      </c>
      <c r="Q39" t="str">
        <f ca="1">IFERROR(__xludf.DUMMYFUNCTION("""COMPUTED_VALUE"""),"Good")</f>
        <v>Good</v>
      </c>
      <c r="R39" t="str">
        <f ca="1">IFERROR(__xludf.DUMMYFUNCTION("""COMPUTED_VALUE"""),"Good")</f>
        <v>Good</v>
      </c>
      <c r="S39" t="str">
        <f ca="1">IFERROR(__xludf.DUMMYFUNCTION("""COMPUTED_VALUE"""),"Good")</f>
        <v>Good</v>
      </c>
      <c r="T39" t="str">
        <f ca="1">IFERROR(__xludf.DUMMYFUNCTION("""COMPUTED_VALUE"""),"Good")</f>
        <v>Good</v>
      </c>
      <c r="U39" t="str">
        <f ca="1">IFERROR(__xludf.DUMMYFUNCTION("""COMPUTED_VALUE"""),"Good")</f>
        <v>Good</v>
      </c>
      <c r="V39" t="str">
        <f ca="1">IFERROR(__xludf.DUMMYFUNCTION("""COMPUTED_VALUE"""),"Good")</f>
        <v>Good</v>
      </c>
      <c r="W39" t="str">
        <f ca="1">IFERROR(__xludf.DUMMYFUNCTION("""COMPUTED_VALUE"""),"Good")</f>
        <v>Good</v>
      </c>
      <c r="X39" t="str">
        <f ca="1">IFERROR(__xludf.DUMMYFUNCTION("""COMPUTED_VALUE"""),"Good")</f>
        <v>Good</v>
      </c>
      <c r="Y39" t="str">
        <f ca="1">IFERROR(__xludf.DUMMYFUNCTION("""COMPUTED_VALUE"""),"Good")</f>
        <v>Good</v>
      </c>
      <c r="Z39" t="str">
        <f ca="1">IFERROR(__xludf.DUMMYFUNCTION("""COMPUTED_VALUE"""),"Good")</f>
        <v>Good</v>
      </c>
      <c r="AA39" t="str">
        <f ca="1">IFERROR(__xludf.DUMMYFUNCTION("""COMPUTED_VALUE"""),"Good")</f>
        <v>Good</v>
      </c>
      <c r="AB39" t="str">
        <f ca="1">IFERROR(__xludf.DUMMYFUNCTION("""COMPUTED_VALUE"""),"Good")</f>
        <v>Good</v>
      </c>
      <c r="AC39" t="str">
        <f ca="1">IFERROR(__xludf.DUMMYFUNCTION("""COMPUTED_VALUE"""),"Good")</f>
        <v>Good</v>
      </c>
      <c r="AE39" s="11"/>
      <c r="AF39" s="12" t="str">
        <v>Nikki.Dix@floridadep.gov</v>
      </c>
      <c r="AG39" s="17" t="s">
        <v>41</v>
      </c>
      <c r="AH39" s="12"/>
      <c r="AI39" s="12" t="s">
        <v>51</v>
      </c>
      <c r="AJ39" s="19" t="s">
        <v>52</v>
      </c>
      <c r="AK39" s="20" t="str">
        <f>HYPERLINK("https://drive.google.com/a/gtmnerr.org/file/d/1xtziDCcDw8NcS5SRk_17AU3Q8TKpQ1Z4/view?usp=drivesdk","Ben Mowbray - 4/7/2018")</f>
        <v>Ben Mowbray - 4/7/2018</v>
      </c>
      <c r="AL39" s="12" t="s">
        <v>53</v>
      </c>
    </row>
    <row r="40" spans="1:38" ht="12.75">
      <c r="A40" s="10">
        <f ca="1">IFERROR(__xludf.DUMMYFUNCTION("""COMPUTED_VALUE"""),43199.5246040625)</f>
        <v>43199.524604062499</v>
      </c>
      <c r="B40" s="11" t="str">
        <f ca="1">IFERROR(__xludf.DUMMYFUNCTION("""COMPUTED_VALUE"""),"Silas Tanner")</f>
        <v>Silas Tanner</v>
      </c>
      <c r="C40" t="str">
        <f ca="1">IFERROR(__xludf.DUMMYFUNCTION("""COMPUTED_VALUE"""),"silas.tanner@floridadep.gov")</f>
        <v>silas.tanner@floridadep.gov</v>
      </c>
      <c r="D40" t="str">
        <f ca="1">IFERROR(__xludf.DUMMYFUNCTION("""COMPUTED_VALUE"""),"Research")</f>
        <v>Research</v>
      </c>
      <c r="E40" t="str">
        <f ca="1">IFERROR(__xludf.DUMMYFUNCTION("""COMPUTED_VALUE"""),"Vilano County Ramp")</f>
        <v>Vilano County Ramp</v>
      </c>
      <c r="F40" s="13"/>
      <c r="G40" s="14">
        <f ca="1">IFERROR(__xludf.DUMMYFUNCTION("""COMPUTED_VALUE"""),43201)</f>
        <v>43201</v>
      </c>
      <c r="H40" t="str">
        <f ca="1">IFERROR(__xludf.DUMMYFUNCTION("""COMPUTED_VALUE"""),"ICW: SWMP sites")</f>
        <v>ICW: SWMP sites</v>
      </c>
      <c r="I40" s="15">
        <f ca="1">IFERROR(__xludf.DUMMYFUNCTION("""COMPUTED_VALUE"""),0.5625)</f>
        <v>0.5625</v>
      </c>
      <c r="J40" s="16">
        <f ca="1">IFERROR(__xludf.DUMMYFUNCTION("""COMPUTED_VALUE"""),43201.5729166666)</f>
        <v>43201.572916666599</v>
      </c>
      <c r="K40" t="str">
        <f ca="1">IFERROR(__xludf.DUMMYFUNCTION("""COMPUTED_VALUE"""),"23ft Skiff (Bertha) FL7972LJ DEP07613")</f>
        <v>23ft Skiff (Bertha) FL7972LJ DEP07613</v>
      </c>
      <c r="M40" t="str">
        <f ca="1">IFERROR(__xludf.DUMMYFUNCTION("""COMPUTED_VALUE"""),"Ford F250 2017 (Moby Dix) - DEP0021578")</f>
        <v>Ford F250 2017 (Moby Dix) - DEP0021578</v>
      </c>
      <c r="N40" t="str">
        <f ca="1">IFERROR(__xludf.DUMMYFUNCTION("""COMPUTED_VALUE"""),"Silas Tanner, Jimmy Tomazinis")</f>
        <v>Silas Tanner, Jimmy Tomazinis</v>
      </c>
      <c r="O40" t="str">
        <f ca="1">IFERROR(__xludf.DUMMYFUNCTION("""COMPUTED_VALUE"""),"Ben Mowbray, Jeff Finnan")</f>
        <v>Ben Mowbray, Jeff Finnan</v>
      </c>
      <c r="P40" t="str">
        <f ca="1">IFERROR(__xludf.DUMMYFUNCTION("""COMPUTED_VALUE"""),"Silas Tanner")</f>
        <v>Silas Tanner</v>
      </c>
      <c r="Q40" t="str">
        <f ca="1">IFERROR(__xludf.DUMMYFUNCTION("""COMPUTED_VALUE"""),"Good")</f>
        <v>Good</v>
      </c>
      <c r="R40" t="str">
        <f ca="1">IFERROR(__xludf.DUMMYFUNCTION("""COMPUTED_VALUE"""),"Good")</f>
        <v>Good</v>
      </c>
      <c r="S40" t="str">
        <f ca="1">IFERROR(__xludf.DUMMYFUNCTION("""COMPUTED_VALUE"""),"Good")</f>
        <v>Good</v>
      </c>
      <c r="T40" t="str">
        <f ca="1">IFERROR(__xludf.DUMMYFUNCTION("""COMPUTED_VALUE"""),"Good")</f>
        <v>Good</v>
      </c>
      <c r="U40" t="str">
        <f ca="1">IFERROR(__xludf.DUMMYFUNCTION("""COMPUTED_VALUE"""),"Good")</f>
        <v>Good</v>
      </c>
      <c r="V40" t="str">
        <f ca="1">IFERROR(__xludf.DUMMYFUNCTION("""COMPUTED_VALUE"""),"Good")</f>
        <v>Good</v>
      </c>
      <c r="W40" t="str">
        <f ca="1">IFERROR(__xludf.DUMMYFUNCTION("""COMPUTED_VALUE"""),"Good")</f>
        <v>Good</v>
      </c>
      <c r="X40" t="str">
        <f ca="1">IFERROR(__xludf.DUMMYFUNCTION("""COMPUTED_VALUE"""),"Good")</f>
        <v>Good</v>
      </c>
      <c r="Y40" t="str">
        <f ca="1">IFERROR(__xludf.DUMMYFUNCTION("""COMPUTED_VALUE"""),"Good")</f>
        <v>Good</v>
      </c>
      <c r="Z40" t="str">
        <f ca="1">IFERROR(__xludf.DUMMYFUNCTION("""COMPUTED_VALUE"""),"Good")</f>
        <v>Good</v>
      </c>
      <c r="AA40" t="str">
        <f ca="1">IFERROR(__xludf.DUMMYFUNCTION("""COMPUTED_VALUE"""),"Good")</f>
        <v>Good</v>
      </c>
      <c r="AB40" t="str">
        <f ca="1">IFERROR(__xludf.DUMMYFUNCTION("""COMPUTED_VALUE"""),"Good")</f>
        <v>Good</v>
      </c>
      <c r="AC40" t="str">
        <f ca="1">IFERROR(__xludf.DUMMYFUNCTION("""COMPUTED_VALUE"""),"Good")</f>
        <v>Good</v>
      </c>
      <c r="AD40" t="str">
        <f ca="1">IFERROR(__xludf.DUMMYFUNCTION("""COMPUTED_VALUE"""),"Good, clear")</f>
        <v>Good, clear</v>
      </c>
      <c r="AE40" s="11" t="str">
        <f ca="1">IFERROR(__xludf.DUMMYFUNCTION("""COMPUTED_VALUE"""),"Good, high outgoing")</f>
        <v>Good, high outgoing</v>
      </c>
      <c r="AF40" s="12" t="str">
        <v>Nikki.Dix@floridadep.gov</v>
      </c>
      <c r="AG40" s="21" t="s">
        <v>54</v>
      </c>
      <c r="AH40" s="12"/>
      <c r="AI40" s="12" t="s">
        <v>8</v>
      </c>
      <c r="AJ40" s="12" t="s">
        <v>8</v>
      </c>
      <c r="AK40" s="12" t="s">
        <v>8</v>
      </c>
      <c r="AL40" s="12" t="s">
        <v>8</v>
      </c>
    </row>
    <row r="41" spans="1:38" ht="12.75">
      <c r="A41" s="10">
        <f ca="1">IFERROR(__xludf.DUMMYFUNCTION("""COMPUTED_VALUE"""),43200.4453172337)</f>
        <v>43200.445317233702</v>
      </c>
      <c r="B41" s="11" t="str">
        <f ca="1">IFERROR(__xludf.DUMMYFUNCTION("""COMPUTED_VALUE"""),"Silas Tanner")</f>
        <v>Silas Tanner</v>
      </c>
      <c r="C41" t="str">
        <f ca="1">IFERROR(__xludf.DUMMYFUNCTION("""COMPUTED_VALUE"""),"silas.tanner@floridadep.gov")</f>
        <v>silas.tanner@floridadep.gov</v>
      </c>
      <c r="D41" t="str">
        <f ca="1">IFERROR(__xludf.DUMMYFUNCTION("""COMPUTED_VALUE"""),"Research")</f>
        <v>Research</v>
      </c>
      <c r="E41" t="str">
        <f ca="1">IFERROR(__xludf.DUMMYFUNCTION("""COMPUTED_VALUE"""),"Vilano County Ramp")</f>
        <v>Vilano County Ramp</v>
      </c>
      <c r="F41" s="13"/>
      <c r="G41" s="14">
        <f ca="1">IFERROR(__xludf.DUMMYFUNCTION("""COMPUTED_VALUE"""),43202)</f>
        <v>43202</v>
      </c>
      <c r="H41" t="str">
        <f ca="1">IFERROR(__xludf.DUMMYFUNCTION("""COMPUTED_VALUE"""),"ICW: SWMP sites")</f>
        <v>ICW: SWMP sites</v>
      </c>
      <c r="I41" s="15">
        <f ca="1">IFERROR(__xludf.DUMMYFUNCTION("""COMPUTED_VALUE"""),0.5625)</f>
        <v>0.5625</v>
      </c>
      <c r="J41" s="16">
        <f ca="1">IFERROR(__xludf.DUMMYFUNCTION("""COMPUTED_VALUE"""),43202.5729166666)</f>
        <v>43202.572916666599</v>
      </c>
      <c r="K41" t="str">
        <f ca="1">IFERROR(__xludf.DUMMYFUNCTION("""COMPUTED_VALUE"""),"20ft Sea Ark FL5351SJ UNF 2015")</f>
        <v>20ft Sea Ark FL5351SJ UNF 2015</v>
      </c>
      <c r="M41" t="str">
        <f ca="1">IFERROR(__xludf.DUMMYFUNCTION("""COMPUTED_VALUE"""),"Ford F150 2008 - DEP18041 (ML)")</f>
        <v>Ford F150 2008 - DEP18041 (ML)</v>
      </c>
      <c r="N41" t="str">
        <f ca="1">IFERROR(__xludf.DUMMYFUNCTION("""COMPUTED_VALUE"""),"Shannon Dunnigan, Silas Tanner")</f>
        <v>Shannon Dunnigan, Silas Tanner</v>
      </c>
      <c r="P41" t="str">
        <f ca="1">IFERROR(__xludf.DUMMYFUNCTION("""COMPUTED_VALUE"""),"Tanner")</f>
        <v>Tanner</v>
      </c>
      <c r="Q41" t="str">
        <f ca="1">IFERROR(__xludf.DUMMYFUNCTION("""COMPUTED_VALUE"""),"Good")</f>
        <v>Good</v>
      </c>
      <c r="R41" t="str">
        <f ca="1">IFERROR(__xludf.DUMMYFUNCTION("""COMPUTED_VALUE"""),"Good")</f>
        <v>Good</v>
      </c>
      <c r="S41" t="str">
        <f ca="1">IFERROR(__xludf.DUMMYFUNCTION("""COMPUTED_VALUE"""),"Good")</f>
        <v>Good</v>
      </c>
      <c r="T41" t="str">
        <f ca="1">IFERROR(__xludf.DUMMYFUNCTION("""COMPUTED_VALUE"""),"Good")</f>
        <v>Good</v>
      </c>
      <c r="U41" t="str">
        <f ca="1">IFERROR(__xludf.DUMMYFUNCTION("""COMPUTED_VALUE"""),"Good")</f>
        <v>Good</v>
      </c>
      <c r="V41" t="str">
        <f ca="1">IFERROR(__xludf.DUMMYFUNCTION("""COMPUTED_VALUE"""),"Good")</f>
        <v>Good</v>
      </c>
      <c r="W41" t="str">
        <f ca="1">IFERROR(__xludf.DUMMYFUNCTION("""COMPUTED_VALUE"""),"Good")</f>
        <v>Good</v>
      </c>
      <c r="X41" t="str">
        <f ca="1">IFERROR(__xludf.DUMMYFUNCTION("""COMPUTED_VALUE"""),"Good")</f>
        <v>Good</v>
      </c>
      <c r="Y41" t="str">
        <f ca="1">IFERROR(__xludf.DUMMYFUNCTION("""COMPUTED_VALUE"""),"Good")</f>
        <v>Good</v>
      </c>
      <c r="Z41" t="str">
        <f ca="1">IFERROR(__xludf.DUMMYFUNCTION("""COMPUTED_VALUE"""),"Good")</f>
        <v>Good</v>
      </c>
      <c r="AA41" t="str">
        <f ca="1">IFERROR(__xludf.DUMMYFUNCTION("""COMPUTED_VALUE"""),"Good")</f>
        <v>Good</v>
      </c>
      <c r="AB41" t="str">
        <f ca="1">IFERROR(__xludf.DUMMYFUNCTION("""COMPUTED_VALUE"""),"Good")</f>
        <v>Good</v>
      </c>
      <c r="AC41" t="str">
        <f ca="1">IFERROR(__xludf.DUMMYFUNCTION("""COMPUTED_VALUE"""),"Good")</f>
        <v>Good</v>
      </c>
      <c r="AE41" s="11"/>
      <c r="AF41" s="12" t="str">
        <v>Nikki.Dix@floridadep.gov</v>
      </c>
      <c r="AG41" s="17" t="s">
        <v>41</v>
      </c>
      <c r="AH41" s="12"/>
      <c r="AI41" s="12" t="s">
        <v>55</v>
      </c>
      <c r="AJ41" s="19" t="s">
        <v>56</v>
      </c>
      <c r="AK41" s="20" t="str">
        <f>HYPERLINK("https://drive.google.com/a/gtmnerr.org/file/d/1dZ2zFneiLNJ-LVQ0meYVs4oB71EuzBH6/view?usp=drivesdk","Silas Tanner - 4/12/2018")</f>
        <v>Silas Tanner - 4/12/2018</v>
      </c>
      <c r="AL41" s="12" t="s">
        <v>57</v>
      </c>
    </row>
    <row r="42" spans="1:38" ht="12.75">
      <c r="A42" s="10">
        <f ca="1">IFERROR(__xludf.DUMMYFUNCTION("""COMPUTED_VALUE"""),43201.3924335069)</f>
        <v>43201.392433506902</v>
      </c>
      <c r="B42" s="11" t="str">
        <f ca="1">IFERROR(__xludf.DUMMYFUNCTION("""COMPUTED_VALUE"""),"Silas Tanner")</f>
        <v>Silas Tanner</v>
      </c>
      <c r="C42" t="str">
        <f ca="1">IFERROR(__xludf.DUMMYFUNCTION("""COMPUTED_VALUE"""),"silas.tanner@floridadep.gov")</f>
        <v>silas.tanner@floridadep.gov</v>
      </c>
      <c r="D42" t="str">
        <f ca="1">IFERROR(__xludf.DUMMYFUNCTION("""COMPUTED_VALUE"""),"Research")</f>
        <v>Research</v>
      </c>
      <c r="E42" t="str">
        <f ca="1">IFERROR(__xludf.DUMMYFUNCTION("""COMPUTED_VALUE"""),"Bing's")</f>
        <v>Bing's</v>
      </c>
      <c r="F42" s="13"/>
      <c r="G42" s="14">
        <f ca="1">IFERROR(__xludf.DUMMYFUNCTION("""COMPUTED_VALUE"""),43203)</f>
        <v>43203</v>
      </c>
      <c r="H42" t="str">
        <f ca="1">IFERROR(__xludf.DUMMYFUNCTION("""COMPUTED_VALUE"""),"ICW between Rattlesnake Island and Bing's")</f>
        <v>ICW between Rattlesnake Island and Bing's</v>
      </c>
      <c r="I42" s="15">
        <f ca="1">IFERROR(__xludf.DUMMYFUNCTION("""COMPUTED_VALUE"""),0.541666666667879)</f>
        <v>0.54166666666787899</v>
      </c>
      <c r="J42" s="16">
        <f ca="1">IFERROR(__xludf.DUMMYFUNCTION("""COMPUTED_VALUE"""),43203.5833333333)</f>
        <v>43203.583333333299</v>
      </c>
      <c r="K42" t="str">
        <f ca="1">IFERROR(__xludf.DUMMYFUNCTION("""COMPUTED_VALUE"""),"23ft Skiff (Bertha) FL7972LJ DEP07613")</f>
        <v>23ft Skiff (Bertha) FL7972LJ DEP07613</v>
      </c>
      <c r="M42" t="str">
        <f ca="1">IFERROR(__xludf.DUMMYFUNCTION("""COMPUTED_VALUE"""),"Ford F250 2017 (Moby Dix) - DEP0021578")</f>
        <v>Ford F250 2017 (Moby Dix) - DEP0021578</v>
      </c>
      <c r="N42" t="str">
        <f ca="1">IFERROR(__xludf.DUMMYFUNCTION("""COMPUTED_VALUE"""),"Silas Tanner")</f>
        <v>Silas Tanner</v>
      </c>
      <c r="O42" t="str">
        <f ca="1">IFERROR(__xludf.DUMMYFUNCTION("""COMPUTED_VALUE"""),"Matt Brown, Westly Woodward, Ally Hartnett")</f>
        <v>Matt Brown, Westly Woodward, Ally Hartnett</v>
      </c>
      <c r="P42" t="str">
        <f ca="1">IFERROR(__xludf.DUMMYFUNCTION("""COMPUTED_VALUE"""),"Silas Tanner")</f>
        <v>Silas Tanner</v>
      </c>
      <c r="Q42" t="str">
        <f ca="1">IFERROR(__xludf.DUMMYFUNCTION("""COMPUTED_VALUE"""),"Good")</f>
        <v>Good</v>
      </c>
      <c r="R42" t="str">
        <f ca="1">IFERROR(__xludf.DUMMYFUNCTION("""COMPUTED_VALUE"""),"Good")</f>
        <v>Good</v>
      </c>
      <c r="S42" t="str">
        <f ca="1">IFERROR(__xludf.DUMMYFUNCTION("""COMPUTED_VALUE"""),"Good")</f>
        <v>Good</v>
      </c>
      <c r="T42" t="str">
        <f ca="1">IFERROR(__xludf.DUMMYFUNCTION("""COMPUTED_VALUE"""),"Good")</f>
        <v>Good</v>
      </c>
      <c r="U42" t="str">
        <f ca="1">IFERROR(__xludf.DUMMYFUNCTION("""COMPUTED_VALUE"""),"Good")</f>
        <v>Good</v>
      </c>
      <c r="V42" t="str">
        <f ca="1">IFERROR(__xludf.DUMMYFUNCTION("""COMPUTED_VALUE"""),"Good")</f>
        <v>Good</v>
      </c>
      <c r="W42" t="str">
        <f ca="1">IFERROR(__xludf.DUMMYFUNCTION("""COMPUTED_VALUE"""),"Good")</f>
        <v>Good</v>
      </c>
      <c r="X42" t="str">
        <f ca="1">IFERROR(__xludf.DUMMYFUNCTION("""COMPUTED_VALUE"""),"Good")</f>
        <v>Good</v>
      </c>
      <c r="Y42" t="str">
        <f ca="1">IFERROR(__xludf.DUMMYFUNCTION("""COMPUTED_VALUE"""),"Good")</f>
        <v>Good</v>
      </c>
      <c r="Z42" t="str">
        <f ca="1">IFERROR(__xludf.DUMMYFUNCTION("""COMPUTED_VALUE"""),"Good")</f>
        <v>Good</v>
      </c>
      <c r="AA42" t="str">
        <f ca="1">IFERROR(__xludf.DUMMYFUNCTION("""COMPUTED_VALUE"""),"Good")</f>
        <v>Good</v>
      </c>
      <c r="AB42" t="str">
        <f ca="1">IFERROR(__xludf.DUMMYFUNCTION("""COMPUTED_VALUE"""),"Good")</f>
        <v>Good</v>
      </c>
      <c r="AC42" t="str">
        <f ca="1">IFERROR(__xludf.DUMMYFUNCTION("""COMPUTED_VALUE"""),"Good")</f>
        <v>Good</v>
      </c>
      <c r="AD42" t="str">
        <f ca="1">IFERROR(__xludf.DUMMYFUNCTION("""COMPUTED_VALUE"""),"Mostly sunny")</f>
        <v>Mostly sunny</v>
      </c>
      <c r="AE42" s="11" t="str">
        <f ca="1">IFERROR(__xludf.DUMMYFUNCTION("""COMPUTED_VALUE"""),"High outgoing")</f>
        <v>High outgoing</v>
      </c>
      <c r="AF42" s="12" t="str">
        <v>Nikki.Dix@floridadep.gov</v>
      </c>
      <c r="AG42" s="17" t="s">
        <v>58</v>
      </c>
      <c r="AH42" s="12"/>
      <c r="AI42" s="12" t="s">
        <v>59</v>
      </c>
      <c r="AJ42" s="19" t="s">
        <v>60</v>
      </c>
      <c r="AK42" s="20" t="str">
        <f>HYPERLINK("https://drive.google.com/a/gtmnerr.org/file/d/1iSoKHDcZ4JzQNG4JwzRoVeKu0BXy7IBM/view?usp=drivesdk","Silas Tanner - 4/13/2018")</f>
        <v>Silas Tanner - 4/13/2018</v>
      </c>
      <c r="AL42" s="12" t="s">
        <v>61</v>
      </c>
    </row>
    <row r="43" spans="1:38" ht="12.75">
      <c r="A43" s="10">
        <f ca="1">IFERROR(__xludf.DUMMYFUNCTION("""COMPUTED_VALUE"""),43202.3330612963)</f>
        <v>43202.333061296304</v>
      </c>
      <c r="B43" s="11" t="str">
        <f ca="1">IFERROR(__xludf.DUMMYFUNCTION("""COMPUTED_VALUE"""),"Pamela Marcum")</f>
        <v>Pamela Marcum</v>
      </c>
      <c r="C43" t="str">
        <f ca="1">IFERROR(__xludf.DUMMYFUNCTION("""COMPUTED_VALUE"""),"Pamela.Marcum@floridadep.gov")</f>
        <v>Pamela.Marcum@floridadep.gov</v>
      </c>
      <c r="D43" t="str">
        <f ca="1">IFERROR(__xludf.DUMMYFUNCTION("""COMPUTED_VALUE"""),"Research")</f>
        <v>Research</v>
      </c>
      <c r="E43" t="str">
        <f ca="1">IFERROR(__xludf.DUMMYFUNCTION("""COMPUTED_VALUE"""),"Vilano ")</f>
        <v xml:space="preserve">Vilano </v>
      </c>
      <c r="F43" s="13"/>
      <c r="G43" s="14">
        <f ca="1">IFERROR(__xludf.DUMMYFUNCTION("""COMPUTED_VALUE"""),43202)</f>
        <v>43202</v>
      </c>
      <c r="H43" t="str">
        <f ca="1">IFERROR(__xludf.DUMMYFUNCTION("""COMPUTED_VALUE"""),"Matanzas River")</f>
        <v>Matanzas River</v>
      </c>
      <c r="I43" s="15">
        <f ca="1">IFERROR(__xludf.DUMMYFUNCTION("""COMPUTED_VALUE"""),0.541666666667879)</f>
        <v>0.54166666666787899</v>
      </c>
      <c r="J43" s="16">
        <f ca="1">IFERROR(__xludf.DUMMYFUNCTION("""COMPUTED_VALUE"""),43202.5625)</f>
        <v>43202.5625</v>
      </c>
      <c r="K43" t="str">
        <f ca="1">IFERROR(__xludf.DUMMYFUNCTION("""COMPUTED_VALUE"""),"23ft Skiff (Bertha) FL7972LJ DEP07613")</f>
        <v>23ft Skiff (Bertha) FL7972LJ DEP07613</v>
      </c>
      <c r="M43" t="str">
        <f ca="1">IFERROR(__xludf.DUMMYFUNCTION("""COMPUTED_VALUE"""),"Ford F250 2017 (Moby Dix) - DEP0021578")</f>
        <v>Ford F250 2017 (Moby Dix) - DEP0021578</v>
      </c>
      <c r="N43" t="str">
        <f ca="1">IFERROR(__xludf.DUMMYFUNCTION("""COMPUTED_VALUE"""),"Pam Marcum, (480) 332-5414")</f>
        <v>Pam Marcum, (480) 332-5414</v>
      </c>
      <c r="O43" t="str">
        <f ca="1">IFERROR(__xludf.DUMMYFUNCTION("""COMPUTED_VALUE"""),"Admin Tour Members (see Nikki's email)")</f>
        <v>Admin Tour Members (see Nikki's email)</v>
      </c>
      <c r="P43" t="str">
        <f ca="1">IFERROR(__xludf.DUMMYFUNCTION("""COMPUTED_VALUE"""),"Pam")</f>
        <v>Pam</v>
      </c>
      <c r="Q43" t="str">
        <f ca="1">IFERROR(__xludf.DUMMYFUNCTION("""COMPUTED_VALUE"""),"Good")</f>
        <v>Good</v>
      </c>
      <c r="R43" t="str">
        <f ca="1">IFERROR(__xludf.DUMMYFUNCTION("""COMPUTED_VALUE"""),"Good")</f>
        <v>Good</v>
      </c>
      <c r="S43" t="str">
        <f ca="1">IFERROR(__xludf.DUMMYFUNCTION("""COMPUTED_VALUE"""),"Good")</f>
        <v>Good</v>
      </c>
      <c r="T43" t="str">
        <f ca="1">IFERROR(__xludf.DUMMYFUNCTION("""COMPUTED_VALUE"""),"Good")</f>
        <v>Good</v>
      </c>
      <c r="U43" t="str">
        <f ca="1">IFERROR(__xludf.DUMMYFUNCTION("""COMPUTED_VALUE"""),"Good")</f>
        <v>Good</v>
      </c>
      <c r="V43" t="str">
        <f ca="1">IFERROR(__xludf.DUMMYFUNCTION("""COMPUTED_VALUE"""),"Good")</f>
        <v>Good</v>
      </c>
      <c r="W43" t="str">
        <f ca="1">IFERROR(__xludf.DUMMYFUNCTION("""COMPUTED_VALUE"""),"Good")</f>
        <v>Good</v>
      </c>
      <c r="X43" t="str">
        <f ca="1">IFERROR(__xludf.DUMMYFUNCTION("""COMPUTED_VALUE"""),"Good")</f>
        <v>Good</v>
      </c>
      <c r="Y43" t="str">
        <f ca="1">IFERROR(__xludf.DUMMYFUNCTION("""COMPUTED_VALUE"""),"Good")</f>
        <v>Good</v>
      </c>
      <c r="Z43" t="str">
        <f ca="1">IFERROR(__xludf.DUMMYFUNCTION("""COMPUTED_VALUE"""),"Good")</f>
        <v>Good</v>
      </c>
      <c r="AA43" t="str">
        <f ca="1">IFERROR(__xludf.DUMMYFUNCTION("""COMPUTED_VALUE"""),"Good")</f>
        <v>Good</v>
      </c>
      <c r="AB43" t="str">
        <f ca="1">IFERROR(__xludf.DUMMYFUNCTION("""COMPUTED_VALUE"""),"Good")</f>
        <v>Good</v>
      </c>
      <c r="AC43" t="str">
        <f ca="1">IFERROR(__xludf.DUMMYFUNCTION("""COMPUTED_VALUE"""),"Good")</f>
        <v>Good</v>
      </c>
      <c r="AE43" s="11"/>
      <c r="AF43" s="12" t="str">
        <v>Nikki.Dix@floridadep.gov</v>
      </c>
      <c r="AG43" s="17" t="s">
        <v>41</v>
      </c>
      <c r="AH43" s="12"/>
      <c r="AI43" s="12" t="s">
        <v>62</v>
      </c>
      <c r="AJ43" s="19" t="s">
        <v>63</v>
      </c>
      <c r="AK43" s="20" t="str">
        <f>HYPERLINK("https://drive.google.com/a/gtmnerr.org/file/d/1X-tbMcKrUC7VZG_2B5PruW_7lMpu_1vI/view?usp=drivesdk","Pamela Marcum - 4/12/2018")</f>
        <v>Pamela Marcum - 4/12/2018</v>
      </c>
      <c r="AL43" s="12" t="s">
        <v>64</v>
      </c>
    </row>
    <row r="44" spans="1:38" ht="12.75">
      <c r="A44" s="10">
        <f ca="1">IFERROR(__xludf.DUMMYFUNCTION("""COMPUTED_VALUE"""),43206.5428631481)</f>
        <v>43206.542863148097</v>
      </c>
      <c r="B44" s="11" t="str">
        <f ca="1">IFERROR(__xludf.DUMMYFUNCTION("""COMPUTED_VALUE"""),"Ben Mowbray")</f>
        <v>Ben Mowbray</v>
      </c>
      <c r="C44" t="str">
        <f ca="1">IFERROR(__xludf.DUMMYFUNCTION("""COMPUTED_VALUE"""),"Ben.Mowbray@dep.state.fl.us")</f>
        <v>Ben.Mowbray@dep.state.fl.us</v>
      </c>
      <c r="D44" t="str">
        <f ca="1">IFERROR(__xludf.DUMMYFUNCTION("""COMPUTED_VALUE"""),"Research")</f>
        <v>Research</v>
      </c>
      <c r="E44" t="str">
        <f ca="1">IFERROR(__xludf.DUMMYFUNCTION("""COMPUTED_VALUE"""),"Faver-Dykes")</f>
        <v>Faver-Dykes</v>
      </c>
      <c r="F44" s="13"/>
      <c r="G44" s="14">
        <f ca="1">IFERROR(__xludf.DUMMYFUNCTION("""COMPUTED_VALUE"""),43207)</f>
        <v>43207</v>
      </c>
      <c r="H44" t="str">
        <f ca="1">IFERROR(__xludf.DUMMYFUNCTION("""COMPUTED_VALUE"""),"Vegetation platforms")</f>
        <v>Vegetation platforms</v>
      </c>
      <c r="I44" s="15">
        <f ca="1">IFERROR(__xludf.DUMMYFUNCTION("""COMPUTED_VALUE"""),0.52083333333212)</f>
        <v>0.52083333333212001</v>
      </c>
      <c r="J44" s="16">
        <f ca="1">IFERROR(__xludf.DUMMYFUNCTION("""COMPUTED_VALUE"""),43207.0520833333)</f>
        <v>43207.052083333299</v>
      </c>
      <c r="K44" t="str">
        <f ca="1">IFERROR(__xludf.DUMMYFUNCTION("""COMPUTED_VALUE"""),"20ft Sea Ark FL5351SJ UNF 2015")</f>
        <v>20ft Sea Ark FL5351SJ UNF 2015</v>
      </c>
      <c r="M44" t="str">
        <f ca="1">IFERROR(__xludf.DUMMYFUNCTION("""COMPUTED_VALUE"""),"Ford F250 2017 (Moby Dix) - DEP0021578")</f>
        <v>Ford F250 2017 (Moby Dix) - DEP0021578</v>
      </c>
      <c r="N44" t="str">
        <f ca="1">IFERROR(__xludf.DUMMYFUNCTION("""COMPUTED_VALUE"""),"Pam Marcum, (480) 332-5414, Silas Tanner")</f>
        <v>Pam Marcum, (480) 332-5414, Silas Tanner</v>
      </c>
      <c r="O44" t="str">
        <f ca="1">IFERROR(__xludf.DUMMYFUNCTION("""COMPUTED_VALUE"""),"Benjamin Mowbray, Jennifer Odzinski")</f>
        <v>Benjamin Mowbray, Jennifer Odzinski</v>
      </c>
      <c r="P44" t="str">
        <f ca="1">IFERROR(__xludf.DUMMYFUNCTION("""COMPUTED_VALUE"""),"Pam")</f>
        <v>Pam</v>
      </c>
      <c r="Q44" t="str">
        <f ca="1">IFERROR(__xludf.DUMMYFUNCTION("""COMPUTED_VALUE"""),"Good")</f>
        <v>Good</v>
      </c>
      <c r="R44" t="str">
        <f ca="1">IFERROR(__xludf.DUMMYFUNCTION("""COMPUTED_VALUE"""),"Good")</f>
        <v>Good</v>
      </c>
      <c r="S44" t="str">
        <f ca="1">IFERROR(__xludf.DUMMYFUNCTION("""COMPUTED_VALUE"""),"Good")</f>
        <v>Good</v>
      </c>
      <c r="T44" t="str">
        <f ca="1">IFERROR(__xludf.DUMMYFUNCTION("""COMPUTED_VALUE"""),"Good")</f>
        <v>Good</v>
      </c>
      <c r="U44" t="str">
        <f ca="1">IFERROR(__xludf.DUMMYFUNCTION("""COMPUTED_VALUE"""),"Good")</f>
        <v>Good</v>
      </c>
      <c r="V44" t="str">
        <f ca="1">IFERROR(__xludf.DUMMYFUNCTION("""COMPUTED_VALUE"""),"Good")</f>
        <v>Good</v>
      </c>
      <c r="W44" t="str">
        <f ca="1">IFERROR(__xludf.DUMMYFUNCTION("""COMPUTED_VALUE"""),"Good")</f>
        <v>Good</v>
      </c>
      <c r="X44" t="str">
        <f ca="1">IFERROR(__xludf.DUMMYFUNCTION("""COMPUTED_VALUE"""),"Good")</f>
        <v>Good</v>
      </c>
      <c r="Y44" t="str">
        <f ca="1">IFERROR(__xludf.DUMMYFUNCTION("""COMPUTED_VALUE"""),"Good")</f>
        <v>Good</v>
      </c>
      <c r="Z44" t="str">
        <f ca="1">IFERROR(__xludf.DUMMYFUNCTION("""COMPUTED_VALUE"""),"Good")</f>
        <v>Good</v>
      </c>
      <c r="AA44" t="str">
        <f ca="1">IFERROR(__xludf.DUMMYFUNCTION("""COMPUTED_VALUE"""),"Good")</f>
        <v>Good</v>
      </c>
      <c r="AB44" t="str">
        <f ca="1">IFERROR(__xludf.DUMMYFUNCTION("""COMPUTED_VALUE"""),"Good")</f>
        <v>Good</v>
      </c>
      <c r="AC44" t="str">
        <f ca="1">IFERROR(__xludf.DUMMYFUNCTION("""COMPUTED_VALUE"""),"Good")</f>
        <v>Good</v>
      </c>
      <c r="AE44" s="11"/>
      <c r="AF44" t="str">
        <v>Nikki.Dix@floridadep.gov</v>
      </c>
      <c r="AG44" s="17" t="s">
        <v>58</v>
      </c>
      <c r="AH44" s="12"/>
      <c r="AI44" s="12" t="s">
        <v>65</v>
      </c>
      <c r="AJ44" s="19" t="s">
        <v>66</v>
      </c>
      <c r="AK44" s="20" t="str">
        <f>HYPERLINK("https://docs.google.com/document/d/1lvnFSpiVYr6imjfOlWlxPW2ouTpS9jO0pAxu4_Njk7M/edit?usp=drivesdk","Ben Mowbray - Tuesday, April 17, 2018 at 12:00:00 AM")</f>
        <v>Ben Mowbray - Tuesday, April 17, 2018 at 12:00:00 AM</v>
      </c>
      <c r="AL44" s="12" t="s">
        <v>67</v>
      </c>
    </row>
    <row r="45" spans="1:38" ht="12.75">
      <c r="A45" s="10">
        <f ca="1">IFERROR(__xludf.DUMMYFUNCTION("""COMPUTED_VALUE"""),43206.735719456)</f>
        <v>43206.735719456003</v>
      </c>
      <c r="B45" s="22" t="str">
        <f ca="1">IFERROR(__xludf.DUMMYFUNCTION("""COMPUTED_VALUE"""),"Pamela Marcum")</f>
        <v>Pamela Marcum</v>
      </c>
      <c r="C45" t="str">
        <f ca="1">IFERROR(__xludf.DUMMYFUNCTION("""COMPUTED_VALUE"""),"Pamela.Marcum@dep.state.fl.us")</f>
        <v>Pamela.Marcum@dep.state.fl.us</v>
      </c>
      <c r="D45" t="str">
        <f ca="1">IFERROR(__xludf.DUMMYFUNCTION("""COMPUTED_VALUE"""),"Research")</f>
        <v>Research</v>
      </c>
      <c r="F45" s="13">
        <f ca="1">IFERROR(__xludf.DUMMYFUNCTION("""COMPUTED_VALUE"""),0.33333333333212)</f>
        <v>0.33333333333212001</v>
      </c>
      <c r="G45" s="14">
        <f ca="1">IFERROR(__xludf.DUMMYFUNCTION("""COMPUTED_VALUE"""),43208)</f>
        <v>43208</v>
      </c>
      <c r="H45" t="str">
        <f ca="1">IFERROR(__xludf.DUMMYFUNCTION("""COMPUTED_VALUE"""),"Washington Oaks Marsh Site")</f>
        <v>Washington Oaks Marsh Site</v>
      </c>
      <c r="I45" s="15">
        <f ca="1">IFERROR(__xludf.DUMMYFUNCTION("""COMPUTED_VALUE"""),0.541666666667879)</f>
        <v>0.54166666666787899</v>
      </c>
      <c r="J45" s="16">
        <f ca="1">IFERROR(__xludf.DUMMYFUNCTION("""COMPUTED_VALUE"""),43208.6041666666)</f>
        <v>43208.604166666599</v>
      </c>
      <c r="K45" t="str">
        <f ca="1">IFERROR(__xludf.DUMMYFUNCTION("""COMPUTED_VALUE"""),"20ft Sea Ark FL5351SJ UNF 2015")</f>
        <v>20ft Sea Ark FL5351SJ UNF 2015</v>
      </c>
      <c r="M45" t="str">
        <f ca="1">IFERROR(__xludf.DUMMYFUNCTION("""COMPUTED_VALUE"""),"Ford F250 2017 (Moby Dix) - DEP0021578")</f>
        <v>Ford F250 2017 (Moby Dix) - DEP0021578</v>
      </c>
      <c r="N45" t="str">
        <f ca="1">IFERROR(__xludf.DUMMYFUNCTION("""COMPUTED_VALUE"""),"Pam Marcum, (480) 332-5414, Silas Tanner, (904) 483-8423")</f>
        <v>Pam Marcum, (480) 332-5414, Silas Tanner, (904) 483-8423</v>
      </c>
      <c r="O45" t="str">
        <f ca="1">IFERROR(__xludf.DUMMYFUNCTION("""COMPUTED_VALUE"""),"Benjamin Mowbray, (407) 962-8782, Gabriela Canas, (904) 891-9743")</f>
        <v>Benjamin Mowbray, (407) 962-8782, Gabriela Canas, (904) 891-9743</v>
      </c>
      <c r="P45" t="str">
        <f ca="1">IFERROR(__xludf.DUMMYFUNCTION("""COMPUTED_VALUE"""),"Silas Tanner")</f>
        <v>Silas Tanner</v>
      </c>
      <c r="Q45" t="str">
        <f ca="1">IFERROR(__xludf.DUMMYFUNCTION("""COMPUTED_VALUE"""),"Good")</f>
        <v>Good</v>
      </c>
      <c r="R45" t="str">
        <f ca="1">IFERROR(__xludf.DUMMYFUNCTION("""COMPUTED_VALUE"""),"Good")</f>
        <v>Good</v>
      </c>
      <c r="S45" t="str">
        <f ca="1">IFERROR(__xludf.DUMMYFUNCTION("""COMPUTED_VALUE"""),"Good")</f>
        <v>Good</v>
      </c>
      <c r="T45" t="str">
        <f ca="1">IFERROR(__xludf.DUMMYFUNCTION("""COMPUTED_VALUE"""),"Good")</f>
        <v>Good</v>
      </c>
      <c r="U45" t="str">
        <f ca="1">IFERROR(__xludf.DUMMYFUNCTION("""COMPUTED_VALUE"""),"Good")</f>
        <v>Good</v>
      </c>
      <c r="V45" t="str">
        <f ca="1">IFERROR(__xludf.DUMMYFUNCTION("""COMPUTED_VALUE"""),"Good")</f>
        <v>Good</v>
      </c>
      <c r="W45" t="str">
        <f ca="1">IFERROR(__xludf.DUMMYFUNCTION("""COMPUTED_VALUE"""),"Good")</f>
        <v>Good</v>
      </c>
      <c r="X45" t="str">
        <f ca="1">IFERROR(__xludf.DUMMYFUNCTION("""COMPUTED_VALUE"""),"Good")</f>
        <v>Good</v>
      </c>
      <c r="Y45" t="str">
        <f ca="1">IFERROR(__xludf.DUMMYFUNCTION("""COMPUTED_VALUE"""),"Good")</f>
        <v>Good</v>
      </c>
      <c r="Z45" t="str">
        <f ca="1">IFERROR(__xludf.DUMMYFUNCTION("""COMPUTED_VALUE"""),"Good")</f>
        <v>Good</v>
      </c>
      <c r="AA45" t="str">
        <f ca="1">IFERROR(__xludf.DUMMYFUNCTION("""COMPUTED_VALUE"""),"Good")</f>
        <v>Good</v>
      </c>
      <c r="AB45" t="str">
        <f ca="1">IFERROR(__xludf.DUMMYFUNCTION("""COMPUTED_VALUE"""),"Good")</f>
        <v>Good</v>
      </c>
      <c r="AC45" t="str">
        <f ca="1">IFERROR(__xludf.DUMMYFUNCTION("""COMPUTED_VALUE"""),"Good")</f>
        <v>Good</v>
      </c>
      <c r="AE45" s="11"/>
      <c r="AF45" t="str">
        <v>Nikki.Dix@floridadep.gov</v>
      </c>
      <c r="AG45" s="17" t="s">
        <v>58</v>
      </c>
      <c r="AH45" s="12"/>
      <c r="AI45" s="12" t="s">
        <v>68</v>
      </c>
      <c r="AJ45" s="19" t="s">
        <v>69</v>
      </c>
      <c r="AK45" s="20" t="str">
        <f>HYPERLINK("https://docs.google.com/document/d/1yuciw9UAQC0hXjE6C7ODRboAy7GXEhKwmAu3V1IstVw/edit?usp=drivesdk","Pamela Marcum - 4/18/2018 8:00 AM")</f>
        <v>Pamela Marcum - 4/18/2018 8:00 AM</v>
      </c>
      <c r="AL45" s="12" t="s">
        <v>70</v>
      </c>
    </row>
    <row r="46" spans="1:38" ht="12.75">
      <c r="A46" s="10">
        <f ca="1">IFERROR(__xludf.DUMMYFUNCTION("""COMPUTED_VALUE"""),43209.3013402777)</f>
        <v>43209.3013402777</v>
      </c>
      <c r="B46" s="11" t="str">
        <f ca="1">IFERROR(__xludf.DUMMYFUNCTION("""COMPUTED_VALUE"""),"Pamela Marcum")</f>
        <v>Pamela Marcum</v>
      </c>
      <c r="C46" t="str">
        <f ca="1">IFERROR(__xludf.DUMMYFUNCTION("""COMPUTED_VALUE"""),"Pamela.Marcum@Dep.state.fl.us")</f>
        <v>Pamela.Marcum@Dep.state.fl.us</v>
      </c>
      <c r="D46" t="str">
        <f ca="1">IFERROR(__xludf.DUMMYFUNCTION("""COMPUTED_VALUE"""),"Research")</f>
        <v>Research</v>
      </c>
      <c r="E46" t="str">
        <f ca="1">IFERROR(__xludf.DUMMYFUNCTION("""COMPUTED_VALUE"""),"Palm Valley 210 Bridge")</f>
        <v>Palm Valley 210 Bridge</v>
      </c>
      <c r="F46" s="13">
        <f ca="1">IFERROR(__xludf.DUMMYFUNCTION("""COMPUTED_VALUE"""),0.322916666667879)</f>
        <v>0.32291666666787899</v>
      </c>
      <c r="G46" s="14">
        <f ca="1">IFERROR(__xludf.DUMMYFUNCTION("""COMPUTED_VALUE"""),43209)</f>
        <v>43209</v>
      </c>
      <c r="H46" t="str">
        <f ca="1">IFERROR(__xludf.DUMMYFUNCTION("""COMPUTED_VALUE"""),"Pine Island Marsh Site")</f>
        <v>Pine Island Marsh Site</v>
      </c>
      <c r="I46" s="15">
        <f ca="1">IFERROR(__xludf.DUMMYFUNCTION("""COMPUTED_VALUE"""),0.625)</f>
        <v>0.625</v>
      </c>
      <c r="J46" s="16">
        <f ca="1">IFERROR(__xludf.DUMMYFUNCTION("""COMPUTED_VALUE"""),43209.6458333333)</f>
        <v>43209.645833333299</v>
      </c>
      <c r="K46" t="str">
        <f ca="1">IFERROR(__xludf.DUMMYFUNCTION("""COMPUTED_VALUE"""),"20ft Sea Ark FL5351SJ UNF 2015")</f>
        <v>20ft Sea Ark FL5351SJ UNF 2015</v>
      </c>
      <c r="M46" t="str">
        <f ca="1">IFERROR(__xludf.DUMMYFUNCTION("""COMPUTED_VALUE"""),"Ford F250 2017 (Moby Dix) - DEP0021578")</f>
        <v>Ford F250 2017 (Moby Dix) - DEP0021578</v>
      </c>
      <c r="N46" t="str">
        <f ca="1">IFERROR(__xludf.DUMMYFUNCTION("""COMPUTED_VALUE"""),"Pam Marcum, (480) 332-5414, Silas Tanner, (904) 483-8423")</f>
        <v>Pam Marcum, (480) 332-5414, Silas Tanner, (904) 483-8423</v>
      </c>
      <c r="O46" t="str">
        <f ca="1">IFERROR(__xludf.DUMMYFUNCTION("""COMPUTED_VALUE"""),"Benjamin Mowbray, (407) 962-8782, Matt Sturchio")</f>
        <v>Benjamin Mowbray, (407) 962-8782, Matt Sturchio</v>
      </c>
      <c r="P46" t="str">
        <f ca="1">IFERROR(__xludf.DUMMYFUNCTION("""COMPUTED_VALUE"""),"Pam")</f>
        <v>Pam</v>
      </c>
      <c r="Q46" t="str">
        <f ca="1">IFERROR(__xludf.DUMMYFUNCTION("""COMPUTED_VALUE"""),"Good")</f>
        <v>Good</v>
      </c>
      <c r="R46" t="str">
        <f ca="1">IFERROR(__xludf.DUMMYFUNCTION("""COMPUTED_VALUE"""),"Good")</f>
        <v>Good</v>
      </c>
      <c r="S46" t="str">
        <f ca="1">IFERROR(__xludf.DUMMYFUNCTION("""COMPUTED_VALUE"""),"Good")</f>
        <v>Good</v>
      </c>
      <c r="T46" t="str">
        <f ca="1">IFERROR(__xludf.DUMMYFUNCTION("""COMPUTED_VALUE"""),"Good")</f>
        <v>Good</v>
      </c>
      <c r="U46" t="str">
        <f ca="1">IFERROR(__xludf.DUMMYFUNCTION("""COMPUTED_VALUE"""),"Good")</f>
        <v>Good</v>
      </c>
      <c r="V46" t="str">
        <f ca="1">IFERROR(__xludf.DUMMYFUNCTION("""COMPUTED_VALUE"""),"Good")</f>
        <v>Good</v>
      </c>
      <c r="W46" t="str">
        <f ca="1">IFERROR(__xludf.DUMMYFUNCTION("""COMPUTED_VALUE"""),"Good")</f>
        <v>Good</v>
      </c>
      <c r="X46" t="str">
        <f ca="1">IFERROR(__xludf.DUMMYFUNCTION("""COMPUTED_VALUE"""),"Good")</f>
        <v>Good</v>
      </c>
      <c r="Y46" t="str">
        <f ca="1">IFERROR(__xludf.DUMMYFUNCTION("""COMPUTED_VALUE"""),"Good")</f>
        <v>Good</v>
      </c>
      <c r="Z46" t="str">
        <f ca="1">IFERROR(__xludf.DUMMYFUNCTION("""COMPUTED_VALUE"""),"Good")</f>
        <v>Good</v>
      </c>
      <c r="AA46" t="str">
        <f ca="1">IFERROR(__xludf.DUMMYFUNCTION("""COMPUTED_VALUE"""),"Good")</f>
        <v>Good</v>
      </c>
      <c r="AB46" t="str">
        <f ca="1">IFERROR(__xludf.DUMMYFUNCTION("""COMPUTED_VALUE"""),"Good")</f>
        <v>Good</v>
      </c>
      <c r="AC46" t="str">
        <f ca="1">IFERROR(__xludf.DUMMYFUNCTION("""COMPUTED_VALUE"""),"Good")</f>
        <v>Good</v>
      </c>
      <c r="AE46" s="11"/>
      <c r="AF46" t="str">
        <v>Nikki.Dix@floridadep.gov</v>
      </c>
      <c r="AG46" s="17" t="s">
        <v>41</v>
      </c>
      <c r="AH46" s="12"/>
      <c r="AI46" s="12" t="s">
        <v>71</v>
      </c>
      <c r="AJ46" s="19" t="s">
        <v>72</v>
      </c>
      <c r="AK46" s="20" t="str">
        <f>HYPERLINK("https://docs.google.com/document/d/1xUIhT2sRTDOWmpUEFwaZu47fXh5-6Kw9MpWVOIypX_Y/edit?usp=drivesdk","Pamela Marcum - 4/19/2018 7:45 AM")</f>
        <v>Pamela Marcum - 4/19/2018 7:45 AM</v>
      </c>
      <c r="AL46" s="12" t="s">
        <v>73</v>
      </c>
    </row>
    <row r="47" spans="1:38" ht="12.75">
      <c r="A47" s="10">
        <f ca="1">IFERROR(__xludf.DUMMYFUNCTION("""COMPUTED_VALUE"""),43210.3457550347)</f>
        <v>43210.345755034701</v>
      </c>
      <c r="B47" s="11" t="str">
        <f ca="1">IFERROR(__xludf.DUMMYFUNCTION("""COMPUTED_VALUE"""),"Silas Tanner")</f>
        <v>Silas Tanner</v>
      </c>
      <c r="C47" t="str">
        <f ca="1">IFERROR(__xludf.DUMMYFUNCTION("""COMPUTED_VALUE"""),"silas.tanner@dep.state.fl.us")</f>
        <v>silas.tanner@dep.state.fl.us</v>
      </c>
      <c r="D47" t="str">
        <f ca="1">IFERROR(__xludf.DUMMYFUNCTION("""COMPUTED_VALUE"""),"Research")</f>
        <v>Research</v>
      </c>
      <c r="E47" t="str">
        <f ca="1">IFERROR(__xludf.DUMMYFUNCTION("""COMPUTED_VALUE"""),"Douglas Crane Park &amp; Boat Ramp")</f>
        <v>Douglas Crane Park &amp; Boat Ramp</v>
      </c>
      <c r="F47" s="13">
        <f ca="1">IFERROR(__xludf.DUMMYFUNCTION("""COMPUTED_VALUE"""),0.375)</f>
        <v>0.375</v>
      </c>
      <c r="G47" s="14">
        <f ca="1">IFERROR(__xludf.DUMMYFUNCTION("""COMPUTED_VALUE"""),43210)</f>
        <v>43210</v>
      </c>
      <c r="H47" t="str">
        <f ca="1">IFERROR(__xludf.DUMMYFUNCTION("""COMPUTED_VALUE"""),"ICW south of 312 - Site 22 (Jason's Creek) ")</f>
        <v xml:space="preserve">ICW south of 312 - Site 22 (Jason's Creek) </v>
      </c>
      <c r="I47" s="15">
        <f ca="1">IFERROR(__xludf.DUMMYFUNCTION("""COMPUTED_VALUE"""),0.64583333333212)</f>
        <v>0.64583333333212001</v>
      </c>
      <c r="J47" s="16">
        <f ca="1">IFERROR(__xludf.DUMMYFUNCTION("""COMPUTED_VALUE"""),43210.6666666666)</f>
        <v>43210.666666666599</v>
      </c>
      <c r="K47" t="str">
        <f ca="1">IFERROR(__xludf.DUMMYFUNCTION("""COMPUTED_VALUE"""),"20ft Sea Ark FL5351SJ UNF 2015")</f>
        <v>20ft Sea Ark FL5351SJ UNF 2015</v>
      </c>
      <c r="M47" t="str">
        <f ca="1">IFERROR(__xludf.DUMMYFUNCTION("""COMPUTED_VALUE"""),"Ford F250 2017 (Moby Dix) - DEP0021578")</f>
        <v>Ford F250 2017 (Moby Dix) - DEP0021578</v>
      </c>
      <c r="N47" t="str">
        <f ca="1">IFERROR(__xludf.DUMMYFUNCTION("""COMPUTED_VALUE"""),"Pam Marcum, (480) 332-5414, Silas Tanner, (904) 483-8423, Ben Mowbray, (407) 962-8782")</f>
        <v>Pam Marcum, (480) 332-5414, Silas Tanner, (904) 483-8423, Ben Mowbray, (407) 962-8782</v>
      </c>
      <c r="O47" t="str">
        <f ca="1">IFERROR(__xludf.DUMMYFUNCTION("""COMPUTED_VALUE"""),"Jeff Finnan")</f>
        <v>Jeff Finnan</v>
      </c>
      <c r="P47" t="str">
        <f ca="1">IFERROR(__xludf.DUMMYFUNCTION("""COMPUTED_VALUE"""),"Silas Tanner")</f>
        <v>Silas Tanner</v>
      </c>
      <c r="Q47" t="str">
        <f ca="1">IFERROR(__xludf.DUMMYFUNCTION("""COMPUTED_VALUE"""),"Good")</f>
        <v>Good</v>
      </c>
      <c r="R47" t="str">
        <f ca="1">IFERROR(__xludf.DUMMYFUNCTION("""COMPUTED_VALUE"""),"Good")</f>
        <v>Good</v>
      </c>
      <c r="S47" t="str">
        <f ca="1">IFERROR(__xludf.DUMMYFUNCTION("""COMPUTED_VALUE"""),"Good")</f>
        <v>Good</v>
      </c>
      <c r="T47" t="str">
        <f ca="1">IFERROR(__xludf.DUMMYFUNCTION("""COMPUTED_VALUE"""),"Good")</f>
        <v>Good</v>
      </c>
      <c r="U47" t="str">
        <f ca="1">IFERROR(__xludf.DUMMYFUNCTION("""COMPUTED_VALUE"""),"Good")</f>
        <v>Good</v>
      </c>
      <c r="V47" t="str">
        <f ca="1">IFERROR(__xludf.DUMMYFUNCTION("""COMPUTED_VALUE"""),"Good")</f>
        <v>Good</v>
      </c>
      <c r="W47" t="str">
        <f ca="1">IFERROR(__xludf.DUMMYFUNCTION("""COMPUTED_VALUE"""),"Good")</f>
        <v>Good</v>
      </c>
      <c r="X47" t="str">
        <f ca="1">IFERROR(__xludf.DUMMYFUNCTION("""COMPUTED_VALUE"""),"Good")</f>
        <v>Good</v>
      </c>
      <c r="Y47" t="str">
        <f ca="1">IFERROR(__xludf.DUMMYFUNCTION("""COMPUTED_VALUE"""),"Good")</f>
        <v>Good</v>
      </c>
      <c r="Z47" t="str">
        <f ca="1">IFERROR(__xludf.DUMMYFUNCTION("""COMPUTED_VALUE"""),"Good")</f>
        <v>Good</v>
      </c>
      <c r="AA47" t="str">
        <f ca="1">IFERROR(__xludf.DUMMYFUNCTION("""COMPUTED_VALUE"""),"Good")</f>
        <v>Good</v>
      </c>
      <c r="AB47" t="str">
        <f ca="1">IFERROR(__xludf.DUMMYFUNCTION("""COMPUTED_VALUE"""),"Good")</f>
        <v>Good</v>
      </c>
      <c r="AC47" t="str">
        <f ca="1">IFERROR(__xludf.DUMMYFUNCTION("""COMPUTED_VALUE"""),"Good")</f>
        <v>Good</v>
      </c>
      <c r="AE47" s="11"/>
      <c r="AF47" t="str">
        <v>Nikki.Dix@floridadep.gov</v>
      </c>
      <c r="AG47" s="17" t="s">
        <v>17</v>
      </c>
      <c r="AH47" s="12"/>
      <c r="AI47" s="12" t="s">
        <v>74</v>
      </c>
      <c r="AJ47" s="19" t="s">
        <v>75</v>
      </c>
      <c r="AK47" s="20" t="str">
        <f>HYPERLINK("https://docs.google.com/document/d/1JEa1CEgHyehbkiQb0UeiGakohFPxlUdscuddwbzrIxE/edit?usp=drivesdk","Silas Tanner - 4/20/2018 9:00 AM")</f>
        <v>Silas Tanner - 4/20/2018 9:00 AM</v>
      </c>
      <c r="AL47" s="12" t="s">
        <v>76</v>
      </c>
    </row>
    <row r="48" spans="1:38" ht="12.75">
      <c r="A48" s="10">
        <f ca="1">IFERROR(__xludf.DUMMYFUNCTION("""COMPUTED_VALUE"""),43213.4024663888)</f>
        <v>43213.402466388798</v>
      </c>
      <c r="B48" s="11" t="str">
        <f ca="1">IFERROR(__xludf.DUMMYFUNCTION("""COMPUTED_VALUE"""),"Silas Tanner")</f>
        <v>Silas Tanner</v>
      </c>
      <c r="C48" t="str">
        <f ca="1">IFERROR(__xludf.DUMMYFUNCTION("""COMPUTED_VALUE"""),"silas.tanner@floridadep.gov")</f>
        <v>silas.tanner@floridadep.gov</v>
      </c>
      <c r="D48" t="str">
        <f ca="1">IFERROR(__xludf.DUMMYFUNCTION("""COMPUTED_VALUE"""),"Research")</f>
        <v>Research</v>
      </c>
      <c r="E48" t="str">
        <f ca="1">IFERROR(__xludf.DUMMYFUNCTION("""COMPUTED_VALUE"""),"Green Road Boat Ramp")</f>
        <v>Green Road Boat Ramp</v>
      </c>
      <c r="F48" s="13">
        <f ca="1">IFERROR(__xludf.DUMMYFUNCTION("""COMPUTED_VALUE"""),0.40625)</f>
        <v>0.40625</v>
      </c>
      <c r="G48" s="14">
        <f ca="1">IFERROR(__xludf.DUMMYFUNCTION("""COMPUTED_VALUE"""),43214)</f>
        <v>43214</v>
      </c>
      <c r="H48" t="str">
        <f ca="1">IFERROR(__xludf.DUMMYFUNCTION("""COMPUTED_VALUE"""),"Moses Creek")</f>
        <v>Moses Creek</v>
      </c>
      <c r="I48" s="15">
        <f ca="1">IFERROR(__xludf.DUMMYFUNCTION("""COMPUTED_VALUE"""),0.65625)</f>
        <v>0.65625</v>
      </c>
      <c r="J48" s="16">
        <f ca="1">IFERROR(__xludf.DUMMYFUNCTION("""COMPUTED_VALUE"""),43214.6875)</f>
        <v>43214.6875</v>
      </c>
      <c r="K48" t="str">
        <f ca="1">IFERROR(__xludf.DUMMYFUNCTION("""COMPUTED_VALUE"""),"20ft Sea Ark FL5351SJ UNF 2015")</f>
        <v>20ft Sea Ark FL5351SJ UNF 2015</v>
      </c>
      <c r="M48" t="str">
        <f ca="1">IFERROR(__xludf.DUMMYFUNCTION("""COMPUTED_VALUE"""),"Ford F250 2017 (Moby Dix) - DEP0021578")</f>
        <v>Ford F250 2017 (Moby Dix) - DEP0021578</v>
      </c>
      <c r="N48" t="str">
        <f ca="1">IFERROR(__xludf.DUMMYFUNCTION("""COMPUTED_VALUE"""),"Silas Tanner, (904) 483-8423")</f>
        <v>Silas Tanner, (904) 483-8423</v>
      </c>
      <c r="O48" t="str">
        <f ca="1">IFERROR(__xludf.DUMMYFUNCTION("""COMPUTED_VALUE"""),"Benjamin Mowbray, (407) 962-8782, Annie Otto")</f>
        <v>Benjamin Mowbray, (407) 962-8782, Annie Otto</v>
      </c>
      <c r="P48" t="str">
        <f ca="1">IFERROR(__xludf.DUMMYFUNCTION("""COMPUTED_VALUE"""),"Silas Tanner")</f>
        <v>Silas Tanner</v>
      </c>
      <c r="Q48" t="str">
        <f ca="1">IFERROR(__xludf.DUMMYFUNCTION("""COMPUTED_VALUE"""),"Good")</f>
        <v>Good</v>
      </c>
      <c r="R48" t="str">
        <f ca="1">IFERROR(__xludf.DUMMYFUNCTION("""COMPUTED_VALUE"""),"Good")</f>
        <v>Good</v>
      </c>
      <c r="S48" t="str">
        <f ca="1">IFERROR(__xludf.DUMMYFUNCTION("""COMPUTED_VALUE"""),"Good")</f>
        <v>Good</v>
      </c>
      <c r="T48" t="str">
        <f ca="1">IFERROR(__xludf.DUMMYFUNCTION("""COMPUTED_VALUE"""),"Good")</f>
        <v>Good</v>
      </c>
      <c r="U48" t="str">
        <f ca="1">IFERROR(__xludf.DUMMYFUNCTION("""COMPUTED_VALUE"""),"Good")</f>
        <v>Good</v>
      </c>
      <c r="V48" t="str">
        <f ca="1">IFERROR(__xludf.DUMMYFUNCTION("""COMPUTED_VALUE"""),"Good")</f>
        <v>Good</v>
      </c>
      <c r="W48" t="str">
        <f ca="1">IFERROR(__xludf.DUMMYFUNCTION("""COMPUTED_VALUE"""),"Good")</f>
        <v>Good</v>
      </c>
      <c r="X48" t="str">
        <f ca="1">IFERROR(__xludf.DUMMYFUNCTION("""COMPUTED_VALUE"""),"Good")</f>
        <v>Good</v>
      </c>
      <c r="Y48" t="str">
        <f ca="1">IFERROR(__xludf.DUMMYFUNCTION("""COMPUTED_VALUE"""),"Good")</f>
        <v>Good</v>
      </c>
      <c r="Z48" t="str">
        <f ca="1">IFERROR(__xludf.DUMMYFUNCTION("""COMPUTED_VALUE"""),"Good")</f>
        <v>Good</v>
      </c>
      <c r="AA48" t="str">
        <f ca="1">IFERROR(__xludf.DUMMYFUNCTION("""COMPUTED_VALUE"""),"Good")</f>
        <v>Good</v>
      </c>
      <c r="AB48" t="str">
        <f ca="1">IFERROR(__xludf.DUMMYFUNCTION("""COMPUTED_VALUE"""),"Good")</f>
        <v>Good</v>
      </c>
      <c r="AC48" t="str">
        <f ca="1">IFERROR(__xludf.DUMMYFUNCTION("""COMPUTED_VALUE"""),"Good")</f>
        <v>Good</v>
      </c>
      <c r="AE48" s="11"/>
      <c r="AF48" t="str">
        <v>Nikki.Dix@floridadep.gov</v>
      </c>
      <c r="AG48" s="17" t="s">
        <v>17</v>
      </c>
      <c r="AH48" s="12"/>
      <c r="AI48" s="12" t="s">
        <v>77</v>
      </c>
      <c r="AJ48" s="19" t="s">
        <v>78</v>
      </c>
      <c r="AK48" s="20" t="str">
        <f>HYPERLINK("https://docs.google.com/document/d/1JFryXOw2InmmGmXxxzshvZNk4sdpEONK7hn7Y_AqJRE/edit?usp=drivesdk","Silas Tanner - 4/23/2018 9:45 AM")</f>
        <v>Silas Tanner - 4/23/2018 9:45 AM</v>
      </c>
      <c r="AL48" s="12" t="s">
        <v>79</v>
      </c>
    </row>
    <row r="49" spans="1:38" ht="12.75">
      <c r="A49" s="10">
        <f ca="1">IFERROR(__xludf.DUMMYFUNCTION("""COMPUTED_VALUE"""),43213.7141548842)</f>
        <v>43213.714154884197</v>
      </c>
      <c r="B49" s="11" t="str">
        <f ca="1">IFERROR(__xludf.DUMMYFUNCTION("""COMPUTED_VALUE"""),"James Tomazinis")</f>
        <v>James Tomazinis</v>
      </c>
      <c r="C49" t="str">
        <f ca="1">IFERROR(__xludf.DUMMYFUNCTION("""COMPUTED_VALUE"""),"james.tomazinis@dep.state.fl.us")</f>
        <v>james.tomazinis@dep.state.fl.us</v>
      </c>
      <c r="D49" t="str">
        <f ca="1">IFERROR(__xludf.DUMMYFUNCTION("""COMPUTED_VALUE"""),"Stewardship (Aquatic)")</f>
        <v>Stewardship (Aquatic)</v>
      </c>
      <c r="E49" t="str">
        <f ca="1">IFERROR(__xludf.DUMMYFUNCTION("""COMPUTED_VALUE"""),"Guana Dam")</f>
        <v>Guana Dam</v>
      </c>
      <c r="F49" s="13">
        <f ca="1">IFERROR(__xludf.DUMMYFUNCTION("""COMPUTED_VALUE"""),0.28125)</f>
        <v>0.28125</v>
      </c>
      <c r="G49" s="14">
        <f ca="1">IFERROR(__xludf.DUMMYFUNCTION("""COMPUTED_VALUE"""),43214)</f>
        <v>43214</v>
      </c>
      <c r="H49" t="str">
        <f ca="1">IFERROR(__xludf.DUMMYFUNCTION("""COMPUTED_VALUE"""),"Guana NUT sites")</f>
        <v>Guana NUT sites</v>
      </c>
      <c r="I49" s="15">
        <f ca="1">IFERROR(__xludf.DUMMYFUNCTION("""COMPUTED_VALUE"""),0.45833333333212)</f>
        <v>0.45833333333212001</v>
      </c>
      <c r="J49" s="16"/>
      <c r="K49" t="str">
        <f ca="1">IFERROR(__xludf.DUMMYFUNCTION("""COMPUTED_VALUE"""),"Jon Boat FL0484NP DEP06819")</f>
        <v>Jon Boat FL0484NP DEP06819</v>
      </c>
      <c r="M49" t="str">
        <f ca="1">IFERROR(__xludf.DUMMYFUNCTION("""COMPUTED_VALUE"""),"Ford F150 2015 (White) - DEP21448")</f>
        <v>Ford F150 2015 (White) - DEP21448</v>
      </c>
      <c r="N49" t="str">
        <f ca="1">IFERROR(__xludf.DUMMYFUNCTION("""COMPUTED_VALUE"""),"Jimmy Tomazinis, (904) 547-0094")</f>
        <v>Jimmy Tomazinis, (904) 547-0094</v>
      </c>
      <c r="O49" t="str">
        <f ca="1">IFERROR(__xludf.DUMMYFUNCTION("""COMPUTED_VALUE"""),"Mike Dickson")</f>
        <v>Mike Dickson</v>
      </c>
      <c r="P49" t="str">
        <f ca="1">IFERROR(__xludf.DUMMYFUNCTION("""COMPUTED_VALUE"""),"Jimmy")</f>
        <v>Jimmy</v>
      </c>
      <c r="Q49" t="str">
        <f ca="1">IFERROR(__xludf.DUMMYFUNCTION("""COMPUTED_VALUE"""),"Good")</f>
        <v>Good</v>
      </c>
      <c r="R49" t="str">
        <f ca="1">IFERROR(__xludf.DUMMYFUNCTION("""COMPUTED_VALUE"""),"Good")</f>
        <v>Good</v>
      </c>
      <c r="S49" t="str">
        <f ca="1">IFERROR(__xludf.DUMMYFUNCTION("""COMPUTED_VALUE"""),"Good")</f>
        <v>Good</v>
      </c>
      <c r="T49" t="str">
        <f ca="1">IFERROR(__xludf.DUMMYFUNCTION("""COMPUTED_VALUE"""),"Good")</f>
        <v>Good</v>
      </c>
      <c r="U49" t="str">
        <f ca="1">IFERROR(__xludf.DUMMYFUNCTION("""COMPUTED_VALUE"""),"Good")</f>
        <v>Good</v>
      </c>
      <c r="V49" t="str">
        <f ca="1">IFERROR(__xludf.DUMMYFUNCTION("""COMPUTED_VALUE"""),"Good")</f>
        <v>Good</v>
      </c>
      <c r="W49" t="str">
        <f ca="1">IFERROR(__xludf.DUMMYFUNCTION("""COMPUTED_VALUE"""),"Good")</f>
        <v>Good</v>
      </c>
      <c r="X49" t="str">
        <f ca="1">IFERROR(__xludf.DUMMYFUNCTION("""COMPUTED_VALUE"""),"Good")</f>
        <v>Good</v>
      </c>
      <c r="Y49" t="str">
        <f ca="1">IFERROR(__xludf.DUMMYFUNCTION("""COMPUTED_VALUE"""),"Good")</f>
        <v>Good</v>
      </c>
      <c r="Z49" t="str">
        <f ca="1">IFERROR(__xludf.DUMMYFUNCTION("""COMPUTED_VALUE"""),"Good")</f>
        <v>Good</v>
      </c>
      <c r="AA49" t="str">
        <f ca="1">IFERROR(__xludf.DUMMYFUNCTION("""COMPUTED_VALUE"""),"Good")</f>
        <v>Good</v>
      </c>
      <c r="AB49" t="str">
        <f ca="1">IFERROR(__xludf.DUMMYFUNCTION("""COMPUTED_VALUE"""),"Good")</f>
        <v>Good</v>
      </c>
      <c r="AC49" t="str">
        <f ca="1">IFERROR(__xludf.DUMMYFUNCTION("""COMPUTED_VALUE"""),"Good")</f>
        <v>Good</v>
      </c>
      <c r="AE49" s="11"/>
      <c r="AF49" t="str">
        <v>Scott.Eastman@floridadep.gov</v>
      </c>
      <c r="AG49" s="17" t="s">
        <v>17</v>
      </c>
      <c r="AH49" s="12"/>
      <c r="AI49" s="12" t="s">
        <v>80</v>
      </c>
      <c r="AJ49" s="19" t="s">
        <v>81</v>
      </c>
      <c r="AK49" s="20" t="str">
        <f>HYPERLINK("https://docs.google.com/document/d/1cZgdQ9Bkry7GfAi9UtVtg27Em-ne__SFXnsOQWLIXOg/edit?usp=drivesdk","James Tomazinis - 4/24/2018 6:45 AM")</f>
        <v>James Tomazinis - 4/24/2018 6:45 AM</v>
      </c>
      <c r="AL49" s="12" t="s">
        <v>82</v>
      </c>
    </row>
    <row r="50" spans="1:38" ht="12.75">
      <c r="A50" s="10">
        <f ca="1">IFERROR(__xludf.DUMMYFUNCTION("""COMPUTED_VALUE"""),43214.3588161226)</f>
        <v>43214.3588161226</v>
      </c>
      <c r="B50" s="11" t="str">
        <f ca="1">IFERROR(__xludf.DUMMYFUNCTION("""COMPUTED_VALUE"""),"Pamela Marcum")</f>
        <v>Pamela Marcum</v>
      </c>
      <c r="C50" t="str">
        <f ca="1">IFERROR(__xludf.DUMMYFUNCTION("""COMPUTED_VALUE"""),"Pamela.Marcum@dep.state.fl.us")</f>
        <v>Pamela.Marcum@dep.state.fl.us</v>
      </c>
      <c r="D50" t="str">
        <f ca="1">IFERROR(__xludf.DUMMYFUNCTION("""COMPUTED_VALUE"""),"Research")</f>
        <v>Research</v>
      </c>
      <c r="E50" t="str">
        <f ca="1">IFERROR(__xludf.DUMMYFUNCTION("""COMPUTED_VALUE"""),"Aunt Kate's")</f>
        <v>Aunt Kate's</v>
      </c>
      <c r="F50" s="13">
        <f ca="1">IFERROR(__xludf.DUMMYFUNCTION("""COMPUTED_VALUE"""),0.36458333333212)</f>
        <v>0.36458333333212001</v>
      </c>
      <c r="G50" s="14">
        <f ca="1">IFERROR(__xludf.DUMMYFUNCTION("""COMPUTED_VALUE"""),43214)</f>
        <v>43214</v>
      </c>
      <c r="H50" t="str">
        <f ca="1">IFERROR(__xludf.DUMMYFUNCTION("""COMPUTED_VALUE"""),"Upper Tolomato River")</f>
        <v>Upper Tolomato River</v>
      </c>
      <c r="I50" s="15">
        <f ca="1">IFERROR(__xludf.DUMMYFUNCTION("""COMPUTED_VALUE"""),0.58333333333212)</f>
        <v>0.58333333333212001</v>
      </c>
      <c r="J50" s="16">
        <f ca="1">IFERROR(__xludf.DUMMYFUNCTION("""COMPUTED_VALUE"""),43214.6041666666)</f>
        <v>43214.604166666599</v>
      </c>
      <c r="K50" t="str">
        <f ca="1">IFERROR(__xludf.DUMMYFUNCTION("""COMPUTED_VALUE"""),"23ft Skiff (Bertha) FL7972LJ DEP07613")</f>
        <v>23ft Skiff (Bertha) FL7972LJ DEP07613</v>
      </c>
      <c r="M50" t="str">
        <f ca="1">IFERROR(__xludf.DUMMYFUNCTION("""COMPUTED_VALUE"""),"Ford F150 2008 - DEP18041 (SWMP Thing)")</f>
        <v>Ford F150 2008 - DEP18041 (SWMP Thing)</v>
      </c>
      <c r="N50" t="str">
        <f ca="1">IFERROR(__xludf.DUMMYFUNCTION("""COMPUTED_VALUE"""),"Nikki Dix, (352) 219-4079, Pam Marcum, (480) 332-5414")</f>
        <v>Nikki Dix, (352) 219-4079, Pam Marcum, (480) 332-5414</v>
      </c>
      <c r="O50" t="str">
        <f ca="1">IFERROR(__xludf.DUMMYFUNCTION("""COMPUTED_VALUE"""),"Greg Kusel, Patrick Norby")</f>
        <v>Greg Kusel, Patrick Norby</v>
      </c>
      <c r="P50" t="str">
        <f ca="1">IFERROR(__xludf.DUMMYFUNCTION("""COMPUTED_VALUE"""),"Pam")</f>
        <v>Pam</v>
      </c>
      <c r="Q50" t="str">
        <f ca="1">IFERROR(__xludf.DUMMYFUNCTION("""COMPUTED_VALUE"""),"Good")</f>
        <v>Good</v>
      </c>
      <c r="R50" t="str">
        <f ca="1">IFERROR(__xludf.DUMMYFUNCTION("""COMPUTED_VALUE"""),"Good")</f>
        <v>Good</v>
      </c>
      <c r="S50" t="str">
        <f ca="1">IFERROR(__xludf.DUMMYFUNCTION("""COMPUTED_VALUE"""),"Good")</f>
        <v>Good</v>
      </c>
      <c r="T50" t="str">
        <f ca="1">IFERROR(__xludf.DUMMYFUNCTION("""COMPUTED_VALUE"""),"Good")</f>
        <v>Good</v>
      </c>
      <c r="U50" t="str">
        <f ca="1">IFERROR(__xludf.DUMMYFUNCTION("""COMPUTED_VALUE"""),"Good")</f>
        <v>Good</v>
      </c>
      <c r="V50" t="str">
        <f ca="1">IFERROR(__xludf.DUMMYFUNCTION("""COMPUTED_VALUE"""),"Good")</f>
        <v>Good</v>
      </c>
      <c r="W50" t="str">
        <f ca="1">IFERROR(__xludf.DUMMYFUNCTION("""COMPUTED_VALUE"""),"Good")</f>
        <v>Good</v>
      </c>
      <c r="X50" t="str">
        <f ca="1">IFERROR(__xludf.DUMMYFUNCTION("""COMPUTED_VALUE"""),"Good")</f>
        <v>Good</v>
      </c>
      <c r="Y50" t="str">
        <f ca="1">IFERROR(__xludf.DUMMYFUNCTION("""COMPUTED_VALUE"""),"Good")</f>
        <v>Good</v>
      </c>
      <c r="Z50" t="str">
        <f ca="1">IFERROR(__xludf.DUMMYFUNCTION("""COMPUTED_VALUE"""),"Good")</f>
        <v>Good</v>
      </c>
      <c r="AA50" t="str">
        <f ca="1">IFERROR(__xludf.DUMMYFUNCTION("""COMPUTED_VALUE"""),"Good")</f>
        <v>Good</v>
      </c>
      <c r="AB50" t="str">
        <f ca="1">IFERROR(__xludf.DUMMYFUNCTION("""COMPUTED_VALUE"""),"Good")</f>
        <v>Good</v>
      </c>
      <c r="AC50" t="str">
        <f ca="1">IFERROR(__xludf.DUMMYFUNCTION("""COMPUTED_VALUE"""),"Good")</f>
        <v>Good</v>
      </c>
      <c r="AE50" s="11"/>
      <c r="AF50" t="str">
        <v>Nikki.Dix@floridadep.gov</v>
      </c>
      <c r="AG50" s="17" t="s">
        <v>17</v>
      </c>
      <c r="AH50" s="12"/>
      <c r="AI50" s="12" t="s">
        <v>83</v>
      </c>
      <c r="AJ50" s="19" t="s">
        <v>84</v>
      </c>
      <c r="AK50" s="20" t="str">
        <f>HYPERLINK("https://docs.google.com/document/d/141YwKW4KI8Q1dzT2ZpYz1hJTIpHl_K-P_b2fL-FVL80/edit?usp=drivesdk","Pamela Marcum - 4/24/2018 8:45 AM")</f>
        <v>Pamela Marcum - 4/24/2018 8:45 AM</v>
      </c>
      <c r="AL50" s="12" t="s">
        <v>85</v>
      </c>
    </row>
    <row r="51" spans="1:38" ht="12.75">
      <c r="A51" s="10">
        <f ca="1">IFERROR(__xludf.DUMMYFUNCTION("""COMPUTED_VALUE"""),43215.2637767939)</f>
        <v>43215.263776793901</v>
      </c>
      <c r="B51" s="11" t="str">
        <f ca="1">IFERROR(__xludf.DUMMYFUNCTION("""COMPUTED_VALUE"""),"Silas Tanner")</f>
        <v>Silas Tanner</v>
      </c>
      <c r="C51" t="str">
        <f ca="1">IFERROR(__xludf.DUMMYFUNCTION("""COMPUTED_VALUE"""),"Silas.tanner@floridadep.gov")</f>
        <v>Silas.tanner@floridadep.gov</v>
      </c>
      <c r="D51" t="str">
        <f ca="1">IFERROR(__xludf.DUMMYFUNCTION("""COMPUTED_VALUE"""),"Research")</f>
        <v>Research</v>
      </c>
      <c r="E51" t="str">
        <f ca="1">IFERROR(__xludf.DUMMYFUNCTION("""COMPUTED_VALUE"""),"Vilano County ramp")</f>
        <v>Vilano County ramp</v>
      </c>
      <c r="F51" s="13">
        <f ca="1">IFERROR(__xludf.DUMMYFUNCTION("""COMPUTED_VALUE"""),0.291666666667879)</f>
        <v>0.29166666666787899</v>
      </c>
      <c r="G51" s="14">
        <f ca="1">IFERROR(__xludf.DUMMYFUNCTION("""COMPUTED_VALUE"""),43215)</f>
        <v>43215</v>
      </c>
      <c r="H51" t="str">
        <f ca="1">IFERROR(__xludf.DUMMYFUNCTION("""COMPUTED_VALUE"""),"ICW SWMP sites")</f>
        <v>ICW SWMP sites</v>
      </c>
      <c r="I51" s="15">
        <f ca="1">IFERROR(__xludf.DUMMYFUNCTION("""COMPUTED_VALUE"""),0.5625)</f>
        <v>0.5625</v>
      </c>
      <c r="J51" s="16">
        <f ca="1">IFERROR(__xludf.DUMMYFUNCTION("""COMPUTED_VALUE"""),43215.5833333333)</f>
        <v>43215.583333333299</v>
      </c>
      <c r="K51" t="str">
        <f ca="1">IFERROR(__xludf.DUMMYFUNCTION("""COMPUTED_VALUE"""),"23ft Skiff (Bertha) FL7972LJ DEP07613")</f>
        <v>23ft Skiff (Bertha) FL7972LJ DEP07613</v>
      </c>
      <c r="M51" t="str">
        <f ca="1">IFERROR(__xludf.DUMMYFUNCTION("""COMPUTED_VALUE"""),"Ford F150 2008 - DEP18041 (SWMP Thing)")</f>
        <v>Ford F150 2008 - DEP18041 (SWMP Thing)</v>
      </c>
      <c r="N51" t="str">
        <f ca="1">IFERROR(__xludf.DUMMYFUNCTION("""COMPUTED_VALUE"""),"Silas Tanner, (904) 483-8423, Jimmy Tomazinis, (904) 547-0094")</f>
        <v>Silas Tanner, (904) 483-8423, Jimmy Tomazinis, (904) 547-0094</v>
      </c>
      <c r="O51" t="str">
        <f ca="1">IFERROR(__xludf.DUMMYFUNCTION("""COMPUTED_VALUE"""),"Jeff Finnan")</f>
        <v>Jeff Finnan</v>
      </c>
      <c r="P51" t="str">
        <f ca="1">IFERROR(__xludf.DUMMYFUNCTION("""COMPUTED_VALUE"""),"Silas Tanner")</f>
        <v>Silas Tanner</v>
      </c>
      <c r="Q51" t="str">
        <f ca="1">IFERROR(__xludf.DUMMYFUNCTION("""COMPUTED_VALUE"""),"Good")</f>
        <v>Good</v>
      </c>
      <c r="R51" t="str">
        <f ca="1">IFERROR(__xludf.DUMMYFUNCTION("""COMPUTED_VALUE"""),"Good")</f>
        <v>Good</v>
      </c>
      <c r="S51" t="str">
        <f ca="1">IFERROR(__xludf.DUMMYFUNCTION("""COMPUTED_VALUE"""),"Good")</f>
        <v>Good</v>
      </c>
      <c r="T51" t="str">
        <f ca="1">IFERROR(__xludf.DUMMYFUNCTION("""COMPUTED_VALUE"""),"Good")</f>
        <v>Good</v>
      </c>
      <c r="U51" t="str">
        <f ca="1">IFERROR(__xludf.DUMMYFUNCTION("""COMPUTED_VALUE"""),"Good")</f>
        <v>Good</v>
      </c>
      <c r="V51" t="str">
        <f ca="1">IFERROR(__xludf.DUMMYFUNCTION("""COMPUTED_VALUE"""),"Good")</f>
        <v>Good</v>
      </c>
      <c r="W51" t="str">
        <f ca="1">IFERROR(__xludf.DUMMYFUNCTION("""COMPUTED_VALUE"""),"Good")</f>
        <v>Good</v>
      </c>
      <c r="X51" t="str">
        <f ca="1">IFERROR(__xludf.DUMMYFUNCTION("""COMPUTED_VALUE"""),"Good")</f>
        <v>Good</v>
      </c>
      <c r="Y51" t="str">
        <f ca="1">IFERROR(__xludf.DUMMYFUNCTION("""COMPUTED_VALUE"""),"Good")</f>
        <v>Good</v>
      </c>
      <c r="Z51" t="str">
        <f ca="1">IFERROR(__xludf.DUMMYFUNCTION("""COMPUTED_VALUE"""),"Good")</f>
        <v>Good</v>
      </c>
      <c r="AA51" t="str">
        <f ca="1">IFERROR(__xludf.DUMMYFUNCTION("""COMPUTED_VALUE"""),"Good")</f>
        <v>Good</v>
      </c>
      <c r="AB51" t="str">
        <f ca="1">IFERROR(__xludf.DUMMYFUNCTION("""COMPUTED_VALUE"""),"Good")</f>
        <v>Good</v>
      </c>
      <c r="AC51" t="str">
        <f ca="1">IFERROR(__xludf.DUMMYFUNCTION("""COMPUTED_VALUE"""),"Good")</f>
        <v>Good</v>
      </c>
      <c r="AE51" s="11"/>
      <c r="AF51" t="str">
        <v>Nikki.Dix@floridadep.gov</v>
      </c>
      <c r="AG51" s="17" t="s">
        <v>17</v>
      </c>
      <c r="AH51" s="12"/>
      <c r="AI51" s="12" t="s">
        <v>86</v>
      </c>
      <c r="AJ51" s="19" t="s">
        <v>87</v>
      </c>
      <c r="AK51" s="20" t="str">
        <f>HYPERLINK("https://docs.google.com/document/d/11JZf3cCy2oWzUnb0sX9zgzWgWoI2_8xAwaHHjF2yHkM/edit?usp=drivesdk","Silas Tanner - 4/25/2018 7:00 AM")</f>
        <v>Silas Tanner - 4/25/2018 7:00 AM</v>
      </c>
      <c r="AL51" s="12" t="s">
        <v>88</v>
      </c>
    </row>
    <row r="52" spans="1:38" ht="12.75">
      <c r="A52" s="10">
        <f ca="1">IFERROR(__xludf.DUMMYFUNCTION("""COMPUTED_VALUE"""),43216.5339157638)</f>
        <v>43216.533915763801</v>
      </c>
      <c r="B52" s="11" t="str">
        <f ca="1">IFERROR(__xludf.DUMMYFUNCTION("""COMPUTED_VALUE"""),"Silas Tanner")</f>
        <v>Silas Tanner</v>
      </c>
      <c r="C52" t="str">
        <f ca="1">IFERROR(__xludf.DUMMYFUNCTION("""COMPUTED_VALUE"""),"silas.tanner@dep.state.fl.us")</f>
        <v>silas.tanner@dep.state.fl.us</v>
      </c>
      <c r="D52" t="str">
        <f ca="1">IFERROR(__xludf.DUMMYFUNCTION("""COMPUTED_VALUE"""),"Research")</f>
        <v>Research</v>
      </c>
      <c r="E52" t="str">
        <f ca="1">IFERROR(__xludf.DUMMYFUNCTION("""COMPUTED_VALUE"""),"Moses Creek floating dock")</f>
        <v>Moses Creek floating dock</v>
      </c>
      <c r="F52" s="13">
        <f ca="1">IFERROR(__xludf.DUMMYFUNCTION("""COMPUTED_VALUE"""),0.604166666667879)</f>
        <v>0.60416666666787899</v>
      </c>
      <c r="G52" s="14">
        <f ca="1">IFERROR(__xludf.DUMMYFUNCTION("""COMPUTED_VALUE"""),43216)</f>
        <v>43216</v>
      </c>
      <c r="H52" t="str">
        <f ca="1">IFERROR(__xludf.DUMMYFUNCTION("""COMPUTED_VALUE"""),"Moses Creek vegetation platforms")</f>
        <v>Moses Creek vegetation platforms</v>
      </c>
      <c r="I52" s="15">
        <f ca="1">IFERROR(__xludf.DUMMYFUNCTION("""COMPUTED_VALUE"""),0.729166666667879)</f>
        <v>0.72916666666787899</v>
      </c>
      <c r="J52" s="16">
        <f ca="1">IFERROR(__xludf.DUMMYFUNCTION("""COMPUTED_VALUE"""),43216.7708333333)</f>
        <v>43216.770833333299</v>
      </c>
      <c r="K52" t="str">
        <f ca="1">IFERROR(__xludf.DUMMYFUNCTION("""COMPUTED_VALUE"""),"Canoe(s)")</f>
        <v>Canoe(s)</v>
      </c>
      <c r="L52">
        <f ca="1">IFERROR(__xludf.DUMMYFUNCTION("""COMPUTED_VALUE"""),2)</f>
        <v>2</v>
      </c>
      <c r="M52" t="str">
        <f ca="1">IFERROR(__xludf.DUMMYFUNCTION("""COMPUTED_VALUE"""),"Ford F150 2008 - DEP18041 (SWMP Thing)")</f>
        <v>Ford F150 2008 - DEP18041 (SWMP Thing)</v>
      </c>
      <c r="N52" t="str">
        <f ca="1">IFERROR(__xludf.DUMMYFUNCTION("""COMPUTED_VALUE"""),"Pam Marcum, (480) 332-5414, Silas Tanner, (904) 483-8423, Ben Mowbray, (407) 962-8782")</f>
        <v>Pam Marcum, (480) 332-5414, Silas Tanner, (904) 483-8423, Ben Mowbray, (407) 962-8782</v>
      </c>
      <c r="P52" t="str">
        <f ca="1">IFERROR(__xludf.DUMMYFUNCTION("""COMPUTED_VALUE"""),"Pam Marcum")</f>
        <v>Pam Marcum</v>
      </c>
      <c r="Q52" t="str">
        <f ca="1">IFERROR(__xludf.DUMMYFUNCTION("""COMPUTED_VALUE"""),"Good")</f>
        <v>Good</v>
      </c>
      <c r="R52" t="str">
        <f ca="1">IFERROR(__xludf.DUMMYFUNCTION("""COMPUTED_VALUE"""),"Good")</f>
        <v>Good</v>
      </c>
      <c r="S52" t="str">
        <f ca="1">IFERROR(__xludf.DUMMYFUNCTION("""COMPUTED_VALUE"""),"Good")</f>
        <v>Good</v>
      </c>
      <c r="T52" t="str">
        <f ca="1">IFERROR(__xludf.DUMMYFUNCTION("""COMPUTED_VALUE"""),"Good")</f>
        <v>Good</v>
      </c>
      <c r="U52" t="str">
        <f ca="1">IFERROR(__xludf.DUMMYFUNCTION("""COMPUTED_VALUE"""),"Good")</f>
        <v>Good</v>
      </c>
      <c r="V52" t="str">
        <f ca="1">IFERROR(__xludf.DUMMYFUNCTION("""COMPUTED_VALUE"""),"Good")</f>
        <v>Good</v>
      </c>
      <c r="W52" t="str">
        <f ca="1">IFERROR(__xludf.DUMMYFUNCTION("""COMPUTED_VALUE"""),"Good")</f>
        <v>Good</v>
      </c>
      <c r="X52" t="str">
        <f ca="1">IFERROR(__xludf.DUMMYFUNCTION("""COMPUTED_VALUE"""),"Good")</f>
        <v>Good</v>
      </c>
      <c r="Y52" t="str">
        <f ca="1">IFERROR(__xludf.DUMMYFUNCTION("""COMPUTED_VALUE"""),"Good")</f>
        <v>Good</v>
      </c>
      <c r="Z52" t="str">
        <f ca="1">IFERROR(__xludf.DUMMYFUNCTION("""COMPUTED_VALUE"""),"Good")</f>
        <v>Good</v>
      </c>
      <c r="AA52" t="str">
        <f ca="1">IFERROR(__xludf.DUMMYFUNCTION("""COMPUTED_VALUE"""),"Good")</f>
        <v>Good</v>
      </c>
      <c r="AB52" t="str">
        <f ca="1">IFERROR(__xludf.DUMMYFUNCTION("""COMPUTED_VALUE"""),"Good")</f>
        <v>Good</v>
      </c>
      <c r="AC52" t="str">
        <f ca="1">IFERROR(__xludf.DUMMYFUNCTION("""COMPUTED_VALUE"""),"Good")</f>
        <v>Good</v>
      </c>
      <c r="AE52" s="11"/>
      <c r="AF52" t="str">
        <v>Nikki.Dix@floridadep.gov</v>
      </c>
      <c r="AG52" s="17" t="s">
        <v>41</v>
      </c>
      <c r="AH52" s="12"/>
      <c r="AI52" s="12" t="s">
        <v>89</v>
      </c>
      <c r="AJ52" s="19" t="s">
        <v>90</v>
      </c>
      <c r="AK52" s="20" t="str">
        <f>HYPERLINK("https://docs.google.com/document/d/1eL5Q6SNkiPmg7jIbli2gKBq4HNhYtjpYK0Xasr2D1E4/edit?usp=drivesdk","Silas Tanner - 4/26/2018 2:30 PM")</f>
        <v>Silas Tanner - 4/26/2018 2:30 PM</v>
      </c>
      <c r="AL52" s="12" t="s">
        <v>91</v>
      </c>
    </row>
    <row r="53" spans="1:38" ht="12.75">
      <c r="A53" s="10">
        <f ca="1">IFERROR(__xludf.DUMMYFUNCTION("""COMPUTED_VALUE"""),43217.3732522453)</f>
        <v>43217.373252245299</v>
      </c>
      <c r="B53" s="11" t="str">
        <f ca="1">IFERROR(__xludf.DUMMYFUNCTION("""COMPUTED_VALUE"""),"Shannon Dunnigan")</f>
        <v>Shannon Dunnigan</v>
      </c>
      <c r="C53" t="str">
        <f ca="1">IFERROR(__xludf.DUMMYFUNCTION("""COMPUTED_VALUE"""),"Shannon.Dunnigan@dep.state.fl.us")</f>
        <v>Shannon.Dunnigan@dep.state.fl.us</v>
      </c>
      <c r="D53" t="str">
        <f ca="1">IFERROR(__xludf.DUMMYFUNCTION("""COMPUTED_VALUE"""),"Research")</f>
        <v>Research</v>
      </c>
      <c r="E53" t="str">
        <f ca="1">IFERROR(__xludf.DUMMYFUNCTION("""COMPUTED_VALUE"""),"Bings Landing")</f>
        <v>Bings Landing</v>
      </c>
      <c r="F53" s="13">
        <f ca="1">IFERROR(__xludf.DUMMYFUNCTION("""COMPUTED_VALUE"""),0.42708333333212)</f>
        <v>0.42708333333212001</v>
      </c>
      <c r="G53" s="14">
        <f ca="1">IFERROR(__xludf.DUMMYFUNCTION("""COMPUTED_VALUE"""),43217)</f>
        <v>43217</v>
      </c>
      <c r="H53" t="str">
        <f ca="1">IFERROR(__xludf.DUMMYFUNCTION("""COMPUTED_VALUE"""),"Summerhaven")</f>
        <v>Summerhaven</v>
      </c>
      <c r="I53" s="15">
        <f ca="1">IFERROR(__xludf.DUMMYFUNCTION("""COMPUTED_VALUE"""),0.0208333333321206)</f>
        <v>2.0833333332120601E-2</v>
      </c>
      <c r="J53" s="16">
        <f ca="1">IFERROR(__xludf.DUMMYFUNCTION("""COMPUTED_VALUE"""),43217.6041666666)</f>
        <v>43217.604166666599</v>
      </c>
      <c r="K53" t="str">
        <f ca="1">IFERROR(__xludf.DUMMYFUNCTION("""COMPUTED_VALUE"""),"20ft Sea Ark FL5351SJ UNF 2015")</f>
        <v>20ft Sea Ark FL5351SJ UNF 2015</v>
      </c>
      <c r="M53" t="str">
        <f ca="1">IFERROR(__xludf.DUMMYFUNCTION("""COMPUTED_VALUE"""),"Ford F150 2008 - DEP18041 (SWMP Thing)")</f>
        <v>Ford F150 2008 - DEP18041 (SWMP Thing)</v>
      </c>
      <c r="N53" t="str">
        <f ca="1">IFERROR(__xludf.DUMMYFUNCTION("""COMPUTED_VALUE"""),"Shannon Dunnigan, (803) 727-5734")</f>
        <v>Shannon Dunnigan, (803) 727-5734</v>
      </c>
      <c r="O53" t="str">
        <f ca="1">IFERROR(__xludf.DUMMYFUNCTION("""COMPUTED_VALUE"""),"Matt Brown, Westly Woodward, Ally Hartnett")</f>
        <v>Matt Brown, Westly Woodward, Ally Hartnett</v>
      </c>
      <c r="P53" t="str">
        <f ca="1">IFERROR(__xludf.DUMMYFUNCTION("""COMPUTED_VALUE"""),"Shannon")</f>
        <v>Shannon</v>
      </c>
      <c r="Q53" t="str">
        <f ca="1">IFERROR(__xludf.DUMMYFUNCTION("""COMPUTED_VALUE"""),"Good")</f>
        <v>Good</v>
      </c>
      <c r="R53" t="str">
        <f ca="1">IFERROR(__xludf.DUMMYFUNCTION("""COMPUTED_VALUE"""),"Good")</f>
        <v>Good</v>
      </c>
      <c r="S53" t="str">
        <f ca="1">IFERROR(__xludf.DUMMYFUNCTION("""COMPUTED_VALUE"""),"Good")</f>
        <v>Good</v>
      </c>
      <c r="T53" t="str">
        <f ca="1">IFERROR(__xludf.DUMMYFUNCTION("""COMPUTED_VALUE"""),"Good")</f>
        <v>Good</v>
      </c>
      <c r="U53" t="str">
        <f ca="1">IFERROR(__xludf.DUMMYFUNCTION("""COMPUTED_VALUE"""),"Good")</f>
        <v>Good</v>
      </c>
      <c r="V53" t="str">
        <f ca="1">IFERROR(__xludf.DUMMYFUNCTION("""COMPUTED_VALUE"""),"Good")</f>
        <v>Good</v>
      </c>
      <c r="W53" t="str">
        <f ca="1">IFERROR(__xludf.DUMMYFUNCTION("""COMPUTED_VALUE"""),"Good")</f>
        <v>Good</v>
      </c>
      <c r="X53" t="str">
        <f ca="1">IFERROR(__xludf.DUMMYFUNCTION("""COMPUTED_VALUE"""),"Good")</f>
        <v>Good</v>
      </c>
      <c r="Y53" t="str">
        <f ca="1">IFERROR(__xludf.DUMMYFUNCTION("""COMPUTED_VALUE"""),"Good")</f>
        <v>Good</v>
      </c>
      <c r="Z53" t="str">
        <f ca="1">IFERROR(__xludf.DUMMYFUNCTION("""COMPUTED_VALUE"""),"Good")</f>
        <v>Good</v>
      </c>
      <c r="AA53" t="str">
        <f ca="1">IFERROR(__xludf.DUMMYFUNCTION("""COMPUTED_VALUE"""),"Good")</f>
        <v>Good</v>
      </c>
      <c r="AB53" t="str">
        <f ca="1">IFERROR(__xludf.DUMMYFUNCTION("""COMPUTED_VALUE"""),"Good")</f>
        <v>Good</v>
      </c>
      <c r="AC53" t="str">
        <f ca="1">IFERROR(__xludf.DUMMYFUNCTION("""COMPUTED_VALUE"""),"Good")</f>
        <v>Good</v>
      </c>
      <c r="AE53" s="11"/>
      <c r="AF53" t="str">
        <v>Nikki.Dix@floridadep.gov</v>
      </c>
      <c r="AG53" s="17" t="s">
        <v>17</v>
      </c>
      <c r="AH53" s="12"/>
      <c r="AI53" s="12" t="s">
        <v>92</v>
      </c>
      <c r="AJ53" s="19" t="s">
        <v>93</v>
      </c>
      <c r="AK53" s="20" t="str">
        <f>HYPERLINK("https://docs.google.com/document/d/1pqxIs0u3K7GhvcOKvyC8IjsZWvGnhWY4BbRyjvR0EHs/edit?usp=drivesdk","Shannon Dunnigan - 4/27/2018 10:15 AM")</f>
        <v>Shannon Dunnigan - 4/27/2018 10:15 AM</v>
      </c>
      <c r="AL53" s="12" t="s">
        <v>94</v>
      </c>
    </row>
    <row r="54" spans="1:38" ht="12.75">
      <c r="A54" s="10">
        <f ca="1">IFERROR(__xludf.DUMMYFUNCTION("""COMPUTED_VALUE"""),43217.4770742592)</f>
        <v>43217.477074259201</v>
      </c>
      <c r="B54" s="11" t="str">
        <f ca="1">IFERROR(__xludf.DUMMYFUNCTION("""COMPUTED_VALUE"""),"Pamela Marcum")</f>
        <v>Pamela Marcum</v>
      </c>
      <c r="C54" t="str">
        <f ca="1">IFERROR(__xludf.DUMMYFUNCTION("""COMPUTED_VALUE"""),"Pamela.Marcum@dep.state.fl.us")</f>
        <v>Pamela.Marcum@dep.state.fl.us</v>
      </c>
      <c r="D54" t="str">
        <f ca="1">IFERROR(__xludf.DUMMYFUNCTION("""COMPUTED_VALUE"""),"Research")</f>
        <v>Research</v>
      </c>
      <c r="E54" t="str">
        <f ca="1">IFERROR(__xludf.DUMMYFUNCTION("""COMPUTED_VALUE"""),"Usina Ramp/Aunt Kate's")</f>
        <v>Usina Ramp/Aunt Kate's</v>
      </c>
      <c r="F54" s="13">
        <f ca="1">IFERROR(__xludf.DUMMYFUNCTION("""COMPUTED_VALUE"""),0.479166666667879)</f>
        <v>0.47916666666787899</v>
      </c>
      <c r="G54" s="14">
        <f ca="1">IFERROR(__xludf.DUMMYFUNCTION("""COMPUTED_VALUE"""),43217)</f>
        <v>43217</v>
      </c>
      <c r="H54" t="str">
        <f ca="1">IFERROR(__xludf.DUMMYFUNCTION("""COMPUTED_VALUE"""),"Tolomato River- Angelini Sites")</f>
        <v>Tolomato River- Angelini Sites</v>
      </c>
      <c r="I54" s="15">
        <f ca="1">IFERROR(__xludf.DUMMYFUNCTION("""COMPUTED_VALUE"""),0.75)</f>
        <v>0.75</v>
      </c>
      <c r="J54" s="16">
        <f ca="1">IFERROR(__xludf.DUMMYFUNCTION("""COMPUTED_VALUE"""),43217.7708333333)</f>
        <v>43217.770833333299</v>
      </c>
      <c r="K54" t="str">
        <f ca="1">IFERROR(__xludf.DUMMYFUNCTION("""COMPUTED_VALUE"""),"23ft Skiff (Bertha) FL7972LJ DEP07613")</f>
        <v>23ft Skiff (Bertha) FL7972LJ DEP07613</v>
      </c>
      <c r="M54" t="str">
        <f ca="1">IFERROR(__xludf.DUMMYFUNCTION("""COMPUTED_VALUE"""),"Ford F250 2017 (Moby Dix) - DEP0021578")</f>
        <v>Ford F250 2017 (Moby Dix) - DEP0021578</v>
      </c>
      <c r="N54" t="str">
        <f ca="1">IFERROR(__xludf.DUMMYFUNCTION("""COMPUTED_VALUE"""),"Pam Marcum, (480) 332-5414, Remo Mondazzi")</f>
        <v>Pam Marcum, (480) 332-5414, Remo Mondazzi</v>
      </c>
      <c r="O54" t="str">
        <f ca="1">IFERROR(__xludf.DUMMYFUNCTION("""COMPUTED_VALUE"""),"Benjamin Mowbray, (407) 962-8782, Christine Angelini, Patrick Norby, Greg Kusel, Annie Otto, Jessica Lee")</f>
        <v>Benjamin Mowbray, (407) 962-8782, Christine Angelini, Patrick Norby, Greg Kusel, Annie Otto, Jessica Lee</v>
      </c>
      <c r="P54" t="str">
        <f ca="1">IFERROR(__xludf.DUMMYFUNCTION("""COMPUTED_VALUE"""),"Pam Marcum")</f>
        <v>Pam Marcum</v>
      </c>
      <c r="Q54" t="str">
        <f ca="1">IFERROR(__xludf.DUMMYFUNCTION("""COMPUTED_VALUE"""),"Good")</f>
        <v>Good</v>
      </c>
      <c r="R54" t="str">
        <f ca="1">IFERROR(__xludf.DUMMYFUNCTION("""COMPUTED_VALUE"""),"Good")</f>
        <v>Good</v>
      </c>
      <c r="S54" t="str">
        <f ca="1">IFERROR(__xludf.DUMMYFUNCTION("""COMPUTED_VALUE"""),"Good")</f>
        <v>Good</v>
      </c>
      <c r="T54" t="str">
        <f ca="1">IFERROR(__xludf.DUMMYFUNCTION("""COMPUTED_VALUE"""),"Good")</f>
        <v>Good</v>
      </c>
      <c r="U54" t="str">
        <f ca="1">IFERROR(__xludf.DUMMYFUNCTION("""COMPUTED_VALUE"""),"Good")</f>
        <v>Good</v>
      </c>
      <c r="V54" t="str">
        <f ca="1">IFERROR(__xludf.DUMMYFUNCTION("""COMPUTED_VALUE"""),"Good")</f>
        <v>Good</v>
      </c>
      <c r="W54" t="str">
        <f ca="1">IFERROR(__xludf.DUMMYFUNCTION("""COMPUTED_VALUE"""),"Good")</f>
        <v>Good</v>
      </c>
      <c r="X54" t="str">
        <f ca="1">IFERROR(__xludf.DUMMYFUNCTION("""COMPUTED_VALUE"""),"Good")</f>
        <v>Good</v>
      </c>
      <c r="Y54" t="str">
        <f ca="1">IFERROR(__xludf.DUMMYFUNCTION("""COMPUTED_VALUE"""),"Good")</f>
        <v>Good</v>
      </c>
      <c r="Z54" t="str">
        <f ca="1">IFERROR(__xludf.DUMMYFUNCTION("""COMPUTED_VALUE"""),"Good")</f>
        <v>Good</v>
      </c>
      <c r="AA54" t="str">
        <f ca="1">IFERROR(__xludf.DUMMYFUNCTION("""COMPUTED_VALUE"""),"Good")</f>
        <v>Good</v>
      </c>
      <c r="AB54" t="str">
        <f ca="1">IFERROR(__xludf.DUMMYFUNCTION("""COMPUTED_VALUE"""),"Good")</f>
        <v>Good</v>
      </c>
      <c r="AC54" t="str">
        <f ca="1">IFERROR(__xludf.DUMMYFUNCTION("""COMPUTED_VALUE"""),"Good")</f>
        <v>Good</v>
      </c>
      <c r="AE54" s="11"/>
      <c r="AF54" t="str">
        <v>Nikki.Dix@floridadep.gov</v>
      </c>
      <c r="AG54" s="17" t="s">
        <v>41</v>
      </c>
      <c r="AH54" s="12"/>
      <c r="AI54" s="12" t="s">
        <v>95</v>
      </c>
      <c r="AJ54" s="19" t="s">
        <v>96</v>
      </c>
      <c r="AK54" s="20" t="str">
        <f>HYPERLINK("https://docs.google.com/document/d/1o_kh_Z-U6_tGhTgiT0C3Z1YHstpG_03KK-kY2lq7ebs/edit?usp=drivesdk","Pamela Marcum - 4/27/2018 11:30 AM")</f>
        <v>Pamela Marcum - 4/27/2018 11:30 AM</v>
      </c>
      <c r="AL54" s="12" t="s">
        <v>97</v>
      </c>
    </row>
    <row r="55" spans="1:38" ht="12.75">
      <c r="A55" s="10">
        <f ca="1">IFERROR(__xludf.DUMMYFUNCTION("""COMPUTED_VALUE"""),43220.4149645833)</f>
        <v>43220.414964583302</v>
      </c>
      <c r="B55" s="11" t="str">
        <f ca="1">IFERROR(__xludf.DUMMYFUNCTION("""COMPUTED_VALUE"""),"Silas Tanner")</f>
        <v>Silas Tanner</v>
      </c>
      <c r="C55" t="str">
        <f ca="1">IFERROR(__xludf.DUMMYFUNCTION("""COMPUTED_VALUE"""),"silas.tanner@floridadep.gov")</f>
        <v>silas.tanner@floridadep.gov</v>
      </c>
      <c r="D55" t="str">
        <f ca="1">IFERROR(__xludf.DUMMYFUNCTION("""COMPUTED_VALUE"""),"Research")</f>
        <v>Research</v>
      </c>
      <c r="E55" t="str">
        <f ca="1">IFERROR(__xludf.DUMMYFUNCTION("""COMPUTED_VALUE"""),"Vilano County Ramp")</f>
        <v>Vilano County Ramp</v>
      </c>
      <c r="F55" s="13">
        <f ca="1">IFERROR(__xludf.DUMMYFUNCTION("""COMPUTED_VALUE"""),0.385416666667879)</f>
        <v>0.38541666666787899</v>
      </c>
      <c r="G55" s="14">
        <f ca="1">IFERROR(__xludf.DUMMYFUNCTION("""COMPUTED_VALUE"""),43221)</f>
        <v>43221</v>
      </c>
      <c r="H55" t="str">
        <f ca="1">IFERROR(__xludf.DUMMYFUNCTION("""COMPUTED_VALUE"""),"ICW - SWMP sites FM, SS &amp; PI")</f>
        <v>ICW - SWMP sites FM, SS &amp; PI</v>
      </c>
      <c r="I55" s="15">
        <f ca="1">IFERROR(__xludf.DUMMYFUNCTION("""COMPUTED_VALUE"""),0.5625)</f>
        <v>0.5625</v>
      </c>
      <c r="J55" s="16">
        <f ca="1">IFERROR(__xludf.DUMMYFUNCTION("""COMPUTED_VALUE"""),43221.5729166666)</f>
        <v>43221.572916666599</v>
      </c>
      <c r="K55" t="str">
        <f ca="1">IFERROR(__xludf.DUMMYFUNCTION("""COMPUTED_VALUE"""),"20ft Sea Ark FL5351SJ UNF 2015")</f>
        <v>20ft Sea Ark FL5351SJ UNF 2015</v>
      </c>
      <c r="M55" t="str">
        <f ca="1">IFERROR(__xludf.DUMMYFUNCTION("""COMPUTED_VALUE"""),"Ford F250 2017 (Moby Dix) - DEP0021578")</f>
        <v>Ford F250 2017 (Moby Dix) - DEP0021578</v>
      </c>
      <c r="N55" t="str">
        <f ca="1">IFERROR(__xludf.DUMMYFUNCTION("""COMPUTED_VALUE"""),"Silas Tanner, (904) 483-8423, Remo Mondazi")</f>
        <v>Silas Tanner, (904) 483-8423, Remo Mondazi</v>
      </c>
      <c r="P55" t="str">
        <f ca="1">IFERROR(__xludf.DUMMYFUNCTION("""COMPUTED_VALUE"""),"Silas Tanner")</f>
        <v>Silas Tanner</v>
      </c>
      <c r="Q55" t="str">
        <f ca="1">IFERROR(__xludf.DUMMYFUNCTION("""COMPUTED_VALUE"""),"Good")</f>
        <v>Good</v>
      </c>
      <c r="R55" t="str">
        <f ca="1">IFERROR(__xludf.DUMMYFUNCTION("""COMPUTED_VALUE"""),"Good")</f>
        <v>Good</v>
      </c>
      <c r="S55" t="str">
        <f ca="1">IFERROR(__xludf.DUMMYFUNCTION("""COMPUTED_VALUE"""),"Good")</f>
        <v>Good</v>
      </c>
      <c r="T55" t="str">
        <f ca="1">IFERROR(__xludf.DUMMYFUNCTION("""COMPUTED_VALUE"""),"Good")</f>
        <v>Good</v>
      </c>
      <c r="U55" t="str">
        <f ca="1">IFERROR(__xludf.DUMMYFUNCTION("""COMPUTED_VALUE"""),"Good")</f>
        <v>Good</v>
      </c>
      <c r="V55" t="str">
        <f ca="1">IFERROR(__xludf.DUMMYFUNCTION("""COMPUTED_VALUE"""),"Good")</f>
        <v>Good</v>
      </c>
      <c r="W55" t="str">
        <f ca="1">IFERROR(__xludf.DUMMYFUNCTION("""COMPUTED_VALUE"""),"Good")</f>
        <v>Good</v>
      </c>
      <c r="X55" t="str">
        <f ca="1">IFERROR(__xludf.DUMMYFUNCTION("""COMPUTED_VALUE"""),"Good")</f>
        <v>Good</v>
      </c>
      <c r="Y55" t="str">
        <f ca="1">IFERROR(__xludf.DUMMYFUNCTION("""COMPUTED_VALUE"""),"Good")</f>
        <v>Good</v>
      </c>
      <c r="Z55" t="str">
        <f ca="1">IFERROR(__xludf.DUMMYFUNCTION("""COMPUTED_VALUE"""),"Good")</f>
        <v>Good</v>
      </c>
      <c r="AA55" t="str">
        <f ca="1">IFERROR(__xludf.DUMMYFUNCTION("""COMPUTED_VALUE"""),"Good")</f>
        <v>Good</v>
      </c>
      <c r="AB55" t="str">
        <f ca="1">IFERROR(__xludf.DUMMYFUNCTION("""COMPUTED_VALUE"""),"Good")</f>
        <v>Good</v>
      </c>
      <c r="AC55" t="str">
        <f ca="1">IFERROR(__xludf.DUMMYFUNCTION("""COMPUTED_VALUE"""),"Good")</f>
        <v>Good</v>
      </c>
      <c r="AE55" s="11"/>
      <c r="AF55" t="str">
        <v>Nikki.Dix@floridadep.gov</v>
      </c>
      <c r="AG55" s="17" t="s">
        <v>17</v>
      </c>
      <c r="AH55" s="12"/>
      <c r="AI55" s="12" t="s">
        <v>98</v>
      </c>
      <c r="AJ55" s="19" t="s">
        <v>99</v>
      </c>
      <c r="AK55" s="20" t="str">
        <f>HYPERLINK("https://docs.google.com/document/d/15XlgdKXD7KIdSk2IIAY4JghUF2KIMnTCytAv-cTrJKA/edit?usp=drivesdk","Silas Tanner - 5/1/2018 9:15 AM")</f>
        <v>Silas Tanner - 5/1/2018 9:15 AM</v>
      </c>
      <c r="AL55" s="12" t="s">
        <v>100</v>
      </c>
    </row>
    <row r="56" spans="1:38" ht="12.75">
      <c r="A56" s="10">
        <f ca="1">IFERROR(__xludf.DUMMYFUNCTION("""COMPUTED_VALUE"""),43221.4103299884)</f>
        <v>43221.410329988401</v>
      </c>
      <c r="B56" s="11" t="str">
        <f ca="1">IFERROR(__xludf.DUMMYFUNCTION("""COMPUTED_VALUE"""),"Ben Mowbray")</f>
        <v>Ben Mowbray</v>
      </c>
      <c r="C56" t="str">
        <f ca="1">IFERROR(__xludf.DUMMYFUNCTION("""COMPUTED_VALUE"""),"ben.mowbray@dep.state.fl.us")</f>
        <v>ben.mowbray@dep.state.fl.us</v>
      </c>
      <c r="D56" t="str">
        <f ca="1">IFERROR(__xludf.DUMMYFUNCTION("""COMPUTED_VALUE"""),"Research")</f>
        <v>Research</v>
      </c>
      <c r="E56" t="str">
        <f ca="1">IFERROR(__xludf.DUMMYFUNCTION("""COMPUTED_VALUE"""),"Vilano")</f>
        <v>Vilano</v>
      </c>
      <c r="F56" s="13">
        <f ca="1">IFERROR(__xludf.DUMMYFUNCTION("""COMPUTED_VALUE"""),0.430555555554747)</f>
        <v>0.430555555554747</v>
      </c>
      <c r="G56" s="14">
        <f ca="1">IFERROR(__xludf.DUMMYFUNCTION("""COMPUTED_VALUE"""),43221)</f>
        <v>43221</v>
      </c>
      <c r="H56" t="str">
        <f ca="1">IFERROR(__xludf.DUMMYFUNCTION("""COMPUTED_VALUE"""),"Check Off")</f>
        <v>Check Off</v>
      </c>
      <c r="I56" s="15">
        <f ca="1">IFERROR(__xludf.DUMMYFUNCTION("""COMPUTED_VALUE"""),0.5)</f>
        <v>0.5</v>
      </c>
      <c r="J56" s="16">
        <f ca="1">IFERROR(__xludf.DUMMYFUNCTION("""COMPUTED_VALUE"""),43221.2173611111)</f>
        <v>43221.217361111099</v>
      </c>
      <c r="K56" t="str">
        <f ca="1">IFERROR(__xludf.DUMMYFUNCTION("""COMPUTED_VALUE"""),"23ft Skiff (Bertha) FL7972LJ DEP07613")</f>
        <v>23ft Skiff (Bertha) FL7972LJ DEP07613</v>
      </c>
      <c r="M56" t="str">
        <f ca="1">IFERROR(__xludf.DUMMYFUNCTION("""COMPUTED_VALUE"""),"Ford 150 2007 with covered cap - DEP06870")</f>
        <v>Ford 150 2007 with covered cap - DEP06870</v>
      </c>
      <c r="N56" t="str">
        <f ca="1">IFERROR(__xludf.DUMMYFUNCTION("""COMPUTED_VALUE"""),"Joseph Burgess, (904) 599-2723, Ben Mowbray, (407) 962-8782")</f>
        <v>Joseph Burgess, (904) 599-2723, Ben Mowbray, (407) 962-8782</v>
      </c>
      <c r="O56" t="str">
        <f ca="1">IFERROR(__xludf.DUMMYFUNCTION("""COMPUTED_VALUE"""),"Benjamin Mowbray, (407) 962-8782, Joseph Burgess, (904) 599-2723")</f>
        <v>Benjamin Mowbray, (407) 962-8782, Joseph Burgess, (904) 599-2723</v>
      </c>
      <c r="P56" t="str">
        <f ca="1">IFERROR(__xludf.DUMMYFUNCTION("""COMPUTED_VALUE"""),"Ben Mowbray")</f>
        <v>Ben Mowbray</v>
      </c>
      <c r="Q56" t="str">
        <f ca="1">IFERROR(__xludf.DUMMYFUNCTION("""COMPUTED_VALUE"""),"Good")</f>
        <v>Good</v>
      </c>
      <c r="R56" t="str">
        <f ca="1">IFERROR(__xludf.DUMMYFUNCTION("""COMPUTED_VALUE"""),"Good")</f>
        <v>Good</v>
      </c>
      <c r="S56" t="str">
        <f ca="1">IFERROR(__xludf.DUMMYFUNCTION("""COMPUTED_VALUE"""),"Good")</f>
        <v>Good</v>
      </c>
      <c r="T56" t="str">
        <f ca="1">IFERROR(__xludf.DUMMYFUNCTION("""COMPUTED_VALUE"""),"Good")</f>
        <v>Good</v>
      </c>
      <c r="U56" t="str">
        <f ca="1">IFERROR(__xludf.DUMMYFUNCTION("""COMPUTED_VALUE"""),"Good")</f>
        <v>Good</v>
      </c>
      <c r="V56" t="str">
        <f ca="1">IFERROR(__xludf.DUMMYFUNCTION("""COMPUTED_VALUE"""),"Good")</f>
        <v>Good</v>
      </c>
      <c r="W56" t="str">
        <f ca="1">IFERROR(__xludf.DUMMYFUNCTION("""COMPUTED_VALUE"""),"Good")</f>
        <v>Good</v>
      </c>
      <c r="X56" t="str">
        <f ca="1">IFERROR(__xludf.DUMMYFUNCTION("""COMPUTED_VALUE"""),"Good")</f>
        <v>Good</v>
      </c>
      <c r="Y56" t="str">
        <f ca="1">IFERROR(__xludf.DUMMYFUNCTION("""COMPUTED_VALUE"""),"Good")</f>
        <v>Good</v>
      </c>
      <c r="Z56" t="str">
        <f ca="1">IFERROR(__xludf.DUMMYFUNCTION("""COMPUTED_VALUE"""),"Good")</f>
        <v>Good</v>
      </c>
      <c r="AA56" t="str">
        <f ca="1">IFERROR(__xludf.DUMMYFUNCTION("""COMPUTED_VALUE"""),"Good")</f>
        <v>Good</v>
      </c>
      <c r="AB56" t="str">
        <f ca="1">IFERROR(__xludf.DUMMYFUNCTION("""COMPUTED_VALUE"""),"Good")</f>
        <v>Good</v>
      </c>
      <c r="AC56" t="str">
        <f ca="1">IFERROR(__xludf.DUMMYFUNCTION("""COMPUTED_VALUE"""),"Good")</f>
        <v>Good</v>
      </c>
      <c r="AE56" s="11"/>
      <c r="AF56" t="str">
        <v>Nikki.Dix@floridadep.gov</v>
      </c>
      <c r="AG56" s="17" t="s">
        <v>17</v>
      </c>
      <c r="AH56" s="12"/>
      <c r="AI56" s="12" t="s">
        <v>101</v>
      </c>
      <c r="AJ56" s="19" t="s">
        <v>102</v>
      </c>
      <c r="AK56" s="20" t="str">
        <f>HYPERLINK("https://docs.google.com/document/d/1v2wrRH98Mb6W56K8yPZheM1Zp9pKLMkjPI3HLleM2-E/edit?usp=drivesdk","Ben Mowbray - 5/1/2018 10:20 AM")</f>
        <v>Ben Mowbray - 5/1/2018 10:20 AM</v>
      </c>
      <c r="AL56" s="12" t="s">
        <v>103</v>
      </c>
    </row>
    <row r="57" spans="1:38" ht="12.75">
      <c r="A57" s="10">
        <f ca="1">IFERROR(__xludf.DUMMYFUNCTION("""COMPUTED_VALUE"""),43221.7139232407)</f>
        <v>43221.713923240699</v>
      </c>
      <c r="B57" s="11" t="str">
        <f ca="1">IFERROR(__xludf.DUMMYFUNCTION("""COMPUTED_VALUE"""),"Pamela Marcum")</f>
        <v>Pamela Marcum</v>
      </c>
      <c r="C57" t="str">
        <f ca="1">IFERROR(__xludf.DUMMYFUNCTION("""COMPUTED_VALUE"""),"Pamela.Marcum@Dep.state.fl.us")</f>
        <v>Pamela.Marcum@Dep.state.fl.us</v>
      </c>
      <c r="D57" t="str">
        <f ca="1">IFERROR(__xludf.DUMMYFUNCTION("""COMPUTED_VALUE"""),"Research")</f>
        <v>Research</v>
      </c>
      <c r="E57" t="str">
        <f ca="1">IFERROR(__xludf.DUMMYFUNCTION("""COMPUTED_VALUE"""),"Crane Park/Shore Drive")</f>
        <v>Crane Park/Shore Drive</v>
      </c>
      <c r="F57" s="13">
        <f ca="1">IFERROR(__xludf.DUMMYFUNCTION("""COMPUTED_VALUE"""),0.375)</f>
        <v>0.375</v>
      </c>
      <c r="G57" s="14">
        <f ca="1">IFERROR(__xludf.DUMMYFUNCTION("""COMPUTED_VALUE"""),43222)</f>
        <v>43222</v>
      </c>
      <c r="H57" t="str">
        <f ca="1">IFERROR(__xludf.DUMMYFUNCTION("""COMPUTED_VALUE"""),"Matanzas River Marshes")</f>
        <v>Matanzas River Marshes</v>
      </c>
      <c r="I57" s="15">
        <f ca="1">IFERROR(__xludf.DUMMYFUNCTION("""COMPUTED_VALUE"""),0.625)</f>
        <v>0.625</v>
      </c>
      <c r="J57" s="16">
        <f ca="1">IFERROR(__xludf.DUMMYFUNCTION("""COMPUTED_VALUE"""),43222.6666666666)</f>
        <v>43222.666666666599</v>
      </c>
      <c r="K57" t="str">
        <f ca="1">IFERROR(__xludf.DUMMYFUNCTION("""COMPUTED_VALUE"""),"20ft Sea Ark FL5351SJ UNF 2015")</f>
        <v>20ft Sea Ark FL5351SJ UNF 2015</v>
      </c>
      <c r="M57" t="str">
        <f ca="1">IFERROR(__xludf.DUMMYFUNCTION("""COMPUTED_VALUE"""),"Ford F250 2017 (Moby Dix) - DEP0021578")</f>
        <v>Ford F250 2017 (Moby Dix) - DEP0021578</v>
      </c>
      <c r="N57" t="str">
        <f ca="1">IFERROR(__xludf.DUMMYFUNCTION("""COMPUTED_VALUE"""),"Pam Marcum, (480) 332-5414, Ben Mowbray, (407) 962-8782")</f>
        <v>Pam Marcum, (480) 332-5414, Ben Mowbray, (407) 962-8782</v>
      </c>
      <c r="O57" t="str">
        <f ca="1">IFERROR(__xludf.DUMMYFUNCTION("""COMPUTED_VALUE"""),"Gabriela Canas, (904) 891-9743")</f>
        <v>Gabriela Canas, (904) 891-9743</v>
      </c>
      <c r="P57" t="str">
        <f ca="1">IFERROR(__xludf.DUMMYFUNCTION("""COMPUTED_VALUE"""),"Ben Mowbray")</f>
        <v>Ben Mowbray</v>
      </c>
      <c r="Q57" t="str">
        <f ca="1">IFERROR(__xludf.DUMMYFUNCTION("""COMPUTED_VALUE"""),"Good")</f>
        <v>Good</v>
      </c>
      <c r="R57" t="str">
        <f ca="1">IFERROR(__xludf.DUMMYFUNCTION("""COMPUTED_VALUE"""),"Good")</f>
        <v>Good</v>
      </c>
      <c r="S57" t="str">
        <f ca="1">IFERROR(__xludf.DUMMYFUNCTION("""COMPUTED_VALUE"""),"Good")</f>
        <v>Good</v>
      </c>
      <c r="T57" t="str">
        <f ca="1">IFERROR(__xludf.DUMMYFUNCTION("""COMPUTED_VALUE"""),"Good")</f>
        <v>Good</v>
      </c>
      <c r="U57" t="str">
        <f ca="1">IFERROR(__xludf.DUMMYFUNCTION("""COMPUTED_VALUE"""),"Good")</f>
        <v>Good</v>
      </c>
      <c r="V57" t="str">
        <f ca="1">IFERROR(__xludf.DUMMYFUNCTION("""COMPUTED_VALUE"""),"Good")</f>
        <v>Good</v>
      </c>
      <c r="W57" t="str">
        <f ca="1">IFERROR(__xludf.DUMMYFUNCTION("""COMPUTED_VALUE"""),"Good")</f>
        <v>Good</v>
      </c>
      <c r="X57" t="str">
        <f ca="1">IFERROR(__xludf.DUMMYFUNCTION("""COMPUTED_VALUE"""),"Good")</f>
        <v>Good</v>
      </c>
      <c r="Y57" t="str">
        <f ca="1">IFERROR(__xludf.DUMMYFUNCTION("""COMPUTED_VALUE"""),"Good")</f>
        <v>Good</v>
      </c>
      <c r="Z57" t="str">
        <f ca="1">IFERROR(__xludf.DUMMYFUNCTION("""COMPUTED_VALUE"""),"Good")</f>
        <v>Good</v>
      </c>
      <c r="AA57" t="str">
        <f ca="1">IFERROR(__xludf.DUMMYFUNCTION("""COMPUTED_VALUE"""),"Good")</f>
        <v>Good</v>
      </c>
      <c r="AB57" t="str">
        <f ca="1">IFERROR(__xludf.DUMMYFUNCTION("""COMPUTED_VALUE"""),"Good")</f>
        <v>Good</v>
      </c>
      <c r="AC57" t="str">
        <f ca="1">IFERROR(__xludf.DUMMYFUNCTION("""COMPUTED_VALUE"""),"Good")</f>
        <v>Good</v>
      </c>
      <c r="AE57" s="11"/>
      <c r="AF57" t="str">
        <v>Nikki.Dix@floridadep.gov</v>
      </c>
      <c r="AG57" s="17" t="s">
        <v>41</v>
      </c>
      <c r="AH57" s="12"/>
      <c r="AI57" s="12" t="s">
        <v>104</v>
      </c>
      <c r="AJ57" s="19" t="s">
        <v>105</v>
      </c>
      <c r="AK57" s="20" t="str">
        <f>HYPERLINK("https://docs.google.com/document/d/1v_EdmdvVGzhAN3sdHRshOKc3HcBBu2-dgl8Cd4de5UM/edit?usp=drivesdk","Pamela Marcum - 5/2/2018 9:00 AM")</f>
        <v>Pamela Marcum - 5/2/2018 9:00 AM</v>
      </c>
      <c r="AL57" s="12" t="s">
        <v>106</v>
      </c>
    </row>
    <row r="58" spans="1:38" ht="12.75">
      <c r="A58" s="10">
        <f ca="1">IFERROR(__xludf.DUMMYFUNCTION("""COMPUTED_VALUE"""),43223.3730821759)</f>
        <v>43223.373082175902</v>
      </c>
      <c r="B58" s="11" t="str">
        <f ca="1">IFERROR(__xludf.DUMMYFUNCTION("""COMPUTED_VALUE"""),"Pamela Marcum")</f>
        <v>Pamela Marcum</v>
      </c>
      <c r="C58" t="str">
        <f ca="1">IFERROR(__xludf.DUMMYFUNCTION("""COMPUTED_VALUE"""),"Pamela.Marcum@dep.state.fl.us")</f>
        <v>Pamela.Marcum@dep.state.fl.us</v>
      </c>
      <c r="D58" t="str">
        <f ca="1">IFERROR(__xludf.DUMMYFUNCTION("""COMPUTED_VALUE"""),"Research")</f>
        <v>Research</v>
      </c>
      <c r="E58" t="str">
        <f ca="1">IFERROR(__xludf.DUMMYFUNCTION("""COMPUTED_VALUE"""),"Faver-Dykes State Park")</f>
        <v>Faver-Dykes State Park</v>
      </c>
      <c r="F58" s="13">
        <f ca="1">IFERROR(__xludf.DUMMYFUNCTION("""COMPUTED_VALUE"""),0.45833333333212)</f>
        <v>0.45833333333212001</v>
      </c>
      <c r="G58" s="14">
        <f ca="1">IFERROR(__xludf.DUMMYFUNCTION("""COMPUTED_VALUE"""),43223)</f>
        <v>43223</v>
      </c>
      <c r="H58" t="str">
        <f ca="1">IFERROR(__xludf.DUMMYFUNCTION("""COMPUTED_VALUE"""),"Pellicer Creek")</f>
        <v>Pellicer Creek</v>
      </c>
      <c r="I58" s="15">
        <f ca="1">IFERROR(__xludf.DUMMYFUNCTION("""COMPUTED_VALUE"""),0.666666666667879)</f>
        <v>0.66666666666787899</v>
      </c>
      <c r="J58" s="16">
        <f ca="1">IFERROR(__xludf.DUMMYFUNCTION("""COMPUTED_VALUE"""),43223.7083333333)</f>
        <v>43223.708333333299</v>
      </c>
      <c r="K58" t="str">
        <f ca="1">IFERROR(__xludf.DUMMYFUNCTION("""COMPUTED_VALUE"""),"20ft Sea Ark FL5351SJ UNF 2015")</f>
        <v>20ft Sea Ark FL5351SJ UNF 2015</v>
      </c>
      <c r="M58" t="str">
        <f ca="1">IFERROR(__xludf.DUMMYFUNCTION("""COMPUTED_VALUE"""),"Ford F250 2017 (Moby Dix) - DEP0021578")</f>
        <v>Ford F250 2017 (Moby Dix) - DEP0021578</v>
      </c>
      <c r="N58" t="str">
        <f ca="1">IFERROR(__xludf.DUMMYFUNCTION("""COMPUTED_VALUE"""),"Pam Marcum, (480) 332-5414, Ben Mowbray, (407) 962-8782")</f>
        <v>Pam Marcum, (480) 332-5414, Ben Mowbray, (407) 962-8782</v>
      </c>
      <c r="P58" t="str">
        <f ca="1">IFERROR(__xludf.DUMMYFUNCTION("""COMPUTED_VALUE"""),"Ben Mowbray")</f>
        <v>Ben Mowbray</v>
      </c>
      <c r="Q58" t="str">
        <f ca="1">IFERROR(__xludf.DUMMYFUNCTION("""COMPUTED_VALUE"""),"Good")</f>
        <v>Good</v>
      </c>
      <c r="R58" t="str">
        <f ca="1">IFERROR(__xludf.DUMMYFUNCTION("""COMPUTED_VALUE"""),"Good")</f>
        <v>Good</v>
      </c>
      <c r="S58" t="str">
        <f ca="1">IFERROR(__xludf.DUMMYFUNCTION("""COMPUTED_VALUE"""),"Good")</f>
        <v>Good</v>
      </c>
      <c r="T58" t="str">
        <f ca="1">IFERROR(__xludf.DUMMYFUNCTION("""COMPUTED_VALUE"""),"Good")</f>
        <v>Good</v>
      </c>
      <c r="U58" t="str">
        <f ca="1">IFERROR(__xludf.DUMMYFUNCTION("""COMPUTED_VALUE"""),"Good")</f>
        <v>Good</v>
      </c>
      <c r="V58" t="str">
        <f ca="1">IFERROR(__xludf.DUMMYFUNCTION("""COMPUTED_VALUE"""),"Good")</f>
        <v>Good</v>
      </c>
      <c r="W58" t="str">
        <f ca="1">IFERROR(__xludf.DUMMYFUNCTION("""COMPUTED_VALUE"""),"Good")</f>
        <v>Good</v>
      </c>
      <c r="X58" t="str">
        <f ca="1">IFERROR(__xludf.DUMMYFUNCTION("""COMPUTED_VALUE"""),"Good")</f>
        <v>Good</v>
      </c>
      <c r="Y58" t="str">
        <f ca="1">IFERROR(__xludf.DUMMYFUNCTION("""COMPUTED_VALUE"""),"Good")</f>
        <v>Good</v>
      </c>
      <c r="Z58" t="str">
        <f ca="1">IFERROR(__xludf.DUMMYFUNCTION("""COMPUTED_VALUE"""),"Good")</f>
        <v>Good</v>
      </c>
      <c r="AA58" t="str">
        <f ca="1">IFERROR(__xludf.DUMMYFUNCTION("""COMPUTED_VALUE"""),"Good")</f>
        <v>Good</v>
      </c>
      <c r="AB58" t="str">
        <f ca="1">IFERROR(__xludf.DUMMYFUNCTION("""COMPUTED_VALUE"""),"Good")</f>
        <v>Good</v>
      </c>
      <c r="AC58" t="str">
        <f ca="1">IFERROR(__xludf.DUMMYFUNCTION("""COMPUTED_VALUE"""),"Good")</f>
        <v>Good</v>
      </c>
      <c r="AE58" s="11"/>
      <c r="AF58" t="str">
        <v>Nikki.Dix@floridadep.gov</v>
      </c>
      <c r="AG58" s="17" t="s">
        <v>17</v>
      </c>
      <c r="AH58" s="12"/>
      <c r="AI58" s="12" t="s">
        <v>107</v>
      </c>
      <c r="AJ58" s="19" t="s">
        <v>108</v>
      </c>
      <c r="AK58" s="20" t="str">
        <f>HYPERLINK("https://docs.google.com/document/d/1aRzzSkR4_IR2TrYGXtPq9lf_h_sywa9CZFinxHZ5IvA/edit?usp=drivesdk","Pamela Marcum - 5/3/2018 11:00 AM")</f>
        <v>Pamela Marcum - 5/3/2018 11:00 AM</v>
      </c>
      <c r="AL58" s="12" t="s">
        <v>109</v>
      </c>
    </row>
    <row r="59" spans="1:38" ht="12.75">
      <c r="A59" s="10">
        <f ca="1">IFERROR(__xludf.DUMMYFUNCTION("""COMPUTED_VALUE"""),43224.3894437037)</f>
        <v>43224.389443703702</v>
      </c>
      <c r="B59" s="11" t="str">
        <f ca="1">IFERROR(__xludf.DUMMYFUNCTION("""COMPUTED_VALUE"""),"Pamela Marcum")</f>
        <v>Pamela Marcum</v>
      </c>
      <c r="C59" t="str">
        <f ca="1">IFERROR(__xludf.DUMMYFUNCTION("""COMPUTED_VALUE"""),"Pamela.Marcum@dep.state.fl.us")</f>
        <v>Pamela.Marcum@dep.state.fl.us</v>
      </c>
      <c r="D59" t="str">
        <f ca="1">IFERROR(__xludf.DUMMYFUNCTION("""COMPUTED_VALUE"""),"Research")</f>
        <v>Research</v>
      </c>
      <c r="E59" t="str">
        <f ca="1">IFERROR(__xludf.DUMMYFUNCTION("""COMPUTED_VALUE"""),"Faer-Dykes State Park")</f>
        <v>Faer-Dykes State Park</v>
      </c>
      <c r="F59" s="13">
        <f ca="1">IFERROR(__xludf.DUMMYFUNCTION("""COMPUTED_VALUE"""),0.416666666667879)</f>
        <v>0.41666666666787899</v>
      </c>
      <c r="G59" s="14">
        <f ca="1">IFERROR(__xludf.DUMMYFUNCTION("""COMPUTED_VALUE"""),43224)</f>
        <v>43224</v>
      </c>
      <c r="H59" t="str">
        <f ca="1">IFERROR(__xludf.DUMMYFUNCTION("""COMPUTED_VALUE"""),"Pellicer Creek Transects")</f>
        <v>Pellicer Creek Transects</v>
      </c>
      <c r="I59" s="15">
        <f ca="1">IFERROR(__xludf.DUMMYFUNCTION("""COMPUTED_VALUE"""),0.666666666667879)</f>
        <v>0.66666666666787899</v>
      </c>
      <c r="J59" s="16">
        <f ca="1">IFERROR(__xludf.DUMMYFUNCTION("""COMPUTED_VALUE"""),43224.7083333333)</f>
        <v>43224.708333333299</v>
      </c>
      <c r="M59" t="str">
        <f ca="1">IFERROR(__xludf.DUMMYFUNCTION("""COMPUTED_VALUE"""),"Ford F250 2017 (Moby Dix) - DEP0021578")</f>
        <v>Ford F250 2017 (Moby Dix) - DEP0021578</v>
      </c>
      <c r="N59" t="str">
        <f ca="1">IFERROR(__xludf.DUMMYFUNCTION("""COMPUTED_VALUE"""),"Pam Marcum, (480) 332-5414")</f>
        <v>Pam Marcum, (480) 332-5414</v>
      </c>
      <c r="O59" t="str">
        <f ca="1">IFERROR(__xludf.DUMMYFUNCTION("""COMPUTED_VALUE"""),"Annie Otto")</f>
        <v>Annie Otto</v>
      </c>
      <c r="P59" t="str">
        <f ca="1">IFERROR(__xludf.DUMMYFUNCTION("""COMPUTED_VALUE"""),"Pam Marcum")</f>
        <v>Pam Marcum</v>
      </c>
      <c r="Q59" t="str">
        <f ca="1">IFERROR(__xludf.DUMMYFUNCTION("""COMPUTED_VALUE"""),"Good")</f>
        <v>Good</v>
      </c>
      <c r="R59" t="str">
        <f ca="1">IFERROR(__xludf.DUMMYFUNCTION("""COMPUTED_VALUE"""),"Good")</f>
        <v>Good</v>
      </c>
      <c r="S59" t="str">
        <f ca="1">IFERROR(__xludf.DUMMYFUNCTION("""COMPUTED_VALUE"""),"Good")</f>
        <v>Good</v>
      </c>
      <c r="T59" t="str">
        <f ca="1">IFERROR(__xludf.DUMMYFUNCTION("""COMPUTED_VALUE"""),"Good")</f>
        <v>Good</v>
      </c>
      <c r="U59" t="str">
        <f ca="1">IFERROR(__xludf.DUMMYFUNCTION("""COMPUTED_VALUE"""),"Good")</f>
        <v>Good</v>
      </c>
      <c r="V59" t="str">
        <f ca="1">IFERROR(__xludf.DUMMYFUNCTION("""COMPUTED_VALUE"""),"Good")</f>
        <v>Good</v>
      </c>
      <c r="W59" t="str">
        <f ca="1">IFERROR(__xludf.DUMMYFUNCTION("""COMPUTED_VALUE"""),"Good")</f>
        <v>Good</v>
      </c>
      <c r="X59" t="str">
        <f ca="1">IFERROR(__xludf.DUMMYFUNCTION("""COMPUTED_VALUE"""),"Good")</f>
        <v>Good</v>
      </c>
      <c r="Y59" t="str">
        <f ca="1">IFERROR(__xludf.DUMMYFUNCTION("""COMPUTED_VALUE"""),"Good")</f>
        <v>Good</v>
      </c>
      <c r="Z59" t="str">
        <f ca="1">IFERROR(__xludf.DUMMYFUNCTION("""COMPUTED_VALUE"""),"Good")</f>
        <v>Good</v>
      </c>
      <c r="AA59" t="str">
        <f ca="1">IFERROR(__xludf.DUMMYFUNCTION("""COMPUTED_VALUE"""),"Good")</f>
        <v>Good</v>
      </c>
      <c r="AB59" t="str">
        <f ca="1">IFERROR(__xludf.DUMMYFUNCTION("""COMPUTED_VALUE"""),"Good")</f>
        <v>Good</v>
      </c>
      <c r="AC59" t="str">
        <f ca="1">IFERROR(__xludf.DUMMYFUNCTION("""COMPUTED_VALUE"""),"Good")</f>
        <v>Good</v>
      </c>
      <c r="AE59" s="11"/>
      <c r="AF59" t="str">
        <v>Nikki.Dix@floridadep.gov</v>
      </c>
      <c r="AG59" s="17" t="s">
        <v>41</v>
      </c>
      <c r="AH59" s="12"/>
      <c r="AI59" s="12" t="s">
        <v>110</v>
      </c>
      <c r="AJ59" s="19" t="s">
        <v>111</v>
      </c>
      <c r="AK59" s="20" t="str">
        <f>HYPERLINK("https://docs.google.com/document/d/1UxSihKYLLd3ptxsJHs_8U8O3j5OHfzHKbjnt5FECBbs/edit?usp=drivesdk","Pamela Marcum - 5/4/2018 10:00 AM")</f>
        <v>Pamela Marcum - 5/4/2018 10:00 AM</v>
      </c>
      <c r="AL59" s="12" t="s">
        <v>112</v>
      </c>
    </row>
    <row r="60" spans="1:38" ht="12.75">
      <c r="A60" s="10">
        <f ca="1">IFERROR(__xludf.DUMMYFUNCTION("""COMPUTED_VALUE"""),43228.3507740046)</f>
        <v>43228.350774004597</v>
      </c>
      <c r="B60" s="11" t="str">
        <f ca="1">IFERROR(__xludf.DUMMYFUNCTION("""COMPUTED_VALUE"""),"Ben Mowbray")</f>
        <v>Ben Mowbray</v>
      </c>
      <c r="C60" t="str">
        <f ca="1">IFERROR(__xludf.DUMMYFUNCTION("""COMPUTED_VALUE"""),"ben.mowbray@dep.state.fl.us")</f>
        <v>ben.mowbray@dep.state.fl.us</v>
      </c>
      <c r="D60" t="str">
        <f ca="1">IFERROR(__xludf.DUMMYFUNCTION("""COMPUTED_VALUE"""),"Research")</f>
        <v>Research</v>
      </c>
      <c r="E60" t="str">
        <f ca="1">IFERROR(__xludf.DUMMYFUNCTION("""COMPUTED_VALUE"""),"Aunt Kate's")</f>
        <v>Aunt Kate's</v>
      </c>
      <c r="F60" s="13">
        <f ca="1">IFERROR(__xludf.DUMMYFUNCTION("""COMPUTED_VALUE"""),0.388888888890505)</f>
        <v>0.38888888889050499</v>
      </c>
      <c r="G60" s="14">
        <f ca="1">IFERROR(__xludf.DUMMYFUNCTION("""COMPUTED_VALUE"""),43228)</f>
        <v>43228</v>
      </c>
      <c r="H60" t="str">
        <f ca="1">IFERROR(__xludf.DUMMYFUNCTION("""COMPUTED_VALUE"""),"Spat Run")</f>
        <v>Spat Run</v>
      </c>
      <c r="I60" s="15">
        <f ca="1">IFERROR(__xludf.DUMMYFUNCTION("""COMPUTED_VALUE"""),0.604166666667879)</f>
        <v>0.60416666666787899</v>
      </c>
      <c r="J60" s="16">
        <f ca="1">IFERROR(__xludf.DUMMYFUNCTION("""COMPUTED_VALUE"""),43228.1180555555)</f>
        <v>43228.118055555497</v>
      </c>
      <c r="K60" t="str">
        <f ca="1">IFERROR(__xludf.DUMMYFUNCTION("""COMPUTED_VALUE"""),"20ft Sea Ark FL5351SJ UNF 2015")</f>
        <v>20ft Sea Ark FL5351SJ UNF 2015</v>
      </c>
      <c r="M60" t="str">
        <f ca="1">IFERROR(__xludf.DUMMYFUNCTION("""COMPUTED_VALUE"""),"Ford F250 2017 (Moby Dix) - DEP0021578")</f>
        <v>Ford F250 2017 (Moby Dix) - DEP0021578</v>
      </c>
      <c r="N60" t="str">
        <f ca="1">IFERROR(__xludf.DUMMYFUNCTION("""COMPUTED_VALUE"""),"Ben Mowbray, (407) 962-8782")</f>
        <v>Ben Mowbray, (407) 962-8782</v>
      </c>
      <c r="O60" t="str">
        <f ca="1">IFERROR(__xludf.DUMMYFUNCTION("""COMPUTED_VALUE"""),"Remo and Sam")</f>
        <v>Remo and Sam</v>
      </c>
      <c r="P60" t="str">
        <f ca="1">IFERROR(__xludf.DUMMYFUNCTION("""COMPUTED_VALUE"""),"Ben")</f>
        <v>Ben</v>
      </c>
      <c r="Q60" t="str">
        <f ca="1">IFERROR(__xludf.DUMMYFUNCTION("""COMPUTED_VALUE"""),"Good")</f>
        <v>Good</v>
      </c>
      <c r="R60" t="str">
        <f ca="1">IFERROR(__xludf.DUMMYFUNCTION("""COMPUTED_VALUE"""),"Good")</f>
        <v>Good</v>
      </c>
      <c r="S60" t="str">
        <f ca="1">IFERROR(__xludf.DUMMYFUNCTION("""COMPUTED_VALUE"""),"Good")</f>
        <v>Good</v>
      </c>
      <c r="T60" t="str">
        <f ca="1">IFERROR(__xludf.DUMMYFUNCTION("""COMPUTED_VALUE"""),"Good")</f>
        <v>Good</v>
      </c>
      <c r="U60" t="str">
        <f ca="1">IFERROR(__xludf.DUMMYFUNCTION("""COMPUTED_VALUE"""),"Good")</f>
        <v>Good</v>
      </c>
      <c r="V60" t="str">
        <f ca="1">IFERROR(__xludf.DUMMYFUNCTION("""COMPUTED_VALUE"""),"Good")</f>
        <v>Good</v>
      </c>
      <c r="W60" t="str">
        <f ca="1">IFERROR(__xludf.DUMMYFUNCTION("""COMPUTED_VALUE"""),"Good")</f>
        <v>Good</v>
      </c>
      <c r="X60" t="str">
        <f ca="1">IFERROR(__xludf.DUMMYFUNCTION("""COMPUTED_VALUE"""),"Good")</f>
        <v>Good</v>
      </c>
      <c r="Y60" t="str">
        <f ca="1">IFERROR(__xludf.DUMMYFUNCTION("""COMPUTED_VALUE"""),"Good")</f>
        <v>Good</v>
      </c>
      <c r="Z60" t="str">
        <f ca="1">IFERROR(__xludf.DUMMYFUNCTION("""COMPUTED_VALUE"""),"Good")</f>
        <v>Good</v>
      </c>
      <c r="AA60" t="str">
        <f ca="1">IFERROR(__xludf.DUMMYFUNCTION("""COMPUTED_VALUE"""),"Good")</f>
        <v>Good</v>
      </c>
      <c r="AB60" t="str">
        <f ca="1">IFERROR(__xludf.DUMMYFUNCTION("""COMPUTED_VALUE"""),"Good")</f>
        <v>Good</v>
      </c>
      <c r="AC60" t="str">
        <f ca="1">IFERROR(__xludf.DUMMYFUNCTION("""COMPUTED_VALUE"""),"Good")</f>
        <v>Good</v>
      </c>
      <c r="AE60" s="11"/>
      <c r="AF60" t="str">
        <v>Nikki.Dix@floridadep.gov</v>
      </c>
      <c r="AG60" s="17" t="s">
        <v>113</v>
      </c>
      <c r="AH60" s="12"/>
      <c r="AI60" s="12" t="s">
        <v>114</v>
      </c>
      <c r="AJ60" s="19" t="s">
        <v>115</v>
      </c>
      <c r="AK60" s="20" t="str">
        <f>HYPERLINK("https://docs.google.com/document/d/1YVH9hAY0Il0DCK6rFfBHIM-B2FMeHXQEEJUjpA6N7-U/edit?usp=drivesdk","Ben Mowbray - 5/8/2018 9:20 AM")</f>
        <v>Ben Mowbray - 5/8/2018 9:20 AM</v>
      </c>
      <c r="AL60" s="12" t="s">
        <v>116</v>
      </c>
    </row>
    <row r="61" spans="1:38" ht="12.75">
      <c r="A61" s="10">
        <f ca="1">IFERROR(__xludf.DUMMYFUNCTION("""COMPUTED_VALUE"""),43230.3615916435)</f>
        <v>43230.361591643501</v>
      </c>
      <c r="B61" s="11" t="str">
        <f ca="1">IFERROR(__xludf.DUMMYFUNCTION("""COMPUTED_VALUE"""),"Ben Mowbray")</f>
        <v>Ben Mowbray</v>
      </c>
      <c r="C61" t="str">
        <f ca="1">IFERROR(__xludf.DUMMYFUNCTION("""COMPUTED_VALUE"""),"ben.mowbray@dep.state.fl.us")</f>
        <v>ben.mowbray@dep.state.fl.us</v>
      </c>
      <c r="D61" t="str">
        <f ca="1">IFERROR(__xludf.DUMMYFUNCTION("""COMPUTED_VALUE"""),"Research")</f>
        <v>Research</v>
      </c>
      <c r="E61" t="str">
        <f ca="1">IFERROR(__xludf.DUMMYFUNCTION("""COMPUTED_VALUE"""),"Aunt Kate's / Shore Drive")</f>
        <v>Aunt Kate's / Shore Drive</v>
      </c>
      <c r="F61" s="13">
        <f ca="1">IFERROR(__xludf.DUMMYFUNCTION("""COMPUTED_VALUE"""),0.416666666667879)</f>
        <v>0.41666666666787899</v>
      </c>
      <c r="G61" s="14">
        <f ca="1">IFERROR(__xludf.DUMMYFUNCTION("""COMPUTED_VALUE"""),43230)</f>
        <v>43230</v>
      </c>
      <c r="H61" t="str">
        <f ca="1">IFERROR(__xludf.DUMMYFUNCTION("""COMPUTED_VALUE"""),"Spat Run")</f>
        <v>Spat Run</v>
      </c>
      <c r="I61" s="15">
        <f ca="1">IFERROR(__xludf.DUMMYFUNCTION("""COMPUTED_VALUE"""),0.104166666667879)</f>
        <v>0.10416666666787899</v>
      </c>
      <c r="J61" s="16">
        <f ca="1">IFERROR(__xludf.DUMMYFUNCTION("""COMPUTED_VALUE"""),43230.1354166666)</f>
        <v>43230.135416666599</v>
      </c>
      <c r="K61" t="str">
        <f ca="1">IFERROR(__xludf.DUMMYFUNCTION("""COMPUTED_VALUE"""),"20ft Sea Ark FL5351SJ UNF 2015")</f>
        <v>20ft Sea Ark FL5351SJ UNF 2015</v>
      </c>
      <c r="M61" t="str">
        <f ca="1">IFERROR(__xludf.DUMMYFUNCTION("""COMPUTED_VALUE"""),"Ford F150 2008 - DEP18041 (SWMP Thing)")</f>
        <v>Ford F150 2008 - DEP18041 (SWMP Thing)</v>
      </c>
      <c r="N61" t="str">
        <f ca="1">IFERROR(__xludf.DUMMYFUNCTION("""COMPUTED_VALUE"""),"Ben Mowbray, (407) 962-8782")</f>
        <v>Ben Mowbray, (407) 962-8782</v>
      </c>
      <c r="O61" t="str">
        <f ca="1">IFERROR(__xludf.DUMMYFUNCTION("""COMPUTED_VALUE"""),"Sam Shaw or Hunter Mathews")</f>
        <v>Sam Shaw or Hunter Mathews</v>
      </c>
      <c r="P61" t="str">
        <f ca="1">IFERROR(__xludf.DUMMYFUNCTION("""COMPUTED_VALUE"""),"Ben")</f>
        <v>Ben</v>
      </c>
      <c r="Q61" t="str">
        <f ca="1">IFERROR(__xludf.DUMMYFUNCTION("""COMPUTED_VALUE"""),"Good")</f>
        <v>Good</v>
      </c>
      <c r="R61" t="str">
        <f ca="1">IFERROR(__xludf.DUMMYFUNCTION("""COMPUTED_VALUE"""),"Good")</f>
        <v>Good</v>
      </c>
      <c r="S61" t="str">
        <f ca="1">IFERROR(__xludf.DUMMYFUNCTION("""COMPUTED_VALUE"""),"Good")</f>
        <v>Good</v>
      </c>
      <c r="T61" t="str">
        <f ca="1">IFERROR(__xludf.DUMMYFUNCTION("""COMPUTED_VALUE"""),"Good")</f>
        <v>Good</v>
      </c>
      <c r="U61" t="str">
        <f ca="1">IFERROR(__xludf.DUMMYFUNCTION("""COMPUTED_VALUE"""),"Good")</f>
        <v>Good</v>
      </c>
      <c r="V61" t="str">
        <f ca="1">IFERROR(__xludf.DUMMYFUNCTION("""COMPUTED_VALUE"""),"Good")</f>
        <v>Good</v>
      </c>
      <c r="W61" t="str">
        <f ca="1">IFERROR(__xludf.DUMMYFUNCTION("""COMPUTED_VALUE"""),"Good")</f>
        <v>Good</v>
      </c>
      <c r="X61" t="str">
        <f ca="1">IFERROR(__xludf.DUMMYFUNCTION("""COMPUTED_VALUE"""),"Good")</f>
        <v>Good</v>
      </c>
      <c r="Y61" t="str">
        <f ca="1">IFERROR(__xludf.DUMMYFUNCTION("""COMPUTED_VALUE"""),"Good")</f>
        <v>Good</v>
      </c>
      <c r="Z61" t="str">
        <f ca="1">IFERROR(__xludf.DUMMYFUNCTION("""COMPUTED_VALUE"""),"Good")</f>
        <v>Good</v>
      </c>
      <c r="AA61" t="str">
        <f ca="1">IFERROR(__xludf.DUMMYFUNCTION("""COMPUTED_VALUE"""),"Good")</f>
        <v>Good</v>
      </c>
      <c r="AB61" t="str">
        <f ca="1">IFERROR(__xludf.DUMMYFUNCTION("""COMPUTED_VALUE"""),"Good")</f>
        <v>Good</v>
      </c>
      <c r="AC61" t="str">
        <f ca="1">IFERROR(__xludf.DUMMYFUNCTION("""COMPUTED_VALUE"""),"Good")</f>
        <v>Good</v>
      </c>
      <c r="AE61" s="11"/>
      <c r="AF61" t="str">
        <v>Nikki.Dix@floridadep.gov</v>
      </c>
      <c r="AG61" s="17" t="s">
        <v>17</v>
      </c>
      <c r="AH61" s="12"/>
      <c r="AI61" s="12" t="s">
        <v>117</v>
      </c>
      <c r="AJ61" s="19" t="s">
        <v>118</v>
      </c>
      <c r="AK61" s="20" t="str">
        <f>HYPERLINK("https://docs.google.com/document/d/12huri7tFQSawQjEXKj8ob1-TqT9eABr2dmxojMW4czY/edit?usp=drivesdk","Ben Mowbray - 5/10/2018 10:00 AM")</f>
        <v>Ben Mowbray - 5/10/2018 10:00 AM</v>
      </c>
      <c r="AL61" s="12" t="s">
        <v>119</v>
      </c>
    </row>
    <row r="62" spans="1:38" ht="12.75">
      <c r="A62" s="10">
        <f ca="1">IFERROR(__xludf.DUMMYFUNCTION("""COMPUTED_VALUE"""),43231.2999590393)</f>
        <v>43231.299959039301</v>
      </c>
      <c r="B62" s="11" t="str">
        <f ca="1">IFERROR(__xludf.DUMMYFUNCTION("""COMPUTED_VALUE"""),"Ben Mowbray")</f>
        <v>Ben Mowbray</v>
      </c>
      <c r="C62" t="str">
        <f ca="1">IFERROR(__xludf.DUMMYFUNCTION("""COMPUTED_VALUE"""),"ben.mowbray@dep.state.fl.us")</f>
        <v>ben.mowbray@dep.state.fl.us</v>
      </c>
      <c r="D62" t="str">
        <f ca="1">IFERROR(__xludf.DUMMYFUNCTION("""COMPUTED_VALUE"""),"Research")</f>
        <v>Research</v>
      </c>
      <c r="E62" t="str">
        <f ca="1">IFERROR(__xludf.DUMMYFUNCTION("""COMPUTED_VALUE"""),"Bing's")</f>
        <v>Bing's</v>
      </c>
      <c r="F62" s="13">
        <f ca="1">IFERROR(__xludf.DUMMYFUNCTION("""COMPUTED_VALUE"""),0.354166666667879)</f>
        <v>0.35416666666787899</v>
      </c>
      <c r="G62" s="14">
        <f ca="1">IFERROR(__xludf.DUMMYFUNCTION("""COMPUTED_VALUE"""),43231)</f>
        <v>43231</v>
      </c>
      <c r="H62" t="str">
        <f ca="1">IFERROR(__xludf.DUMMYFUNCTION("""COMPUTED_VALUE"""),"Summerhaven Nut Run")</f>
        <v>Summerhaven Nut Run</v>
      </c>
      <c r="I62" s="15">
        <f ca="1">IFERROR(__xludf.DUMMYFUNCTION("""COMPUTED_VALUE"""),0.4375)</f>
        <v>0.4375</v>
      </c>
      <c r="J62" s="16">
        <f ca="1">IFERROR(__xludf.DUMMYFUNCTION("""COMPUTED_VALUE"""),43231.625)</f>
        <v>43231.625</v>
      </c>
      <c r="K62" t="str">
        <f ca="1">IFERROR(__xludf.DUMMYFUNCTION("""COMPUTED_VALUE"""),"23ft Skiff (Bertha) FL7972LJ DEP07613")</f>
        <v>23ft Skiff (Bertha) FL7972LJ DEP07613</v>
      </c>
      <c r="M62" t="str">
        <f ca="1">IFERROR(__xludf.DUMMYFUNCTION("""COMPUTED_VALUE"""),"Ford F250 2017 (Moby Dix) - DEP0021578")</f>
        <v>Ford F250 2017 (Moby Dix) - DEP0021578</v>
      </c>
      <c r="N62" t="str">
        <f ca="1">IFERROR(__xludf.DUMMYFUNCTION("""COMPUTED_VALUE"""),"Ben Mowbray, (407) 962-8782")</f>
        <v>Ben Mowbray, (407) 962-8782</v>
      </c>
      <c r="O62" t="str">
        <f ca="1">IFERROR(__xludf.DUMMYFUNCTION("""COMPUTED_VALUE"""),"Sam Shaw, Matt Brown, Wesley, Trinity (maybe)")</f>
        <v>Sam Shaw, Matt Brown, Wesley, Trinity (maybe)</v>
      </c>
      <c r="P62" t="str">
        <f ca="1">IFERROR(__xludf.DUMMYFUNCTION("""COMPUTED_VALUE"""),"Ben")</f>
        <v>Ben</v>
      </c>
      <c r="Q62" t="str">
        <f ca="1">IFERROR(__xludf.DUMMYFUNCTION("""COMPUTED_VALUE"""),"Good")</f>
        <v>Good</v>
      </c>
      <c r="R62" t="str">
        <f ca="1">IFERROR(__xludf.DUMMYFUNCTION("""COMPUTED_VALUE"""),"Good")</f>
        <v>Good</v>
      </c>
      <c r="S62" t="str">
        <f ca="1">IFERROR(__xludf.DUMMYFUNCTION("""COMPUTED_VALUE"""),"Good")</f>
        <v>Good</v>
      </c>
      <c r="T62" t="str">
        <f ca="1">IFERROR(__xludf.DUMMYFUNCTION("""COMPUTED_VALUE"""),"Good")</f>
        <v>Good</v>
      </c>
      <c r="U62" t="str">
        <f ca="1">IFERROR(__xludf.DUMMYFUNCTION("""COMPUTED_VALUE"""),"Good")</f>
        <v>Good</v>
      </c>
      <c r="V62" t="str">
        <f ca="1">IFERROR(__xludf.DUMMYFUNCTION("""COMPUTED_VALUE"""),"Good")</f>
        <v>Good</v>
      </c>
      <c r="W62" t="str">
        <f ca="1">IFERROR(__xludf.DUMMYFUNCTION("""COMPUTED_VALUE"""),"Good")</f>
        <v>Good</v>
      </c>
      <c r="X62" t="str">
        <f ca="1">IFERROR(__xludf.DUMMYFUNCTION("""COMPUTED_VALUE"""),"Good")</f>
        <v>Good</v>
      </c>
      <c r="Y62" t="str">
        <f ca="1">IFERROR(__xludf.DUMMYFUNCTION("""COMPUTED_VALUE"""),"Good")</f>
        <v>Good</v>
      </c>
      <c r="Z62" t="str">
        <f ca="1">IFERROR(__xludf.DUMMYFUNCTION("""COMPUTED_VALUE"""),"Good")</f>
        <v>Good</v>
      </c>
      <c r="AA62" t="str">
        <f ca="1">IFERROR(__xludf.DUMMYFUNCTION("""COMPUTED_VALUE"""),"Good")</f>
        <v>Good</v>
      </c>
      <c r="AB62" t="str">
        <f ca="1">IFERROR(__xludf.DUMMYFUNCTION("""COMPUTED_VALUE"""),"Good")</f>
        <v>Good</v>
      </c>
      <c r="AC62" t="str">
        <f ca="1">IFERROR(__xludf.DUMMYFUNCTION("""COMPUTED_VALUE"""),"Good")</f>
        <v>Good</v>
      </c>
      <c r="AE62" s="11"/>
      <c r="AF62" t="str">
        <v>Nikki.Dix@floridadep.gov</v>
      </c>
      <c r="AG62" s="17" t="s">
        <v>17</v>
      </c>
      <c r="AH62" s="12"/>
      <c r="AI62" s="12" t="s">
        <v>120</v>
      </c>
      <c r="AJ62" s="19" t="s">
        <v>121</v>
      </c>
      <c r="AK62" s="20" t="str">
        <f>HYPERLINK("https://docs.google.com/document/d/1NVKICve706r0YkCzp__mT8BDMJdF4QnbOgxRSabgmKc/edit?usp=drivesdk","Ben Mowbray - 5/11/2018 8:30 AM")</f>
        <v>Ben Mowbray - 5/11/2018 8:30 AM</v>
      </c>
      <c r="AL62" s="12" t="s">
        <v>122</v>
      </c>
    </row>
    <row r="63" spans="1:38" ht="12.75">
      <c r="A63" s="10">
        <f ca="1">IFERROR(__xludf.DUMMYFUNCTION("""COMPUTED_VALUE"""),43234.6390791088)</f>
        <v>43234.639079108798</v>
      </c>
      <c r="B63" s="11" t="str">
        <f ca="1">IFERROR(__xludf.DUMMYFUNCTION("""COMPUTED_VALUE"""),"Silas Tanner")</f>
        <v>Silas Tanner</v>
      </c>
      <c r="C63" t="str">
        <f ca="1">IFERROR(__xludf.DUMMYFUNCTION("""COMPUTED_VALUE"""),"silas.tanner@floridadep.gov")</f>
        <v>silas.tanner@floridadep.gov</v>
      </c>
      <c r="D63" t="str">
        <f ca="1">IFERROR(__xludf.DUMMYFUNCTION("""COMPUTED_VALUE"""),"Research")</f>
        <v>Research</v>
      </c>
      <c r="E63" t="str">
        <f ca="1">IFERROR(__xludf.DUMMYFUNCTION("""COMPUTED_VALUE"""),"Vilano County Ramp")</f>
        <v>Vilano County Ramp</v>
      </c>
      <c r="F63" s="13">
        <f ca="1">IFERROR(__xludf.DUMMYFUNCTION("""COMPUTED_VALUE"""),0.36458333333212)</f>
        <v>0.36458333333212001</v>
      </c>
      <c r="G63" s="14">
        <f ca="1">IFERROR(__xludf.DUMMYFUNCTION("""COMPUTED_VALUE"""),43235)</f>
        <v>43235</v>
      </c>
      <c r="H63" t="str">
        <f ca="1">IFERROR(__xludf.DUMMYFUNCTION("""COMPUTED_VALUE"""),"ICW SWMP Sites: FM, SS &amp; PI")</f>
        <v>ICW SWMP Sites: FM, SS &amp; PI</v>
      </c>
      <c r="I63" s="15">
        <f ca="1">IFERROR(__xludf.DUMMYFUNCTION("""COMPUTED_VALUE"""),0.5)</f>
        <v>0.5</v>
      </c>
      <c r="J63" s="16">
        <f ca="1">IFERROR(__xludf.DUMMYFUNCTION("""COMPUTED_VALUE"""),43235.5208333333)</f>
        <v>43235.520833333299</v>
      </c>
      <c r="K63" t="str">
        <f ca="1">IFERROR(__xludf.DUMMYFUNCTION("""COMPUTED_VALUE"""),"23ft Skiff (Bertha) FL7972LJ DEP07613")</f>
        <v>23ft Skiff (Bertha) FL7972LJ DEP07613</v>
      </c>
      <c r="M63" t="str">
        <f ca="1">IFERROR(__xludf.DUMMYFUNCTION("""COMPUTED_VALUE"""),"Ford F250 2017 (Moby Dix) - DEP0021578")</f>
        <v>Ford F250 2017 (Moby Dix) - DEP0021578</v>
      </c>
      <c r="N63" t="str">
        <f ca="1">IFERROR(__xludf.DUMMYFUNCTION("""COMPUTED_VALUE"""),"Silas Tanner, (904) 483-8423")</f>
        <v>Silas Tanner, (904) 483-8423</v>
      </c>
      <c r="O63" t="str">
        <f ca="1">IFERROR(__xludf.DUMMYFUNCTION("""COMPUTED_VALUE"""),"Hunter Mathews")</f>
        <v>Hunter Mathews</v>
      </c>
      <c r="P63" t="str">
        <f ca="1">IFERROR(__xludf.DUMMYFUNCTION("""COMPUTED_VALUE"""),"Silas Tanner")</f>
        <v>Silas Tanner</v>
      </c>
      <c r="Q63" t="str">
        <f ca="1">IFERROR(__xludf.DUMMYFUNCTION("""COMPUTED_VALUE"""),"Good")</f>
        <v>Good</v>
      </c>
      <c r="R63" t="str">
        <f ca="1">IFERROR(__xludf.DUMMYFUNCTION("""COMPUTED_VALUE"""),"Good")</f>
        <v>Good</v>
      </c>
      <c r="S63" t="str">
        <f ca="1">IFERROR(__xludf.DUMMYFUNCTION("""COMPUTED_VALUE"""),"Good")</f>
        <v>Good</v>
      </c>
      <c r="T63" t="str">
        <f ca="1">IFERROR(__xludf.DUMMYFUNCTION("""COMPUTED_VALUE"""),"Good")</f>
        <v>Good</v>
      </c>
      <c r="U63" t="str">
        <f ca="1">IFERROR(__xludf.DUMMYFUNCTION("""COMPUTED_VALUE"""),"Good")</f>
        <v>Good</v>
      </c>
      <c r="V63" t="str">
        <f ca="1">IFERROR(__xludf.DUMMYFUNCTION("""COMPUTED_VALUE"""),"Good")</f>
        <v>Good</v>
      </c>
      <c r="W63" t="str">
        <f ca="1">IFERROR(__xludf.DUMMYFUNCTION("""COMPUTED_VALUE"""),"Good")</f>
        <v>Good</v>
      </c>
      <c r="X63" t="str">
        <f ca="1">IFERROR(__xludf.DUMMYFUNCTION("""COMPUTED_VALUE"""),"Good")</f>
        <v>Good</v>
      </c>
      <c r="Y63" t="str">
        <f ca="1">IFERROR(__xludf.DUMMYFUNCTION("""COMPUTED_VALUE"""),"Good")</f>
        <v>Good</v>
      </c>
      <c r="Z63" t="str">
        <f ca="1">IFERROR(__xludf.DUMMYFUNCTION("""COMPUTED_VALUE"""),"Good")</f>
        <v>Good</v>
      </c>
      <c r="AA63" t="str">
        <f ca="1">IFERROR(__xludf.DUMMYFUNCTION("""COMPUTED_VALUE"""),"Good")</f>
        <v>Good</v>
      </c>
      <c r="AB63" t="str">
        <f ca="1">IFERROR(__xludf.DUMMYFUNCTION("""COMPUTED_VALUE"""),"Good")</f>
        <v>Good</v>
      </c>
      <c r="AC63" t="str">
        <f ca="1">IFERROR(__xludf.DUMMYFUNCTION("""COMPUTED_VALUE"""),"Good")</f>
        <v>Good</v>
      </c>
      <c r="AE63" s="11"/>
      <c r="AF63" t="str">
        <v>Nikki.Dix@floridadep.gov</v>
      </c>
      <c r="AG63" s="17" t="s">
        <v>17</v>
      </c>
      <c r="AH63" s="12"/>
      <c r="AI63" s="12" t="s">
        <v>123</v>
      </c>
      <c r="AJ63" s="19" t="s">
        <v>124</v>
      </c>
      <c r="AK63" s="20" t="str">
        <f>HYPERLINK("https://docs.google.com/document/d/1As9djMbo-ypJ-TIGH9yy3dPkMxR0WI1KMjZ3T-YgY3o/edit?usp=drivesdk","Silas Tanner - 5/15/2018 8:45 AM")</f>
        <v>Silas Tanner - 5/15/2018 8:45 AM</v>
      </c>
      <c r="AL63" s="12" t="s">
        <v>125</v>
      </c>
    </row>
    <row r="64" spans="1:38" ht="12.75">
      <c r="A64" s="10">
        <f ca="1">IFERROR(__xludf.DUMMYFUNCTION("""COMPUTED_VALUE"""),43236.663171331)</f>
        <v>43236.663171330998</v>
      </c>
      <c r="B64" s="11" t="str">
        <f ca="1">IFERROR(__xludf.DUMMYFUNCTION("""COMPUTED_VALUE"""),"Kenneth Rainer")</f>
        <v>Kenneth Rainer</v>
      </c>
      <c r="C64" t="str">
        <f ca="1">IFERROR(__xludf.DUMMYFUNCTION("""COMPUTED_VALUE"""),"Kenneth.Rainer@dep.state.fl.us")</f>
        <v>Kenneth.Rainer@dep.state.fl.us</v>
      </c>
      <c r="D64" t="str">
        <f ca="1">IFERROR(__xludf.DUMMYFUNCTION("""COMPUTED_VALUE"""),"Education")</f>
        <v>Education</v>
      </c>
      <c r="E64" t="str">
        <f ca="1">IFERROR(__xludf.DUMMYFUNCTION("""COMPUTED_VALUE"""),"Usina Boat Ramp")</f>
        <v>Usina Boat Ramp</v>
      </c>
      <c r="F64" s="13">
        <f ca="1">IFERROR(__xludf.DUMMYFUNCTION("""COMPUTED_VALUE"""),0.3125)</f>
        <v>0.3125</v>
      </c>
      <c r="G64" s="14">
        <f ca="1">IFERROR(__xludf.DUMMYFUNCTION("""COMPUTED_VALUE"""),43237)</f>
        <v>43237</v>
      </c>
      <c r="H64" t="str">
        <f ca="1">IFERROR(__xludf.DUMMYFUNCTION("""COMPUTED_VALUE"""),"Site 1: Angelini Project, Pine Island")</f>
        <v>Site 1: Angelini Project, Pine Island</v>
      </c>
      <c r="I64" s="15">
        <f ca="1">IFERROR(__xludf.DUMMYFUNCTION("""COMPUTED_VALUE"""),0.5)</f>
        <v>0.5</v>
      </c>
      <c r="J64" s="16">
        <f ca="1">IFERROR(__xludf.DUMMYFUNCTION("""COMPUTED_VALUE"""),43237.5208333333)</f>
        <v>43237.520833333299</v>
      </c>
      <c r="K64" t="str">
        <f ca="1">IFERROR(__xludf.DUMMYFUNCTION("""COMPUTED_VALUE"""),"23ft Skiff (Bertha) FL7972LJ DEP07613")</f>
        <v>23ft Skiff (Bertha) FL7972LJ DEP07613</v>
      </c>
      <c r="M64" t="str">
        <f ca="1">IFERROR(__xludf.DUMMYFUNCTION("""COMPUTED_VALUE"""),"Ford F250 2017 (Moby Dix) - DEP0021578")</f>
        <v>Ford F250 2017 (Moby Dix) - DEP0021578</v>
      </c>
      <c r="N64" t="str">
        <f ca="1">IFERROR(__xludf.DUMMYFUNCTION("""COMPUTED_VALUE"""),"Kenneth Rainer, (936) 499-1853")</f>
        <v>Kenneth Rainer, (936) 499-1853</v>
      </c>
      <c r="O64" t="str">
        <f ca="1">IFERROR(__xludf.DUMMYFUNCTION("""COMPUTED_VALUE"""),"Emma Hanson")</f>
        <v>Emma Hanson</v>
      </c>
      <c r="P64" t="str">
        <f ca="1">IFERROR(__xludf.DUMMYFUNCTION("""COMPUTED_VALUE"""),"Kenneth Rainer")</f>
        <v>Kenneth Rainer</v>
      </c>
      <c r="Q64" t="str">
        <f ca="1">IFERROR(__xludf.DUMMYFUNCTION("""COMPUTED_VALUE"""),"Good")</f>
        <v>Good</v>
      </c>
      <c r="R64" t="str">
        <f ca="1">IFERROR(__xludf.DUMMYFUNCTION("""COMPUTED_VALUE"""),"Good")</f>
        <v>Good</v>
      </c>
      <c r="S64" t="str">
        <f ca="1">IFERROR(__xludf.DUMMYFUNCTION("""COMPUTED_VALUE"""),"Good")</f>
        <v>Good</v>
      </c>
      <c r="T64" t="str">
        <f ca="1">IFERROR(__xludf.DUMMYFUNCTION("""COMPUTED_VALUE"""),"Good")</f>
        <v>Good</v>
      </c>
      <c r="U64" t="str">
        <f ca="1">IFERROR(__xludf.DUMMYFUNCTION("""COMPUTED_VALUE"""),"Good")</f>
        <v>Good</v>
      </c>
      <c r="V64" t="str">
        <f ca="1">IFERROR(__xludf.DUMMYFUNCTION("""COMPUTED_VALUE"""),"Good")</f>
        <v>Good</v>
      </c>
      <c r="W64" t="str">
        <f ca="1">IFERROR(__xludf.DUMMYFUNCTION("""COMPUTED_VALUE"""),"Good")</f>
        <v>Good</v>
      </c>
      <c r="X64" t="str">
        <f ca="1">IFERROR(__xludf.DUMMYFUNCTION("""COMPUTED_VALUE"""),"Good")</f>
        <v>Good</v>
      </c>
      <c r="Y64" t="str">
        <f ca="1">IFERROR(__xludf.DUMMYFUNCTION("""COMPUTED_VALUE"""),"Good")</f>
        <v>Good</v>
      </c>
      <c r="Z64" t="str">
        <f ca="1">IFERROR(__xludf.DUMMYFUNCTION("""COMPUTED_VALUE"""),"Good")</f>
        <v>Good</v>
      </c>
      <c r="AA64" t="str">
        <f ca="1">IFERROR(__xludf.DUMMYFUNCTION("""COMPUTED_VALUE"""),"Good")</f>
        <v>Good</v>
      </c>
      <c r="AB64" t="str">
        <f ca="1">IFERROR(__xludf.DUMMYFUNCTION("""COMPUTED_VALUE"""),"Good")</f>
        <v>Good</v>
      </c>
      <c r="AC64" t="str">
        <f ca="1">IFERROR(__xludf.DUMMYFUNCTION("""COMPUTED_VALUE"""),"Good")</f>
        <v>Good</v>
      </c>
      <c r="AD64" t="str">
        <f ca="1">IFERROR(__xludf.DUMMYFUNCTION("""COMPUTED_VALUE"""),"74 °F, 24% Rain, 11mph South")</f>
        <v>74 °F, 24% Rain, 11mph South</v>
      </c>
      <c r="AE64" s="11" t="str">
        <f ca="1">IFERROR(__xludf.DUMMYFUNCTION("""COMPUTED_VALUE"""),"04:48 AM -0.80 L and 10:56 AM 3.92 H")</f>
        <v>04:48 AM -0.80 L and 10:56 AM 3.92 H</v>
      </c>
      <c r="AF64" t="str">
        <v>Kenneth.Rainer@floridadep.gov</v>
      </c>
      <c r="AG64" s="17" t="s">
        <v>126</v>
      </c>
      <c r="AH64" s="12"/>
      <c r="AI64" s="12" t="s">
        <v>127</v>
      </c>
      <c r="AJ64" s="19" t="s">
        <v>128</v>
      </c>
      <c r="AK64" s="20" t="str">
        <f>HYPERLINK("https://docs.google.com/document/d/1ZYCXLV6gt2oXgWl9Ziwcxz8bjA1d5w_O5I7Ap6ZOB2M/edit?usp=drivesdk","Kenneth Rainer - 5/17/2018 7:30 AM")</f>
        <v>Kenneth Rainer - 5/17/2018 7:30 AM</v>
      </c>
      <c r="AL64" s="12" t="s">
        <v>129</v>
      </c>
    </row>
    <row r="65" spans="1:38" ht="12.75">
      <c r="A65" s="10">
        <f ca="1">IFERROR(__xludf.DUMMYFUNCTION("""COMPUTED_VALUE"""),43237.3159602546)</f>
        <v>43237.3159602546</v>
      </c>
      <c r="B65" s="11" t="str">
        <f ca="1">IFERROR(__xludf.DUMMYFUNCTION("""COMPUTED_VALUE"""),"Ben Mowbray")</f>
        <v>Ben Mowbray</v>
      </c>
      <c r="C65" t="str">
        <f ca="1">IFERROR(__xludf.DUMMYFUNCTION("""COMPUTED_VALUE"""),"ben.mowbray@dep.state.fl.us")</f>
        <v>ben.mowbray@dep.state.fl.us</v>
      </c>
      <c r="D65" t="str">
        <f ca="1">IFERROR(__xludf.DUMMYFUNCTION("""COMPUTED_VALUE"""),"Research")</f>
        <v>Research</v>
      </c>
      <c r="E65" t="str">
        <f ca="1">IFERROR(__xludf.DUMMYFUNCTION("""COMPUTED_VALUE"""),"Palm Valley")</f>
        <v>Palm Valley</v>
      </c>
      <c r="F65" s="13">
        <f ca="1">IFERROR(__xludf.DUMMYFUNCTION("""COMPUTED_VALUE"""),0.33333333333212)</f>
        <v>0.33333333333212001</v>
      </c>
      <c r="G65" s="14">
        <f ca="1">IFERROR(__xludf.DUMMYFUNCTION("""COMPUTED_VALUE"""),43237)</f>
        <v>43237</v>
      </c>
      <c r="H65" t="str">
        <f ca="1">IFERROR(__xludf.DUMMYFUNCTION("""COMPUTED_VALUE"""),"Angelini Sites")</f>
        <v>Angelini Sites</v>
      </c>
      <c r="I65" s="15">
        <f ca="1">IFERROR(__xludf.DUMMYFUNCTION("""COMPUTED_VALUE"""),0.375)</f>
        <v>0.375</v>
      </c>
      <c r="J65" s="16">
        <f ca="1">IFERROR(__xludf.DUMMYFUNCTION("""COMPUTED_VALUE"""),43237.3888888888)</f>
        <v>43237.388888888803</v>
      </c>
      <c r="K65" t="str">
        <f ca="1">IFERROR(__xludf.DUMMYFUNCTION("""COMPUTED_VALUE"""),"20ft Sea Ark FL5351SJ UNF 2015")</f>
        <v>20ft Sea Ark FL5351SJ UNF 2015</v>
      </c>
      <c r="M65" t="str">
        <f ca="1">IFERROR(__xludf.DUMMYFUNCTION("""COMPUTED_VALUE"""),"Ford F150 2008 - DEP18041 (SWMP Thing)")</f>
        <v>Ford F150 2008 - DEP18041 (SWMP Thing)</v>
      </c>
      <c r="N65" t="str">
        <f ca="1">IFERROR(__xludf.DUMMYFUNCTION("""COMPUTED_VALUE"""),"Ben Mowbray, (407) 962-8782")</f>
        <v>Ben Mowbray, (407) 962-8782</v>
      </c>
      <c r="O65" t="str">
        <f ca="1">IFERROR(__xludf.DUMMYFUNCTION("""COMPUTED_VALUE"""),"Remo")</f>
        <v>Remo</v>
      </c>
      <c r="P65" t="str">
        <f ca="1">IFERROR(__xludf.DUMMYFUNCTION("""COMPUTED_VALUE"""),"Ben")</f>
        <v>Ben</v>
      </c>
      <c r="Q65" t="str">
        <f ca="1">IFERROR(__xludf.DUMMYFUNCTION("""COMPUTED_VALUE"""),"Good")</f>
        <v>Good</v>
      </c>
      <c r="R65" t="str">
        <f ca="1">IFERROR(__xludf.DUMMYFUNCTION("""COMPUTED_VALUE"""),"Good")</f>
        <v>Good</v>
      </c>
      <c r="S65" t="str">
        <f ca="1">IFERROR(__xludf.DUMMYFUNCTION("""COMPUTED_VALUE"""),"Good")</f>
        <v>Good</v>
      </c>
      <c r="T65" t="str">
        <f ca="1">IFERROR(__xludf.DUMMYFUNCTION("""COMPUTED_VALUE"""),"Good")</f>
        <v>Good</v>
      </c>
      <c r="U65" t="str">
        <f ca="1">IFERROR(__xludf.DUMMYFUNCTION("""COMPUTED_VALUE"""),"Good")</f>
        <v>Good</v>
      </c>
      <c r="V65" t="str">
        <f ca="1">IFERROR(__xludf.DUMMYFUNCTION("""COMPUTED_VALUE"""),"Good")</f>
        <v>Good</v>
      </c>
      <c r="W65" t="str">
        <f ca="1">IFERROR(__xludf.DUMMYFUNCTION("""COMPUTED_VALUE"""),"Good")</f>
        <v>Good</v>
      </c>
      <c r="X65" t="str">
        <f ca="1">IFERROR(__xludf.DUMMYFUNCTION("""COMPUTED_VALUE"""),"Good")</f>
        <v>Good</v>
      </c>
      <c r="Y65" t="str">
        <f ca="1">IFERROR(__xludf.DUMMYFUNCTION("""COMPUTED_VALUE"""),"Good")</f>
        <v>Good</v>
      </c>
      <c r="Z65" t="str">
        <f ca="1">IFERROR(__xludf.DUMMYFUNCTION("""COMPUTED_VALUE"""),"Good")</f>
        <v>Good</v>
      </c>
      <c r="AA65" t="str">
        <f ca="1">IFERROR(__xludf.DUMMYFUNCTION("""COMPUTED_VALUE"""),"Good")</f>
        <v>Good</v>
      </c>
      <c r="AB65" t="str">
        <f ca="1">IFERROR(__xludf.DUMMYFUNCTION("""COMPUTED_VALUE"""),"Good")</f>
        <v>Good</v>
      </c>
      <c r="AC65" t="str">
        <f ca="1">IFERROR(__xludf.DUMMYFUNCTION("""COMPUTED_VALUE"""),"Good")</f>
        <v>Good</v>
      </c>
      <c r="AE65" s="11"/>
      <c r="AF65" t="str">
        <v>Nikki.Dix@floridadep.gov</v>
      </c>
      <c r="AG65" s="17" t="s">
        <v>126</v>
      </c>
      <c r="AH65" s="12"/>
      <c r="AI65" s="12" t="s">
        <v>130</v>
      </c>
      <c r="AJ65" s="19" t="s">
        <v>131</v>
      </c>
      <c r="AK65" s="20" t="str">
        <f>HYPERLINK("https://docs.google.com/document/d/10nnniawQVtJWr1j6dGtxHYuaPvjUZS_oEzRZ6f249BE/edit?usp=drivesdk","Ben Mowbray - 5/17/2018 8:00 AM")</f>
        <v>Ben Mowbray - 5/17/2018 8:00 AM</v>
      </c>
      <c r="AL65" s="12" t="s">
        <v>132</v>
      </c>
    </row>
    <row r="66" spans="1:38" ht="12.75">
      <c r="A66" s="10">
        <f ca="1">IFERROR(__xludf.DUMMYFUNCTION("""COMPUTED_VALUE"""),43243.8144379282)</f>
        <v>43243.814437928202</v>
      </c>
      <c r="B66" s="11" t="str">
        <f ca="1">IFERROR(__xludf.DUMMYFUNCTION("""COMPUTED_VALUE"""),"Pamela Marcum")</f>
        <v>Pamela Marcum</v>
      </c>
      <c r="C66" t="str">
        <f ca="1">IFERROR(__xludf.DUMMYFUNCTION("""COMPUTED_VALUE"""),"Pamela.Marcum@Dep.state.fl.us")</f>
        <v>Pamela.Marcum@Dep.state.fl.us</v>
      </c>
      <c r="D66" t="str">
        <f ca="1">IFERROR(__xludf.DUMMYFUNCTION("""COMPUTED_VALUE"""),"Research")</f>
        <v>Research</v>
      </c>
      <c r="E66" t="str">
        <f ca="1">IFERROR(__xludf.DUMMYFUNCTION("""COMPUTED_VALUE"""),"Crane Park Shore Drive")</f>
        <v>Crane Park Shore Drive</v>
      </c>
      <c r="F66" s="13">
        <f ca="1">IFERROR(__xludf.DUMMYFUNCTION("""COMPUTED_VALUE"""),0.33333333333212)</f>
        <v>0.33333333333212001</v>
      </c>
      <c r="G66" s="14">
        <f ca="1">IFERROR(__xludf.DUMMYFUNCTION("""COMPUTED_VALUE"""),43244)</f>
        <v>43244</v>
      </c>
      <c r="H66" t="str">
        <f ca="1">IFERROR(__xludf.DUMMYFUNCTION("""COMPUTED_VALUE"""),"Tidal Creek North of East Creek")</f>
        <v>Tidal Creek North of East Creek</v>
      </c>
      <c r="I66" s="15">
        <f ca="1">IFERROR(__xludf.DUMMYFUNCTION("""COMPUTED_VALUE"""),0.625)</f>
        <v>0.625</v>
      </c>
      <c r="J66" s="16">
        <f ca="1">IFERROR(__xludf.DUMMYFUNCTION("""COMPUTED_VALUE"""),43244.6666666666)</f>
        <v>43244.666666666599</v>
      </c>
      <c r="K66" t="str">
        <f ca="1">IFERROR(__xludf.DUMMYFUNCTION("""COMPUTED_VALUE"""),"23ft Skiff (Bertha) FL7972LJ DEP07613")</f>
        <v>23ft Skiff (Bertha) FL7972LJ DEP07613</v>
      </c>
      <c r="M66" t="str">
        <f ca="1">IFERROR(__xludf.DUMMYFUNCTION("""COMPUTED_VALUE"""),"Ford F150 2008 - DEP18041 (SWMP Thing)")</f>
        <v>Ford F150 2008 - DEP18041 (SWMP Thing)</v>
      </c>
      <c r="N66" t="str">
        <f ca="1">IFERROR(__xludf.DUMMYFUNCTION("""COMPUTED_VALUE"""),"Pam Marcum, (480) 332-5414")</f>
        <v>Pam Marcum, (480) 332-5414</v>
      </c>
      <c r="O66" t="str">
        <f ca="1">IFERROR(__xludf.DUMMYFUNCTION("""COMPUTED_VALUE"""),"Sam Chapman, Matt Hayes, Libby, Chuck, Emily, Ember, Chansotheary")</f>
        <v>Sam Chapman, Matt Hayes, Libby, Chuck, Emily, Ember, Chansotheary</v>
      </c>
      <c r="P66" t="str">
        <f ca="1">IFERROR(__xludf.DUMMYFUNCTION("""COMPUTED_VALUE"""),"Pam Marcum")</f>
        <v>Pam Marcum</v>
      </c>
      <c r="Q66" t="str">
        <f ca="1">IFERROR(__xludf.DUMMYFUNCTION("""COMPUTED_VALUE"""),"Good")</f>
        <v>Good</v>
      </c>
      <c r="R66" t="str">
        <f ca="1">IFERROR(__xludf.DUMMYFUNCTION("""COMPUTED_VALUE"""),"Good")</f>
        <v>Good</v>
      </c>
      <c r="S66" t="str">
        <f ca="1">IFERROR(__xludf.DUMMYFUNCTION("""COMPUTED_VALUE"""),"Good")</f>
        <v>Good</v>
      </c>
      <c r="T66" t="str">
        <f ca="1">IFERROR(__xludf.DUMMYFUNCTION("""COMPUTED_VALUE"""),"Good")</f>
        <v>Good</v>
      </c>
      <c r="U66" t="str">
        <f ca="1">IFERROR(__xludf.DUMMYFUNCTION("""COMPUTED_VALUE"""),"Good")</f>
        <v>Good</v>
      </c>
      <c r="V66" t="str">
        <f ca="1">IFERROR(__xludf.DUMMYFUNCTION("""COMPUTED_VALUE"""),"Good")</f>
        <v>Good</v>
      </c>
      <c r="W66" t="str">
        <f ca="1">IFERROR(__xludf.DUMMYFUNCTION("""COMPUTED_VALUE"""),"Good")</f>
        <v>Good</v>
      </c>
      <c r="X66" t="str">
        <f ca="1">IFERROR(__xludf.DUMMYFUNCTION("""COMPUTED_VALUE"""),"Good")</f>
        <v>Good</v>
      </c>
      <c r="Y66" t="str">
        <f ca="1">IFERROR(__xludf.DUMMYFUNCTION("""COMPUTED_VALUE"""),"Good")</f>
        <v>Good</v>
      </c>
      <c r="Z66" t="str">
        <f ca="1">IFERROR(__xludf.DUMMYFUNCTION("""COMPUTED_VALUE"""),"Good")</f>
        <v>Good</v>
      </c>
      <c r="AA66" t="str">
        <f ca="1">IFERROR(__xludf.DUMMYFUNCTION("""COMPUTED_VALUE"""),"Good")</f>
        <v>Good</v>
      </c>
      <c r="AB66" t="str">
        <f ca="1">IFERROR(__xludf.DUMMYFUNCTION("""COMPUTED_VALUE"""),"Good")</f>
        <v>Good</v>
      </c>
      <c r="AC66" t="str">
        <f ca="1">IFERROR(__xludf.DUMMYFUNCTION("""COMPUTED_VALUE"""),"Good")</f>
        <v>Good</v>
      </c>
      <c r="AE66" s="11"/>
      <c r="AF66" t="str">
        <v>Nikki.Dix@floridadep.gov</v>
      </c>
      <c r="AG66" s="17" t="s">
        <v>41</v>
      </c>
      <c r="AH66" s="12"/>
      <c r="AI66" s="12" t="s">
        <v>133</v>
      </c>
      <c r="AJ66" s="19" t="s">
        <v>134</v>
      </c>
      <c r="AK66" s="20" t="str">
        <f>HYPERLINK("https://docs.google.com/document/d/1_HH9Z8-j5vEDahK3SVVb5cw1dwoAO7QFzxqAWGE-CnI/edit?usp=drivesdk","Pamela Marcum - 5/24/2018 8:00 AM")</f>
        <v>Pamela Marcum - 5/24/2018 8:00 AM</v>
      </c>
      <c r="AL66" s="12" t="s">
        <v>135</v>
      </c>
    </row>
    <row r="67" spans="1:38" ht="12.75">
      <c r="A67" s="10">
        <f ca="1">IFERROR(__xludf.DUMMYFUNCTION("""COMPUTED_VALUE"""),43244.4463801504)</f>
        <v>43244.446380150403</v>
      </c>
      <c r="B67" s="11" t="str">
        <f ca="1">IFERROR(__xludf.DUMMYFUNCTION("""COMPUTED_VALUE"""),"Silas Tanner")</f>
        <v>Silas Tanner</v>
      </c>
      <c r="C67" t="str">
        <f ca="1">IFERROR(__xludf.DUMMYFUNCTION("""COMPUTED_VALUE"""),"silas.tanner@floridadep.gov")</f>
        <v>silas.tanner@floridadep.gov</v>
      </c>
      <c r="D67" t="str">
        <f ca="1">IFERROR(__xludf.DUMMYFUNCTION("""COMPUTED_VALUE"""),"Research")</f>
        <v>Research</v>
      </c>
      <c r="E67" t="str">
        <f ca="1">IFERROR(__xludf.DUMMYFUNCTION("""COMPUTED_VALUE"""),"Bing's Landing")</f>
        <v>Bing's Landing</v>
      </c>
      <c r="F67" s="13">
        <f ca="1">IFERROR(__xludf.DUMMYFUNCTION("""COMPUTED_VALUE"""),0.34375)</f>
        <v>0.34375</v>
      </c>
      <c r="G67" s="14">
        <f ca="1">IFERROR(__xludf.DUMMYFUNCTION("""COMPUTED_VALUE"""),43245)</f>
        <v>43245</v>
      </c>
      <c r="H67" t="str">
        <f ca="1">IFERROR(__xludf.DUMMYFUNCTION("""COMPUTED_VALUE"""),"ICW b/w Rattlesnake Is. and Bing's")</f>
        <v>ICW b/w Rattlesnake Is. and Bing's</v>
      </c>
      <c r="I67" s="15">
        <f ca="1">IFERROR(__xludf.DUMMYFUNCTION("""COMPUTED_VALUE"""),0.5)</f>
        <v>0.5</v>
      </c>
      <c r="J67" s="16">
        <f ca="1">IFERROR(__xludf.DUMMYFUNCTION("""COMPUTED_VALUE"""),43245.5416666666)</f>
        <v>43245.541666666599</v>
      </c>
      <c r="K67" t="str">
        <f ca="1">IFERROR(__xludf.DUMMYFUNCTION("""COMPUTED_VALUE"""),"23ft Skiff (Bertha) FL7972LJ DEP07613")</f>
        <v>23ft Skiff (Bertha) FL7972LJ DEP07613</v>
      </c>
      <c r="M67" t="str">
        <f ca="1">IFERROR(__xludf.DUMMYFUNCTION("""COMPUTED_VALUE"""),"Ford F150 2008 - DEP18041 (SWMP Thing)")</f>
        <v>Ford F150 2008 - DEP18041 (SWMP Thing)</v>
      </c>
      <c r="N67" t="str">
        <f ca="1">IFERROR(__xludf.DUMMYFUNCTION("""COMPUTED_VALUE"""),"Silas Tanner, (904) 483-8423")</f>
        <v>Silas Tanner, (904) 483-8423</v>
      </c>
      <c r="O67" t="str">
        <f ca="1">IFERROR(__xludf.DUMMYFUNCTION("""COMPUTED_VALUE"""),"Matt Brown, Westly Woodward, Remo Mondazi")</f>
        <v>Matt Brown, Westly Woodward, Remo Mondazi</v>
      </c>
      <c r="P67" t="str">
        <f ca="1">IFERROR(__xludf.DUMMYFUNCTION("""COMPUTED_VALUE"""),"Silas Tanner")</f>
        <v>Silas Tanner</v>
      </c>
      <c r="Q67" t="str">
        <f ca="1">IFERROR(__xludf.DUMMYFUNCTION("""COMPUTED_VALUE"""),"Good")</f>
        <v>Good</v>
      </c>
      <c r="R67" t="str">
        <f ca="1">IFERROR(__xludf.DUMMYFUNCTION("""COMPUTED_VALUE"""),"Good")</f>
        <v>Good</v>
      </c>
      <c r="S67" t="str">
        <f ca="1">IFERROR(__xludf.DUMMYFUNCTION("""COMPUTED_VALUE"""),"Good")</f>
        <v>Good</v>
      </c>
      <c r="T67" t="str">
        <f ca="1">IFERROR(__xludf.DUMMYFUNCTION("""COMPUTED_VALUE"""),"Good")</f>
        <v>Good</v>
      </c>
      <c r="U67" t="str">
        <f ca="1">IFERROR(__xludf.DUMMYFUNCTION("""COMPUTED_VALUE"""),"Good")</f>
        <v>Good</v>
      </c>
      <c r="V67" t="str">
        <f ca="1">IFERROR(__xludf.DUMMYFUNCTION("""COMPUTED_VALUE"""),"Good")</f>
        <v>Good</v>
      </c>
      <c r="W67" t="str">
        <f ca="1">IFERROR(__xludf.DUMMYFUNCTION("""COMPUTED_VALUE"""),"Good")</f>
        <v>Good</v>
      </c>
      <c r="X67" t="str">
        <f ca="1">IFERROR(__xludf.DUMMYFUNCTION("""COMPUTED_VALUE"""),"Good")</f>
        <v>Good</v>
      </c>
      <c r="Y67" t="str">
        <f ca="1">IFERROR(__xludf.DUMMYFUNCTION("""COMPUTED_VALUE"""),"Good")</f>
        <v>Good</v>
      </c>
      <c r="Z67" t="str">
        <f ca="1">IFERROR(__xludf.DUMMYFUNCTION("""COMPUTED_VALUE"""),"Good")</f>
        <v>Good</v>
      </c>
      <c r="AA67" t="str">
        <f ca="1">IFERROR(__xludf.DUMMYFUNCTION("""COMPUTED_VALUE"""),"Good")</f>
        <v>Good</v>
      </c>
      <c r="AB67" t="str">
        <f ca="1">IFERROR(__xludf.DUMMYFUNCTION("""COMPUTED_VALUE"""),"Good")</f>
        <v>Good</v>
      </c>
      <c r="AC67" t="str">
        <f ca="1">IFERROR(__xludf.DUMMYFUNCTION("""COMPUTED_VALUE"""),"Good")</f>
        <v>Good</v>
      </c>
      <c r="AE67" s="11"/>
      <c r="AF67" t="str">
        <v>Nikki.Dix@floridadep.gov</v>
      </c>
      <c r="AG67" s="17" t="s">
        <v>17</v>
      </c>
      <c r="AH67" s="12"/>
      <c r="AI67" s="12" t="s">
        <v>136</v>
      </c>
      <c r="AJ67" s="19" t="s">
        <v>137</v>
      </c>
      <c r="AK67" s="20" t="str">
        <f>HYPERLINK("https://docs.google.com/document/d/1xPjlL2XpuJuVs9bhlQHaVaBJvaUVRrAiSl6QpD-EBQQ/edit?usp=drivesdk","Silas Tanner - 5/25/2018 8:15 AM")</f>
        <v>Silas Tanner - 5/25/2018 8:15 AM</v>
      </c>
      <c r="AL67" s="12" t="s">
        <v>138</v>
      </c>
    </row>
    <row r="68" spans="1:38" ht="12.75">
      <c r="A68" s="10">
        <f ca="1">IFERROR(__xludf.DUMMYFUNCTION("""COMPUTED_VALUE"""),43248.3607038773)</f>
        <v>43248.360703877297</v>
      </c>
      <c r="B68" s="11" t="str">
        <f ca="1">IFERROR(__xludf.DUMMYFUNCTION("""COMPUTED_VALUE"""),"Ben Mowbray")</f>
        <v>Ben Mowbray</v>
      </c>
      <c r="C68" t="str">
        <f ca="1">IFERROR(__xludf.DUMMYFUNCTION("""COMPUTED_VALUE"""),"ben.mowbray@dep.state.fl.us")</f>
        <v>ben.mowbray@dep.state.fl.us</v>
      </c>
      <c r="D68" t="str">
        <f ca="1">IFERROR(__xludf.DUMMYFUNCTION("""COMPUTED_VALUE"""),"Research")</f>
        <v>Research</v>
      </c>
      <c r="E68" t="str">
        <f ca="1">IFERROR(__xludf.DUMMYFUNCTION("""COMPUTED_VALUE"""),"Shore Dr.")</f>
        <v>Shore Dr.</v>
      </c>
      <c r="F68" s="13">
        <f ca="1">IFERROR(__xludf.DUMMYFUNCTION("""COMPUTED_VALUE"""),0.39583333333212)</f>
        <v>0.39583333333212001</v>
      </c>
      <c r="G68" s="14">
        <f ca="1">IFERROR(__xludf.DUMMYFUNCTION("""COMPUTED_VALUE"""),43248)</f>
        <v>43248</v>
      </c>
      <c r="H68" t="str">
        <f ca="1">IFERROR(__xludf.DUMMYFUNCTION("""COMPUTED_VALUE"""),"Chapman Sites")</f>
        <v>Chapman Sites</v>
      </c>
      <c r="I68" s="15">
        <f ca="1">IFERROR(__xludf.DUMMYFUNCTION("""COMPUTED_VALUE"""),0.666666666667879)</f>
        <v>0.66666666666787899</v>
      </c>
      <c r="J68" s="16">
        <f ca="1">IFERROR(__xludf.DUMMYFUNCTION("""COMPUTED_VALUE"""),43248.7083333333)</f>
        <v>43248.708333333299</v>
      </c>
      <c r="K68" t="str">
        <f ca="1">IFERROR(__xludf.DUMMYFUNCTION("""COMPUTED_VALUE"""),"23ft Skiff (Bertha) FL7972LJ DEP07613")</f>
        <v>23ft Skiff (Bertha) FL7972LJ DEP07613</v>
      </c>
      <c r="M68" t="str">
        <f ca="1">IFERROR(__xludf.DUMMYFUNCTION("""COMPUTED_VALUE"""),"Ford F250 2017 (Moby Dix) - DEP0021578")</f>
        <v>Ford F250 2017 (Moby Dix) - DEP0021578</v>
      </c>
      <c r="N68" t="str">
        <f ca="1">IFERROR(__xludf.DUMMYFUNCTION("""COMPUTED_VALUE"""),"Ben Mowbray, (407) 962-8782")</f>
        <v>Ben Mowbray, (407) 962-8782</v>
      </c>
      <c r="O68" t="str">
        <f ca="1">IFERROR(__xludf.DUMMYFUNCTION("""COMPUTED_VALUE"""),"Gabriela Canas, (904) 891-9743, Chapman group")</f>
        <v>Gabriela Canas, (904) 891-9743, Chapman group</v>
      </c>
      <c r="P68" t="str">
        <f ca="1">IFERROR(__xludf.DUMMYFUNCTION("""COMPUTED_VALUE"""),"Ben")</f>
        <v>Ben</v>
      </c>
      <c r="Q68" t="str">
        <f ca="1">IFERROR(__xludf.DUMMYFUNCTION("""COMPUTED_VALUE"""),"Good")</f>
        <v>Good</v>
      </c>
      <c r="R68" t="str">
        <f ca="1">IFERROR(__xludf.DUMMYFUNCTION("""COMPUTED_VALUE"""),"Good")</f>
        <v>Good</v>
      </c>
      <c r="S68" t="str">
        <f ca="1">IFERROR(__xludf.DUMMYFUNCTION("""COMPUTED_VALUE"""),"Good")</f>
        <v>Good</v>
      </c>
      <c r="T68" t="str">
        <f ca="1">IFERROR(__xludf.DUMMYFUNCTION("""COMPUTED_VALUE"""),"Good")</f>
        <v>Good</v>
      </c>
      <c r="U68" t="str">
        <f ca="1">IFERROR(__xludf.DUMMYFUNCTION("""COMPUTED_VALUE"""),"Good")</f>
        <v>Good</v>
      </c>
      <c r="V68" t="str">
        <f ca="1">IFERROR(__xludf.DUMMYFUNCTION("""COMPUTED_VALUE"""),"Good")</f>
        <v>Good</v>
      </c>
      <c r="W68" t="str">
        <f ca="1">IFERROR(__xludf.DUMMYFUNCTION("""COMPUTED_VALUE"""),"Good")</f>
        <v>Good</v>
      </c>
      <c r="X68" t="str">
        <f ca="1">IFERROR(__xludf.DUMMYFUNCTION("""COMPUTED_VALUE"""),"Good")</f>
        <v>Good</v>
      </c>
      <c r="Y68" t="str">
        <f ca="1">IFERROR(__xludf.DUMMYFUNCTION("""COMPUTED_VALUE"""),"Good")</f>
        <v>Good</v>
      </c>
      <c r="Z68" t="str">
        <f ca="1">IFERROR(__xludf.DUMMYFUNCTION("""COMPUTED_VALUE"""),"Good")</f>
        <v>Good</v>
      </c>
      <c r="AA68" t="str">
        <f ca="1">IFERROR(__xludf.DUMMYFUNCTION("""COMPUTED_VALUE"""),"Good")</f>
        <v>Good</v>
      </c>
      <c r="AB68" t="str">
        <f ca="1">IFERROR(__xludf.DUMMYFUNCTION("""COMPUTED_VALUE"""),"Good")</f>
        <v>Good</v>
      </c>
      <c r="AC68" t="str">
        <f ca="1">IFERROR(__xludf.DUMMYFUNCTION("""COMPUTED_VALUE"""),"Good")</f>
        <v>Good</v>
      </c>
      <c r="AE68" s="11"/>
      <c r="AF68" t="str">
        <v>Nikki.Dix@floridadep.gov</v>
      </c>
      <c r="AG68" s="17" t="s">
        <v>139</v>
      </c>
      <c r="AH68" s="12"/>
      <c r="AI68" s="12" t="s">
        <v>140</v>
      </c>
      <c r="AJ68" s="19" t="s">
        <v>141</v>
      </c>
      <c r="AK68" s="20" t="str">
        <f>HYPERLINK("https://docs.google.com/document/d/1Z8dAn-NJRpmpNLlG1zkbjukS7RuYIXNvx0IZ730X_Lk/edit?usp=drivesdk","Ben Mowbray - 5/28/2018 9:30 AM")</f>
        <v>Ben Mowbray - 5/28/2018 9:30 AM</v>
      </c>
      <c r="AL68" s="12" t="s">
        <v>142</v>
      </c>
    </row>
    <row r="69" spans="1:38" ht="12.75">
      <c r="A69" s="10">
        <f ca="1">IFERROR(__xludf.DUMMYFUNCTION("""COMPUTED_VALUE"""),43249.3171502893)</f>
        <v>43249.317150289302</v>
      </c>
      <c r="B69" s="11" t="str">
        <f ca="1">IFERROR(__xludf.DUMMYFUNCTION("""COMPUTED_VALUE"""),"Silas Tanner")</f>
        <v>Silas Tanner</v>
      </c>
      <c r="C69" t="str">
        <f ca="1">IFERROR(__xludf.DUMMYFUNCTION("""COMPUTED_VALUE"""),"silas.tanner@floridadep.gov")</f>
        <v>silas.tanner@floridadep.gov</v>
      </c>
      <c r="D69" t="str">
        <f ca="1">IFERROR(__xludf.DUMMYFUNCTION("""COMPUTED_VALUE"""),"Research")</f>
        <v>Research</v>
      </c>
      <c r="E69" t="str">
        <f ca="1">IFERROR(__xludf.DUMMYFUNCTION("""COMPUTED_VALUE"""),"Vilano County Ramp; Green Rd")</f>
        <v>Vilano County Ramp; Green Rd</v>
      </c>
      <c r="F69" s="13">
        <f ca="1">IFERROR(__xludf.DUMMYFUNCTION("""COMPUTED_VALUE"""),0.39583333333212)</f>
        <v>0.39583333333212001</v>
      </c>
      <c r="G69" s="14">
        <f ca="1">IFERROR(__xludf.DUMMYFUNCTION("""COMPUTED_VALUE"""),43249)</f>
        <v>43249</v>
      </c>
      <c r="H69" t="str">
        <f ca="1">IFERROR(__xludf.DUMMYFUNCTION("""COMPUTED_VALUE"""),"ICW SWMP Sites")</f>
        <v>ICW SWMP Sites</v>
      </c>
      <c r="I69" s="15">
        <f ca="1">IFERROR(__xludf.DUMMYFUNCTION("""COMPUTED_VALUE"""),0.625)</f>
        <v>0.625</v>
      </c>
      <c r="J69" s="16">
        <f ca="1">IFERROR(__xludf.DUMMYFUNCTION("""COMPUTED_VALUE"""),43249.6458333333)</f>
        <v>43249.645833333299</v>
      </c>
      <c r="K69" t="str">
        <f ca="1">IFERROR(__xludf.DUMMYFUNCTION("""COMPUTED_VALUE"""),"20ft Sea Ark FL5351SJ UNF 2015")</f>
        <v>20ft Sea Ark FL5351SJ UNF 2015</v>
      </c>
      <c r="M69" t="str">
        <f ca="1">IFERROR(__xludf.DUMMYFUNCTION("""COMPUTED_VALUE"""),"Ford F150 2008 - DEP18041 (SWMP Thing)")</f>
        <v>Ford F150 2008 - DEP18041 (SWMP Thing)</v>
      </c>
      <c r="N69" t="str">
        <f ca="1">IFERROR(__xludf.DUMMYFUNCTION("""COMPUTED_VALUE"""),"Silas Tanner, (904) 483-8423, Jimmy Tomazinis, (904) 547-0094")</f>
        <v>Silas Tanner, (904) 483-8423, Jimmy Tomazinis, (904) 547-0094</v>
      </c>
      <c r="P69" t="str">
        <f ca="1">IFERROR(__xludf.DUMMYFUNCTION("""COMPUTED_VALUE"""),"Silas Tanner")</f>
        <v>Silas Tanner</v>
      </c>
      <c r="Q69" t="str">
        <f ca="1">IFERROR(__xludf.DUMMYFUNCTION("""COMPUTED_VALUE"""),"Good")</f>
        <v>Good</v>
      </c>
      <c r="R69" t="str">
        <f ca="1">IFERROR(__xludf.DUMMYFUNCTION("""COMPUTED_VALUE"""),"Good")</f>
        <v>Good</v>
      </c>
      <c r="S69" t="str">
        <f ca="1">IFERROR(__xludf.DUMMYFUNCTION("""COMPUTED_VALUE"""),"Good")</f>
        <v>Good</v>
      </c>
      <c r="T69" t="str">
        <f ca="1">IFERROR(__xludf.DUMMYFUNCTION("""COMPUTED_VALUE"""),"Good")</f>
        <v>Good</v>
      </c>
      <c r="U69" t="str">
        <f ca="1">IFERROR(__xludf.DUMMYFUNCTION("""COMPUTED_VALUE"""),"Good")</f>
        <v>Good</v>
      </c>
      <c r="V69" t="str">
        <f ca="1">IFERROR(__xludf.DUMMYFUNCTION("""COMPUTED_VALUE"""),"Good")</f>
        <v>Good</v>
      </c>
      <c r="W69" t="str">
        <f ca="1">IFERROR(__xludf.DUMMYFUNCTION("""COMPUTED_VALUE"""),"Good")</f>
        <v>Good</v>
      </c>
      <c r="X69" t="str">
        <f ca="1">IFERROR(__xludf.DUMMYFUNCTION("""COMPUTED_VALUE"""),"Good")</f>
        <v>Good</v>
      </c>
      <c r="Y69" t="str">
        <f ca="1">IFERROR(__xludf.DUMMYFUNCTION("""COMPUTED_VALUE"""),"Good")</f>
        <v>Good</v>
      </c>
      <c r="Z69" t="str">
        <f ca="1">IFERROR(__xludf.DUMMYFUNCTION("""COMPUTED_VALUE"""),"Good")</f>
        <v>Good</v>
      </c>
      <c r="AA69" t="str">
        <f ca="1">IFERROR(__xludf.DUMMYFUNCTION("""COMPUTED_VALUE"""),"Good")</f>
        <v>Good</v>
      </c>
      <c r="AB69" t="str">
        <f ca="1">IFERROR(__xludf.DUMMYFUNCTION("""COMPUTED_VALUE"""),"Good")</f>
        <v>Good</v>
      </c>
      <c r="AC69" t="str">
        <f ca="1">IFERROR(__xludf.DUMMYFUNCTION("""COMPUTED_VALUE"""),"Good")</f>
        <v>Good</v>
      </c>
      <c r="AE69" s="11"/>
      <c r="AF69" t="str">
        <v>Nikki.Dix@floridadep.gov</v>
      </c>
      <c r="AG69" s="17" t="s">
        <v>17</v>
      </c>
      <c r="AH69" s="12"/>
      <c r="AI69" s="12" t="s">
        <v>143</v>
      </c>
      <c r="AJ69" s="19" t="s">
        <v>144</v>
      </c>
      <c r="AK69" s="20" t="str">
        <f>HYPERLINK("https://docs.google.com/document/d/1-UbK8hMJUW_5g5Rku1FY9ewcvvUW5AHNrwKQATrchv4/edit?usp=drivesdk","Silas Tanner - 5/29/2018 9:30 AM")</f>
        <v>Silas Tanner - 5/29/2018 9:30 AM</v>
      </c>
      <c r="AL69" s="12" t="s">
        <v>145</v>
      </c>
    </row>
    <row r="70" spans="1:38" ht="12.75">
      <c r="A70" s="10">
        <f ca="1">IFERROR(__xludf.DUMMYFUNCTION("""COMPUTED_VALUE"""),43250.3983840277)</f>
        <v>43250.3983840277</v>
      </c>
      <c r="B70" s="11" t="str">
        <f ca="1">IFERROR(__xludf.DUMMYFUNCTION("""COMPUTED_VALUE"""),"James Tomazinis")</f>
        <v>James Tomazinis</v>
      </c>
      <c r="C70" t="str">
        <f ca="1">IFERROR(__xludf.DUMMYFUNCTION("""COMPUTED_VALUE"""),"james.tomazinis@floridadep.gov")</f>
        <v>james.tomazinis@floridadep.gov</v>
      </c>
      <c r="D70" t="str">
        <f ca="1">IFERROR(__xludf.DUMMYFUNCTION("""COMPUTED_VALUE"""),"Stewardship (Aquatic)")</f>
        <v>Stewardship (Aquatic)</v>
      </c>
      <c r="E70" t="str">
        <f ca="1">IFERROR(__xludf.DUMMYFUNCTION("""COMPUTED_VALUE"""),"dam")</f>
        <v>dam</v>
      </c>
      <c r="F70" s="13">
        <f ca="1">IFERROR(__xludf.DUMMYFUNCTION("""COMPUTED_VALUE"""),0.40625)</f>
        <v>0.40625</v>
      </c>
      <c r="G70" s="14">
        <f ca="1">IFERROR(__xludf.DUMMYFUNCTION("""COMPUTED_VALUE"""),43250)</f>
        <v>43250</v>
      </c>
      <c r="H70" t="str">
        <f ca="1">IFERROR(__xludf.DUMMYFUNCTION("""COMPUTED_VALUE"""),"Guana sample sites")</f>
        <v>Guana sample sites</v>
      </c>
      <c r="I70" s="15">
        <f ca="1">IFERROR(__xludf.DUMMYFUNCTION("""COMPUTED_VALUE"""),0.541666666667879)</f>
        <v>0.54166666666787899</v>
      </c>
      <c r="J70" s="16"/>
      <c r="K70" t="str">
        <f ca="1">IFERROR(__xludf.DUMMYFUNCTION("""COMPUTED_VALUE"""),"Jon Boat FL0484NP DEP06819")</f>
        <v>Jon Boat FL0484NP DEP06819</v>
      </c>
      <c r="M70" t="str">
        <f ca="1">IFERROR(__xludf.DUMMYFUNCTION("""COMPUTED_VALUE"""),"Ford Explorer 2002 - DEP05465 (AP)")</f>
        <v>Ford Explorer 2002 - DEP05465 (AP)</v>
      </c>
      <c r="N70" t="str">
        <f ca="1">IFERROR(__xludf.DUMMYFUNCTION("""COMPUTED_VALUE"""),"Jimmy Tomazinis, (904) 547-0094")</f>
        <v>Jimmy Tomazinis, (904) 547-0094</v>
      </c>
      <c r="O70" t="str">
        <f ca="1">IFERROR(__xludf.DUMMYFUNCTION("""COMPUTED_VALUE"""),"Hunter Mathews")</f>
        <v>Hunter Mathews</v>
      </c>
      <c r="P70" t="str">
        <f ca="1">IFERROR(__xludf.DUMMYFUNCTION("""COMPUTED_VALUE"""),"Jimmy")</f>
        <v>Jimmy</v>
      </c>
      <c r="Q70" t="str">
        <f ca="1">IFERROR(__xludf.DUMMYFUNCTION("""COMPUTED_VALUE"""),"Good")</f>
        <v>Good</v>
      </c>
      <c r="R70" t="str">
        <f ca="1">IFERROR(__xludf.DUMMYFUNCTION("""COMPUTED_VALUE"""),"Good")</f>
        <v>Good</v>
      </c>
      <c r="S70" t="str">
        <f ca="1">IFERROR(__xludf.DUMMYFUNCTION("""COMPUTED_VALUE"""),"Good")</f>
        <v>Good</v>
      </c>
      <c r="T70" t="str">
        <f ca="1">IFERROR(__xludf.DUMMYFUNCTION("""COMPUTED_VALUE"""),"Good")</f>
        <v>Good</v>
      </c>
      <c r="U70" t="str">
        <f ca="1">IFERROR(__xludf.DUMMYFUNCTION("""COMPUTED_VALUE"""),"Good")</f>
        <v>Good</v>
      </c>
      <c r="V70" t="str">
        <f ca="1">IFERROR(__xludf.DUMMYFUNCTION("""COMPUTED_VALUE"""),"Good")</f>
        <v>Good</v>
      </c>
      <c r="W70" t="str">
        <f ca="1">IFERROR(__xludf.DUMMYFUNCTION("""COMPUTED_VALUE"""),"Good")</f>
        <v>Good</v>
      </c>
      <c r="X70" t="str">
        <f ca="1">IFERROR(__xludf.DUMMYFUNCTION("""COMPUTED_VALUE"""),"Good")</f>
        <v>Good</v>
      </c>
      <c r="Y70" t="str">
        <f ca="1">IFERROR(__xludf.DUMMYFUNCTION("""COMPUTED_VALUE"""),"Good")</f>
        <v>Good</v>
      </c>
      <c r="Z70" t="str">
        <f ca="1">IFERROR(__xludf.DUMMYFUNCTION("""COMPUTED_VALUE"""),"Good")</f>
        <v>Good</v>
      </c>
      <c r="AA70" t="str">
        <f ca="1">IFERROR(__xludf.DUMMYFUNCTION("""COMPUTED_VALUE"""),"Good")</f>
        <v>Good</v>
      </c>
      <c r="AB70" t="str">
        <f ca="1">IFERROR(__xludf.DUMMYFUNCTION("""COMPUTED_VALUE"""),"Good")</f>
        <v>Good</v>
      </c>
      <c r="AC70" t="str">
        <f ca="1">IFERROR(__xludf.DUMMYFUNCTION("""COMPUTED_VALUE"""),"Good")</f>
        <v>Good</v>
      </c>
      <c r="AE70" s="11"/>
      <c r="AF70" t="str">
        <v>Scott.Eastman@floridadep.gov</v>
      </c>
      <c r="AG70" s="17" t="s">
        <v>17</v>
      </c>
      <c r="AH70" s="12"/>
      <c r="AI70" s="12" t="s">
        <v>146</v>
      </c>
      <c r="AJ70" s="19" t="s">
        <v>147</v>
      </c>
      <c r="AK70" s="20" t="str">
        <f>HYPERLINK("https://docs.google.com/document/d/1WsrMwbtq1vkTBudK_ew-NbpNttOyEo3T3Yuj3AdKLcs/edit?usp=drivesdk","James Tomazinis - 5/30/2018 9:45 AM")</f>
        <v>James Tomazinis - 5/30/2018 9:45 AM</v>
      </c>
      <c r="AL70" s="12" t="s">
        <v>148</v>
      </c>
    </row>
    <row r="71" spans="1:38" ht="12.75">
      <c r="A71" s="10">
        <f ca="1">IFERROR(__xludf.DUMMYFUNCTION("""COMPUTED_VALUE"""),43250.4428428819)</f>
        <v>43250.442842881901</v>
      </c>
      <c r="B71" s="11" t="str">
        <f ca="1">IFERROR(__xludf.DUMMYFUNCTION("""COMPUTED_VALUE"""),"Ben Mowbray")</f>
        <v>Ben Mowbray</v>
      </c>
      <c r="C71" t="str">
        <f ca="1">IFERROR(__xludf.DUMMYFUNCTION("""COMPUTED_VALUE"""),"ben.mowbray@dep.state.fl.us")</f>
        <v>ben.mowbray@dep.state.fl.us</v>
      </c>
      <c r="D71" t="str">
        <f ca="1">IFERROR(__xludf.DUMMYFUNCTION("""COMPUTED_VALUE"""),"Research")</f>
        <v>Research</v>
      </c>
      <c r="E71" t="str">
        <f ca="1">IFERROR(__xludf.DUMMYFUNCTION("""COMPUTED_VALUE"""),"Whitney Lab")</f>
        <v>Whitney Lab</v>
      </c>
      <c r="F71" s="13">
        <f ca="1">IFERROR(__xludf.DUMMYFUNCTION("""COMPUTED_VALUE"""),0.5)</f>
        <v>0.5</v>
      </c>
      <c r="G71" s="14">
        <f ca="1">IFERROR(__xludf.DUMMYFUNCTION("""COMPUTED_VALUE"""),43250)</f>
        <v>43250</v>
      </c>
      <c r="H71" t="str">
        <f ca="1">IFERROR(__xludf.DUMMYFUNCTION("""COMPUTED_VALUE"""),"Kimbro Sites")</f>
        <v>Kimbro Sites</v>
      </c>
      <c r="I71" s="15">
        <f ca="1">IFERROR(__xludf.DUMMYFUNCTION("""COMPUTED_VALUE"""),0.805555555554747)</f>
        <v>0.805555555554747</v>
      </c>
      <c r="J71" s="16">
        <f ca="1">IFERROR(__xludf.DUMMYFUNCTION("""COMPUTED_VALUE"""),43250.8472222222)</f>
        <v>43250.847222222197</v>
      </c>
      <c r="K71" t="str">
        <f ca="1">IFERROR(__xludf.DUMMYFUNCTION("""COMPUTED_VALUE"""),"23ft Skiff (Bertha) FL7972LJ DEP07613, Kayak(s)")</f>
        <v>23ft Skiff (Bertha) FL7972LJ DEP07613, Kayak(s)</v>
      </c>
      <c r="L71">
        <f ca="1">IFERROR(__xludf.DUMMYFUNCTION("""COMPUTED_VALUE"""),2)</f>
        <v>2</v>
      </c>
      <c r="M71" t="str">
        <f ca="1">IFERROR(__xludf.DUMMYFUNCTION("""COMPUTED_VALUE"""),"Ford F150 2008 - DEP18041 (SWMP Thing)")</f>
        <v>Ford F150 2008 - DEP18041 (SWMP Thing)</v>
      </c>
      <c r="N71" t="str">
        <f ca="1">IFERROR(__xludf.DUMMYFUNCTION("""COMPUTED_VALUE"""),"Pam Marcum, (480) 332-5414, Ben Mowbray, (407) 962-8782")</f>
        <v>Pam Marcum, (480) 332-5414, Ben Mowbray, (407) 962-8782</v>
      </c>
      <c r="O71" t="str">
        <f ca="1">IFERROR(__xludf.DUMMYFUNCTION("""COMPUTED_VALUE"""),"Kimbro Team")</f>
        <v>Kimbro Team</v>
      </c>
      <c r="P71" t="str">
        <f ca="1">IFERROR(__xludf.DUMMYFUNCTION("""COMPUTED_VALUE"""),"Ben")</f>
        <v>Ben</v>
      </c>
      <c r="Q71" t="str">
        <f ca="1">IFERROR(__xludf.DUMMYFUNCTION("""COMPUTED_VALUE"""),"Good")</f>
        <v>Good</v>
      </c>
      <c r="R71" t="str">
        <f ca="1">IFERROR(__xludf.DUMMYFUNCTION("""COMPUTED_VALUE"""),"Good")</f>
        <v>Good</v>
      </c>
      <c r="S71" t="str">
        <f ca="1">IFERROR(__xludf.DUMMYFUNCTION("""COMPUTED_VALUE"""),"Good")</f>
        <v>Good</v>
      </c>
      <c r="T71" t="str">
        <f ca="1">IFERROR(__xludf.DUMMYFUNCTION("""COMPUTED_VALUE"""),"Good")</f>
        <v>Good</v>
      </c>
      <c r="U71" t="str">
        <f ca="1">IFERROR(__xludf.DUMMYFUNCTION("""COMPUTED_VALUE"""),"Good")</f>
        <v>Good</v>
      </c>
      <c r="V71" t="str">
        <f ca="1">IFERROR(__xludf.DUMMYFUNCTION("""COMPUTED_VALUE"""),"Good")</f>
        <v>Good</v>
      </c>
      <c r="W71" t="str">
        <f ca="1">IFERROR(__xludf.DUMMYFUNCTION("""COMPUTED_VALUE"""),"Good")</f>
        <v>Good</v>
      </c>
      <c r="X71" t="str">
        <f ca="1">IFERROR(__xludf.DUMMYFUNCTION("""COMPUTED_VALUE"""),"Good")</f>
        <v>Good</v>
      </c>
      <c r="Y71" t="str">
        <f ca="1">IFERROR(__xludf.DUMMYFUNCTION("""COMPUTED_VALUE"""),"Good")</f>
        <v>Good</v>
      </c>
      <c r="Z71" t="str">
        <f ca="1">IFERROR(__xludf.DUMMYFUNCTION("""COMPUTED_VALUE"""),"Good")</f>
        <v>Good</v>
      </c>
      <c r="AA71" t="str">
        <f ca="1">IFERROR(__xludf.DUMMYFUNCTION("""COMPUTED_VALUE"""),"Good")</f>
        <v>Good</v>
      </c>
      <c r="AB71" t="str">
        <f ca="1">IFERROR(__xludf.DUMMYFUNCTION("""COMPUTED_VALUE"""),"Good")</f>
        <v>Good</v>
      </c>
      <c r="AC71" t="str">
        <f ca="1">IFERROR(__xludf.DUMMYFUNCTION("""COMPUTED_VALUE"""),"Good")</f>
        <v>Good</v>
      </c>
      <c r="AE71" s="11"/>
      <c r="AF71" t="str">
        <v>Nikki.Dix@floridadep.gov</v>
      </c>
      <c r="AG71" s="17" t="s">
        <v>17</v>
      </c>
      <c r="AH71" s="12"/>
      <c r="AI71" s="12" t="s">
        <v>149</v>
      </c>
      <c r="AJ71" s="19" t="s">
        <v>150</v>
      </c>
      <c r="AK71" s="20" t="str">
        <f>HYPERLINK("https://docs.google.com/document/d/1QBVhj8T9wlvA9MtmpE0nIHEBCK43PFkjVDTBjO99NHM/edit?usp=drivesdk","Ben Mowbray - 5/30/2018 12:00 PM")</f>
        <v>Ben Mowbray - 5/30/2018 12:00 PM</v>
      </c>
      <c r="AL71" s="12" t="s">
        <v>151</v>
      </c>
    </row>
    <row r="72" spans="1:38" ht="12.75">
      <c r="A72" s="10">
        <f ca="1">IFERROR(__xludf.DUMMYFUNCTION("""COMPUTED_VALUE"""),43250.4888432986)</f>
        <v>43250.488843298597</v>
      </c>
      <c r="B72" s="11" t="str">
        <f ca="1">IFERROR(__xludf.DUMMYFUNCTION("""COMPUTED_VALUE"""),"Silas Tanner")</f>
        <v>Silas Tanner</v>
      </c>
      <c r="C72" t="str">
        <f ca="1">IFERROR(__xludf.DUMMYFUNCTION("""COMPUTED_VALUE"""),"silas.tanner@floridadep.gov")</f>
        <v>silas.tanner@floridadep.gov</v>
      </c>
      <c r="D72" t="str">
        <f ca="1">IFERROR(__xludf.DUMMYFUNCTION("""COMPUTED_VALUE"""),"Research")</f>
        <v>Research</v>
      </c>
      <c r="E72" t="str">
        <f ca="1">IFERROR(__xludf.DUMMYFUNCTION("""COMPUTED_VALUE"""),"Vilano Ramp; Green Rd")</f>
        <v>Vilano Ramp; Green Rd</v>
      </c>
      <c r="F72" s="13">
        <f ca="1">IFERROR(__xludf.DUMMYFUNCTION("""COMPUTED_VALUE"""),0.36458333333212)</f>
        <v>0.36458333333212001</v>
      </c>
      <c r="G72" s="14">
        <f ca="1">IFERROR(__xludf.DUMMYFUNCTION("""COMPUTED_VALUE"""),43251)</f>
        <v>43251</v>
      </c>
      <c r="H72" t="str">
        <f ca="1">IFERROR(__xludf.DUMMYFUNCTION("""COMPUTED_VALUE"""),"ICW - SWMP sites")</f>
        <v>ICW - SWMP sites</v>
      </c>
      <c r="I72" s="15">
        <f ca="1">IFERROR(__xludf.DUMMYFUNCTION("""COMPUTED_VALUE"""),0.58333333333212)</f>
        <v>0.58333333333212001</v>
      </c>
      <c r="J72" s="16">
        <f ca="1">IFERROR(__xludf.DUMMYFUNCTION("""COMPUTED_VALUE"""),43251.6041666666)</f>
        <v>43251.604166666599</v>
      </c>
      <c r="K72" t="str">
        <f ca="1">IFERROR(__xludf.DUMMYFUNCTION("""COMPUTED_VALUE"""),"20ft Sea Ark FL5351SJ UNF 2015")</f>
        <v>20ft Sea Ark FL5351SJ UNF 2015</v>
      </c>
      <c r="M72" t="str">
        <f ca="1">IFERROR(__xludf.DUMMYFUNCTION("""COMPUTED_VALUE"""),"Ford F250 2017 (Moby Dix) - DEP0021578")</f>
        <v>Ford F250 2017 (Moby Dix) - DEP0021578</v>
      </c>
      <c r="N72" t="str">
        <f ca="1">IFERROR(__xludf.DUMMYFUNCTION("""COMPUTED_VALUE"""),"Silas Tanner, (904) 483-8423, Remo Mondazi")</f>
        <v>Silas Tanner, (904) 483-8423, Remo Mondazi</v>
      </c>
      <c r="P72" t="str">
        <f ca="1">IFERROR(__xludf.DUMMYFUNCTION("""COMPUTED_VALUE"""),"Silas Tanner")</f>
        <v>Silas Tanner</v>
      </c>
      <c r="Q72" t="str">
        <f ca="1">IFERROR(__xludf.DUMMYFUNCTION("""COMPUTED_VALUE"""),"Good")</f>
        <v>Good</v>
      </c>
      <c r="R72" t="str">
        <f ca="1">IFERROR(__xludf.DUMMYFUNCTION("""COMPUTED_VALUE"""),"Good")</f>
        <v>Good</v>
      </c>
      <c r="S72" t="str">
        <f ca="1">IFERROR(__xludf.DUMMYFUNCTION("""COMPUTED_VALUE"""),"Good")</f>
        <v>Good</v>
      </c>
      <c r="T72" t="str">
        <f ca="1">IFERROR(__xludf.DUMMYFUNCTION("""COMPUTED_VALUE"""),"Good")</f>
        <v>Good</v>
      </c>
      <c r="U72" t="str">
        <f ca="1">IFERROR(__xludf.DUMMYFUNCTION("""COMPUTED_VALUE"""),"Good")</f>
        <v>Good</v>
      </c>
      <c r="V72" t="str">
        <f ca="1">IFERROR(__xludf.DUMMYFUNCTION("""COMPUTED_VALUE"""),"Good")</f>
        <v>Good</v>
      </c>
      <c r="W72" t="str">
        <f ca="1">IFERROR(__xludf.DUMMYFUNCTION("""COMPUTED_VALUE"""),"Good")</f>
        <v>Good</v>
      </c>
      <c r="X72" t="str">
        <f ca="1">IFERROR(__xludf.DUMMYFUNCTION("""COMPUTED_VALUE"""),"Good")</f>
        <v>Good</v>
      </c>
      <c r="Y72" t="str">
        <f ca="1">IFERROR(__xludf.DUMMYFUNCTION("""COMPUTED_VALUE"""),"Good")</f>
        <v>Good</v>
      </c>
      <c r="Z72" t="str">
        <f ca="1">IFERROR(__xludf.DUMMYFUNCTION("""COMPUTED_VALUE"""),"Good")</f>
        <v>Good</v>
      </c>
      <c r="AA72" t="str">
        <f ca="1">IFERROR(__xludf.DUMMYFUNCTION("""COMPUTED_VALUE"""),"Good")</f>
        <v>Good</v>
      </c>
      <c r="AB72" t="str">
        <f ca="1">IFERROR(__xludf.DUMMYFUNCTION("""COMPUTED_VALUE"""),"Good")</f>
        <v>Good</v>
      </c>
      <c r="AC72" t="str">
        <f ca="1">IFERROR(__xludf.DUMMYFUNCTION("""COMPUTED_VALUE"""),"Good")</f>
        <v>Good</v>
      </c>
      <c r="AE72" s="11"/>
      <c r="AF72" t="str">
        <v>Nikki.Dix@floridadep.gov</v>
      </c>
      <c r="AG72" s="17" t="s">
        <v>17</v>
      </c>
      <c r="AH72" s="12"/>
      <c r="AI72" s="12" t="s">
        <v>152</v>
      </c>
      <c r="AJ72" s="19" t="s">
        <v>153</v>
      </c>
      <c r="AK72" s="20" t="str">
        <f>HYPERLINK("https://docs.google.com/document/d/18xsY3dGulHPGl_CAhmxP1foemiasC677-RRywmPh4mc/edit?usp=drivesdk","Silas Tanner - 5/31/2018 8:45 AM")</f>
        <v>Silas Tanner - 5/31/2018 8:45 AM</v>
      </c>
      <c r="AL72" s="12" t="s">
        <v>154</v>
      </c>
    </row>
    <row r="73" spans="1:38" ht="12.75">
      <c r="A73" s="10">
        <f ca="1">IFERROR(__xludf.DUMMYFUNCTION("""COMPUTED_VALUE"""),43251.4755913773)</f>
        <v>43251.475591377297</v>
      </c>
      <c r="B73" s="11" t="str">
        <f ca="1">IFERROR(__xludf.DUMMYFUNCTION("""COMPUTED_VALUE"""),"Ben Mowbray")</f>
        <v>Ben Mowbray</v>
      </c>
      <c r="C73" t="str">
        <f ca="1">IFERROR(__xludf.DUMMYFUNCTION("""COMPUTED_VALUE"""),"ben.mowbray@dep.state.fl.us")</f>
        <v>ben.mowbray@dep.state.fl.us</v>
      </c>
      <c r="D73" t="str">
        <f ca="1">IFERROR(__xludf.DUMMYFUNCTION("""COMPUTED_VALUE"""),"Research")</f>
        <v>Research</v>
      </c>
      <c r="E73" t="str">
        <f ca="1">IFERROR(__xludf.DUMMYFUNCTION("""COMPUTED_VALUE"""),"Green Rd.")</f>
        <v>Green Rd.</v>
      </c>
      <c r="F73" s="13">
        <f ca="1">IFERROR(__xludf.DUMMYFUNCTION("""COMPUTED_VALUE"""),0.541666666667879)</f>
        <v>0.54166666666787899</v>
      </c>
      <c r="G73" s="14">
        <f ca="1">IFERROR(__xludf.DUMMYFUNCTION("""COMPUTED_VALUE"""),43251)</f>
        <v>43251</v>
      </c>
      <c r="H73" t="str">
        <f ca="1">IFERROR(__xludf.DUMMYFUNCTION("""COMPUTED_VALUE"""),"Kimbro Sites")</f>
        <v>Kimbro Sites</v>
      </c>
      <c r="I73" s="15">
        <f ca="1">IFERROR(__xludf.DUMMYFUNCTION("""COMPUTED_VALUE"""),0.791666666667879)</f>
        <v>0.79166666666787899</v>
      </c>
      <c r="J73" s="16">
        <f ca="1">IFERROR(__xludf.DUMMYFUNCTION("""COMPUTED_VALUE"""),43251.8333333333)</f>
        <v>43251.833333333299</v>
      </c>
      <c r="K73" t="str">
        <f ca="1">IFERROR(__xludf.DUMMYFUNCTION("""COMPUTED_VALUE"""),"23ft Skiff (Bertha) FL7972LJ DEP07613, Kayak(s)")</f>
        <v>23ft Skiff (Bertha) FL7972LJ DEP07613, Kayak(s)</v>
      </c>
      <c r="L73">
        <f ca="1">IFERROR(__xludf.DUMMYFUNCTION("""COMPUTED_VALUE"""),2)</f>
        <v>2</v>
      </c>
      <c r="M73" t="str">
        <f ca="1">IFERROR(__xludf.DUMMYFUNCTION("""COMPUTED_VALUE"""),"Ford F150 2008 - DEP18041 (SWMP Thing)")</f>
        <v>Ford F150 2008 - DEP18041 (SWMP Thing)</v>
      </c>
      <c r="N73" t="str">
        <f ca="1">IFERROR(__xludf.DUMMYFUNCTION("""COMPUTED_VALUE"""),"Pam Marcum, (480) 332-5414, Ben Mowbray, (407) 962-8782")</f>
        <v>Pam Marcum, (480) 332-5414, Ben Mowbray, (407) 962-8782</v>
      </c>
      <c r="O73" t="str">
        <f ca="1">IFERROR(__xludf.DUMMYFUNCTION("""COMPUTED_VALUE"""),"Craig + Kimbro's team")</f>
        <v>Craig + Kimbro's team</v>
      </c>
      <c r="P73" t="str">
        <f ca="1">IFERROR(__xludf.DUMMYFUNCTION("""COMPUTED_VALUE"""),"Ben")</f>
        <v>Ben</v>
      </c>
      <c r="Q73" t="str">
        <f ca="1">IFERROR(__xludf.DUMMYFUNCTION("""COMPUTED_VALUE"""),"Good")</f>
        <v>Good</v>
      </c>
      <c r="R73" t="str">
        <f ca="1">IFERROR(__xludf.DUMMYFUNCTION("""COMPUTED_VALUE"""),"Good")</f>
        <v>Good</v>
      </c>
      <c r="S73" t="str">
        <f ca="1">IFERROR(__xludf.DUMMYFUNCTION("""COMPUTED_VALUE"""),"Good")</f>
        <v>Good</v>
      </c>
      <c r="T73" t="str">
        <f ca="1">IFERROR(__xludf.DUMMYFUNCTION("""COMPUTED_VALUE"""),"Good")</f>
        <v>Good</v>
      </c>
      <c r="U73" t="str">
        <f ca="1">IFERROR(__xludf.DUMMYFUNCTION("""COMPUTED_VALUE"""),"Good")</f>
        <v>Good</v>
      </c>
      <c r="V73" t="str">
        <f ca="1">IFERROR(__xludf.DUMMYFUNCTION("""COMPUTED_VALUE"""),"Good")</f>
        <v>Good</v>
      </c>
      <c r="W73" t="str">
        <f ca="1">IFERROR(__xludf.DUMMYFUNCTION("""COMPUTED_VALUE"""),"Good")</f>
        <v>Good</v>
      </c>
      <c r="X73" t="str">
        <f ca="1">IFERROR(__xludf.DUMMYFUNCTION("""COMPUTED_VALUE"""),"Good")</f>
        <v>Good</v>
      </c>
      <c r="Y73" t="str">
        <f ca="1">IFERROR(__xludf.DUMMYFUNCTION("""COMPUTED_VALUE"""),"Good")</f>
        <v>Good</v>
      </c>
      <c r="Z73" t="str">
        <f ca="1">IFERROR(__xludf.DUMMYFUNCTION("""COMPUTED_VALUE"""),"Good")</f>
        <v>Good</v>
      </c>
      <c r="AA73" t="str">
        <f ca="1">IFERROR(__xludf.DUMMYFUNCTION("""COMPUTED_VALUE"""),"Good")</f>
        <v>Good</v>
      </c>
      <c r="AB73" t="str">
        <f ca="1">IFERROR(__xludf.DUMMYFUNCTION("""COMPUTED_VALUE"""),"Good")</f>
        <v>Good</v>
      </c>
      <c r="AC73" t="str">
        <f ca="1">IFERROR(__xludf.DUMMYFUNCTION("""COMPUTED_VALUE"""),"Good")</f>
        <v>Good</v>
      </c>
      <c r="AE73" s="11"/>
      <c r="AF73" t="str">
        <v>Nikki.Dix@floridadep.gov</v>
      </c>
      <c r="AG73" s="17" t="s">
        <v>41</v>
      </c>
      <c r="AH73" s="12"/>
      <c r="AI73" s="12" t="s">
        <v>155</v>
      </c>
      <c r="AJ73" s="19" t="s">
        <v>156</v>
      </c>
      <c r="AK73" s="20" t="str">
        <f>HYPERLINK("https://docs.google.com/document/d/1GGxNyt9MBnblp9Zx3L_z8an_bzsgGlS6W15cDVnm3fk/edit?usp=drivesdk","Ben Mowbray - 5/31/2018 1:00 PM")</f>
        <v>Ben Mowbray - 5/31/2018 1:00 PM</v>
      </c>
      <c r="AL73" s="12" t="s">
        <v>157</v>
      </c>
    </row>
    <row r="74" spans="1:38" ht="12.75">
      <c r="A74" s="10">
        <f ca="1">IFERROR(__xludf.DUMMYFUNCTION("""COMPUTED_VALUE"""),43252.4123285995)</f>
        <v>43252.412328599501</v>
      </c>
      <c r="B74" s="11" t="str">
        <f ca="1">IFERROR(__xludf.DUMMYFUNCTION("""COMPUTED_VALUE"""),"Pamela Marcum")</f>
        <v>Pamela Marcum</v>
      </c>
      <c r="C74" t="str">
        <f ca="1">IFERROR(__xludf.DUMMYFUNCTION("""COMPUTED_VALUE"""),"Pamela.Marcum@dep.state.fl.us")</f>
        <v>Pamela.Marcum@dep.state.fl.us</v>
      </c>
      <c r="D74" t="str">
        <f ca="1">IFERROR(__xludf.DUMMYFUNCTION("""COMPUTED_VALUE"""),"Research")</f>
        <v>Research</v>
      </c>
      <c r="E74" t="str">
        <f ca="1">IFERROR(__xludf.DUMMYFUNCTION("""COMPUTED_VALUE"""),"Whitney Lab")</f>
        <v>Whitney Lab</v>
      </c>
      <c r="F74" s="13">
        <f ca="1">IFERROR(__xludf.DUMMYFUNCTION("""COMPUTED_VALUE"""),0.45833333333212)</f>
        <v>0.45833333333212001</v>
      </c>
      <c r="G74" s="14">
        <f ca="1">IFERROR(__xludf.DUMMYFUNCTION("""COMPUTED_VALUE"""),43252)</f>
        <v>43252</v>
      </c>
      <c r="H74" t="str">
        <f ca="1">IFERROR(__xludf.DUMMYFUNCTION("""COMPUTED_VALUE"""),"Fort Matanzas area")</f>
        <v>Fort Matanzas area</v>
      </c>
      <c r="I74" s="15">
        <f ca="1">IFERROR(__xludf.DUMMYFUNCTION("""COMPUTED_VALUE"""),0.666666666667879)</f>
        <v>0.66666666666787899</v>
      </c>
      <c r="J74" s="16">
        <f ca="1">IFERROR(__xludf.DUMMYFUNCTION("""COMPUTED_VALUE"""),43253.7083333333)</f>
        <v>43253.708333333299</v>
      </c>
      <c r="K74" t="str">
        <f ca="1">IFERROR(__xludf.DUMMYFUNCTION("""COMPUTED_VALUE"""),"20ft Sea Ark FL5351SJ UNF 2015")</f>
        <v>20ft Sea Ark FL5351SJ UNF 2015</v>
      </c>
      <c r="M74" t="str">
        <f ca="1">IFERROR(__xludf.DUMMYFUNCTION("""COMPUTED_VALUE"""),"Ford F150 2008 - DEP18041 (SWMP Thing)")</f>
        <v>Ford F150 2008 - DEP18041 (SWMP Thing)</v>
      </c>
      <c r="N74" t="str">
        <f ca="1">IFERROR(__xludf.DUMMYFUNCTION("""COMPUTED_VALUE"""),"Pam Marcum, (480) 332-5414")</f>
        <v>Pam Marcum, (480) 332-5414</v>
      </c>
      <c r="O74" t="str">
        <f ca="1">IFERROR(__xludf.DUMMYFUNCTION("""COMPUTED_VALUE"""),"Tricia Kaiser, Eben Broadbent")</f>
        <v>Tricia Kaiser, Eben Broadbent</v>
      </c>
      <c r="P74" t="str">
        <f ca="1">IFERROR(__xludf.DUMMYFUNCTION("""COMPUTED_VALUE"""),"Pam Marcum")</f>
        <v>Pam Marcum</v>
      </c>
      <c r="Q74" t="str">
        <f ca="1">IFERROR(__xludf.DUMMYFUNCTION("""COMPUTED_VALUE"""),"Good")</f>
        <v>Good</v>
      </c>
      <c r="R74" t="str">
        <f ca="1">IFERROR(__xludf.DUMMYFUNCTION("""COMPUTED_VALUE"""),"Good")</f>
        <v>Good</v>
      </c>
      <c r="S74" t="str">
        <f ca="1">IFERROR(__xludf.DUMMYFUNCTION("""COMPUTED_VALUE"""),"Good")</f>
        <v>Good</v>
      </c>
      <c r="T74" t="str">
        <f ca="1">IFERROR(__xludf.DUMMYFUNCTION("""COMPUTED_VALUE"""),"Good")</f>
        <v>Good</v>
      </c>
      <c r="U74" t="str">
        <f ca="1">IFERROR(__xludf.DUMMYFUNCTION("""COMPUTED_VALUE"""),"Good")</f>
        <v>Good</v>
      </c>
      <c r="V74" t="str">
        <f ca="1">IFERROR(__xludf.DUMMYFUNCTION("""COMPUTED_VALUE"""),"Good")</f>
        <v>Good</v>
      </c>
      <c r="W74" t="str">
        <f ca="1">IFERROR(__xludf.DUMMYFUNCTION("""COMPUTED_VALUE"""),"Good")</f>
        <v>Good</v>
      </c>
      <c r="X74" t="str">
        <f ca="1">IFERROR(__xludf.DUMMYFUNCTION("""COMPUTED_VALUE"""),"Good")</f>
        <v>Good</v>
      </c>
      <c r="Y74" t="str">
        <f ca="1">IFERROR(__xludf.DUMMYFUNCTION("""COMPUTED_VALUE"""),"Good")</f>
        <v>Good</v>
      </c>
      <c r="Z74" t="str">
        <f ca="1">IFERROR(__xludf.DUMMYFUNCTION("""COMPUTED_VALUE"""),"Good")</f>
        <v>Good</v>
      </c>
      <c r="AA74" t="str">
        <f ca="1">IFERROR(__xludf.DUMMYFUNCTION("""COMPUTED_VALUE"""),"Good")</f>
        <v>Good</v>
      </c>
      <c r="AB74" t="str">
        <f ca="1">IFERROR(__xludf.DUMMYFUNCTION("""COMPUTED_VALUE"""),"Good")</f>
        <v>Good</v>
      </c>
      <c r="AC74" t="str">
        <f ca="1">IFERROR(__xludf.DUMMYFUNCTION("""COMPUTED_VALUE"""),"Good")</f>
        <v>Good</v>
      </c>
      <c r="AE74" s="11"/>
      <c r="AF74" t="str">
        <v>Nikki.Dix@floridadep.gov</v>
      </c>
      <c r="AG74" s="17" t="s">
        <v>41</v>
      </c>
      <c r="AH74" s="12"/>
      <c r="AI74" s="12" t="s">
        <v>158</v>
      </c>
      <c r="AJ74" s="19" t="s">
        <v>159</v>
      </c>
      <c r="AK74" s="20" t="str">
        <f>HYPERLINK("https://docs.google.com/document/d/1Meihg5Jrur5EeX5nc6SpgFu2CqSqHvOVRaDjMu8Kzjw/edit?usp=drivesdk","Pamela Marcum - 6/1/2018 11:00 AM")</f>
        <v>Pamela Marcum - 6/1/2018 11:00 AM</v>
      </c>
      <c r="AL74" s="12" t="s">
        <v>160</v>
      </c>
    </row>
    <row r="75" spans="1:38" ht="12.75">
      <c r="A75" s="10">
        <f ca="1">IFERROR(__xludf.DUMMYFUNCTION("""COMPUTED_VALUE"""),43252.9702232523)</f>
        <v>43252.970223252298</v>
      </c>
      <c r="B75" s="11" t="str">
        <f ca="1">IFERROR(__xludf.DUMMYFUNCTION("""COMPUTED_VALUE"""),"Pamela Marcum")</f>
        <v>Pamela Marcum</v>
      </c>
      <c r="C75" t="str">
        <f ca="1">IFERROR(__xludf.DUMMYFUNCTION("""COMPUTED_VALUE"""),"Pamela.Marcum@dep.state.fl.us")</f>
        <v>Pamela.Marcum@dep.state.fl.us</v>
      </c>
      <c r="D75" t="str">
        <f ca="1">IFERROR(__xludf.DUMMYFUNCTION("""COMPUTED_VALUE"""),"Research")</f>
        <v>Research</v>
      </c>
      <c r="E75" t="str">
        <f ca="1">IFERROR(__xludf.DUMMYFUNCTION("""COMPUTED_VALUE"""),"Douglas Crane Park Shore Dr. ")</f>
        <v xml:space="preserve">Douglas Crane Park Shore Dr. </v>
      </c>
      <c r="F75" s="13">
        <f ca="1">IFERROR(__xludf.DUMMYFUNCTION("""COMPUTED_VALUE"""),0.25)</f>
        <v>0.25</v>
      </c>
      <c r="G75" s="14">
        <f ca="1">IFERROR(__xludf.DUMMYFUNCTION("""COMPUTED_VALUE"""),43253)</f>
        <v>43253</v>
      </c>
      <c r="H75" t="str">
        <f ca="1">IFERROR(__xludf.DUMMYFUNCTION("""COMPUTED_VALUE"""),"Spat sites")</f>
        <v>Spat sites</v>
      </c>
      <c r="I75" s="15">
        <f ca="1">IFERROR(__xludf.DUMMYFUNCTION("""COMPUTED_VALUE"""),0.5)</f>
        <v>0.5</v>
      </c>
      <c r="J75" s="16">
        <f ca="1">IFERROR(__xludf.DUMMYFUNCTION("""COMPUTED_VALUE"""),43252.5416666666)</f>
        <v>43252.541666666599</v>
      </c>
      <c r="K75" t="str">
        <f ca="1">IFERROR(__xludf.DUMMYFUNCTION("""COMPUTED_VALUE"""),"20ft Sea Ark FL5351SJ UNF 2015")</f>
        <v>20ft Sea Ark FL5351SJ UNF 2015</v>
      </c>
      <c r="M75" t="str">
        <f ca="1">IFERROR(__xludf.DUMMYFUNCTION("""COMPUTED_VALUE"""),"Ford F150 2008 - DEP18041 (SWMP Thing)")</f>
        <v>Ford F150 2008 - DEP18041 (SWMP Thing)</v>
      </c>
      <c r="N75" t="str">
        <f ca="1">IFERROR(__xludf.DUMMYFUNCTION("""COMPUTED_VALUE"""),"Pam Marcum, (480) 332-5414")</f>
        <v>Pam Marcum, (480) 332-5414</v>
      </c>
      <c r="O75" t="str">
        <f ca="1">IFERROR(__xludf.DUMMYFUNCTION("""COMPUTED_VALUE"""),"David Kimbro, Rodrigo")</f>
        <v>David Kimbro, Rodrigo</v>
      </c>
      <c r="P75" t="str">
        <f ca="1">IFERROR(__xludf.DUMMYFUNCTION("""COMPUTED_VALUE"""),"Pam")</f>
        <v>Pam</v>
      </c>
      <c r="Q75" t="str">
        <f ca="1">IFERROR(__xludf.DUMMYFUNCTION("""COMPUTED_VALUE"""),"Good")</f>
        <v>Good</v>
      </c>
      <c r="R75" t="str">
        <f ca="1">IFERROR(__xludf.DUMMYFUNCTION("""COMPUTED_VALUE"""),"Good")</f>
        <v>Good</v>
      </c>
      <c r="S75" t="str">
        <f ca="1">IFERROR(__xludf.DUMMYFUNCTION("""COMPUTED_VALUE"""),"Good")</f>
        <v>Good</v>
      </c>
      <c r="T75" t="str">
        <f ca="1">IFERROR(__xludf.DUMMYFUNCTION("""COMPUTED_VALUE"""),"Good")</f>
        <v>Good</v>
      </c>
      <c r="U75" t="str">
        <f ca="1">IFERROR(__xludf.DUMMYFUNCTION("""COMPUTED_VALUE"""),"Good")</f>
        <v>Good</v>
      </c>
      <c r="V75" t="str">
        <f ca="1">IFERROR(__xludf.DUMMYFUNCTION("""COMPUTED_VALUE"""),"Good")</f>
        <v>Good</v>
      </c>
      <c r="W75" t="str">
        <f ca="1">IFERROR(__xludf.DUMMYFUNCTION("""COMPUTED_VALUE"""),"Good")</f>
        <v>Good</v>
      </c>
      <c r="X75" t="str">
        <f ca="1">IFERROR(__xludf.DUMMYFUNCTION("""COMPUTED_VALUE"""),"Good")</f>
        <v>Good</v>
      </c>
      <c r="Y75" t="str">
        <f ca="1">IFERROR(__xludf.DUMMYFUNCTION("""COMPUTED_VALUE"""),"Good")</f>
        <v>Good</v>
      </c>
      <c r="Z75" t="str">
        <f ca="1">IFERROR(__xludf.DUMMYFUNCTION("""COMPUTED_VALUE"""),"Good")</f>
        <v>Good</v>
      </c>
      <c r="AA75" t="str">
        <f ca="1">IFERROR(__xludf.DUMMYFUNCTION("""COMPUTED_VALUE"""),"Good")</f>
        <v>Good</v>
      </c>
      <c r="AB75" t="str">
        <f ca="1">IFERROR(__xludf.DUMMYFUNCTION("""COMPUTED_VALUE"""),"Good")</f>
        <v>Good</v>
      </c>
      <c r="AC75" t="str">
        <f ca="1">IFERROR(__xludf.DUMMYFUNCTION("""COMPUTED_VALUE"""),"Good")</f>
        <v>Good</v>
      </c>
      <c r="AE75" s="11"/>
      <c r="AF75" t="str">
        <v>Nikki.Dix@floridadep.gov</v>
      </c>
      <c r="AG75" s="17" t="s">
        <v>41</v>
      </c>
      <c r="AH75" s="12"/>
      <c r="AI75" s="12" t="s">
        <v>161</v>
      </c>
      <c r="AJ75" s="19" t="s">
        <v>162</v>
      </c>
      <c r="AK75" s="20" t="str">
        <f>HYPERLINK("https://docs.google.com/document/d/1_BU8DyN37-pP7dXayBuVa2UgN4SSVZhJ2PswBb3iWpA/edit?usp=drivesdk","Pamela Marcum - 6/2/2018 6:00 AM")</f>
        <v>Pamela Marcum - 6/2/2018 6:00 AM</v>
      </c>
      <c r="AL75" s="12" t="s">
        <v>163</v>
      </c>
    </row>
    <row r="76" spans="1:38" ht="12.75">
      <c r="A76" s="10">
        <f ca="1">IFERROR(__xludf.DUMMYFUNCTION("""COMPUTED_VALUE"""),43255.5065000115)</f>
        <v>43255.506500011499</v>
      </c>
      <c r="B76" s="11" t="str">
        <f ca="1">IFERROR(__xludf.DUMMYFUNCTION("""COMPUTED_VALUE"""),"Kenneth Rainer")</f>
        <v>Kenneth Rainer</v>
      </c>
      <c r="C76" t="str">
        <f ca="1">IFERROR(__xludf.DUMMYFUNCTION("""COMPUTED_VALUE"""),"Kenneth.Rainer@dep.state.fl.us")</f>
        <v>Kenneth.Rainer@dep.state.fl.us</v>
      </c>
      <c r="D76" t="str">
        <f ca="1">IFERROR(__xludf.DUMMYFUNCTION("""COMPUTED_VALUE"""),"Education")</f>
        <v>Education</v>
      </c>
      <c r="E76" t="str">
        <f ca="1">IFERROR(__xludf.DUMMYFUNCTION("""COMPUTED_VALUE"""),"Green Road Boat Ramp")</f>
        <v>Green Road Boat Ramp</v>
      </c>
      <c r="F76" s="13">
        <f ca="1">IFERROR(__xludf.DUMMYFUNCTION("""COMPUTED_VALUE"""),0.416666666667879)</f>
        <v>0.41666666666787899</v>
      </c>
      <c r="G76" s="14">
        <f ca="1">IFERROR(__xludf.DUMMYFUNCTION("""COMPUTED_VALUE"""),43256)</f>
        <v>43256</v>
      </c>
      <c r="H76" t="str">
        <f ca="1">IFERROR(__xludf.DUMMYFUNCTION("""COMPUTED_VALUE"""),"Jason's Creek/ Matanzas Inlet")</f>
        <v>Jason's Creek/ Matanzas Inlet</v>
      </c>
      <c r="I76" s="15">
        <f ca="1">IFERROR(__xludf.DUMMYFUNCTION("""COMPUTED_VALUE"""),0.64583333333212)</f>
        <v>0.64583333333212001</v>
      </c>
      <c r="J76" s="16">
        <f ca="1">IFERROR(__xludf.DUMMYFUNCTION("""COMPUTED_VALUE"""),43257.6458333333)</f>
        <v>43257.645833333299</v>
      </c>
      <c r="K76" t="str">
        <f ca="1">IFERROR(__xludf.DUMMYFUNCTION("""COMPUTED_VALUE"""),"23ft Skiff (Bertha) FL7972LJ DEP07613, Kayak(s)")</f>
        <v>23ft Skiff (Bertha) FL7972LJ DEP07613, Kayak(s)</v>
      </c>
      <c r="L76">
        <f ca="1">IFERROR(__xludf.DUMMYFUNCTION("""COMPUTED_VALUE"""),6)</f>
        <v>6</v>
      </c>
      <c r="M76" t="str">
        <f ca="1">IFERROR(__xludf.DUMMYFUNCTION("""COMPUTED_VALUE"""),"Ford F250 2017 (Moby Dix) - DEP0021578")</f>
        <v>Ford F250 2017 (Moby Dix) - DEP0021578</v>
      </c>
      <c r="N76" t="str">
        <f ca="1">IFERROR(__xludf.DUMMYFUNCTION("""COMPUTED_VALUE"""),"Kenneth Rainer, (936) 499-1853, Jimmy Tomazinis, (904) 547-0094")</f>
        <v>Kenneth Rainer, (936) 499-1853, Jimmy Tomazinis, (904) 547-0094</v>
      </c>
      <c r="O76" t="str">
        <f ca="1">IFERROR(__xludf.DUMMYFUNCTION("""COMPUTED_VALUE"""),"Gabriela Canas, (904) 891-9743, Emma Hanson, Summer Campers and Summer Camp Interns")</f>
        <v>Gabriela Canas, (904) 891-9743, Emma Hanson, Summer Campers and Summer Camp Interns</v>
      </c>
      <c r="P76" t="str">
        <f ca="1">IFERROR(__xludf.DUMMYFUNCTION("""COMPUTED_VALUE"""),"Kenneth Rainer")</f>
        <v>Kenneth Rainer</v>
      </c>
      <c r="Q76" t="str">
        <f ca="1">IFERROR(__xludf.DUMMYFUNCTION("""COMPUTED_VALUE"""),"Good")</f>
        <v>Good</v>
      </c>
      <c r="R76" t="str">
        <f ca="1">IFERROR(__xludf.DUMMYFUNCTION("""COMPUTED_VALUE"""),"Good")</f>
        <v>Good</v>
      </c>
      <c r="S76" t="str">
        <f ca="1">IFERROR(__xludf.DUMMYFUNCTION("""COMPUTED_VALUE"""),"Good")</f>
        <v>Good</v>
      </c>
      <c r="T76" t="str">
        <f ca="1">IFERROR(__xludf.DUMMYFUNCTION("""COMPUTED_VALUE"""),"Good")</f>
        <v>Good</v>
      </c>
      <c r="U76" t="str">
        <f ca="1">IFERROR(__xludf.DUMMYFUNCTION("""COMPUTED_VALUE"""),"Good")</f>
        <v>Good</v>
      </c>
      <c r="V76" t="str">
        <f ca="1">IFERROR(__xludf.DUMMYFUNCTION("""COMPUTED_VALUE"""),"Good")</f>
        <v>Good</v>
      </c>
      <c r="W76" t="str">
        <f ca="1">IFERROR(__xludf.DUMMYFUNCTION("""COMPUTED_VALUE"""),"Good")</f>
        <v>Good</v>
      </c>
      <c r="X76" t="str">
        <f ca="1">IFERROR(__xludf.DUMMYFUNCTION("""COMPUTED_VALUE"""),"Good")</f>
        <v>Good</v>
      </c>
      <c r="Y76" t="str">
        <f ca="1">IFERROR(__xludf.DUMMYFUNCTION("""COMPUTED_VALUE"""),"Good")</f>
        <v>Good</v>
      </c>
      <c r="Z76" t="str">
        <f ca="1">IFERROR(__xludf.DUMMYFUNCTION("""COMPUTED_VALUE"""),"Good")</f>
        <v>Good</v>
      </c>
      <c r="AA76" t="str">
        <f ca="1">IFERROR(__xludf.DUMMYFUNCTION("""COMPUTED_VALUE"""),"Good")</f>
        <v>Good</v>
      </c>
      <c r="AB76" t="str">
        <f ca="1">IFERROR(__xludf.DUMMYFUNCTION("""COMPUTED_VALUE"""),"Good")</f>
        <v>Good</v>
      </c>
      <c r="AC76" t="str">
        <f ca="1">IFERROR(__xludf.DUMMYFUNCTION("""COMPUTED_VALUE"""),"Good")</f>
        <v>Good</v>
      </c>
      <c r="AD76" t="str">
        <f ca="1">IFERROR(__xludf.DUMMYFUNCTION("""COMPUTED_VALUE"""),"88F; 2%; 7 mph WNW")</f>
        <v>88F; 2%; 7 mph WNW</v>
      </c>
      <c r="AE76" s="11" t="str">
        <f ca="1">IFERROR(__xludf.DUMMYFUNCTION("""COMPUTED_VALUE"""),"H (1:35 a.m. | 3.51ft), L (8:21 a.m. | 0.37ft), H (2:06 p.m. | 2.87ft), L (8:17 p.m. | 0.55ft)")</f>
        <v>H (1:35 a.m. | 3.51ft), L (8:21 a.m. | 0.37ft), H (2:06 p.m. | 2.87ft), L (8:17 p.m. | 0.55ft)</v>
      </c>
      <c r="AF76" t="str">
        <v>Kenneth.Rainer@floridadep.gov</v>
      </c>
      <c r="AG76" s="17" t="s">
        <v>17</v>
      </c>
      <c r="AH76" s="12"/>
      <c r="AI76" s="12" t="s">
        <v>164</v>
      </c>
      <c r="AJ76" s="19" t="s">
        <v>165</v>
      </c>
      <c r="AK76" s="20" t="str">
        <f>HYPERLINK("https://docs.google.com/document/d/1_99TZLD-k-C9EsSVpSJNccEWzt4WrxyVPB59pY1zq1c/edit?usp=drivesdk","Kenneth Rainer - 6/5/2018 10:00 AM")</f>
        <v>Kenneth Rainer - 6/5/2018 10:00 AM</v>
      </c>
      <c r="AL76" s="12" t="s">
        <v>166</v>
      </c>
    </row>
    <row r="77" spans="1:38" ht="12.75">
      <c r="A77" s="10">
        <f ca="1">IFERROR(__xludf.DUMMYFUNCTION("""COMPUTED_VALUE"""),43255.5090859837)</f>
        <v>43255.5090859837</v>
      </c>
      <c r="B77" s="11" t="str">
        <f ca="1">IFERROR(__xludf.DUMMYFUNCTION("""COMPUTED_VALUE"""),"Jimmy Tomazinis")</f>
        <v>Jimmy Tomazinis</v>
      </c>
      <c r="C77" t="str">
        <f ca="1">IFERROR(__xludf.DUMMYFUNCTION("""COMPUTED_VALUE"""),"james.tomazinis@floridadep.gov")</f>
        <v>james.tomazinis@floridadep.gov</v>
      </c>
      <c r="D77" t="str">
        <f ca="1">IFERROR(__xludf.DUMMYFUNCTION("""COMPUTED_VALUE"""),"Education")</f>
        <v>Education</v>
      </c>
      <c r="E77" t="str">
        <f ca="1">IFERROR(__xludf.DUMMYFUNCTION("""COMPUTED_VALUE"""),"Green Road Boat Ramp")</f>
        <v>Green Road Boat Ramp</v>
      </c>
      <c r="F77" s="13">
        <f ca="1">IFERROR(__xludf.DUMMYFUNCTION("""COMPUTED_VALUE"""),0.416666666667879)</f>
        <v>0.41666666666787899</v>
      </c>
      <c r="G77" s="14">
        <f ca="1">IFERROR(__xludf.DUMMYFUNCTION("""COMPUTED_VALUE"""),43256)</f>
        <v>43256</v>
      </c>
      <c r="H77" t="str">
        <f ca="1">IFERROR(__xludf.DUMMYFUNCTION("""COMPUTED_VALUE"""),"Jason's Creek / Matanzas Inlet")</f>
        <v>Jason's Creek / Matanzas Inlet</v>
      </c>
      <c r="I77" s="15">
        <f ca="1">IFERROR(__xludf.DUMMYFUNCTION("""COMPUTED_VALUE"""),0.64583333333212)</f>
        <v>0.64583333333212001</v>
      </c>
      <c r="J77" s="16">
        <f ca="1">IFERROR(__xludf.DUMMYFUNCTION("""COMPUTED_VALUE"""),43257.6458333333)</f>
        <v>43257.645833333299</v>
      </c>
      <c r="K77" t="str">
        <f ca="1">IFERROR(__xludf.DUMMYFUNCTION("""COMPUTED_VALUE"""),"F 20ft Sea Ark (Easy 200) FL8534PY DEP21451")</f>
        <v>F 20ft Sea Ark (Easy 200) FL8534PY DEP21451</v>
      </c>
      <c r="M77" t="str">
        <f ca="1">IFERROR(__xludf.DUMMYFUNCTION("""COMPUTED_VALUE"""),"Ford F150 2008 - DEP18041 (SWMP Thing)")</f>
        <v>Ford F150 2008 - DEP18041 (SWMP Thing)</v>
      </c>
      <c r="N77" t="str">
        <f ca="1">IFERROR(__xludf.DUMMYFUNCTION("""COMPUTED_VALUE"""),"Kenneth Rainer, (936) 499-1853, Jimmy Tomazinis, (904) 547-0094")</f>
        <v>Kenneth Rainer, (936) 499-1853, Jimmy Tomazinis, (904) 547-0094</v>
      </c>
      <c r="O77" t="str">
        <f ca="1">IFERROR(__xludf.DUMMYFUNCTION("""COMPUTED_VALUE"""),"Gabriela Canas, (904) 891-9743, Emma Hanson, Summer Campers and Summer Camp Interns")</f>
        <v>Gabriela Canas, (904) 891-9743, Emma Hanson, Summer Campers and Summer Camp Interns</v>
      </c>
      <c r="P77" t="str">
        <f ca="1">IFERROR(__xludf.DUMMYFUNCTION("""COMPUTED_VALUE"""),"James Tomazinis")</f>
        <v>James Tomazinis</v>
      </c>
      <c r="Q77" t="str">
        <f ca="1">IFERROR(__xludf.DUMMYFUNCTION("""COMPUTED_VALUE"""),"Good")</f>
        <v>Good</v>
      </c>
      <c r="R77" t="str">
        <f ca="1">IFERROR(__xludf.DUMMYFUNCTION("""COMPUTED_VALUE"""),"Good")</f>
        <v>Good</v>
      </c>
      <c r="S77" t="str">
        <f ca="1">IFERROR(__xludf.DUMMYFUNCTION("""COMPUTED_VALUE"""),"Good")</f>
        <v>Good</v>
      </c>
      <c r="T77" t="str">
        <f ca="1">IFERROR(__xludf.DUMMYFUNCTION("""COMPUTED_VALUE"""),"Good")</f>
        <v>Good</v>
      </c>
      <c r="U77" t="str">
        <f ca="1">IFERROR(__xludf.DUMMYFUNCTION("""COMPUTED_VALUE"""),"Good")</f>
        <v>Good</v>
      </c>
      <c r="V77" t="str">
        <f ca="1">IFERROR(__xludf.DUMMYFUNCTION("""COMPUTED_VALUE"""),"Good")</f>
        <v>Good</v>
      </c>
      <c r="W77" t="str">
        <f ca="1">IFERROR(__xludf.DUMMYFUNCTION("""COMPUTED_VALUE"""),"Good")</f>
        <v>Good</v>
      </c>
      <c r="X77" t="str">
        <f ca="1">IFERROR(__xludf.DUMMYFUNCTION("""COMPUTED_VALUE"""),"Good")</f>
        <v>Good</v>
      </c>
      <c r="Y77" t="str">
        <f ca="1">IFERROR(__xludf.DUMMYFUNCTION("""COMPUTED_VALUE"""),"Good")</f>
        <v>Good</v>
      </c>
      <c r="Z77" t="str">
        <f ca="1">IFERROR(__xludf.DUMMYFUNCTION("""COMPUTED_VALUE"""),"Good")</f>
        <v>Good</v>
      </c>
      <c r="AA77" t="str">
        <f ca="1">IFERROR(__xludf.DUMMYFUNCTION("""COMPUTED_VALUE"""),"Good")</f>
        <v>Good</v>
      </c>
      <c r="AB77" t="str">
        <f ca="1">IFERROR(__xludf.DUMMYFUNCTION("""COMPUTED_VALUE"""),"Good")</f>
        <v>Good</v>
      </c>
      <c r="AC77" t="str">
        <f ca="1">IFERROR(__xludf.DUMMYFUNCTION("""COMPUTED_VALUE"""),"Good")</f>
        <v>Good</v>
      </c>
      <c r="AD77" t="str">
        <f ca="1">IFERROR(__xludf.DUMMYFUNCTION("""COMPUTED_VALUE"""),"88F; 2%; 7 mph WNW")</f>
        <v>88F; 2%; 7 mph WNW</v>
      </c>
      <c r="AE77" s="11" t="str">
        <f ca="1">IFERROR(__xludf.DUMMYFUNCTION("""COMPUTED_VALUE"""),"H (1:35 a.m. | 3.51ft), L (8:21 a.m. | 0.37ft), H (2:06 p.m. | 2.87ft), L (8:17 p.m. | 0.55ft)")</f>
        <v>H (1:35 a.m. | 3.51ft), L (8:21 a.m. | 0.37ft), H (2:06 p.m. | 2.87ft), L (8:17 p.m. | 0.55ft)</v>
      </c>
      <c r="AF77" t="str">
        <v>Kenneth.Rainer@floridadep.gov</v>
      </c>
      <c r="AG77" s="17" t="s">
        <v>17</v>
      </c>
      <c r="AH77" s="12"/>
      <c r="AI77" s="12" t="s">
        <v>167</v>
      </c>
      <c r="AJ77" s="19" t="s">
        <v>168</v>
      </c>
      <c r="AK77" s="20" t="str">
        <f>HYPERLINK("https://docs.google.com/document/d/1OT1kes3CIgU0ZoBNEpPtzP0zZ3y229Cg9-mTm6wn5UM/edit?usp=drivesdk","Jimmy Tomazinis - 6/5/2018 10:00 AM")</f>
        <v>Jimmy Tomazinis - 6/5/2018 10:00 AM</v>
      </c>
      <c r="AL77" s="12" t="s">
        <v>169</v>
      </c>
    </row>
    <row r="78" spans="1:38" ht="12.75">
      <c r="A78" s="10">
        <f ca="1">IFERROR(__xludf.DUMMYFUNCTION("""COMPUTED_VALUE"""),43255.5117305324)</f>
        <v>43255.511730532402</v>
      </c>
      <c r="B78" s="11" t="str">
        <f ca="1">IFERROR(__xludf.DUMMYFUNCTION("""COMPUTED_VALUE"""),"Kenneth Rainer")</f>
        <v>Kenneth Rainer</v>
      </c>
      <c r="C78" t="str">
        <f ca="1">IFERROR(__xludf.DUMMYFUNCTION("""COMPUTED_VALUE"""),"Kenneth.Rainer@dep.state.fl.us")</f>
        <v>Kenneth.Rainer@dep.state.fl.us</v>
      </c>
      <c r="D78" t="str">
        <f ca="1">IFERROR(__xludf.DUMMYFUNCTION("""COMPUTED_VALUE"""),"Education")</f>
        <v>Education</v>
      </c>
      <c r="E78" t="str">
        <f ca="1">IFERROR(__xludf.DUMMYFUNCTION("""COMPUTED_VALUE"""),"Usina Boat Ramp")</f>
        <v>Usina Boat Ramp</v>
      </c>
      <c r="F78" s="13">
        <f ca="1">IFERROR(__xludf.DUMMYFUNCTION("""COMPUTED_VALUE"""),0.39583333333212)</f>
        <v>0.39583333333212001</v>
      </c>
      <c r="G78" s="14">
        <f ca="1">IFERROR(__xludf.DUMMYFUNCTION("""COMPUTED_VALUE"""),43258)</f>
        <v>43258</v>
      </c>
      <c r="H78" t="str">
        <f ca="1">IFERROR(__xludf.DUMMYFUNCTION("""COMPUTED_VALUE"""),"Wright's Landing; Shell Bluff; Angelini Project")</f>
        <v>Wright's Landing; Shell Bluff; Angelini Project</v>
      </c>
      <c r="I78" s="15">
        <f ca="1">IFERROR(__xludf.DUMMYFUNCTION("""COMPUTED_VALUE"""),0.64583333333212)</f>
        <v>0.64583333333212001</v>
      </c>
      <c r="J78" s="16">
        <f ca="1">IFERROR(__xludf.DUMMYFUNCTION("""COMPUTED_VALUE"""),43258.6666666666)</f>
        <v>43258.666666666599</v>
      </c>
      <c r="K78" t="str">
        <f ca="1">IFERROR(__xludf.DUMMYFUNCTION("""COMPUTED_VALUE"""),"23ft Skiff (Bertha) FL7972LJ DEP07613")</f>
        <v>23ft Skiff (Bertha) FL7972LJ DEP07613</v>
      </c>
      <c r="M78" t="str">
        <f ca="1">IFERROR(__xludf.DUMMYFUNCTION("""COMPUTED_VALUE"""),"Ford F250 2017 (Moby Dix) - DEP0021578")</f>
        <v>Ford F250 2017 (Moby Dix) - DEP0021578</v>
      </c>
      <c r="N78" t="str">
        <f ca="1">IFERROR(__xludf.DUMMYFUNCTION("""COMPUTED_VALUE"""),"Kenneth Rainer, (936) 499-1853, Silas Tanner, (904) 483-8423")</f>
        <v>Kenneth Rainer, (936) 499-1853, Silas Tanner, (904) 483-8423</v>
      </c>
      <c r="O78" t="str">
        <f ca="1">IFERROR(__xludf.DUMMYFUNCTION("""COMPUTED_VALUE"""),"Gabriela Canas, (904) 891-9743, Emma Hanson, Josie Spearman, (386) 627-0816, Summer Campers and Summer Camp Interns")</f>
        <v>Gabriela Canas, (904) 891-9743, Emma Hanson, Josie Spearman, (386) 627-0816, Summer Campers and Summer Camp Interns</v>
      </c>
      <c r="P78" t="str">
        <f ca="1">IFERROR(__xludf.DUMMYFUNCTION("""COMPUTED_VALUE"""),"Kenneth Rainer")</f>
        <v>Kenneth Rainer</v>
      </c>
      <c r="Q78" t="str">
        <f ca="1">IFERROR(__xludf.DUMMYFUNCTION("""COMPUTED_VALUE"""),"Good")</f>
        <v>Good</v>
      </c>
      <c r="R78" t="str">
        <f ca="1">IFERROR(__xludf.DUMMYFUNCTION("""COMPUTED_VALUE"""),"Good")</f>
        <v>Good</v>
      </c>
      <c r="S78" t="str">
        <f ca="1">IFERROR(__xludf.DUMMYFUNCTION("""COMPUTED_VALUE"""),"Good")</f>
        <v>Good</v>
      </c>
      <c r="T78" t="str">
        <f ca="1">IFERROR(__xludf.DUMMYFUNCTION("""COMPUTED_VALUE"""),"Good")</f>
        <v>Good</v>
      </c>
      <c r="U78" t="str">
        <f ca="1">IFERROR(__xludf.DUMMYFUNCTION("""COMPUTED_VALUE"""),"Good")</f>
        <v>Good</v>
      </c>
      <c r="V78" t="str">
        <f ca="1">IFERROR(__xludf.DUMMYFUNCTION("""COMPUTED_VALUE"""),"Good")</f>
        <v>Good</v>
      </c>
      <c r="W78" t="str">
        <f ca="1">IFERROR(__xludf.DUMMYFUNCTION("""COMPUTED_VALUE"""),"Good")</f>
        <v>Good</v>
      </c>
      <c r="X78" t="str">
        <f ca="1">IFERROR(__xludf.DUMMYFUNCTION("""COMPUTED_VALUE"""),"Good")</f>
        <v>Good</v>
      </c>
      <c r="Y78" t="str">
        <f ca="1">IFERROR(__xludf.DUMMYFUNCTION("""COMPUTED_VALUE"""),"Good")</f>
        <v>Good</v>
      </c>
      <c r="Z78" t="str">
        <f ca="1">IFERROR(__xludf.DUMMYFUNCTION("""COMPUTED_VALUE"""),"Good")</f>
        <v>Good</v>
      </c>
      <c r="AA78" t="str">
        <f ca="1">IFERROR(__xludf.DUMMYFUNCTION("""COMPUTED_VALUE"""),"Good")</f>
        <v>Good</v>
      </c>
      <c r="AB78" t="str">
        <f ca="1">IFERROR(__xludf.DUMMYFUNCTION("""COMPUTED_VALUE"""),"Good")</f>
        <v>Good</v>
      </c>
      <c r="AC78" t="str">
        <f ca="1">IFERROR(__xludf.DUMMYFUNCTION("""COMPUTED_VALUE"""),"Good")</f>
        <v>Good</v>
      </c>
      <c r="AD78" t="str">
        <f ca="1">IFERROR(__xludf.DUMMYFUNCTION("""COMPUTED_VALUE"""),"87F; 34%; 10 mph ESE (scattered thunderstorms and partly cloudy)")</f>
        <v>87F; 34%; 10 mph ESE (scattered thunderstorms and partly cloudy)</v>
      </c>
      <c r="AE78" s="11" t="str">
        <f ca="1">IFERROR(__xludf.DUMMYFUNCTION("""COMPUTED_VALUE"""),"H (3:18 a.m. | 3.36ft), L (9:46 a.m. | -0.27ft), H (4:02 p.m. | 3.32ft), L (10:08 p.m. | 0.08ft)")</f>
        <v>H (3:18 a.m. | 3.36ft), L (9:46 a.m. | -0.27ft), H (4:02 p.m. | 3.32ft), L (10:08 p.m. | 0.08ft)</v>
      </c>
      <c r="AF78" t="str">
        <v>Kenneth.Rainer@floridadep.gov</v>
      </c>
      <c r="AG78" s="17" t="s">
        <v>7</v>
      </c>
      <c r="AH78" s="12"/>
      <c r="AI78" s="12" t="s">
        <v>170</v>
      </c>
      <c r="AJ78" s="19" t="s">
        <v>171</v>
      </c>
      <c r="AK78" s="20" t="str">
        <f>HYPERLINK("https://docs.google.com/document/d/1f4rCTUh5g2HKvT37iHIzLi2xkFwrlxrV8ZlB-EPRd_0/edit?usp=drivesdk","Kenneth Rainer - 6/7/2018 9:30 AM")</f>
        <v>Kenneth Rainer - 6/7/2018 9:30 AM</v>
      </c>
      <c r="AL78" s="12" t="s">
        <v>172</v>
      </c>
    </row>
    <row r="79" spans="1:38" ht="12.75">
      <c r="A79" s="10">
        <f ca="1">IFERROR(__xludf.DUMMYFUNCTION("""COMPUTED_VALUE"""),43255.5134832523)</f>
        <v>43255.513483252304</v>
      </c>
      <c r="B79" s="11" t="str">
        <f ca="1">IFERROR(__xludf.DUMMYFUNCTION("""COMPUTED_VALUE"""),"Silas Tanner")</f>
        <v>Silas Tanner</v>
      </c>
      <c r="C79" t="str">
        <f ca="1">IFERROR(__xludf.DUMMYFUNCTION("""COMPUTED_VALUE"""),"silas.tanner@floridadep.gov")</f>
        <v>silas.tanner@floridadep.gov</v>
      </c>
      <c r="D79" t="str">
        <f ca="1">IFERROR(__xludf.DUMMYFUNCTION("""COMPUTED_VALUE"""),"Education")</f>
        <v>Education</v>
      </c>
      <c r="E79" t="str">
        <f ca="1">IFERROR(__xludf.DUMMYFUNCTION("""COMPUTED_VALUE"""),"Usina Boat Ramp")</f>
        <v>Usina Boat Ramp</v>
      </c>
      <c r="F79" s="13">
        <f ca="1">IFERROR(__xludf.DUMMYFUNCTION("""COMPUTED_VALUE"""),0.39583333333212)</f>
        <v>0.39583333333212001</v>
      </c>
      <c r="G79" s="14">
        <f ca="1">IFERROR(__xludf.DUMMYFUNCTION("""COMPUTED_VALUE"""),43258)</f>
        <v>43258</v>
      </c>
      <c r="H79" t="str">
        <f ca="1">IFERROR(__xludf.DUMMYFUNCTION("""COMPUTED_VALUE"""),"Wright's Landing; Shell Bluff; Angelini Project")</f>
        <v>Wright's Landing; Shell Bluff; Angelini Project</v>
      </c>
      <c r="I79" s="15">
        <f ca="1">IFERROR(__xludf.DUMMYFUNCTION("""COMPUTED_VALUE"""),0.64583333333212)</f>
        <v>0.64583333333212001</v>
      </c>
      <c r="J79" s="16">
        <f ca="1">IFERROR(__xludf.DUMMYFUNCTION("""COMPUTED_VALUE"""),43258.6666666666)</f>
        <v>43258.666666666599</v>
      </c>
      <c r="K79" t="str">
        <f ca="1">IFERROR(__xludf.DUMMYFUNCTION("""COMPUTED_VALUE"""),"F 20ft Sea Ark (Easy 200) FL8534PY DEP21451")</f>
        <v>F 20ft Sea Ark (Easy 200) FL8534PY DEP21451</v>
      </c>
      <c r="M79" t="str">
        <f ca="1">IFERROR(__xludf.DUMMYFUNCTION("""COMPUTED_VALUE"""),"Ford F150 2008 - DEP18041 (SWMP Thing)")</f>
        <v>Ford F150 2008 - DEP18041 (SWMP Thing)</v>
      </c>
      <c r="N79" t="str">
        <f ca="1">IFERROR(__xludf.DUMMYFUNCTION("""COMPUTED_VALUE"""),"Kenneth Rainer, (936) 499-1853, Silas Tanner, (904) 483-8423")</f>
        <v>Kenneth Rainer, (936) 499-1853, Silas Tanner, (904) 483-8423</v>
      </c>
      <c r="O79" t="str">
        <f ca="1">IFERROR(__xludf.DUMMYFUNCTION("""COMPUTED_VALUE"""),"Gabriela Canas, (904) 891-9743, Emma Hanson, Josie Spearman, (386) 627-0816, Summer Campers and Summer Camp Interns")</f>
        <v>Gabriela Canas, (904) 891-9743, Emma Hanson, Josie Spearman, (386) 627-0816, Summer Campers and Summer Camp Interns</v>
      </c>
      <c r="P79" t="str">
        <f ca="1">IFERROR(__xludf.DUMMYFUNCTION("""COMPUTED_VALUE"""),"Silas Tanner")</f>
        <v>Silas Tanner</v>
      </c>
      <c r="Q79" t="str">
        <f ca="1">IFERROR(__xludf.DUMMYFUNCTION("""COMPUTED_VALUE"""),"Good")</f>
        <v>Good</v>
      </c>
      <c r="R79" t="str">
        <f ca="1">IFERROR(__xludf.DUMMYFUNCTION("""COMPUTED_VALUE"""),"Good")</f>
        <v>Good</v>
      </c>
      <c r="S79" t="str">
        <f ca="1">IFERROR(__xludf.DUMMYFUNCTION("""COMPUTED_VALUE"""),"Good")</f>
        <v>Good</v>
      </c>
      <c r="T79" t="str">
        <f ca="1">IFERROR(__xludf.DUMMYFUNCTION("""COMPUTED_VALUE"""),"Good")</f>
        <v>Good</v>
      </c>
      <c r="U79" t="str">
        <f ca="1">IFERROR(__xludf.DUMMYFUNCTION("""COMPUTED_VALUE"""),"Good")</f>
        <v>Good</v>
      </c>
      <c r="V79" t="str">
        <f ca="1">IFERROR(__xludf.DUMMYFUNCTION("""COMPUTED_VALUE"""),"Good")</f>
        <v>Good</v>
      </c>
      <c r="W79" t="str">
        <f ca="1">IFERROR(__xludf.DUMMYFUNCTION("""COMPUTED_VALUE"""),"Good")</f>
        <v>Good</v>
      </c>
      <c r="X79" t="str">
        <f ca="1">IFERROR(__xludf.DUMMYFUNCTION("""COMPUTED_VALUE"""),"Good")</f>
        <v>Good</v>
      </c>
      <c r="Y79" t="str">
        <f ca="1">IFERROR(__xludf.DUMMYFUNCTION("""COMPUTED_VALUE"""),"Good")</f>
        <v>Good</v>
      </c>
      <c r="Z79" t="str">
        <f ca="1">IFERROR(__xludf.DUMMYFUNCTION("""COMPUTED_VALUE"""),"Good")</f>
        <v>Good</v>
      </c>
      <c r="AA79" t="str">
        <f ca="1">IFERROR(__xludf.DUMMYFUNCTION("""COMPUTED_VALUE"""),"Good")</f>
        <v>Good</v>
      </c>
      <c r="AB79" t="str">
        <f ca="1">IFERROR(__xludf.DUMMYFUNCTION("""COMPUTED_VALUE"""),"Good")</f>
        <v>Good</v>
      </c>
      <c r="AC79" t="str">
        <f ca="1">IFERROR(__xludf.DUMMYFUNCTION("""COMPUTED_VALUE"""),"Good")</f>
        <v>Good</v>
      </c>
      <c r="AD79" t="str">
        <f ca="1">IFERROR(__xludf.DUMMYFUNCTION("""COMPUTED_VALUE"""),"87F; 34%; 10 mph ESE (scattered thunderstorms and partly cloudy)")</f>
        <v>87F; 34%; 10 mph ESE (scattered thunderstorms and partly cloudy)</v>
      </c>
      <c r="AE79" s="11" t="str">
        <f ca="1">IFERROR(__xludf.DUMMYFUNCTION("""COMPUTED_VALUE"""),"H (3:18 a.m. | 3.36ft), L (9:46 a.m. | -0.27ft), H (4:02 p.m. | 3.32ft), L (10:08 p.m. | 0.08ft)")</f>
        <v>H (3:18 a.m. | 3.36ft), L (9:46 a.m. | -0.27ft), H (4:02 p.m. | 3.32ft), L (10:08 p.m. | 0.08ft)</v>
      </c>
      <c r="AF79" t="str">
        <v>Kenneth.Rainer@floridadep.gov</v>
      </c>
      <c r="AG79" s="17" t="s">
        <v>7</v>
      </c>
      <c r="AH79" s="12"/>
      <c r="AI79" s="12" t="s">
        <v>173</v>
      </c>
      <c r="AJ79" s="19" t="s">
        <v>174</v>
      </c>
      <c r="AK79" s="20" t="str">
        <f>HYPERLINK("https://docs.google.com/document/d/1omI7AifJyv7VBder7xWpamlAqbP_DccSbkNyJKL1wJk/edit?usp=drivesdk","Silas Tanner - 6/7/2018 9:30 AM")</f>
        <v>Silas Tanner - 6/7/2018 9:30 AM</v>
      </c>
      <c r="AL79" s="12" t="s">
        <v>175</v>
      </c>
    </row>
    <row r="80" spans="1:38" ht="12.75">
      <c r="A80" s="10">
        <f ca="1">IFERROR(__xludf.DUMMYFUNCTION("""COMPUTED_VALUE"""),43262.3614742708)</f>
        <v>43262.361474270801</v>
      </c>
      <c r="B80" s="11" t="str">
        <f ca="1">IFERROR(__xludf.DUMMYFUNCTION("""COMPUTED_VALUE"""),"James Tomazinis")</f>
        <v>James Tomazinis</v>
      </c>
      <c r="C80" t="str">
        <f ca="1">IFERROR(__xludf.DUMMYFUNCTION("""COMPUTED_VALUE"""),"james.tomazinis@floridadep.gov")</f>
        <v>james.tomazinis@floridadep.gov</v>
      </c>
      <c r="D80" t="str">
        <f ca="1">IFERROR(__xludf.DUMMYFUNCTION("""COMPUTED_VALUE"""),"Stewardship (Aquatic)")</f>
        <v>Stewardship (Aquatic)</v>
      </c>
      <c r="E80" t="str">
        <f ca="1">IFERROR(__xludf.DUMMYFUNCTION("""COMPUTED_VALUE"""),"Guana Dam")</f>
        <v>Guana Dam</v>
      </c>
      <c r="F80" s="13">
        <f ca="1">IFERROR(__xludf.DUMMYFUNCTION("""COMPUTED_VALUE"""),0.354166666667879)</f>
        <v>0.35416666666787899</v>
      </c>
      <c r="G80" s="14">
        <f ca="1">IFERROR(__xludf.DUMMYFUNCTION("""COMPUTED_VALUE"""),43262)</f>
        <v>43262</v>
      </c>
      <c r="H80" t="str">
        <f ca="1">IFERROR(__xludf.DUMMYFUNCTION("""COMPUTED_VALUE"""),"Guana WQ sites")</f>
        <v>Guana WQ sites</v>
      </c>
      <c r="I80" s="15">
        <f ca="1">IFERROR(__xludf.DUMMYFUNCTION("""COMPUTED_VALUE"""),0.5)</f>
        <v>0.5</v>
      </c>
      <c r="J80" s="16"/>
      <c r="K80" t="str">
        <f ca="1">IFERROR(__xludf.DUMMYFUNCTION("""COMPUTED_VALUE"""),"Jon Boat FL0484NP DEP06819")</f>
        <v>Jon Boat FL0484NP DEP06819</v>
      </c>
      <c r="M80" t="str">
        <f ca="1">IFERROR(__xludf.DUMMYFUNCTION("""COMPUTED_VALUE"""),"Ford Explorer 2002 - DEP05465 (AP)")</f>
        <v>Ford Explorer 2002 - DEP05465 (AP)</v>
      </c>
      <c r="N80" t="str">
        <f ca="1">IFERROR(__xludf.DUMMYFUNCTION("""COMPUTED_VALUE"""),"Jimmy Tomazinis, (904) 547-0094")</f>
        <v>Jimmy Tomazinis, (904) 547-0094</v>
      </c>
      <c r="O80" t="str">
        <f ca="1">IFERROR(__xludf.DUMMYFUNCTION("""COMPUTED_VALUE"""),"Hunter Mathews")</f>
        <v>Hunter Mathews</v>
      </c>
      <c r="P80" t="str">
        <f ca="1">IFERROR(__xludf.DUMMYFUNCTION("""COMPUTED_VALUE"""),"Jimmy")</f>
        <v>Jimmy</v>
      </c>
      <c r="Q80" t="str">
        <f ca="1">IFERROR(__xludf.DUMMYFUNCTION("""COMPUTED_VALUE"""),"Good")</f>
        <v>Good</v>
      </c>
      <c r="R80" t="str">
        <f ca="1">IFERROR(__xludf.DUMMYFUNCTION("""COMPUTED_VALUE"""),"Good")</f>
        <v>Good</v>
      </c>
      <c r="S80" t="str">
        <f ca="1">IFERROR(__xludf.DUMMYFUNCTION("""COMPUTED_VALUE"""),"Good")</f>
        <v>Good</v>
      </c>
      <c r="T80" t="str">
        <f ca="1">IFERROR(__xludf.DUMMYFUNCTION("""COMPUTED_VALUE"""),"Good")</f>
        <v>Good</v>
      </c>
      <c r="U80" t="str">
        <f ca="1">IFERROR(__xludf.DUMMYFUNCTION("""COMPUTED_VALUE"""),"Good")</f>
        <v>Good</v>
      </c>
      <c r="V80" t="str">
        <f ca="1">IFERROR(__xludf.DUMMYFUNCTION("""COMPUTED_VALUE"""),"Good")</f>
        <v>Good</v>
      </c>
      <c r="W80" t="str">
        <f ca="1">IFERROR(__xludf.DUMMYFUNCTION("""COMPUTED_VALUE"""),"Good")</f>
        <v>Good</v>
      </c>
      <c r="X80" t="str">
        <f ca="1">IFERROR(__xludf.DUMMYFUNCTION("""COMPUTED_VALUE"""),"Good")</f>
        <v>Good</v>
      </c>
      <c r="Y80" t="str">
        <f ca="1">IFERROR(__xludf.DUMMYFUNCTION("""COMPUTED_VALUE"""),"Good")</f>
        <v>Good</v>
      </c>
      <c r="Z80" t="str">
        <f ca="1">IFERROR(__xludf.DUMMYFUNCTION("""COMPUTED_VALUE"""),"Good")</f>
        <v>Good</v>
      </c>
      <c r="AA80" t="str">
        <f ca="1">IFERROR(__xludf.DUMMYFUNCTION("""COMPUTED_VALUE"""),"Good")</f>
        <v>Good</v>
      </c>
      <c r="AB80" t="str">
        <f ca="1">IFERROR(__xludf.DUMMYFUNCTION("""COMPUTED_VALUE"""),"Good")</f>
        <v>Good</v>
      </c>
      <c r="AC80" t="str">
        <f ca="1">IFERROR(__xludf.DUMMYFUNCTION("""COMPUTED_VALUE"""),"Good")</f>
        <v>Good</v>
      </c>
      <c r="AE80" s="11"/>
      <c r="AF80" t="str">
        <v>Scott.Eastman@floridadep.gov</v>
      </c>
      <c r="AG80" s="17" t="s">
        <v>17</v>
      </c>
      <c r="AH80" s="12"/>
      <c r="AI80" s="12" t="s">
        <v>176</v>
      </c>
      <c r="AJ80" s="19" t="s">
        <v>177</v>
      </c>
      <c r="AK80" s="20" t="str">
        <f>HYPERLINK("https://docs.google.com/document/d/1nhihx7WUJyq9xrne-IuE8z6M1bOCmJPhlEGshsFWGQU/edit?usp=drivesdk","James Tomazinis - 6/11/2018 8:30 AM")</f>
        <v>James Tomazinis - 6/11/2018 8:30 AM</v>
      </c>
      <c r="AL80" s="12" t="s">
        <v>178</v>
      </c>
    </row>
    <row r="81" spans="1:38" ht="12.75">
      <c r="A81" s="10">
        <f ca="1">IFERROR(__xludf.DUMMYFUNCTION("""COMPUTED_VALUE"""),43263.2958326851)</f>
        <v>43263.2958326851</v>
      </c>
      <c r="B81" s="11" t="str">
        <f ca="1">IFERROR(__xludf.DUMMYFUNCTION("""COMPUTED_VALUE"""),"Silas Tanner")</f>
        <v>Silas Tanner</v>
      </c>
      <c r="C81" t="str">
        <f ca="1">IFERROR(__xludf.DUMMYFUNCTION("""COMPUTED_VALUE"""),"silas.tanner@dep.state.fl.us")</f>
        <v>silas.tanner@dep.state.fl.us</v>
      </c>
      <c r="D81" t="str">
        <f ca="1">IFERROR(__xludf.DUMMYFUNCTION("""COMPUTED_VALUE"""),"Research")</f>
        <v>Research</v>
      </c>
      <c r="E81" t="str">
        <f ca="1">IFERROR(__xludf.DUMMYFUNCTION("""COMPUTED_VALUE"""),"Vilano County ramp")</f>
        <v>Vilano County ramp</v>
      </c>
      <c r="F81" s="13">
        <f ca="1">IFERROR(__xludf.DUMMYFUNCTION("""COMPUTED_VALUE"""),0.36458333333212)</f>
        <v>0.36458333333212001</v>
      </c>
      <c r="G81" s="14">
        <f ca="1">IFERROR(__xludf.DUMMYFUNCTION("""COMPUTED_VALUE"""),43263)</f>
        <v>43263</v>
      </c>
      <c r="H81" t="str">
        <f ca="1">IFERROR(__xludf.DUMMYFUNCTION("""COMPUTED_VALUE"""),"ICW SWMP sites")</f>
        <v>ICW SWMP sites</v>
      </c>
      <c r="I81" s="15">
        <f ca="1">IFERROR(__xludf.DUMMYFUNCTION("""COMPUTED_VALUE"""),0.58333333333212)</f>
        <v>0.58333333333212001</v>
      </c>
      <c r="J81" s="16">
        <f ca="1">IFERROR(__xludf.DUMMYFUNCTION("""COMPUTED_VALUE"""),43263.6041666666)</f>
        <v>43263.604166666599</v>
      </c>
      <c r="K81" t="str">
        <f ca="1">IFERROR(__xludf.DUMMYFUNCTION("""COMPUTED_VALUE"""),"23ft Skiff (Bertha) FL7972LJ DEP07613")</f>
        <v>23ft Skiff (Bertha) FL7972LJ DEP07613</v>
      </c>
      <c r="M81" t="str">
        <f ca="1">IFERROR(__xludf.DUMMYFUNCTION("""COMPUTED_VALUE"""),"Ford F150 2008 - DEP18041 (SWMP Thing)")</f>
        <v>Ford F150 2008 - DEP18041 (SWMP Thing)</v>
      </c>
      <c r="N81" t="str">
        <f ca="1">IFERROR(__xludf.DUMMYFUNCTION("""COMPUTED_VALUE"""),"Silas Tanner, (904) 483-8423, Jimmy Tomazinis, (904) 547-0094")</f>
        <v>Silas Tanner, (904) 483-8423, Jimmy Tomazinis, (904) 547-0094</v>
      </c>
      <c r="O81" t="str">
        <f ca="1">IFERROR(__xludf.DUMMYFUNCTION("""COMPUTED_VALUE"""),"Sam Shaw, Terri Calleson")</f>
        <v>Sam Shaw, Terri Calleson</v>
      </c>
      <c r="P81" t="str">
        <f ca="1">IFERROR(__xludf.DUMMYFUNCTION("""COMPUTED_VALUE"""),"Tomazinis")</f>
        <v>Tomazinis</v>
      </c>
      <c r="Q81" t="str">
        <f ca="1">IFERROR(__xludf.DUMMYFUNCTION("""COMPUTED_VALUE"""),"Good")</f>
        <v>Good</v>
      </c>
      <c r="R81" t="str">
        <f ca="1">IFERROR(__xludf.DUMMYFUNCTION("""COMPUTED_VALUE"""),"Good")</f>
        <v>Good</v>
      </c>
      <c r="S81" t="str">
        <f ca="1">IFERROR(__xludf.DUMMYFUNCTION("""COMPUTED_VALUE"""),"Good")</f>
        <v>Good</v>
      </c>
      <c r="T81" t="str">
        <f ca="1">IFERROR(__xludf.DUMMYFUNCTION("""COMPUTED_VALUE"""),"Good")</f>
        <v>Good</v>
      </c>
      <c r="U81" t="str">
        <f ca="1">IFERROR(__xludf.DUMMYFUNCTION("""COMPUTED_VALUE"""),"Good")</f>
        <v>Good</v>
      </c>
      <c r="V81" t="str">
        <f ca="1">IFERROR(__xludf.DUMMYFUNCTION("""COMPUTED_VALUE"""),"Good")</f>
        <v>Good</v>
      </c>
      <c r="W81" t="str">
        <f ca="1">IFERROR(__xludf.DUMMYFUNCTION("""COMPUTED_VALUE"""),"Good")</f>
        <v>Good</v>
      </c>
      <c r="X81" t="str">
        <f ca="1">IFERROR(__xludf.DUMMYFUNCTION("""COMPUTED_VALUE"""),"Good")</f>
        <v>Good</v>
      </c>
      <c r="Y81" t="str">
        <f ca="1">IFERROR(__xludf.DUMMYFUNCTION("""COMPUTED_VALUE"""),"Good")</f>
        <v>Good</v>
      </c>
      <c r="Z81" t="str">
        <f ca="1">IFERROR(__xludf.DUMMYFUNCTION("""COMPUTED_VALUE"""),"Good")</f>
        <v>Good</v>
      </c>
      <c r="AA81" t="str">
        <f ca="1">IFERROR(__xludf.DUMMYFUNCTION("""COMPUTED_VALUE"""),"Good")</f>
        <v>Good</v>
      </c>
      <c r="AB81" t="str">
        <f ca="1">IFERROR(__xludf.DUMMYFUNCTION("""COMPUTED_VALUE"""),"Good")</f>
        <v>Good</v>
      </c>
      <c r="AC81" t="str">
        <f ca="1">IFERROR(__xludf.DUMMYFUNCTION("""COMPUTED_VALUE"""),"Good")</f>
        <v>Good</v>
      </c>
      <c r="AE81" s="11"/>
      <c r="AF81" t="str">
        <v>Nikki.Dix@floridadep.gov</v>
      </c>
      <c r="AG81" s="17" t="s">
        <v>17</v>
      </c>
      <c r="AH81" s="12"/>
      <c r="AI81" s="12" t="s">
        <v>179</v>
      </c>
      <c r="AJ81" s="19" t="s">
        <v>180</v>
      </c>
      <c r="AK81" s="20" t="str">
        <f>HYPERLINK("https://docs.google.com/document/d/14xL-FgR87Xdn5S8WoYx0_em_jRQvOEXqyE9kNUhAwZs/edit?usp=drivesdk","Silas Tanner - 6/12/2018 8:45 AM")</f>
        <v>Silas Tanner - 6/12/2018 8:45 AM</v>
      </c>
      <c r="AL81" s="12" t="s">
        <v>181</v>
      </c>
    </row>
    <row r="82" spans="1:38" ht="12.75">
      <c r="A82" s="10">
        <f ca="1">IFERROR(__xludf.DUMMYFUNCTION("""COMPUTED_VALUE"""),43263.5454811805)</f>
        <v>43263.545481180503</v>
      </c>
      <c r="B82" s="11" t="str">
        <f ca="1">IFERROR(__xludf.DUMMYFUNCTION("""COMPUTED_VALUE"""),"Kenneth Rainer")</f>
        <v>Kenneth Rainer</v>
      </c>
      <c r="C82" t="str">
        <f ca="1">IFERROR(__xludf.DUMMYFUNCTION("""COMPUTED_VALUE"""),"Kenneth.Rainer@floridadep.gov")</f>
        <v>Kenneth.Rainer@floridadep.gov</v>
      </c>
      <c r="D82" t="str">
        <f ca="1">IFERROR(__xludf.DUMMYFUNCTION("""COMPUTED_VALUE"""),"Education")</f>
        <v>Education</v>
      </c>
      <c r="E82" t="str">
        <f ca="1">IFERROR(__xludf.DUMMYFUNCTION("""COMPUTED_VALUE"""),"Vilano Boat Ramp")</f>
        <v>Vilano Boat Ramp</v>
      </c>
      <c r="F82" s="13">
        <f ca="1">IFERROR(__xludf.DUMMYFUNCTION("""COMPUTED_VALUE"""),0.52083333333212)</f>
        <v>0.52083333333212001</v>
      </c>
      <c r="G82" s="14">
        <f ca="1">IFERROR(__xludf.DUMMYFUNCTION("""COMPUTED_VALUE"""),43265)</f>
        <v>43265</v>
      </c>
      <c r="H82" t="str">
        <f ca="1">IFERROR(__xludf.DUMMYFUNCTION("""COMPUTED_VALUE"""),"GTM NERR Northern Component")</f>
        <v>GTM NERR Northern Component</v>
      </c>
      <c r="I82" s="15">
        <f ca="1">IFERROR(__xludf.DUMMYFUNCTION("""COMPUTED_VALUE"""),0.6875)</f>
        <v>0.6875</v>
      </c>
      <c r="J82" s="16">
        <f ca="1">IFERROR(__xludf.DUMMYFUNCTION("""COMPUTED_VALUE"""),43265.7083333333)</f>
        <v>43265.708333333299</v>
      </c>
      <c r="K82" t="str">
        <f ca="1">IFERROR(__xludf.DUMMYFUNCTION("""COMPUTED_VALUE"""),"23ft Skiff (Bertha) FL7972LJ DEP07613")</f>
        <v>23ft Skiff (Bertha) FL7972LJ DEP07613</v>
      </c>
      <c r="M82" t="str">
        <f ca="1">IFERROR(__xludf.DUMMYFUNCTION("""COMPUTED_VALUE"""),"Ford F250 2017 (Moby Dix) - DEP0021578")</f>
        <v>Ford F250 2017 (Moby Dix) - DEP0021578</v>
      </c>
      <c r="N82" t="str">
        <f ca="1">IFERROR(__xludf.DUMMYFUNCTION("""COMPUTED_VALUE"""),"Nikki Dix, (352) 219-4079, Kenneth Rainer, (936) 499-1853")</f>
        <v>Nikki Dix, (352) 219-4079, Kenneth Rainer, (936) 499-1853</v>
      </c>
      <c r="O82" t="str">
        <f ca="1">IFERROR(__xludf.DUMMYFUNCTION("""COMPUTED_VALUE"""),"UF Professor and Students (with completed Release Waivers)")</f>
        <v>UF Professor and Students (with completed Release Waivers)</v>
      </c>
      <c r="P82" t="str">
        <f ca="1">IFERROR(__xludf.DUMMYFUNCTION("""COMPUTED_VALUE"""),"Kenneth Rainer")</f>
        <v>Kenneth Rainer</v>
      </c>
      <c r="Q82" t="str">
        <f ca="1">IFERROR(__xludf.DUMMYFUNCTION("""COMPUTED_VALUE"""),"Good")</f>
        <v>Good</v>
      </c>
      <c r="R82" t="str">
        <f ca="1">IFERROR(__xludf.DUMMYFUNCTION("""COMPUTED_VALUE"""),"Good")</f>
        <v>Good</v>
      </c>
      <c r="S82" t="str">
        <f ca="1">IFERROR(__xludf.DUMMYFUNCTION("""COMPUTED_VALUE"""),"Good")</f>
        <v>Good</v>
      </c>
      <c r="T82" t="str">
        <f ca="1">IFERROR(__xludf.DUMMYFUNCTION("""COMPUTED_VALUE"""),"Good")</f>
        <v>Good</v>
      </c>
      <c r="U82" t="str">
        <f ca="1">IFERROR(__xludf.DUMMYFUNCTION("""COMPUTED_VALUE"""),"Good")</f>
        <v>Good</v>
      </c>
      <c r="V82" t="str">
        <f ca="1">IFERROR(__xludf.DUMMYFUNCTION("""COMPUTED_VALUE"""),"Good")</f>
        <v>Good</v>
      </c>
      <c r="W82" t="str">
        <f ca="1">IFERROR(__xludf.DUMMYFUNCTION("""COMPUTED_VALUE"""),"Good")</f>
        <v>Good</v>
      </c>
      <c r="X82" t="str">
        <f ca="1">IFERROR(__xludf.DUMMYFUNCTION("""COMPUTED_VALUE"""),"Good")</f>
        <v>Good</v>
      </c>
      <c r="Y82" t="str">
        <f ca="1">IFERROR(__xludf.DUMMYFUNCTION("""COMPUTED_VALUE"""),"Good")</f>
        <v>Good</v>
      </c>
      <c r="Z82" t="str">
        <f ca="1">IFERROR(__xludf.DUMMYFUNCTION("""COMPUTED_VALUE"""),"Good")</f>
        <v>Good</v>
      </c>
      <c r="AA82" t="str">
        <f ca="1">IFERROR(__xludf.DUMMYFUNCTION("""COMPUTED_VALUE"""),"Good")</f>
        <v>Good</v>
      </c>
      <c r="AB82" t="str">
        <f ca="1">IFERROR(__xludf.DUMMYFUNCTION("""COMPUTED_VALUE"""),"Good")</f>
        <v>Good</v>
      </c>
      <c r="AC82" t="str">
        <f ca="1">IFERROR(__xludf.DUMMYFUNCTION("""COMPUTED_VALUE"""),"Good")</f>
        <v>Good</v>
      </c>
      <c r="AD82" t="str">
        <f ca="1">IFERROR(__xludf.DUMMYFUNCTION("""COMPUTED_VALUE"""),"Partly cloudy. A stray shower or thunderstorm is possible. High 89F. Winds WSW at 5 to 10 mph.")</f>
        <v>Partly cloudy. A stray shower or thunderstorm is possible. High 89F. Winds WSW at 5 to 10 mph.</v>
      </c>
      <c r="AE82" s="11" t="str">
        <f ca="1">IFERROR(__xludf.DUMMYFUNCTION("""COMPUTED_VALUE"""),"High 09:43AM (3.82ft); Low 03:37PM (-1.22ft)")</f>
        <v>High 09:43AM (3.82ft); Low 03:37PM (-1.22ft)</v>
      </c>
      <c r="AF82" t="str">
        <v>Kenneth.Rainer@floridadep.gov</v>
      </c>
      <c r="AG82" s="7" t="s">
        <v>17</v>
      </c>
      <c r="AH82" s="12"/>
      <c r="AI82" s="12" t="s">
        <v>182</v>
      </c>
      <c r="AJ82" s="19" t="s">
        <v>183</v>
      </c>
      <c r="AK82" s="20" t="str">
        <f>HYPERLINK("https://docs.google.com/document/d/1Ad-FJGyHWoa6R8teeyJx_5DdPsF8CvyTVaG0dnm6hzA/edit?usp=drivesdk","Kenneth Rainer - 6/14/2018 12:30 PM")</f>
        <v>Kenneth Rainer - 6/14/2018 12:30 PM</v>
      </c>
      <c r="AL82" s="12" t="s">
        <v>184</v>
      </c>
    </row>
    <row r="83" spans="1:38" ht="12.75">
      <c r="A83" s="10">
        <f ca="1">IFERROR(__xludf.DUMMYFUNCTION("""COMPUTED_VALUE"""),43264.6850550347)</f>
        <v>43264.685055034701</v>
      </c>
      <c r="B83" s="11" t="str">
        <f ca="1">IFERROR(__xludf.DUMMYFUNCTION("""COMPUTED_VALUE"""),"Silas Tanner")</f>
        <v>Silas Tanner</v>
      </c>
      <c r="C83" t="str">
        <f ca="1">IFERROR(__xludf.DUMMYFUNCTION("""COMPUTED_VALUE"""),"silas.tanner@floridadep.gov")</f>
        <v>silas.tanner@floridadep.gov</v>
      </c>
      <c r="D83" t="str">
        <f ca="1">IFERROR(__xludf.DUMMYFUNCTION("""COMPUTED_VALUE"""),"Research")</f>
        <v>Research</v>
      </c>
      <c r="E83" t="str">
        <f ca="1">IFERROR(__xludf.DUMMYFUNCTION("""COMPUTED_VALUE"""),"Bing's")</f>
        <v>Bing's</v>
      </c>
      <c r="F83" s="13">
        <f ca="1">IFERROR(__xludf.DUMMYFUNCTION("""COMPUTED_VALUE"""),0.5)</f>
        <v>0.5</v>
      </c>
      <c r="G83" s="14">
        <f ca="1">IFERROR(__xludf.DUMMYFUNCTION("""COMPUTED_VALUE"""),43265)</f>
        <v>43265</v>
      </c>
      <c r="H83" t="str">
        <f ca="1">IFERROR(__xludf.DUMMYFUNCTION("""COMPUTED_VALUE"""),"ICW - Rattlesnake Island to Bing's")</f>
        <v>ICW - Rattlesnake Island to Bing's</v>
      </c>
      <c r="I83" s="15">
        <f ca="1">IFERROR(__xludf.DUMMYFUNCTION("""COMPUTED_VALUE"""),0.666666666667879)</f>
        <v>0.66666666666787899</v>
      </c>
      <c r="J83" s="16">
        <f ca="1">IFERROR(__xludf.DUMMYFUNCTION("""COMPUTED_VALUE"""),43265.6979166666)</f>
        <v>43265.697916666599</v>
      </c>
      <c r="K83" t="str">
        <f ca="1">IFERROR(__xludf.DUMMYFUNCTION("""COMPUTED_VALUE"""),"F 20ft Sea Ark (Easy 200) FL8534PY DEP21451")</f>
        <v>F 20ft Sea Ark (Easy 200) FL8534PY DEP21451</v>
      </c>
      <c r="M83" t="str">
        <f ca="1">IFERROR(__xludf.DUMMYFUNCTION("""COMPUTED_VALUE"""),"Ford F150 2008 - DEP18041 (SWMP Thing)")</f>
        <v>Ford F150 2008 - DEP18041 (SWMP Thing)</v>
      </c>
      <c r="N83" t="str">
        <f ca="1">IFERROR(__xludf.DUMMYFUNCTION("""COMPUTED_VALUE"""),"Silas Tanner, (904) 483-8423")</f>
        <v>Silas Tanner, (904) 483-8423</v>
      </c>
      <c r="O83" t="str">
        <f ca="1">IFERROR(__xludf.DUMMYFUNCTION("""COMPUTED_VALUE"""),"Hunter Mathews, Matt Brown, Westly Woodward")</f>
        <v>Hunter Mathews, Matt Brown, Westly Woodward</v>
      </c>
      <c r="P83" t="str">
        <f ca="1">IFERROR(__xludf.DUMMYFUNCTION("""COMPUTED_VALUE"""),"Tanner")</f>
        <v>Tanner</v>
      </c>
      <c r="Q83" t="str">
        <f ca="1">IFERROR(__xludf.DUMMYFUNCTION("""COMPUTED_VALUE"""),"Good")</f>
        <v>Good</v>
      </c>
      <c r="R83" t="str">
        <f ca="1">IFERROR(__xludf.DUMMYFUNCTION("""COMPUTED_VALUE"""),"Good")</f>
        <v>Good</v>
      </c>
      <c r="S83" t="str">
        <f ca="1">IFERROR(__xludf.DUMMYFUNCTION("""COMPUTED_VALUE"""),"Good")</f>
        <v>Good</v>
      </c>
      <c r="T83" t="str">
        <f ca="1">IFERROR(__xludf.DUMMYFUNCTION("""COMPUTED_VALUE"""),"Good")</f>
        <v>Good</v>
      </c>
      <c r="U83" t="str">
        <f ca="1">IFERROR(__xludf.DUMMYFUNCTION("""COMPUTED_VALUE"""),"Good")</f>
        <v>Good</v>
      </c>
      <c r="V83" t="str">
        <f ca="1">IFERROR(__xludf.DUMMYFUNCTION("""COMPUTED_VALUE"""),"Good")</f>
        <v>Good</v>
      </c>
      <c r="W83" t="str">
        <f ca="1">IFERROR(__xludf.DUMMYFUNCTION("""COMPUTED_VALUE"""),"Good")</f>
        <v>Good</v>
      </c>
      <c r="X83" t="str">
        <f ca="1">IFERROR(__xludf.DUMMYFUNCTION("""COMPUTED_VALUE"""),"Good")</f>
        <v>Good</v>
      </c>
      <c r="Y83" t="str">
        <f ca="1">IFERROR(__xludf.DUMMYFUNCTION("""COMPUTED_VALUE"""),"Good")</f>
        <v>Good</v>
      </c>
      <c r="Z83" t="str">
        <f ca="1">IFERROR(__xludf.DUMMYFUNCTION("""COMPUTED_VALUE"""),"Good")</f>
        <v>Good</v>
      </c>
      <c r="AA83" t="str">
        <f ca="1">IFERROR(__xludf.DUMMYFUNCTION("""COMPUTED_VALUE"""),"Good")</f>
        <v>Good</v>
      </c>
      <c r="AB83" t="str">
        <f ca="1">IFERROR(__xludf.DUMMYFUNCTION("""COMPUTED_VALUE"""),"Good")</f>
        <v>Good</v>
      </c>
      <c r="AC83" t="str">
        <f ca="1">IFERROR(__xludf.DUMMYFUNCTION("""COMPUTED_VALUE"""),"Good")</f>
        <v>Good</v>
      </c>
      <c r="AE83" s="11"/>
      <c r="AF83" t="str">
        <v>Nikki.Dix@floridadep.gov</v>
      </c>
      <c r="AG83" s="17" t="s">
        <v>54</v>
      </c>
      <c r="AH83" s="12"/>
      <c r="AI83" s="12" t="s">
        <v>185</v>
      </c>
      <c r="AJ83" s="19" t="s">
        <v>186</v>
      </c>
      <c r="AK83" s="20" t="str">
        <f>HYPERLINK("https://docs.google.com/document/d/1ZVWr_QqAdt-Iz7q9i3GNK8i0lyZgwCCfyxmlR1hJwkw/edit?usp=drivesdk","Silas Tanner - 6/14/2018 12:00 PM")</f>
        <v>Silas Tanner - 6/14/2018 12:00 PM</v>
      </c>
      <c r="AL83" s="12" t="s">
        <v>187</v>
      </c>
    </row>
    <row r="84" spans="1:38" ht="12.75">
      <c r="A84" s="10">
        <f ca="1">IFERROR(__xludf.DUMMYFUNCTION("""COMPUTED_VALUE"""),43266.3927766435)</f>
        <v>43266.392776643501</v>
      </c>
      <c r="B84" s="11" t="str">
        <f ca="1">IFERROR(__xludf.DUMMYFUNCTION("""COMPUTED_VALUE"""),"James Tomazinis")</f>
        <v>James Tomazinis</v>
      </c>
      <c r="C84" t="str">
        <f ca="1">IFERROR(__xludf.DUMMYFUNCTION("""COMPUTED_VALUE"""),"james.tomazinis@floridadep.gov")</f>
        <v>james.tomazinis@floridadep.gov</v>
      </c>
      <c r="D84" t="str">
        <f ca="1">IFERROR(__xludf.DUMMYFUNCTION("""COMPUTED_VALUE"""),"Stewardship (Aquatic)")</f>
        <v>Stewardship (Aquatic)</v>
      </c>
      <c r="E84" t="str">
        <f ca="1">IFERROR(__xludf.DUMMYFUNCTION("""COMPUTED_VALUE"""),"Lighthouse park")</f>
        <v>Lighthouse park</v>
      </c>
      <c r="F84" s="13">
        <f ca="1">IFERROR(__xludf.DUMMYFUNCTION("""COMPUTED_VALUE"""),0.416666666667879)</f>
        <v>0.41666666666787899</v>
      </c>
      <c r="G84" s="14">
        <f ca="1">IFERROR(__xludf.DUMMYFUNCTION("""COMPUTED_VALUE"""),43266)</f>
        <v>43266</v>
      </c>
      <c r="H84" t="str">
        <f ca="1">IFERROR(__xludf.DUMMYFUNCTION("""COMPUTED_VALUE"""),"Greater St. Augustine area")</f>
        <v>Greater St. Augustine area</v>
      </c>
      <c r="I84" s="15">
        <f ca="1">IFERROR(__xludf.DUMMYFUNCTION("""COMPUTED_VALUE"""),0.70833333333212)</f>
        <v>0.70833333333212001</v>
      </c>
      <c r="J84" s="16"/>
      <c r="K84" t="str">
        <f ca="1">IFERROR(__xludf.DUMMYFUNCTION("""COMPUTED_VALUE"""),"23ft Skiff (Bertha) FL7972LJ DEP07613")</f>
        <v>23ft Skiff (Bertha) FL7972LJ DEP07613</v>
      </c>
      <c r="M84" t="str">
        <f ca="1">IFERROR(__xludf.DUMMYFUNCTION("""COMPUTED_VALUE"""),"Ford F150 2015 (White) - DEP21448")</f>
        <v>Ford F150 2015 (White) - DEP21448</v>
      </c>
      <c r="N84" t="str">
        <f ca="1">IFERROR(__xludf.DUMMYFUNCTION("""COMPUTED_VALUE"""),"Scott Eastman, (904) 501-9267, Pam Marcum, (480) 332-5414, Jimmy Tomazinis, (904) 547-0094")</f>
        <v>Scott Eastman, (904) 501-9267, Pam Marcum, (480) 332-5414, Jimmy Tomazinis, (904) 547-0094</v>
      </c>
      <c r="O84" t="str">
        <f ca="1">IFERROR(__xludf.DUMMYFUNCTION("""COMPUTED_VALUE"""),"Jeff Loflin")</f>
        <v>Jeff Loflin</v>
      </c>
      <c r="P84" t="str">
        <f ca="1">IFERROR(__xludf.DUMMYFUNCTION("""COMPUTED_VALUE"""),"James Tomazinis")</f>
        <v>James Tomazinis</v>
      </c>
      <c r="Q84" t="str">
        <f ca="1">IFERROR(__xludf.DUMMYFUNCTION("""COMPUTED_VALUE"""),"Good")</f>
        <v>Good</v>
      </c>
      <c r="R84" t="str">
        <f ca="1">IFERROR(__xludf.DUMMYFUNCTION("""COMPUTED_VALUE"""),"Good")</f>
        <v>Good</v>
      </c>
      <c r="S84" t="str">
        <f ca="1">IFERROR(__xludf.DUMMYFUNCTION("""COMPUTED_VALUE"""),"Good")</f>
        <v>Good</v>
      </c>
      <c r="T84" t="str">
        <f ca="1">IFERROR(__xludf.DUMMYFUNCTION("""COMPUTED_VALUE"""),"Good")</f>
        <v>Good</v>
      </c>
      <c r="U84" t="str">
        <f ca="1">IFERROR(__xludf.DUMMYFUNCTION("""COMPUTED_VALUE"""),"Good")</f>
        <v>Good</v>
      </c>
      <c r="V84" t="str">
        <f ca="1">IFERROR(__xludf.DUMMYFUNCTION("""COMPUTED_VALUE"""),"Good")</f>
        <v>Good</v>
      </c>
      <c r="W84" t="str">
        <f ca="1">IFERROR(__xludf.DUMMYFUNCTION("""COMPUTED_VALUE"""),"Good")</f>
        <v>Good</v>
      </c>
      <c r="X84" t="str">
        <f ca="1">IFERROR(__xludf.DUMMYFUNCTION("""COMPUTED_VALUE"""),"Good")</f>
        <v>Good</v>
      </c>
      <c r="Y84" t="str">
        <f ca="1">IFERROR(__xludf.DUMMYFUNCTION("""COMPUTED_VALUE"""),"Good")</f>
        <v>Good</v>
      </c>
      <c r="Z84" t="str">
        <f ca="1">IFERROR(__xludf.DUMMYFUNCTION("""COMPUTED_VALUE"""),"Good")</f>
        <v>Good</v>
      </c>
      <c r="AA84" t="str">
        <f ca="1">IFERROR(__xludf.DUMMYFUNCTION("""COMPUTED_VALUE"""),"Good")</f>
        <v>Good</v>
      </c>
      <c r="AB84" t="str">
        <f ca="1">IFERROR(__xludf.DUMMYFUNCTION("""COMPUTED_VALUE"""),"Good")</f>
        <v>Good</v>
      </c>
      <c r="AC84" t="str">
        <f ca="1">IFERROR(__xludf.DUMMYFUNCTION("""COMPUTED_VALUE"""),"Good")</f>
        <v>Good</v>
      </c>
      <c r="AE84" s="11"/>
      <c r="AF84" t="str">
        <v>Scott.Eastman@floridadep.gov</v>
      </c>
      <c r="AG84" s="17" t="s">
        <v>113</v>
      </c>
      <c r="AH84" s="12"/>
      <c r="AI84" s="12" t="s">
        <v>188</v>
      </c>
      <c r="AJ84" s="19" t="s">
        <v>189</v>
      </c>
      <c r="AK84" s="20" t="str">
        <f>HYPERLINK("https://docs.google.com/document/d/1segsGRdC7iRishkJwC9X3suCxEE9-PDWq8OEnJz3WW4/edit?usp=drivesdk","James Tomazinis - 6/15/2018 10:00 AM")</f>
        <v>James Tomazinis - 6/15/2018 10:00 AM</v>
      </c>
      <c r="AL84" s="12" t="s">
        <v>190</v>
      </c>
    </row>
    <row r="85" spans="1:38" ht="12.75">
      <c r="A85" s="10">
        <f ca="1">IFERROR(__xludf.DUMMYFUNCTION("""COMPUTED_VALUE"""),43266.4659460995)</f>
        <v>43266.465946099503</v>
      </c>
      <c r="B85" s="11" t="str">
        <f ca="1">IFERROR(__xludf.DUMMYFUNCTION("""COMPUTED_VALUE"""),"Silas Tanner")</f>
        <v>Silas Tanner</v>
      </c>
      <c r="C85" t="str">
        <f ca="1">IFERROR(__xludf.DUMMYFUNCTION("""COMPUTED_VALUE"""),"silas.tanner@floridadep.gov")</f>
        <v>silas.tanner@floridadep.gov</v>
      </c>
      <c r="D85" t="str">
        <f ca="1">IFERROR(__xludf.DUMMYFUNCTION("""COMPUTED_VALUE"""),"Research")</f>
        <v>Research</v>
      </c>
      <c r="E85" t="str">
        <f ca="1">IFERROR(__xludf.DUMMYFUNCTION("""COMPUTED_VALUE"""),"Bing's")</f>
        <v>Bing's</v>
      </c>
      <c r="F85" s="13">
        <f ca="1">IFERROR(__xludf.DUMMYFUNCTION("""COMPUTED_VALUE"""),0.541666666667879)</f>
        <v>0.54166666666787899</v>
      </c>
      <c r="G85" s="14">
        <f ca="1">IFERROR(__xludf.DUMMYFUNCTION("""COMPUTED_VALUE"""),43266)</f>
        <v>43266</v>
      </c>
      <c r="H85" t="str">
        <f ca="1">IFERROR(__xludf.DUMMYFUNCTION("""COMPUTED_VALUE"""),"ICW Summerhaven area")</f>
        <v>ICW Summerhaven area</v>
      </c>
      <c r="I85" s="15">
        <f ca="1">IFERROR(__xludf.DUMMYFUNCTION("""COMPUTED_VALUE"""),0.666666666667879)</f>
        <v>0.66666666666787899</v>
      </c>
      <c r="J85" s="16">
        <f ca="1">IFERROR(__xludf.DUMMYFUNCTION("""COMPUTED_VALUE"""),43266.7083333333)</f>
        <v>43266.708333333299</v>
      </c>
      <c r="K85" t="str">
        <f ca="1">IFERROR(__xludf.DUMMYFUNCTION("""COMPUTED_VALUE"""),"F 20ft Sea Ark (Easy 200) FL8534PY DEP21451")</f>
        <v>F 20ft Sea Ark (Easy 200) FL8534PY DEP21451</v>
      </c>
      <c r="M85" t="str">
        <f ca="1">IFERROR(__xludf.DUMMYFUNCTION("""COMPUTED_VALUE"""),"Ford F150 2008 - DEP18041 (SWMP Thing)")</f>
        <v>Ford F150 2008 - DEP18041 (SWMP Thing)</v>
      </c>
      <c r="N85" t="str">
        <f ca="1">IFERROR(__xludf.DUMMYFUNCTION("""COMPUTED_VALUE"""),"Silas Tanner, (904) 483-8423")</f>
        <v>Silas Tanner, (904) 483-8423</v>
      </c>
      <c r="O85" t="str">
        <f ca="1">IFERROR(__xludf.DUMMYFUNCTION("""COMPUTED_VALUE"""),"Matt Brown")</f>
        <v>Matt Brown</v>
      </c>
      <c r="P85" t="str">
        <f ca="1">IFERROR(__xludf.DUMMYFUNCTION("""COMPUTED_VALUE"""),"Silas Tanner")</f>
        <v>Silas Tanner</v>
      </c>
      <c r="Q85" t="str">
        <f ca="1">IFERROR(__xludf.DUMMYFUNCTION("""COMPUTED_VALUE"""),"Good")</f>
        <v>Good</v>
      </c>
      <c r="R85" t="str">
        <f ca="1">IFERROR(__xludf.DUMMYFUNCTION("""COMPUTED_VALUE"""),"Good")</f>
        <v>Good</v>
      </c>
      <c r="S85" t="str">
        <f ca="1">IFERROR(__xludf.DUMMYFUNCTION("""COMPUTED_VALUE"""),"Good")</f>
        <v>Good</v>
      </c>
      <c r="T85" t="str">
        <f ca="1">IFERROR(__xludf.DUMMYFUNCTION("""COMPUTED_VALUE"""),"Good")</f>
        <v>Good</v>
      </c>
      <c r="U85" t="str">
        <f ca="1">IFERROR(__xludf.DUMMYFUNCTION("""COMPUTED_VALUE"""),"Good")</f>
        <v>Good</v>
      </c>
      <c r="V85" t="str">
        <f ca="1">IFERROR(__xludf.DUMMYFUNCTION("""COMPUTED_VALUE"""),"Good")</f>
        <v>Good</v>
      </c>
      <c r="W85" t="str">
        <f ca="1">IFERROR(__xludf.DUMMYFUNCTION("""COMPUTED_VALUE"""),"Good")</f>
        <v>Good</v>
      </c>
      <c r="X85" t="str">
        <f ca="1">IFERROR(__xludf.DUMMYFUNCTION("""COMPUTED_VALUE"""),"Good")</f>
        <v>Good</v>
      </c>
      <c r="Y85" t="str">
        <f ca="1">IFERROR(__xludf.DUMMYFUNCTION("""COMPUTED_VALUE"""),"Good")</f>
        <v>Good</v>
      </c>
      <c r="Z85" t="str">
        <f ca="1">IFERROR(__xludf.DUMMYFUNCTION("""COMPUTED_VALUE"""),"Good")</f>
        <v>Good</v>
      </c>
      <c r="AA85" t="str">
        <f ca="1">IFERROR(__xludf.DUMMYFUNCTION("""COMPUTED_VALUE"""),"Good")</f>
        <v>Good</v>
      </c>
      <c r="AB85" t="str">
        <f ca="1">IFERROR(__xludf.DUMMYFUNCTION("""COMPUTED_VALUE"""),"Good")</f>
        <v>Good</v>
      </c>
      <c r="AC85" t="str">
        <f ca="1">IFERROR(__xludf.DUMMYFUNCTION("""COMPUTED_VALUE"""),"Good")</f>
        <v>Good</v>
      </c>
      <c r="AE85" s="11"/>
      <c r="AF85" t="str">
        <v>Nikki.Dix@floridadep.gov</v>
      </c>
      <c r="AG85" s="17" t="s">
        <v>17</v>
      </c>
      <c r="AH85" s="12"/>
      <c r="AI85" s="12" t="s">
        <v>191</v>
      </c>
      <c r="AJ85" s="19" t="s">
        <v>192</v>
      </c>
      <c r="AK85" s="20" t="str">
        <f>HYPERLINK("https://docs.google.com/document/d/1YErNHz-z5auJhRmMWf7quuIOf99gflm67GG5yE4XHtw/edit?usp=drivesdk","Silas Tanner - 6/15/2018 1:00 PM")</f>
        <v>Silas Tanner - 6/15/2018 1:00 PM</v>
      </c>
      <c r="AL85" s="12" t="s">
        <v>193</v>
      </c>
    </row>
    <row r="86" spans="1:38" ht="12.75">
      <c r="A86" s="10">
        <f ca="1">IFERROR(__xludf.DUMMYFUNCTION("""COMPUTED_VALUE"""),43267.4142713773)</f>
        <v>43267.414271377304</v>
      </c>
      <c r="B86" s="11" t="str">
        <f ca="1">IFERROR(__xludf.DUMMYFUNCTION("""COMPUTED_VALUE"""),"Gabriela Canas")</f>
        <v>Gabriela Canas</v>
      </c>
      <c r="C86" t="str">
        <f ca="1">IFERROR(__xludf.DUMMYFUNCTION("""COMPUTED_VALUE"""),"gabriela.canas@dep.state.fl.us")</f>
        <v>gabriela.canas@dep.state.fl.us</v>
      </c>
      <c r="D86" t="str">
        <f ca="1">IFERROR(__xludf.DUMMYFUNCTION("""COMPUTED_VALUE"""),"Research")</f>
        <v>Research</v>
      </c>
      <c r="E86" t="str">
        <f ca="1">IFERROR(__xludf.DUMMYFUNCTION("""COMPUTED_VALUE"""),"Shore drive boat ramp")</f>
        <v>Shore drive boat ramp</v>
      </c>
      <c r="F86" s="13">
        <f ca="1">IFERROR(__xludf.DUMMYFUNCTION("""COMPUTED_VALUE"""),0.4375)</f>
        <v>0.4375</v>
      </c>
      <c r="G86" s="14">
        <f ca="1">IFERROR(__xludf.DUMMYFUNCTION("""COMPUTED_VALUE"""),43267)</f>
        <v>43267</v>
      </c>
      <c r="H86" t="str">
        <f ca="1">IFERROR(__xludf.DUMMYFUNCTION("""COMPUTED_VALUE"""),"Gabby’s creek ")</f>
        <v xml:space="preserve">Gabby’s creek </v>
      </c>
      <c r="I86" s="15">
        <f ca="1">IFERROR(__xludf.DUMMYFUNCTION("""COMPUTED_VALUE"""),0.625)</f>
        <v>0.625</v>
      </c>
      <c r="J86" s="16">
        <f ca="1">IFERROR(__xludf.DUMMYFUNCTION("""COMPUTED_VALUE"""),43267.6666666666)</f>
        <v>43267.666666666599</v>
      </c>
      <c r="K86" t="str">
        <f ca="1">IFERROR(__xludf.DUMMYFUNCTION("""COMPUTED_VALUE"""),"F 20ft Sea Ark (Easy 200) FL8534PY DEP21451")</f>
        <v>F 20ft Sea Ark (Easy 200) FL8534PY DEP21451</v>
      </c>
      <c r="M86" t="str">
        <f ca="1">IFERROR(__xludf.DUMMYFUNCTION("""COMPUTED_VALUE"""),"Ford F250 2017 (Moby Dix) - DEP0021578")</f>
        <v>Ford F250 2017 (Moby Dix) - DEP0021578</v>
      </c>
      <c r="N86" t="str">
        <f ca="1">IFERROR(__xludf.DUMMYFUNCTION("""COMPUTED_VALUE"""),"Ben Mowbray, (407) 962-8782")</f>
        <v>Ben Mowbray, (407) 962-8782</v>
      </c>
      <c r="O86" t="str">
        <f ca="1">IFERROR(__xludf.DUMMYFUNCTION("""COMPUTED_VALUE"""),"Gabriela Canas, (904) 891-9743, 2 volunteers Alee knowell, Charles Huber ")</f>
        <v xml:space="preserve">Gabriela Canas, (904) 891-9743, 2 volunteers Alee knowell, Charles Huber </v>
      </c>
      <c r="P86" t="str">
        <f ca="1">IFERROR(__xludf.DUMMYFUNCTION("""COMPUTED_VALUE"""),"Ben Mowbray ")</f>
        <v xml:space="preserve">Ben Mowbray </v>
      </c>
      <c r="Q86" t="str">
        <f ca="1">IFERROR(__xludf.DUMMYFUNCTION("""COMPUTED_VALUE"""),"Good")</f>
        <v>Good</v>
      </c>
      <c r="R86" t="str">
        <f ca="1">IFERROR(__xludf.DUMMYFUNCTION("""COMPUTED_VALUE"""),"Good")</f>
        <v>Good</v>
      </c>
      <c r="S86" t="str">
        <f ca="1">IFERROR(__xludf.DUMMYFUNCTION("""COMPUTED_VALUE"""),"Good")</f>
        <v>Good</v>
      </c>
      <c r="T86" t="str">
        <f ca="1">IFERROR(__xludf.DUMMYFUNCTION("""COMPUTED_VALUE"""),"Good")</f>
        <v>Good</v>
      </c>
      <c r="U86" t="str">
        <f ca="1">IFERROR(__xludf.DUMMYFUNCTION("""COMPUTED_VALUE"""),"Good")</f>
        <v>Good</v>
      </c>
      <c r="V86" t="str">
        <f ca="1">IFERROR(__xludf.DUMMYFUNCTION("""COMPUTED_VALUE"""),"Good")</f>
        <v>Good</v>
      </c>
      <c r="W86" t="str">
        <f ca="1">IFERROR(__xludf.DUMMYFUNCTION("""COMPUTED_VALUE"""),"Good")</f>
        <v>Good</v>
      </c>
      <c r="X86" t="str">
        <f ca="1">IFERROR(__xludf.DUMMYFUNCTION("""COMPUTED_VALUE"""),"Good")</f>
        <v>Good</v>
      </c>
      <c r="Y86" t="str">
        <f ca="1">IFERROR(__xludf.DUMMYFUNCTION("""COMPUTED_VALUE"""),"Good")</f>
        <v>Good</v>
      </c>
      <c r="Z86" t="str">
        <f ca="1">IFERROR(__xludf.DUMMYFUNCTION("""COMPUTED_VALUE"""),"Good")</f>
        <v>Good</v>
      </c>
      <c r="AA86" t="str">
        <f ca="1">IFERROR(__xludf.DUMMYFUNCTION("""COMPUTED_VALUE"""),"Good")</f>
        <v>Good</v>
      </c>
      <c r="AB86" t="str">
        <f ca="1">IFERROR(__xludf.DUMMYFUNCTION("""COMPUTED_VALUE"""),"Good")</f>
        <v>Good</v>
      </c>
      <c r="AC86" t="str">
        <f ca="1">IFERROR(__xludf.DUMMYFUNCTION("""COMPUTED_VALUE"""),"Good")</f>
        <v>Good</v>
      </c>
      <c r="AD86" t="str">
        <f ca="1">IFERROR(__xludf.DUMMYFUNCTION("""COMPUTED_VALUE"""),"Afternoon storms")</f>
        <v>Afternoon storms</v>
      </c>
      <c r="AE86" s="11" t="str">
        <f ca="1">IFERROR(__xludf.DUMMYFUNCTION("""COMPUTED_VALUE"""),"11:30 high tide")</f>
        <v>11:30 high tide</v>
      </c>
      <c r="AF86" t="str">
        <v>Nikki.Dix@floridadep.gov</v>
      </c>
      <c r="AG86" s="17" t="s">
        <v>7</v>
      </c>
      <c r="AH86" s="12"/>
      <c r="AI86" s="12" t="s">
        <v>194</v>
      </c>
      <c r="AJ86" s="19" t="s">
        <v>195</v>
      </c>
      <c r="AK86" s="20" t="str">
        <f>HYPERLINK("https://docs.google.com/document/d/1zx2ToY0GcjujicDXZiUTnvQUpIp0-oiJuQlUByUuEXk/edit?usp=drivesdk","Gabriela Canas - 6/16/2018 10:30 AM")</f>
        <v>Gabriela Canas - 6/16/2018 10:30 AM</v>
      </c>
      <c r="AL86" s="12" t="s">
        <v>196</v>
      </c>
    </row>
    <row r="87" spans="1:38" ht="12.75">
      <c r="A87" s="10">
        <f ca="1">IFERROR(__xludf.DUMMYFUNCTION("""COMPUTED_VALUE"""),43269.2553564814)</f>
        <v>43269.255356481401</v>
      </c>
      <c r="B87" s="11" t="str">
        <f ca="1">IFERROR(__xludf.DUMMYFUNCTION("""COMPUTED_VALUE"""),"Pamela Marcum")</f>
        <v>Pamela Marcum</v>
      </c>
      <c r="C87" t="str">
        <f ca="1">IFERROR(__xludf.DUMMYFUNCTION("""COMPUTED_VALUE"""),"Pamela.Marcum@dep.state.fl.us")</f>
        <v>Pamela.Marcum@dep.state.fl.us</v>
      </c>
      <c r="D87" t="str">
        <f ca="1">IFERROR(__xludf.DUMMYFUNCTION("""COMPUTED_VALUE"""),"Research")</f>
        <v>Research</v>
      </c>
      <c r="E87" t="str">
        <f ca="1">IFERROR(__xludf.DUMMYFUNCTION("""COMPUTED_VALUE"""),"Whitney &amp; Green Rd")</f>
        <v>Whitney &amp; Green Rd</v>
      </c>
      <c r="F87" s="13">
        <f ca="1">IFERROR(__xludf.DUMMYFUNCTION("""COMPUTED_VALUE"""),0.291666666667879)</f>
        <v>0.29166666666787899</v>
      </c>
      <c r="G87" s="14">
        <f ca="1">IFERROR(__xludf.DUMMYFUNCTION("""COMPUTED_VALUE"""),43269)</f>
        <v>43269</v>
      </c>
      <c r="H87" t="str">
        <f ca="1">IFERROR(__xludf.DUMMYFUNCTION("""COMPUTED_VALUE"""),"Kimbro Sites- Pellicer &amp; Moses")</f>
        <v>Kimbro Sites- Pellicer &amp; Moses</v>
      </c>
      <c r="I87" s="15">
        <f ca="1">IFERROR(__xludf.DUMMYFUNCTION("""COMPUTED_VALUE"""),0.625)</f>
        <v>0.625</v>
      </c>
      <c r="J87" s="16">
        <f ca="1">IFERROR(__xludf.DUMMYFUNCTION("""COMPUTED_VALUE"""),43269.7083333333)</f>
        <v>43269.708333333299</v>
      </c>
      <c r="K87" t="str">
        <f ca="1">IFERROR(__xludf.DUMMYFUNCTION("""COMPUTED_VALUE"""),"23ft Skiff (Bertha) FL7972LJ DEP07613")</f>
        <v>23ft Skiff (Bertha) FL7972LJ DEP07613</v>
      </c>
      <c r="M87" t="str">
        <f ca="1">IFERROR(__xludf.DUMMYFUNCTION("""COMPUTED_VALUE"""),"Ford F150 2008 - DEP18041 (SWMP Thing)")</f>
        <v>Ford F150 2008 - DEP18041 (SWMP Thing)</v>
      </c>
      <c r="N87" t="str">
        <f ca="1">IFERROR(__xludf.DUMMYFUNCTION("""COMPUTED_VALUE"""),"Pam Marcum, (480) 332-5414, Ben Mowbray, (407) 962-8782")</f>
        <v>Pam Marcum, (480) 332-5414, Ben Mowbray, (407) 962-8782</v>
      </c>
      <c r="O87" t="str">
        <f ca="1">IFERROR(__xludf.DUMMYFUNCTION("""COMPUTED_VALUE"""),"David Kimbro, Nicole Peckham, Rodrigo")</f>
        <v>David Kimbro, Nicole Peckham, Rodrigo</v>
      </c>
      <c r="P87" t="str">
        <f ca="1">IFERROR(__xludf.DUMMYFUNCTION("""COMPUTED_VALUE"""),"Pam Marcum")</f>
        <v>Pam Marcum</v>
      </c>
      <c r="Q87" t="str">
        <f ca="1">IFERROR(__xludf.DUMMYFUNCTION("""COMPUTED_VALUE"""),"Good")</f>
        <v>Good</v>
      </c>
      <c r="R87" t="str">
        <f ca="1">IFERROR(__xludf.DUMMYFUNCTION("""COMPUTED_VALUE"""),"Good")</f>
        <v>Good</v>
      </c>
      <c r="S87" t="str">
        <f ca="1">IFERROR(__xludf.DUMMYFUNCTION("""COMPUTED_VALUE"""),"Good")</f>
        <v>Good</v>
      </c>
      <c r="T87" t="str">
        <f ca="1">IFERROR(__xludf.DUMMYFUNCTION("""COMPUTED_VALUE"""),"Good")</f>
        <v>Good</v>
      </c>
      <c r="U87" t="str">
        <f ca="1">IFERROR(__xludf.DUMMYFUNCTION("""COMPUTED_VALUE"""),"Good")</f>
        <v>Good</v>
      </c>
      <c r="V87" t="str">
        <f ca="1">IFERROR(__xludf.DUMMYFUNCTION("""COMPUTED_VALUE"""),"Good")</f>
        <v>Good</v>
      </c>
      <c r="W87" t="str">
        <f ca="1">IFERROR(__xludf.DUMMYFUNCTION("""COMPUTED_VALUE"""),"Good")</f>
        <v>Good</v>
      </c>
      <c r="X87" t="str">
        <f ca="1">IFERROR(__xludf.DUMMYFUNCTION("""COMPUTED_VALUE"""),"Good")</f>
        <v>Good</v>
      </c>
      <c r="Y87" t="str">
        <f ca="1">IFERROR(__xludf.DUMMYFUNCTION("""COMPUTED_VALUE"""),"Good")</f>
        <v>Good</v>
      </c>
      <c r="Z87" t="str">
        <f ca="1">IFERROR(__xludf.DUMMYFUNCTION("""COMPUTED_VALUE"""),"Good")</f>
        <v>Good</v>
      </c>
      <c r="AA87" t="str">
        <f ca="1">IFERROR(__xludf.DUMMYFUNCTION("""COMPUTED_VALUE"""),"Good")</f>
        <v>Good</v>
      </c>
      <c r="AB87" t="str">
        <f ca="1">IFERROR(__xludf.DUMMYFUNCTION("""COMPUTED_VALUE"""),"Good")</f>
        <v>Good</v>
      </c>
      <c r="AC87" t="str">
        <f ca="1">IFERROR(__xludf.DUMMYFUNCTION("""COMPUTED_VALUE"""),"Good")</f>
        <v>Good</v>
      </c>
      <c r="AE87" s="11"/>
      <c r="AF87" t="str">
        <v>Nikki.Dix@floridadep.gov</v>
      </c>
      <c r="AG87" s="17" t="s">
        <v>17</v>
      </c>
      <c r="AH87" s="12"/>
      <c r="AI87" s="12" t="s">
        <v>197</v>
      </c>
      <c r="AJ87" s="19" t="s">
        <v>198</v>
      </c>
      <c r="AK87" s="20" t="str">
        <f>HYPERLINK("https://docs.google.com/document/d/1KwWbRZ0rfVkD6cgG4sahSuTzc2waIBHIwhs9aelaYeM/edit?usp=drivesdk","Pamela Marcum - 6/18/2018 7:00 AM")</f>
        <v>Pamela Marcum - 6/18/2018 7:00 AM</v>
      </c>
      <c r="AL87" s="12" t="s">
        <v>199</v>
      </c>
    </row>
    <row r="88" spans="1:38" ht="12.75">
      <c r="A88" s="10">
        <f ca="1">IFERROR(__xludf.DUMMYFUNCTION("""COMPUTED_VALUE"""),43270.2303647106)</f>
        <v>43270.230364710602</v>
      </c>
      <c r="B88" s="11" t="str">
        <f ca="1">IFERROR(__xludf.DUMMYFUNCTION("""COMPUTED_VALUE"""),"Ben Mowbray")</f>
        <v>Ben Mowbray</v>
      </c>
      <c r="C88" t="str">
        <f ca="1">IFERROR(__xludf.DUMMYFUNCTION("""COMPUTED_VALUE"""),"ben.mowbray@dep.state.fl.us")</f>
        <v>ben.mowbray@dep.state.fl.us</v>
      </c>
      <c r="D88" t="str">
        <f ca="1">IFERROR(__xludf.DUMMYFUNCTION("""COMPUTED_VALUE"""),"Research")</f>
        <v>Research</v>
      </c>
      <c r="E88" t="str">
        <f ca="1">IFERROR(__xludf.DUMMYFUNCTION("""COMPUTED_VALUE"""),"Green Rd. Boat Ramp")</f>
        <v>Green Rd. Boat Ramp</v>
      </c>
      <c r="F88" s="13">
        <f ca="1">IFERROR(__xludf.DUMMYFUNCTION("""COMPUTED_VALUE"""),0.375)</f>
        <v>0.375</v>
      </c>
      <c r="G88" s="14">
        <f ca="1">IFERROR(__xludf.DUMMYFUNCTION("""COMPUTED_VALUE"""),43270)</f>
        <v>43270</v>
      </c>
      <c r="H88" t="str">
        <f ca="1">IFERROR(__xludf.DUMMYFUNCTION("""COMPUTED_VALUE"""),"Moses Kimbro Site")</f>
        <v>Moses Kimbro Site</v>
      </c>
      <c r="I88" s="15">
        <f ca="1">IFERROR(__xludf.DUMMYFUNCTION("""COMPUTED_VALUE"""),0.5625)</f>
        <v>0.5625</v>
      </c>
      <c r="J88" s="16">
        <f ca="1">IFERROR(__xludf.DUMMYFUNCTION("""COMPUTED_VALUE"""),43270.625)</f>
        <v>43270.625</v>
      </c>
      <c r="K88" t="str">
        <f ca="1">IFERROR(__xludf.DUMMYFUNCTION("""COMPUTED_VALUE"""),"23ft Skiff (Bertha) FL7972LJ DEP07613, Kayak(s)")</f>
        <v>23ft Skiff (Bertha) FL7972LJ DEP07613, Kayak(s)</v>
      </c>
      <c r="L88">
        <f ca="1">IFERROR(__xludf.DUMMYFUNCTION("""COMPUTED_VALUE"""),1)</f>
        <v>1</v>
      </c>
      <c r="M88" t="str">
        <f ca="1">IFERROR(__xludf.DUMMYFUNCTION("""COMPUTED_VALUE"""),"Ford F150 2015 (White) - DEP21448")</f>
        <v>Ford F150 2015 (White) - DEP21448</v>
      </c>
      <c r="N88" t="str">
        <f ca="1">IFERROR(__xludf.DUMMYFUNCTION("""COMPUTED_VALUE"""),"Ben Mowbray, (407) 962-8782")</f>
        <v>Ben Mowbray, (407) 962-8782</v>
      </c>
      <c r="O88" t="str">
        <f ca="1">IFERROR(__xludf.DUMMYFUNCTION("""COMPUTED_VALUE"""),"Nicole Peckham, Adrienne, Rodrigo")</f>
        <v>Nicole Peckham, Adrienne, Rodrigo</v>
      </c>
      <c r="P88" t="str">
        <f ca="1">IFERROR(__xludf.DUMMYFUNCTION("""COMPUTED_VALUE"""),"Ben")</f>
        <v>Ben</v>
      </c>
      <c r="Q88" t="str">
        <f ca="1">IFERROR(__xludf.DUMMYFUNCTION("""COMPUTED_VALUE"""),"Good")</f>
        <v>Good</v>
      </c>
      <c r="R88" t="str">
        <f ca="1">IFERROR(__xludf.DUMMYFUNCTION("""COMPUTED_VALUE"""),"Good")</f>
        <v>Good</v>
      </c>
      <c r="S88" t="str">
        <f ca="1">IFERROR(__xludf.DUMMYFUNCTION("""COMPUTED_VALUE"""),"Good")</f>
        <v>Good</v>
      </c>
      <c r="T88" t="str">
        <f ca="1">IFERROR(__xludf.DUMMYFUNCTION("""COMPUTED_VALUE"""),"Good")</f>
        <v>Good</v>
      </c>
      <c r="U88" t="str">
        <f ca="1">IFERROR(__xludf.DUMMYFUNCTION("""COMPUTED_VALUE"""),"Good")</f>
        <v>Good</v>
      </c>
      <c r="V88" t="str">
        <f ca="1">IFERROR(__xludf.DUMMYFUNCTION("""COMPUTED_VALUE"""),"Good")</f>
        <v>Good</v>
      </c>
      <c r="W88" t="str">
        <f ca="1">IFERROR(__xludf.DUMMYFUNCTION("""COMPUTED_VALUE"""),"Good")</f>
        <v>Good</v>
      </c>
      <c r="X88" t="str">
        <f ca="1">IFERROR(__xludf.DUMMYFUNCTION("""COMPUTED_VALUE"""),"Good")</f>
        <v>Good</v>
      </c>
      <c r="Y88" t="str">
        <f ca="1">IFERROR(__xludf.DUMMYFUNCTION("""COMPUTED_VALUE"""),"Good")</f>
        <v>Good</v>
      </c>
      <c r="Z88" t="str">
        <f ca="1">IFERROR(__xludf.DUMMYFUNCTION("""COMPUTED_VALUE"""),"Good")</f>
        <v>Good</v>
      </c>
      <c r="AA88" t="str">
        <f ca="1">IFERROR(__xludf.DUMMYFUNCTION("""COMPUTED_VALUE"""),"Good")</f>
        <v>Good</v>
      </c>
      <c r="AB88" t="str">
        <f ca="1">IFERROR(__xludf.DUMMYFUNCTION("""COMPUTED_VALUE"""),"Good")</f>
        <v>Good</v>
      </c>
      <c r="AC88" t="str">
        <f ca="1">IFERROR(__xludf.DUMMYFUNCTION("""COMPUTED_VALUE"""),"Good")</f>
        <v>Good</v>
      </c>
      <c r="AE88" s="11"/>
      <c r="AF88" t="str">
        <v>Nikki.Dix@floridadep.gov</v>
      </c>
      <c r="AG88" s="17" t="s">
        <v>17</v>
      </c>
      <c r="AH88" s="12"/>
      <c r="AI88" s="12" t="s">
        <v>200</v>
      </c>
      <c r="AJ88" s="19" t="s">
        <v>201</v>
      </c>
      <c r="AK88" s="20" t="str">
        <f>HYPERLINK("https://docs.google.com/document/d/18sH7tpcvRVPrnvu5INSV_e-yIKj2uGcQozGVLnx_pZU/edit?usp=drivesdk","Ben Mowbray - 6/19/2018 9:00 AM")</f>
        <v>Ben Mowbray - 6/19/2018 9:00 AM</v>
      </c>
      <c r="AL88" s="12" t="s">
        <v>202</v>
      </c>
    </row>
    <row r="89" spans="1:38" ht="12.75">
      <c r="A89" s="10">
        <f ca="1">IFERROR(__xludf.DUMMYFUNCTION("""COMPUTED_VALUE"""),43272.3591758796)</f>
        <v>43272.359175879603</v>
      </c>
      <c r="B89" s="11" t="str">
        <f ca="1">IFERROR(__xludf.DUMMYFUNCTION("""COMPUTED_VALUE"""),"James Tomazinis")</f>
        <v>James Tomazinis</v>
      </c>
      <c r="C89" t="str">
        <f ca="1">IFERROR(__xludf.DUMMYFUNCTION("""COMPUTED_VALUE"""),"james.tomazinis@floridadep.gov")</f>
        <v>james.tomazinis@floridadep.gov</v>
      </c>
      <c r="D89" t="str">
        <f ca="1">IFERROR(__xludf.DUMMYFUNCTION("""COMPUTED_VALUE"""),"Stewardship (Aquatic)")</f>
        <v>Stewardship (Aquatic)</v>
      </c>
      <c r="E89" t="str">
        <f ca="1">IFERROR(__xludf.DUMMYFUNCTION("""COMPUTED_VALUE"""),"Sawpit creek")</f>
        <v>Sawpit creek</v>
      </c>
      <c r="F89" s="13">
        <f ca="1">IFERROR(__xludf.DUMMYFUNCTION("""COMPUTED_VALUE"""),0.40625)</f>
        <v>0.40625</v>
      </c>
      <c r="G89" s="14">
        <f ca="1">IFERROR(__xludf.DUMMYFUNCTION("""COMPUTED_VALUE"""),43272)</f>
        <v>43272</v>
      </c>
      <c r="H89" t="str">
        <f ca="1">IFERROR(__xludf.DUMMYFUNCTION("""COMPUTED_VALUE"""),"Nassauville restoration site and mangroves")</f>
        <v>Nassauville restoration site and mangroves</v>
      </c>
      <c r="I89" s="15">
        <f ca="1">IFERROR(__xludf.DUMMYFUNCTION("""COMPUTED_VALUE"""),0.70833333333212)</f>
        <v>0.70833333333212001</v>
      </c>
      <c r="J89" s="16"/>
      <c r="K89" t="str">
        <f ca="1">IFERROR(__xludf.DUMMYFUNCTION("""COMPUTED_VALUE"""),"F 20ft Sea Ark (Easy 200) FL8534PY DEP21451")</f>
        <v>F 20ft Sea Ark (Easy 200) FL8534PY DEP21451</v>
      </c>
      <c r="M89" t="str">
        <f ca="1">IFERROR(__xludf.DUMMYFUNCTION("""COMPUTED_VALUE"""),"Ford F250 2017 (Moby Dix) - DEP0021578")</f>
        <v>Ford F250 2017 (Moby Dix) - DEP0021578</v>
      </c>
      <c r="N89" t="str">
        <f ca="1">IFERROR(__xludf.DUMMYFUNCTION("""COMPUTED_VALUE"""),"Scott Eastman, (904) 501-9267, Jimmy Tomazinis, (904) 547-0094")</f>
        <v>Scott Eastman, (904) 501-9267, Jimmy Tomazinis, (904) 547-0094</v>
      </c>
      <c r="O89" t="str">
        <f ca="1">IFERROR(__xludf.DUMMYFUNCTION("""COMPUTED_VALUE"""),"Mike Dickson")</f>
        <v>Mike Dickson</v>
      </c>
      <c r="P89" t="str">
        <f ca="1">IFERROR(__xludf.DUMMYFUNCTION("""COMPUTED_VALUE"""),"Jimmy")</f>
        <v>Jimmy</v>
      </c>
      <c r="Q89" t="str">
        <f ca="1">IFERROR(__xludf.DUMMYFUNCTION("""COMPUTED_VALUE"""),"Good")</f>
        <v>Good</v>
      </c>
      <c r="R89" t="str">
        <f ca="1">IFERROR(__xludf.DUMMYFUNCTION("""COMPUTED_VALUE"""),"Good")</f>
        <v>Good</v>
      </c>
      <c r="S89" t="str">
        <f ca="1">IFERROR(__xludf.DUMMYFUNCTION("""COMPUTED_VALUE"""),"Good")</f>
        <v>Good</v>
      </c>
      <c r="T89" t="str">
        <f ca="1">IFERROR(__xludf.DUMMYFUNCTION("""COMPUTED_VALUE"""),"Good")</f>
        <v>Good</v>
      </c>
      <c r="U89" t="str">
        <f ca="1">IFERROR(__xludf.DUMMYFUNCTION("""COMPUTED_VALUE"""),"Good")</f>
        <v>Good</v>
      </c>
      <c r="V89" t="str">
        <f ca="1">IFERROR(__xludf.DUMMYFUNCTION("""COMPUTED_VALUE"""),"Good")</f>
        <v>Good</v>
      </c>
      <c r="W89" t="str">
        <f ca="1">IFERROR(__xludf.DUMMYFUNCTION("""COMPUTED_VALUE"""),"Good")</f>
        <v>Good</v>
      </c>
      <c r="X89" t="str">
        <f ca="1">IFERROR(__xludf.DUMMYFUNCTION("""COMPUTED_VALUE"""),"Good")</f>
        <v>Good</v>
      </c>
      <c r="Y89" t="str">
        <f ca="1">IFERROR(__xludf.DUMMYFUNCTION("""COMPUTED_VALUE"""),"Good")</f>
        <v>Good</v>
      </c>
      <c r="Z89" t="str">
        <f ca="1">IFERROR(__xludf.DUMMYFUNCTION("""COMPUTED_VALUE"""),"Good")</f>
        <v>Good</v>
      </c>
      <c r="AA89" t="str">
        <f ca="1">IFERROR(__xludf.DUMMYFUNCTION("""COMPUTED_VALUE"""),"Good")</f>
        <v>Good</v>
      </c>
      <c r="AB89" t="str">
        <f ca="1">IFERROR(__xludf.DUMMYFUNCTION("""COMPUTED_VALUE"""),"Good")</f>
        <v>Good</v>
      </c>
      <c r="AC89" t="str">
        <f ca="1">IFERROR(__xludf.DUMMYFUNCTION("""COMPUTED_VALUE"""),"Good")</f>
        <v>Good</v>
      </c>
      <c r="AE89" s="11"/>
      <c r="AF89" t="str">
        <v>Scott.Eastman@floridadep.gov</v>
      </c>
      <c r="AG89" s="17" t="s">
        <v>17</v>
      </c>
      <c r="AH89" s="12"/>
      <c r="AI89" s="12" t="s">
        <v>203</v>
      </c>
      <c r="AJ89" s="19" t="s">
        <v>204</v>
      </c>
      <c r="AK89" s="20" t="str">
        <f>HYPERLINK("https://docs.google.com/document/d/1v7q-IULNLh2s7jlsl-iuhE7Fi_UIkWYnjOZQaPhKCSs/edit?usp=drivesdk","James Tomazinis - 6/21/2018 9:45 AM")</f>
        <v>James Tomazinis - 6/21/2018 9:45 AM</v>
      </c>
      <c r="AL89" s="12" t="s">
        <v>205</v>
      </c>
    </row>
    <row r="90" spans="1:38" ht="12.75">
      <c r="A90" s="10">
        <f ca="1">IFERROR(__xludf.DUMMYFUNCTION("""COMPUTED_VALUE"""),43276.375861493)</f>
        <v>43276.375861492998</v>
      </c>
      <c r="B90" s="11" t="str">
        <f ca="1">IFERROR(__xludf.DUMMYFUNCTION("""COMPUTED_VALUE"""),"Pamela Marcum")</f>
        <v>Pamela Marcum</v>
      </c>
      <c r="C90" t="str">
        <f ca="1">IFERROR(__xludf.DUMMYFUNCTION("""COMPUTED_VALUE"""),"Pamela.Marcum@dep.state.fl.us")</f>
        <v>Pamela.Marcum@dep.state.fl.us</v>
      </c>
      <c r="D90" t="str">
        <f ca="1">IFERROR(__xludf.DUMMYFUNCTION("""COMPUTED_VALUE"""),"Research")</f>
        <v>Research</v>
      </c>
      <c r="E90" t="str">
        <f ca="1">IFERROR(__xludf.DUMMYFUNCTION("""COMPUTED_VALUE"""),"Bing's Landing")</f>
        <v>Bing's Landing</v>
      </c>
      <c r="F90" s="13">
        <f ca="1">IFERROR(__xludf.DUMMYFUNCTION("""COMPUTED_VALUE"""),0.5)</f>
        <v>0.5</v>
      </c>
      <c r="G90" s="14">
        <f ca="1">IFERROR(__xludf.DUMMYFUNCTION("""COMPUTED_VALUE"""),43276)</f>
        <v>43276</v>
      </c>
      <c r="H90" t="str">
        <f ca="1">IFERROR(__xludf.DUMMYFUNCTION("""COMPUTED_VALUE"""),"Mantanzas River")</f>
        <v>Mantanzas River</v>
      </c>
      <c r="I90" s="15">
        <f ca="1">IFERROR(__xludf.DUMMYFUNCTION("""COMPUTED_VALUE"""),0.625)</f>
        <v>0.625</v>
      </c>
      <c r="J90" s="16">
        <f ca="1">IFERROR(__xludf.DUMMYFUNCTION("""COMPUTED_VALUE"""),43276.6666666666)</f>
        <v>43276.666666666599</v>
      </c>
      <c r="K90" t="str">
        <f ca="1">IFERROR(__xludf.DUMMYFUNCTION("""COMPUTED_VALUE"""),"23ft Skiff (Bertha) FL7972LJ DEP07613")</f>
        <v>23ft Skiff (Bertha) FL7972LJ DEP07613</v>
      </c>
      <c r="M90" t="str">
        <f ca="1">IFERROR(__xludf.DUMMYFUNCTION("""COMPUTED_VALUE"""),"Ford F150 2008 - DEP18041 (SWMP Thing)")</f>
        <v>Ford F150 2008 - DEP18041 (SWMP Thing)</v>
      </c>
      <c r="N90" t="str">
        <f ca="1">IFERROR(__xludf.DUMMYFUNCTION("""COMPUTED_VALUE"""),"Pam Marcum, (480) 332-5414")</f>
        <v>Pam Marcum, (480) 332-5414</v>
      </c>
      <c r="O90" t="str">
        <f ca="1">IFERROR(__xludf.DUMMYFUNCTION("""COMPUTED_VALUE"""),"Benjamin Mowbray, (407) 962-8782, Remo Mondazzi")</f>
        <v>Benjamin Mowbray, (407) 962-8782, Remo Mondazzi</v>
      </c>
      <c r="P90" t="str">
        <f ca="1">IFERROR(__xludf.DUMMYFUNCTION("""COMPUTED_VALUE"""),"Pamela Marcum")</f>
        <v>Pamela Marcum</v>
      </c>
      <c r="Q90" t="str">
        <f ca="1">IFERROR(__xludf.DUMMYFUNCTION("""COMPUTED_VALUE"""),"Good")</f>
        <v>Good</v>
      </c>
      <c r="R90" t="str">
        <f ca="1">IFERROR(__xludf.DUMMYFUNCTION("""COMPUTED_VALUE"""),"Good")</f>
        <v>Good</v>
      </c>
      <c r="S90" t="str">
        <f ca="1">IFERROR(__xludf.DUMMYFUNCTION("""COMPUTED_VALUE"""),"Good")</f>
        <v>Good</v>
      </c>
      <c r="T90" t="str">
        <f ca="1">IFERROR(__xludf.DUMMYFUNCTION("""COMPUTED_VALUE"""),"Good")</f>
        <v>Good</v>
      </c>
      <c r="U90" t="str">
        <f ca="1">IFERROR(__xludf.DUMMYFUNCTION("""COMPUTED_VALUE"""),"Good")</f>
        <v>Good</v>
      </c>
      <c r="V90" t="str">
        <f ca="1">IFERROR(__xludf.DUMMYFUNCTION("""COMPUTED_VALUE"""),"Good")</f>
        <v>Good</v>
      </c>
      <c r="W90" t="str">
        <f ca="1">IFERROR(__xludf.DUMMYFUNCTION("""COMPUTED_VALUE"""),"Good")</f>
        <v>Good</v>
      </c>
      <c r="X90" t="str">
        <f ca="1">IFERROR(__xludf.DUMMYFUNCTION("""COMPUTED_VALUE"""),"Good")</f>
        <v>Good</v>
      </c>
      <c r="Y90" t="str">
        <f ca="1">IFERROR(__xludf.DUMMYFUNCTION("""COMPUTED_VALUE"""),"Good")</f>
        <v>Good</v>
      </c>
      <c r="Z90" t="str">
        <f ca="1">IFERROR(__xludf.DUMMYFUNCTION("""COMPUTED_VALUE"""),"Good")</f>
        <v>Good</v>
      </c>
      <c r="AA90" t="str">
        <f ca="1">IFERROR(__xludf.DUMMYFUNCTION("""COMPUTED_VALUE"""),"Good")</f>
        <v>Good</v>
      </c>
      <c r="AB90" t="str">
        <f ca="1">IFERROR(__xludf.DUMMYFUNCTION("""COMPUTED_VALUE"""),"Good")</f>
        <v>Good</v>
      </c>
      <c r="AC90" t="str">
        <f ca="1">IFERROR(__xludf.DUMMYFUNCTION("""COMPUTED_VALUE"""),"Good")</f>
        <v>Good</v>
      </c>
      <c r="AE90" s="11"/>
      <c r="AF90" t="str">
        <v>Nikki.Dix@floridadep.gov</v>
      </c>
      <c r="AG90" s="17" t="s">
        <v>206</v>
      </c>
      <c r="AH90" s="12"/>
      <c r="AI90" s="12" t="s">
        <v>207</v>
      </c>
      <c r="AJ90" s="19" t="s">
        <v>208</v>
      </c>
      <c r="AK90" s="20" t="str">
        <f>HYPERLINK("https://docs.google.com/document/d/1L0kzkzO3R_dAJCQe55pzE_QXkWNAsyj-X0rnm0gVaQY/edit?usp=drivesdk","Pamela Marcum - 6/25/2018 12:00 PM")</f>
        <v>Pamela Marcum - 6/25/2018 12:00 PM</v>
      </c>
      <c r="AL90" s="12" t="s">
        <v>209</v>
      </c>
    </row>
    <row r="91" spans="1:38" ht="12.75">
      <c r="A91" s="10">
        <f ca="1">IFERROR(__xludf.DUMMYFUNCTION("""COMPUTED_VALUE"""),43276.4305722916)</f>
        <v>43276.430572291603</v>
      </c>
      <c r="B91" s="11" t="str">
        <f ca="1">IFERROR(__xludf.DUMMYFUNCTION("""COMPUTED_VALUE"""),"Kenneth Rainer")</f>
        <v>Kenneth Rainer</v>
      </c>
      <c r="C91" t="str">
        <f ca="1">IFERROR(__xludf.DUMMYFUNCTION("""COMPUTED_VALUE"""),"Kenneth.Rainer@dep.state.fl.us")</f>
        <v>Kenneth.Rainer@dep.state.fl.us</v>
      </c>
      <c r="D91" t="str">
        <f ca="1">IFERROR(__xludf.DUMMYFUNCTION("""COMPUTED_VALUE"""),"Education")</f>
        <v>Education</v>
      </c>
      <c r="E91" t="str">
        <f ca="1">IFERROR(__xludf.DUMMYFUNCTION("""COMPUTED_VALUE"""),"Usina Boat Ramp")</f>
        <v>Usina Boat Ramp</v>
      </c>
      <c r="F91" s="13">
        <f ca="1">IFERROR(__xludf.DUMMYFUNCTION("""COMPUTED_VALUE"""),0.375)</f>
        <v>0.375</v>
      </c>
      <c r="G91" s="14">
        <f ca="1">IFERROR(__xludf.DUMMYFUNCTION("""COMPUTED_VALUE"""),43277)</f>
        <v>43277</v>
      </c>
      <c r="H91" t="str">
        <f ca="1">IFERROR(__xludf.DUMMYFUNCTION("""COMPUTED_VALUE"""),"Northern Component - Shell Bluff")</f>
        <v>Northern Component - Shell Bluff</v>
      </c>
      <c r="I91" s="15">
        <f ca="1">IFERROR(__xludf.DUMMYFUNCTION("""COMPUTED_VALUE"""),0.541666666667879)</f>
        <v>0.54166666666787899</v>
      </c>
      <c r="J91" s="16">
        <f ca="1">IFERROR(__xludf.DUMMYFUNCTION("""COMPUTED_VALUE"""),43277.5833333333)</f>
        <v>43277.583333333299</v>
      </c>
      <c r="K91" t="str">
        <f ca="1">IFERROR(__xludf.DUMMYFUNCTION("""COMPUTED_VALUE"""),"23ft Skiff (Bertha) FL7972LJ DEP07613")</f>
        <v>23ft Skiff (Bertha) FL7972LJ DEP07613</v>
      </c>
      <c r="M91" t="str">
        <f ca="1">IFERROR(__xludf.DUMMYFUNCTION("""COMPUTED_VALUE"""),"Ford F250 2017 (Moby Dix) - DEP0021578")</f>
        <v>Ford F250 2017 (Moby Dix) - DEP0021578</v>
      </c>
      <c r="N91" t="str">
        <f ca="1">IFERROR(__xludf.DUMMYFUNCTION("""COMPUTED_VALUE"""),"Kenneth Rainer, (936) 499-1853")</f>
        <v>Kenneth Rainer, (936) 499-1853</v>
      </c>
      <c r="O91" t="str">
        <f ca="1">IFERROR(__xludf.DUMMYFUNCTION("""COMPUTED_VALUE"""),"Gabriela Canas, (904) 891-9743, Emma Hanson, Josie Spearman, (386) 627-0816")</f>
        <v>Gabriela Canas, (904) 891-9743, Emma Hanson, Josie Spearman, (386) 627-0816</v>
      </c>
      <c r="P91" t="str">
        <f ca="1">IFERROR(__xludf.DUMMYFUNCTION("""COMPUTED_VALUE"""),"Kenneth Rainer")</f>
        <v>Kenneth Rainer</v>
      </c>
      <c r="Q91" t="str">
        <f ca="1">IFERROR(__xludf.DUMMYFUNCTION("""COMPUTED_VALUE"""),"Good")</f>
        <v>Good</v>
      </c>
      <c r="R91" t="str">
        <f ca="1">IFERROR(__xludf.DUMMYFUNCTION("""COMPUTED_VALUE"""),"Good")</f>
        <v>Good</v>
      </c>
      <c r="S91" t="str">
        <f ca="1">IFERROR(__xludf.DUMMYFUNCTION("""COMPUTED_VALUE"""),"Good")</f>
        <v>Good</v>
      </c>
      <c r="T91" t="str">
        <f ca="1">IFERROR(__xludf.DUMMYFUNCTION("""COMPUTED_VALUE"""),"Good")</f>
        <v>Good</v>
      </c>
      <c r="U91" t="str">
        <f ca="1">IFERROR(__xludf.DUMMYFUNCTION("""COMPUTED_VALUE"""),"Good")</f>
        <v>Good</v>
      </c>
      <c r="V91" t="str">
        <f ca="1">IFERROR(__xludf.DUMMYFUNCTION("""COMPUTED_VALUE"""),"Good")</f>
        <v>Good</v>
      </c>
      <c r="W91" t="str">
        <f ca="1">IFERROR(__xludf.DUMMYFUNCTION("""COMPUTED_VALUE"""),"Good")</f>
        <v>Good</v>
      </c>
      <c r="X91" t="str">
        <f ca="1">IFERROR(__xludf.DUMMYFUNCTION("""COMPUTED_VALUE"""),"Good")</f>
        <v>Good</v>
      </c>
      <c r="Y91" t="str">
        <f ca="1">IFERROR(__xludf.DUMMYFUNCTION("""COMPUTED_VALUE"""),"Good")</f>
        <v>Good</v>
      </c>
      <c r="Z91" t="str">
        <f ca="1">IFERROR(__xludf.DUMMYFUNCTION("""COMPUTED_VALUE"""),"Good")</f>
        <v>Good</v>
      </c>
      <c r="AA91" t="str">
        <f ca="1">IFERROR(__xludf.DUMMYFUNCTION("""COMPUTED_VALUE"""),"Good")</f>
        <v>Good</v>
      </c>
      <c r="AB91" t="str">
        <f ca="1">IFERROR(__xludf.DUMMYFUNCTION("""COMPUTED_VALUE"""),"Good")</f>
        <v>Good</v>
      </c>
      <c r="AC91" t="str">
        <f ca="1">IFERROR(__xludf.DUMMYFUNCTION("""COMPUTED_VALUE"""),"Good")</f>
        <v>Good</v>
      </c>
      <c r="AD91" t="str">
        <f ca="1">IFERROR(__xludf.DUMMYFUNCTION("""COMPUTED_VALUE"""),"Partly cloudy. A stray shower or thunderstorm is possible. High 89F. Winds SSE at 10 to 15 mph.")</f>
        <v>Partly cloudy. A stray shower or thunderstorm is possible. High 89F. Winds SSE at 10 to 15 mph.</v>
      </c>
      <c r="AE91" s="11" t="str">
        <f ca="1">IFERROR(__xludf.DUMMYFUNCTION("""COMPUTED_VALUE"""),"2:07 AM (-0.02); 7:59 AM (3.53); 1:56 PM (-0.26); 8:26 PM (4.52)")</f>
        <v>2:07 AM (-0.02); 7:59 AM (3.53); 1:56 PM (-0.26); 8:26 PM (4.52)</v>
      </c>
      <c r="AF91" t="str">
        <v>Kenneth.Rainer@floridadep.gov</v>
      </c>
      <c r="AG91" s="17" t="s">
        <v>126</v>
      </c>
      <c r="AH91" s="12"/>
      <c r="AI91" s="12" t="s">
        <v>210</v>
      </c>
      <c r="AJ91" s="19" t="s">
        <v>211</v>
      </c>
      <c r="AK91" s="20" t="str">
        <f>HYPERLINK("https://docs.google.com/document/d/1ntrs6YFpK78CyX3JOrufebLGk1XUDopFAGN4tHmjzSY/edit?usp=drivesdk","Kenneth Rainer - 6/26/2018 9:00 AM")</f>
        <v>Kenneth Rainer - 6/26/2018 9:00 AM</v>
      </c>
      <c r="AL91" s="12" t="s">
        <v>212</v>
      </c>
    </row>
    <row r="92" spans="1:38" ht="12.75">
      <c r="A92" s="10">
        <f ca="1">IFERROR(__xludf.DUMMYFUNCTION("""COMPUTED_VALUE"""),43278.3046192476)</f>
        <v>43278.304619247603</v>
      </c>
      <c r="B92" s="11" t="str">
        <f ca="1">IFERROR(__xludf.DUMMYFUNCTION("""COMPUTED_VALUE"""),"James Tomazinis")</f>
        <v>James Tomazinis</v>
      </c>
      <c r="C92" t="str">
        <f ca="1">IFERROR(__xludf.DUMMYFUNCTION("""COMPUTED_VALUE"""),"james.tomazinis@floridadep.gov")</f>
        <v>james.tomazinis@floridadep.gov</v>
      </c>
      <c r="D92" t="str">
        <f ca="1">IFERROR(__xludf.DUMMYFUNCTION("""COMPUTED_VALUE"""),"Stewardship (Aquatic)")</f>
        <v>Stewardship (Aquatic)</v>
      </c>
      <c r="E92" t="str">
        <f ca="1">IFERROR(__xludf.DUMMYFUNCTION("""COMPUTED_VALUE"""),"Guana Dam")</f>
        <v>Guana Dam</v>
      </c>
      <c r="F92" s="13">
        <f ca="1">IFERROR(__xludf.DUMMYFUNCTION("""COMPUTED_VALUE"""),0.3125)</f>
        <v>0.3125</v>
      </c>
      <c r="G92" s="14">
        <f ca="1">IFERROR(__xludf.DUMMYFUNCTION("""COMPUTED_VALUE"""),43278)</f>
        <v>43278</v>
      </c>
      <c r="H92" t="str">
        <f ca="1">IFERROR(__xludf.DUMMYFUNCTION("""COMPUTED_VALUE"""),"Guana lake")</f>
        <v>Guana lake</v>
      </c>
      <c r="I92" s="15">
        <f ca="1">IFERROR(__xludf.DUMMYFUNCTION("""COMPUTED_VALUE"""),0.541666666667879)</f>
        <v>0.54166666666787899</v>
      </c>
      <c r="J92" s="16"/>
      <c r="K92" t="str">
        <f ca="1">IFERROR(__xludf.DUMMYFUNCTION("""COMPUTED_VALUE"""),"Jon Boat FL0484NP DEP06819")</f>
        <v>Jon Boat FL0484NP DEP06819</v>
      </c>
      <c r="M92" t="str">
        <f ca="1">IFERROR(__xludf.DUMMYFUNCTION("""COMPUTED_VALUE"""),"Ford F150 2015 (White) - DEP21448")</f>
        <v>Ford F150 2015 (White) - DEP21448</v>
      </c>
      <c r="N92" t="str">
        <f ca="1">IFERROR(__xludf.DUMMYFUNCTION("""COMPUTED_VALUE"""),"Jimmy Tomazinis, (904) 547-0094")</f>
        <v>Jimmy Tomazinis, (904) 547-0094</v>
      </c>
      <c r="O92" t="str">
        <f ca="1">IFERROR(__xludf.DUMMYFUNCTION("""COMPUTED_VALUE"""),"Kelly Smith")</f>
        <v>Kelly Smith</v>
      </c>
      <c r="P92" t="str">
        <f ca="1">IFERROR(__xludf.DUMMYFUNCTION("""COMPUTED_VALUE"""),"Jimmy")</f>
        <v>Jimmy</v>
      </c>
      <c r="Q92" t="str">
        <f ca="1">IFERROR(__xludf.DUMMYFUNCTION("""COMPUTED_VALUE"""),"Good")</f>
        <v>Good</v>
      </c>
      <c r="R92" t="str">
        <f ca="1">IFERROR(__xludf.DUMMYFUNCTION("""COMPUTED_VALUE"""),"Good")</f>
        <v>Good</v>
      </c>
      <c r="S92" t="str">
        <f ca="1">IFERROR(__xludf.DUMMYFUNCTION("""COMPUTED_VALUE"""),"Good")</f>
        <v>Good</v>
      </c>
      <c r="T92" t="str">
        <f ca="1">IFERROR(__xludf.DUMMYFUNCTION("""COMPUTED_VALUE"""),"Good")</f>
        <v>Good</v>
      </c>
      <c r="U92" t="str">
        <f ca="1">IFERROR(__xludf.DUMMYFUNCTION("""COMPUTED_VALUE"""),"Good")</f>
        <v>Good</v>
      </c>
      <c r="V92" t="str">
        <f ca="1">IFERROR(__xludf.DUMMYFUNCTION("""COMPUTED_VALUE"""),"Good")</f>
        <v>Good</v>
      </c>
      <c r="W92" t="str">
        <f ca="1">IFERROR(__xludf.DUMMYFUNCTION("""COMPUTED_VALUE"""),"Good")</f>
        <v>Good</v>
      </c>
      <c r="X92" t="str">
        <f ca="1">IFERROR(__xludf.DUMMYFUNCTION("""COMPUTED_VALUE"""),"Good")</f>
        <v>Good</v>
      </c>
      <c r="Y92" t="str">
        <f ca="1">IFERROR(__xludf.DUMMYFUNCTION("""COMPUTED_VALUE"""),"Good")</f>
        <v>Good</v>
      </c>
      <c r="Z92" t="str">
        <f ca="1">IFERROR(__xludf.DUMMYFUNCTION("""COMPUTED_VALUE"""),"Good")</f>
        <v>Good</v>
      </c>
      <c r="AA92" t="str">
        <f ca="1">IFERROR(__xludf.DUMMYFUNCTION("""COMPUTED_VALUE"""),"Good")</f>
        <v>Good</v>
      </c>
      <c r="AB92" t="str">
        <f ca="1">IFERROR(__xludf.DUMMYFUNCTION("""COMPUTED_VALUE"""),"Good")</f>
        <v>Good</v>
      </c>
      <c r="AC92" t="str">
        <f ca="1">IFERROR(__xludf.DUMMYFUNCTION("""COMPUTED_VALUE"""),"Good")</f>
        <v>Good</v>
      </c>
      <c r="AE92" s="11"/>
      <c r="AF92" t="str">
        <v>Scott.Eastman@floridadep.gov</v>
      </c>
      <c r="AG92" s="17" t="s">
        <v>17</v>
      </c>
      <c r="AH92" s="12"/>
      <c r="AI92" s="12" t="s">
        <v>213</v>
      </c>
      <c r="AJ92" s="19" t="s">
        <v>214</v>
      </c>
      <c r="AK92" s="20" t="str">
        <f>HYPERLINK("https://docs.google.com/document/d/1FpILXcPLEtzulcfVT6SGTL70ibQT75O0hb2ZfXmGgmI/edit?usp=drivesdk","James Tomazinis - 6/27/2018 7:30 AM")</f>
        <v>James Tomazinis - 6/27/2018 7:30 AM</v>
      </c>
      <c r="AL92" s="12" t="s">
        <v>215</v>
      </c>
    </row>
    <row r="93" spans="1:38" ht="12.75">
      <c r="A93" s="10">
        <f ca="1">IFERROR(__xludf.DUMMYFUNCTION("""COMPUTED_VALUE"""),43278.4080618634)</f>
        <v>43278.408061863403</v>
      </c>
      <c r="B93" s="11" t="str">
        <f ca="1">IFERROR(__xludf.DUMMYFUNCTION("""COMPUTED_VALUE"""),"Silas Tanner")</f>
        <v>Silas Tanner</v>
      </c>
      <c r="C93" t="str">
        <f ca="1">IFERROR(__xludf.DUMMYFUNCTION("""COMPUTED_VALUE"""),"silas.tanner@floridadep.gov")</f>
        <v>silas.tanner@floridadep.gov</v>
      </c>
      <c r="D93" t="str">
        <f ca="1">IFERROR(__xludf.DUMMYFUNCTION("""COMPUTED_VALUE"""),"Research/Nikki")</f>
        <v>Research/Nikki</v>
      </c>
      <c r="E93" t="str">
        <f ca="1">IFERROR(__xludf.DUMMYFUNCTION("""COMPUTED_VALUE"""),"Bing's")</f>
        <v>Bing's</v>
      </c>
      <c r="F93" s="13">
        <f ca="1">IFERROR(__xludf.DUMMYFUNCTION("""COMPUTED_VALUE"""),0.45833333333212)</f>
        <v>0.45833333333212001</v>
      </c>
      <c r="G93" s="14">
        <f ca="1">IFERROR(__xludf.DUMMYFUNCTION("""COMPUTED_VALUE"""),43278)</f>
        <v>43278</v>
      </c>
      <c r="H93" t="str">
        <f ca="1">IFERROR(__xludf.DUMMYFUNCTION("""COMPUTED_VALUE"""),"ICW - Summerhaven")</f>
        <v>ICW - Summerhaven</v>
      </c>
      <c r="I93" s="15">
        <f ca="1">IFERROR(__xludf.DUMMYFUNCTION("""COMPUTED_VALUE"""),0.604166666667879)</f>
        <v>0.60416666666787899</v>
      </c>
      <c r="J93" s="16">
        <f ca="1">IFERROR(__xludf.DUMMYFUNCTION("""COMPUTED_VALUE"""),43278.6458333333)</f>
        <v>43278.645833333299</v>
      </c>
      <c r="K93" t="str">
        <f ca="1">IFERROR(__xludf.DUMMYFUNCTION("""COMPUTED_VALUE"""),"23ft Skiff (Bertha) FL7972LJ DEP07613")</f>
        <v>23ft Skiff (Bertha) FL7972LJ DEP07613</v>
      </c>
      <c r="M93" t="str">
        <f ca="1">IFERROR(__xludf.DUMMYFUNCTION("""COMPUTED_VALUE"""),"Ford F250 2017 (Moby Dix) - DEP0021578")</f>
        <v>Ford F250 2017 (Moby Dix) - DEP0021578</v>
      </c>
      <c r="N93" t="str">
        <f ca="1">IFERROR(__xludf.DUMMYFUNCTION("""COMPUTED_VALUE"""),"Shannon Dunnigan, (803) 727-5734, Silas Tanner, (904) 483-8423")</f>
        <v>Shannon Dunnigan, (803) 727-5734, Silas Tanner, (904) 483-8423</v>
      </c>
      <c r="O93" t="str">
        <f ca="1">IFERROR(__xludf.DUMMYFUNCTION("""COMPUTED_VALUE"""),"Hunter Mathews, Matt Brown, Westly Woodward")</f>
        <v>Hunter Mathews, Matt Brown, Westly Woodward</v>
      </c>
      <c r="P93" t="str">
        <f ca="1">IFERROR(__xludf.DUMMYFUNCTION("""COMPUTED_VALUE"""),"Silas Tanner")</f>
        <v>Silas Tanner</v>
      </c>
      <c r="Q93" t="str">
        <f ca="1">IFERROR(__xludf.DUMMYFUNCTION("""COMPUTED_VALUE"""),"Good")</f>
        <v>Good</v>
      </c>
      <c r="R93" t="str">
        <f ca="1">IFERROR(__xludf.DUMMYFUNCTION("""COMPUTED_VALUE"""),"Good")</f>
        <v>Good</v>
      </c>
      <c r="S93" t="str">
        <f ca="1">IFERROR(__xludf.DUMMYFUNCTION("""COMPUTED_VALUE"""),"Good")</f>
        <v>Good</v>
      </c>
      <c r="T93" t="str">
        <f ca="1">IFERROR(__xludf.DUMMYFUNCTION("""COMPUTED_VALUE"""),"Good")</f>
        <v>Good</v>
      </c>
      <c r="U93" t="str">
        <f ca="1">IFERROR(__xludf.DUMMYFUNCTION("""COMPUTED_VALUE"""),"Good")</f>
        <v>Good</v>
      </c>
      <c r="V93" t="str">
        <f ca="1">IFERROR(__xludf.DUMMYFUNCTION("""COMPUTED_VALUE"""),"Good")</f>
        <v>Good</v>
      </c>
      <c r="W93" t="str">
        <f ca="1">IFERROR(__xludf.DUMMYFUNCTION("""COMPUTED_VALUE"""),"Good")</f>
        <v>Good</v>
      </c>
      <c r="X93" t="str">
        <f ca="1">IFERROR(__xludf.DUMMYFUNCTION("""COMPUTED_VALUE"""),"Good")</f>
        <v>Good</v>
      </c>
      <c r="Y93" t="str">
        <f ca="1">IFERROR(__xludf.DUMMYFUNCTION("""COMPUTED_VALUE"""),"Good")</f>
        <v>Good</v>
      </c>
      <c r="Z93" t="str">
        <f ca="1">IFERROR(__xludf.DUMMYFUNCTION("""COMPUTED_VALUE"""),"Good")</f>
        <v>Good</v>
      </c>
      <c r="AA93" t="str">
        <f ca="1">IFERROR(__xludf.DUMMYFUNCTION("""COMPUTED_VALUE"""),"Good")</f>
        <v>Good</v>
      </c>
      <c r="AB93" t="str">
        <f ca="1">IFERROR(__xludf.DUMMYFUNCTION("""COMPUTED_VALUE"""),"Good")</f>
        <v>Good</v>
      </c>
      <c r="AC93" t="str">
        <f ca="1">IFERROR(__xludf.DUMMYFUNCTION("""COMPUTED_VALUE"""),"Good")</f>
        <v>Good</v>
      </c>
      <c r="AE93" s="11"/>
      <c r="AF93" t="str">
        <v>Nikki.Dix@floridadep.gov</v>
      </c>
      <c r="AG93" s="17" t="s">
        <v>17</v>
      </c>
      <c r="AH93" s="12"/>
      <c r="AI93" s="12" t="s">
        <v>216</v>
      </c>
      <c r="AJ93" s="19" t="s">
        <v>217</v>
      </c>
      <c r="AK93" s="20" t="str">
        <f>HYPERLINK("https://docs.google.com/document/d/1XauK_Lwrv1Qt95jY2ZpwtpyOvOLtQrABuSS55AExW6U/edit?usp=drivesdk","Silas Tanner - 6/27/2018 11:00 AM")</f>
        <v>Silas Tanner - 6/27/2018 11:00 AM</v>
      </c>
      <c r="AL93" s="12" t="s">
        <v>218</v>
      </c>
    </row>
    <row r="94" spans="1:38" ht="12.75">
      <c r="A94" s="10">
        <f ca="1">IFERROR(__xludf.DUMMYFUNCTION("""COMPUTED_VALUE"""),43280.5404842939)</f>
        <v>43280.540484293902</v>
      </c>
      <c r="B94" s="11" t="str">
        <f ca="1">IFERROR(__xludf.DUMMYFUNCTION("""COMPUTED_VALUE"""),"Ben Mowbray")</f>
        <v>Ben Mowbray</v>
      </c>
      <c r="C94" t="str">
        <f ca="1">IFERROR(__xludf.DUMMYFUNCTION("""COMPUTED_VALUE"""),"ben.mowbray@dep.state.fl.us")</f>
        <v>ben.mowbray@dep.state.fl.us</v>
      </c>
      <c r="D94" t="str">
        <f ca="1">IFERROR(__xludf.DUMMYFUNCTION("""COMPUTED_VALUE"""),"Research/Nikki")</f>
        <v>Research/Nikki</v>
      </c>
      <c r="E94" t="str">
        <f ca="1">IFERROR(__xludf.DUMMYFUNCTION("""COMPUTED_VALUE"""),"Aunt Kate's")</f>
        <v>Aunt Kate's</v>
      </c>
      <c r="F94" s="13">
        <f ca="1">IFERROR(__xludf.DUMMYFUNCTION("""COMPUTED_VALUE"""),0.201388888890505)</f>
        <v>0.20138888889050499</v>
      </c>
      <c r="G94" s="14">
        <f ca="1">IFERROR(__xludf.DUMMYFUNCTION("""COMPUTED_VALUE"""),43281)</f>
        <v>43281</v>
      </c>
      <c r="H94" t="str">
        <f ca="1">IFERROR(__xludf.DUMMYFUNCTION("""COMPUTED_VALUE"""),"Oyster Reefs in Tolomato and Guana River")</f>
        <v>Oyster Reefs in Tolomato and Guana River</v>
      </c>
      <c r="I94" s="15">
        <f ca="1">IFERROR(__xludf.DUMMYFUNCTION("""COMPUTED_VALUE"""),0.541666666667879)</f>
        <v>0.54166666666787899</v>
      </c>
      <c r="J94" s="16">
        <f ca="1">IFERROR(__xludf.DUMMYFUNCTION("""COMPUTED_VALUE"""),43281.5625)</f>
        <v>43281.5625</v>
      </c>
      <c r="K94" t="str">
        <f ca="1">IFERROR(__xludf.DUMMYFUNCTION("""COMPUTED_VALUE"""),"23ft Skiff (Bertha) FL7972LJ DEP07613")</f>
        <v>23ft Skiff (Bertha) FL7972LJ DEP07613</v>
      </c>
      <c r="M94" t="str">
        <f ca="1">IFERROR(__xludf.DUMMYFUNCTION("""COMPUTED_VALUE"""),"Ford F150 2008 - DEP18041 (SWMP Thing)")</f>
        <v>Ford F150 2008 - DEP18041 (SWMP Thing)</v>
      </c>
      <c r="N94" t="str">
        <f ca="1">IFERROR(__xludf.DUMMYFUNCTION("""COMPUTED_VALUE"""),"Ben Mowbray, (407) 962-8782")</f>
        <v>Ben Mowbray, (407) 962-8782</v>
      </c>
      <c r="O94" t="str">
        <f ca="1">IFERROR(__xludf.DUMMYFUNCTION("""COMPUTED_VALUE"""),"Benjamin Mowbray, (407) 962-8782, Nicole Peckham, Rodrigo Pavani, Adrienne Breef-Pilz")</f>
        <v>Benjamin Mowbray, (407) 962-8782, Nicole Peckham, Rodrigo Pavani, Adrienne Breef-Pilz</v>
      </c>
      <c r="P94" t="str">
        <f ca="1">IFERROR(__xludf.DUMMYFUNCTION("""COMPUTED_VALUE"""),"Ben")</f>
        <v>Ben</v>
      </c>
      <c r="Q94" t="str">
        <f ca="1">IFERROR(__xludf.DUMMYFUNCTION("""COMPUTED_VALUE"""),"Good")</f>
        <v>Good</v>
      </c>
      <c r="R94" t="str">
        <f ca="1">IFERROR(__xludf.DUMMYFUNCTION("""COMPUTED_VALUE"""),"Good")</f>
        <v>Good</v>
      </c>
      <c r="S94" t="str">
        <f ca="1">IFERROR(__xludf.DUMMYFUNCTION("""COMPUTED_VALUE"""),"Good")</f>
        <v>Good</v>
      </c>
      <c r="T94" t="str">
        <f ca="1">IFERROR(__xludf.DUMMYFUNCTION("""COMPUTED_VALUE"""),"Good")</f>
        <v>Good</v>
      </c>
      <c r="U94" t="str">
        <f ca="1">IFERROR(__xludf.DUMMYFUNCTION("""COMPUTED_VALUE"""),"Good")</f>
        <v>Good</v>
      </c>
      <c r="V94" t="str">
        <f ca="1">IFERROR(__xludf.DUMMYFUNCTION("""COMPUTED_VALUE"""),"Good")</f>
        <v>Good</v>
      </c>
      <c r="W94" t="str">
        <f ca="1">IFERROR(__xludf.DUMMYFUNCTION("""COMPUTED_VALUE"""),"Good")</f>
        <v>Good</v>
      </c>
      <c r="X94" t="str">
        <f ca="1">IFERROR(__xludf.DUMMYFUNCTION("""COMPUTED_VALUE"""),"Good")</f>
        <v>Good</v>
      </c>
      <c r="Y94" t="str">
        <f ca="1">IFERROR(__xludf.DUMMYFUNCTION("""COMPUTED_VALUE"""),"Good")</f>
        <v>Good</v>
      </c>
      <c r="Z94" t="str">
        <f ca="1">IFERROR(__xludf.DUMMYFUNCTION("""COMPUTED_VALUE"""),"Good")</f>
        <v>Good</v>
      </c>
      <c r="AA94" t="str">
        <f ca="1">IFERROR(__xludf.DUMMYFUNCTION("""COMPUTED_VALUE"""),"Good")</f>
        <v>Good</v>
      </c>
      <c r="AB94" t="str">
        <f ca="1">IFERROR(__xludf.DUMMYFUNCTION("""COMPUTED_VALUE"""),"Good")</f>
        <v>Good</v>
      </c>
      <c r="AC94" t="str">
        <f ca="1">IFERROR(__xludf.DUMMYFUNCTION("""COMPUTED_VALUE"""),"Good")</f>
        <v>Good</v>
      </c>
      <c r="AE94" s="11"/>
      <c r="AF94" t="str">
        <v>Nikki.Dix@floridadep.gov</v>
      </c>
      <c r="AG94" s="17" t="s">
        <v>41</v>
      </c>
      <c r="AH94" s="12"/>
      <c r="AI94" s="12" t="s">
        <v>219</v>
      </c>
      <c r="AJ94" s="19" t="s">
        <v>220</v>
      </c>
      <c r="AK94" s="20" t="str">
        <f>HYPERLINK("https://docs.google.com/document/d/1jQ1Oq7IYAKkafOHydGGQLYmkCHw1ud0uqub5wzV9okc/edit?usp=drivesdk","Ben Mowbray - 6/30/2018 4:50 AM")</f>
        <v>Ben Mowbray - 6/30/2018 4:50 AM</v>
      </c>
      <c r="AL94" s="12" t="s">
        <v>221</v>
      </c>
    </row>
    <row r="95" spans="1:38" ht="12.75">
      <c r="A95" s="10">
        <f ca="1">IFERROR(__xludf.DUMMYFUNCTION("""COMPUTED_VALUE"""),43282.1436383449)</f>
        <v>43282.143638344904</v>
      </c>
      <c r="B95" s="11" t="str">
        <f ca="1">IFERROR(__xludf.DUMMYFUNCTION("""COMPUTED_VALUE"""),"Ben Mowbray")</f>
        <v>Ben Mowbray</v>
      </c>
      <c r="C95" t="str">
        <f ca="1">IFERROR(__xludf.DUMMYFUNCTION("""COMPUTED_VALUE"""),"ben.mowbray@dep.state.fl.us")</f>
        <v>ben.mowbray@dep.state.fl.us</v>
      </c>
      <c r="D95" t="str">
        <f ca="1">IFERROR(__xludf.DUMMYFUNCTION("""COMPUTED_VALUE"""),"Research/Nikki")</f>
        <v>Research/Nikki</v>
      </c>
      <c r="E95" t="str">
        <f ca="1">IFERROR(__xludf.DUMMYFUNCTION("""COMPUTED_VALUE"""),"Aunt Kate's")</f>
        <v>Aunt Kate's</v>
      </c>
      <c r="F95" s="13">
        <f ca="1">IFERROR(__xludf.DUMMYFUNCTION("""COMPUTED_VALUE"""),0.1875)</f>
        <v>0.1875</v>
      </c>
      <c r="G95" s="14">
        <f ca="1">IFERROR(__xludf.DUMMYFUNCTION("""COMPUTED_VALUE"""),43282)</f>
        <v>43282</v>
      </c>
      <c r="H95" t="str">
        <f ca="1">IFERROR(__xludf.DUMMYFUNCTION("""COMPUTED_VALUE"""),"Reefs in Tolomato")</f>
        <v>Reefs in Tolomato</v>
      </c>
      <c r="I95" s="15">
        <f ca="1">IFERROR(__xludf.DUMMYFUNCTION("""COMPUTED_VALUE"""),0.33333333333212)</f>
        <v>0.33333333333212001</v>
      </c>
      <c r="J95" s="16">
        <f ca="1">IFERROR(__xludf.DUMMYFUNCTION("""COMPUTED_VALUE"""),43282.34375)</f>
        <v>43282.34375</v>
      </c>
      <c r="K95" t="str">
        <f ca="1">IFERROR(__xludf.DUMMYFUNCTION("""COMPUTED_VALUE"""),"23ft Skiff (Bertha) FL7972LJ DEP07613")</f>
        <v>23ft Skiff (Bertha) FL7972LJ DEP07613</v>
      </c>
      <c r="M95" t="str">
        <f ca="1">IFERROR(__xludf.DUMMYFUNCTION("""COMPUTED_VALUE"""),"Ford F150 2008 - DEP18041 (SWMP Thing)")</f>
        <v>Ford F150 2008 - DEP18041 (SWMP Thing)</v>
      </c>
      <c r="N95" t="str">
        <f ca="1">IFERROR(__xludf.DUMMYFUNCTION("""COMPUTED_VALUE"""),"Ben Mowbray, (407) 962-8782")</f>
        <v>Ben Mowbray, (407) 962-8782</v>
      </c>
      <c r="O95" t="str">
        <f ca="1">IFERROR(__xludf.DUMMYFUNCTION("""COMPUTED_VALUE"""),"Nicole Peckham, Rodrigo Pavani, Adrienne Breef-Pilz")</f>
        <v>Nicole Peckham, Rodrigo Pavani, Adrienne Breef-Pilz</v>
      </c>
      <c r="P95" t="str">
        <f ca="1">IFERROR(__xludf.DUMMYFUNCTION("""COMPUTED_VALUE"""),"Ben")</f>
        <v>Ben</v>
      </c>
      <c r="Q95" t="str">
        <f ca="1">IFERROR(__xludf.DUMMYFUNCTION("""COMPUTED_VALUE"""),"Good")</f>
        <v>Good</v>
      </c>
      <c r="R95" t="str">
        <f ca="1">IFERROR(__xludf.DUMMYFUNCTION("""COMPUTED_VALUE"""),"Good")</f>
        <v>Good</v>
      </c>
      <c r="T95" t="str">
        <f ca="1">IFERROR(__xludf.DUMMYFUNCTION("""COMPUTED_VALUE"""),"Good")</f>
        <v>Good</v>
      </c>
      <c r="U95" t="str">
        <f ca="1">IFERROR(__xludf.DUMMYFUNCTION("""COMPUTED_VALUE"""),"Good")</f>
        <v>Good</v>
      </c>
      <c r="V95" t="str">
        <f ca="1">IFERROR(__xludf.DUMMYFUNCTION("""COMPUTED_VALUE"""),"Good")</f>
        <v>Good</v>
      </c>
      <c r="W95" t="str">
        <f ca="1">IFERROR(__xludf.DUMMYFUNCTION("""COMPUTED_VALUE"""),"Good")</f>
        <v>Good</v>
      </c>
      <c r="X95" t="str">
        <f ca="1">IFERROR(__xludf.DUMMYFUNCTION("""COMPUTED_VALUE"""),"Good")</f>
        <v>Good</v>
      </c>
      <c r="Y95" t="str">
        <f ca="1">IFERROR(__xludf.DUMMYFUNCTION("""COMPUTED_VALUE"""),"Good")</f>
        <v>Good</v>
      </c>
      <c r="Z95" t="str">
        <f ca="1">IFERROR(__xludf.DUMMYFUNCTION("""COMPUTED_VALUE"""),"Good")</f>
        <v>Good</v>
      </c>
      <c r="AA95" t="str">
        <f ca="1">IFERROR(__xludf.DUMMYFUNCTION("""COMPUTED_VALUE"""),"Good")</f>
        <v>Good</v>
      </c>
      <c r="AB95" t="str">
        <f ca="1">IFERROR(__xludf.DUMMYFUNCTION("""COMPUTED_VALUE"""),"Good")</f>
        <v>Good</v>
      </c>
      <c r="AC95" t="str">
        <f ca="1">IFERROR(__xludf.DUMMYFUNCTION("""COMPUTED_VALUE"""),"Good")</f>
        <v>Good</v>
      </c>
      <c r="AE95" s="11"/>
      <c r="AF95" t="str">
        <v>Nikki.Dix@floridadep.gov</v>
      </c>
      <c r="AG95" s="17" t="s">
        <v>222</v>
      </c>
      <c r="AH95" s="12"/>
      <c r="AI95" s="12" t="s">
        <v>223</v>
      </c>
      <c r="AJ95" s="19" t="s">
        <v>224</v>
      </c>
      <c r="AK95" s="20" t="str">
        <f>HYPERLINK("https://docs.google.com/document/d/1XiMLRnysfffxhmnRhmieWEnwz45lXHcfCtEJfVr3uy4/edit?usp=drivesdk","Ben Mowbray - 7/1/2018 4:30 AM")</f>
        <v>Ben Mowbray - 7/1/2018 4:30 AM</v>
      </c>
      <c r="AL95" s="12" t="s">
        <v>225</v>
      </c>
    </row>
    <row r="96" spans="1:38" ht="12.75">
      <c r="A96" s="10">
        <f ca="1">IFERROR(__xludf.DUMMYFUNCTION("""COMPUTED_VALUE"""),43283.1937951273)</f>
        <v>43283.193795127299</v>
      </c>
      <c r="B96" s="11" t="str">
        <f ca="1">IFERROR(__xludf.DUMMYFUNCTION("""COMPUTED_VALUE"""),"Ben Mowbray")</f>
        <v>Ben Mowbray</v>
      </c>
      <c r="C96" t="str">
        <f ca="1">IFERROR(__xludf.DUMMYFUNCTION("""COMPUTED_VALUE"""),"ben.mowbray@dep.state.fl.us")</f>
        <v>ben.mowbray@dep.state.fl.us</v>
      </c>
      <c r="D96" t="str">
        <f ca="1">IFERROR(__xludf.DUMMYFUNCTION("""COMPUTED_VALUE"""),"Research/Nikki")</f>
        <v>Research/Nikki</v>
      </c>
      <c r="E96" t="str">
        <f ca="1">IFERROR(__xludf.DUMMYFUNCTION("""COMPUTED_VALUE"""),"Aunt Kate's")</f>
        <v>Aunt Kate's</v>
      </c>
      <c r="F96" s="13">
        <f ca="1">IFERROR(__xludf.DUMMYFUNCTION("""COMPUTED_VALUE"""),0.20833333333212)</f>
        <v>0.20833333333212001</v>
      </c>
      <c r="G96" s="14">
        <f ca="1">IFERROR(__xludf.DUMMYFUNCTION("""COMPUTED_VALUE"""),43283)</f>
        <v>43283</v>
      </c>
      <c r="H96" t="str">
        <f ca="1">IFERROR(__xludf.DUMMYFUNCTION("""COMPUTED_VALUE"""),"Spat Tree Reefs")</f>
        <v>Spat Tree Reefs</v>
      </c>
      <c r="I96" s="15">
        <f ca="1">IFERROR(__xludf.DUMMYFUNCTION("""COMPUTED_VALUE"""),0.354166666667879)</f>
        <v>0.35416666666787899</v>
      </c>
      <c r="J96" s="16">
        <f ca="1">IFERROR(__xludf.DUMMYFUNCTION("""COMPUTED_VALUE"""),43283.375)</f>
        <v>43283.375</v>
      </c>
      <c r="K96" t="str">
        <f ca="1">IFERROR(__xludf.DUMMYFUNCTION("""COMPUTED_VALUE"""),"23ft Skiff (Bertha) FL7972LJ DEP07613")</f>
        <v>23ft Skiff (Bertha) FL7972LJ DEP07613</v>
      </c>
      <c r="M96" t="str">
        <f ca="1">IFERROR(__xludf.DUMMYFUNCTION("""COMPUTED_VALUE"""),"Ford F150 2008 - DEP18041 (SWMP Thing)")</f>
        <v>Ford F150 2008 - DEP18041 (SWMP Thing)</v>
      </c>
      <c r="N96" t="str">
        <f ca="1">IFERROR(__xludf.DUMMYFUNCTION("""COMPUTED_VALUE"""),"Pam Marcum, (480) 332-5414, Ben Mowbray, (407) 962-8782")</f>
        <v>Pam Marcum, (480) 332-5414, Ben Mowbray, (407) 962-8782</v>
      </c>
      <c r="P96" t="str">
        <f ca="1">IFERROR(__xludf.DUMMYFUNCTION("""COMPUTED_VALUE"""),"Ben")</f>
        <v>Ben</v>
      </c>
      <c r="Q96" t="str">
        <f ca="1">IFERROR(__xludf.DUMMYFUNCTION("""COMPUTED_VALUE"""),"Good")</f>
        <v>Good</v>
      </c>
      <c r="R96" t="str">
        <f ca="1">IFERROR(__xludf.DUMMYFUNCTION("""COMPUTED_VALUE"""),"Good")</f>
        <v>Good</v>
      </c>
      <c r="S96" t="str">
        <f ca="1">IFERROR(__xludf.DUMMYFUNCTION("""COMPUTED_VALUE"""),"Good")</f>
        <v>Good</v>
      </c>
      <c r="T96" t="str">
        <f ca="1">IFERROR(__xludf.DUMMYFUNCTION("""COMPUTED_VALUE"""),"Good")</f>
        <v>Good</v>
      </c>
      <c r="U96" t="str">
        <f ca="1">IFERROR(__xludf.DUMMYFUNCTION("""COMPUTED_VALUE"""),"Good")</f>
        <v>Good</v>
      </c>
      <c r="V96" t="str">
        <f ca="1">IFERROR(__xludf.DUMMYFUNCTION("""COMPUTED_VALUE"""),"Good")</f>
        <v>Good</v>
      </c>
      <c r="W96" t="str">
        <f ca="1">IFERROR(__xludf.DUMMYFUNCTION("""COMPUTED_VALUE"""),"Good")</f>
        <v>Good</v>
      </c>
      <c r="X96" t="str">
        <f ca="1">IFERROR(__xludf.DUMMYFUNCTION("""COMPUTED_VALUE"""),"Good")</f>
        <v>Good</v>
      </c>
      <c r="Y96" t="str">
        <f ca="1">IFERROR(__xludf.DUMMYFUNCTION("""COMPUTED_VALUE"""),"Good")</f>
        <v>Good</v>
      </c>
      <c r="Z96" t="str">
        <f ca="1">IFERROR(__xludf.DUMMYFUNCTION("""COMPUTED_VALUE"""),"Good")</f>
        <v>Good</v>
      </c>
      <c r="AA96" t="str">
        <f ca="1">IFERROR(__xludf.DUMMYFUNCTION("""COMPUTED_VALUE"""),"Good")</f>
        <v>Good</v>
      </c>
      <c r="AB96" t="str">
        <f ca="1">IFERROR(__xludf.DUMMYFUNCTION("""COMPUTED_VALUE"""),"Good")</f>
        <v>Good</v>
      </c>
      <c r="AC96" t="str">
        <f ca="1">IFERROR(__xludf.DUMMYFUNCTION("""COMPUTED_VALUE"""),"Good")</f>
        <v>Good</v>
      </c>
      <c r="AE96" s="11"/>
      <c r="AF96" t="str">
        <v>Nikki.Dix@floridadep.gov</v>
      </c>
      <c r="AG96" s="17" t="s">
        <v>58</v>
      </c>
      <c r="AH96" s="12"/>
      <c r="AI96" s="12" t="s">
        <v>226</v>
      </c>
      <c r="AJ96" s="19" t="s">
        <v>227</v>
      </c>
      <c r="AK96" s="20" t="str">
        <f>HYPERLINK("https://docs.google.com/document/d/1qsBp188AIvYYa7bWDNtbtdNGEWYhVYQXnzAKQ6cwFU4/edit?usp=drivesdk","Ben Mowbray - 7/2/2018 5:00 AM")</f>
        <v>Ben Mowbray - 7/2/2018 5:00 AM</v>
      </c>
      <c r="AL96" s="12" t="s">
        <v>228</v>
      </c>
    </row>
    <row r="97" spans="1:38" ht="12.75">
      <c r="A97" s="10">
        <f ca="1">IFERROR(__xludf.DUMMYFUNCTION("""COMPUTED_VALUE"""),43283.5335505902)</f>
        <v>43283.533550590197</v>
      </c>
      <c r="B97" s="11" t="str">
        <f ca="1">IFERROR(__xludf.DUMMYFUNCTION("""COMPUTED_VALUE"""),"Silas Tanner")</f>
        <v>Silas Tanner</v>
      </c>
      <c r="C97" t="str">
        <f ca="1">IFERROR(__xludf.DUMMYFUNCTION("""COMPUTED_VALUE"""),"silas.tanner@floridadep.gov")</f>
        <v>silas.tanner@floridadep.gov</v>
      </c>
      <c r="D97" t="str">
        <f ca="1">IFERROR(__xludf.DUMMYFUNCTION("""COMPUTED_VALUE"""),"Research/Nikki")</f>
        <v>Research/Nikki</v>
      </c>
      <c r="E97" t="str">
        <f ca="1">IFERROR(__xludf.DUMMYFUNCTION("""COMPUTED_VALUE"""),"Vilano county ramp")</f>
        <v>Vilano county ramp</v>
      </c>
      <c r="F97" s="13">
        <f ca="1">IFERROR(__xludf.DUMMYFUNCTION("""COMPUTED_VALUE"""),0.5)</f>
        <v>0.5</v>
      </c>
      <c r="G97" s="14">
        <f ca="1">IFERROR(__xludf.DUMMYFUNCTION("""COMPUTED_VALUE"""),43284)</f>
        <v>43284</v>
      </c>
      <c r="H97" t="str">
        <f ca="1">IFERROR(__xludf.DUMMYFUNCTION("""COMPUTED_VALUE"""),"ICW - SWMP sites")</f>
        <v>ICW - SWMP sites</v>
      </c>
      <c r="I97" s="15">
        <f ca="1">IFERROR(__xludf.DUMMYFUNCTION("""COMPUTED_VALUE"""),0.6875)</f>
        <v>0.6875</v>
      </c>
      <c r="J97" s="16">
        <f ca="1">IFERROR(__xludf.DUMMYFUNCTION("""COMPUTED_VALUE"""),43284.6979166666)</f>
        <v>43284.697916666599</v>
      </c>
      <c r="K97" t="str">
        <f ca="1">IFERROR(__xludf.DUMMYFUNCTION("""COMPUTED_VALUE"""),"23ft Skiff (Bertha) FL7972LJ DEP07613")</f>
        <v>23ft Skiff (Bertha) FL7972LJ DEP07613</v>
      </c>
      <c r="M97" t="str">
        <f ca="1">IFERROR(__xludf.DUMMYFUNCTION("""COMPUTED_VALUE"""),"Ford F250 2017 (Moby Dix) - DEP0021578")</f>
        <v>Ford F250 2017 (Moby Dix) - DEP0021578</v>
      </c>
      <c r="N97" t="str">
        <f ca="1">IFERROR(__xludf.DUMMYFUNCTION("""COMPUTED_VALUE"""),"Silas Tanner, (904) 483-8423")</f>
        <v>Silas Tanner, (904) 483-8423</v>
      </c>
      <c r="O97" t="str">
        <f ca="1">IFERROR(__xludf.DUMMYFUNCTION("""COMPUTED_VALUE"""),"Tatum Theodore, Hunter Mathews")</f>
        <v>Tatum Theodore, Hunter Mathews</v>
      </c>
      <c r="P97" t="str">
        <f ca="1">IFERROR(__xludf.DUMMYFUNCTION("""COMPUTED_VALUE"""),"Silas Tanner")</f>
        <v>Silas Tanner</v>
      </c>
      <c r="Q97" t="str">
        <f ca="1">IFERROR(__xludf.DUMMYFUNCTION("""COMPUTED_VALUE"""),"Good")</f>
        <v>Good</v>
      </c>
      <c r="R97" t="str">
        <f ca="1">IFERROR(__xludf.DUMMYFUNCTION("""COMPUTED_VALUE"""),"Good")</f>
        <v>Good</v>
      </c>
      <c r="S97" t="str">
        <f ca="1">IFERROR(__xludf.DUMMYFUNCTION("""COMPUTED_VALUE"""),"Good")</f>
        <v>Good</v>
      </c>
      <c r="T97" t="str">
        <f ca="1">IFERROR(__xludf.DUMMYFUNCTION("""COMPUTED_VALUE"""),"Good")</f>
        <v>Good</v>
      </c>
      <c r="U97" t="str">
        <f ca="1">IFERROR(__xludf.DUMMYFUNCTION("""COMPUTED_VALUE"""),"Good")</f>
        <v>Good</v>
      </c>
      <c r="V97" t="str">
        <f ca="1">IFERROR(__xludf.DUMMYFUNCTION("""COMPUTED_VALUE"""),"Good")</f>
        <v>Good</v>
      </c>
      <c r="W97" t="str">
        <f ca="1">IFERROR(__xludf.DUMMYFUNCTION("""COMPUTED_VALUE"""),"Good")</f>
        <v>Good</v>
      </c>
      <c r="X97" t="str">
        <f ca="1">IFERROR(__xludf.DUMMYFUNCTION("""COMPUTED_VALUE"""),"Good")</f>
        <v>Good</v>
      </c>
      <c r="Y97" t="str">
        <f ca="1">IFERROR(__xludf.DUMMYFUNCTION("""COMPUTED_VALUE"""),"Good")</f>
        <v>Good</v>
      </c>
      <c r="Z97" t="str">
        <f ca="1">IFERROR(__xludf.DUMMYFUNCTION("""COMPUTED_VALUE"""),"Good")</f>
        <v>Good</v>
      </c>
      <c r="AA97" t="str">
        <f ca="1">IFERROR(__xludf.DUMMYFUNCTION("""COMPUTED_VALUE"""),"Good")</f>
        <v>Good</v>
      </c>
      <c r="AB97" t="str">
        <f ca="1">IFERROR(__xludf.DUMMYFUNCTION("""COMPUTED_VALUE"""),"Good")</f>
        <v>Good</v>
      </c>
      <c r="AC97" t="str">
        <f ca="1">IFERROR(__xludf.DUMMYFUNCTION("""COMPUTED_VALUE"""),"Good")</f>
        <v>Good</v>
      </c>
      <c r="AE97" s="11"/>
      <c r="AF97" t="str">
        <v>Nikki.Dix@floridadep.gov</v>
      </c>
      <c r="AG97" s="17" t="s">
        <v>41</v>
      </c>
      <c r="AH97" s="12"/>
      <c r="AI97" s="12" t="s">
        <v>229</v>
      </c>
      <c r="AJ97" s="19" t="s">
        <v>230</v>
      </c>
      <c r="AK97" s="20" t="str">
        <f>HYPERLINK("https://docs.google.com/document/d/1StEQUgg0DdG61MF8-4mfq09rrv9NLcT7qfqHE2eQsnQ/edit?usp=drivesdk","Silas Tanner - 7/3/2018 12:00 PM")</f>
        <v>Silas Tanner - 7/3/2018 12:00 PM</v>
      </c>
      <c r="AL97" s="12" t="s">
        <v>231</v>
      </c>
    </row>
    <row r="98" spans="1:38" ht="12.75">
      <c r="A98" s="10">
        <f ca="1">IFERROR(__xludf.DUMMYFUNCTION("""COMPUTED_VALUE"""),43284.1966922685)</f>
        <v>43284.196692268502</v>
      </c>
      <c r="B98" s="11" t="str">
        <f ca="1">IFERROR(__xludf.DUMMYFUNCTION("""COMPUTED_VALUE"""),"Pamela Marcum")</f>
        <v>Pamela Marcum</v>
      </c>
      <c r="C98" t="str">
        <f ca="1">IFERROR(__xludf.DUMMYFUNCTION("""COMPUTED_VALUE"""),"Pamela.Marcum@dep.state.fl.us")</f>
        <v>Pamela.Marcum@dep.state.fl.us</v>
      </c>
      <c r="D98" t="str">
        <f ca="1">IFERROR(__xludf.DUMMYFUNCTION("""COMPUTED_VALUE"""),"Research/Nikki")</f>
        <v>Research/Nikki</v>
      </c>
      <c r="E98" t="str">
        <f ca="1">IFERROR(__xludf.DUMMYFUNCTION("""COMPUTED_VALUE"""),"Green Rd")</f>
        <v>Green Rd</v>
      </c>
      <c r="F98" s="13">
        <f ca="1">IFERROR(__xludf.DUMMYFUNCTION("""COMPUTED_VALUE"""),0.25)</f>
        <v>0.25</v>
      </c>
      <c r="G98" s="14">
        <f ca="1">IFERROR(__xludf.DUMMYFUNCTION("""COMPUTED_VALUE"""),43283)</f>
        <v>43283</v>
      </c>
      <c r="H98" t="str">
        <f ca="1">IFERROR(__xludf.DUMMYFUNCTION("""COMPUTED_VALUE"""),"Matanzas River Spat Sites")</f>
        <v>Matanzas River Spat Sites</v>
      </c>
      <c r="I98" s="15">
        <f ca="1">IFERROR(__xludf.DUMMYFUNCTION("""COMPUTED_VALUE"""),0.5)</f>
        <v>0.5</v>
      </c>
      <c r="J98" s="16">
        <f ca="1">IFERROR(__xludf.DUMMYFUNCTION("""COMPUTED_VALUE"""),43283.5416666666)</f>
        <v>43283.541666666599</v>
      </c>
      <c r="K98" t="str">
        <f ca="1">IFERROR(__xludf.DUMMYFUNCTION("""COMPUTED_VALUE"""),"20ft Sea Ark FL5351SJ UNF 2015")</f>
        <v>20ft Sea Ark FL5351SJ UNF 2015</v>
      </c>
      <c r="M98" t="str">
        <f ca="1">IFERROR(__xludf.DUMMYFUNCTION("""COMPUTED_VALUE"""),"Ford F150 2015 (White) - DEP21448")</f>
        <v>Ford F150 2015 (White) - DEP21448</v>
      </c>
      <c r="N98" t="str">
        <f ca="1">IFERROR(__xludf.DUMMYFUNCTION("""COMPUTED_VALUE"""),"Pam Marcum, (480) 332-5414, Remo Mondazzi")</f>
        <v>Pam Marcum, (480) 332-5414, Remo Mondazzi</v>
      </c>
      <c r="O98" t="str">
        <f ca="1">IFERROR(__xludf.DUMMYFUNCTION("""COMPUTED_VALUE"""),"Adrienne Breef-Pilz, Nicole Peckham, Rodrigo Pavani")</f>
        <v>Adrienne Breef-Pilz, Nicole Peckham, Rodrigo Pavani</v>
      </c>
      <c r="P98" t="str">
        <f ca="1">IFERROR(__xludf.DUMMYFUNCTION("""COMPUTED_VALUE"""),"Pamela Marcum")</f>
        <v>Pamela Marcum</v>
      </c>
      <c r="Q98" t="str">
        <f ca="1">IFERROR(__xludf.DUMMYFUNCTION("""COMPUTED_VALUE"""),"Good")</f>
        <v>Good</v>
      </c>
      <c r="R98" t="str">
        <f ca="1">IFERROR(__xludf.DUMMYFUNCTION("""COMPUTED_VALUE"""),"Good")</f>
        <v>Good</v>
      </c>
      <c r="S98" t="str">
        <f ca="1">IFERROR(__xludf.DUMMYFUNCTION("""COMPUTED_VALUE"""),"Good")</f>
        <v>Good</v>
      </c>
      <c r="T98" t="str">
        <f ca="1">IFERROR(__xludf.DUMMYFUNCTION("""COMPUTED_VALUE"""),"Good")</f>
        <v>Good</v>
      </c>
      <c r="U98" t="str">
        <f ca="1">IFERROR(__xludf.DUMMYFUNCTION("""COMPUTED_VALUE"""),"Good")</f>
        <v>Good</v>
      </c>
      <c r="V98" t="str">
        <f ca="1">IFERROR(__xludf.DUMMYFUNCTION("""COMPUTED_VALUE"""),"Good")</f>
        <v>Good</v>
      </c>
      <c r="W98" t="str">
        <f ca="1">IFERROR(__xludf.DUMMYFUNCTION("""COMPUTED_VALUE"""),"Good")</f>
        <v>Good</v>
      </c>
      <c r="X98" t="str">
        <f ca="1">IFERROR(__xludf.DUMMYFUNCTION("""COMPUTED_VALUE"""),"Good")</f>
        <v>Good</v>
      </c>
      <c r="Y98" t="str">
        <f ca="1">IFERROR(__xludf.DUMMYFUNCTION("""COMPUTED_VALUE"""),"Good")</f>
        <v>Good</v>
      </c>
      <c r="Z98" t="str">
        <f ca="1">IFERROR(__xludf.DUMMYFUNCTION("""COMPUTED_VALUE"""),"Good")</f>
        <v>Good</v>
      </c>
      <c r="AA98" t="str">
        <f ca="1">IFERROR(__xludf.DUMMYFUNCTION("""COMPUTED_VALUE"""),"Good")</f>
        <v>Good</v>
      </c>
      <c r="AB98" t="str">
        <f ca="1">IFERROR(__xludf.DUMMYFUNCTION("""COMPUTED_VALUE"""),"Good")</f>
        <v>Good</v>
      </c>
      <c r="AC98" t="str">
        <f ca="1">IFERROR(__xludf.DUMMYFUNCTION("""COMPUTED_VALUE"""),"Good")</f>
        <v>Good</v>
      </c>
      <c r="AE98" s="11"/>
      <c r="AF98" t="str">
        <v>Nikki.Dix@floridadep.gov</v>
      </c>
      <c r="AG98" s="17" t="s">
        <v>17</v>
      </c>
      <c r="AH98" s="12"/>
      <c r="AI98" s="12" t="s">
        <v>232</v>
      </c>
      <c r="AJ98" s="19" t="s">
        <v>233</v>
      </c>
      <c r="AK98" s="20" t="str">
        <f>HYPERLINK("https://docs.google.com/document/d/1fdR1XrqTv5cgCvbuRnVbbi9FDd6k8Mk-S0hm8LSStSE/edit?usp=drivesdk","Pamela Marcum - 7/2/2018 6:00 AM")</f>
        <v>Pamela Marcum - 7/2/2018 6:00 AM</v>
      </c>
      <c r="AL98" s="12" t="s">
        <v>234</v>
      </c>
    </row>
    <row r="99" spans="1:38" ht="12.75">
      <c r="A99" s="10">
        <f ca="1">IFERROR(__xludf.DUMMYFUNCTION("""COMPUTED_VALUE"""),43286.222711331)</f>
        <v>43286.222711331</v>
      </c>
      <c r="B99" s="11" t="str">
        <f ca="1">IFERROR(__xludf.DUMMYFUNCTION("""COMPUTED_VALUE"""),"Ben Mowbray")</f>
        <v>Ben Mowbray</v>
      </c>
      <c r="C99" t="str">
        <f ca="1">IFERROR(__xludf.DUMMYFUNCTION("""COMPUTED_VALUE"""),"ben.mowbray@dep.state.fl.us")</f>
        <v>ben.mowbray@dep.state.fl.us</v>
      </c>
      <c r="D99" t="str">
        <f ca="1">IFERROR(__xludf.DUMMYFUNCTION("""COMPUTED_VALUE"""),"Research/Nikki")</f>
        <v>Research/Nikki</v>
      </c>
      <c r="E99" t="str">
        <f ca="1">IFERROR(__xludf.DUMMYFUNCTION("""COMPUTED_VALUE"""),"Aunt Kate's")</f>
        <v>Aunt Kate's</v>
      </c>
      <c r="F99" s="13">
        <f ca="1">IFERROR(__xludf.DUMMYFUNCTION("""COMPUTED_VALUE"""),0.25)</f>
        <v>0.25</v>
      </c>
      <c r="G99" s="14">
        <f ca="1">IFERROR(__xludf.DUMMYFUNCTION("""COMPUTED_VALUE"""),43286)</f>
        <v>43286</v>
      </c>
      <c r="H99" t="str">
        <f ca="1">IFERROR(__xludf.DUMMYFUNCTION("""COMPUTED_VALUE"""),"Guana + Tolomato Reefs")</f>
        <v>Guana + Tolomato Reefs</v>
      </c>
      <c r="I99" s="15">
        <f ca="1">IFERROR(__xludf.DUMMYFUNCTION("""COMPUTED_VALUE"""),0.416666666667879)</f>
        <v>0.41666666666787899</v>
      </c>
      <c r="J99" s="16">
        <f ca="1">IFERROR(__xludf.DUMMYFUNCTION("""COMPUTED_VALUE"""),43286.4375)</f>
        <v>43286.4375</v>
      </c>
      <c r="K99" t="str">
        <f ca="1">IFERROR(__xludf.DUMMYFUNCTION("""COMPUTED_VALUE"""),"23ft Skiff (Bertha) FL7972LJ DEP07613")</f>
        <v>23ft Skiff (Bertha) FL7972LJ DEP07613</v>
      </c>
      <c r="M99" t="str">
        <f ca="1">IFERROR(__xludf.DUMMYFUNCTION("""COMPUTED_VALUE"""),"Ford F150 2015 (White) - DEP21448")</f>
        <v>Ford F150 2015 (White) - DEP21448</v>
      </c>
      <c r="N99" t="str">
        <f ca="1">IFERROR(__xludf.DUMMYFUNCTION("""COMPUTED_VALUE"""),"Ben Mowbray, (407) 962-8782")</f>
        <v>Ben Mowbray, (407) 962-8782</v>
      </c>
      <c r="O99" t="str">
        <f ca="1">IFERROR(__xludf.DUMMYFUNCTION("""COMPUTED_VALUE"""),"Rodrigo and Adrienne")</f>
        <v>Rodrigo and Adrienne</v>
      </c>
      <c r="P99" t="str">
        <f ca="1">IFERROR(__xludf.DUMMYFUNCTION("""COMPUTED_VALUE"""),"Ben")</f>
        <v>Ben</v>
      </c>
      <c r="Q99" t="str">
        <f ca="1">IFERROR(__xludf.DUMMYFUNCTION("""COMPUTED_VALUE"""),"Good")</f>
        <v>Good</v>
      </c>
      <c r="R99" t="str">
        <f ca="1">IFERROR(__xludf.DUMMYFUNCTION("""COMPUTED_VALUE"""),"Good")</f>
        <v>Good</v>
      </c>
      <c r="S99" t="str">
        <f ca="1">IFERROR(__xludf.DUMMYFUNCTION("""COMPUTED_VALUE"""),"Good")</f>
        <v>Good</v>
      </c>
      <c r="T99" t="str">
        <f ca="1">IFERROR(__xludf.DUMMYFUNCTION("""COMPUTED_VALUE"""),"Good")</f>
        <v>Good</v>
      </c>
      <c r="U99" t="str">
        <f ca="1">IFERROR(__xludf.DUMMYFUNCTION("""COMPUTED_VALUE"""),"Good")</f>
        <v>Good</v>
      </c>
      <c r="V99" t="str">
        <f ca="1">IFERROR(__xludf.DUMMYFUNCTION("""COMPUTED_VALUE"""),"Good")</f>
        <v>Good</v>
      </c>
      <c r="W99" t="str">
        <f ca="1">IFERROR(__xludf.DUMMYFUNCTION("""COMPUTED_VALUE"""),"Good")</f>
        <v>Good</v>
      </c>
      <c r="X99" t="str">
        <f ca="1">IFERROR(__xludf.DUMMYFUNCTION("""COMPUTED_VALUE"""),"Good")</f>
        <v>Good</v>
      </c>
      <c r="Y99" t="str">
        <f ca="1">IFERROR(__xludf.DUMMYFUNCTION("""COMPUTED_VALUE"""),"Good")</f>
        <v>Good</v>
      </c>
      <c r="Z99" t="str">
        <f ca="1">IFERROR(__xludf.DUMMYFUNCTION("""COMPUTED_VALUE"""),"Good")</f>
        <v>Good</v>
      </c>
      <c r="AA99" t="str">
        <f ca="1">IFERROR(__xludf.DUMMYFUNCTION("""COMPUTED_VALUE"""),"Good")</f>
        <v>Good</v>
      </c>
      <c r="AB99" t="str">
        <f ca="1">IFERROR(__xludf.DUMMYFUNCTION("""COMPUTED_VALUE"""),"Good")</f>
        <v>Good</v>
      </c>
      <c r="AC99" t="str">
        <f ca="1">IFERROR(__xludf.DUMMYFUNCTION("""COMPUTED_VALUE"""),"Good")</f>
        <v>Good</v>
      </c>
      <c r="AE99" s="11"/>
      <c r="AF99" t="str">
        <v>Nikki.Dix@floridadep.gov</v>
      </c>
      <c r="AG99" s="17" t="s">
        <v>17</v>
      </c>
      <c r="AH99" s="12"/>
      <c r="AI99" s="12" t="s">
        <v>235</v>
      </c>
      <c r="AJ99" s="19" t="s">
        <v>236</v>
      </c>
      <c r="AK99" s="20" t="str">
        <f>HYPERLINK("https://docs.google.com/document/d/1B6fzv88D5-nJ8bnEEW7BlQPXBFnv4G5EWzrYGS9Jm9w/edit?usp=drivesdk","Ben Mowbray - 7/5/2018 6:00 AM")</f>
        <v>Ben Mowbray - 7/5/2018 6:00 AM</v>
      </c>
      <c r="AL99" s="12" t="s">
        <v>237</v>
      </c>
    </row>
    <row r="100" spans="1:38" ht="12.75">
      <c r="A100" s="10">
        <f ca="1">IFERROR(__xludf.DUMMYFUNCTION("""COMPUTED_VALUE"""),43286.4023423032)</f>
        <v>43286.402342303198</v>
      </c>
      <c r="B100" s="11" t="str">
        <f ca="1">IFERROR(__xludf.DUMMYFUNCTION("""COMPUTED_VALUE"""),"Silas Tanner")</f>
        <v>Silas Tanner</v>
      </c>
      <c r="C100" t="str">
        <f ca="1">IFERROR(__xludf.DUMMYFUNCTION("""COMPUTED_VALUE"""),"silas.tanner@floridadep.gov")</f>
        <v>silas.tanner@floridadep.gov</v>
      </c>
      <c r="D100" t="str">
        <f ca="1">IFERROR(__xludf.DUMMYFUNCTION("""COMPUTED_VALUE"""),"Research/Nikki")</f>
        <v>Research/Nikki</v>
      </c>
      <c r="E100" t="str">
        <f ca="1">IFERROR(__xludf.DUMMYFUNCTION("""COMPUTED_VALUE"""),"Doug Crane Boat Ramp")</f>
        <v>Doug Crane Boat Ramp</v>
      </c>
      <c r="F100" s="13">
        <f ca="1">IFERROR(__xludf.DUMMYFUNCTION("""COMPUTED_VALUE"""),0.5)</f>
        <v>0.5</v>
      </c>
      <c r="G100" s="14">
        <f ca="1">IFERROR(__xludf.DUMMYFUNCTION("""COMPUTED_VALUE"""),43286)</f>
        <v>43286</v>
      </c>
      <c r="H100" t="str">
        <f ca="1">IFERROR(__xludf.DUMMYFUNCTION("""COMPUTED_VALUE"""),"ICW - near East Creek / Moultrie Creek")</f>
        <v>ICW - near East Creek / Moultrie Creek</v>
      </c>
      <c r="I100" s="15">
        <f ca="1">IFERROR(__xludf.DUMMYFUNCTION("""COMPUTED_VALUE"""),0.666666666667879)</f>
        <v>0.66666666666787899</v>
      </c>
      <c r="J100" s="16">
        <f ca="1">IFERROR(__xludf.DUMMYFUNCTION("""COMPUTED_VALUE"""),43286.6875)</f>
        <v>43286.6875</v>
      </c>
      <c r="K100" t="str">
        <f ca="1">IFERROR(__xludf.DUMMYFUNCTION("""COMPUTED_VALUE"""),"20ft Sea Ark FL5351SJ UNF 2015")</f>
        <v>20ft Sea Ark FL5351SJ UNF 2015</v>
      </c>
      <c r="M100" t="str">
        <f ca="1">IFERROR(__xludf.DUMMYFUNCTION("""COMPUTED_VALUE"""),"Ford F250 2017 (Moby Dix) - DEP0021578")</f>
        <v>Ford F250 2017 (Moby Dix) - DEP0021578</v>
      </c>
      <c r="N100" t="str">
        <f ca="1">IFERROR(__xludf.DUMMYFUNCTION("""COMPUTED_VALUE"""),"Silas Tanner, (904) 483-8423, Gabriela Canas, (904) 891-9743, Remo Mondazi")</f>
        <v>Silas Tanner, (904) 483-8423, Gabriela Canas, (904) 891-9743, Remo Mondazi</v>
      </c>
      <c r="O100" t="str">
        <f ca="1">IFERROR(__xludf.DUMMYFUNCTION("""COMPUTED_VALUE"""),"Hunter Mathews, Sam Shaw")</f>
        <v>Hunter Mathews, Sam Shaw</v>
      </c>
      <c r="P100" t="str">
        <f ca="1">IFERROR(__xludf.DUMMYFUNCTION("""COMPUTED_VALUE"""),"Silas Tanner")</f>
        <v>Silas Tanner</v>
      </c>
      <c r="Q100" t="str">
        <f ca="1">IFERROR(__xludf.DUMMYFUNCTION("""COMPUTED_VALUE"""),"Good")</f>
        <v>Good</v>
      </c>
      <c r="R100" t="str">
        <f ca="1">IFERROR(__xludf.DUMMYFUNCTION("""COMPUTED_VALUE"""),"Good")</f>
        <v>Good</v>
      </c>
      <c r="S100" t="str">
        <f ca="1">IFERROR(__xludf.DUMMYFUNCTION("""COMPUTED_VALUE"""),"Good")</f>
        <v>Good</v>
      </c>
      <c r="T100" t="str">
        <f ca="1">IFERROR(__xludf.DUMMYFUNCTION("""COMPUTED_VALUE"""),"Good")</f>
        <v>Good</v>
      </c>
      <c r="U100" t="str">
        <f ca="1">IFERROR(__xludf.DUMMYFUNCTION("""COMPUTED_VALUE"""),"Good")</f>
        <v>Good</v>
      </c>
      <c r="V100" t="str">
        <f ca="1">IFERROR(__xludf.DUMMYFUNCTION("""COMPUTED_VALUE"""),"Good")</f>
        <v>Good</v>
      </c>
      <c r="W100" t="str">
        <f ca="1">IFERROR(__xludf.DUMMYFUNCTION("""COMPUTED_VALUE"""),"Good")</f>
        <v>Good</v>
      </c>
      <c r="X100" t="str">
        <f ca="1">IFERROR(__xludf.DUMMYFUNCTION("""COMPUTED_VALUE"""),"Good")</f>
        <v>Good</v>
      </c>
      <c r="Y100" t="str">
        <f ca="1">IFERROR(__xludf.DUMMYFUNCTION("""COMPUTED_VALUE"""),"Good")</f>
        <v>Good</v>
      </c>
      <c r="Z100" t="str">
        <f ca="1">IFERROR(__xludf.DUMMYFUNCTION("""COMPUTED_VALUE"""),"Good")</f>
        <v>Good</v>
      </c>
      <c r="AA100" t="str">
        <f ca="1">IFERROR(__xludf.DUMMYFUNCTION("""COMPUTED_VALUE"""),"Good")</f>
        <v>Good</v>
      </c>
      <c r="AB100" t="str">
        <f ca="1">IFERROR(__xludf.DUMMYFUNCTION("""COMPUTED_VALUE"""),"Good")</f>
        <v>Good</v>
      </c>
      <c r="AC100" t="str">
        <f ca="1">IFERROR(__xludf.DUMMYFUNCTION("""COMPUTED_VALUE"""),"Good")</f>
        <v>Good</v>
      </c>
      <c r="AE100" s="11"/>
      <c r="AF100" t="str">
        <v>Nikki.Dix@floridadep.gov</v>
      </c>
      <c r="AG100" s="17" t="s">
        <v>17</v>
      </c>
      <c r="AH100" s="12"/>
      <c r="AI100" s="12" t="s">
        <v>238</v>
      </c>
      <c r="AJ100" s="19" t="s">
        <v>239</v>
      </c>
      <c r="AK100" s="20" t="str">
        <f>HYPERLINK("https://docs.google.com/document/d/1g5f9yPdc6uaO_l9y9K3YLZPe5ak-o0BxRUX5eZ2dmP0/edit?usp=drivesdk","Silas Tanner - 7/5/2018 12:00 PM")</f>
        <v>Silas Tanner - 7/5/2018 12:00 PM</v>
      </c>
      <c r="AL100" s="12" t="s">
        <v>240</v>
      </c>
    </row>
    <row r="101" spans="1:38" ht="12.75">
      <c r="A101" s="10">
        <f ca="1">IFERROR(__xludf.DUMMYFUNCTION("""COMPUTED_VALUE"""),43287.4800817476)</f>
        <v>43287.480081747599</v>
      </c>
      <c r="B101" s="11" t="str">
        <f ca="1">IFERROR(__xludf.DUMMYFUNCTION("""COMPUTED_VALUE"""),"Ben Mowbray")</f>
        <v>Ben Mowbray</v>
      </c>
      <c r="C101" t="str">
        <f ca="1">IFERROR(__xludf.DUMMYFUNCTION("""COMPUTED_VALUE"""),"ben.mowbray@state.dep.fl.us")</f>
        <v>ben.mowbray@state.dep.fl.us</v>
      </c>
      <c r="D101" t="str">
        <f ca="1">IFERROR(__xludf.DUMMYFUNCTION("""COMPUTED_VALUE"""),"Research/Nikki")</f>
        <v>Research/Nikki</v>
      </c>
      <c r="E101" t="str">
        <f ca="1">IFERROR(__xludf.DUMMYFUNCTION("""COMPUTED_VALUE"""),"Shore Dr. Boat Ramp")</f>
        <v>Shore Dr. Boat Ramp</v>
      </c>
      <c r="F101" s="13">
        <f ca="1">IFERROR(__xludf.DUMMYFUNCTION("""COMPUTED_VALUE"""),0.451388888890505)</f>
        <v>0.45138888889050499</v>
      </c>
      <c r="G101" s="14">
        <f ca="1">IFERROR(__xludf.DUMMYFUNCTION("""COMPUTED_VALUE"""),43290)</f>
        <v>43290</v>
      </c>
      <c r="H101" t="str">
        <f ca="1">IFERROR(__xludf.DUMMYFUNCTION("""COMPUTED_VALUE"""),"FM and SA Reefs")</f>
        <v>FM and SA Reefs</v>
      </c>
      <c r="I101" s="15">
        <f ca="1">IFERROR(__xludf.DUMMYFUNCTION("""COMPUTED_VALUE"""),0.5625)</f>
        <v>0.5625</v>
      </c>
      <c r="J101" s="16">
        <f ca="1">IFERROR(__xludf.DUMMYFUNCTION("""COMPUTED_VALUE"""),43290.0902777777)</f>
        <v>43290.090277777701</v>
      </c>
      <c r="K101" t="str">
        <f ca="1">IFERROR(__xludf.DUMMYFUNCTION("""COMPUTED_VALUE"""),"23ft Skiff (Bertha) FL7972LJ DEP07613")</f>
        <v>23ft Skiff (Bertha) FL7972LJ DEP07613</v>
      </c>
      <c r="M101" t="str">
        <f ca="1">IFERROR(__xludf.DUMMYFUNCTION("""COMPUTED_VALUE"""),"will email later")</f>
        <v>will email later</v>
      </c>
      <c r="N101" t="str">
        <f ca="1">IFERROR(__xludf.DUMMYFUNCTION("""COMPUTED_VALUE"""),"Ben Mowbray, (407) 962-8782")</f>
        <v>Ben Mowbray, (407) 962-8782</v>
      </c>
      <c r="O101" t="str">
        <f ca="1">IFERROR(__xludf.DUMMYFUNCTION("""COMPUTED_VALUE"""),"Jamie L.")</f>
        <v>Jamie L.</v>
      </c>
      <c r="P101" t="str">
        <f ca="1">IFERROR(__xludf.DUMMYFUNCTION("""COMPUTED_VALUE"""),"Ben")</f>
        <v>Ben</v>
      </c>
      <c r="Q101" t="str">
        <f ca="1">IFERROR(__xludf.DUMMYFUNCTION("""COMPUTED_VALUE"""),"Good")</f>
        <v>Good</v>
      </c>
      <c r="R101" t="str">
        <f ca="1">IFERROR(__xludf.DUMMYFUNCTION("""COMPUTED_VALUE"""),"Good")</f>
        <v>Good</v>
      </c>
      <c r="S101" t="str">
        <f ca="1">IFERROR(__xludf.DUMMYFUNCTION("""COMPUTED_VALUE"""),"Good")</f>
        <v>Good</v>
      </c>
      <c r="T101" t="str">
        <f ca="1">IFERROR(__xludf.DUMMYFUNCTION("""COMPUTED_VALUE"""),"Good")</f>
        <v>Good</v>
      </c>
      <c r="U101" t="str">
        <f ca="1">IFERROR(__xludf.DUMMYFUNCTION("""COMPUTED_VALUE"""),"Good")</f>
        <v>Good</v>
      </c>
      <c r="V101" t="str">
        <f ca="1">IFERROR(__xludf.DUMMYFUNCTION("""COMPUTED_VALUE"""),"Good")</f>
        <v>Good</v>
      </c>
      <c r="W101" t="str">
        <f ca="1">IFERROR(__xludf.DUMMYFUNCTION("""COMPUTED_VALUE"""),"Good")</f>
        <v>Good</v>
      </c>
      <c r="X101" t="str">
        <f ca="1">IFERROR(__xludf.DUMMYFUNCTION("""COMPUTED_VALUE"""),"Good")</f>
        <v>Good</v>
      </c>
      <c r="Y101" t="str">
        <f ca="1">IFERROR(__xludf.DUMMYFUNCTION("""COMPUTED_VALUE"""),"Good")</f>
        <v>Good</v>
      </c>
      <c r="Z101" t="str">
        <f ca="1">IFERROR(__xludf.DUMMYFUNCTION("""COMPUTED_VALUE"""),"Good")</f>
        <v>Good</v>
      </c>
      <c r="AA101" t="str">
        <f ca="1">IFERROR(__xludf.DUMMYFUNCTION("""COMPUTED_VALUE"""),"Good")</f>
        <v>Good</v>
      </c>
      <c r="AB101" t="str">
        <f ca="1">IFERROR(__xludf.DUMMYFUNCTION("""COMPUTED_VALUE"""),"Good")</f>
        <v>Good</v>
      </c>
      <c r="AC101" t="str">
        <f ca="1">IFERROR(__xludf.DUMMYFUNCTION("""COMPUTED_VALUE"""),"Good")</f>
        <v>Good</v>
      </c>
      <c r="AE101" s="11"/>
      <c r="AF101" t="str">
        <v>Nikki.Dix@floridadep.gov</v>
      </c>
      <c r="AG101" s="17" t="s">
        <v>17</v>
      </c>
      <c r="AH101" s="12"/>
      <c r="AI101" s="12" t="s">
        <v>241</v>
      </c>
      <c r="AJ101" s="19" t="s">
        <v>242</v>
      </c>
      <c r="AK101" s="20" t="str">
        <f>HYPERLINK("https://docs.google.com/document/d/1FGSJu50WpKVPQMMjfQsJgZFm6YVlPd9AmbZ7l5n8PbY/edit?usp=drivesdk","Ben Mowbray - 7/9/2018 10:50 AM")</f>
        <v>Ben Mowbray - 7/9/2018 10:50 AM</v>
      </c>
      <c r="AL101" s="12" t="s">
        <v>243</v>
      </c>
    </row>
    <row r="102" spans="1:38" ht="12.75">
      <c r="A102" s="10">
        <f ca="1">IFERROR(__xludf.DUMMYFUNCTION("""COMPUTED_VALUE"""),43291.3778199189)</f>
        <v>43291.377819918896</v>
      </c>
      <c r="B102" s="11" t="str">
        <f ca="1">IFERROR(__xludf.DUMMYFUNCTION("""COMPUTED_VALUE"""),"James Tomazinis")</f>
        <v>James Tomazinis</v>
      </c>
      <c r="C102" t="str">
        <f ca="1">IFERROR(__xludf.DUMMYFUNCTION("""COMPUTED_VALUE"""),"james.tomazinis@floridadep.gov")</f>
        <v>james.tomazinis@floridadep.gov</v>
      </c>
      <c r="D102" t="str">
        <f ca="1">IFERROR(__xludf.DUMMYFUNCTION("""COMPUTED_VALUE"""),"Stewardship (Aquatic)")</f>
        <v>Stewardship (Aquatic)</v>
      </c>
      <c r="E102" t="str">
        <f ca="1">IFERROR(__xludf.DUMMYFUNCTION("""COMPUTED_VALUE"""),"Aunt Kates")</f>
        <v>Aunt Kates</v>
      </c>
      <c r="F102" s="13">
        <f ca="1">IFERROR(__xludf.DUMMYFUNCTION("""COMPUTED_VALUE"""),0.39583333333212)</f>
        <v>0.39583333333212001</v>
      </c>
      <c r="G102" s="14">
        <f ca="1">IFERROR(__xludf.DUMMYFUNCTION("""COMPUTED_VALUE"""),43291)</f>
        <v>43291</v>
      </c>
      <c r="H102" t="str">
        <f ca="1">IFERROR(__xludf.DUMMYFUNCTION("""COMPUTED_VALUE"""),"Angelini Sites")</f>
        <v>Angelini Sites</v>
      </c>
      <c r="I102" s="15">
        <f ca="1">IFERROR(__xludf.DUMMYFUNCTION("""COMPUTED_VALUE"""),0.541666666667879)</f>
        <v>0.54166666666787899</v>
      </c>
      <c r="J102" s="16"/>
      <c r="K102" t="str">
        <f ca="1">IFERROR(__xludf.DUMMYFUNCTION("""COMPUTED_VALUE"""),"F 20ft Sea Ark (Easy 200) FL8534PY DEP21451")</f>
        <v>F 20ft Sea Ark (Easy 200) FL8534PY DEP21451</v>
      </c>
      <c r="M102" t="str">
        <f ca="1">IFERROR(__xludf.DUMMYFUNCTION("""COMPUTED_VALUE"""),"Ford F250 2017 (Moby Dix) - DEP0021578")</f>
        <v>Ford F250 2017 (Moby Dix) - DEP0021578</v>
      </c>
      <c r="N102" t="str">
        <f ca="1">IFERROR(__xludf.DUMMYFUNCTION("""COMPUTED_VALUE"""),"Nikki Dix, (352) 219-4079, Jimmy Tomazinis, (904) 547-0094")</f>
        <v>Nikki Dix, (352) 219-4079, Jimmy Tomazinis, (904) 547-0094</v>
      </c>
      <c r="O102" t="str">
        <f ca="1">IFERROR(__xludf.DUMMYFUNCTION("""COMPUTED_VALUE"""),"5 LMR people")</f>
        <v>5 LMR people</v>
      </c>
      <c r="P102" t="str">
        <f ca="1">IFERROR(__xludf.DUMMYFUNCTION("""COMPUTED_VALUE"""),"Jimmy")</f>
        <v>Jimmy</v>
      </c>
      <c r="Q102" t="str">
        <f ca="1">IFERROR(__xludf.DUMMYFUNCTION("""COMPUTED_VALUE"""),"Good")</f>
        <v>Good</v>
      </c>
      <c r="R102" t="str">
        <f ca="1">IFERROR(__xludf.DUMMYFUNCTION("""COMPUTED_VALUE"""),"Good")</f>
        <v>Good</v>
      </c>
      <c r="S102" t="str">
        <f ca="1">IFERROR(__xludf.DUMMYFUNCTION("""COMPUTED_VALUE"""),"Good")</f>
        <v>Good</v>
      </c>
      <c r="T102" t="str">
        <f ca="1">IFERROR(__xludf.DUMMYFUNCTION("""COMPUTED_VALUE"""),"Good")</f>
        <v>Good</v>
      </c>
      <c r="U102" t="str">
        <f ca="1">IFERROR(__xludf.DUMMYFUNCTION("""COMPUTED_VALUE"""),"Good")</f>
        <v>Good</v>
      </c>
      <c r="V102" t="str">
        <f ca="1">IFERROR(__xludf.DUMMYFUNCTION("""COMPUTED_VALUE"""),"Good")</f>
        <v>Good</v>
      </c>
      <c r="W102" t="str">
        <f ca="1">IFERROR(__xludf.DUMMYFUNCTION("""COMPUTED_VALUE"""),"Good")</f>
        <v>Good</v>
      </c>
      <c r="X102" t="str">
        <f ca="1">IFERROR(__xludf.DUMMYFUNCTION("""COMPUTED_VALUE"""),"Good")</f>
        <v>Good</v>
      </c>
      <c r="Y102" t="str">
        <f ca="1">IFERROR(__xludf.DUMMYFUNCTION("""COMPUTED_VALUE"""),"Good")</f>
        <v>Good</v>
      </c>
      <c r="Z102" t="str">
        <f ca="1">IFERROR(__xludf.DUMMYFUNCTION("""COMPUTED_VALUE"""),"Good")</f>
        <v>Good</v>
      </c>
      <c r="AA102" t="str">
        <f ca="1">IFERROR(__xludf.DUMMYFUNCTION("""COMPUTED_VALUE"""),"Good")</f>
        <v>Good</v>
      </c>
      <c r="AB102" t="str">
        <f ca="1">IFERROR(__xludf.DUMMYFUNCTION("""COMPUTED_VALUE"""),"Good")</f>
        <v>Good</v>
      </c>
      <c r="AC102" t="str">
        <f ca="1">IFERROR(__xludf.DUMMYFUNCTION("""COMPUTED_VALUE"""),"Good")</f>
        <v>Good</v>
      </c>
      <c r="AE102" s="11"/>
      <c r="AF102" t="str">
        <v>Scott.Eastman@floridadep.gov</v>
      </c>
      <c r="AG102" s="17" t="s">
        <v>58</v>
      </c>
      <c r="AH102" s="12"/>
      <c r="AI102" s="12" t="s">
        <v>244</v>
      </c>
      <c r="AJ102" s="19" t="s">
        <v>245</v>
      </c>
      <c r="AK102" s="20" t="str">
        <f>HYPERLINK("https://docs.google.com/document/d/1acVIuNRHP6o9EhpjLyK7BPUBmQo2wAa7dSOlClJFeIA/edit?usp=drivesdk","James Tomazinis - 7/10/2018 9:30 AM")</f>
        <v>James Tomazinis - 7/10/2018 9:30 AM</v>
      </c>
      <c r="AL102" s="12" t="s">
        <v>246</v>
      </c>
    </row>
    <row r="103" spans="1:38" ht="12.75">
      <c r="A103" s="10">
        <f ca="1">IFERROR(__xludf.DUMMYFUNCTION("""COMPUTED_VALUE"""),43291.3779981828)</f>
        <v>43291.377998182797</v>
      </c>
      <c r="B103" s="11" t="str">
        <f ca="1">IFERROR(__xludf.DUMMYFUNCTION("""COMPUTED_VALUE"""),"Pamela Marcum")</f>
        <v>Pamela Marcum</v>
      </c>
      <c r="C103" t="str">
        <f ca="1">IFERROR(__xludf.DUMMYFUNCTION("""COMPUTED_VALUE"""),"Pamela.Marcum@dep.state.fl.us")</f>
        <v>Pamela.Marcum@dep.state.fl.us</v>
      </c>
      <c r="D103" t="str">
        <f ca="1">IFERROR(__xludf.DUMMYFUNCTION("""COMPUTED_VALUE"""),"Research/Nikki")</f>
        <v>Research/Nikki</v>
      </c>
      <c r="E103" t="str">
        <f ca="1">IFERROR(__xludf.DUMMYFUNCTION("""COMPUTED_VALUE"""),"Aunt Kate's Usina Ramp")</f>
        <v>Aunt Kate's Usina Ramp</v>
      </c>
      <c r="F103" s="13">
        <f ca="1">IFERROR(__xludf.DUMMYFUNCTION("""COMPUTED_VALUE"""),0.375)</f>
        <v>0.375</v>
      </c>
      <c r="G103" s="14">
        <f ca="1">IFERROR(__xludf.DUMMYFUNCTION("""COMPUTED_VALUE"""),43291)</f>
        <v>43291</v>
      </c>
      <c r="H103" t="str">
        <f ca="1">IFERROR(__xludf.DUMMYFUNCTION("""COMPUTED_VALUE"""),"Tolomato River Pine Island")</f>
        <v>Tolomato River Pine Island</v>
      </c>
      <c r="I103" s="15">
        <f ca="1">IFERROR(__xludf.DUMMYFUNCTION("""COMPUTED_VALUE"""),0.625)</f>
        <v>0.625</v>
      </c>
      <c r="J103" s="16">
        <f ca="1">IFERROR(__xludf.DUMMYFUNCTION("""COMPUTED_VALUE"""),43291.6458333333)</f>
        <v>43291.645833333299</v>
      </c>
      <c r="K103" t="str">
        <f ca="1">IFERROR(__xludf.DUMMYFUNCTION("""COMPUTED_VALUE"""),"23ft Skiff (Bertha) FL7972LJ DEP07613")</f>
        <v>23ft Skiff (Bertha) FL7972LJ DEP07613</v>
      </c>
      <c r="M103" t="str">
        <f ca="1">IFERROR(__xludf.DUMMYFUNCTION("""COMPUTED_VALUE"""),"Ford F150 2015 (White) - DEP21448")</f>
        <v>Ford F150 2015 (White) - DEP21448</v>
      </c>
      <c r="N103" t="str">
        <f ca="1">IFERROR(__xludf.DUMMYFUNCTION("""COMPUTED_VALUE"""),"Pam Marcum, (480) 332-5414")</f>
        <v>Pam Marcum, (480) 332-5414</v>
      </c>
      <c r="O103" t="str">
        <f ca="1">IFERROR(__xludf.DUMMYFUNCTION("""COMPUTED_VALUE"""),"Michael Shirley, Shannon Rininger, +5 LMR Reviewers")</f>
        <v>Michael Shirley, Shannon Rininger, +5 LMR Reviewers</v>
      </c>
      <c r="P103" t="str">
        <f ca="1">IFERROR(__xludf.DUMMYFUNCTION("""COMPUTED_VALUE"""),"Pamela Marcum")</f>
        <v>Pamela Marcum</v>
      </c>
      <c r="Q103" t="str">
        <f ca="1">IFERROR(__xludf.DUMMYFUNCTION("""COMPUTED_VALUE"""),"Good")</f>
        <v>Good</v>
      </c>
      <c r="R103" t="str">
        <f ca="1">IFERROR(__xludf.DUMMYFUNCTION("""COMPUTED_VALUE"""),"Good")</f>
        <v>Good</v>
      </c>
      <c r="S103" t="str">
        <f ca="1">IFERROR(__xludf.DUMMYFUNCTION("""COMPUTED_VALUE"""),"Good")</f>
        <v>Good</v>
      </c>
      <c r="T103" t="str">
        <f ca="1">IFERROR(__xludf.DUMMYFUNCTION("""COMPUTED_VALUE"""),"Good")</f>
        <v>Good</v>
      </c>
      <c r="U103" t="str">
        <f ca="1">IFERROR(__xludf.DUMMYFUNCTION("""COMPUTED_VALUE"""),"Good")</f>
        <v>Good</v>
      </c>
      <c r="V103" t="str">
        <f ca="1">IFERROR(__xludf.DUMMYFUNCTION("""COMPUTED_VALUE"""),"Good")</f>
        <v>Good</v>
      </c>
      <c r="W103" t="str">
        <f ca="1">IFERROR(__xludf.DUMMYFUNCTION("""COMPUTED_VALUE"""),"Good")</f>
        <v>Good</v>
      </c>
      <c r="X103" t="str">
        <f ca="1">IFERROR(__xludf.DUMMYFUNCTION("""COMPUTED_VALUE"""),"Good")</f>
        <v>Good</v>
      </c>
      <c r="Y103" t="str">
        <f ca="1">IFERROR(__xludf.DUMMYFUNCTION("""COMPUTED_VALUE"""),"Good")</f>
        <v>Good</v>
      </c>
      <c r="Z103" t="str">
        <f ca="1">IFERROR(__xludf.DUMMYFUNCTION("""COMPUTED_VALUE"""),"Good")</f>
        <v>Good</v>
      </c>
      <c r="AA103" t="str">
        <f ca="1">IFERROR(__xludf.DUMMYFUNCTION("""COMPUTED_VALUE"""),"Good")</f>
        <v>Good</v>
      </c>
      <c r="AB103" t="str">
        <f ca="1">IFERROR(__xludf.DUMMYFUNCTION("""COMPUTED_VALUE"""),"Good")</f>
        <v>Good</v>
      </c>
      <c r="AC103" t="str">
        <f ca="1">IFERROR(__xludf.DUMMYFUNCTION("""COMPUTED_VALUE"""),"Good")</f>
        <v>Good</v>
      </c>
      <c r="AE103" s="11"/>
      <c r="AF103" t="str">
        <v>Nikki.Dix@floridadep.gov</v>
      </c>
      <c r="AG103" s="17" t="s">
        <v>58</v>
      </c>
      <c r="AH103" s="12"/>
      <c r="AI103" s="12" t="s">
        <v>247</v>
      </c>
      <c r="AJ103" s="19" t="s">
        <v>248</v>
      </c>
      <c r="AK103" s="20" t="str">
        <f>HYPERLINK("https://docs.google.com/document/d/1wU-ztvrplHNJ3Wq6k-7vP1L8aMRqh_hvA2p-U5wWUF0/edit?usp=drivesdk","Pamela Marcum - 7/10/2018 9:00 AM")</f>
        <v>Pamela Marcum - 7/10/2018 9:00 AM</v>
      </c>
      <c r="AL103" s="12" t="s">
        <v>249</v>
      </c>
    </row>
    <row r="104" spans="1:38" ht="12.75">
      <c r="A104" s="10">
        <f ca="1">IFERROR(__xludf.DUMMYFUNCTION("""COMPUTED_VALUE"""),43291.8079199189)</f>
        <v>43291.807919918901</v>
      </c>
      <c r="B104" s="11" t="str">
        <f ca="1">IFERROR(__xludf.DUMMYFUNCTION("""COMPUTED_VALUE"""),"James Tomazinis")</f>
        <v>James Tomazinis</v>
      </c>
      <c r="C104" t="str">
        <f ca="1">IFERROR(__xludf.DUMMYFUNCTION("""COMPUTED_VALUE"""),"james.tomazinis@floridadep.gov")</f>
        <v>james.tomazinis@floridadep.gov</v>
      </c>
      <c r="D104" t="str">
        <f ca="1">IFERROR(__xludf.DUMMYFUNCTION("""COMPUTED_VALUE"""),"Stewardship (Aquatic)")</f>
        <v>Stewardship (Aquatic)</v>
      </c>
      <c r="E104" t="str">
        <f ca="1">IFERROR(__xludf.DUMMYFUNCTION("""COMPUTED_VALUE"""),"Dam")</f>
        <v>Dam</v>
      </c>
      <c r="F104" s="13">
        <f ca="1">IFERROR(__xludf.DUMMYFUNCTION("""COMPUTED_VALUE"""),0.347222222222626)</f>
        <v>0.347222222222626</v>
      </c>
      <c r="G104" s="14">
        <f ca="1">IFERROR(__xludf.DUMMYFUNCTION("""COMPUTED_VALUE"""),43292)</f>
        <v>43292</v>
      </c>
      <c r="H104" t="str">
        <f ca="1">IFERROR(__xludf.DUMMYFUNCTION("""COMPUTED_VALUE"""),"Guana River")</f>
        <v>Guana River</v>
      </c>
      <c r="I104" s="15">
        <f ca="1">IFERROR(__xludf.DUMMYFUNCTION("""COMPUTED_VALUE"""),0.416666666667879)</f>
        <v>0.41666666666787899</v>
      </c>
      <c r="J104" s="16"/>
      <c r="K104" t="str">
        <f ca="1">IFERROR(__xludf.DUMMYFUNCTION("""COMPUTED_VALUE"""),"Jon Boat FL0484NP DEP06819")</f>
        <v>Jon Boat FL0484NP DEP06819</v>
      </c>
      <c r="M104" t="str">
        <f ca="1">IFERROR(__xludf.DUMMYFUNCTION("""COMPUTED_VALUE"""),"Ford F250 2017 (Moby Dix) - DEP0021578")</f>
        <v>Ford F250 2017 (Moby Dix) - DEP0021578</v>
      </c>
      <c r="N104" t="str">
        <f ca="1">IFERROR(__xludf.DUMMYFUNCTION("""COMPUTED_VALUE"""),"Nikki Dix, (352) 219-4079, Jimmy Tomazinis, (904) 547-0094")</f>
        <v>Nikki Dix, (352) 219-4079, Jimmy Tomazinis, (904) 547-0094</v>
      </c>
      <c r="O104" t="str">
        <f ca="1">IFERROR(__xludf.DUMMYFUNCTION("""COMPUTED_VALUE"""),"Hunter Mathews")</f>
        <v>Hunter Mathews</v>
      </c>
      <c r="P104" t="str">
        <f ca="1">IFERROR(__xludf.DUMMYFUNCTION("""COMPUTED_VALUE"""),"Jimmy")</f>
        <v>Jimmy</v>
      </c>
      <c r="Q104" t="str">
        <f ca="1">IFERROR(__xludf.DUMMYFUNCTION("""COMPUTED_VALUE"""),"Good")</f>
        <v>Good</v>
      </c>
      <c r="R104" t="str">
        <f ca="1">IFERROR(__xludf.DUMMYFUNCTION("""COMPUTED_VALUE"""),"Good")</f>
        <v>Good</v>
      </c>
      <c r="AE104" s="11"/>
      <c r="AF104" t="str">
        <v>Scott.Eastman@floridadep.gov</v>
      </c>
      <c r="AG104" s="17" t="s">
        <v>17</v>
      </c>
      <c r="AH104" s="12"/>
      <c r="AI104" s="12" t="s">
        <v>250</v>
      </c>
      <c r="AJ104" s="19" t="s">
        <v>251</v>
      </c>
      <c r="AK104" s="20" t="str">
        <f>HYPERLINK("https://docs.google.com/document/d/1cWHC30uCG8clysPvFjcXE45CuDzXqmgLp_YEJ8TY14o/edit?usp=drivesdk","James Tomazinis - 7/11/2018 8:20 AM")</f>
        <v>James Tomazinis - 7/11/2018 8:20 AM</v>
      </c>
      <c r="AL104" s="12" t="s">
        <v>252</v>
      </c>
    </row>
    <row r="105" spans="1:38" ht="12.75">
      <c r="A105" s="10">
        <f ca="1">IFERROR(__xludf.DUMMYFUNCTION("""COMPUTED_VALUE"""),43292.61180375)</f>
        <v>43292.611803749998</v>
      </c>
      <c r="B105" s="11" t="str">
        <f ca="1">IFERROR(__xludf.DUMMYFUNCTION("""COMPUTED_VALUE"""),"Kenneth Rainer")</f>
        <v>Kenneth Rainer</v>
      </c>
      <c r="C105" t="str">
        <f ca="1">IFERROR(__xludf.DUMMYFUNCTION("""COMPUTED_VALUE"""),"Kenneth.Rainer@dep.state.fl.us")</f>
        <v>Kenneth.Rainer@dep.state.fl.us</v>
      </c>
      <c r="D105" t="str">
        <f ca="1">IFERROR(__xludf.DUMMYFUNCTION("""COMPUTED_VALUE"""),"Education")</f>
        <v>Education</v>
      </c>
      <c r="E105" t="str">
        <f ca="1">IFERROR(__xludf.DUMMYFUNCTION("""COMPUTED_VALUE"""),"Usina Boat Ramp (Aunt Kates)")</f>
        <v>Usina Boat Ramp (Aunt Kates)</v>
      </c>
      <c r="F105" s="13">
        <f ca="1">IFERROR(__xludf.DUMMYFUNCTION("""COMPUTED_VALUE"""),0.39583333333212)</f>
        <v>0.39583333333212001</v>
      </c>
      <c r="G105" s="14">
        <f ca="1">IFERROR(__xludf.DUMMYFUNCTION("""COMPUTED_VALUE"""),43293)</f>
        <v>43293</v>
      </c>
      <c r="H105" t="str">
        <f ca="1">IFERROR(__xludf.DUMMYFUNCTION("""COMPUTED_VALUE"""),"Northern component (Shell Bluff)")</f>
        <v>Northern component (Shell Bluff)</v>
      </c>
      <c r="I105" s="15">
        <f ca="1">IFERROR(__xludf.DUMMYFUNCTION("""COMPUTED_VALUE"""),0.541666666667879)</f>
        <v>0.54166666666787899</v>
      </c>
      <c r="J105" s="16">
        <f ca="1">IFERROR(__xludf.DUMMYFUNCTION("""COMPUTED_VALUE"""),43293.5625)</f>
        <v>43293.5625</v>
      </c>
      <c r="K105" t="str">
        <f ca="1">IFERROR(__xludf.DUMMYFUNCTION("""COMPUTED_VALUE"""),"23ft Skiff (Bertha) FL7972LJ DEP07613")</f>
        <v>23ft Skiff (Bertha) FL7972LJ DEP07613</v>
      </c>
      <c r="M105" t="str">
        <f ca="1">IFERROR(__xludf.DUMMYFUNCTION("""COMPUTED_VALUE"""),"Ford F150 2015 (White) - DEP21448")</f>
        <v>Ford F150 2015 (White) - DEP21448</v>
      </c>
      <c r="N105" t="str">
        <f ca="1">IFERROR(__xludf.DUMMYFUNCTION("""COMPUTED_VALUE"""),"Kenneth Rainer, (936) 499-1853")</f>
        <v>Kenneth Rainer, (936) 499-1853</v>
      </c>
      <c r="O105" t="str">
        <f ca="1">IFERROR(__xludf.DUMMYFUNCTION("""COMPUTED_VALUE"""),"Summer Campers (7-9yr &amp; 10-12yr campers)")</f>
        <v>Summer Campers (7-9yr &amp; 10-12yr campers)</v>
      </c>
      <c r="P105" t="str">
        <f ca="1">IFERROR(__xludf.DUMMYFUNCTION("""COMPUTED_VALUE"""),"Kenneth Rainer")</f>
        <v>Kenneth Rainer</v>
      </c>
      <c r="Q105" t="str">
        <f ca="1">IFERROR(__xludf.DUMMYFUNCTION("""COMPUTED_VALUE"""),"Good")</f>
        <v>Good</v>
      </c>
      <c r="R105" t="str">
        <f ca="1">IFERROR(__xludf.DUMMYFUNCTION("""COMPUTED_VALUE"""),"Good")</f>
        <v>Good</v>
      </c>
      <c r="S105" t="str">
        <f ca="1">IFERROR(__xludf.DUMMYFUNCTION("""COMPUTED_VALUE"""),"Good")</f>
        <v>Good</v>
      </c>
      <c r="T105" t="str">
        <f ca="1">IFERROR(__xludf.DUMMYFUNCTION("""COMPUTED_VALUE"""),"Good")</f>
        <v>Good</v>
      </c>
      <c r="U105" t="str">
        <f ca="1">IFERROR(__xludf.DUMMYFUNCTION("""COMPUTED_VALUE"""),"Good")</f>
        <v>Good</v>
      </c>
      <c r="V105" t="str">
        <f ca="1">IFERROR(__xludf.DUMMYFUNCTION("""COMPUTED_VALUE"""),"Good")</f>
        <v>Good</v>
      </c>
      <c r="W105" t="str">
        <f ca="1">IFERROR(__xludf.DUMMYFUNCTION("""COMPUTED_VALUE"""),"Good")</f>
        <v>Good</v>
      </c>
      <c r="X105" t="str">
        <f ca="1">IFERROR(__xludf.DUMMYFUNCTION("""COMPUTED_VALUE"""),"Good")</f>
        <v>Good</v>
      </c>
      <c r="Y105" t="str">
        <f ca="1">IFERROR(__xludf.DUMMYFUNCTION("""COMPUTED_VALUE"""),"Good")</f>
        <v>Good</v>
      </c>
      <c r="Z105" t="str">
        <f ca="1">IFERROR(__xludf.DUMMYFUNCTION("""COMPUTED_VALUE"""),"Good")</f>
        <v>Good</v>
      </c>
      <c r="AA105" t="str">
        <f ca="1">IFERROR(__xludf.DUMMYFUNCTION("""COMPUTED_VALUE"""),"Good")</f>
        <v>Good</v>
      </c>
      <c r="AB105" t="str">
        <f ca="1">IFERROR(__xludf.DUMMYFUNCTION("""COMPUTED_VALUE"""),"Good")</f>
        <v>Good</v>
      </c>
      <c r="AC105" t="str">
        <f ca="1">IFERROR(__xludf.DUMMYFUNCTION("""COMPUTED_VALUE"""),"Good")</f>
        <v>Good</v>
      </c>
      <c r="AD105" t="str">
        <f ca="1">IFERROR(__xludf.DUMMYFUNCTION("""COMPUTED_VALUE"""),"Mainly sunny. A stray shower or thunderstorm is possible. High near 90F. SW winds shifting to ESE at 10 to 15 mph.")</f>
        <v>Mainly sunny. A stray shower or thunderstorm is possible. High near 90F. SW winds shifting to ESE at 10 to 15 mph.</v>
      </c>
      <c r="AE105" s="11" t="str">
        <f ca="1">IFERROR(__xludf.DUMMYFUNCTION("""COMPUTED_VALUE"""),"08:26 AM, 3.96 ft, H --- 2:24 PM, -1.12 ft, L")</f>
        <v>08:26 AM, 3.96 ft, H --- 2:24 PM, -1.12 ft, L</v>
      </c>
      <c r="AF105" t="str">
        <v>Kenneth.Rainer@floridadep.gov</v>
      </c>
      <c r="AG105" s="17" t="s">
        <v>17</v>
      </c>
      <c r="AH105" s="12"/>
      <c r="AI105" s="12" t="s">
        <v>253</v>
      </c>
      <c r="AJ105" s="19" t="s">
        <v>254</v>
      </c>
      <c r="AK105" s="20" t="str">
        <f>HYPERLINK("https://docs.google.com/document/d/15JSaSCbxrJwu6kwkLTnDA9-lYy2XQUHFjS2JiRUKLGM/edit?usp=drivesdk","Kenneth Rainer - 7/12/2018 9:30 AM")</f>
        <v>Kenneth Rainer - 7/12/2018 9:30 AM</v>
      </c>
      <c r="AL105" s="12" t="s">
        <v>255</v>
      </c>
    </row>
    <row r="106" spans="1:38" ht="12.75">
      <c r="A106" s="10">
        <f ca="1">IFERROR(__xludf.DUMMYFUNCTION("""COMPUTED_VALUE"""),43293.3781090625)</f>
        <v>43293.378109062498</v>
      </c>
      <c r="B106" s="11" t="str">
        <f ca="1">IFERROR(__xludf.DUMMYFUNCTION("""COMPUTED_VALUE"""),"Shannon Dunnigan")</f>
        <v>Shannon Dunnigan</v>
      </c>
      <c r="C106" t="str">
        <f ca="1">IFERROR(__xludf.DUMMYFUNCTION("""COMPUTED_VALUE"""),"Shannon.Dunnigan@dep.state.fl.us")</f>
        <v>Shannon.Dunnigan@dep.state.fl.us</v>
      </c>
      <c r="D106" t="str">
        <f ca="1">IFERROR(__xludf.DUMMYFUNCTION("""COMPUTED_VALUE"""),"Research/Nikki")</f>
        <v>Research/Nikki</v>
      </c>
      <c r="E106" t="str">
        <f ca="1">IFERROR(__xludf.DUMMYFUNCTION("""COMPUTED_VALUE"""),"Bings Landing")</f>
        <v>Bings Landing</v>
      </c>
      <c r="F106" s="13">
        <f ca="1">IFERROR(__xludf.DUMMYFUNCTION("""COMPUTED_VALUE"""),0.45833333333212)</f>
        <v>0.45833333333212001</v>
      </c>
      <c r="G106" s="14">
        <f ca="1">IFERROR(__xludf.DUMMYFUNCTION("""COMPUTED_VALUE"""),43293)</f>
        <v>43293</v>
      </c>
      <c r="H106" t="str">
        <f ca="1">IFERROR(__xludf.DUMMYFUNCTION("""COMPUTED_VALUE"""),"ICW around Summerhaven")</f>
        <v>ICW around Summerhaven</v>
      </c>
      <c r="I106" s="15">
        <f ca="1">IFERROR(__xludf.DUMMYFUNCTION("""COMPUTED_VALUE"""),0.5625)</f>
        <v>0.5625</v>
      </c>
      <c r="J106" s="16">
        <f ca="1">IFERROR(__xludf.DUMMYFUNCTION("""COMPUTED_VALUE"""),43293.625)</f>
        <v>43293.625</v>
      </c>
      <c r="K106" t="str">
        <f ca="1">IFERROR(__xludf.DUMMYFUNCTION("""COMPUTED_VALUE"""),"20ft Sea Ark FL5351SJ UNF 2015")</f>
        <v>20ft Sea Ark FL5351SJ UNF 2015</v>
      </c>
      <c r="M106" t="str">
        <f ca="1">IFERROR(__xludf.DUMMYFUNCTION("""COMPUTED_VALUE"""),"Ford F250 2017 (Moby Dix) - DEP0021578")</f>
        <v>Ford F250 2017 (Moby Dix) - DEP0021578</v>
      </c>
      <c r="N106" t="str">
        <f ca="1">IFERROR(__xludf.DUMMYFUNCTION("""COMPUTED_VALUE"""),"Shannon Dunnigan, (803) 727-5734, Ben Mowbray, (407) 962-8782")</f>
        <v>Shannon Dunnigan, (803) 727-5734, Ben Mowbray, (407) 962-8782</v>
      </c>
      <c r="O106" t="str">
        <f ca="1">IFERROR(__xludf.DUMMYFUNCTION("""COMPUTED_VALUE"""),"Matt Brown, Trinity Hopkins, Hunter Mathews")</f>
        <v>Matt Brown, Trinity Hopkins, Hunter Mathews</v>
      </c>
      <c r="P106" t="str">
        <f ca="1">IFERROR(__xludf.DUMMYFUNCTION("""COMPUTED_VALUE"""),"Shannon Dunnigan")</f>
        <v>Shannon Dunnigan</v>
      </c>
      <c r="Q106" t="str">
        <f ca="1">IFERROR(__xludf.DUMMYFUNCTION("""COMPUTED_VALUE"""),"Good")</f>
        <v>Good</v>
      </c>
      <c r="R106" t="str">
        <f ca="1">IFERROR(__xludf.DUMMYFUNCTION("""COMPUTED_VALUE"""),"Good")</f>
        <v>Good</v>
      </c>
      <c r="S106" t="str">
        <f ca="1">IFERROR(__xludf.DUMMYFUNCTION("""COMPUTED_VALUE"""),"Good")</f>
        <v>Good</v>
      </c>
      <c r="T106" t="str">
        <f ca="1">IFERROR(__xludf.DUMMYFUNCTION("""COMPUTED_VALUE"""),"Good")</f>
        <v>Good</v>
      </c>
      <c r="U106" t="str">
        <f ca="1">IFERROR(__xludf.DUMMYFUNCTION("""COMPUTED_VALUE"""),"Good")</f>
        <v>Good</v>
      </c>
      <c r="V106" t="str">
        <f ca="1">IFERROR(__xludf.DUMMYFUNCTION("""COMPUTED_VALUE"""),"Good")</f>
        <v>Good</v>
      </c>
      <c r="W106" t="str">
        <f ca="1">IFERROR(__xludf.DUMMYFUNCTION("""COMPUTED_VALUE"""),"Good")</f>
        <v>Good</v>
      </c>
      <c r="X106" t="str">
        <f ca="1">IFERROR(__xludf.DUMMYFUNCTION("""COMPUTED_VALUE"""),"Good")</f>
        <v>Good</v>
      </c>
      <c r="Y106" t="str">
        <f ca="1">IFERROR(__xludf.DUMMYFUNCTION("""COMPUTED_VALUE"""),"Good")</f>
        <v>Good</v>
      </c>
      <c r="Z106" t="str">
        <f ca="1">IFERROR(__xludf.DUMMYFUNCTION("""COMPUTED_VALUE"""),"Good")</f>
        <v>Good</v>
      </c>
      <c r="AA106" t="str">
        <f ca="1">IFERROR(__xludf.DUMMYFUNCTION("""COMPUTED_VALUE"""),"Good")</f>
        <v>Good</v>
      </c>
      <c r="AB106" t="str">
        <f ca="1">IFERROR(__xludf.DUMMYFUNCTION("""COMPUTED_VALUE"""),"Good")</f>
        <v>Good</v>
      </c>
      <c r="AC106" t="str">
        <f ca="1">IFERROR(__xludf.DUMMYFUNCTION("""COMPUTED_VALUE"""),"Good")</f>
        <v>Good</v>
      </c>
      <c r="AE106" s="11"/>
      <c r="AF106" t="str">
        <v>Nikki.Dix@floridadep.gov</v>
      </c>
      <c r="AG106" s="17" t="s">
        <v>41</v>
      </c>
      <c r="AH106" s="12"/>
      <c r="AI106" s="12" t="s">
        <v>256</v>
      </c>
      <c r="AJ106" s="19" t="s">
        <v>257</v>
      </c>
      <c r="AK106" s="20" t="str">
        <f>HYPERLINK("https://docs.google.com/document/d/1Gyx9ROaTKWuy-76rkui4kE2dTnRUDtMTJAqKpXUVmj4/edit?usp=drivesdk","Shannon Dunnigan - 7/12/2018 11:00 AM")</f>
        <v>Shannon Dunnigan - 7/12/2018 11:00 AM</v>
      </c>
      <c r="AL106" s="12" t="s">
        <v>258</v>
      </c>
    </row>
    <row r="107" spans="1:38" ht="12.75">
      <c r="A107" s="10">
        <f ca="1">IFERROR(__xludf.DUMMYFUNCTION("""COMPUTED_VALUE"""),43298.6036786226)</f>
        <v>43298.603678622603</v>
      </c>
      <c r="B107" s="11" t="str">
        <f ca="1">IFERROR(__xludf.DUMMYFUNCTION("""COMPUTED_VALUE"""),"Ben Mowbray")</f>
        <v>Ben Mowbray</v>
      </c>
      <c r="C107" t="str">
        <f ca="1">IFERROR(__xludf.DUMMYFUNCTION("""COMPUTED_VALUE"""),"ben.mowbray@dep.state.fl.us")</f>
        <v>ben.mowbray@dep.state.fl.us</v>
      </c>
      <c r="D107" t="str">
        <f ca="1">IFERROR(__xludf.DUMMYFUNCTION("""COMPUTED_VALUE"""),"Research/Pam")</f>
        <v>Research/Pam</v>
      </c>
      <c r="E107" t="str">
        <f ca="1">IFERROR(__xludf.DUMMYFUNCTION("""COMPUTED_VALUE"""),"Aunt Kate's")</f>
        <v>Aunt Kate's</v>
      </c>
      <c r="F107" s="13">
        <f ca="1">IFERROR(__xludf.DUMMYFUNCTION("""COMPUTED_VALUE"""),0.260416666667879)</f>
        <v>0.26041666666787899</v>
      </c>
      <c r="G107" s="14">
        <f ca="1">IFERROR(__xludf.DUMMYFUNCTION("""COMPUTED_VALUE"""),43299)</f>
        <v>43299</v>
      </c>
      <c r="H107" t="str">
        <f ca="1">IFERROR(__xludf.DUMMYFUNCTION("""COMPUTED_VALUE"""),"GR and TR Reefs")</f>
        <v>GR and TR Reefs</v>
      </c>
      <c r="I107" s="15">
        <f ca="1">IFERROR(__xludf.DUMMYFUNCTION("""COMPUTED_VALUE"""),0.479166666667879)</f>
        <v>0.47916666666787899</v>
      </c>
      <c r="J107" s="16">
        <f ca="1">IFERROR(__xludf.DUMMYFUNCTION("""COMPUTED_VALUE"""),43299.5)</f>
        <v>43299.5</v>
      </c>
      <c r="K107" t="str">
        <f ca="1">IFERROR(__xludf.DUMMYFUNCTION("""COMPUTED_VALUE"""),"23ft Skiff (Bertha) FL7972LJ DEP07613")</f>
        <v>23ft Skiff (Bertha) FL7972LJ DEP07613</v>
      </c>
      <c r="M107" t="str">
        <f ca="1">IFERROR(__xludf.DUMMYFUNCTION("""COMPUTED_VALUE"""),"Ford F250 2017 (Moby Dix) - DEP0021578")</f>
        <v>Ford F250 2017 (Moby Dix) - DEP0021578</v>
      </c>
      <c r="N107" t="str">
        <f ca="1">IFERROR(__xludf.DUMMYFUNCTION("""COMPUTED_VALUE"""),"Ben Mowbray, (407) 962-8782")</f>
        <v>Ben Mowbray, (407) 962-8782</v>
      </c>
      <c r="O107" t="str">
        <f ca="1">IFERROR(__xludf.DUMMYFUNCTION("""COMPUTED_VALUE"""),"Nicole, Rodrigo, Adrienne, David")</f>
        <v>Nicole, Rodrigo, Adrienne, David</v>
      </c>
      <c r="P107" t="str">
        <f ca="1">IFERROR(__xludf.DUMMYFUNCTION("""COMPUTED_VALUE"""),"Ben")</f>
        <v>Ben</v>
      </c>
      <c r="Q107" t="str">
        <f ca="1">IFERROR(__xludf.DUMMYFUNCTION("""COMPUTED_VALUE"""),"Good")</f>
        <v>Good</v>
      </c>
      <c r="R107" t="str">
        <f ca="1">IFERROR(__xludf.DUMMYFUNCTION("""COMPUTED_VALUE"""),"Good")</f>
        <v>Good</v>
      </c>
      <c r="S107" t="str">
        <f ca="1">IFERROR(__xludf.DUMMYFUNCTION("""COMPUTED_VALUE"""),"Good")</f>
        <v>Good</v>
      </c>
      <c r="T107" t="str">
        <f ca="1">IFERROR(__xludf.DUMMYFUNCTION("""COMPUTED_VALUE"""),"Good")</f>
        <v>Good</v>
      </c>
      <c r="U107" t="str">
        <f ca="1">IFERROR(__xludf.DUMMYFUNCTION("""COMPUTED_VALUE"""),"Good")</f>
        <v>Good</v>
      </c>
      <c r="V107" t="str">
        <f ca="1">IFERROR(__xludf.DUMMYFUNCTION("""COMPUTED_VALUE"""),"Good")</f>
        <v>Good</v>
      </c>
      <c r="W107" t="str">
        <f ca="1">IFERROR(__xludf.DUMMYFUNCTION("""COMPUTED_VALUE"""),"Good")</f>
        <v>Good</v>
      </c>
      <c r="X107" t="str">
        <f ca="1">IFERROR(__xludf.DUMMYFUNCTION("""COMPUTED_VALUE"""),"Good")</f>
        <v>Good</v>
      </c>
      <c r="Y107" t="str">
        <f ca="1">IFERROR(__xludf.DUMMYFUNCTION("""COMPUTED_VALUE"""),"Good")</f>
        <v>Good</v>
      </c>
      <c r="Z107" t="str">
        <f ca="1">IFERROR(__xludf.DUMMYFUNCTION("""COMPUTED_VALUE"""),"Good")</f>
        <v>Good</v>
      </c>
      <c r="AA107" t="str">
        <f ca="1">IFERROR(__xludf.DUMMYFUNCTION("""COMPUTED_VALUE"""),"Good")</f>
        <v>Good</v>
      </c>
      <c r="AB107" t="str">
        <f ca="1">IFERROR(__xludf.DUMMYFUNCTION("""COMPUTED_VALUE"""),"Good")</f>
        <v>Good</v>
      </c>
      <c r="AC107" t="str">
        <f ca="1">IFERROR(__xludf.DUMMYFUNCTION("""COMPUTED_VALUE"""),"Good")</f>
        <v>Good</v>
      </c>
      <c r="AE107" s="11"/>
      <c r="AF107" t="str">
        <v>Pamela.Marcum@floridadep.gov</v>
      </c>
      <c r="AG107" s="17" t="s">
        <v>17</v>
      </c>
      <c r="AH107" s="23">
        <v>0.48958333333333331</v>
      </c>
      <c r="AI107" s="12" t="s">
        <v>260</v>
      </c>
      <c r="AJ107" s="19" t="s">
        <v>261</v>
      </c>
      <c r="AK107" s="20" t="str">
        <f>HYPERLINK("https://docs.google.com/document/d/1B2B_zzU6VYd5JQ-56maF2bnECN2oN8ZVlQhWEyzl5pg/edit?usp=drivesdk","Ben Mowbray - 7/18/2018 6:15 AM")</f>
        <v>Ben Mowbray - 7/18/2018 6:15 AM</v>
      </c>
      <c r="AL107" s="12" t="s">
        <v>262</v>
      </c>
    </row>
    <row r="108" spans="1:38" ht="12.75">
      <c r="A108" s="10">
        <f ca="1">IFERROR(__xludf.DUMMYFUNCTION("""COMPUTED_VALUE"""),43300.2295448958)</f>
        <v>43300.229544895803</v>
      </c>
      <c r="B108" s="11" t="str">
        <f ca="1">IFERROR(__xludf.DUMMYFUNCTION("""COMPUTED_VALUE"""),"Ben Mowbray")</f>
        <v>Ben Mowbray</v>
      </c>
      <c r="C108" t="str">
        <f ca="1">IFERROR(__xludf.DUMMYFUNCTION("""COMPUTED_VALUE"""),"ben.mowbray@dep.state.fl.us")</f>
        <v>ben.mowbray@dep.state.fl.us</v>
      </c>
      <c r="D108" t="str">
        <f ca="1">IFERROR(__xludf.DUMMYFUNCTION("""COMPUTED_VALUE"""),"Research/Nikki")</f>
        <v>Research/Nikki</v>
      </c>
      <c r="E108" t="str">
        <f ca="1">IFERROR(__xludf.DUMMYFUNCTION("""COMPUTED_VALUE"""),"Aunt Kate's")</f>
        <v>Aunt Kate's</v>
      </c>
      <c r="F108" s="13">
        <f ca="1">IFERROR(__xludf.DUMMYFUNCTION("""COMPUTED_VALUE"""),0.25)</f>
        <v>0.25</v>
      </c>
      <c r="G108" s="14">
        <f ca="1">IFERROR(__xludf.DUMMYFUNCTION("""COMPUTED_VALUE"""),43300)</f>
        <v>43300</v>
      </c>
      <c r="H108" t="str">
        <f ca="1">IFERROR(__xludf.DUMMYFUNCTION("""COMPUTED_VALUE"""),"TR SA and Butler Reefs")</f>
        <v>TR SA and Butler Reefs</v>
      </c>
      <c r="I108" s="15">
        <f ca="1">IFERROR(__xludf.DUMMYFUNCTION("""COMPUTED_VALUE"""),0.5)</f>
        <v>0.5</v>
      </c>
      <c r="J108" s="16">
        <f ca="1">IFERROR(__xludf.DUMMYFUNCTION("""COMPUTED_VALUE"""),43300.5243055555)</f>
        <v>43300.524305555497</v>
      </c>
      <c r="K108" t="str">
        <f ca="1">IFERROR(__xludf.DUMMYFUNCTION("""COMPUTED_VALUE"""),"23ft Skiff (Bertha) FL7972LJ DEP07613")</f>
        <v>23ft Skiff (Bertha) FL7972LJ DEP07613</v>
      </c>
      <c r="M108" t="str">
        <f ca="1">IFERROR(__xludf.DUMMYFUNCTION("""COMPUTED_VALUE"""),"Ford F250 2017 (Moby Dix) - DEP0021578")</f>
        <v>Ford F250 2017 (Moby Dix) - DEP0021578</v>
      </c>
      <c r="N108" t="str">
        <f ca="1">IFERROR(__xludf.DUMMYFUNCTION("""COMPUTED_VALUE"""),"Ben Mowbray, (407) 962-8782")</f>
        <v>Ben Mowbray, (407) 962-8782</v>
      </c>
      <c r="O108" t="str">
        <f ca="1">IFERROR(__xludf.DUMMYFUNCTION("""COMPUTED_VALUE"""),"Nicole, Rodrigo, David, Adrienne")</f>
        <v>Nicole, Rodrigo, David, Adrienne</v>
      </c>
      <c r="P108" t="str">
        <f ca="1">IFERROR(__xludf.DUMMYFUNCTION("""COMPUTED_VALUE"""),"Ben")</f>
        <v>Ben</v>
      </c>
      <c r="Q108" t="str">
        <f ca="1">IFERROR(__xludf.DUMMYFUNCTION("""COMPUTED_VALUE"""),"Good")</f>
        <v>Good</v>
      </c>
      <c r="R108" t="str">
        <f ca="1">IFERROR(__xludf.DUMMYFUNCTION("""COMPUTED_VALUE"""),"Good")</f>
        <v>Good</v>
      </c>
      <c r="S108" t="str">
        <f ca="1">IFERROR(__xludf.DUMMYFUNCTION("""COMPUTED_VALUE"""),"Good")</f>
        <v>Good</v>
      </c>
      <c r="T108" t="str">
        <f ca="1">IFERROR(__xludf.DUMMYFUNCTION("""COMPUTED_VALUE"""),"Good")</f>
        <v>Good</v>
      </c>
      <c r="U108" t="str">
        <f ca="1">IFERROR(__xludf.DUMMYFUNCTION("""COMPUTED_VALUE"""),"Good")</f>
        <v>Good</v>
      </c>
      <c r="V108" t="str">
        <f ca="1">IFERROR(__xludf.DUMMYFUNCTION("""COMPUTED_VALUE"""),"Good")</f>
        <v>Good</v>
      </c>
      <c r="W108" t="str">
        <f ca="1">IFERROR(__xludf.DUMMYFUNCTION("""COMPUTED_VALUE"""),"Good")</f>
        <v>Good</v>
      </c>
      <c r="X108" t="str">
        <f ca="1">IFERROR(__xludf.DUMMYFUNCTION("""COMPUTED_VALUE"""),"Good")</f>
        <v>Good</v>
      </c>
      <c r="Y108" t="str">
        <f ca="1">IFERROR(__xludf.DUMMYFUNCTION("""COMPUTED_VALUE"""),"Good")</f>
        <v>Good</v>
      </c>
      <c r="Z108" t="str">
        <f ca="1">IFERROR(__xludf.DUMMYFUNCTION("""COMPUTED_VALUE"""),"Good")</f>
        <v>Good</v>
      </c>
      <c r="AA108" t="str">
        <f ca="1">IFERROR(__xludf.DUMMYFUNCTION("""COMPUTED_VALUE"""),"Good")</f>
        <v>Good</v>
      </c>
      <c r="AB108" t="str">
        <f ca="1">IFERROR(__xludf.DUMMYFUNCTION("""COMPUTED_VALUE"""),"Good")</f>
        <v>Good</v>
      </c>
      <c r="AC108" t="str">
        <f ca="1">IFERROR(__xludf.DUMMYFUNCTION("""COMPUTED_VALUE"""),"Good")</f>
        <v>Good</v>
      </c>
      <c r="AE108" s="11"/>
      <c r="AF108" t="str">
        <v>Nikki.Dix@floridadep.gov</v>
      </c>
      <c r="AG108" s="17" t="s">
        <v>58</v>
      </c>
      <c r="AI108" s="12" t="s">
        <v>263</v>
      </c>
      <c r="AJ108" s="19" t="s">
        <v>264</v>
      </c>
      <c r="AK108" s="20" t="str">
        <f>HYPERLINK("https://docs.google.com/document/d/1_Jz1cLc_0eyZ6COebIUYyR_BuSj6Ej0LPmwxx-PUG2s/edit?usp=drivesdk","Ben Mowbray - 7/19/2018 6:00 AM")</f>
        <v>Ben Mowbray - 7/19/2018 6:00 AM</v>
      </c>
      <c r="AL108" s="12" t="s">
        <v>265</v>
      </c>
    </row>
    <row r="109" spans="1:38" ht="12.75">
      <c r="A109" s="10">
        <f ca="1">IFERROR(__xludf.DUMMYFUNCTION("""COMPUTED_VALUE"""),43305.3411443518)</f>
        <v>43305.341144351798</v>
      </c>
      <c r="B109" s="11" t="str">
        <f ca="1">IFERROR(__xludf.DUMMYFUNCTION("""COMPUTED_VALUE"""),"Silas Tanner")</f>
        <v>Silas Tanner</v>
      </c>
      <c r="C109" t="str">
        <f ca="1">IFERROR(__xludf.DUMMYFUNCTION("""COMPUTED_VALUE"""),"silas.tanner@floridadep.gov")</f>
        <v>silas.tanner@floridadep.gov</v>
      </c>
      <c r="D109" t="str">
        <f ca="1">IFERROR(__xludf.DUMMYFUNCTION("""COMPUTED_VALUE"""),"Research/Shannon")</f>
        <v>Research/Shannon</v>
      </c>
      <c r="E109" t="str">
        <f ca="1">IFERROR(__xludf.DUMMYFUNCTION("""COMPUTED_VALUE"""),"Vilano County ramp")</f>
        <v>Vilano County ramp</v>
      </c>
      <c r="F109" s="13">
        <f ca="1">IFERROR(__xludf.DUMMYFUNCTION("""COMPUTED_VALUE"""),0.354166666667879)</f>
        <v>0.35416666666787899</v>
      </c>
      <c r="G109" s="14">
        <f ca="1">IFERROR(__xludf.DUMMYFUNCTION("""COMPUTED_VALUE"""),43305)</f>
        <v>43305</v>
      </c>
      <c r="H109" t="str">
        <f ca="1">IFERROR(__xludf.DUMMYFUNCTION("""COMPUTED_VALUE"""),"ICW SWMP sites")</f>
        <v>ICW SWMP sites</v>
      </c>
      <c r="I109" s="15">
        <f ca="1">IFERROR(__xludf.DUMMYFUNCTION("""COMPUTED_VALUE"""),0.58333333333212)</f>
        <v>0.58333333333212001</v>
      </c>
      <c r="J109" s="16">
        <f ca="1">IFERROR(__xludf.DUMMYFUNCTION("""COMPUTED_VALUE"""),43305.6041666666)</f>
        <v>43305.604166666599</v>
      </c>
      <c r="K109" t="str">
        <f ca="1">IFERROR(__xludf.DUMMYFUNCTION("""COMPUTED_VALUE"""),"23ft Skiff (Bertha) FL7972LJ DEP07613")</f>
        <v>23ft Skiff (Bertha) FL7972LJ DEP07613</v>
      </c>
      <c r="M109" t="str">
        <f ca="1">IFERROR(__xludf.DUMMYFUNCTION("""COMPUTED_VALUE"""),"Ford F250 2017 (Moby Dix) - DEP0021578")</f>
        <v>Ford F250 2017 (Moby Dix) - DEP0021578</v>
      </c>
      <c r="N109" t="str">
        <f ca="1">IFERROR(__xludf.DUMMYFUNCTION("""COMPUTED_VALUE"""),"Silas Tanner, (904) 483-8423, Jimmy Tomazinis, (904) 547-0094, Remo Mondazi")</f>
        <v>Silas Tanner, (904) 483-8423, Jimmy Tomazinis, (904) 547-0094, Remo Mondazi</v>
      </c>
      <c r="O109" t="str">
        <f ca="1">IFERROR(__xludf.DUMMYFUNCTION("""COMPUTED_VALUE"""),"Jessica Lee, Suzi Porterfield")</f>
        <v>Jessica Lee, Suzi Porterfield</v>
      </c>
      <c r="P109" t="str">
        <f ca="1">IFERROR(__xludf.DUMMYFUNCTION("""COMPUTED_VALUE"""),"Silas Tanner")</f>
        <v>Silas Tanner</v>
      </c>
      <c r="Q109" t="str">
        <f ca="1">IFERROR(__xludf.DUMMYFUNCTION("""COMPUTED_VALUE"""),"Good")</f>
        <v>Good</v>
      </c>
      <c r="R109" t="str">
        <f ca="1">IFERROR(__xludf.DUMMYFUNCTION("""COMPUTED_VALUE"""),"Good")</f>
        <v>Good</v>
      </c>
      <c r="S109" t="str">
        <f ca="1">IFERROR(__xludf.DUMMYFUNCTION("""COMPUTED_VALUE"""),"Good")</f>
        <v>Good</v>
      </c>
      <c r="T109" t="str">
        <f ca="1">IFERROR(__xludf.DUMMYFUNCTION("""COMPUTED_VALUE"""),"Good")</f>
        <v>Good</v>
      </c>
      <c r="U109" t="str">
        <f ca="1">IFERROR(__xludf.DUMMYFUNCTION("""COMPUTED_VALUE"""),"Good")</f>
        <v>Good</v>
      </c>
      <c r="V109" t="str">
        <f ca="1">IFERROR(__xludf.DUMMYFUNCTION("""COMPUTED_VALUE"""),"Good")</f>
        <v>Good</v>
      </c>
      <c r="W109" t="str">
        <f ca="1">IFERROR(__xludf.DUMMYFUNCTION("""COMPUTED_VALUE"""),"Good")</f>
        <v>Good</v>
      </c>
      <c r="X109" t="str">
        <f ca="1">IFERROR(__xludf.DUMMYFUNCTION("""COMPUTED_VALUE"""),"Good")</f>
        <v>Good</v>
      </c>
      <c r="Y109" t="str">
        <f ca="1">IFERROR(__xludf.DUMMYFUNCTION("""COMPUTED_VALUE"""),"Good")</f>
        <v>Good</v>
      </c>
      <c r="Z109" t="str">
        <f ca="1">IFERROR(__xludf.DUMMYFUNCTION("""COMPUTED_VALUE"""),"Good")</f>
        <v>Good</v>
      </c>
      <c r="AA109" t="str">
        <f ca="1">IFERROR(__xludf.DUMMYFUNCTION("""COMPUTED_VALUE"""),"Good")</f>
        <v>Good</v>
      </c>
      <c r="AB109" t="str">
        <f ca="1">IFERROR(__xludf.DUMMYFUNCTION("""COMPUTED_VALUE"""),"Good")</f>
        <v>Good</v>
      </c>
      <c r="AC109" t="str">
        <f ca="1">IFERROR(__xludf.DUMMYFUNCTION("""COMPUTED_VALUE"""),"Good")</f>
        <v>Good</v>
      </c>
      <c r="AE109" s="11"/>
      <c r="AF109" t="str">
        <v>Shannon.Dunnigan@floridadep.gov</v>
      </c>
      <c r="AG109" s="17" t="s">
        <v>17</v>
      </c>
      <c r="AH109" s="23">
        <v>0.55000000000000004</v>
      </c>
      <c r="AI109" s="12" t="s">
        <v>266</v>
      </c>
      <c r="AJ109" s="19" t="s">
        <v>267</v>
      </c>
      <c r="AK109" s="20" t="str">
        <f>HYPERLINK("https://docs.google.com/document/d/1hYRN2pBVHw4Yusqyy9lepzKzhEppwr8z0-qaMhE2DYQ/edit?usp=drivesdk","Silas Tanner - 7/24/2018 8:30 AM")</f>
        <v>Silas Tanner - 7/24/2018 8:30 AM</v>
      </c>
      <c r="AL109" s="12" t="s">
        <v>268</v>
      </c>
    </row>
    <row r="110" spans="1:38" ht="12.75">
      <c r="A110" s="10">
        <f ca="1">IFERROR(__xludf.DUMMYFUNCTION("""COMPUTED_VALUE"""),43306.4394006597)</f>
        <v>43306.439400659699</v>
      </c>
      <c r="B110" s="11" t="str">
        <f ca="1">IFERROR(__xludf.DUMMYFUNCTION("""COMPUTED_VALUE"""),"Pamela Marcum")</f>
        <v>Pamela Marcum</v>
      </c>
      <c r="C110" t="str">
        <f ca="1">IFERROR(__xludf.DUMMYFUNCTION("""COMPUTED_VALUE"""),"Pamela.Marcum@dep.state.fl.us")</f>
        <v>Pamela.Marcum@dep.state.fl.us</v>
      </c>
      <c r="D110" t="str">
        <f ca="1">IFERROR(__xludf.DUMMYFUNCTION("""COMPUTED_VALUE"""),"Research/Nikki")</f>
        <v>Research/Nikki</v>
      </c>
      <c r="E110" t="str">
        <f ca="1">IFERROR(__xludf.DUMMYFUNCTION("""COMPUTED_VALUE"""),"Palm Valley")</f>
        <v>Palm Valley</v>
      </c>
      <c r="F110" s="13">
        <f ca="1">IFERROR(__xludf.DUMMYFUNCTION("""COMPUTED_VALUE"""),0.45833333333212)</f>
        <v>0.45833333333212001</v>
      </c>
      <c r="G110" s="14">
        <f ca="1">IFERROR(__xludf.DUMMYFUNCTION("""COMPUTED_VALUE"""),43306)</f>
        <v>43306</v>
      </c>
      <c r="H110" t="str">
        <f ca="1">IFERROR(__xludf.DUMMYFUNCTION("""COMPUTED_VALUE"""),"Pine Island Marsh Site")</f>
        <v>Pine Island Marsh Site</v>
      </c>
      <c r="I110" s="15">
        <f ca="1">IFERROR(__xludf.DUMMYFUNCTION("""COMPUTED_VALUE"""),0.541666666667879)</f>
        <v>0.54166666666787899</v>
      </c>
      <c r="J110" s="16">
        <f ca="1">IFERROR(__xludf.DUMMYFUNCTION("""COMPUTED_VALUE"""),43306.5625)</f>
        <v>43306.5625</v>
      </c>
      <c r="K110" t="str">
        <f ca="1">IFERROR(__xludf.DUMMYFUNCTION("""COMPUTED_VALUE"""),"20ft Sea Ark FL5351SJ UNF 2015")</f>
        <v>20ft Sea Ark FL5351SJ UNF 2015</v>
      </c>
      <c r="M110" t="str">
        <f ca="1">IFERROR(__xludf.DUMMYFUNCTION("""COMPUTED_VALUE"""),"Ford F150 2015 (White) - DEP21448")</f>
        <v>Ford F150 2015 (White) - DEP21448</v>
      </c>
      <c r="N110" t="str">
        <f ca="1">IFERROR(__xludf.DUMMYFUNCTION("""COMPUTED_VALUE"""),"Pam Marcum, (480) 332-5414, Ben Mowbray, (407) 962-8782")</f>
        <v>Pam Marcum, (480) 332-5414, Ben Mowbray, (407) 962-8782</v>
      </c>
      <c r="P110" t="str">
        <f ca="1">IFERROR(__xludf.DUMMYFUNCTION("""COMPUTED_VALUE"""),"Pamela Marcum")</f>
        <v>Pamela Marcum</v>
      </c>
      <c r="Q110" t="str">
        <f ca="1">IFERROR(__xludf.DUMMYFUNCTION("""COMPUTED_VALUE"""),"Good")</f>
        <v>Good</v>
      </c>
      <c r="R110" t="str">
        <f ca="1">IFERROR(__xludf.DUMMYFUNCTION("""COMPUTED_VALUE"""),"Good")</f>
        <v>Good</v>
      </c>
      <c r="S110" t="str">
        <f ca="1">IFERROR(__xludf.DUMMYFUNCTION("""COMPUTED_VALUE"""),"Good")</f>
        <v>Good</v>
      </c>
      <c r="T110" t="str">
        <f ca="1">IFERROR(__xludf.DUMMYFUNCTION("""COMPUTED_VALUE"""),"Good")</f>
        <v>Good</v>
      </c>
      <c r="U110" t="str">
        <f ca="1">IFERROR(__xludf.DUMMYFUNCTION("""COMPUTED_VALUE"""),"Good")</f>
        <v>Good</v>
      </c>
      <c r="V110" t="str">
        <f ca="1">IFERROR(__xludf.DUMMYFUNCTION("""COMPUTED_VALUE"""),"Good")</f>
        <v>Good</v>
      </c>
      <c r="W110" t="str">
        <f ca="1">IFERROR(__xludf.DUMMYFUNCTION("""COMPUTED_VALUE"""),"Good")</f>
        <v>Good</v>
      </c>
      <c r="X110" t="str">
        <f ca="1">IFERROR(__xludf.DUMMYFUNCTION("""COMPUTED_VALUE"""),"Good")</f>
        <v>Good</v>
      </c>
      <c r="Y110" t="str">
        <f ca="1">IFERROR(__xludf.DUMMYFUNCTION("""COMPUTED_VALUE"""),"Good")</f>
        <v>Good</v>
      </c>
      <c r="Z110" t="str">
        <f ca="1">IFERROR(__xludf.DUMMYFUNCTION("""COMPUTED_VALUE"""),"Good")</f>
        <v>Good</v>
      </c>
      <c r="AA110" t="str">
        <f ca="1">IFERROR(__xludf.DUMMYFUNCTION("""COMPUTED_VALUE"""),"Good")</f>
        <v>Good</v>
      </c>
      <c r="AB110" t="str">
        <f ca="1">IFERROR(__xludf.DUMMYFUNCTION("""COMPUTED_VALUE"""),"Good")</f>
        <v>Good</v>
      </c>
      <c r="AC110" t="str">
        <f ca="1">IFERROR(__xludf.DUMMYFUNCTION("""COMPUTED_VALUE"""),"Good")</f>
        <v>Good</v>
      </c>
      <c r="AE110" s="11"/>
      <c r="AF110" t="str">
        <v>Nikki.Dix@floridadep.gov</v>
      </c>
      <c r="AG110" s="17" t="s">
        <v>17</v>
      </c>
      <c r="AH110" s="23">
        <v>0.54236111111111107</v>
      </c>
      <c r="AI110" s="12" t="s">
        <v>269</v>
      </c>
      <c r="AJ110" s="19" t="s">
        <v>270</v>
      </c>
      <c r="AK110" s="20" t="str">
        <f>HYPERLINK("https://docs.google.com/document/d/1Yf58Vo3igrV_L3FTGJfaglDeuNiDkG2mScsf6Af2oGg/edit?usp=drivesdk","Pamela Marcum - 7/25/2018 11:00 AM")</f>
        <v>Pamela Marcum - 7/25/2018 11:00 AM</v>
      </c>
      <c r="AL110" s="12" t="s">
        <v>271</v>
      </c>
    </row>
    <row r="111" spans="1:38" ht="12.75">
      <c r="A111" s="10">
        <f ca="1">IFERROR(__xludf.DUMMYFUNCTION("""COMPUTED_VALUE"""),43306.5817455324)</f>
        <v>43306.5817455324</v>
      </c>
      <c r="B111" s="11" t="str">
        <f ca="1">IFERROR(__xludf.DUMMYFUNCTION("""COMPUTED_VALUE"""),"Silas Tanner")</f>
        <v>Silas Tanner</v>
      </c>
      <c r="C111" t="str">
        <f ca="1">IFERROR(__xludf.DUMMYFUNCTION("""COMPUTED_VALUE"""),"silas.tanner@floridadep.gov")</f>
        <v>silas.tanner@floridadep.gov</v>
      </c>
      <c r="D111" t="str">
        <f ca="1">IFERROR(__xludf.DUMMYFUNCTION("""COMPUTED_VALUE"""),"Research/Shannon")</f>
        <v>Research/Shannon</v>
      </c>
      <c r="E111" t="str">
        <f ca="1">IFERROR(__xludf.DUMMYFUNCTION("""COMPUTED_VALUE"""),"Bing's")</f>
        <v>Bing's</v>
      </c>
      <c r="F111" s="13">
        <f ca="1">IFERROR(__xludf.DUMMYFUNCTION("""COMPUTED_VALUE"""),0.479166666667879)</f>
        <v>0.47916666666787899</v>
      </c>
      <c r="G111" s="14">
        <f ca="1">IFERROR(__xludf.DUMMYFUNCTION("""COMPUTED_VALUE"""),43308)</f>
        <v>43308</v>
      </c>
      <c r="H111" t="str">
        <f ca="1">IFERROR(__xludf.DUMMYFUNCTION("""COMPUTED_VALUE"""),"ICW - Rattlesnake Island to Bing's")</f>
        <v>ICW - Rattlesnake Island to Bing's</v>
      </c>
      <c r="I111" s="15">
        <f ca="1">IFERROR(__xludf.DUMMYFUNCTION("""COMPUTED_VALUE"""),0.64583333333212)</f>
        <v>0.64583333333212001</v>
      </c>
      <c r="J111" s="16">
        <f ca="1">IFERROR(__xludf.DUMMYFUNCTION("""COMPUTED_VALUE"""),43308.6875)</f>
        <v>43308.6875</v>
      </c>
      <c r="K111" t="str">
        <f ca="1">IFERROR(__xludf.DUMMYFUNCTION("""COMPUTED_VALUE"""),"23ft Skiff (Bertha) FL7972LJ DEP07613")</f>
        <v>23ft Skiff (Bertha) FL7972LJ DEP07613</v>
      </c>
      <c r="M111" t="str">
        <f ca="1">IFERROR(__xludf.DUMMYFUNCTION("""COMPUTED_VALUE"""),"Ford F250 2017 (Moby Dix) - DEP0021578")</f>
        <v>Ford F250 2017 (Moby Dix) - DEP0021578</v>
      </c>
      <c r="N111" t="str">
        <f ca="1">IFERROR(__xludf.DUMMYFUNCTION("""COMPUTED_VALUE"""),"Shannon Dunnigan, (803) 727-5734, Silas Tanner, (904) 483-8423")</f>
        <v>Shannon Dunnigan, (803) 727-5734, Silas Tanner, (904) 483-8423</v>
      </c>
      <c r="O111" t="str">
        <f ca="1">IFERROR(__xludf.DUMMYFUNCTION("""COMPUTED_VALUE"""),"Matt Brown, Megan Wright, Taryn Chaya, Savannah Fann")</f>
        <v>Matt Brown, Megan Wright, Taryn Chaya, Savannah Fann</v>
      </c>
      <c r="P111" t="str">
        <f ca="1">IFERROR(__xludf.DUMMYFUNCTION("""COMPUTED_VALUE"""),"Silas Tanner")</f>
        <v>Silas Tanner</v>
      </c>
      <c r="Q111" t="str">
        <f ca="1">IFERROR(__xludf.DUMMYFUNCTION("""COMPUTED_VALUE"""),"Good")</f>
        <v>Good</v>
      </c>
      <c r="R111" t="str">
        <f ca="1">IFERROR(__xludf.DUMMYFUNCTION("""COMPUTED_VALUE"""),"Good")</f>
        <v>Good</v>
      </c>
      <c r="S111" t="str">
        <f ca="1">IFERROR(__xludf.DUMMYFUNCTION("""COMPUTED_VALUE"""),"Good")</f>
        <v>Good</v>
      </c>
      <c r="T111" t="str">
        <f ca="1">IFERROR(__xludf.DUMMYFUNCTION("""COMPUTED_VALUE"""),"Good")</f>
        <v>Good</v>
      </c>
      <c r="U111" t="str">
        <f ca="1">IFERROR(__xludf.DUMMYFUNCTION("""COMPUTED_VALUE"""),"Good")</f>
        <v>Good</v>
      </c>
      <c r="V111" t="str">
        <f ca="1">IFERROR(__xludf.DUMMYFUNCTION("""COMPUTED_VALUE"""),"Good")</f>
        <v>Good</v>
      </c>
      <c r="W111" t="str">
        <f ca="1">IFERROR(__xludf.DUMMYFUNCTION("""COMPUTED_VALUE"""),"Good")</f>
        <v>Good</v>
      </c>
      <c r="X111" t="str">
        <f ca="1">IFERROR(__xludf.DUMMYFUNCTION("""COMPUTED_VALUE"""),"Good")</f>
        <v>Good</v>
      </c>
      <c r="Y111" t="str">
        <f ca="1">IFERROR(__xludf.DUMMYFUNCTION("""COMPUTED_VALUE"""),"Good")</f>
        <v>Good</v>
      </c>
      <c r="Z111" t="str">
        <f ca="1">IFERROR(__xludf.DUMMYFUNCTION("""COMPUTED_VALUE"""),"Good")</f>
        <v>Good</v>
      </c>
      <c r="AA111" t="str">
        <f ca="1">IFERROR(__xludf.DUMMYFUNCTION("""COMPUTED_VALUE"""),"Good")</f>
        <v>Good</v>
      </c>
      <c r="AB111" t="str">
        <f ca="1">IFERROR(__xludf.DUMMYFUNCTION("""COMPUTED_VALUE"""),"Good")</f>
        <v>Good</v>
      </c>
      <c r="AC111" t="str">
        <f ca="1">IFERROR(__xludf.DUMMYFUNCTION("""COMPUTED_VALUE"""),"Good")</f>
        <v>Good</v>
      </c>
      <c r="AE111" s="11"/>
      <c r="AF111" t="str">
        <v>Shannon.Dunnigan@floridadep.gov</v>
      </c>
      <c r="AG111" s="17" t="s">
        <v>17</v>
      </c>
      <c r="AH111" s="23">
        <v>0.59166666666666667</v>
      </c>
      <c r="AI111" s="12" t="s">
        <v>272</v>
      </c>
      <c r="AJ111" s="19" t="s">
        <v>273</v>
      </c>
      <c r="AK111" s="20" t="str">
        <f>HYPERLINK("https://docs.google.com/document/d/1BaYGUmqVMqP7K6yogEN7JA9Puier9G8taRo2F6LjQ64/edit?usp=drivesdk","Silas Tanner - 7/27/2018 11:30 AM")</f>
        <v>Silas Tanner - 7/27/2018 11:30 AM</v>
      </c>
      <c r="AL111" s="12" t="s">
        <v>274</v>
      </c>
    </row>
    <row r="112" spans="1:38" ht="12.75">
      <c r="A112" s="10">
        <f ca="1">IFERROR(__xludf.DUMMYFUNCTION("""COMPUTED_VALUE"""),43307.3769906481)</f>
        <v>43307.376990648103</v>
      </c>
      <c r="B112" s="11" t="str">
        <f ca="1">IFERROR(__xludf.DUMMYFUNCTION("""COMPUTED_VALUE"""),"Pamela Marcum")</f>
        <v>Pamela Marcum</v>
      </c>
      <c r="C112" t="str">
        <f ca="1">IFERROR(__xludf.DUMMYFUNCTION("""COMPUTED_VALUE"""),"Pamela.Marcum@dep.state.fl.us")</f>
        <v>Pamela.Marcum@dep.state.fl.us</v>
      </c>
      <c r="D112" t="str">
        <f ca="1">IFERROR(__xludf.DUMMYFUNCTION("""COMPUTED_VALUE"""),"Research/Nikki")</f>
        <v>Research/Nikki</v>
      </c>
      <c r="E112" t="str">
        <f ca="1">IFERROR(__xludf.DUMMYFUNCTION("""COMPUTED_VALUE"""),"Aunt Kate's")</f>
        <v>Aunt Kate's</v>
      </c>
      <c r="F112" s="13">
        <f ca="1">IFERROR(__xludf.DUMMYFUNCTION("""COMPUTED_VALUE"""),0.39583333333212)</f>
        <v>0.39583333333212001</v>
      </c>
      <c r="G112" s="14">
        <f ca="1">IFERROR(__xludf.DUMMYFUNCTION("""COMPUTED_VALUE"""),43307)</f>
        <v>43307</v>
      </c>
      <c r="H112" t="str">
        <f ca="1">IFERROR(__xludf.DUMMYFUNCTION("""COMPUTED_VALUE"""),"Hat Island marsh site")</f>
        <v>Hat Island marsh site</v>
      </c>
      <c r="I112" s="15">
        <f ca="1">IFERROR(__xludf.DUMMYFUNCTION("""COMPUTED_VALUE"""),0.5)</f>
        <v>0.5</v>
      </c>
      <c r="J112" s="16">
        <f ca="1">IFERROR(__xludf.DUMMYFUNCTION("""COMPUTED_VALUE"""),43307.5208333333)</f>
        <v>43307.520833333299</v>
      </c>
      <c r="K112" t="str">
        <f ca="1">IFERROR(__xludf.DUMMYFUNCTION("""COMPUTED_VALUE"""),"20ft Sea Ark FL5351SJ UNF 2015")</f>
        <v>20ft Sea Ark FL5351SJ UNF 2015</v>
      </c>
      <c r="M112" t="str">
        <f ca="1">IFERROR(__xludf.DUMMYFUNCTION("""COMPUTED_VALUE"""),"Ford F150 2015 (White) - DEP21448")</f>
        <v>Ford F150 2015 (White) - DEP21448</v>
      </c>
      <c r="N112" t="str">
        <f ca="1">IFERROR(__xludf.DUMMYFUNCTION("""COMPUTED_VALUE"""),"Pam Marcum, (480) 332-5414")</f>
        <v>Pam Marcum, (480) 332-5414</v>
      </c>
      <c r="O112" t="str">
        <f ca="1">IFERROR(__xludf.DUMMYFUNCTION("""COMPUTED_VALUE"""),"Sam Shaw")</f>
        <v>Sam Shaw</v>
      </c>
      <c r="P112" t="str">
        <f ca="1">IFERROR(__xludf.DUMMYFUNCTION("""COMPUTED_VALUE"""),"Pamela Marcum")</f>
        <v>Pamela Marcum</v>
      </c>
      <c r="Q112" t="str">
        <f ca="1">IFERROR(__xludf.DUMMYFUNCTION("""COMPUTED_VALUE"""),"Good")</f>
        <v>Good</v>
      </c>
      <c r="R112" t="str">
        <f ca="1">IFERROR(__xludf.DUMMYFUNCTION("""COMPUTED_VALUE"""),"Good")</f>
        <v>Good</v>
      </c>
      <c r="S112" t="str">
        <f ca="1">IFERROR(__xludf.DUMMYFUNCTION("""COMPUTED_VALUE"""),"Good")</f>
        <v>Good</v>
      </c>
      <c r="T112" t="str">
        <f ca="1">IFERROR(__xludf.DUMMYFUNCTION("""COMPUTED_VALUE"""),"Good")</f>
        <v>Good</v>
      </c>
      <c r="U112" t="str">
        <f ca="1">IFERROR(__xludf.DUMMYFUNCTION("""COMPUTED_VALUE"""),"Good")</f>
        <v>Good</v>
      </c>
      <c r="V112" t="str">
        <f ca="1">IFERROR(__xludf.DUMMYFUNCTION("""COMPUTED_VALUE"""),"Good")</f>
        <v>Good</v>
      </c>
      <c r="W112" t="str">
        <f ca="1">IFERROR(__xludf.DUMMYFUNCTION("""COMPUTED_VALUE"""),"Good")</f>
        <v>Good</v>
      </c>
      <c r="X112" t="str">
        <f ca="1">IFERROR(__xludf.DUMMYFUNCTION("""COMPUTED_VALUE"""),"Good")</f>
        <v>Good</v>
      </c>
      <c r="Y112" t="str">
        <f ca="1">IFERROR(__xludf.DUMMYFUNCTION("""COMPUTED_VALUE"""),"Good")</f>
        <v>Good</v>
      </c>
      <c r="Z112" t="str">
        <f ca="1">IFERROR(__xludf.DUMMYFUNCTION("""COMPUTED_VALUE"""),"Good")</f>
        <v>Good</v>
      </c>
      <c r="AA112" t="str">
        <f ca="1">IFERROR(__xludf.DUMMYFUNCTION("""COMPUTED_VALUE"""),"Good")</f>
        <v>Good</v>
      </c>
      <c r="AB112" t="str">
        <f ca="1">IFERROR(__xludf.DUMMYFUNCTION("""COMPUTED_VALUE"""),"Good")</f>
        <v>Good</v>
      </c>
      <c r="AC112" t="str">
        <f ca="1">IFERROR(__xludf.DUMMYFUNCTION("""COMPUTED_VALUE"""),"Good")</f>
        <v>Good</v>
      </c>
      <c r="AE112" s="11"/>
      <c r="AF112" t="str">
        <v>Nikki.Dix@floridadep.gov</v>
      </c>
      <c r="AG112" s="17" t="s">
        <v>17</v>
      </c>
      <c r="AH112" s="23">
        <v>0.45</v>
      </c>
      <c r="AI112" s="12" t="s">
        <v>275</v>
      </c>
      <c r="AJ112" s="19" t="s">
        <v>276</v>
      </c>
      <c r="AK112" s="20" t="str">
        <f>HYPERLINK("https://docs.google.com/document/d/1tlC1SwEUPLpFXpij-oCM2rMilZlFExtd_0xZd7qUeZM/edit?usp=drivesdk","Pamela Marcum - 7/26/2018 9:30 AM")</f>
        <v>Pamela Marcum - 7/26/2018 9:30 AM</v>
      </c>
      <c r="AL112" s="12" t="s">
        <v>277</v>
      </c>
    </row>
    <row r="113" spans="1:38" ht="12.75">
      <c r="A113" s="10">
        <f ca="1">IFERROR(__xludf.DUMMYFUNCTION("""COMPUTED_VALUE"""),43307.4982485416)</f>
        <v>43307.498248541597</v>
      </c>
      <c r="B113" s="11" t="str">
        <f ca="1">IFERROR(__xludf.DUMMYFUNCTION("""COMPUTED_VALUE"""),"Pamela Marcum")</f>
        <v>Pamela Marcum</v>
      </c>
      <c r="C113" t="str">
        <f ca="1">IFERROR(__xludf.DUMMYFUNCTION("""COMPUTED_VALUE"""),"Pamela.Marcum@Dep.state.fl.us")</f>
        <v>Pamela.Marcum@Dep.state.fl.us</v>
      </c>
      <c r="D113" t="str">
        <f ca="1">IFERROR(__xludf.DUMMYFUNCTION("""COMPUTED_VALUE"""),"Research/Nikki")</f>
        <v>Research/Nikki</v>
      </c>
      <c r="E113" t="str">
        <f ca="1">IFERROR(__xludf.DUMMYFUNCTION("""COMPUTED_VALUE"""),"Shore Drive")</f>
        <v>Shore Drive</v>
      </c>
      <c r="F113" s="13">
        <f ca="1">IFERROR(__xludf.DUMMYFUNCTION("""COMPUTED_VALUE"""),0.541666666667879)</f>
        <v>0.54166666666787899</v>
      </c>
      <c r="G113" s="14">
        <f ca="1">IFERROR(__xludf.DUMMYFUNCTION("""COMPUTED_VALUE"""),43306)</f>
        <v>43306</v>
      </c>
      <c r="H113" t="str">
        <f ca="1">IFERROR(__xludf.DUMMYFUNCTION("""COMPUTED_VALUE"""),"Marsh Site 22/Jason's Creek")</f>
        <v>Marsh Site 22/Jason's Creek</v>
      </c>
      <c r="I113" s="15">
        <f ca="1">IFERROR(__xludf.DUMMYFUNCTION("""COMPUTED_VALUE"""),0.625)</f>
        <v>0.625</v>
      </c>
      <c r="J113" s="16">
        <f ca="1">IFERROR(__xludf.DUMMYFUNCTION("""COMPUTED_VALUE"""),43306.75)</f>
        <v>43306.75</v>
      </c>
      <c r="K113" t="str">
        <f ca="1">IFERROR(__xludf.DUMMYFUNCTION("""COMPUTED_VALUE"""),"20ft Sea Ark FL5351SJ UNF 2015")</f>
        <v>20ft Sea Ark FL5351SJ UNF 2015</v>
      </c>
      <c r="M113" t="str">
        <f ca="1">IFERROR(__xludf.DUMMYFUNCTION("""COMPUTED_VALUE"""),"Ford F150 2015 (White) - DEP21448")</f>
        <v>Ford F150 2015 (White) - DEP21448</v>
      </c>
      <c r="N113" t="str">
        <f ca="1">IFERROR(__xludf.DUMMYFUNCTION("""COMPUTED_VALUE"""),"Pam Marcum, (480) 332-5414, Ben Mowbray, (407) 962-8782")</f>
        <v>Pam Marcum, (480) 332-5414, Ben Mowbray, (407) 962-8782</v>
      </c>
      <c r="P113" t="str">
        <f ca="1">IFERROR(__xludf.DUMMYFUNCTION("""COMPUTED_VALUE"""),"Pamela Marcum")</f>
        <v>Pamela Marcum</v>
      </c>
      <c r="Q113" t="str">
        <f ca="1">IFERROR(__xludf.DUMMYFUNCTION("""COMPUTED_VALUE"""),"Good")</f>
        <v>Good</v>
      </c>
      <c r="R113" t="str">
        <f ca="1">IFERROR(__xludf.DUMMYFUNCTION("""COMPUTED_VALUE"""),"Good")</f>
        <v>Good</v>
      </c>
      <c r="S113" t="str">
        <f ca="1">IFERROR(__xludf.DUMMYFUNCTION("""COMPUTED_VALUE"""),"Good")</f>
        <v>Good</v>
      </c>
      <c r="T113" t="str">
        <f ca="1">IFERROR(__xludf.DUMMYFUNCTION("""COMPUTED_VALUE"""),"Good")</f>
        <v>Good</v>
      </c>
      <c r="U113" t="str">
        <f ca="1">IFERROR(__xludf.DUMMYFUNCTION("""COMPUTED_VALUE"""),"Good")</f>
        <v>Good</v>
      </c>
      <c r="V113" t="str">
        <f ca="1">IFERROR(__xludf.DUMMYFUNCTION("""COMPUTED_VALUE"""),"Good")</f>
        <v>Good</v>
      </c>
      <c r="W113" t="str">
        <f ca="1">IFERROR(__xludf.DUMMYFUNCTION("""COMPUTED_VALUE"""),"Good")</f>
        <v>Good</v>
      </c>
      <c r="X113" t="str">
        <f ca="1">IFERROR(__xludf.DUMMYFUNCTION("""COMPUTED_VALUE"""),"Good")</f>
        <v>Good</v>
      </c>
      <c r="Y113" t="str">
        <f ca="1">IFERROR(__xludf.DUMMYFUNCTION("""COMPUTED_VALUE"""),"Good")</f>
        <v>Good</v>
      </c>
      <c r="Z113" t="str">
        <f ca="1">IFERROR(__xludf.DUMMYFUNCTION("""COMPUTED_VALUE"""),"Good")</f>
        <v>Good</v>
      </c>
      <c r="AA113" t="str">
        <f ca="1">IFERROR(__xludf.DUMMYFUNCTION("""COMPUTED_VALUE"""),"Good")</f>
        <v>Good</v>
      </c>
      <c r="AB113" t="str">
        <f ca="1">IFERROR(__xludf.DUMMYFUNCTION("""COMPUTED_VALUE"""),"Good")</f>
        <v>Good</v>
      </c>
      <c r="AC113" t="str">
        <f ca="1">IFERROR(__xludf.DUMMYFUNCTION("""COMPUTED_VALUE"""),"Good")</f>
        <v>Good</v>
      </c>
      <c r="AE113" s="11"/>
      <c r="AF113" t="str">
        <v>Nikki.Dix@floridadep.gov</v>
      </c>
      <c r="AG113" s="17" t="s">
        <v>54</v>
      </c>
      <c r="AH113" s="12" t="s">
        <v>278</v>
      </c>
      <c r="AI113" s="12" t="s">
        <v>279</v>
      </c>
      <c r="AJ113" s="19" t="s">
        <v>280</v>
      </c>
      <c r="AK113" s="20" t="str">
        <f>HYPERLINK("https://docs.google.com/document/d/1cg_61x0Prb1H5bL7SShihaJ8nyb-k-Re1xSmZMw8yHQ/edit?usp=drivesdk","Pamela Marcum - 7/25/2018 1:00 PM")</f>
        <v>Pamela Marcum - 7/25/2018 1:00 PM</v>
      </c>
      <c r="AL113" s="12" t="s">
        <v>281</v>
      </c>
    </row>
    <row r="114" spans="1:38" ht="12.75">
      <c r="A114" s="10">
        <f ca="1">IFERROR(__xludf.DUMMYFUNCTION("""COMPUTED_VALUE"""),43312.3012094791)</f>
        <v>43312.301209479097</v>
      </c>
      <c r="B114" s="11" t="str">
        <f ca="1">IFERROR(__xludf.DUMMYFUNCTION("""COMPUTED_VALUE"""),"Pamela Marcum")</f>
        <v>Pamela Marcum</v>
      </c>
      <c r="C114" t="str">
        <f ca="1">IFERROR(__xludf.DUMMYFUNCTION("""COMPUTED_VALUE"""),"pamela.marcum@dep.state.fl.us")</f>
        <v>pamela.marcum@dep.state.fl.us</v>
      </c>
      <c r="D114" t="str">
        <f ca="1">IFERROR(__xludf.DUMMYFUNCTION("""COMPUTED_VALUE"""),"Research/Nikki")</f>
        <v>Research/Nikki</v>
      </c>
      <c r="E114" t="str">
        <f ca="1">IFERROR(__xludf.DUMMYFUNCTION("""COMPUTED_VALUE"""),"Shore Drive")</f>
        <v>Shore Drive</v>
      </c>
      <c r="F114" s="13">
        <f ca="1">IFERROR(__xludf.DUMMYFUNCTION("""COMPUTED_VALUE"""),0.30208333333212)</f>
        <v>0.30208333333212001</v>
      </c>
      <c r="G114" s="14">
        <f ca="1">IFERROR(__xludf.DUMMYFUNCTION("""COMPUTED_VALUE"""),43312)</f>
        <v>43312</v>
      </c>
      <c r="H114" t="str">
        <f ca="1">IFERROR(__xludf.DUMMYFUNCTION("""COMPUTED_VALUE"""),"Gabbys Creek")</f>
        <v>Gabbys Creek</v>
      </c>
      <c r="I114" s="15">
        <f ca="1">IFERROR(__xludf.DUMMYFUNCTION("""COMPUTED_VALUE"""),0.625)</f>
        <v>0.625</v>
      </c>
      <c r="J114" s="16">
        <f ca="1">IFERROR(__xludf.DUMMYFUNCTION("""COMPUTED_VALUE"""),43312.6666666666)</f>
        <v>43312.666666666599</v>
      </c>
      <c r="K114" t="str">
        <f ca="1">IFERROR(__xludf.DUMMYFUNCTION("""COMPUTED_VALUE"""),"20ft Sea Ark FL5351SJ UNF 2015")</f>
        <v>20ft Sea Ark FL5351SJ UNF 2015</v>
      </c>
      <c r="M114" t="str">
        <f ca="1">IFERROR(__xludf.DUMMYFUNCTION("""COMPUTED_VALUE"""),"Ford F250 2017 (Moby Dix) - DEP0021578")</f>
        <v>Ford F250 2017 (Moby Dix) - DEP0021578</v>
      </c>
      <c r="N114" t="str">
        <f ca="1">IFERROR(__xludf.DUMMYFUNCTION("""COMPUTED_VALUE"""),"Pam Marcum, (480) 332-5414, Ben Mowbray, (407) 962-8782")</f>
        <v>Pam Marcum, (480) 332-5414, Ben Mowbray, (407) 962-8782</v>
      </c>
      <c r="O114" t="str">
        <f ca="1">IFERROR(__xludf.DUMMYFUNCTION("""COMPUTED_VALUE"""),"Mark Hester, harris stephens, ches vervaeke")</f>
        <v>Mark Hester, harris stephens, ches vervaeke</v>
      </c>
      <c r="P114" t="str">
        <f ca="1">IFERROR(__xludf.DUMMYFUNCTION("""COMPUTED_VALUE"""),"Pamela Marcum")</f>
        <v>Pamela Marcum</v>
      </c>
      <c r="Q114" t="str">
        <f ca="1">IFERROR(__xludf.DUMMYFUNCTION("""COMPUTED_VALUE"""),"Good")</f>
        <v>Good</v>
      </c>
      <c r="R114" t="str">
        <f ca="1">IFERROR(__xludf.DUMMYFUNCTION("""COMPUTED_VALUE"""),"Good")</f>
        <v>Good</v>
      </c>
      <c r="S114" t="str">
        <f ca="1">IFERROR(__xludf.DUMMYFUNCTION("""COMPUTED_VALUE"""),"Good")</f>
        <v>Good</v>
      </c>
      <c r="T114" t="str">
        <f ca="1">IFERROR(__xludf.DUMMYFUNCTION("""COMPUTED_VALUE"""),"Good")</f>
        <v>Good</v>
      </c>
      <c r="U114" t="str">
        <f ca="1">IFERROR(__xludf.DUMMYFUNCTION("""COMPUTED_VALUE"""),"Good")</f>
        <v>Good</v>
      </c>
      <c r="V114" t="str">
        <f ca="1">IFERROR(__xludf.DUMMYFUNCTION("""COMPUTED_VALUE"""),"Good")</f>
        <v>Good</v>
      </c>
      <c r="W114" t="str">
        <f ca="1">IFERROR(__xludf.DUMMYFUNCTION("""COMPUTED_VALUE"""),"Good")</f>
        <v>Good</v>
      </c>
      <c r="X114" t="str">
        <f ca="1">IFERROR(__xludf.DUMMYFUNCTION("""COMPUTED_VALUE"""),"Good")</f>
        <v>Good</v>
      </c>
      <c r="Y114" t="str">
        <f ca="1">IFERROR(__xludf.DUMMYFUNCTION("""COMPUTED_VALUE"""),"Good")</f>
        <v>Good</v>
      </c>
      <c r="Z114" t="str">
        <f ca="1">IFERROR(__xludf.DUMMYFUNCTION("""COMPUTED_VALUE"""),"Good")</f>
        <v>Good</v>
      </c>
      <c r="AA114" t="str">
        <f ca="1">IFERROR(__xludf.DUMMYFUNCTION("""COMPUTED_VALUE"""),"Good")</f>
        <v>Good</v>
      </c>
      <c r="AB114" t="str">
        <f ca="1">IFERROR(__xludf.DUMMYFUNCTION("""COMPUTED_VALUE"""),"Good")</f>
        <v>Good</v>
      </c>
      <c r="AC114" t="str">
        <f ca="1">IFERROR(__xludf.DUMMYFUNCTION("""COMPUTED_VALUE"""),"Good")</f>
        <v>Good</v>
      </c>
      <c r="AE114" s="11"/>
      <c r="AF114" t="str">
        <v>Nikki.Dix@floridadep.gov</v>
      </c>
      <c r="AG114" s="17" t="s">
        <v>126</v>
      </c>
      <c r="AH114" s="23">
        <v>0.61458333333333337</v>
      </c>
      <c r="AI114" s="12" t="s">
        <v>282</v>
      </c>
      <c r="AJ114" s="19" t="s">
        <v>283</v>
      </c>
      <c r="AK114" s="20" t="str">
        <f>HYPERLINK("https://docs.google.com/document/d/1g6-SDWzTDxEaT_6esAFl7Ag0FmdmW2RSeVn4yz_-SWI/edit?usp=drivesdk","&lt;&lt;Your First and Last Name&gt;&gt; - 7/31/2018 7:15 AM")</f>
        <v>&lt;&lt;Your First and Last Name&gt;&gt; - 7/31/2018 7:15 AM</v>
      </c>
      <c r="AL114" s="12" t="s">
        <v>284</v>
      </c>
    </row>
    <row r="115" spans="1:38" ht="12.75">
      <c r="A115" s="10">
        <f ca="1">IFERROR(__xludf.DUMMYFUNCTION("""COMPUTED_VALUE"""),43312.5373955208)</f>
        <v>43312.537395520798</v>
      </c>
      <c r="B115" s="11" t="str">
        <f ca="1">IFERROR(__xludf.DUMMYFUNCTION("""COMPUTED_VALUE"""),"Kenneth Rainer")</f>
        <v>Kenneth Rainer</v>
      </c>
      <c r="C115" t="str">
        <f ca="1">IFERROR(__xludf.DUMMYFUNCTION("""COMPUTED_VALUE"""),"Kenneth.Rainer@floridadep.gov")</f>
        <v>Kenneth.Rainer@floridadep.gov</v>
      </c>
      <c r="D115" t="str">
        <f ca="1">IFERROR(__xludf.DUMMYFUNCTION("""COMPUTED_VALUE"""),"Education")</f>
        <v>Education</v>
      </c>
      <c r="E115" t="str">
        <f ca="1">IFERROR(__xludf.DUMMYFUNCTION("""COMPUTED_VALUE"""),"Usina Boat Ramp")</f>
        <v>Usina Boat Ramp</v>
      </c>
      <c r="F115" s="13">
        <f ca="1">IFERROR(__xludf.DUMMYFUNCTION("""COMPUTED_VALUE"""),0.33333333333212)</f>
        <v>0.33333333333212001</v>
      </c>
      <c r="G115" s="14">
        <f ca="1">IFERROR(__xludf.DUMMYFUNCTION("""COMPUTED_VALUE"""),43313)</f>
        <v>43313</v>
      </c>
      <c r="H115" t="str">
        <f ca="1">IFERROR(__xludf.DUMMYFUNCTION("""COMPUTED_VALUE"""),"Northern Component")</f>
        <v>Northern Component</v>
      </c>
      <c r="I115" s="15">
        <f ca="1">IFERROR(__xludf.DUMMYFUNCTION("""COMPUTED_VALUE"""),0.541666666667879)</f>
        <v>0.54166666666787899</v>
      </c>
      <c r="J115" s="16">
        <f ca="1">IFERROR(__xludf.DUMMYFUNCTION("""COMPUTED_VALUE"""),43313.6666666666)</f>
        <v>43313.666666666599</v>
      </c>
      <c r="K115" t="str">
        <f ca="1">IFERROR(__xludf.DUMMYFUNCTION("""COMPUTED_VALUE"""),"F 20ft Sea Ark (Easy 200) FL8534PY DEP21451, 23ft Skiff (Bertha) FL7972LJ DEP07613")</f>
        <v>F 20ft Sea Ark (Easy 200) FL8534PY DEP21451, 23ft Skiff (Bertha) FL7972LJ DEP07613</v>
      </c>
      <c r="M115" t="str">
        <f ca="1">IFERROR(__xludf.DUMMYFUNCTION("""COMPUTED_VALUE"""),"Ford F150 2015 (White) - DEP21448")</f>
        <v>Ford F150 2015 (White) - DEP21448</v>
      </c>
      <c r="N115" t="str">
        <f ca="1">IFERROR(__xludf.DUMMYFUNCTION("""COMPUTED_VALUE"""),"Kenneth Rainer, (936) 499-1853, Shannon Dunnigan, (803) 727-5734")</f>
        <v>Kenneth Rainer, (936) 499-1853, Shannon Dunnigan, (803) 727-5734</v>
      </c>
      <c r="O115" t="str">
        <f ca="1">IFERROR(__xludf.DUMMYFUNCTION("""COMPUTED_VALUE"""),"Gabriela Canas, (904) 891-9743, Emma Hanson, Josie Spearman, (386) 627-0816, Summer Camp Inters (5); TOTE Facilitators (3); NERR Employees (4)")</f>
        <v>Gabriela Canas, (904) 891-9743, Emma Hanson, Josie Spearman, (386) 627-0816, Summer Camp Inters (5); TOTE Facilitators (3); NERR Employees (4)</v>
      </c>
      <c r="P115" t="str">
        <f ca="1">IFERROR(__xludf.DUMMYFUNCTION("""COMPUTED_VALUE"""),"Kenneth Rainer; Shannon Dunnigan")</f>
        <v>Kenneth Rainer; Shannon Dunnigan</v>
      </c>
      <c r="Q115" t="str">
        <f ca="1">IFERROR(__xludf.DUMMYFUNCTION("""COMPUTED_VALUE"""),"Good")</f>
        <v>Good</v>
      </c>
      <c r="R115" t="str">
        <f ca="1">IFERROR(__xludf.DUMMYFUNCTION("""COMPUTED_VALUE"""),"Good")</f>
        <v>Good</v>
      </c>
      <c r="S115" t="str">
        <f ca="1">IFERROR(__xludf.DUMMYFUNCTION("""COMPUTED_VALUE"""),"Good")</f>
        <v>Good</v>
      </c>
      <c r="T115" t="str">
        <f ca="1">IFERROR(__xludf.DUMMYFUNCTION("""COMPUTED_VALUE"""),"Good")</f>
        <v>Good</v>
      </c>
      <c r="U115" t="str">
        <f ca="1">IFERROR(__xludf.DUMMYFUNCTION("""COMPUTED_VALUE"""),"Good")</f>
        <v>Good</v>
      </c>
      <c r="V115" t="str">
        <f ca="1">IFERROR(__xludf.DUMMYFUNCTION("""COMPUTED_VALUE"""),"Good")</f>
        <v>Good</v>
      </c>
      <c r="W115" t="str">
        <f ca="1">IFERROR(__xludf.DUMMYFUNCTION("""COMPUTED_VALUE"""),"Good")</f>
        <v>Good</v>
      </c>
      <c r="X115" t="str">
        <f ca="1">IFERROR(__xludf.DUMMYFUNCTION("""COMPUTED_VALUE"""),"Good")</f>
        <v>Good</v>
      </c>
      <c r="Y115" t="str">
        <f ca="1">IFERROR(__xludf.DUMMYFUNCTION("""COMPUTED_VALUE"""),"Good")</f>
        <v>Good</v>
      </c>
      <c r="Z115" t="str">
        <f ca="1">IFERROR(__xludf.DUMMYFUNCTION("""COMPUTED_VALUE"""),"Good")</f>
        <v>Good</v>
      </c>
      <c r="AA115" t="str">
        <f ca="1">IFERROR(__xludf.DUMMYFUNCTION("""COMPUTED_VALUE"""),"Good")</f>
        <v>Good</v>
      </c>
      <c r="AB115" t="str">
        <f ca="1">IFERROR(__xludf.DUMMYFUNCTION("""COMPUTED_VALUE"""),"Good")</f>
        <v>Good</v>
      </c>
      <c r="AC115" t="str">
        <f ca="1">IFERROR(__xludf.DUMMYFUNCTION("""COMPUTED_VALUE"""),"Good")</f>
        <v>Good</v>
      </c>
      <c r="AD115" t="str">
        <f ca="1">IFERROR(__xludf.DUMMYFUNCTION("""COMPUTED_VALUE"""),"Thunderstorms with locally heavy downpours. High 87F. Winds S at 10 to 15 mph. Chance of rain 90%. Rainfall possibly over one inch.")</f>
        <v>Thunderstorms with locally heavy downpours. High 87F. Winds S at 10 to 15 mph. Chance of rain 90%. Rainfall possibly over one inch.</v>
      </c>
      <c r="AE115" s="11" t="str">
        <f ca="1">IFERROR(__xludf.DUMMYFUNCTION("""COMPUTED_VALUE""")," 12:25 PM 4.03ft H")</f>
        <v xml:space="preserve"> 12:25 PM 4.03ft H</v>
      </c>
      <c r="AF115" t="str">
        <v>Kenneth.Rainer@floridadep.gov</v>
      </c>
      <c r="AG115" s="17" t="s">
        <v>17</v>
      </c>
      <c r="AH115" s="23">
        <v>0.50694444444444442</v>
      </c>
      <c r="AI115" s="12" t="s">
        <v>285</v>
      </c>
      <c r="AJ115" s="19" t="s">
        <v>286</v>
      </c>
      <c r="AK115" s="20" t="str">
        <f>HYPERLINK("https://docs.google.com/document/d/1DymsQ1HeGPgIcWUJTZNcP4_6Zo3y4_qnZSDka3MTvQk/edit?usp=drivesdk","Kenneth Rainer - 8/1/2018 8:00 AM")</f>
        <v>Kenneth Rainer - 8/1/2018 8:00 AM</v>
      </c>
      <c r="AL115" s="12" t="s">
        <v>287</v>
      </c>
    </row>
    <row r="116" spans="1:38" ht="12.75">
      <c r="A116" s="10">
        <f ca="1">IFERROR(__xludf.DUMMYFUNCTION("""COMPUTED_VALUE"""),43313.3998444213)</f>
        <v>43313.399844421299</v>
      </c>
      <c r="B116" s="11" t="str">
        <f ca="1">IFERROR(__xludf.DUMMYFUNCTION("""COMPUTED_VALUE"""),"Pamela Marcum")</f>
        <v>Pamela Marcum</v>
      </c>
      <c r="C116" t="str">
        <f ca="1">IFERROR(__xludf.DUMMYFUNCTION("""COMPUTED_VALUE"""),"Pamela.Marcum@dep.state.fl.us")</f>
        <v>Pamela.Marcum@dep.state.fl.us</v>
      </c>
      <c r="D116" t="str">
        <f ca="1">IFERROR(__xludf.DUMMYFUNCTION("""COMPUTED_VALUE"""),"Research/Nikki")</f>
        <v>Research/Nikki</v>
      </c>
      <c r="E116" t="str">
        <f ca="1">IFERROR(__xludf.DUMMYFUNCTION("""COMPUTED_VALUE"""),"Shore Drive")</f>
        <v>Shore Drive</v>
      </c>
      <c r="F116" s="13">
        <f ca="1">IFERROR(__xludf.DUMMYFUNCTION("""COMPUTED_VALUE"""),0.30208333333212)</f>
        <v>0.30208333333212001</v>
      </c>
      <c r="G116" s="14">
        <f ca="1">IFERROR(__xludf.DUMMYFUNCTION("""COMPUTED_VALUE"""),43312)</f>
        <v>43312</v>
      </c>
      <c r="H116" t="str">
        <f ca="1">IFERROR(__xludf.DUMMYFUNCTION("""COMPUTED_VALUE"""),"Gabby's Creek")</f>
        <v>Gabby's Creek</v>
      </c>
      <c r="I116" s="15">
        <f ca="1">IFERROR(__xludf.DUMMYFUNCTION("""COMPUTED_VALUE"""),0.625)</f>
        <v>0.625</v>
      </c>
      <c r="J116" s="16">
        <f ca="1">IFERROR(__xludf.DUMMYFUNCTION("""COMPUTED_VALUE"""),43312.6666666666)</f>
        <v>43312.666666666599</v>
      </c>
      <c r="K116" t="str">
        <f ca="1">IFERROR(__xludf.DUMMYFUNCTION("""COMPUTED_VALUE"""),"20ft Sea Ark FL5351SJ UNF 2015")</f>
        <v>20ft Sea Ark FL5351SJ UNF 2015</v>
      </c>
      <c r="M116" t="str">
        <f ca="1">IFERROR(__xludf.DUMMYFUNCTION("""COMPUTED_VALUE"""),"Ford F250 2017 (Moby Dix) - DEP0021578")</f>
        <v>Ford F250 2017 (Moby Dix) - DEP0021578</v>
      </c>
      <c r="N116" t="str">
        <f ca="1">IFERROR(__xludf.DUMMYFUNCTION("""COMPUTED_VALUE"""),"Pam Marcum, (480) 332-5414, Ben Mowbray, (407) 962-8782")</f>
        <v>Pam Marcum, (480) 332-5414, Ben Mowbray, (407) 962-8782</v>
      </c>
      <c r="O116" t="str">
        <f ca="1">IFERROR(__xludf.DUMMYFUNCTION("""COMPUTED_VALUE"""),"Remo Mondazzi, Chuck, Emily, Matt Hayes, Ches Vervaeke, Mark Hester, Harris Stevens")</f>
        <v>Remo Mondazzi, Chuck, Emily, Matt Hayes, Ches Vervaeke, Mark Hester, Harris Stevens</v>
      </c>
      <c r="P116" t="str">
        <f ca="1">IFERROR(__xludf.DUMMYFUNCTION("""COMPUTED_VALUE"""),"Pamela Marcum")</f>
        <v>Pamela Marcum</v>
      </c>
      <c r="Q116" t="str">
        <f ca="1">IFERROR(__xludf.DUMMYFUNCTION("""COMPUTED_VALUE"""),"Good")</f>
        <v>Good</v>
      </c>
      <c r="R116" t="str">
        <f ca="1">IFERROR(__xludf.DUMMYFUNCTION("""COMPUTED_VALUE"""),"Good")</f>
        <v>Good</v>
      </c>
      <c r="S116" t="str">
        <f ca="1">IFERROR(__xludf.DUMMYFUNCTION("""COMPUTED_VALUE"""),"Good")</f>
        <v>Good</v>
      </c>
      <c r="T116" t="str">
        <f ca="1">IFERROR(__xludf.DUMMYFUNCTION("""COMPUTED_VALUE"""),"Good")</f>
        <v>Good</v>
      </c>
      <c r="U116" t="str">
        <f ca="1">IFERROR(__xludf.DUMMYFUNCTION("""COMPUTED_VALUE"""),"Good")</f>
        <v>Good</v>
      </c>
      <c r="V116" t="str">
        <f ca="1">IFERROR(__xludf.DUMMYFUNCTION("""COMPUTED_VALUE"""),"Good")</f>
        <v>Good</v>
      </c>
      <c r="W116" t="str">
        <f ca="1">IFERROR(__xludf.DUMMYFUNCTION("""COMPUTED_VALUE"""),"Good")</f>
        <v>Good</v>
      </c>
      <c r="X116" t="str">
        <f ca="1">IFERROR(__xludf.DUMMYFUNCTION("""COMPUTED_VALUE"""),"Good")</f>
        <v>Good</v>
      </c>
      <c r="Y116" t="str">
        <f ca="1">IFERROR(__xludf.DUMMYFUNCTION("""COMPUTED_VALUE"""),"Good")</f>
        <v>Good</v>
      </c>
      <c r="Z116" t="str">
        <f ca="1">IFERROR(__xludf.DUMMYFUNCTION("""COMPUTED_VALUE"""),"Good")</f>
        <v>Good</v>
      </c>
      <c r="AA116" t="str">
        <f ca="1">IFERROR(__xludf.DUMMYFUNCTION("""COMPUTED_VALUE"""),"Good")</f>
        <v>Good</v>
      </c>
      <c r="AB116" t="str">
        <f ca="1">IFERROR(__xludf.DUMMYFUNCTION("""COMPUTED_VALUE"""),"Good")</f>
        <v>Good</v>
      </c>
      <c r="AC116" t="str">
        <f ca="1">IFERROR(__xludf.DUMMYFUNCTION("""COMPUTED_VALUE"""),"Good")</f>
        <v>Good</v>
      </c>
      <c r="AE116" s="11"/>
      <c r="AF116" t="str">
        <v>Nikki.Dix@floridadep.gov</v>
      </c>
      <c r="AG116" s="17" t="s">
        <v>58</v>
      </c>
      <c r="AH116" s="12">
        <v>1445</v>
      </c>
      <c r="AI116" s="12" t="s">
        <v>288</v>
      </c>
      <c r="AJ116" s="19" t="s">
        <v>289</v>
      </c>
      <c r="AK116" s="20" t="str">
        <f>HYPERLINK("https://docs.google.com/document/d/1M1nSKDRh8KbBXalT-n5-pUJ-LMgc4RpRlvCNRApVBRo/edit?usp=drivesdk","Pamela Marcum - 7/31/2018 7:15 AM")</f>
        <v>Pamela Marcum - 7/31/2018 7:15 AM</v>
      </c>
      <c r="AL116" s="12" t="s">
        <v>290</v>
      </c>
    </row>
    <row r="117" spans="1:38" ht="12.75">
      <c r="A117" s="10">
        <f ca="1">IFERROR(__xludf.DUMMYFUNCTION("""COMPUTED_VALUE"""),43314.2270933217)</f>
        <v>43314.227093321701</v>
      </c>
      <c r="B117" s="11" t="str">
        <f ca="1">IFERROR(__xludf.DUMMYFUNCTION("""COMPUTED_VALUE"""),"Ben Mowbray")</f>
        <v>Ben Mowbray</v>
      </c>
      <c r="C117" t="str">
        <f ca="1">IFERROR(__xludf.DUMMYFUNCTION("""COMPUTED_VALUE"""),"ben.mowbray@dep.state.fl.us")</f>
        <v>ben.mowbray@dep.state.fl.us</v>
      </c>
      <c r="D117" t="str">
        <f ca="1">IFERROR(__xludf.DUMMYFUNCTION("""COMPUTED_VALUE"""),"Research/Pam")</f>
        <v>Research/Pam</v>
      </c>
      <c r="E117" t="str">
        <f ca="1">IFERROR(__xludf.DUMMYFUNCTION("""COMPUTED_VALUE"""),"Aunt Kate's")</f>
        <v>Aunt Kate's</v>
      </c>
      <c r="F117" s="13">
        <f ca="1">IFERROR(__xludf.DUMMYFUNCTION("""COMPUTED_VALUE"""),0.23958333333212)</f>
        <v>0.23958333333212001</v>
      </c>
      <c r="G117" s="14">
        <f ca="1">IFERROR(__xludf.DUMMYFUNCTION("""COMPUTED_VALUE"""),43314)</f>
        <v>43314</v>
      </c>
      <c r="H117" t="str">
        <f ca="1">IFERROR(__xludf.DUMMYFUNCTION("""COMPUTED_VALUE"""),"GR TR reefs")</f>
        <v>GR TR reefs</v>
      </c>
      <c r="I117" s="15">
        <f ca="1">IFERROR(__xludf.DUMMYFUNCTION("""COMPUTED_VALUE"""),0.541666666667879)</f>
        <v>0.54166666666787899</v>
      </c>
      <c r="J117" s="16">
        <f ca="1">IFERROR(__xludf.DUMMYFUNCTION("""COMPUTED_VALUE"""),43314.0555555555)</f>
        <v>43314.055555555497</v>
      </c>
      <c r="K117" t="str">
        <f ca="1">IFERROR(__xludf.DUMMYFUNCTION("""COMPUTED_VALUE"""),"F 20ft Sea Ark (Easy 200) FL8534PY DEP21451")</f>
        <v>F 20ft Sea Ark (Easy 200) FL8534PY DEP21451</v>
      </c>
      <c r="M117" t="str">
        <f ca="1">IFERROR(__xludf.DUMMYFUNCTION("""COMPUTED_VALUE"""),"Ford F250 2017 (Moby Dix) - DEP0021578")</f>
        <v>Ford F250 2017 (Moby Dix) - DEP0021578</v>
      </c>
      <c r="N117" t="str">
        <f ca="1">IFERROR(__xludf.DUMMYFUNCTION("""COMPUTED_VALUE"""),"Ben Mowbray, (407) 962-8782")</f>
        <v>Ben Mowbray, (407) 962-8782</v>
      </c>
      <c r="O117" t="str">
        <f ca="1">IFERROR(__xludf.DUMMYFUNCTION("""COMPUTED_VALUE"""),"Nicole, Rodrigo, Adrienne, David")</f>
        <v>Nicole, Rodrigo, Adrienne, David</v>
      </c>
      <c r="P117" t="str">
        <f ca="1">IFERROR(__xludf.DUMMYFUNCTION("""COMPUTED_VALUE"""),"Ben")</f>
        <v>Ben</v>
      </c>
      <c r="Q117" t="str">
        <f ca="1">IFERROR(__xludf.DUMMYFUNCTION("""COMPUTED_VALUE"""),"Good")</f>
        <v>Good</v>
      </c>
      <c r="R117" t="str">
        <f ca="1">IFERROR(__xludf.DUMMYFUNCTION("""COMPUTED_VALUE"""),"Good")</f>
        <v>Good</v>
      </c>
      <c r="S117" t="str">
        <f ca="1">IFERROR(__xludf.DUMMYFUNCTION("""COMPUTED_VALUE"""),"Good")</f>
        <v>Good</v>
      </c>
      <c r="T117" t="str">
        <f ca="1">IFERROR(__xludf.DUMMYFUNCTION("""COMPUTED_VALUE"""),"Good")</f>
        <v>Good</v>
      </c>
      <c r="U117" t="str">
        <f ca="1">IFERROR(__xludf.DUMMYFUNCTION("""COMPUTED_VALUE"""),"Good")</f>
        <v>Good</v>
      </c>
      <c r="V117" t="str">
        <f ca="1">IFERROR(__xludf.DUMMYFUNCTION("""COMPUTED_VALUE"""),"Good")</f>
        <v>Good</v>
      </c>
      <c r="W117" t="str">
        <f ca="1">IFERROR(__xludf.DUMMYFUNCTION("""COMPUTED_VALUE"""),"Good")</f>
        <v>Good</v>
      </c>
      <c r="X117" t="str">
        <f ca="1">IFERROR(__xludf.DUMMYFUNCTION("""COMPUTED_VALUE"""),"Good")</f>
        <v>Good</v>
      </c>
      <c r="Y117" t="str">
        <f ca="1">IFERROR(__xludf.DUMMYFUNCTION("""COMPUTED_VALUE"""),"Good")</f>
        <v>Good</v>
      </c>
      <c r="Z117" t="str">
        <f ca="1">IFERROR(__xludf.DUMMYFUNCTION("""COMPUTED_VALUE"""),"Good")</f>
        <v>Good</v>
      </c>
      <c r="AA117" t="str">
        <f ca="1">IFERROR(__xludf.DUMMYFUNCTION("""COMPUTED_VALUE"""),"Good")</f>
        <v>Good</v>
      </c>
      <c r="AB117" t="str">
        <f ca="1">IFERROR(__xludf.DUMMYFUNCTION("""COMPUTED_VALUE"""),"Good")</f>
        <v>Good</v>
      </c>
      <c r="AC117" t="str">
        <f ca="1">IFERROR(__xludf.DUMMYFUNCTION("""COMPUTED_VALUE"""),"Good")</f>
        <v>Good</v>
      </c>
      <c r="AE117" s="11"/>
      <c r="AF117" t="str">
        <v>Pamela.Marcum@floridadep.gov</v>
      </c>
      <c r="AG117" s="17" t="s">
        <v>17</v>
      </c>
      <c r="AH117" s="23">
        <v>0.48958333333333331</v>
      </c>
      <c r="AI117" s="12" t="s">
        <v>291</v>
      </c>
      <c r="AJ117" s="19" t="s">
        <v>292</v>
      </c>
      <c r="AK117" s="20" t="str">
        <f>HYPERLINK("https://docs.google.com/document/d/18ANL2EAsbj-9X5mz0tRj4YzFgnSMdKPwDfVJotzLaHQ/edit?usp=drivesdk","Ben Mowbray - 8/2/2018 5:45 AM")</f>
        <v>Ben Mowbray - 8/2/2018 5:45 AM</v>
      </c>
      <c r="AL117" s="12" t="s">
        <v>293</v>
      </c>
    </row>
    <row r="118" spans="1:38" ht="12.75">
      <c r="A118" s="10">
        <f ca="1">IFERROR(__xludf.DUMMYFUNCTION("""COMPUTED_VALUE"""),43314.3575548958)</f>
        <v>43314.357554895803</v>
      </c>
      <c r="B118" s="11" t="str">
        <f ca="1">IFERROR(__xludf.DUMMYFUNCTION("""COMPUTED_VALUE"""),"Pamela Marcum")</f>
        <v>Pamela Marcum</v>
      </c>
      <c r="C118" t="str">
        <f ca="1">IFERROR(__xludf.DUMMYFUNCTION("""COMPUTED_VALUE"""),"Pamela.Marcum@dep.state.fl.us")</f>
        <v>Pamela.Marcum@dep.state.fl.us</v>
      </c>
      <c r="D118" t="str">
        <f ca="1">IFERROR(__xludf.DUMMYFUNCTION("""COMPUTED_VALUE"""),"Research/Nikki")</f>
        <v>Research/Nikki</v>
      </c>
      <c r="E118" t="str">
        <f ca="1">IFERROR(__xludf.DUMMYFUNCTION("""COMPUTED_VALUE"""),"Shore Drive")</f>
        <v>Shore Drive</v>
      </c>
      <c r="F118" s="13">
        <f ca="1">IFERROR(__xludf.DUMMYFUNCTION("""COMPUTED_VALUE"""),0.39583333333212)</f>
        <v>0.39583333333212001</v>
      </c>
      <c r="G118" s="14">
        <f ca="1">IFERROR(__xludf.DUMMYFUNCTION("""COMPUTED_VALUE"""),43314)</f>
        <v>43314</v>
      </c>
      <c r="H118" t="str">
        <f ca="1">IFERROR(__xludf.DUMMYFUNCTION("""COMPUTED_VALUE"""),"Gabby's Creek")</f>
        <v>Gabby's Creek</v>
      </c>
      <c r="I118" s="15">
        <f ca="1">IFERROR(__xludf.DUMMYFUNCTION("""COMPUTED_VALUE"""),0.625)</f>
        <v>0.625</v>
      </c>
      <c r="J118" s="16">
        <f ca="1">IFERROR(__xludf.DUMMYFUNCTION("""COMPUTED_VALUE"""),43314.6666666666)</f>
        <v>43314.666666666599</v>
      </c>
      <c r="K118" t="str">
        <f ca="1">IFERROR(__xludf.DUMMYFUNCTION("""COMPUTED_VALUE"""),"23ft Skiff (Bertha) FL7972LJ DEP07613")</f>
        <v>23ft Skiff (Bertha) FL7972LJ DEP07613</v>
      </c>
      <c r="M118" t="str">
        <f ca="1">IFERROR(__xludf.DUMMYFUNCTION("""COMPUTED_VALUE"""),"Ford F150 2015 (White) - DEP21448")</f>
        <v>Ford F150 2015 (White) - DEP21448</v>
      </c>
      <c r="N118" t="str">
        <f ca="1">IFERROR(__xludf.DUMMYFUNCTION("""COMPUTED_VALUE"""),"Pam Marcum, (480) 332-5414")</f>
        <v>Pam Marcum, (480) 332-5414</v>
      </c>
      <c r="O118" t="str">
        <f ca="1">IFERROR(__xludf.DUMMYFUNCTION("""COMPUTED_VALUE"""),"Gabby Canas, Matt Hayes, Emily, Chuck")</f>
        <v>Gabby Canas, Matt Hayes, Emily, Chuck</v>
      </c>
      <c r="P118" t="str">
        <f ca="1">IFERROR(__xludf.DUMMYFUNCTION("""COMPUTED_VALUE"""),"Pamela Marcum")</f>
        <v>Pamela Marcum</v>
      </c>
      <c r="Q118" t="str">
        <f ca="1">IFERROR(__xludf.DUMMYFUNCTION("""COMPUTED_VALUE"""),"Good")</f>
        <v>Good</v>
      </c>
      <c r="R118" t="str">
        <f ca="1">IFERROR(__xludf.DUMMYFUNCTION("""COMPUTED_VALUE"""),"Good")</f>
        <v>Good</v>
      </c>
      <c r="S118" t="str">
        <f ca="1">IFERROR(__xludf.DUMMYFUNCTION("""COMPUTED_VALUE"""),"Good")</f>
        <v>Good</v>
      </c>
      <c r="T118" t="str">
        <f ca="1">IFERROR(__xludf.DUMMYFUNCTION("""COMPUTED_VALUE"""),"Good")</f>
        <v>Good</v>
      </c>
      <c r="U118" t="str">
        <f ca="1">IFERROR(__xludf.DUMMYFUNCTION("""COMPUTED_VALUE"""),"Good")</f>
        <v>Good</v>
      </c>
      <c r="V118" t="str">
        <f ca="1">IFERROR(__xludf.DUMMYFUNCTION("""COMPUTED_VALUE"""),"Good")</f>
        <v>Good</v>
      </c>
      <c r="W118" t="str">
        <f ca="1">IFERROR(__xludf.DUMMYFUNCTION("""COMPUTED_VALUE"""),"Good")</f>
        <v>Good</v>
      </c>
      <c r="X118" t="str">
        <f ca="1">IFERROR(__xludf.DUMMYFUNCTION("""COMPUTED_VALUE"""),"Good")</f>
        <v>Good</v>
      </c>
      <c r="Y118" t="str">
        <f ca="1">IFERROR(__xludf.DUMMYFUNCTION("""COMPUTED_VALUE"""),"Good")</f>
        <v>Good</v>
      </c>
      <c r="Z118" t="str">
        <f ca="1">IFERROR(__xludf.DUMMYFUNCTION("""COMPUTED_VALUE"""),"Good")</f>
        <v>Good</v>
      </c>
      <c r="AA118" t="str">
        <f ca="1">IFERROR(__xludf.DUMMYFUNCTION("""COMPUTED_VALUE"""),"Good")</f>
        <v>Good</v>
      </c>
      <c r="AB118" t="str">
        <f ca="1">IFERROR(__xludf.DUMMYFUNCTION("""COMPUTED_VALUE"""),"Good")</f>
        <v>Good</v>
      </c>
      <c r="AC118" t="str">
        <f ca="1">IFERROR(__xludf.DUMMYFUNCTION("""COMPUTED_VALUE"""),"Good")</f>
        <v>Good</v>
      </c>
      <c r="AE118" s="11"/>
      <c r="AF118" t="str">
        <v>Nikki.Dix@floridadep.gov</v>
      </c>
      <c r="AG118" s="17" t="s">
        <v>17</v>
      </c>
      <c r="AH118" s="23">
        <v>0.56180555555555556</v>
      </c>
      <c r="AI118" s="12" t="s">
        <v>294</v>
      </c>
      <c r="AJ118" s="19" t="s">
        <v>295</v>
      </c>
      <c r="AK118" s="20" t="str">
        <f>HYPERLINK("https://docs.google.com/document/d/1_xpbSdAQxiV952g8DEviihzsJ9JvdoIja7XikkzE2jM/edit?usp=drivesdk","Pamela Marcum - 8/2/2018 9:30 AM")</f>
        <v>Pamela Marcum - 8/2/2018 9:30 AM</v>
      </c>
      <c r="AL118" s="12" t="s">
        <v>296</v>
      </c>
    </row>
    <row r="119" spans="1:38" ht="12.75">
      <c r="A119" s="10">
        <f ca="1">IFERROR(__xludf.DUMMYFUNCTION("""COMPUTED_VALUE"""),43314.6034672338)</f>
        <v>43314.603467233799</v>
      </c>
      <c r="B119" s="11" t="str">
        <f ca="1">IFERROR(__xludf.DUMMYFUNCTION("""COMPUTED_VALUE"""),"Ben Mowbray")</f>
        <v>Ben Mowbray</v>
      </c>
      <c r="C119" t="str">
        <f ca="1">IFERROR(__xludf.DUMMYFUNCTION("""COMPUTED_VALUE"""),"Ben.mowbray@dep.state.fl.us")</f>
        <v>Ben.mowbray@dep.state.fl.us</v>
      </c>
      <c r="D119" t="str">
        <f ca="1">IFERROR(__xludf.DUMMYFUNCTION("""COMPUTED_VALUE"""),"Research/Pam")</f>
        <v>Research/Pam</v>
      </c>
      <c r="E119" t="str">
        <f ca="1">IFERROR(__xludf.DUMMYFUNCTION("""COMPUTED_VALUE"""),"Aunt Kate's")</f>
        <v>Aunt Kate's</v>
      </c>
      <c r="F119" s="13">
        <f ca="1">IFERROR(__xludf.DUMMYFUNCTION("""COMPUTED_VALUE"""),0.28125)</f>
        <v>0.28125</v>
      </c>
      <c r="G119" s="14">
        <f ca="1">IFERROR(__xludf.DUMMYFUNCTION("""COMPUTED_VALUE"""),43315)</f>
        <v>43315</v>
      </c>
      <c r="H119" t="str">
        <f ca="1">IFERROR(__xludf.DUMMYFUNCTION("""COMPUTED_VALUE"""),"TR reefs")</f>
        <v>TR reefs</v>
      </c>
      <c r="I119" s="15">
        <f ca="1">IFERROR(__xludf.DUMMYFUNCTION("""COMPUTED_VALUE"""),0.5)</f>
        <v>0.5</v>
      </c>
      <c r="J119" s="16">
        <f ca="1">IFERROR(__xludf.DUMMYFUNCTION("""COMPUTED_VALUE"""),43315.5138888888)</f>
        <v>43315.513888888803</v>
      </c>
      <c r="K119" t="str">
        <f ca="1">IFERROR(__xludf.DUMMYFUNCTION("""COMPUTED_VALUE"""),"20ft Sea Ark FL5351SJ UNF 2015")</f>
        <v>20ft Sea Ark FL5351SJ UNF 2015</v>
      </c>
      <c r="M119" t="str">
        <f ca="1">IFERROR(__xludf.DUMMYFUNCTION("""COMPUTED_VALUE"""),"Ford F250 2017 (Moby Dix) - DEP0021578")</f>
        <v>Ford F250 2017 (Moby Dix) - DEP0021578</v>
      </c>
      <c r="N119" t="str">
        <f ca="1">IFERROR(__xludf.DUMMYFUNCTION("""COMPUTED_VALUE"""),"Ben Mowbray, (407) 962-8782")</f>
        <v>Ben Mowbray, (407) 962-8782</v>
      </c>
      <c r="O119" t="str">
        <f ca="1">IFERROR(__xludf.DUMMYFUNCTION("""COMPUTED_VALUE"""),"Nicole, Rodrigo, Adrienne")</f>
        <v>Nicole, Rodrigo, Adrienne</v>
      </c>
      <c r="P119" t="str">
        <f ca="1">IFERROR(__xludf.DUMMYFUNCTION("""COMPUTED_VALUE"""),"Ben")</f>
        <v>Ben</v>
      </c>
      <c r="Q119" t="str">
        <f ca="1">IFERROR(__xludf.DUMMYFUNCTION("""COMPUTED_VALUE"""),"Good")</f>
        <v>Good</v>
      </c>
      <c r="R119" t="str">
        <f ca="1">IFERROR(__xludf.DUMMYFUNCTION("""COMPUTED_VALUE"""),"Good")</f>
        <v>Good</v>
      </c>
      <c r="S119" t="str">
        <f ca="1">IFERROR(__xludf.DUMMYFUNCTION("""COMPUTED_VALUE"""),"Good")</f>
        <v>Good</v>
      </c>
      <c r="T119" t="str">
        <f ca="1">IFERROR(__xludf.DUMMYFUNCTION("""COMPUTED_VALUE"""),"Good")</f>
        <v>Good</v>
      </c>
      <c r="U119" t="str">
        <f ca="1">IFERROR(__xludf.DUMMYFUNCTION("""COMPUTED_VALUE"""),"Good")</f>
        <v>Good</v>
      </c>
      <c r="V119" t="str">
        <f ca="1">IFERROR(__xludf.DUMMYFUNCTION("""COMPUTED_VALUE"""),"Good")</f>
        <v>Good</v>
      </c>
      <c r="W119" t="str">
        <f ca="1">IFERROR(__xludf.DUMMYFUNCTION("""COMPUTED_VALUE"""),"Good")</f>
        <v>Good</v>
      </c>
      <c r="X119" t="str">
        <f ca="1">IFERROR(__xludf.DUMMYFUNCTION("""COMPUTED_VALUE"""),"Good")</f>
        <v>Good</v>
      </c>
      <c r="Y119" t="str">
        <f ca="1">IFERROR(__xludf.DUMMYFUNCTION("""COMPUTED_VALUE"""),"Good")</f>
        <v>Good</v>
      </c>
      <c r="Z119" t="str">
        <f ca="1">IFERROR(__xludf.DUMMYFUNCTION("""COMPUTED_VALUE"""),"Good")</f>
        <v>Good</v>
      </c>
      <c r="AA119" t="str">
        <f ca="1">IFERROR(__xludf.DUMMYFUNCTION("""COMPUTED_VALUE"""),"Good")</f>
        <v>Good</v>
      </c>
      <c r="AB119" t="str">
        <f ca="1">IFERROR(__xludf.DUMMYFUNCTION("""COMPUTED_VALUE"""),"Good")</f>
        <v>Good</v>
      </c>
      <c r="AC119" t="str">
        <f ca="1">IFERROR(__xludf.DUMMYFUNCTION("""COMPUTED_VALUE"""),"Good")</f>
        <v>Good</v>
      </c>
      <c r="AE119" s="11"/>
      <c r="AF119" t="str">
        <v>Pamela.Marcum@floridadep.gov</v>
      </c>
      <c r="AG119" s="17" t="s">
        <v>17</v>
      </c>
      <c r="AH119" s="12">
        <v>1123</v>
      </c>
      <c r="AI119" s="12" t="s">
        <v>297</v>
      </c>
      <c r="AJ119" s="19" t="s">
        <v>298</v>
      </c>
      <c r="AK119" s="20" t="str">
        <f>HYPERLINK("https://docs.google.com/document/d/1CEf7cA2GIPp1xy65JDmnWfxQvW39taVTsOsaX1Ue6ho/edit?usp=drivesdk","Ben Mowbray - 8/3/2018 6:45 AM")</f>
        <v>Ben Mowbray - 8/3/2018 6:45 AM</v>
      </c>
      <c r="AL119" s="12" t="s">
        <v>299</v>
      </c>
    </row>
    <row r="120" spans="1:38" ht="12.75">
      <c r="A120" s="10">
        <f ca="1">IFERROR(__xludf.DUMMYFUNCTION("""COMPUTED_VALUE"""),43315.280441574)</f>
        <v>43315.280441574003</v>
      </c>
      <c r="B120" s="11" t="str">
        <f ca="1">IFERROR(__xludf.DUMMYFUNCTION("""COMPUTED_VALUE"""),"Pamela Marcum")</f>
        <v>Pamela Marcum</v>
      </c>
      <c r="C120" t="str">
        <f ca="1">IFERROR(__xludf.DUMMYFUNCTION("""COMPUTED_VALUE"""),"Pamela.Marcum@dep.state.fl.us")</f>
        <v>Pamela.Marcum@dep.state.fl.us</v>
      </c>
      <c r="D120" t="str">
        <f ca="1">IFERROR(__xludf.DUMMYFUNCTION("""COMPUTED_VALUE"""),"Research/Nikki")</f>
        <v>Research/Nikki</v>
      </c>
      <c r="E120" t="str">
        <f ca="1">IFERROR(__xludf.DUMMYFUNCTION("""COMPUTED_VALUE"""),"Aunt Kates")</f>
        <v>Aunt Kates</v>
      </c>
      <c r="F120" s="13">
        <f ca="1">IFERROR(__xludf.DUMMYFUNCTION("""COMPUTED_VALUE"""),0.3125)</f>
        <v>0.3125</v>
      </c>
      <c r="G120" s="14">
        <f ca="1">IFERROR(__xludf.DUMMYFUNCTION("""COMPUTED_VALUE"""),43315)</f>
        <v>43315</v>
      </c>
      <c r="H120" t="str">
        <f ca="1">IFERROR(__xludf.DUMMYFUNCTION("""COMPUTED_VALUE"""),"Spat Run")</f>
        <v>Spat Run</v>
      </c>
      <c r="I120" s="15">
        <f ca="1">IFERROR(__xludf.DUMMYFUNCTION("""COMPUTED_VALUE"""),0.5)</f>
        <v>0.5</v>
      </c>
      <c r="J120" s="16">
        <f ca="1">IFERROR(__xludf.DUMMYFUNCTION("""COMPUTED_VALUE"""),43315.5208333333)</f>
        <v>43315.520833333299</v>
      </c>
      <c r="K120" t="str">
        <f ca="1">IFERROR(__xludf.DUMMYFUNCTION("""COMPUTED_VALUE"""),"23ft Skiff (Bertha) FL7972LJ DEP07613")</f>
        <v>23ft Skiff (Bertha) FL7972LJ DEP07613</v>
      </c>
      <c r="M120" t="str">
        <f ca="1">IFERROR(__xludf.DUMMYFUNCTION("""COMPUTED_VALUE"""),"Ford F150 2015 (White) - DEP21448")</f>
        <v>Ford F150 2015 (White) - DEP21448</v>
      </c>
      <c r="N120" t="str">
        <f ca="1">IFERROR(__xludf.DUMMYFUNCTION("""COMPUTED_VALUE"""),"Pam Marcum, (480) 332-5414")</f>
        <v>Pam Marcum, (480) 332-5414</v>
      </c>
      <c r="O120" t="str">
        <f ca="1">IFERROR(__xludf.DUMMYFUNCTION("""COMPUTED_VALUE"""),"Kendall Doody, Chris Kurtz")</f>
        <v>Kendall Doody, Chris Kurtz</v>
      </c>
      <c r="P120" t="str">
        <f ca="1">IFERROR(__xludf.DUMMYFUNCTION("""COMPUTED_VALUE"""),"Pamela Marcum")</f>
        <v>Pamela Marcum</v>
      </c>
      <c r="Q120" t="str">
        <f ca="1">IFERROR(__xludf.DUMMYFUNCTION("""COMPUTED_VALUE"""),"Good")</f>
        <v>Good</v>
      </c>
      <c r="R120" t="str">
        <f ca="1">IFERROR(__xludf.DUMMYFUNCTION("""COMPUTED_VALUE"""),"Good")</f>
        <v>Good</v>
      </c>
      <c r="S120" t="str">
        <f ca="1">IFERROR(__xludf.DUMMYFUNCTION("""COMPUTED_VALUE"""),"Good")</f>
        <v>Good</v>
      </c>
      <c r="T120" t="str">
        <f ca="1">IFERROR(__xludf.DUMMYFUNCTION("""COMPUTED_VALUE"""),"Good")</f>
        <v>Good</v>
      </c>
      <c r="U120" t="str">
        <f ca="1">IFERROR(__xludf.DUMMYFUNCTION("""COMPUTED_VALUE"""),"Good")</f>
        <v>Good</v>
      </c>
      <c r="V120" t="str">
        <f ca="1">IFERROR(__xludf.DUMMYFUNCTION("""COMPUTED_VALUE"""),"Good")</f>
        <v>Good</v>
      </c>
      <c r="W120" t="str">
        <f ca="1">IFERROR(__xludf.DUMMYFUNCTION("""COMPUTED_VALUE"""),"Good")</f>
        <v>Good</v>
      </c>
      <c r="X120" t="str">
        <f ca="1">IFERROR(__xludf.DUMMYFUNCTION("""COMPUTED_VALUE"""),"Good")</f>
        <v>Good</v>
      </c>
      <c r="Y120" t="str">
        <f ca="1">IFERROR(__xludf.DUMMYFUNCTION("""COMPUTED_VALUE"""),"Good")</f>
        <v>Good</v>
      </c>
      <c r="Z120" t="str">
        <f ca="1">IFERROR(__xludf.DUMMYFUNCTION("""COMPUTED_VALUE"""),"Good")</f>
        <v>Good</v>
      </c>
      <c r="AA120" t="str">
        <f ca="1">IFERROR(__xludf.DUMMYFUNCTION("""COMPUTED_VALUE"""),"Good")</f>
        <v>Good</v>
      </c>
      <c r="AB120" t="str">
        <f ca="1">IFERROR(__xludf.DUMMYFUNCTION("""COMPUTED_VALUE"""),"Good")</f>
        <v>Good</v>
      </c>
      <c r="AC120" t="str">
        <f ca="1">IFERROR(__xludf.DUMMYFUNCTION("""COMPUTED_VALUE"""),"Good")</f>
        <v>Good</v>
      </c>
      <c r="AE120" s="11"/>
      <c r="AF120" t="str">
        <v>Nikki.Dix@floridadep.gov</v>
      </c>
      <c r="AG120" s="17" t="s">
        <v>17</v>
      </c>
      <c r="AH120" s="12">
        <v>1055</v>
      </c>
      <c r="AI120" s="12" t="s">
        <v>300</v>
      </c>
      <c r="AJ120" s="19" t="s">
        <v>301</v>
      </c>
      <c r="AK120" s="20" t="str">
        <f>HYPERLINK("https://docs.google.com/document/d/1_f4X9tN9ILtz5QvdB_rIlrFD1AFhQW601asBRe7AfEg/edit?usp=drivesdk","Pamela Marcum - 8/3/2018 7:30 AM")</f>
        <v>Pamela Marcum - 8/3/2018 7:30 AM</v>
      </c>
      <c r="AL120" s="12" t="s">
        <v>302</v>
      </c>
    </row>
    <row r="121" spans="1:38" ht="12.75">
      <c r="A121" s="10">
        <f ca="1">IFERROR(__xludf.DUMMYFUNCTION("""COMPUTED_VALUE"""),43319.2433835532)</f>
        <v>43319.243383553199</v>
      </c>
      <c r="B121" s="11" t="str">
        <f ca="1">IFERROR(__xludf.DUMMYFUNCTION("""COMPUTED_VALUE"""),"Silas Tanner")</f>
        <v>Silas Tanner</v>
      </c>
      <c r="C121" t="str">
        <f ca="1">IFERROR(__xludf.DUMMYFUNCTION("""COMPUTED_VALUE"""),"Silas.Tanner@floridadep.gov")</f>
        <v>Silas.Tanner@floridadep.gov</v>
      </c>
      <c r="D121" t="str">
        <f ca="1">IFERROR(__xludf.DUMMYFUNCTION("""COMPUTED_VALUE"""),"Research/Nikki")</f>
        <v>Research/Nikki</v>
      </c>
      <c r="E121" t="str">
        <f ca="1">IFERROR(__xludf.DUMMYFUNCTION("""COMPUTED_VALUE"""),"Vilano county ramp")</f>
        <v>Vilano county ramp</v>
      </c>
      <c r="F121" s="13">
        <f ca="1">IFERROR(__xludf.DUMMYFUNCTION("""COMPUTED_VALUE"""),0.27083333333212)</f>
        <v>0.27083333333212001</v>
      </c>
      <c r="G121" s="14">
        <f ca="1">IFERROR(__xludf.DUMMYFUNCTION("""COMPUTED_VALUE"""),43319)</f>
        <v>43319</v>
      </c>
      <c r="H121" t="str">
        <f ca="1">IFERROR(__xludf.DUMMYFUNCTION("""COMPUTED_VALUE"""),"ICW SWMP sites")</f>
        <v>ICW SWMP sites</v>
      </c>
      <c r="I121" s="15">
        <f ca="1">IFERROR(__xludf.DUMMYFUNCTION("""COMPUTED_VALUE"""),0.52083333333212)</f>
        <v>0.52083333333212001</v>
      </c>
      <c r="J121" s="16">
        <f ca="1">IFERROR(__xludf.DUMMYFUNCTION("""COMPUTED_VALUE"""),43319.0416666666)</f>
        <v>43319.041666666599</v>
      </c>
      <c r="K121" t="str">
        <f ca="1">IFERROR(__xludf.DUMMYFUNCTION("""COMPUTED_VALUE"""),"23ft Skiff (Bertha) FL7972LJ DEP07613")</f>
        <v>23ft Skiff (Bertha) FL7972LJ DEP07613</v>
      </c>
      <c r="M121" t="str">
        <f ca="1">IFERROR(__xludf.DUMMYFUNCTION("""COMPUTED_VALUE"""),"Ford F250 2017 (Moby Dix) - DEP0021578")</f>
        <v>Ford F250 2017 (Moby Dix) - DEP0021578</v>
      </c>
      <c r="N121" t="str">
        <f ca="1">IFERROR(__xludf.DUMMYFUNCTION("""COMPUTED_VALUE"""),"Silas Tanner, (904) 483-8423, Jimmy Tomazinis, (904) 547-0094")</f>
        <v>Silas Tanner, (904) 483-8423, Jimmy Tomazinis, (904) 547-0094</v>
      </c>
      <c r="O121" t="str">
        <f ca="1">IFERROR(__xludf.DUMMYFUNCTION("""COMPUTED_VALUE"""),"Emma Hanson, Jessica Lee")</f>
        <v>Emma Hanson, Jessica Lee</v>
      </c>
      <c r="P121" t="str">
        <f ca="1">IFERROR(__xludf.DUMMYFUNCTION("""COMPUTED_VALUE"""),"Tomazinis")</f>
        <v>Tomazinis</v>
      </c>
      <c r="Q121" t="str">
        <f ca="1">IFERROR(__xludf.DUMMYFUNCTION("""COMPUTED_VALUE"""),"Good")</f>
        <v>Good</v>
      </c>
      <c r="R121" t="str">
        <f ca="1">IFERROR(__xludf.DUMMYFUNCTION("""COMPUTED_VALUE"""),"Good")</f>
        <v>Good</v>
      </c>
      <c r="S121" t="str">
        <f ca="1">IFERROR(__xludf.DUMMYFUNCTION("""COMPUTED_VALUE"""),"Good")</f>
        <v>Good</v>
      </c>
      <c r="T121" t="str">
        <f ca="1">IFERROR(__xludf.DUMMYFUNCTION("""COMPUTED_VALUE"""),"Good")</f>
        <v>Good</v>
      </c>
      <c r="U121" t="str">
        <f ca="1">IFERROR(__xludf.DUMMYFUNCTION("""COMPUTED_VALUE"""),"Good")</f>
        <v>Good</v>
      </c>
      <c r="V121" t="str">
        <f ca="1">IFERROR(__xludf.DUMMYFUNCTION("""COMPUTED_VALUE"""),"Good")</f>
        <v>Good</v>
      </c>
      <c r="W121" t="str">
        <f ca="1">IFERROR(__xludf.DUMMYFUNCTION("""COMPUTED_VALUE"""),"Good")</f>
        <v>Good</v>
      </c>
      <c r="X121" t="str">
        <f ca="1">IFERROR(__xludf.DUMMYFUNCTION("""COMPUTED_VALUE"""),"Good")</f>
        <v>Good</v>
      </c>
      <c r="Y121" t="str">
        <f ca="1">IFERROR(__xludf.DUMMYFUNCTION("""COMPUTED_VALUE"""),"Good")</f>
        <v>Good</v>
      </c>
      <c r="Z121" t="str">
        <f ca="1">IFERROR(__xludf.DUMMYFUNCTION("""COMPUTED_VALUE"""),"Good")</f>
        <v>Good</v>
      </c>
      <c r="AA121" t="str">
        <f ca="1">IFERROR(__xludf.DUMMYFUNCTION("""COMPUTED_VALUE"""),"Good")</f>
        <v>Good</v>
      </c>
      <c r="AB121" t="str">
        <f ca="1">IFERROR(__xludf.DUMMYFUNCTION("""COMPUTED_VALUE"""),"Good")</f>
        <v>Good</v>
      </c>
      <c r="AC121" t="str">
        <f ca="1">IFERROR(__xludf.DUMMYFUNCTION("""COMPUTED_VALUE"""),"Good")</f>
        <v>Good</v>
      </c>
      <c r="AE121" s="11"/>
      <c r="AF121" t="str">
        <v>Nikki.Dix@floridadep.gov</v>
      </c>
      <c r="AG121" s="17" t="s">
        <v>17</v>
      </c>
      <c r="AH121" s="12">
        <v>1132</v>
      </c>
      <c r="AI121" s="12" t="s">
        <v>303</v>
      </c>
      <c r="AJ121" s="19" t="s">
        <v>304</v>
      </c>
      <c r="AK121" s="20" t="str">
        <f>HYPERLINK("https://docs.google.com/document/d/1gFmRMe2zpH3j4wfW__4Oo9qMajLX3jmZ0kcbMSYh65A/edit?usp=drivesdk","Silas Tanner - 8/7/2018 6:30 AM")</f>
        <v>Silas Tanner - 8/7/2018 6:30 AM</v>
      </c>
      <c r="AL121" s="12" t="s">
        <v>305</v>
      </c>
    </row>
    <row r="122" spans="1:38" ht="12.75">
      <c r="A122" s="10">
        <f ca="1">IFERROR(__xludf.DUMMYFUNCTION("""COMPUTED_VALUE"""),43319.7366134722)</f>
        <v>43319.736613472203</v>
      </c>
      <c r="B122" s="11" t="str">
        <f ca="1">IFERROR(__xludf.DUMMYFUNCTION("""COMPUTED_VALUE"""),"James Tomazinis")</f>
        <v>James Tomazinis</v>
      </c>
      <c r="C122" t="str">
        <f ca="1">IFERROR(__xludf.DUMMYFUNCTION("""COMPUTED_VALUE"""),"james.tomazinis@floridadep.gov")</f>
        <v>james.tomazinis@floridadep.gov</v>
      </c>
      <c r="D122" t="str">
        <f ca="1">IFERROR(__xludf.DUMMYFUNCTION("""COMPUTED_VALUE"""),"Stewardship (Aquatic)")</f>
        <v>Stewardship (Aquatic)</v>
      </c>
      <c r="E122" t="str">
        <f ca="1">IFERROR(__xludf.DUMMYFUNCTION("""COMPUTED_VALUE"""),"Guana Dam")</f>
        <v>Guana Dam</v>
      </c>
      <c r="F122" s="13">
        <f ca="1">IFERROR(__xludf.DUMMYFUNCTION("""COMPUTED_VALUE"""),0.30208333333212)</f>
        <v>0.30208333333212001</v>
      </c>
      <c r="G122" s="14">
        <f ca="1">IFERROR(__xludf.DUMMYFUNCTION("""COMPUTED_VALUE"""),43320)</f>
        <v>43320</v>
      </c>
      <c r="H122" t="str">
        <f ca="1">IFERROR(__xludf.DUMMYFUNCTION("""COMPUTED_VALUE"""),"Guana River WQ sites")</f>
        <v>Guana River WQ sites</v>
      </c>
      <c r="I122" s="15">
        <f ca="1">IFERROR(__xludf.DUMMYFUNCTION("""COMPUTED_VALUE"""),0.375)</f>
        <v>0.375</v>
      </c>
      <c r="J122" s="16"/>
      <c r="K122" t="str">
        <f ca="1">IFERROR(__xludf.DUMMYFUNCTION("""COMPUTED_VALUE"""),"Jon Boat FL0484NP DEP06819")</f>
        <v>Jon Boat FL0484NP DEP06819</v>
      </c>
      <c r="M122" t="str">
        <f ca="1">IFERROR(__xludf.DUMMYFUNCTION("""COMPUTED_VALUE"""),"Ford F150 2015 (White) - DEP21448")</f>
        <v>Ford F150 2015 (White) - DEP21448</v>
      </c>
      <c r="N122" t="str">
        <f ca="1">IFERROR(__xludf.DUMMYFUNCTION("""COMPUTED_VALUE"""),"Jimmy Tomazinis, (904) 547-0094")</f>
        <v>Jimmy Tomazinis, (904) 547-0094</v>
      </c>
      <c r="O122" t="str">
        <f ca="1">IFERROR(__xludf.DUMMYFUNCTION("""COMPUTED_VALUE"""),"Silas Tanner, (904) 483-8423, Scott Eastman, (904) 501-9267")</f>
        <v>Silas Tanner, (904) 483-8423, Scott Eastman, (904) 501-9267</v>
      </c>
      <c r="P122" t="str">
        <f ca="1">IFERROR(__xludf.DUMMYFUNCTION("""COMPUTED_VALUE"""),"Jimmy")</f>
        <v>Jimmy</v>
      </c>
      <c r="Q122" t="str">
        <f ca="1">IFERROR(__xludf.DUMMYFUNCTION("""COMPUTED_VALUE"""),"Good")</f>
        <v>Good</v>
      </c>
      <c r="R122" t="str">
        <f ca="1">IFERROR(__xludf.DUMMYFUNCTION("""COMPUTED_VALUE"""),"Good")</f>
        <v>Good</v>
      </c>
      <c r="S122" t="str">
        <f ca="1">IFERROR(__xludf.DUMMYFUNCTION("""COMPUTED_VALUE"""),"Good")</f>
        <v>Good</v>
      </c>
      <c r="T122" t="str">
        <f ca="1">IFERROR(__xludf.DUMMYFUNCTION("""COMPUTED_VALUE"""),"Good")</f>
        <v>Good</v>
      </c>
      <c r="U122" t="str">
        <f ca="1">IFERROR(__xludf.DUMMYFUNCTION("""COMPUTED_VALUE"""),"Good")</f>
        <v>Good</v>
      </c>
      <c r="V122" t="str">
        <f ca="1">IFERROR(__xludf.DUMMYFUNCTION("""COMPUTED_VALUE"""),"Good")</f>
        <v>Good</v>
      </c>
      <c r="W122" t="str">
        <f ca="1">IFERROR(__xludf.DUMMYFUNCTION("""COMPUTED_VALUE"""),"Good")</f>
        <v>Good</v>
      </c>
      <c r="X122" t="str">
        <f ca="1">IFERROR(__xludf.DUMMYFUNCTION("""COMPUTED_VALUE"""),"Good")</f>
        <v>Good</v>
      </c>
      <c r="Y122" t="str">
        <f ca="1">IFERROR(__xludf.DUMMYFUNCTION("""COMPUTED_VALUE"""),"Good")</f>
        <v>Good</v>
      </c>
      <c r="Z122" t="str">
        <f ca="1">IFERROR(__xludf.DUMMYFUNCTION("""COMPUTED_VALUE"""),"Good")</f>
        <v>Good</v>
      </c>
      <c r="AA122" t="str">
        <f ca="1">IFERROR(__xludf.DUMMYFUNCTION("""COMPUTED_VALUE"""),"Good")</f>
        <v>Good</v>
      </c>
      <c r="AB122" t="str">
        <f ca="1">IFERROR(__xludf.DUMMYFUNCTION("""COMPUTED_VALUE"""),"Good")</f>
        <v>Good</v>
      </c>
      <c r="AC122" t="str">
        <f ca="1">IFERROR(__xludf.DUMMYFUNCTION("""COMPUTED_VALUE"""),"Good")</f>
        <v>Good</v>
      </c>
      <c r="AE122" s="11"/>
      <c r="AF122" t="str">
        <v>Scott.Eastman@floridadep.gov</v>
      </c>
      <c r="AG122" s="17" t="s">
        <v>17</v>
      </c>
      <c r="AH122" s="12">
        <v>830</v>
      </c>
      <c r="AI122" s="12" t="s">
        <v>306</v>
      </c>
      <c r="AJ122" s="19" t="s">
        <v>307</v>
      </c>
      <c r="AK122" s="20" t="str">
        <f>HYPERLINK("https://docs.google.com/document/d/1WiDFrx4D7wDtTG7xhG56FExYdRv-4DwwdP-wvUsnRMc/edit?usp=drivesdk","James Tomazinis - 8/8/2018 7:15 AM")</f>
        <v>James Tomazinis - 8/8/2018 7:15 AM</v>
      </c>
      <c r="AL122" s="12" t="s">
        <v>308</v>
      </c>
    </row>
    <row r="123" spans="1:38" ht="12.75">
      <c r="A123" s="10">
        <f ca="1">IFERROR(__xludf.DUMMYFUNCTION("""COMPUTED_VALUE"""),43320.3548946759)</f>
        <v>43320.354894675897</v>
      </c>
      <c r="B123" s="11" t="str">
        <f ca="1">IFERROR(__xludf.DUMMYFUNCTION("""COMPUTED_VALUE"""),"Pamela Marcum")</f>
        <v>Pamela Marcum</v>
      </c>
      <c r="C123" t="str">
        <f ca="1">IFERROR(__xludf.DUMMYFUNCTION("""COMPUTED_VALUE"""),"Pamela.Marcum@dep.state.fl.us")</f>
        <v>Pamela.Marcum@dep.state.fl.us</v>
      </c>
      <c r="D123" t="str">
        <f ca="1">IFERROR(__xludf.DUMMYFUNCTION("""COMPUTED_VALUE"""),"Research/Nikki")</f>
        <v>Research/Nikki</v>
      </c>
      <c r="E123" t="str">
        <f ca="1">IFERROR(__xludf.DUMMYFUNCTION("""COMPUTED_VALUE"""),"Shore Drive")</f>
        <v>Shore Drive</v>
      </c>
      <c r="F123" s="13">
        <f ca="1">IFERROR(__xludf.DUMMYFUNCTION("""COMPUTED_VALUE"""),0.375)</f>
        <v>0.375</v>
      </c>
      <c r="G123" s="14">
        <f ca="1">IFERROR(__xludf.DUMMYFUNCTION("""COMPUTED_VALUE"""),43320)</f>
        <v>43320</v>
      </c>
      <c r="H123" t="str">
        <f ca="1">IFERROR(__xludf.DUMMYFUNCTION("""COMPUTED_VALUE"""),"Gabby's Creek")</f>
        <v>Gabby's Creek</v>
      </c>
      <c r="I123" s="15">
        <f ca="1">IFERROR(__xludf.DUMMYFUNCTION("""COMPUTED_VALUE"""),0.625)</f>
        <v>0.625</v>
      </c>
      <c r="J123" s="16">
        <f ca="1">IFERROR(__xludf.DUMMYFUNCTION("""COMPUTED_VALUE"""),43321.6666666666)</f>
        <v>43321.666666666599</v>
      </c>
      <c r="K123" t="str">
        <f ca="1">IFERROR(__xludf.DUMMYFUNCTION("""COMPUTED_VALUE"""),"23ft Skiff (Bertha) FL7972LJ DEP07613")</f>
        <v>23ft Skiff (Bertha) FL7972LJ DEP07613</v>
      </c>
      <c r="M123" t="str">
        <f ca="1">IFERROR(__xludf.DUMMYFUNCTION("""COMPUTED_VALUE"""),"Ford F250 2017 (Moby Dix) - DEP0021578")</f>
        <v>Ford F250 2017 (Moby Dix) - DEP0021578</v>
      </c>
      <c r="N123" t="str">
        <f ca="1">IFERROR(__xludf.DUMMYFUNCTION("""COMPUTED_VALUE"""),"Pam Marcum, (480) 332-5414")</f>
        <v>Pam Marcum, (480) 332-5414</v>
      </c>
      <c r="O123" t="str">
        <f ca="1">IFERROR(__xludf.DUMMYFUNCTION("""COMPUTED_VALUE"""),"Gabriela Canas, (904) 891-9743, Matt Hayes, Lorae, Emily, Adam, Sam Chapman")</f>
        <v>Gabriela Canas, (904) 891-9743, Matt Hayes, Lorae, Emily, Adam, Sam Chapman</v>
      </c>
      <c r="P123" t="str">
        <f ca="1">IFERROR(__xludf.DUMMYFUNCTION("""COMPUTED_VALUE"""),"Pamela Marcum")</f>
        <v>Pamela Marcum</v>
      </c>
      <c r="Q123" t="str">
        <f ca="1">IFERROR(__xludf.DUMMYFUNCTION("""COMPUTED_VALUE"""),"Good")</f>
        <v>Good</v>
      </c>
      <c r="R123" t="str">
        <f ca="1">IFERROR(__xludf.DUMMYFUNCTION("""COMPUTED_VALUE"""),"Good")</f>
        <v>Good</v>
      </c>
      <c r="S123" t="str">
        <f ca="1">IFERROR(__xludf.DUMMYFUNCTION("""COMPUTED_VALUE"""),"Good")</f>
        <v>Good</v>
      </c>
      <c r="T123" t="str">
        <f ca="1">IFERROR(__xludf.DUMMYFUNCTION("""COMPUTED_VALUE"""),"Good")</f>
        <v>Good</v>
      </c>
      <c r="U123" t="str">
        <f ca="1">IFERROR(__xludf.DUMMYFUNCTION("""COMPUTED_VALUE"""),"Good")</f>
        <v>Good</v>
      </c>
      <c r="V123" t="str">
        <f ca="1">IFERROR(__xludf.DUMMYFUNCTION("""COMPUTED_VALUE"""),"Good")</f>
        <v>Good</v>
      </c>
      <c r="W123" t="str">
        <f ca="1">IFERROR(__xludf.DUMMYFUNCTION("""COMPUTED_VALUE"""),"Good")</f>
        <v>Good</v>
      </c>
      <c r="X123" t="str">
        <f ca="1">IFERROR(__xludf.DUMMYFUNCTION("""COMPUTED_VALUE"""),"Good")</f>
        <v>Good</v>
      </c>
      <c r="Y123" t="str">
        <f ca="1">IFERROR(__xludf.DUMMYFUNCTION("""COMPUTED_VALUE"""),"Good")</f>
        <v>Good</v>
      </c>
      <c r="Z123" t="str">
        <f ca="1">IFERROR(__xludf.DUMMYFUNCTION("""COMPUTED_VALUE"""),"Good")</f>
        <v>Good</v>
      </c>
      <c r="AA123" t="str">
        <f ca="1">IFERROR(__xludf.DUMMYFUNCTION("""COMPUTED_VALUE"""),"Good")</f>
        <v>Good</v>
      </c>
      <c r="AB123" t="str">
        <f ca="1">IFERROR(__xludf.DUMMYFUNCTION("""COMPUTED_VALUE"""),"Good")</f>
        <v>Good</v>
      </c>
      <c r="AC123" t="str">
        <f ca="1">IFERROR(__xludf.DUMMYFUNCTION("""COMPUTED_VALUE"""),"Good")</f>
        <v>Good</v>
      </c>
      <c r="AE123" s="11"/>
      <c r="AF123" t="str">
        <v>Nikki.Dix@floridadep.gov</v>
      </c>
      <c r="AG123" s="17" t="s">
        <v>17</v>
      </c>
      <c r="AH123" s="12">
        <v>1449</v>
      </c>
      <c r="AI123" s="12" t="s">
        <v>309</v>
      </c>
      <c r="AJ123" s="19" t="s">
        <v>310</v>
      </c>
      <c r="AK123" s="20" t="str">
        <f>HYPERLINK("https://docs.google.com/document/d/1c5DkI6jJ5VBQm3EWgcA563cNGIBizGgTtaIKGIJ2dE8/edit?usp=drivesdk","Pamela Marcum - 8/8/2018 9:00 AM")</f>
        <v>Pamela Marcum - 8/8/2018 9:00 AM</v>
      </c>
      <c r="AL123" s="12" t="s">
        <v>311</v>
      </c>
    </row>
    <row r="124" spans="1:38" ht="12.75">
      <c r="A124" s="10">
        <f ca="1">IFERROR(__xludf.DUMMYFUNCTION("""COMPUTED_VALUE"""),43322.3543146527)</f>
        <v>43322.354314652701</v>
      </c>
      <c r="B124" s="11" t="str">
        <f ca="1">IFERROR(__xludf.DUMMYFUNCTION("""COMPUTED_VALUE"""),"Silas Tanner")</f>
        <v>Silas Tanner</v>
      </c>
      <c r="C124" t="str">
        <f ca="1">IFERROR(__xludf.DUMMYFUNCTION("""COMPUTED_VALUE"""),"Silas.tanner@floridadep.gov")</f>
        <v>Silas.tanner@floridadep.gov</v>
      </c>
      <c r="D124" t="str">
        <f ca="1">IFERROR(__xludf.DUMMYFUNCTION("""COMPUTED_VALUE"""),"Research/Nikki")</f>
        <v>Research/Nikki</v>
      </c>
      <c r="E124" t="str">
        <f ca="1">IFERROR(__xludf.DUMMYFUNCTION("""COMPUTED_VALUE"""),"Bing's")</f>
        <v>Bing's</v>
      </c>
      <c r="F124" s="13">
        <f ca="1">IFERROR(__xludf.DUMMYFUNCTION("""COMPUTED_VALUE"""),0.4375)</f>
        <v>0.4375</v>
      </c>
      <c r="G124" s="14">
        <f ca="1">IFERROR(__xludf.DUMMYFUNCTION("""COMPUTED_VALUE"""),43322)</f>
        <v>43322</v>
      </c>
      <c r="H124" t="str">
        <f ca="1">IFERROR(__xludf.DUMMYFUNCTION("""COMPUTED_VALUE"""),"ICW - Rattlesnake Is. to Bing's")</f>
        <v>ICW - Rattlesnake Is. to Bing's</v>
      </c>
      <c r="I124" s="15">
        <f ca="1">IFERROR(__xludf.DUMMYFUNCTION("""COMPUTED_VALUE"""),0.541666666667879)</f>
        <v>0.54166666666787899</v>
      </c>
      <c r="J124" s="16">
        <f ca="1">IFERROR(__xludf.DUMMYFUNCTION("""COMPUTED_VALUE"""),43322.625)</f>
        <v>43322.625</v>
      </c>
      <c r="K124" t="str">
        <f ca="1">IFERROR(__xludf.DUMMYFUNCTION("""COMPUTED_VALUE"""),"23ft Skiff (Bertha) FL7972LJ DEP07613")</f>
        <v>23ft Skiff (Bertha) FL7972LJ DEP07613</v>
      </c>
      <c r="M124" t="str">
        <f ca="1">IFERROR(__xludf.DUMMYFUNCTION("""COMPUTED_VALUE"""),"Ford F250 2017 (Moby Dix) - DEP0021578")</f>
        <v>Ford F250 2017 (Moby Dix) - DEP0021578</v>
      </c>
      <c r="N124" t="str">
        <f ca="1">IFERROR(__xludf.DUMMYFUNCTION("""COMPUTED_VALUE"""),"Shannon Dunnigan, (803) 727-5734, Silas Tanner, (904) 483-8423")</f>
        <v>Shannon Dunnigan, (803) 727-5734, Silas Tanner, (904) 483-8423</v>
      </c>
      <c r="O124" t="str">
        <f ca="1">IFERROR(__xludf.DUMMYFUNCTION("""COMPUTED_VALUE"""),"Suzi Porterfield, Matt Brown, Westly Woodward")</f>
        <v>Suzi Porterfield, Matt Brown, Westly Woodward</v>
      </c>
      <c r="P124" t="str">
        <f ca="1">IFERROR(__xludf.DUMMYFUNCTION("""COMPUTED_VALUE"""),"Shannon Dunnigan")</f>
        <v>Shannon Dunnigan</v>
      </c>
      <c r="Q124" t="str">
        <f ca="1">IFERROR(__xludf.DUMMYFUNCTION("""COMPUTED_VALUE"""),"Good")</f>
        <v>Good</v>
      </c>
      <c r="R124" t="str">
        <f ca="1">IFERROR(__xludf.DUMMYFUNCTION("""COMPUTED_VALUE"""),"Good")</f>
        <v>Good</v>
      </c>
      <c r="S124" t="str">
        <f ca="1">IFERROR(__xludf.DUMMYFUNCTION("""COMPUTED_VALUE"""),"Good")</f>
        <v>Good</v>
      </c>
      <c r="T124" t="str">
        <f ca="1">IFERROR(__xludf.DUMMYFUNCTION("""COMPUTED_VALUE"""),"Good")</f>
        <v>Good</v>
      </c>
      <c r="U124" t="str">
        <f ca="1">IFERROR(__xludf.DUMMYFUNCTION("""COMPUTED_VALUE"""),"Good")</f>
        <v>Good</v>
      </c>
      <c r="V124" t="str">
        <f ca="1">IFERROR(__xludf.DUMMYFUNCTION("""COMPUTED_VALUE"""),"Good")</f>
        <v>Good</v>
      </c>
      <c r="W124" t="str">
        <f ca="1">IFERROR(__xludf.DUMMYFUNCTION("""COMPUTED_VALUE"""),"Good")</f>
        <v>Good</v>
      </c>
      <c r="X124" t="str">
        <f ca="1">IFERROR(__xludf.DUMMYFUNCTION("""COMPUTED_VALUE"""),"Good")</f>
        <v>Good</v>
      </c>
      <c r="Y124" t="str">
        <f ca="1">IFERROR(__xludf.DUMMYFUNCTION("""COMPUTED_VALUE"""),"Good")</f>
        <v>Good</v>
      </c>
      <c r="Z124" t="str">
        <f ca="1">IFERROR(__xludf.DUMMYFUNCTION("""COMPUTED_VALUE"""),"Good")</f>
        <v>Good</v>
      </c>
      <c r="AA124" t="str">
        <f ca="1">IFERROR(__xludf.DUMMYFUNCTION("""COMPUTED_VALUE"""),"Good")</f>
        <v>Good</v>
      </c>
      <c r="AB124" t="str">
        <f ca="1">IFERROR(__xludf.DUMMYFUNCTION("""COMPUTED_VALUE"""),"Good")</f>
        <v>Good</v>
      </c>
      <c r="AC124" t="str">
        <f ca="1">IFERROR(__xludf.DUMMYFUNCTION("""COMPUTED_VALUE"""),"Good")</f>
        <v>Good</v>
      </c>
      <c r="AE124" s="11"/>
      <c r="AF124" t="str">
        <v>Nikki.Dix@floridadep.gov</v>
      </c>
      <c r="AG124" s="17" t="s">
        <v>41</v>
      </c>
      <c r="AH124" s="12">
        <v>1250</v>
      </c>
      <c r="AI124" s="12" t="s">
        <v>312</v>
      </c>
      <c r="AJ124" s="19" t="s">
        <v>313</v>
      </c>
      <c r="AK124" s="20" t="str">
        <f>HYPERLINK("https://docs.google.com/document/d/17sdCynz09IpAwVH5o8CprezXdWWPeoNhVJw4691Iw8A/edit?usp=drivesdk","Silas Tanner - 8/10/2018 10:30 AM")</f>
        <v>Silas Tanner - 8/10/2018 10:30 AM</v>
      </c>
      <c r="AL124" s="12" t="s">
        <v>314</v>
      </c>
    </row>
    <row r="125" spans="1:38" ht="12.75">
      <c r="A125" s="10">
        <f ca="1">IFERROR(__xludf.DUMMYFUNCTION("""COMPUTED_VALUE"""),43323.5403290856)</f>
        <v>43323.540329085597</v>
      </c>
      <c r="B125" s="11" t="str">
        <f ca="1">IFERROR(__xludf.DUMMYFUNCTION("""COMPUTED_VALUE"""),"James Tomazinis ")</f>
        <v xml:space="preserve">James Tomazinis </v>
      </c>
      <c r="C125" t="str">
        <f ca="1">IFERROR(__xludf.DUMMYFUNCTION("""COMPUTED_VALUE"""),"james.tomazinis@floridadep.gov")</f>
        <v>james.tomazinis@floridadep.gov</v>
      </c>
      <c r="D125" t="str">
        <f ca="1">IFERROR(__xludf.DUMMYFUNCTION("""COMPUTED_VALUE"""),"Stewardship (Aquatic)")</f>
        <v>Stewardship (Aquatic)</v>
      </c>
      <c r="E125" t="str">
        <f ca="1">IFERROR(__xludf.DUMMYFUNCTION("""COMPUTED_VALUE"""),"Palatka City Ramp")</f>
        <v>Palatka City Ramp</v>
      </c>
      <c r="F125" s="13">
        <f ca="1">IFERROR(__xludf.DUMMYFUNCTION("""COMPUTED_VALUE"""),0.541666666667879)</f>
        <v>0.54166666666787899</v>
      </c>
      <c r="G125" s="14">
        <f ca="1">IFERROR(__xludf.DUMMYFUNCTION("""COMPUTED_VALUE"""),43323)</f>
        <v>43323</v>
      </c>
      <c r="H125" t="str">
        <f ca="1">IFERROR(__xludf.DUMMYFUNCTION("""COMPUTED_VALUE"""),"St. John's River near Palatka")</f>
        <v>St. John's River near Palatka</v>
      </c>
      <c r="I125" s="15">
        <f ca="1">IFERROR(__xludf.DUMMYFUNCTION("""COMPUTED_VALUE"""),0.70833333333212)</f>
        <v>0.70833333333212001</v>
      </c>
      <c r="J125" s="16"/>
      <c r="K125" t="str">
        <f ca="1">IFERROR(__xludf.DUMMYFUNCTION("""COMPUTED_VALUE"""),"17ft Skill FL0642GW DEP07239")</f>
        <v>17ft Skill FL0642GW DEP07239</v>
      </c>
      <c r="M125" t="str">
        <f ca="1">IFERROR(__xludf.DUMMYFUNCTION("""COMPUTED_VALUE"""),"Ford F150 2015 (White) - DEP21448")</f>
        <v>Ford F150 2015 (White) - DEP21448</v>
      </c>
      <c r="N125" t="str">
        <f ca="1">IFERROR(__xludf.DUMMYFUNCTION("""COMPUTED_VALUE"""),"Jimmy Tomazinis, (904) 547-0094")</f>
        <v>Jimmy Tomazinis, (904) 547-0094</v>
      </c>
      <c r="P125" t="str">
        <f ca="1">IFERROR(__xludf.DUMMYFUNCTION("""COMPUTED_VALUE"""),"Jimmy")</f>
        <v>Jimmy</v>
      </c>
      <c r="Q125" t="str">
        <f ca="1">IFERROR(__xludf.DUMMYFUNCTION("""COMPUTED_VALUE"""),"Good")</f>
        <v>Good</v>
      </c>
      <c r="R125" t="str">
        <f ca="1">IFERROR(__xludf.DUMMYFUNCTION("""COMPUTED_VALUE"""),"Good")</f>
        <v>Good</v>
      </c>
      <c r="S125" t="str">
        <f ca="1">IFERROR(__xludf.DUMMYFUNCTION("""COMPUTED_VALUE"""),"Good")</f>
        <v>Good</v>
      </c>
      <c r="T125" t="str">
        <f ca="1">IFERROR(__xludf.DUMMYFUNCTION("""COMPUTED_VALUE"""),"Good")</f>
        <v>Good</v>
      </c>
      <c r="U125" t="str">
        <f ca="1">IFERROR(__xludf.DUMMYFUNCTION("""COMPUTED_VALUE"""),"Good")</f>
        <v>Good</v>
      </c>
      <c r="V125" t="str">
        <f ca="1">IFERROR(__xludf.DUMMYFUNCTION("""COMPUTED_VALUE"""),"Good")</f>
        <v>Good</v>
      </c>
      <c r="W125" t="str">
        <f ca="1">IFERROR(__xludf.DUMMYFUNCTION("""COMPUTED_VALUE"""),"Good")</f>
        <v>Good</v>
      </c>
      <c r="X125" t="str">
        <f ca="1">IFERROR(__xludf.DUMMYFUNCTION("""COMPUTED_VALUE"""),"Good")</f>
        <v>Good</v>
      </c>
      <c r="Y125" t="str">
        <f ca="1">IFERROR(__xludf.DUMMYFUNCTION("""COMPUTED_VALUE"""),"Good")</f>
        <v>Good</v>
      </c>
      <c r="Z125" t="str">
        <f ca="1">IFERROR(__xludf.DUMMYFUNCTION("""COMPUTED_VALUE"""),"Good")</f>
        <v>Good</v>
      </c>
      <c r="AA125" t="str">
        <f ca="1">IFERROR(__xludf.DUMMYFUNCTION("""COMPUTED_VALUE"""),"Good")</f>
        <v>Good</v>
      </c>
      <c r="AB125" t="str">
        <f ca="1">IFERROR(__xludf.DUMMYFUNCTION("""COMPUTED_VALUE"""),"Good")</f>
        <v>Good</v>
      </c>
      <c r="AC125" t="str">
        <f ca="1">IFERROR(__xludf.DUMMYFUNCTION("""COMPUTED_VALUE"""),"Good")</f>
        <v>Good</v>
      </c>
      <c r="AE125" s="11"/>
      <c r="AF125" t="str">
        <v>Scott.Eastman@floridadep.gov</v>
      </c>
      <c r="AG125" s="17" t="s">
        <v>21</v>
      </c>
      <c r="AH125" s="12">
        <v>1531</v>
      </c>
      <c r="AI125" s="12" t="s">
        <v>315</v>
      </c>
      <c r="AJ125" s="19" t="s">
        <v>316</v>
      </c>
      <c r="AK125" s="20" t="str">
        <f>HYPERLINK("https://docs.google.com/document/d/1ewslJEYMYiLWpQVfKwKUIdB5aER5uzJ2SHLwyC5bnho/edit?usp=drivesdk","James Tomazinis  - 8/11/2018 1:00 PM")</f>
        <v>James Tomazinis  - 8/11/2018 1:00 PM</v>
      </c>
      <c r="AL125" s="12" t="s">
        <v>317</v>
      </c>
    </row>
    <row r="126" spans="1:38" ht="12.75">
      <c r="A126" s="10">
        <f ca="1">IFERROR(__xludf.DUMMYFUNCTION("""COMPUTED_VALUE"""),43326.4509353355)</f>
        <v>43326.450935335597</v>
      </c>
      <c r="B126" s="11" t="str">
        <f ca="1">IFERROR(__xludf.DUMMYFUNCTION("""COMPUTED_VALUE"""),"Kenneth Rainer")</f>
        <v>Kenneth Rainer</v>
      </c>
      <c r="C126" t="str">
        <f ca="1">IFERROR(__xludf.DUMMYFUNCTION("""COMPUTED_VALUE"""),"Kenneth.Rainer@dep.state.fl.us")</f>
        <v>Kenneth.Rainer@dep.state.fl.us</v>
      </c>
      <c r="D126" t="str">
        <f ca="1">IFERROR(__xludf.DUMMYFUNCTION("""COMPUTED_VALUE"""),"Education")</f>
        <v>Education</v>
      </c>
      <c r="E126" t="str">
        <f ca="1">IFERROR(__xludf.DUMMYFUNCTION("""COMPUTED_VALUE"""),"Usina Boat Ramp")</f>
        <v>Usina Boat Ramp</v>
      </c>
      <c r="F126" s="13">
        <f ca="1">IFERROR(__xludf.DUMMYFUNCTION("""COMPUTED_VALUE"""),0.541666666667879)</f>
        <v>0.54166666666787899</v>
      </c>
      <c r="G126" s="14">
        <f ca="1">IFERROR(__xludf.DUMMYFUNCTION("""COMPUTED_VALUE"""),43326)</f>
        <v>43326</v>
      </c>
      <c r="H126" t="str">
        <f ca="1">IFERROR(__xludf.DUMMYFUNCTION("""COMPUTED_VALUE"""),"Northern Component")</f>
        <v>Northern Component</v>
      </c>
      <c r="I126" s="15">
        <f ca="1">IFERROR(__xludf.DUMMYFUNCTION("""COMPUTED_VALUE"""),0.666666666667879)</f>
        <v>0.66666666666787899</v>
      </c>
      <c r="J126" s="16">
        <f ca="1">IFERROR(__xludf.DUMMYFUNCTION("""COMPUTED_VALUE"""),43326.6875)</f>
        <v>43326.6875</v>
      </c>
      <c r="K126" t="str">
        <f ca="1">IFERROR(__xludf.DUMMYFUNCTION("""COMPUTED_VALUE"""),"23ft Skiff (Bertha) FL7972LJ DEP07613")</f>
        <v>23ft Skiff (Bertha) FL7972LJ DEP07613</v>
      </c>
      <c r="M126" t="str">
        <f ca="1">IFERROR(__xludf.DUMMYFUNCTION("""COMPUTED_VALUE"""),"Ford F250 2017 (Moby Dix) - DEP0021578")</f>
        <v>Ford F250 2017 (Moby Dix) - DEP0021578</v>
      </c>
      <c r="N126" t="str">
        <f ca="1">IFERROR(__xludf.DUMMYFUNCTION("""COMPUTED_VALUE"""),"Kenneth Rainer, (936) 499-1853")</f>
        <v>Kenneth Rainer, (936) 499-1853</v>
      </c>
      <c r="O126" t="str">
        <f ca="1">IFERROR(__xludf.DUMMYFUNCTION("""COMPUTED_VALUE"""),"Master Naturalist Coastal Restoration Class")</f>
        <v>Master Naturalist Coastal Restoration Class</v>
      </c>
      <c r="P126" t="str">
        <f ca="1">IFERROR(__xludf.DUMMYFUNCTION("""COMPUTED_VALUE"""),"Kenneth Rainer")</f>
        <v>Kenneth Rainer</v>
      </c>
      <c r="Q126" t="str">
        <f ca="1">IFERROR(__xludf.DUMMYFUNCTION("""COMPUTED_VALUE"""),"Good")</f>
        <v>Good</v>
      </c>
      <c r="R126" t="str">
        <f ca="1">IFERROR(__xludf.DUMMYFUNCTION("""COMPUTED_VALUE"""),"Good")</f>
        <v>Good</v>
      </c>
      <c r="S126" t="str">
        <f ca="1">IFERROR(__xludf.DUMMYFUNCTION("""COMPUTED_VALUE"""),"Good")</f>
        <v>Good</v>
      </c>
      <c r="T126" t="str">
        <f ca="1">IFERROR(__xludf.DUMMYFUNCTION("""COMPUTED_VALUE"""),"Good")</f>
        <v>Good</v>
      </c>
      <c r="U126" t="str">
        <f ca="1">IFERROR(__xludf.DUMMYFUNCTION("""COMPUTED_VALUE"""),"Good")</f>
        <v>Good</v>
      </c>
      <c r="V126" t="str">
        <f ca="1">IFERROR(__xludf.DUMMYFUNCTION("""COMPUTED_VALUE"""),"Good")</f>
        <v>Good</v>
      </c>
      <c r="W126" t="str">
        <f ca="1">IFERROR(__xludf.DUMMYFUNCTION("""COMPUTED_VALUE"""),"Good")</f>
        <v>Good</v>
      </c>
      <c r="X126" t="str">
        <f ca="1">IFERROR(__xludf.DUMMYFUNCTION("""COMPUTED_VALUE"""),"Good")</f>
        <v>Good</v>
      </c>
      <c r="Y126" t="str">
        <f ca="1">IFERROR(__xludf.DUMMYFUNCTION("""COMPUTED_VALUE"""),"Good")</f>
        <v>Good</v>
      </c>
      <c r="Z126" t="str">
        <f ca="1">IFERROR(__xludf.DUMMYFUNCTION("""COMPUTED_VALUE"""),"Good")</f>
        <v>Good</v>
      </c>
      <c r="AA126" t="str">
        <f ca="1">IFERROR(__xludf.DUMMYFUNCTION("""COMPUTED_VALUE"""),"Good")</f>
        <v>Good</v>
      </c>
      <c r="AB126" t="str">
        <f ca="1">IFERROR(__xludf.DUMMYFUNCTION("""COMPUTED_VALUE"""),"Good")</f>
        <v>Good</v>
      </c>
      <c r="AC126" t="str">
        <f ca="1">IFERROR(__xludf.DUMMYFUNCTION("""COMPUTED_VALUE"""),"Good")</f>
        <v>Good</v>
      </c>
      <c r="AD126" t="str">
        <f ca="1">IFERROR(__xludf.DUMMYFUNCTION("""COMPUTED_VALUE"""),"Partly cloudy with afternoon showers or thunderstorms. High 87F. Winds SSE at 10 to 15 mph. Chance of rain 40%.")</f>
        <v>Partly cloudy with afternoon showers or thunderstorms. High 87F. Winds SSE at 10 to 15 mph. Chance of rain 40%.</v>
      </c>
      <c r="AE126" s="11" t="str">
        <f ca="1">IFERROR(__xludf.DUMMYFUNCTION("""COMPUTED_VALUE"""),"11:46 AM, 5.39ft, H; 5:50 PM, 0.11ft, L")</f>
        <v>11:46 AM, 5.39ft, H; 5:50 PM, 0.11ft, L</v>
      </c>
      <c r="AF126" t="str">
        <v>Kenneth.Rainer@floridadep.gov</v>
      </c>
      <c r="AG126" s="17" t="s">
        <v>17</v>
      </c>
      <c r="AH126" s="12">
        <v>1440</v>
      </c>
      <c r="AI126" s="12" t="s">
        <v>318</v>
      </c>
      <c r="AJ126" s="19" t="s">
        <v>319</v>
      </c>
      <c r="AK126" s="20" t="str">
        <f>HYPERLINK("https://docs.google.com/document/d/1UoUokpEmpx5df0h6r4uANvSRcZZUW8I676NwUPCYPfg/edit?usp=drivesdk","Kenneth Rainer - 8/14/2018 1:00 PM")</f>
        <v>Kenneth Rainer - 8/14/2018 1:00 PM</v>
      </c>
      <c r="AL126" s="12" t="s">
        <v>320</v>
      </c>
    </row>
    <row r="127" spans="1:38" ht="12.75">
      <c r="A127" s="10">
        <f ca="1">IFERROR(__xludf.DUMMYFUNCTION("""COMPUTED_VALUE"""),43326.4989598726)</f>
        <v>43326.498959872602</v>
      </c>
      <c r="B127" s="11" t="str">
        <f ca="1">IFERROR(__xludf.DUMMYFUNCTION("""COMPUTED_VALUE"""),"Jimmy Tomazinis")</f>
        <v>Jimmy Tomazinis</v>
      </c>
      <c r="C127" t="str">
        <f ca="1">IFERROR(__xludf.DUMMYFUNCTION("""COMPUTED_VALUE"""),"James.Tomazinis@floridadep.gov")</f>
        <v>James.Tomazinis@floridadep.gov</v>
      </c>
      <c r="D127" t="str">
        <f ca="1">IFERROR(__xludf.DUMMYFUNCTION("""COMPUTED_VALUE"""),"Stewardship (Aquatic)")</f>
        <v>Stewardship (Aquatic)</v>
      </c>
      <c r="E127" t="str">
        <f ca="1">IFERROR(__xludf.DUMMYFUNCTION("""COMPUTED_VALUE"""),"Aunt Kates")</f>
        <v>Aunt Kates</v>
      </c>
      <c r="F127" s="13">
        <f ca="1">IFERROR(__xludf.DUMMYFUNCTION("""COMPUTED_VALUE"""),0.541666666667879)</f>
        <v>0.54166666666787899</v>
      </c>
      <c r="G127" s="14">
        <f ca="1">IFERROR(__xludf.DUMMYFUNCTION("""COMPUTED_VALUE"""),43326)</f>
        <v>43326</v>
      </c>
      <c r="H127" t="str">
        <f ca="1">IFERROR(__xludf.DUMMYFUNCTION("""COMPUTED_VALUE"""),"ICW (with Kenneth)")</f>
        <v>ICW (with Kenneth)</v>
      </c>
      <c r="I127" s="15">
        <f ca="1">IFERROR(__xludf.DUMMYFUNCTION("""COMPUTED_VALUE"""),0.6875)</f>
        <v>0.6875</v>
      </c>
      <c r="J127" s="16">
        <f ca="1">IFERROR(__xludf.DUMMYFUNCTION("""COMPUTED_VALUE"""),43326.7083333333)</f>
        <v>43326.708333333299</v>
      </c>
      <c r="K127" t="str">
        <f ca="1">IFERROR(__xludf.DUMMYFUNCTION("""COMPUTED_VALUE"""),"F 20ft Sea Ark (Easy 200) FL8534PY DEP21451")</f>
        <v>F 20ft Sea Ark (Easy 200) FL8534PY DEP21451</v>
      </c>
      <c r="M127" t="str">
        <f ca="1">IFERROR(__xludf.DUMMYFUNCTION("""COMPUTED_VALUE"""),"Ford F150 2015 (White) - DEP21448")</f>
        <v>Ford F150 2015 (White) - DEP21448</v>
      </c>
      <c r="N127" t="str">
        <f ca="1">IFERROR(__xludf.DUMMYFUNCTION("""COMPUTED_VALUE"""),"Jimmy Tomazinis, (904) 547-0094")</f>
        <v>Jimmy Tomazinis, (904) 547-0094</v>
      </c>
      <c r="O127" t="str">
        <f ca="1">IFERROR(__xludf.DUMMYFUNCTION("""COMPUTED_VALUE"""),"Florida Master Naturalist Course")</f>
        <v>Florida Master Naturalist Course</v>
      </c>
      <c r="P127" t="str">
        <f ca="1">IFERROR(__xludf.DUMMYFUNCTION("""COMPUTED_VALUE"""),"Jimmy Tomazinis")</f>
        <v>Jimmy Tomazinis</v>
      </c>
      <c r="Q127" t="str">
        <f ca="1">IFERROR(__xludf.DUMMYFUNCTION("""COMPUTED_VALUE"""),"Good")</f>
        <v>Good</v>
      </c>
      <c r="R127" t="str">
        <f ca="1">IFERROR(__xludf.DUMMYFUNCTION("""COMPUTED_VALUE"""),"Good")</f>
        <v>Good</v>
      </c>
      <c r="S127" t="str">
        <f ca="1">IFERROR(__xludf.DUMMYFUNCTION("""COMPUTED_VALUE"""),"Good")</f>
        <v>Good</v>
      </c>
      <c r="T127" t="str">
        <f ca="1">IFERROR(__xludf.DUMMYFUNCTION("""COMPUTED_VALUE"""),"Good")</f>
        <v>Good</v>
      </c>
      <c r="U127" t="str">
        <f ca="1">IFERROR(__xludf.DUMMYFUNCTION("""COMPUTED_VALUE"""),"Good")</f>
        <v>Good</v>
      </c>
      <c r="V127" t="str">
        <f ca="1">IFERROR(__xludf.DUMMYFUNCTION("""COMPUTED_VALUE"""),"Good")</f>
        <v>Good</v>
      </c>
      <c r="W127" t="str">
        <f ca="1">IFERROR(__xludf.DUMMYFUNCTION("""COMPUTED_VALUE"""),"Good")</f>
        <v>Good</v>
      </c>
      <c r="X127" t="str">
        <f ca="1">IFERROR(__xludf.DUMMYFUNCTION("""COMPUTED_VALUE"""),"Good")</f>
        <v>Good</v>
      </c>
      <c r="Y127" t="str">
        <f ca="1">IFERROR(__xludf.DUMMYFUNCTION("""COMPUTED_VALUE"""),"Good")</f>
        <v>Good</v>
      </c>
      <c r="Z127" t="str">
        <f ca="1">IFERROR(__xludf.DUMMYFUNCTION("""COMPUTED_VALUE"""),"Good")</f>
        <v>Good</v>
      </c>
      <c r="AA127" t="str">
        <f ca="1">IFERROR(__xludf.DUMMYFUNCTION("""COMPUTED_VALUE"""),"Good")</f>
        <v>Good</v>
      </c>
      <c r="AB127" t="str">
        <f ca="1">IFERROR(__xludf.DUMMYFUNCTION("""COMPUTED_VALUE"""),"Good")</f>
        <v>Good</v>
      </c>
      <c r="AC127" t="str">
        <f ca="1">IFERROR(__xludf.DUMMYFUNCTION("""COMPUTED_VALUE"""),"Good")</f>
        <v>Good</v>
      </c>
      <c r="AE127" s="11"/>
      <c r="AF127" t="str">
        <v>Scott.Eastman@floridadep.gov</v>
      </c>
      <c r="AG127" s="17" t="s">
        <v>17</v>
      </c>
      <c r="AH127" s="12">
        <v>1440</v>
      </c>
      <c r="AI127" s="12" t="s">
        <v>321</v>
      </c>
      <c r="AJ127" s="19" t="s">
        <v>322</v>
      </c>
      <c r="AK127" s="20" t="str">
        <f>HYPERLINK("https://docs.google.com/document/d/1Zr-dHoYFPh8hWNtbTV1mMdu01l2o95lPBKDPC730sdw/edit?usp=drivesdk","Jimmy Tomazinis - 8/14/2018 1:00 PM")</f>
        <v>Jimmy Tomazinis - 8/14/2018 1:00 PM</v>
      </c>
      <c r="AL127" s="12" t="s">
        <v>323</v>
      </c>
    </row>
    <row r="128" spans="1:38" ht="12.75">
      <c r="A128" s="10">
        <f ca="1">IFERROR(__xludf.DUMMYFUNCTION("""COMPUTED_VALUE"""),43327.4147866319)</f>
        <v>43327.414786631904</v>
      </c>
      <c r="B128" s="11" t="str">
        <f ca="1">IFERROR(__xludf.DUMMYFUNCTION("""COMPUTED_VALUE"""),"Ben Mowbray")</f>
        <v>Ben Mowbray</v>
      </c>
      <c r="C128" t="str">
        <f ca="1">IFERROR(__xludf.DUMMYFUNCTION("""COMPUTED_VALUE"""),"ben.mowbray@dep.state.fl.us")</f>
        <v>ben.mowbray@dep.state.fl.us</v>
      </c>
      <c r="D128" t="str">
        <f ca="1">IFERROR(__xludf.DUMMYFUNCTION("""COMPUTED_VALUE"""),"Research/Nikki")</f>
        <v>Research/Nikki</v>
      </c>
      <c r="E128" t="str">
        <f ca="1">IFERROR(__xludf.DUMMYFUNCTION("""COMPUTED_VALUE"""),"Bing's")</f>
        <v>Bing's</v>
      </c>
      <c r="F128" s="13">
        <f ca="1">IFERROR(__xludf.DUMMYFUNCTION("""COMPUTED_VALUE"""),0.541666666667879)</f>
        <v>0.54166666666787899</v>
      </c>
      <c r="G128" s="14">
        <f ca="1">IFERROR(__xludf.DUMMYFUNCTION("""COMPUTED_VALUE"""),43327)</f>
        <v>43327</v>
      </c>
      <c r="H128" t="str">
        <f ca="1">IFERROR(__xludf.DUMMYFUNCTION("""COMPUTED_VALUE"""),"Training exercises")</f>
        <v>Training exercises</v>
      </c>
      <c r="I128" s="15">
        <f ca="1">IFERROR(__xludf.DUMMYFUNCTION("""COMPUTED_VALUE"""),0.625)</f>
        <v>0.625</v>
      </c>
      <c r="J128" s="16">
        <f ca="1">IFERROR(__xludf.DUMMYFUNCTION("""COMPUTED_VALUE"""),43327.6666666666)</f>
        <v>43327.666666666599</v>
      </c>
      <c r="K128" t="str">
        <f ca="1">IFERROR(__xludf.DUMMYFUNCTION("""COMPUTED_VALUE"""),"23ft Skiff (Bertha) FL7972LJ DEP07613")</f>
        <v>23ft Skiff (Bertha) FL7972LJ DEP07613</v>
      </c>
      <c r="M128" t="str">
        <f ca="1">IFERROR(__xludf.DUMMYFUNCTION("""COMPUTED_VALUE"""),"Ford F250 2017 (Moby Dix) - DEP0021578")</f>
        <v>Ford F250 2017 (Moby Dix) - DEP0021578</v>
      </c>
      <c r="N128" t="str">
        <f ca="1">IFERROR(__xludf.DUMMYFUNCTION("""COMPUTED_VALUE"""),"Pam Marcum, (480) 332-5414, Ben Mowbray, (407) 962-8782")</f>
        <v>Pam Marcum, (480) 332-5414, Ben Mowbray, (407) 962-8782</v>
      </c>
      <c r="P128" t="str">
        <f ca="1">IFERROR(__xludf.DUMMYFUNCTION("""COMPUTED_VALUE"""),"Ben")</f>
        <v>Ben</v>
      </c>
      <c r="Q128" t="str">
        <f ca="1">IFERROR(__xludf.DUMMYFUNCTION("""COMPUTED_VALUE"""),"Good")</f>
        <v>Good</v>
      </c>
      <c r="R128" t="str">
        <f ca="1">IFERROR(__xludf.DUMMYFUNCTION("""COMPUTED_VALUE"""),"Good")</f>
        <v>Good</v>
      </c>
      <c r="S128" t="str">
        <f ca="1">IFERROR(__xludf.DUMMYFUNCTION("""COMPUTED_VALUE"""),"Good")</f>
        <v>Good</v>
      </c>
      <c r="T128" t="str">
        <f ca="1">IFERROR(__xludf.DUMMYFUNCTION("""COMPUTED_VALUE"""),"Good")</f>
        <v>Good</v>
      </c>
      <c r="U128" t="str">
        <f ca="1">IFERROR(__xludf.DUMMYFUNCTION("""COMPUTED_VALUE"""),"Good")</f>
        <v>Good</v>
      </c>
      <c r="V128" t="str">
        <f ca="1">IFERROR(__xludf.DUMMYFUNCTION("""COMPUTED_VALUE"""),"Good")</f>
        <v>Good</v>
      </c>
      <c r="W128" t="str">
        <f ca="1">IFERROR(__xludf.DUMMYFUNCTION("""COMPUTED_VALUE"""),"Good")</f>
        <v>Good</v>
      </c>
      <c r="X128" t="str">
        <f ca="1">IFERROR(__xludf.DUMMYFUNCTION("""COMPUTED_VALUE"""),"Good")</f>
        <v>Good</v>
      </c>
      <c r="Y128" t="str">
        <f ca="1">IFERROR(__xludf.DUMMYFUNCTION("""COMPUTED_VALUE"""),"Good")</f>
        <v>Good</v>
      </c>
      <c r="Z128" t="str">
        <f ca="1">IFERROR(__xludf.DUMMYFUNCTION("""COMPUTED_VALUE"""),"Good")</f>
        <v>Good</v>
      </c>
      <c r="AA128" t="str">
        <f ca="1">IFERROR(__xludf.DUMMYFUNCTION("""COMPUTED_VALUE"""),"Good")</f>
        <v>Good</v>
      </c>
      <c r="AB128" t="str">
        <f ca="1">IFERROR(__xludf.DUMMYFUNCTION("""COMPUTED_VALUE"""),"Good")</f>
        <v>Good</v>
      </c>
      <c r="AC128" t="str">
        <f ca="1">IFERROR(__xludf.DUMMYFUNCTION("""COMPUTED_VALUE"""),"Good")</f>
        <v>Good</v>
      </c>
      <c r="AE128" s="11"/>
      <c r="AF128" t="str">
        <v>Nikki.Dix@floridadep.gov</v>
      </c>
      <c r="AG128" s="17" t="s">
        <v>41</v>
      </c>
      <c r="AH128" s="12">
        <v>1756</v>
      </c>
      <c r="AI128" s="12" t="s">
        <v>324</v>
      </c>
      <c r="AJ128" s="19" t="s">
        <v>325</v>
      </c>
      <c r="AK128" s="20" t="str">
        <f>HYPERLINK("https://docs.google.com/document/d/1ERbNqlmZ7cO96gpNW3hInnDf7lFEo276aaUSKUXyTaw/edit?usp=drivesdk","Ben Mowbray - 8/15/2018 1:00 PM")</f>
        <v>Ben Mowbray - 8/15/2018 1:00 PM</v>
      </c>
      <c r="AL128" s="12" t="s">
        <v>326</v>
      </c>
    </row>
    <row r="129" spans="1:38" ht="12.75">
      <c r="A129" s="10">
        <f ca="1">IFERROR(__xludf.DUMMYFUNCTION("""COMPUTED_VALUE"""),43329.4765654513)</f>
        <v>43329.476565451303</v>
      </c>
      <c r="B129" s="11" t="str">
        <f ca="1">IFERROR(__xludf.DUMMYFUNCTION("""COMPUTED_VALUE"""),"Ben Mowbray")</f>
        <v>Ben Mowbray</v>
      </c>
      <c r="C129" t="str">
        <f ca="1">IFERROR(__xludf.DUMMYFUNCTION("""COMPUTED_VALUE"""),"ben.mowbray@dep.state.fl.us")</f>
        <v>ben.mowbray@dep.state.fl.us</v>
      </c>
      <c r="D129" t="str">
        <f ca="1">IFERROR(__xludf.DUMMYFUNCTION("""COMPUTED_VALUE"""),"Research/Nikki")</f>
        <v>Research/Nikki</v>
      </c>
      <c r="E129" t="str">
        <f ca="1">IFERROR(__xludf.DUMMYFUNCTION("""COMPUTED_VALUE"""),"Aunt Kate's")</f>
        <v>Aunt Kate's</v>
      </c>
      <c r="F129" s="13">
        <f ca="1">IFERROR(__xludf.DUMMYFUNCTION("""COMPUTED_VALUE"""),0.347222222222626)</f>
        <v>0.347222222222626</v>
      </c>
      <c r="G129" s="14">
        <f ca="1">IFERROR(__xludf.DUMMYFUNCTION("""COMPUTED_VALUE"""),43332)</f>
        <v>43332</v>
      </c>
      <c r="H129" t="str">
        <f ca="1">IFERROR(__xludf.DUMMYFUNCTION("""COMPUTED_VALUE"""),"Robinson Creek oyster reefs")</f>
        <v>Robinson Creek oyster reefs</v>
      </c>
      <c r="I129" s="15">
        <f ca="1">IFERROR(__xludf.DUMMYFUNCTION("""COMPUTED_VALUE"""),0.638888888890505)</f>
        <v>0.63888888889050499</v>
      </c>
      <c r="J129" s="16">
        <f ca="1">IFERROR(__xludf.DUMMYFUNCTION("""COMPUTED_VALUE"""),43332.6527777777)</f>
        <v>43332.652777777701</v>
      </c>
      <c r="K129" t="str">
        <f ca="1">IFERROR(__xludf.DUMMYFUNCTION("""COMPUTED_VALUE"""),"20ft Sea Ark FL5351SJ UNF 2015")</f>
        <v>20ft Sea Ark FL5351SJ UNF 2015</v>
      </c>
      <c r="M129" t="str">
        <f ca="1">IFERROR(__xludf.DUMMYFUNCTION("""COMPUTED_VALUE"""),"Ford F250 2017 (Moby Dix) - DEP0021578")</f>
        <v>Ford F250 2017 (Moby Dix) - DEP0021578</v>
      </c>
      <c r="N129" t="str">
        <f ca="1">IFERROR(__xludf.DUMMYFUNCTION("""COMPUTED_VALUE"""),"Pam Marcum, (480) 332-5414, Ben Mowbray, (407) 962-8782")</f>
        <v>Pam Marcum, (480) 332-5414, Ben Mowbray, (407) 962-8782</v>
      </c>
      <c r="O129" t="str">
        <f ca="1">IFERROR(__xludf.DUMMYFUNCTION("""COMPUTED_VALUE"""),"four volunteers")</f>
        <v>four volunteers</v>
      </c>
      <c r="P129" t="str">
        <f ca="1">IFERROR(__xludf.DUMMYFUNCTION("""COMPUTED_VALUE"""),"Ben")</f>
        <v>Ben</v>
      </c>
      <c r="Q129" t="str">
        <f ca="1">IFERROR(__xludf.DUMMYFUNCTION("""COMPUTED_VALUE"""),"Good")</f>
        <v>Good</v>
      </c>
      <c r="R129" t="str">
        <f ca="1">IFERROR(__xludf.DUMMYFUNCTION("""COMPUTED_VALUE"""),"Good")</f>
        <v>Good</v>
      </c>
      <c r="S129" t="str">
        <f ca="1">IFERROR(__xludf.DUMMYFUNCTION("""COMPUTED_VALUE"""),"Good")</f>
        <v>Good</v>
      </c>
      <c r="T129" t="str">
        <f ca="1">IFERROR(__xludf.DUMMYFUNCTION("""COMPUTED_VALUE"""),"Good")</f>
        <v>Good</v>
      </c>
      <c r="U129" t="str">
        <f ca="1">IFERROR(__xludf.DUMMYFUNCTION("""COMPUTED_VALUE"""),"Good")</f>
        <v>Good</v>
      </c>
      <c r="V129" t="str">
        <f ca="1">IFERROR(__xludf.DUMMYFUNCTION("""COMPUTED_VALUE"""),"Good")</f>
        <v>Good</v>
      </c>
      <c r="W129" t="str">
        <f ca="1">IFERROR(__xludf.DUMMYFUNCTION("""COMPUTED_VALUE"""),"Good")</f>
        <v>Good</v>
      </c>
      <c r="X129" t="str">
        <f ca="1">IFERROR(__xludf.DUMMYFUNCTION("""COMPUTED_VALUE"""),"Good")</f>
        <v>Good</v>
      </c>
      <c r="Y129" t="str">
        <f ca="1">IFERROR(__xludf.DUMMYFUNCTION("""COMPUTED_VALUE"""),"Good")</f>
        <v>Good</v>
      </c>
      <c r="Z129" t="str">
        <f ca="1">IFERROR(__xludf.DUMMYFUNCTION("""COMPUTED_VALUE"""),"Good")</f>
        <v>Good</v>
      </c>
      <c r="AA129" t="str">
        <f ca="1">IFERROR(__xludf.DUMMYFUNCTION("""COMPUTED_VALUE"""),"Good")</f>
        <v>Good</v>
      </c>
      <c r="AB129" t="str">
        <f ca="1">IFERROR(__xludf.DUMMYFUNCTION("""COMPUTED_VALUE"""),"Good")</f>
        <v>Good</v>
      </c>
      <c r="AC129" t="str">
        <f ca="1">IFERROR(__xludf.DUMMYFUNCTION("""COMPUTED_VALUE"""),"Good")</f>
        <v>Good</v>
      </c>
      <c r="AE129" s="11"/>
      <c r="AF129" t="str">
        <v>Nikki.Dix@floridadep.gov</v>
      </c>
      <c r="AG129" s="17" t="s">
        <v>17</v>
      </c>
      <c r="AH129" s="12">
        <v>1325</v>
      </c>
      <c r="AI129" s="12" t="s">
        <v>327</v>
      </c>
      <c r="AJ129" s="19" t="s">
        <v>328</v>
      </c>
      <c r="AK129" s="20" t="str">
        <f>HYPERLINK("https://docs.google.com/document/d/1Xqh3FggsY2bltRwZowLuBS6_e56PQHzyI4rVU95A2Zg/edit?usp=drivesdk","Ben Mowbray - 8/20/2018 8:20 AM")</f>
        <v>Ben Mowbray - 8/20/2018 8:20 AM</v>
      </c>
      <c r="AL129" s="12" t="s">
        <v>329</v>
      </c>
    </row>
    <row r="130" spans="1:38" ht="12.75">
      <c r="A130" s="10">
        <f ca="1">IFERROR(__xludf.DUMMYFUNCTION("""COMPUTED_VALUE"""),43332.3560241203)</f>
        <v>43332.356024120301</v>
      </c>
      <c r="B130" s="11" t="str">
        <f ca="1">IFERROR(__xludf.DUMMYFUNCTION("""COMPUTED_VALUE"""),"James Tomazinis")</f>
        <v>James Tomazinis</v>
      </c>
      <c r="C130" t="str">
        <f ca="1">IFERROR(__xludf.DUMMYFUNCTION("""COMPUTED_VALUE"""),"james.tomazinis@floridadep.gov")</f>
        <v>james.tomazinis@floridadep.gov</v>
      </c>
      <c r="D130" t="str">
        <f ca="1">IFERROR(__xludf.DUMMYFUNCTION("""COMPUTED_VALUE"""),"Stewardship (Aquatic)")</f>
        <v>Stewardship (Aquatic)</v>
      </c>
      <c r="E130" t="str">
        <f ca="1">IFERROR(__xludf.DUMMYFUNCTION("""COMPUTED_VALUE"""),"Aunt Kates")</f>
        <v>Aunt Kates</v>
      </c>
      <c r="F130" s="13">
        <f ca="1">IFERROR(__xludf.DUMMYFUNCTION("""COMPUTED_VALUE"""),0.39583333333212)</f>
        <v>0.39583333333212001</v>
      </c>
      <c r="G130" s="14">
        <f ca="1">IFERROR(__xludf.DUMMYFUNCTION("""COMPUTED_VALUE"""),43332)</f>
        <v>43332</v>
      </c>
      <c r="H130" t="str">
        <f ca="1">IFERROR(__xludf.DUMMYFUNCTION("""COMPUTED_VALUE"""),"Tolomato and Guana Rivers")</f>
        <v>Tolomato and Guana Rivers</v>
      </c>
      <c r="I130" s="15">
        <f ca="1">IFERROR(__xludf.DUMMYFUNCTION("""COMPUTED_VALUE"""),0.70833333333212)</f>
        <v>0.70833333333212001</v>
      </c>
      <c r="J130" s="16"/>
      <c r="K130" t="str">
        <f ca="1">IFERROR(__xludf.DUMMYFUNCTION("""COMPUTED_VALUE"""),"23ft Skiff (Bertha) FL7972LJ DEP07613")</f>
        <v>23ft Skiff (Bertha) FL7972LJ DEP07613</v>
      </c>
      <c r="M130" t="str">
        <f ca="1">IFERROR(__xludf.DUMMYFUNCTION("""COMPUTED_VALUE"""),"Ford F150 2015 (White) - DEP21448")</f>
        <v>Ford F150 2015 (White) - DEP21448</v>
      </c>
      <c r="N130" t="str">
        <f ca="1">IFERROR(__xludf.DUMMYFUNCTION("""COMPUTED_VALUE"""),"Silas Tanner, (904) 483-8423, Jimmy Tomazinis, (904) 547-0094")</f>
        <v>Silas Tanner, (904) 483-8423, Jimmy Tomazinis, (904) 547-0094</v>
      </c>
      <c r="O130" t="str">
        <f ca="1">IFERROR(__xludf.DUMMYFUNCTION("""COMPUTED_VALUE"""),"Hunter Mathews")</f>
        <v>Hunter Mathews</v>
      </c>
      <c r="P130" t="str">
        <f ca="1">IFERROR(__xludf.DUMMYFUNCTION("""COMPUTED_VALUE"""),"Jimmy")</f>
        <v>Jimmy</v>
      </c>
      <c r="Q130" t="str">
        <f ca="1">IFERROR(__xludf.DUMMYFUNCTION("""COMPUTED_VALUE"""),"Good")</f>
        <v>Good</v>
      </c>
      <c r="R130" t="str">
        <f ca="1">IFERROR(__xludf.DUMMYFUNCTION("""COMPUTED_VALUE"""),"Good")</f>
        <v>Good</v>
      </c>
      <c r="S130" t="str">
        <f ca="1">IFERROR(__xludf.DUMMYFUNCTION("""COMPUTED_VALUE"""),"Good")</f>
        <v>Good</v>
      </c>
      <c r="T130" t="str">
        <f ca="1">IFERROR(__xludf.DUMMYFUNCTION("""COMPUTED_VALUE"""),"Good")</f>
        <v>Good</v>
      </c>
      <c r="U130" t="str">
        <f ca="1">IFERROR(__xludf.DUMMYFUNCTION("""COMPUTED_VALUE"""),"Good")</f>
        <v>Good</v>
      </c>
      <c r="V130" t="str">
        <f ca="1">IFERROR(__xludf.DUMMYFUNCTION("""COMPUTED_VALUE"""),"Good")</f>
        <v>Good</v>
      </c>
      <c r="W130" t="str">
        <f ca="1">IFERROR(__xludf.DUMMYFUNCTION("""COMPUTED_VALUE"""),"Good")</f>
        <v>Good</v>
      </c>
      <c r="X130" t="str">
        <f ca="1">IFERROR(__xludf.DUMMYFUNCTION("""COMPUTED_VALUE"""),"Good")</f>
        <v>Good</v>
      </c>
      <c r="Y130" t="str">
        <f ca="1">IFERROR(__xludf.DUMMYFUNCTION("""COMPUTED_VALUE"""),"Good")</f>
        <v>Good</v>
      </c>
      <c r="Z130" t="str">
        <f ca="1">IFERROR(__xludf.DUMMYFUNCTION("""COMPUTED_VALUE"""),"Good")</f>
        <v>Good</v>
      </c>
      <c r="AA130" t="str">
        <f ca="1">IFERROR(__xludf.DUMMYFUNCTION("""COMPUTED_VALUE"""),"Good")</f>
        <v>Good</v>
      </c>
      <c r="AB130" t="str">
        <f ca="1">IFERROR(__xludf.DUMMYFUNCTION("""COMPUTED_VALUE"""),"Good")</f>
        <v>Good</v>
      </c>
      <c r="AC130" t="str">
        <f ca="1">IFERROR(__xludf.DUMMYFUNCTION("""COMPUTED_VALUE"""),"Good")</f>
        <v>Good</v>
      </c>
      <c r="AE130" s="11"/>
      <c r="AF130" t="str">
        <v>Scott.Eastman@floridadep.gov</v>
      </c>
      <c r="AG130" s="17" t="s">
        <v>21</v>
      </c>
      <c r="AH130" s="12">
        <v>1652</v>
      </c>
      <c r="AI130" s="12" t="s">
        <v>330</v>
      </c>
      <c r="AJ130" s="19" t="s">
        <v>331</v>
      </c>
      <c r="AK130" s="20" t="str">
        <f>HYPERLINK("https://docs.google.com/document/d/1LabdHmssr2wUehcOV54gssrkT8MfwEnxZTasLs1gtgo/edit?usp=drivesdk","James Tomazinis - 8/20/2018 9:30 AM")</f>
        <v>James Tomazinis - 8/20/2018 9:30 AM</v>
      </c>
      <c r="AL130" s="12" t="s">
        <v>332</v>
      </c>
    </row>
    <row r="131" spans="1:38" ht="12.75">
      <c r="A131" s="10">
        <f ca="1">IFERROR(__xludf.DUMMYFUNCTION("""COMPUTED_VALUE"""),43333.3564624884)</f>
        <v>43333.356462488402</v>
      </c>
      <c r="B131" s="11" t="str">
        <f ca="1">IFERROR(__xludf.DUMMYFUNCTION("""COMPUTED_VALUE"""),"James Tomazinis")</f>
        <v>James Tomazinis</v>
      </c>
      <c r="C131" t="str">
        <f ca="1">IFERROR(__xludf.DUMMYFUNCTION("""COMPUTED_VALUE"""),"james.tomazinis@floridadep.gov")</f>
        <v>james.tomazinis@floridadep.gov</v>
      </c>
      <c r="D131" t="str">
        <f ca="1">IFERROR(__xludf.DUMMYFUNCTION("""COMPUTED_VALUE"""),"Stewardship (Aquatic)")</f>
        <v>Stewardship (Aquatic)</v>
      </c>
      <c r="E131" t="str">
        <f ca="1">IFERROR(__xludf.DUMMYFUNCTION("""COMPUTED_VALUE"""),"Aunt Kates")</f>
        <v>Aunt Kates</v>
      </c>
      <c r="F131" s="13">
        <f ca="1">IFERROR(__xludf.DUMMYFUNCTION("""COMPUTED_VALUE"""),0.39583333333212)</f>
        <v>0.39583333333212001</v>
      </c>
      <c r="G131" s="14">
        <f ca="1">IFERROR(__xludf.DUMMYFUNCTION("""COMPUTED_VALUE"""),43333)</f>
        <v>43333</v>
      </c>
      <c r="H131" t="str">
        <f ca="1">IFERROR(__xludf.DUMMYFUNCTION("""COMPUTED_VALUE"""),"Tolomato and Guana Rivers")</f>
        <v>Tolomato and Guana Rivers</v>
      </c>
      <c r="I131" s="15">
        <f ca="1">IFERROR(__xludf.DUMMYFUNCTION("""COMPUTED_VALUE"""),0.70833333333212)</f>
        <v>0.70833333333212001</v>
      </c>
      <c r="J131" s="16"/>
      <c r="K131" t="str">
        <f ca="1">IFERROR(__xludf.DUMMYFUNCTION("""COMPUTED_VALUE"""),"23ft Skiff (Bertha) FL7972LJ DEP07613")</f>
        <v>23ft Skiff (Bertha) FL7972LJ DEP07613</v>
      </c>
      <c r="M131" t="str">
        <f ca="1">IFERROR(__xludf.DUMMYFUNCTION("""COMPUTED_VALUE"""),"Ford F150 2015 (White) - DEP21448")</f>
        <v>Ford F150 2015 (White) - DEP21448</v>
      </c>
      <c r="N131" t="str">
        <f ca="1">IFERROR(__xludf.DUMMYFUNCTION("""COMPUTED_VALUE"""),"Silas Tanner, (904) 483-8423, Jimmy Tomazinis, (904) 547-0094")</f>
        <v>Silas Tanner, (904) 483-8423, Jimmy Tomazinis, (904) 547-0094</v>
      </c>
      <c r="O131" t="str">
        <f ca="1">IFERROR(__xludf.DUMMYFUNCTION("""COMPUTED_VALUE"""),"Hunter Mathews and Mike Dickson")</f>
        <v>Hunter Mathews and Mike Dickson</v>
      </c>
      <c r="P131" t="str">
        <f ca="1">IFERROR(__xludf.DUMMYFUNCTION("""COMPUTED_VALUE"""),"Jimmy")</f>
        <v>Jimmy</v>
      </c>
      <c r="Q131" t="str">
        <f ca="1">IFERROR(__xludf.DUMMYFUNCTION("""COMPUTED_VALUE"""),"Good")</f>
        <v>Good</v>
      </c>
      <c r="R131" t="str">
        <f ca="1">IFERROR(__xludf.DUMMYFUNCTION("""COMPUTED_VALUE"""),"Good")</f>
        <v>Good</v>
      </c>
      <c r="S131" t="str">
        <f ca="1">IFERROR(__xludf.DUMMYFUNCTION("""COMPUTED_VALUE"""),"Good")</f>
        <v>Good</v>
      </c>
      <c r="T131" t="str">
        <f ca="1">IFERROR(__xludf.DUMMYFUNCTION("""COMPUTED_VALUE"""),"Good")</f>
        <v>Good</v>
      </c>
      <c r="U131" t="str">
        <f ca="1">IFERROR(__xludf.DUMMYFUNCTION("""COMPUTED_VALUE"""),"Good")</f>
        <v>Good</v>
      </c>
      <c r="V131" t="str">
        <f ca="1">IFERROR(__xludf.DUMMYFUNCTION("""COMPUTED_VALUE"""),"Good")</f>
        <v>Good</v>
      </c>
      <c r="W131" t="str">
        <f ca="1">IFERROR(__xludf.DUMMYFUNCTION("""COMPUTED_VALUE"""),"Good")</f>
        <v>Good</v>
      </c>
      <c r="X131" t="str">
        <f ca="1">IFERROR(__xludf.DUMMYFUNCTION("""COMPUTED_VALUE"""),"Good")</f>
        <v>Good</v>
      </c>
      <c r="Y131" t="str">
        <f ca="1">IFERROR(__xludf.DUMMYFUNCTION("""COMPUTED_VALUE"""),"Good")</f>
        <v>Good</v>
      </c>
      <c r="Z131" t="str">
        <f ca="1">IFERROR(__xludf.DUMMYFUNCTION("""COMPUTED_VALUE"""),"Good")</f>
        <v>Good</v>
      </c>
      <c r="AA131" t="str">
        <f ca="1">IFERROR(__xludf.DUMMYFUNCTION("""COMPUTED_VALUE"""),"Good")</f>
        <v>Good</v>
      </c>
      <c r="AB131" t="str">
        <f ca="1">IFERROR(__xludf.DUMMYFUNCTION("""COMPUTED_VALUE"""),"Good")</f>
        <v>Good</v>
      </c>
      <c r="AC131" t="str">
        <f ca="1">IFERROR(__xludf.DUMMYFUNCTION("""COMPUTED_VALUE"""),"Good")</f>
        <v>Good</v>
      </c>
      <c r="AE131" s="11"/>
      <c r="AF131" t="str">
        <v>Scott.Eastman@floridadep.gov</v>
      </c>
      <c r="AG131" s="17" t="s">
        <v>17</v>
      </c>
      <c r="AH131" s="12">
        <v>1535</v>
      </c>
      <c r="AI131" s="12" t="s">
        <v>333</v>
      </c>
      <c r="AJ131" s="19" t="s">
        <v>334</v>
      </c>
      <c r="AK131" s="20" t="str">
        <f>HYPERLINK("https://docs.google.com/document/d/1q53uSpEdchRnj-Rtxaj4hDDzRXe32da2SRUUmKfdEYs/edit?usp=drivesdk","James Tomazinis - 8/21/2018 9:30 AM")</f>
        <v>James Tomazinis - 8/21/2018 9:30 AM</v>
      </c>
      <c r="AL131" s="12" t="s">
        <v>335</v>
      </c>
    </row>
    <row r="132" spans="1:38" ht="12.75">
      <c r="A132" s="10">
        <f ca="1">IFERROR(__xludf.DUMMYFUNCTION("""COMPUTED_VALUE"""),43333.3805854976)</f>
        <v>43333.380585497602</v>
      </c>
      <c r="B132" s="11" t="str">
        <f ca="1">IFERROR(__xludf.DUMMYFUNCTION("""COMPUTED_VALUE"""),"Ben Mowbray")</f>
        <v>Ben Mowbray</v>
      </c>
      <c r="C132" t="str">
        <f ca="1">IFERROR(__xludf.DUMMYFUNCTION("""COMPUTED_VALUE"""),"ben.mowbray@dep.state.fl.us")</f>
        <v>ben.mowbray@dep.state.fl.us</v>
      </c>
      <c r="D132" t="str">
        <f ca="1">IFERROR(__xludf.DUMMYFUNCTION("""COMPUTED_VALUE"""),"Research/Nikki")</f>
        <v>Research/Nikki</v>
      </c>
      <c r="E132" t="str">
        <f ca="1">IFERROR(__xludf.DUMMYFUNCTION("""COMPUTED_VALUE"""),"Aunt Kate's")</f>
        <v>Aunt Kate's</v>
      </c>
      <c r="F132" s="13">
        <f ca="1">IFERROR(__xludf.DUMMYFUNCTION("""COMPUTED_VALUE"""),0.402777777777373)</f>
        <v>0.402777777777373</v>
      </c>
      <c r="G132" s="14">
        <f ca="1">IFERROR(__xludf.DUMMYFUNCTION("""COMPUTED_VALUE"""),43333)</f>
        <v>43333</v>
      </c>
      <c r="H132" t="str">
        <f ca="1">IFERROR(__xludf.DUMMYFUNCTION("""COMPUTED_VALUE"""),"Guana River Reefs")</f>
        <v>Guana River Reefs</v>
      </c>
      <c r="I132" s="15">
        <f ca="1">IFERROR(__xludf.DUMMYFUNCTION("""COMPUTED_VALUE"""),0.5625)</f>
        <v>0.5625</v>
      </c>
      <c r="J132" s="16">
        <f ca="1">IFERROR(__xludf.DUMMYFUNCTION("""COMPUTED_VALUE"""),43333.5833333333)</f>
        <v>43333.583333333299</v>
      </c>
      <c r="K132" t="str">
        <f ca="1">IFERROR(__xludf.DUMMYFUNCTION("""COMPUTED_VALUE"""),"20ft Sea Ark FL5351SJ UNF 2015")</f>
        <v>20ft Sea Ark FL5351SJ UNF 2015</v>
      </c>
      <c r="M132" t="str">
        <f ca="1">IFERROR(__xludf.DUMMYFUNCTION("""COMPUTED_VALUE"""),"Ford F250 2017 (Moby Dix) - DEP0021578")</f>
        <v>Ford F250 2017 (Moby Dix) - DEP0021578</v>
      </c>
      <c r="N132" t="str">
        <f ca="1">IFERROR(__xludf.DUMMYFUNCTION("""COMPUTED_VALUE"""),"Pam Marcum, (480) 332-5414, Ben Mowbray, (407) 962-8782, Remo")</f>
        <v>Pam Marcum, (480) 332-5414, Ben Mowbray, (407) 962-8782, Remo</v>
      </c>
      <c r="O132" t="str">
        <f ca="1">IFERROR(__xludf.DUMMYFUNCTION("""COMPUTED_VALUE"""),"Amy Brownfield, Sooz, Mike Darragh ")</f>
        <v xml:space="preserve">Amy Brownfield, Sooz, Mike Darragh </v>
      </c>
      <c r="P132" t="str">
        <f ca="1">IFERROR(__xludf.DUMMYFUNCTION("""COMPUTED_VALUE"""),"Pam")</f>
        <v>Pam</v>
      </c>
      <c r="Q132" t="str">
        <f ca="1">IFERROR(__xludf.DUMMYFUNCTION("""COMPUTED_VALUE"""),"Good")</f>
        <v>Good</v>
      </c>
      <c r="R132" t="str">
        <f ca="1">IFERROR(__xludf.DUMMYFUNCTION("""COMPUTED_VALUE"""),"Good")</f>
        <v>Good</v>
      </c>
      <c r="S132" t="str">
        <f ca="1">IFERROR(__xludf.DUMMYFUNCTION("""COMPUTED_VALUE"""),"Good")</f>
        <v>Good</v>
      </c>
      <c r="T132" t="str">
        <f ca="1">IFERROR(__xludf.DUMMYFUNCTION("""COMPUTED_VALUE"""),"Good")</f>
        <v>Good</v>
      </c>
      <c r="U132" t="str">
        <f ca="1">IFERROR(__xludf.DUMMYFUNCTION("""COMPUTED_VALUE"""),"Good")</f>
        <v>Good</v>
      </c>
      <c r="V132" t="str">
        <f ca="1">IFERROR(__xludf.DUMMYFUNCTION("""COMPUTED_VALUE"""),"Good")</f>
        <v>Good</v>
      </c>
      <c r="W132" t="str">
        <f ca="1">IFERROR(__xludf.DUMMYFUNCTION("""COMPUTED_VALUE"""),"Good")</f>
        <v>Good</v>
      </c>
      <c r="X132" t="str">
        <f ca="1">IFERROR(__xludf.DUMMYFUNCTION("""COMPUTED_VALUE"""),"Good")</f>
        <v>Good</v>
      </c>
      <c r="Y132" t="str">
        <f ca="1">IFERROR(__xludf.DUMMYFUNCTION("""COMPUTED_VALUE"""),"Good")</f>
        <v>Good</v>
      </c>
      <c r="Z132" t="str">
        <f ca="1">IFERROR(__xludf.DUMMYFUNCTION("""COMPUTED_VALUE"""),"Good")</f>
        <v>Good</v>
      </c>
      <c r="AA132" t="str">
        <f ca="1">IFERROR(__xludf.DUMMYFUNCTION("""COMPUTED_VALUE"""),"Good")</f>
        <v>Good</v>
      </c>
      <c r="AB132" t="str">
        <f ca="1">IFERROR(__xludf.DUMMYFUNCTION("""COMPUTED_VALUE"""),"Good")</f>
        <v>Good</v>
      </c>
      <c r="AC132" t="str">
        <f ca="1">IFERROR(__xludf.DUMMYFUNCTION("""COMPUTED_VALUE"""),"Good")</f>
        <v>Good</v>
      </c>
      <c r="AE132" s="11"/>
      <c r="AF132" t="str">
        <v>Nikki.Dix@floridadep.gov</v>
      </c>
      <c r="AG132" s="17" t="s">
        <v>17</v>
      </c>
      <c r="AH132" s="12">
        <v>1320</v>
      </c>
      <c r="AI132" s="12" t="s">
        <v>336</v>
      </c>
      <c r="AJ132" s="19" t="s">
        <v>337</v>
      </c>
      <c r="AK132" s="20" t="str">
        <f>HYPERLINK("https://docs.google.com/document/d/1-b6Gewks7v19ieHsXcoC8h0jDEWW_u_gOcnr1iFkHVU/edit?usp=drivesdk","Ben Mowbray - 8/21/2018 9:40 AM")</f>
        <v>Ben Mowbray - 8/21/2018 9:40 AM</v>
      </c>
      <c r="AL132" s="12" t="s">
        <v>338</v>
      </c>
    </row>
    <row r="133" spans="1:38" ht="12.75">
      <c r="A133" s="10">
        <f ca="1">IFERROR(__xludf.DUMMYFUNCTION("""COMPUTED_VALUE"""),43334.3862479166)</f>
        <v>43334.386247916598</v>
      </c>
      <c r="B133" s="11" t="str">
        <f ca="1">IFERROR(__xludf.DUMMYFUNCTION("""COMPUTED_VALUE"""),"James Tomazinis")</f>
        <v>James Tomazinis</v>
      </c>
      <c r="C133" t="str">
        <f ca="1">IFERROR(__xludf.DUMMYFUNCTION("""COMPUTED_VALUE"""),"james.tomazinis@floridadep.gov")</f>
        <v>james.tomazinis@floridadep.gov</v>
      </c>
      <c r="D133" t="str">
        <f ca="1">IFERROR(__xludf.DUMMYFUNCTION("""COMPUTED_VALUE"""),"Stewardship (Aquatic)")</f>
        <v>Stewardship (Aquatic)</v>
      </c>
      <c r="E133" t="str">
        <f ca="1">IFERROR(__xludf.DUMMYFUNCTION("""COMPUTED_VALUE"""),"Vilano")</f>
        <v>Vilano</v>
      </c>
      <c r="F133" s="13">
        <f ca="1">IFERROR(__xludf.DUMMYFUNCTION("""COMPUTED_VALUE"""),0.39583333333212)</f>
        <v>0.39583333333212001</v>
      </c>
      <c r="G133" s="14">
        <f ca="1">IFERROR(__xludf.DUMMYFUNCTION("""COMPUTED_VALUE"""),43334)</f>
        <v>43334</v>
      </c>
      <c r="H133" t="str">
        <f ca="1">IFERROR(__xludf.DUMMYFUNCTION("""COMPUTED_VALUE"""),"Matanzas River south of 312")</f>
        <v>Matanzas River south of 312</v>
      </c>
      <c r="I133" s="15">
        <f ca="1">IFERROR(__xludf.DUMMYFUNCTION("""COMPUTED_VALUE"""),0.70833333333212)</f>
        <v>0.70833333333212001</v>
      </c>
      <c r="J133" s="16"/>
      <c r="K133" t="str">
        <f ca="1">IFERROR(__xludf.DUMMYFUNCTION("""COMPUTED_VALUE"""),"23ft Skiff (Bertha) FL7972LJ DEP07613")</f>
        <v>23ft Skiff (Bertha) FL7972LJ DEP07613</v>
      </c>
      <c r="M133" t="str">
        <f ca="1">IFERROR(__xludf.DUMMYFUNCTION("""COMPUTED_VALUE"""),"Ford F150 2015 (White) - DEP21448")</f>
        <v>Ford F150 2015 (White) - DEP21448</v>
      </c>
      <c r="N133" t="str">
        <f ca="1">IFERROR(__xludf.DUMMYFUNCTION("""COMPUTED_VALUE"""),"Scott Eastman, (904) 501-9267, Jimmy Tomazinis, (904) 547-0094")</f>
        <v>Scott Eastman, (904) 501-9267, Jimmy Tomazinis, (904) 547-0094</v>
      </c>
      <c r="O133" t="str">
        <f ca="1">IFERROR(__xludf.DUMMYFUNCTION("""COMPUTED_VALUE"""),"Suzi Porterfield")</f>
        <v>Suzi Porterfield</v>
      </c>
      <c r="P133" t="str">
        <f ca="1">IFERROR(__xludf.DUMMYFUNCTION("""COMPUTED_VALUE"""),"Jimmy")</f>
        <v>Jimmy</v>
      </c>
      <c r="Q133" t="str">
        <f ca="1">IFERROR(__xludf.DUMMYFUNCTION("""COMPUTED_VALUE"""),"Good")</f>
        <v>Good</v>
      </c>
      <c r="R133" t="str">
        <f ca="1">IFERROR(__xludf.DUMMYFUNCTION("""COMPUTED_VALUE"""),"Good")</f>
        <v>Good</v>
      </c>
      <c r="S133" t="str">
        <f ca="1">IFERROR(__xludf.DUMMYFUNCTION("""COMPUTED_VALUE"""),"Good")</f>
        <v>Good</v>
      </c>
      <c r="T133" t="str">
        <f ca="1">IFERROR(__xludf.DUMMYFUNCTION("""COMPUTED_VALUE"""),"Good")</f>
        <v>Good</v>
      </c>
      <c r="U133" t="str">
        <f ca="1">IFERROR(__xludf.DUMMYFUNCTION("""COMPUTED_VALUE"""),"Good")</f>
        <v>Good</v>
      </c>
      <c r="V133" t="str">
        <f ca="1">IFERROR(__xludf.DUMMYFUNCTION("""COMPUTED_VALUE"""),"Good")</f>
        <v>Good</v>
      </c>
      <c r="W133" t="str">
        <f ca="1">IFERROR(__xludf.DUMMYFUNCTION("""COMPUTED_VALUE"""),"Good")</f>
        <v>Good</v>
      </c>
      <c r="X133" t="str">
        <f ca="1">IFERROR(__xludf.DUMMYFUNCTION("""COMPUTED_VALUE"""),"Good")</f>
        <v>Good</v>
      </c>
      <c r="Y133" t="str">
        <f ca="1">IFERROR(__xludf.DUMMYFUNCTION("""COMPUTED_VALUE"""),"Good")</f>
        <v>Good</v>
      </c>
      <c r="Z133" t="str">
        <f ca="1">IFERROR(__xludf.DUMMYFUNCTION("""COMPUTED_VALUE"""),"Good")</f>
        <v>Good</v>
      </c>
      <c r="AA133" t="str">
        <f ca="1">IFERROR(__xludf.DUMMYFUNCTION("""COMPUTED_VALUE"""),"Good")</f>
        <v>Good</v>
      </c>
      <c r="AB133" t="str">
        <f ca="1">IFERROR(__xludf.DUMMYFUNCTION("""COMPUTED_VALUE"""),"Good")</f>
        <v>Good</v>
      </c>
      <c r="AC133" t="str">
        <f ca="1">IFERROR(__xludf.DUMMYFUNCTION("""COMPUTED_VALUE"""),"Good")</f>
        <v>Good</v>
      </c>
      <c r="AE133" s="11"/>
      <c r="AF133" t="str">
        <v>Scott.Eastman@floridadep.gov</v>
      </c>
      <c r="AG133" s="17" t="s">
        <v>17</v>
      </c>
      <c r="AH133" s="12">
        <v>1537</v>
      </c>
      <c r="AI133" s="12" t="s">
        <v>339</v>
      </c>
      <c r="AJ133" s="19" t="s">
        <v>340</v>
      </c>
      <c r="AK133" s="20" t="str">
        <f>HYPERLINK("https://docs.google.com/document/d/1FbfrpXrmysodX8qvntPP4u8abx1oSvLdYgvdnAhlqV4/edit?usp=drivesdk","James Tomazinis - 8/22/2018 9:30 AM")</f>
        <v>James Tomazinis - 8/22/2018 9:30 AM</v>
      </c>
      <c r="AL133" s="12" t="s">
        <v>341</v>
      </c>
    </row>
    <row r="134" spans="1:38" ht="12.75">
      <c r="A134" s="10">
        <f ca="1">IFERROR(__xludf.DUMMYFUNCTION("""COMPUTED_VALUE"""),43334.654585405)</f>
        <v>43334.654585404998</v>
      </c>
      <c r="B134" s="11" t="str">
        <f ca="1">IFERROR(__xludf.DUMMYFUNCTION("""COMPUTED_VALUE"""),"Silas Tanner")</f>
        <v>Silas Tanner</v>
      </c>
      <c r="C134" t="str">
        <f ca="1">IFERROR(__xludf.DUMMYFUNCTION("""COMPUTED_VALUE"""),"silas.tanner@floridadep.gov")</f>
        <v>silas.tanner@floridadep.gov</v>
      </c>
      <c r="D134" t="str">
        <f ca="1">IFERROR(__xludf.DUMMYFUNCTION("""COMPUTED_VALUE"""),"Research/Nikki")</f>
        <v>Research/Nikki</v>
      </c>
      <c r="E134" t="str">
        <f ca="1">IFERROR(__xludf.DUMMYFUNCTION("""COMPUTED_VALUE"""),"Vilano County Ramp")</f>
        <v>Vilano County Ramp</v>
      </c>
      <c r="F134" s="13">
        <f ca="1">IFERROR(__xludf.DUMMYFUNCTION("""COMPUTED_VALUE"""),0.30208333333212)</f>
        <v>0.30208333333212001</v>
      </c>
      <c r="G134" s="14">
        <f ca="1">IFERROR(__xludf.DUMMYFUNCTION("""COMPUTED_VALUE"""),43335)</f>
        <v>43335</v>
      </c>
      <c r="H134" t="str">
        <f ca="1">IFERROR(__xludf.DUMMYFUNCTION("""COMPUTED_VALUE"""),"ICW - SWMP sites")</f>
        <v>ICW - SWMP sites</v>
      </c>
      <c r="I134" s="15">
        <f ca="1">IFERROR(__xludf.DUMMYFUNCTION("""COMPUTED_VALUE"""),0.625)</f>
        <v>0.625</v>
      </c>
      <c r="J134" s="16">
        <f ca="1">IFERROR(__xludf.DUMMYFUNCTION("""COMPUTED_VALUE"""),43335.6458333333)</f>
        <v>43335.645833333299</v>
      </c>
      <c r="K134" t="str">
        <f ca="1">IFERROR(__xludf.DUMMYFUNCTION("""COMPUTED_VALUE"""),"20ft Sea Ark FL5351SJ UNF 2015")</f>
        <v>20ft Sea Ark FL5351SJ UNF 2015</v>
      </c>
      <c r="M134" t="str">
        <f ca="1">IFERROR(__xludf.DUMMYFUNCTION("""COMPUTED_VALUE"""),"Ford F250 2017 (Moby Dix) - DEP0021578")</f>
        <v>Ford F250 2017 (Moby Dix) - DEP0021578</v>
      </c>
      <c r="N134" t="str">
        <f ca="1">IFERROR(__xludf.DUMMYFUNCTION("""COMPUTED_VALUE"""),"Shannon Dunnigan, (803) 727-5734, Silas Tanner, (904) 483-8423")</f>
        <v>Shannon Dunnigan, (803) 727-5734, Silas Tanner, (904) 483-8423</v>
      </c>
      <c r="O134" t="str">
        <f ca="1">IFERROR(__xludf.DUMMYFUNCTION("""COMPUTED_VALUE"""),"Mike Darragh")</f>
        <v>Mike Darragh</v>
      </c>
      <c r="P134" t="str">
        <f ca="1">IFERROR(__xludf.DUMMYFUNCTION("""COMPUTED_VALUE"""),"Shannon Dunnigan")</f>
        <v>Shannon Dunnigan</v>
      </c>
      <c r="Q134" t="str">
        <f ca="1">IFERROR(__xludf.DUMMYFUNCTION("""COMPUTED_VALUE"""),"Good")</f>
        <v>Good</v>
      </c>
      <c r="R134" t="str">
        <f ca="1">IFERROR(__xludf.DUMMYFUNCTION("""COMPUTED_VALUE"""),"Good")</f>
        <v>Good</v>
      </c>
      <c r="S134" t="str">
        <f ca="1">IFERROR(__xludf.DUMMYFUNCTION("""COMPUTED_VALUE"""),"Good")</f>
        <v>Good</v>
      </c>
      <c r="T134" t="str">
        <f ca="1">IFERROR(__xludf.DUMMYFUNCTION("""COMPUTED_VALUE"""),"Good")</f>
        <v>Good</v>
      </c>
      <c r="U134" t="str">
        <f ca="1">IFERROR(__xludf.DUMMYFUNCTION("""COMPUTED_VALUE"""),"Good")</f>
        <v>Good</v>
      </c>
      <c r="V134" t="str">
        <f ca="1">IFERROR(__xludf.DUMMYFUNCTION("""COMPUTED_VALUE"""),"Good")</f>
        <v>Good</v>
      </c>
      <c r="W134" t="str">
        <f ca="1">IFERROR(__xludf.DUMMYFUNCTION("""COMPUTED_VALUE"""),"Good")</f>
        <v>Good</v>
      </c>
      <c r="X134" t="str">
        <f ca="1">IFERROR(__xludf.DUMMYFUNCTION("""COMPUTED_VALUE"""),"Good")</f>
        <v>Good</v>
      </c>
      <c r="Y134" t="str">
        <f ca="1">IFERROR(__xludf.DUMMYFUNCTION("""COMPUTED_VALUE"""),"Good")</f>
        <v>Good</v>
      </c>
      <c r="Z134" t="str">
        <f ca="1">IFERROR(__xludf.DUMMYFUNCTION("""COMPUTED_VALUE"""),"Good")</f>
        <v>Good</v>
      </c>
      <c r="AA134" t="str">
        <f ca="1">IFERROR(__xludf.DUMMYFUNCTION("""COMPUTED_VALUE"""),"Good")</f>
        <v>Good</v>
      </c>
      <c r="AB134" t="str">
        <f ca="1">IFERROR(__xludf.DUMMYFUNCTION("""COMPUTED_VALUE"""),"Good")</f>
        <v>Good</v>
      </c>
      <c r="AC134" t="str">
        <f ca="1">IFERROR(__xludf.DUMMYFUNCTION("""COMPUTED_VALUE"""),"Good")</f>
        <v>Good</v>
      </c>
      <c r="AE134" s="11"/>
      <c r="AF134" t="str">
        <v>Nikki.Dix@floridadep.gov</v>
      </c>
      <c r="AG134" s="17" t="s">
        <v>58</v>
      </c>
      <c r="AH134" s="12">
        <v>1140</v>
      </c>
      <c r="AI134" s="12" t="s">
        <v>342</v>
      </c>
      <c r="AJ134" s="19" t="s">
        <v>343</v>
      </c>
      <c r="AK134" s="20" t="str">
        <f>HYPERLINK("https://docs.google.com/document/d/1V_UjvbS_4beIAIbGI2rknHAZN_bkiraEkuj6Ua6mwWE/edit?usp=drivesdk","Silas Tanner - 8/23/2018 7:15 AM")</f>
        <v>Silas Tanner - 8/23/2018 7:15 AM</v>
      </c>
      <c r="AL134" s="12" t="s">
        <v>344</v>
      </c>
    </row>
    <row r="135" spans="1:38" ht="12.75">
      <c r="A135" s="10">
        <f ca="1">IFERROR(__xludf.DUMMYFUNCTION("""COMPUTED_VALUE"""),43335.3897706597)</f>
        <v>43335.389770659698</v>
      </c>
      <c r="B135" s="11" t="str">
        <f ca="1">IFERROR(__xludf.DUMMYFUNCTION("""COMPUTED_VALUE"""),"Pam Marcum")</f>
        <v>Pam Marcum</v>
      </c>
      <c r="C135" t="str">
        <f ca="1">IFERROR(__xludf.DUMMYFUNCTION("""COMPUTED_VALUE"""),"Pamela.Marcum@dep.state.fl.us")</f>
        <v>Pamela.Marcum@dep.state.fl.us</v>
      </c>
      <c r="D135" t="str">
        <f ca="1">IFERROR(__xludf.DUMMYFUNCTION("""COMPUTED_VALUE"""),"Research/Nikki")</f>
        <v>Research/Nikki</v>
      </c>
      <c r="E135" t="str">
        <f ca="1">IFERROR(__xludf.DUMMYFUNCTION("""COMPUTED_VALUE"""),"Aunt Kate's")</f>
        <v>Aunt Kate's</v>
      </c>
      <c r="F135" s="13">
        <f ca="1">IFERROR(__xludf.DUMMYFUNCTION("""COMPUTED_VALUE"""),0.45833333333212)</f>
        <v>0.45833333333212001</v>
      </c>
      <c r="G135" s="14">
        <f ca="1">IFERROR(__xludf.DUMMYFUNCTION("""COMPUTED_VALUE"""),43335)</f>
        <v>43335</v>
      </c>
      <c r="H135" t="str">
        <f ca="1">IFERROR(__xludf.DUMMYFUNCTION("""COMPUTED_VALUE"""),"Robinson's Creek &amp; Guana River")</f>
        <v>Robinson's Creek &amp; Guana River</v>
      </c>
      <c r="I135" s="15">
        <f ca="1">IFERROR(__xludf.DUMMYFUNCTION("""COMPUTED_VALUE"""),0.625)</f>
        <v>0.625</v>
      </c>
      <c r="J135" s="16">
        <f ca="1">IFERROR(__xludf.DUMMYFUNCTION("""COMPUTED_VALUE"""),43335.6666666666)</f>
        <v>43335.666666666599</v>
      </c>
      <c r="K135" t="str">
        <f ca="1">IFERROR(__xludf.DUMMYFUNCTION("""COMPUTED_VALUE"""),"F 20ft Sea Ark (Easy 200) FL8534PY DEP21451")</f>
        <v>F 20ft Sea Ark (Easy 200) FL8534PY DEP21451</v>
      </c>
      <c r="M135" t="str">
        <f ca="1">IFERROR(__xludf.DUMMYFUNCTION("""COMPUTED_VALUE"""),"Ford F150 4-door DEP07668")</f>
        <v>Ford F150 4-door DEP07668</v>
      </c>
      <c r="N135" t="str">
        <f ca="1">IFERROR(__xludf.DUMMYFUNCTION("""COMPUTED_VALUE"""),"Pam Marcum, (480) 332-5414, Ben Mowbray, (407) 962-8782")</f>
        <v>Pam Marcum, (480) 332-5414, Ben Mowbray, (407) 962-8782</v>
      </c>
      <c r="P135" t="str">
        <f ca="1">IFERROR(__xludf.DUMMYFUNCTION("""COMPUTED_VALUE"""),"Pam Marcum")</f>
        <v>Pam Marcum</v>
      </c>
      <c r="Q135" t="str">
        <f ca="1">IFERROR(__xludf.DUMMYFUNCTION("""COMPUTED_VALUE"""),"Good")</f>
        <v>Good</v>
      </c>
      <c r="R135" t="str">
        <f ca="1">IFERROR(__xludf.DUMMYFUNCTION("""COMPUTED_VALUE"""),"Good")</f>
        <v>Good</v>
      </c>
      <c r="S135" t="str">
        <f ca="1">IFERROR(__xludf.DUMMYFUNCTION("""COMPUTED_VALUE"""),"Good")</f>
        <v>Good</v>
      </c>
      <c r="T135" t="str">
        <f ca="1">IFERROR(__xludf.DUMMYFUNCTION("""COMPUTED_VALUE"""),"Good")</f>
        <v>Good</v>
      </c>
      <c r="U135" t="str">
        <f ca="1">IFERROR(__xludf.DUMMYFUNCTION("""COMPUTED_VALUE"""),"Good")</f>
        <v>Good</v>
      </c>
      <c r="V135" t="str">
        <f ca="1">IFERROR(__xludf.DUMMYFUNCTION("""COMPUTED_VALUE"""),"Good")</f>
        <v>Good</v>
      </c>
      <c r="W135" t="str">
        <f ca="1">IFERROR(__xludf.DUMMYFUNCTION("""COMPUTED_VALUE"""),"Good")</f>
        <v>Good</v>
      </c>
      <c r="X135" t="str">
        <f ca="1">IFERROR(__xludf.DUMMYFUNCTION("""COMPUTED_VALUE"""),"Good")</f>
        <v>Good</v>
      </c>
      <c r="Y135" t="str">
        <f ca="1">IFERROR(__xludf.DUMMYFUNCTION("""COMPUTED_VALUE"""),"Good")</f>
        <v>Good</v>
      </c>
      <c r="Z135" t="str">
        <f ca="1">IFERROR(__xludf.DUMMYFUNCTION("""COMPUTED_VALUE"""),"Good")</f>
        <v>Good</v>
      </c>
      <c r="AA135" t="str">
        <f ca="1">IFERROR(__xludf.DUMMYFUNCTION("""COMPUTED_VALUE"""),"Good")</f>
        <v>Good</v>
      </c>
      <c r="AB135" t="str">
        <f ca="1">IFERROR(__xludf.DUMMYFUNCTION("""COMPUTED_VALUE"""),"Good")</f>
        <v>Good</v>
      </c>
      <c r="AC135" t="str">
        <f ca="1">IFERROR(__xludf.DUMMYFUNCTION("""COMPUTED_VALUE"""),"Good")</f>
        <v>Good</v>
      </c>
      <c r="AE135" s="11"/>
      <c r="AF135" t="str">
        <v>Nikki.Dix@floridadep.gov</v>
      </c>
      <c r="AG135" s="17" t="s">
        <v>58</v>
      </c>
      <c r="AH135" s="12">
        <v>1324</v>
      </c>
      <c r="AI135" s="12" t="s">
        <v>345</v>
      </c>
      <c r="AJ135" s="19" t="s">
        <v>346</v>
      </c>
      <c r="AK135" s="20" t="str">
        <f>HYPERLINK("https://docs.google.com/document/d/1FoCPEaVaT4-aS9Qr0r4nW6zlRTuDNZoJ3QoyHDTqm4A/edit?usp=drivesdk","Pam Marcum - 8/23/2018 11:00 AM")</f>
        <v>Pam Marcum - 8/23/2018 11:00 AM</v>
      </c>
      <c r="AL135" s="12" t="s">
        <v>347</v>
      </c>
    </row>
    <row r="136" spans="1:38" ht="12.75">
      <c r="A136" s="10">
        <f ca="1">IFERROR(__xludf.DUMMYFUNCTION("""COMPUTED_VALUE"""),43335.9217036805)</f>
        <v>43335.921703680498</v>
      </c>
      <c r="B136" s="11" t="str">
        <f ca="1">IFERROR(__xludf.DUMMYFUNCTION("""COMPUTED_VALUE"""),"Shannon Dunnigan")</f>
        <v>Shannon Dunnigan</v>
      </c>
      <c r="C136" t="str">
        <f ca="1">IFERROR(__xludf.DUMMYFUNCTION("""COMPUTED_VALUE"""),"shannon.dunnigan@dep.state.fl.us")</f>
        <v>shannon.dunnigan@dep.state.fl.us</v>
      </c>
      <c r="D136" t="str">
        <f ca="1">IFERROR(__xludf.DUMMYFUNCTION("""COMPUTED_VALUE"""),"Research/Nikki")</f>
        <v>Research/Nikki</v>
      </c>
      <c r="E136" t="str">
        <f ca="1">IFERROR(__xludf.DUMMYFUNCTION("""COMPUTED_VALUE"""),"Bings Landing")</f>
        <v>Bings Landing</v>
      </c>
      <c r="F136" s="13">
        <f ca="1">IFERROR(__xludf.DUMMYFUNCTION("""COMPUTED_VALUE"""),0.4375)</f>
        <v>0.4375</v>
      </c>
      <c r="G136" s="14">
        <f ca="1">IFERROR(__xludf.DUMMYFUNCTION("""COMPUTED_VALUE"""),43336)</f>
        <v>43336</v>
      </c>
      <c r="H136" t="str">
        <f ca="1">IFERROR(__xludf.DUMMYFUNCTION("""COMPUTED_VALUE"""),"Summerhaven River area")</f>
        <v>Summerhaven River area</v>
      </c>
      <c r="I136" s="15">
        <f ca="1">IFERROR(__xludf.DUMMYFUNCTION("""COMPUTED_VALUE"""),0.541666666667879)</f>
        <v>0.54166666666787899</v>
      </c>
      <c r="J136" s="16">
        <f ca="1">IFERROR(__xludf.DUMMYFUNCTION("""COMPUTED_VALUE"""),43336.6458333333)</f>
        <v>43336.645833333299</v>
      </c>
      <c r="K136" t="str">
        <f ca="1">IFERROR(__xludf.DUMMYFUNCTION("""COMPUTED_VALUE"""),"20ft Sea Ark FL5351SJ UNF 2015")</f>
        <v>20ft Sea Ark FL5351SJ UNF 2015</v>
      </c>
      <c r="M136" t="str">
        <f ca="1">IFERROR(__xludf.DUMMYFUNCTION("""COMPUTED_VALUE"""),"Ford F250 2017 (Moby Dix) - DEP0021578")</f>
        <v>Ford F250 2017 (Moby Dix) - DEP0021578</v>
      </c>
      <c r="N136" t="str">
        <f ca="1">IFERROR(__xludf.DUMMYFUNCTION("""COMPUTED_VALUE"""),"Shannon Dunnigan, (803) 727-5734, Silas Tanner, (904) 483-8423")</f>
        <v>Shannon Dunnigan, (803) 727-5734, Silas Tanner, (904) 483-8423</v>
      </c>
      <c r="O136" t="str">
        <f ca="1">IFERROR(__xludf.DUMMYFUNCTION("""COMPUTED_VALUE"""),"Shannon Dunnigan, (803) 727-5734, Silas Tanner, (904) 483-8423, Gabriela Canas, (904) 891-9743, Jessica Lee, Matt Brown")</f>
        <v>Shannon Dunnigan, (803) 727-5734, Silas Tanner, (904) 483-8423, Gabriela Canas, (904) 891-9743, Jessica Lee, Matt Brown</v>
      </c>
      <c r="P136" t="str">
        <f ca="1">IFERROR(__xludf.DUMMYFUNCTION("""COMPUTED_VALUE"""),"Shannon Dunnigan")</f>
        <v>Shannon Dunnigan</v>
      </c>
      <c r="Q136" t="str">
        <f ca="1">IFERROR(__xludf.DUMMYFUNCTION("""COMPUTED_VALUE"""),"Good")</f>
        <v>Good</v>
      </c>
      <c r="R136" t="str">
        <f ca="1">IFERROR(__xludf.DUMMYFUNCTION("""COMPUTED_VALUE"""),"Good")</f>
        <v>Good</v>
      </c>
      <c r="S136" t="str">
        <f ca="1">IFERROR(__xludf.DUMMYFUNCTION("""COMPUTED_VALUE"""),"Good")</f>
        <v>Good</v>
      </c>
      <c r="T136" t="str">
        <f ca="1">IFERROR(__xludf.DUMMYFUNCTION("""COMPUTED_VALUE"""),"Good")</f>
        <v>Good</v>
      </c>
      <c r="U136" t="str">
        <f ca="1">IFERROR(__xludf.DUMMYFUNCTION("""COMPUTED_VALUE"""),"Good")</f>
        <v>Good</v>
      </c>
      <c r="V136" t="str">
        <f ca="1">IFERROR(__xludf.DUMMYFUNCTION("""COMPUTED_VALUE"""),"Good")</f>
        <v>Good</v>
      </c>
      <c r="W136" t="str">
        <f ca="1">IFERROR(__xludf.DUMMYFUNCTION("""COMPUTED_VALUE"""),"Good")</f>
        <v>Good</v>
      </c>
      <c r="X136" t="str">
        <f ca="1">IFERROR(__xludf.DUMMYFUNCTION("""COMPUTED_VALUE"""),"Good")</f>
        <v>Good</v>
      </c>
      <c r="Y136" t="str">
        <f ca="1">IFERROR(__xludf.DUMMYFUNCTION("""COMPUTED_VALUE"""),"Good")</f>
        <v>Good</v>
      </c>
      <c r="Z136" t="str">
        <f ca="1">IFERROR(__xludf.DUMMYFUNCTION("""COMPUTED_VALUE"""),"Good")</f>
        <v>Good</v>
      </c>
      <c r="AA136" t="str">
        <f ca="1">IFERROR(__xludf.DUMMYFUNCTION("""COMPUTED_VALUE"""),"Good")</f>
        <v>Good</v>
      </c>
      <c r="AB136" t="str">
        <f ca="1">IFERROR(__xludf.DUMMYFUNCTION("""COMPUTED_VALUE"""),"Good")</f>
        <v>Good</v>
      </c>
      <c r="AC136" t="str">
        <f ca="1">IFERROR(__xludf.DUMMYFUNCTION("""COMPUTED_VALUE"""),"Good")</f>
        <v>Good</v>
      </c>
      <c r="AE136" s="11"/>
      <c r="AF136" t="str">
        <v>Nikki.Dix@floridadep.gov</v>
      </c>
      <c r="AG136" s="17" t="s">
        <v>17</v>
      </c>
      <c r="AH136" s="12">
        <v>1200</v>
      </c>
      <c r="AI136" s="12" t="s">
        <v>348</v>
      </c>
      <c r="AJ136" s="19" t="s">
        <v>349</v>
      </c>
      <c r="AK136" s="20" t="str">
        <f>HYPERLINK("https://docs.google.com/document/d/1XqXDCS49mMlYjyDJhRRyb2rd--vYYMQZl9cTt1SyJXY/edit?usp=drivesdk","Shannon Dunnigan - 8/24/2018 10:30 AM")</f>
        <v>Shannon Dunnigan - 8/24/2018 10:30 AM</v>
      </c>
      <c r="AL136" s="12" t="s">
        <v>350</v>
      </c>
    </row>
    <row r="137" spans="1:38" ht="12.75">
      <c r="A137" s="10">
        <f ca="1">IFERROR(__xludf.DUMMYFUNCTION("""COMPUTED_VALUE"""),43340.6848342708)</f>
        <v>43340.684834270804</v>
      </c>
      <c r="B137" s="11" t="str">
        <f ca="1">IFERROR(__xludf.DUMMYFUNCTION("""COMPUTED_VALUE"""),"Ben Mowbray")</f>
        <v>Ben Mowbray</v>
      </c>
      <c r="C137" t="str">
        <f ca="1">IFERROR(__xludf.DUMMYFUNCTION("""COMPUTED_VALUE"""),"ben.mowbray@dep.state.fl.us")</f>
        <v>ben.mowbray@dep.state.fl.us</v>
      </c>
      <c r="D137" t="str">
        <f ca="1">IFERROR(__xludf.DUMMYFUNCTION("""COMPUTED_VALUE"""),"Research/Pam")</f>
        <v>Research/Pam</v>
      </c>
      <c r="E137" t="str">
        <f ca="1">IFERROR(__xludf.DUMMYFUNCTION("""COMPUTED_VALUE"""),"Shore Dr.")</f>
        <v>Shore Dr.</v>
      </c>
      <c r="F137" s="13">
        <f ca="1">IFERROR(__xludf.DUMMYFUNCTION("""COMPUTED_VALUE"""),0.42708333333212)</f>
        <v>0.42708333333212001</v>
      </c>
      <c r="G137" s="14">
        <f ca="1">IFERROR(__xludf.DUMMYFUNCTION("""COMPUTED_VALUE"""),43341)</f>
        <v>43341</v>
      </c>
      <c r="H137" t="str">
        <f ca="1">IFERROR(__xludf.DUMMYFUNCTION("""COMPUTED_VALUE"""),"Gabby's Creek Chapman Site")</f>
        <v>Gabby's Creek Chapman Site</v>
      </c>
      <c r="I137" s="15">
        <f ca="1">IFERROR(__xludf.DUMMYFUNCTION("""COMPUTED_VALUE"""),0.625)</f>
        <v>0.625</v>
      </c>
      <c r="J137" s="16">
        <f ca="1">IFERROR(__xludf.DUMMYFUNCTION("""COMPUTED_VALUE"""),43341.6527777777)</f>
        <v>43341.652777777701</v>
      </c>
      <c r="K137" t="str">
        <f ca="1">IFERROR(__xludf.DUMMYFUNCTION("""COMPUTED_VALUE"""),"20ft Sea Ark FL5351SJ UNF 2015")</f>
        <v>20ft Sea Ark FL5351SJ UNF 2015</v>
      </c>
      <c r="M137" t="str">
        <f ca="1">IFERROR(__xludf.DUMMYFUNCTION("""COMPUTED_VALUE"""),"Ford F250 2017 (Moby Dix) - DEP0021578")</f>
        <v>Ford F250 2017 (Moby Dix) - DEP0021578</v>
      </c>
      <c r="N137" t="str">
        <f ca="1">IFERROR(__xludf.DUMMYFUNCTION("""COMPUTED_VALUE"""),"Ben Mowbray, (407) 962-8782")</f>
        <v>Ben Mowbray, (407) 962-8782</v>
      </c>
      <c r="O137" t="str">
        <f ca="1">IFERROR(__xludf.DUMMYFUNCTION("""COMPUTED_VALUE"""),"Gabriela Canas, (904) 891-9743")</f>
        <v>Gabriela Canas, (904) 891-9743</v>
      </c>
      <c r="P137" t="str">
        <f ca="1">IFERROR(__xludf.DUMMYFUNCTION("""COMPUTED_VALUE"""),"Ben")</f>
        <v>Ben</v>
      </c>
      <c r="Q137" t="str">
        <f ca="1">IFERROR(__xludf.DUMMYFUNCTION("""COMPUTED_VALUE"""),"Good")</f>
        <v>Good</v>
      </c>
      <c r="R137" t="str">
        <f ca="1">IFERROR(__xludf.DUMMYFUNCTION("""COMPUTED_VALUE"""),"Good")</f>
        <v>Good</v>
      </c>
      <c r="S137" t="str">
        <f ca="1">IFERROR(__xludf.DUMMYFUNCTION("""COMPUTED_VALUE"""),"Good")</f>
        <v>Good</v>
      </c>
      <c r="T137" t="str">
        <f ca="1">IFERROR(__xludf.DUMMYFUNCTION("""COMPUTED_VALUE"""),"Good")</f>
        <v>Good</v>
      </c>
      <c r="U137" t="str">
        <f ca="1">IFERROR(__xludf.DUMMYFUNCTION("""COMPUTED_VALUE"""),"Good")</f>
        <v>Good</v>
      </c>
      <c r="V137" t="str">
        <f ca="1">IFERROR(__xludf.DUMMYFUNCTION("""COMPUTED_VALUE"""),"Good")</f>
        <v>Good</v>
      </c>
      <c r="W137" t="str">
        <f ca="1">IFERROR(__xludf.DUMMYFUNCTION("""COMPUTED_VALUE"""),"Good")</f>
        <v>Good</v>
      </c>
      <c r="X137" t="str">
        <f ca="1">IFERROR(__xludf.DUMMYFUNCTION("""COMPUTED_VALUE"""),"Good")</f>
        <v>Good</v>
      </c>
      <c r="Y137" t="str">
        <f ca="1">IFERROR(__xludf.DUMMYFUNCTION("""COMPUTED_VALUE"""),"Good")</f>
        <v>Good</v>
      </c>
      <c r="Z137" t="str">
        <f ca="1">IFERROR(__xludf.DUMMYFUNCTION("""COMPUTED_VALUE"""),"Good")</f>
        <v>Good</v>
      </c>
      <c r="AA137" t="str">
        <f ca="1">IFERROR(__xludf.DUMMYFUNCTION("""COMPUTED_VALUE"""),"Good")</f>
        <v>Good</v>
      </c>
      <c r="AB137" t="str">
        <f ca="1">IFERROR(__xludf.DUMMYFUNCTION("""COMPUTED_VALUE"""),"Good")</f>
        <v>Good</v>
      </c>
      <c r="AC137" t="str">
        <f ca="1">IFERROR(__xludf.DUMMYFUNCTION("""COMPUTED_VALUE"""),"Good")</f>
        <v>Good</v>
      </c>
      <c r="AE137" s="11"/>
      <c r="AF137" t="str">
        <v>Pamela.Marcum@floridadep.gov</v>
      </c>
      <c r="AG137" s="17" t="s">
        <v>58</v>
      </c>
      <c r="AH137" s="12">
        <v>1316</v>
      </c>
      <c r="AI137" s="12" t="s">
        <v>351</v>
      </c>
      <c r="AJ137" s="19" t="s">
        <v>352</v>
      </c>
      <c r="AK137" s="20" t="str">
        <f>HYPERLINK("https://docs.google.com/document/d/12qKaqDTA40f8qxQAUU_wtTRdEwjpjOsa3wmJ7Cm-CR0/edit?usp=drivesdk","Ben Mowbray - 8/29/2018 10:15 AM")</f>
        <v>Ben Mowbray - 8/29/2018 10:15 AM</v>
      </c>
      <c r="AL137" s="12" t="s">
        <v>353</v>
      </c>
    </row>
    <row r="138" spans="1:38" ht="12.75">
      <c r="A138" s="10">
        <f ca="1">IFERROR(__xludf.DUMMYFUNCTION("""COMPUTED_VALUE"""),43342.4056272106)</f>
        <v>43342.405627210603</v>
      </c>
      <c r="B138" s="11" t="str">
        <f ca="1">IFERROR(__xludf.DUMMYFUNCTION("""COMPUTED_VALUE"""),"James Tomazinis")</f>
        <v>James Tomazinis</v>
      </c>
      <c r="C138" t="str">
        <f ca="1">IFERROR(__xludf.DUMMYFUNCTION("""COMPUTED_VALUE"""),"james.tomazinis@floridadep.gov")</f>
        <v>james.tomazinis@floridadep.gov</v>
      </c>
      <c r="D138" t="str">
        <f ca="1">IFERROR(__xludf.DUMMYFUNCTION("""COMPUTED_VALUE"""),"Stewardship (Aquatic)")</f>
        <v>Stewardship (Aquatic)</v>
      </c>
      <c r="E138" t="str">
        <f ca="1">IFERROR(__xludf.DUMMYFUNCTION("""COMPUTED_VALUE"""),"Bings")</f>
        <v>Bings</v>
      </c>
      <c r="F138" s="13">
        <f ca="1">IFERROR(__xludf.DUMMYFUNCTION("""COMPUTED_VALUE"""),0.416666666667879)</f>
        <v>0.41666666666787899</v>
      </c>
      <c r="G138" s="14">
        <f ca="1">IFERROR(__xludf.DUMMYFUNCTION("""COMPUTED_VALUE"""),43342)</f>
        <v>43342</v>
      </c>
      <c r="H138" t="str">
        <f ca="1">IFERROR(__xludf.DUMMYFUNCTION("""COMPUTED_VALUE"""),"Matanzas River")</f>
        <v>Matanzas River</v>
      </c>
      <c r="I138" s="15">
        <f ca="1">IFERROR(__xludf.DUMMYFUNCTION("""COMPUTED_VALUE"""),0.666666666667879)</f>
        <v>0.66666666666787899</v>
      </c>
      <c r="J138" s="16"/>
      <c r="K138" t="str">
        <f ca="1">IFERROR(__xludf.DUMMYFUNCTION("""COMPUTED_VALUE"""),"23ft Skiff (Bertha) FL7972LJ DEP07613")</f>
        <v>23ft Skiff (Bertha) FL7972LJ DEP07613</v>
      </c>
      <c r="M138" t="str">
        <f ca="1">IFERROR(__xludf.DUMMYFUNCTION("""COMPUTED_VALUE"""),"Ford F150 2015 (White) - DEP21448")</f>
        <v>Ford F150 2015 (White) - DEP21448</v>
      </c>
      <c r="N138" t="str">
        <f ca="1">IFERROR(__xludf.DUMMYFUNCTION("""COMPUTED_VALUE"""),"Jimmy Tomazinis, (904) 547-0094")</f>
        <v>Jimmy Tomazinis, (904) 547-0094</v>
      </c>
      <c r="O138" t="str">
        <f ca="1">IFERROR(__xludf.DUMMYFUNCTION("""COMPUTED_VALUE"""),"Annie Otto, Mike Dickson")</f>
        <v>Annie Otto, Mike Dickson</v>
      </c>
      <c r="P138" t="str">
        <f ca="1">IFERROR(__xludf.DUMMYFUNCTION("""COMPUTED_VALUE"""),"Jimmy")</f>
        <v>Jimmy</v>
      </c>
      <c r="Q138" t="str">
        <f ca="1">IFERROR(__xludf.DUMMYFUNCTION("""COMPUTED_VALUE"""),"Good")</f>
        <v>Good</v>
      </c>
      <c r="R138" t="str">
        <f ca="1">IFERROR(__xludf.DUMMYFUNCTION("""COMPUTED_VALUE"""),"Good")</f>
        <v>Good</v>
      </c>
      <c r="S138" t="str">
        <f ca="1">IFERROR(__xludf.DUMMYFUNCTION("""COMPUTED_VALUE"""),"Good")</f>
        <v>Good</v>
      </c>
      <c r="T138" t="str">
        <f ca="1">IFERROR(__xludf.DUMMYFUNCTION("""COMPUTED_VALUE"""),"Good")</f>
        <v>Good</v>
      </c>
      <c r="U138" t="str">
        <f ca="1">IFERROR(__xludf.DUMMYFUNCTION("""COMPUTED_VALUE"""),"Good")</f>
        <v>Good</v>
      </c>
      <c r="V138" t="str">
        <f ca="1">IFERROR(__xludf.DUMMYFUNCTION("""COMPUTED_VALUE"""),"Good")</f>
        <v>Good</v>
      </c>
      <c r="W138" t="str">
        <f ca="1">IFERROR(__xludf.DUMMYFUNCTION("""COMPUTED_VALUE"""),"Good")</f>
        <v>Good</v>
      </c>
      <c r="X138" t="str">
        <f ca="1">IFERROR(__xludf.DUMMYFUNCTION("""COMPUTED_VALUE"""),"Good")</f>
        <v>Good</v>
      </c>
      <c r="Y138" t="str">
        <f ca="1">IFERROR(__xludf.DUMMYFUNCTION("""COMPUTED_VALUE"""),"Good")</f>
        <v>Good</v>
      </c>
      <c r="Z138" t="str">
        <f ca="1">IFERROR(__xludf.DUMMYFUNCTION("""COMPUTED_VALUE"""),"Good")</f>
        <v>Good</v>
      </c>
      <c r="AA138" t="str">
        <f ca="1">IFERROR(__xludf.DUMMYFUNCTION("""COMPUTED_VALUE"""),"Good")</f>
        <v>Good</v>
      </c>
      <c r="AB138" t="str">
        <f ca="1">IFERROR(__xludf.DUMMYFUNCTION("""COMPUTED_VALUE"""),"Good")</f>
        <v>Good</v>
      </c>
      <c r="AC138" t="str">
        <f ca="1">IFERROR(__xludf.DUMMYFUNCTION("""COMPUTED_VALUE"""),"Good")</f>
        <v>Good</v>
      </c>
      <c r="AE138" s="11"/>
      <c r="AF138" t="str">
        <v>Scott.Eastman@floridadep.gov</v>
      </c>
      <c r="AG138" s="17" t="s">
        <v>21</v>
      </c>
      <c r="AH138" s="12">
        <v>1530</v>
      </c>
      <c r="AI138" s="12" t="s">
        <v>354</v>
      </c>
      <c r="AJ138" s="19" t="s">
        <v>355</v>
      </c>
      <c r="AK138" s="20" t="str">
        <f>HYPERLINK("https://docs.google.com/document/d/1n6ckOJjtT5Kbqv-5GwvO7IK8Y_xs2-jWe9dPvarxoEo/edit?usp=drivesdk","James Tomazinis - 8/30/2018 10:00 AM")</f>
        <v>James Tomazinis - 8/30/2018 10:00 AM</v>
      </c>
      <c r="AL138" s="12" t="s">
        <v>356</v>
      </c>
    </row>
    <row r="139" spans="1:38" ht="12.75">
      <c r="A139" s="10">
        <f ca="1">IFERROR(__xludf.DUMMYFUNCTION("""COMPUTED_VALUE"""),43347.3448249884)</f>
        <v>43347.344824988402</v>
      </c>
      <c r="B139" s="11" t="str">
        <f ca="1">IFERROR(__xludf.DUMMYFUNCTION("""COMPUTED_VALUE"""),"Ben Mowbray")</f>
        <v>Ben Mowbray</v>
      </c>
      <c r="C139" t="str">
        <f ca="1">IFERROR(__xludf.DUMMYFUNCTION("""COMPUTED_VALUE"""),"ben.mowbray@dep.state.fl.us")</f>
        <v>ben.mowbray@dep.state.fl.us</v>
      </c>
      <c r="D139" t="str">
        <f ca="1">IFERROR(__xludf.DUMMYFUNCTION("""COMPUTED_VALUE"""),"Research/Pam")</f>
        <v>Research/Pam</v>
      </c>
      <c r="E139" t="str">
        <f ca="1">IFERROR(__xludf.DUMMYFUNCTION("""COMPUTED_VALUE"""),"Palm Valley")</f>
        <v>Palm Valley</v>
      </c>
      <c r="F139" s="13">
        <f ca="1">IFERROR(__xludf.DUMMYFUNCTION("""COMPUTED_VALUE"""),0.402777777777373)</f>
        <v>0.402777777777373</v>
      </c>
      <c r="G139" s="14">
        <f ca="1">IFERROR(__xludf.DUMMYFUNCTION("""COMPUTED_VALUE"""),43347)</f>
        <v>43347</v>
      </c>
      <c r="H139" t="str">
        <f ca="1">IFERROR(__xludf.DUMMYFUNCTION("""COMPUTED_VALUE"""),"Spat Run")</f>
        <v>Spat Run</v>
      </c>
      <c r="I139" s="15">
        <f ca="1">IFERROR(__xludf.DUMMYFUNCTION("""COMPUTED_VALUE"""),0.64583333333212)</f>
        <v>0.64583333333212001</v>
      </c>
      <c r="J139" s="16">
        <f ca="1">IFERROR(__xludf.DUMMYFUNCTION("""COMPUTED_VALUE"""),43347.6875)</f>
        <v>43347.6875</v>
      </c>
      <c r="K139" t="str">
        <f ca="1">IFERROR(__xludf.DUMMYFUNCTION("""COMPUTED_VALUE"""),"20ft Sea Ark FL5351SJ UNF 2015")</f>
        <v>20ft Sea Ark FL5351SJ UNF 2015</v>
      </c>
      <c r="M139" t="str">
        <f ca="1">IFERROR(__xludf.DUMMYFUNCTION("""COMPUTED_VALUE"""),"DEP07668 Ford F150 2010")</f>
        <v>DEP07668 Ford F150 2010</v>
      </c>
      <c r="N139" t="str">
        <f ca="1">IFERROR(__xludf.DUMMYFUNCTION("""COMPUTED_VALUE"""),"Ben Mowbray, (407) 962-8782")</f>
        <v>Ben Mowbray, (407) 962-8782</v>
      </c>
      <c r="O139" t="str">
        <f ca="1">IFERROR(__xludf.DUMMYFUNCTION("""COMPUTED_VALUE"""),"Alicia Bishop, Marissa Raymond")</f>
        <v>Alicia Bishop, Marissa Raymond</v>
      </c>
      <c r="P139" t="str">
        <f ca="1">IFERROR(__xludf.DUMMYFUNCTION("""COMPUTED_VALUE"""),"Ben")</f>
        <v>Ben</v>
      </c>
      <c r="Q139" t="str">
        <f ca="1">IFERROR(__xludf.DUMMYFUNCTION("""COMPUTED_VALUE"""),"Good")</f>
        <v>Good</v>
      </c>
      <c r="R139" t="str">
        <f ca="1">IFERROR(__xludf.DUMMYFUNCTION("""COMPUTED_VALUE"""),"Good")</f>
        <v>Good</v>
      </c>
      <c r="S139" t="str">
        <f ca="1">IFERROR(__xludf.DUMMYFUNCTION("""COMPUTED_VALUE"""),"Good")</f>
        <v>Good</v>
      </c>
      <c r="T139" t="str">
        <f ca="1">IFERROR(__xludf.DUMMYFUNCTION("""COMPUTED_VALUE"""),"Good")</f>
        <v>Good</v>
      </c>
      <c r="U139" t="str">
        <f ca="1">IFERROR(__xludf.DUMMYFUNCTION("""COMPUTED_VALUE"""),"Good")</f>
        <v>Good</v>
      </c>
      <c r="V139" t="str">
        <f ca="1">IFERROR(__xludf.DUMMYFUNCTION("""COMPUTED_VALUE"""),"Good")</f>
        <v>Good</v>
      </c>
      <c r="W139" t="str">
        <f ca="1">IFERROR(__xludf.DUMMYFUNCTION("""COMPUTED_VALUE"""),"Good")</f>
        <v>Good</v>
      </c>
      <c r="X139" t="str">
        <f ca="1">IFERROR(__xludf.DUMMYFUNCTION("""COMPUTED_VALUE"""),"Good")</f>
        <v>Good</v>
      </c>
      <c r="Y139" t="str">
        <f ca="1">IFERROR(__xludf.DUMMYFUNCTION("""COMPUTED_VALUE"""),"Good")</f>
        <v>Good</v>
      </c>
      <c r="Z139" t="str">
        <f ca="1">IFERROR(__xludf.DUMMYFUNCTION("""COMPUTED_VALUE"""),"Good")</f>
        <v>Good</v>
      </c>
      <c r="AA139" t="str">
        <f ca="1">IFERROR(__xludf.DUMMYFUNCTION("""COMPUTED_VALUE"""),"Good")</f>
        <v>Good</v>
      </c>
      <c r="AB139" t="str">
        <f ca="1">IFERROR(__xludf.DUMMYFUNCTION("""COMPUTED_VALUE"""),"Good")</f>
        <v>Good</v>
      </c>
      <c r="AC139" t="str">
        <f ca="1">IFERROR(__xludf.DUMMYFUNCTION("""COMPUTED_VALUE"""),"Good")</f>
        <v>Good</v>
      </c>
      <c r="AE139" s="11"/>
      <c r="AF139" t="str">
        <v>Pamela.Marcum@floridadep.gov</v>
      </c>
      <c r="AG139" s="17" t="s">
        <v>17</v>
      </c>
      <c r="AH139" s="12">
        <v>1517</v>
      </c>
      <c r="AI139" s="12" t="s">
        <v>357</v>
      </c>
      <c r="AJ139" s="19" t="s">
        <v>358</v>
      </c>
      <c r="AK139" s="20" t="str">
        <f>HYPERLINK("https://docs.google.com/document/d/1Lmr6ukcytK5A4BRLAWOczZ0_erfF7eQyrndmyQl55_4/edit?usp=drivesdk","Ben Mowbray - 9/4/2018 9:40 AM")</f>
        <v>Ben Mowbray - 9/4/2018 9:40 AM</v>
      </c>
      <c r="AL139" s="12" t="s">
        <v>359</v>
      </c>
    </row>
    <row r="140" spans="1:38" ht="12.75">
      <c r="A140" s="10">
        <f ca="1">IFERROR(__xludf.DUMMYFUNCTION("""COMPUTED_VALUE"""),43347.660692743)</f>
        <v>43347.660692742997</v>
      </c>
      <c r="B140" s="11" t="str">
        <f ca="1">IFERROR(__xludf.DUMMYFUNCTION("""COMPUTED_VALUE"""),"James Tomazinis")</f>
        <v>James Tomazinis</v>
      </c>
      <c r="C140" t="str">
        <f ca="1">IFERROR(__xludf.DUMMYFUNCTION("""COMPUTED_VALUE"""),"james.tomazinis@floridadep.gov")</f>
        <v>james.tomazinis@floridadep.gov</v>
      </c>
      <c r="D140" t="str">
        <f ca="1">IFERROR(__xludf.DUMMYFUNCTION("""COMPUTED_VALUE"""),"Stewardship (Aquatic)")</f>
        <v>Stewardship (Aquatic)</v>
      </c>
      <c r="E140" t="str">
        <f ca="1">IFERROR(__xludf.DUMMYFUNCTION("""COMPUTED_VALUE"""),"Vilano")</f>
        <v>Vilano</v>
      </c>
      <c r="F140" s="13">
        <f ca="1">IFERROR(__xludf.DUMMYFUNCTION("""COMPUTED_VALUE"""),0.27083333333212)</f>
        <v>0.27083333333212001</v>
      </c>
      <c r="G140" s="14">
        <f ca="1">IFERROR(__xludf.DUMMYFUNCTION("""COMPUTED_VALUE"""),43348)</f>
        <v>43348</v>
      </c>
      <c r="H140" t="str">
        <f ca="1">IFERROR(__xludf.DUMMYFUNCTION("""COMPUTED_VALUE"""),"SWMP Sites")</f>
        <v>SWMP Sites</v>
      </c>
      <c r="I140" s="15">
        <f ca="1">IFERROR(__xludf.DUMMYFUNCTION("""COMPUTED_VALUE"""),0.541666666667879)</f>
        <v>0.54166666666787899</v>
      </c>
      <c r="J140" s="16"/>
      <c r="K140" t="str">
        <f ca="1">IFERROR(__xludf.DUMMYFUNCTION("""COMPUTED_VALUE"""),"23ft Skiff (Bertha) FL7972LJ DEP07613")</f>
        <v>23ft Skiff (Bertha) FL7972LJ DEP07613</v>
      </c>
      <c r="M140" t="str">
        <f ca="1">IFERROR(__xludf.DUMMYFUNCTION("""COMPUTED_VALUE"""),"Ford F250 2017 (Moby Dix) - DEP0021578")</f>
        <v>Ford F250 2017 (Moby Dix) - DEP0021578</v>
      </c>
      <c r="N140" t="str">
        <f ca="1">IFERROR(__xludf.DUMMYFUNCTION("""COMPUTED_VALUE"""),"Nikki Dix, (352) 219-4079, Jimmy Tomazinis, (904) 547-0094")</f>
        <v>Nikki Dix, (352) 219-4079, Jimmy Tomazinis, (904) 547-0094</v>
      </c>
      <c r="O140" t="str">
        <f ca="1">IFERROR(__xludf.DUMMYFUNCTION("""COMPUTED_VALUE"""),"Jeff Finnan")</f>
        <v>Jeff Finnan</v>
      </c>
      <c r="P140" t="str">
        <f ca="1">IFERROR(__xludf.DUMMYFUNCTION("""COMPUTED_VALUE"""),"Jimmy")</f>
        <v>Jimmy</v>
      </c>
      <c r="Q140" t="str">
        <f ca="1">IFERROR(__xludf.DUMMYFUNCTION("""COMPUTED_VALUE"""),"Good")</f>
        <v>Good</v>
      </c>
      <c r="R140" t="str">
        <f ca="1">IFERROR(__xludf.DUMMYFUNCTION("""COMPUTED_VALUE"""),"Good")</f>
        <v>Good</v>
      </c>
      <c r="S140" t="str">
        <f ca="1">IFERROR(__xludf.DUMMYFUNCTION("""COMPUTED_VALUE"""),"Good")</f>
        <v>Good</v>
      </c>
      <c r="T140" t="str">
        <f ca="1">IFERROR(__xludf.DUMMYFUNCTION("""COMPUTED_VALUE"""),"Good")</f>
        <v>Good</v>
      </c>
      <c r="U140" t="str">
        <f ca="1">IFERROR(__xludf.DUMMYFUNCTION("""COMPUTED_VALUE"""),"Good")</f>
        <v>Good</v>
      </c>
      <c r="V140" t="str">
        <f ca="1">IFERROR(__xludf.DUMMYFUNCTION("""COMPUTED_VALUE"""),"Good")</f>
        <v>Good</v>
      </c>
      <c r="W140" t="str">
        <f ca="1">IFERROR(__xludf.DUMMYFUNCTION("""COMPUTED_VALUE"""),"Good")</f>
        <v>Good</v>
      </c>
      <c r="X140" t="str">
        <f ca="1">IFERROR(__xludf.DUMMYFUNCTION("""COMPUTED_VALUE"""),"Good")</f>
        <v>Good</v>
      </c>
      <c r="Y140" t="str">
        <f ca="1">IFERROR(__xludf.DUMMYFUNCTION("""COMPUTED_VALUE"""),"Good")</f>
        <v>Good</v>
      </c>
      <c r="Z140" t="str">
        <f ca="1">IFERROR(__xludf.DUMMYFUNCTION("""COMPUTED_VALUE"""),"Good")</f>
        <v>Good</v>
      </c>
      <c r="AA140" t="str">
        <f ca="1">IFERROR(__xludf.DUMMYFUNCTION("""COMPUTED_VALUE"""),"Good")</f>
        <v>Good</v>
      </c>
      <c r="AB140" t="str">
        <f ca="1">IFERROR(__xludf.DUMMYFUNCTION("""COMPUTED_VALUE"""),"Good")</f>
        <v>Good</v>
      </c>
      <c r="AC140" t="str">
        <f ca="1">IFERROR(__xludf.DUMMYFUNCTION("""COMPUTED_VALUE"""),"Good")</f>
        <v>Good</v>
      </c>
      <c r="AE140" s="11"/>
      <c r="AF140" t="str">
        <v>Scott.Eastman@floridadep.gov</v>
      </c>
      <c r="AG140" s="17" t="s">
        <v>17</v>
      </c>
      <c r="AH140" s="12">
        <v>1045</v>
      </c>
      <c r="AI140" s="12" t="s">
        <v>360</v>
      </c>
      <c r="AJ140" s="19" t="s">
        <v>361</v>
      </c>
      <c r="AK140" s="20" t="str">
        <f>HYPERLINK("https://docs.google.com/document/d/1O7zNwJ7tD7cHfDAv1vY8YMgIs28bfzrPCLqAZVh0D54/edit?usp=drivesdk","James Tomazinis - 9/5/2018 6:30 AM")</f>
        <v>James Tomazinis - 9/5/2018 6:30 AM</v>
      </c>
      <c r="AL140" s="12" t="s">
        <v>362</v>
      </c>
    </row>
    <row r="141" spans="1:38" ht="12.75">
      <c r="A141" s="10">
        <f ca="1">IFERROR(__xludf.DUMMYFUNCTION("""COMPUTED_VALUE"""),43348.3159510763)</f>
        <v>43348.3159510763</v>
      </c>
      <c r="B141" s="11" t="str">
        <f ca="1">IFERROR(__xludf.DUMMYFUNCTION("""COMPUTED_VALUE"""),"Pamela Marcum")</f>
        <v>Pamela Marcum</v>
      </c>
      <c r="C141" t="str">
        <f ca="1">IFERROR(__xludf.DUMMYFUNCTION("""COMPUTED_VALUE"""),"Pamela.Marcum@dep.state.fl.us")</f>
        <v>Pamela.Marcum@dep.state.fl.us</v>
      </c>
      <c r="D141" t="str">
        <f ca="1">IFERROR(__xludf.DUMMYFUNCTION("""COMPUTED_VALUE"""),"Research/Nikki")</f>
        <v>Research/Nikki</v>
      </c>
      <c r="E141" t="str">
        <f ca="1">IFERROR(__xludf.DUMMYFUNCTION("""COMPUTED_VALUE"""),"Whitney Lab")</f>
        <v>Whitney Lab</v>
      </c>
      <c r="F141" s="13">
        <f ca="1">IFERROR(__xludf.DUMMYFUNCTION("""COMPUTED_VALUE"""),0.39583333333212)</f>
        <v>0.39583333333212001</v>
      </c>
      <c r="G141" s="14">
        <f ca="1">IFERROR(__xludf.DUMMYFUNCTION("""COMPUTED_VALUE"""),43348)</f>
        <v>43348</v>
      </c>
      <c r="H141" t="str">
        <f ca="1">IFERROR(__xludf.DUMMYFUNCTION("""COMPUTED_VALUE"""),"Dolphin Creek")</f>
        <v>Dolphin Creek</v>
      </c>
      <c r="I141" s="15">
        <f ca="1">IFERROR(__xludf.DUMMYFUNCTION("""COMPUTED_VALUE"""),0.625)</f>
        <v>0.625</v>
      </c>
      <c r="J141" s="16">
        <f ca="1">IFERROR(__xludf.DUMMYFUNCTION("""COMPUTED_VALUE"""),43348.6666666666)</f>
        <v>43348.666666666599</v>
      </c>
      <c r="K141" t="str">
        <f ca="1">IFERROR(__xludf.DUMMYFUNCTION("""COMPUTED_VALUE"""),"F 20ft Sea Ark (Easy 200) FL8534PY DEP21451")</f>
        <v>F 20ft Sea Ark (Easy 200) FL8534PY DEP21451</v>
      </c>
      <c r="M141" t="str">
        <f ca="1">IFERROR(__xludf.DUMMYFUNCTION("""COMPUTED_VALUE"""),"Ford F150 2015 (White) - DEP21448")</f>
        <v>Ford F150 2015 (White) - DEP21448</v>
      </c>
      <c r="N141" t="str">
        <f ca="1">IFERROR(__xludf.DUMMYFUNCTION("""COMPUTED_VALUE"""),"Pam Marcum, (480) 332-5414")</f>
        <v>Pam Marcum, (480) 332-5414</v>
      </c>
      <c r="O141" t="str">
        <f ca="1">IFERROR(__xludf.DUMMYFUNCTION("""COMPUTED_VALUE"""),"Tatum Theodore, Morgan Langley, Tim Coons, Chuck Snavely")</f>
        <v>Tatum Theodore, Morgan Langley, Tim Coons, Chuck Snavely</v>
      </c>
      <c r="P141" t="str">
        <f ca="1">IFERROR(__xludf.DUMMYFUNCTION("""COMPUTED_VALUE"""),"Pamela Marcum")</f>
        <v>Pamela Marcum</v>
      </c>
      <c r="Q141" t="str">
        <f ca="1">IFERROR(__xludf.DUMMYFUNCTION("""COMPUTED_VALUE"""),"Good")</f>
        <v>Good</v>
      </c>
      <c r="R141" t="str">
        <f ca="1">IFERROR(__xludf.DUMMYFUNCTION("""COMPUTED_VALUE"""),"Good")</f>
        <v>Good</v>
      </c>
      <c r="S141" t="str">
        <f ca="1">IFERROR(__xludf.DUMMYFUNCTION("""COMPUTED_VALUE"""),"Good")</f>
        <v>Good</v>
      </c>
      <c r="T141" t="str">
        <f ca="1">IFERROR(__xludf.DUMMYFUNCTION("""COMPUTED_VALUE"""),"Good")</f>
        <v>Good</v>
      </c>
      <c r="U141" t="str">
        <f ca="1">IFERROR(__xludf.DUMMYFUNCTION("""COMPUTED_VALUE"""),"Good")</f>
        <v>Good</v>
      </c>
      <c r="V141" t="str">
        <f ca="1">IFERROR(__xludf.DUMMYFUNCTION("""COMPUTED_VALUE"""),"Good")</f>
        <v>Good</v>
      </c>
      <c r="W141" t="str">
        <f ca="1">IFERROR(__xludf.DUMMYFUNCTION("""COMPUTED_VALUE"""),"Good")</f>
        <v>Good</v>
      </c>
      <c r="X141" t="str">
        <f ca="1">IFERROR(__xludf.DUMMYFUNCTION("""COMPUTED_VALUE"""),"Good")</f>
        <v>Good</v>
      </c>
      <c r="Y141" t="str">
        <f ca="1">IFERROR(__xludf.DUMMYFUNCTION("""COMPUTED_VALUE"""),"Good")</f>
        <v>Good</v>
      </c>
      <c r="Z141" t="str">
        <f ca="1">IFERROR(__xludf.DUMMYFUNCTION("""COMPUTED_VALUE"""),"Good")</f>
        <v>Good</v>
      </c>
      <c r="AA141" t="str">
        <f ca="1">IFERROR(__xludf.DUMMYFUNCTION("""COMPUTED_VALUE"""),"Good")</f>
        <v>Good</v>
      </c>
      <c r="AB141" t="str">
        <f ca="1">IFERROR(__xludf.DUMMYFUNCTION("""COMPUTED_VALUE"""),"Good")</f>
        <v>Good</v>
      </c>
      <c r="AC141" t="str">
        <f ca="1">IFERROR(__xludf.DUMMYFUNCTION("""COMPUTED_VALUE"""),"Good")</f>
        <v>Good</v>
      </c>
      <c r="AE141" s="11"/>
      <c r="AF141" t="str">
        <v>Nikki.Dix@floridadep.gov</v>
      </c>
      <c r="AG141" s="17" t="s">
        <v>17</v>
      </c>
      <c r="AH141" s="12">
        <v>1450</v>
      </c>
      <c r="AI141" s="12" t="s">
        <v>363</v>
      </c>
      <c r="AJ141" s="19" t="s">
        <v>364</v>
      </c>
      <c r="AK141" s="20" t="str">
        <f>HYPERLINK("https://docs.google.com/document/d/1kJHcvyhgyIpKw8P9mBqauadO_E-MGaX1yx9HngVDcEU/edit?usp=drivesdk","Pamela Marcum - 9/5/2018 9:30 AM")</f>
        <v>Pamela Marcum - 9/5/2018 9:30 AM</v>
      </c>
      <c r="AL141" s="12" t="s">
        <v>365</v>
      </c>
    </row>
    <row r="142" spans="1:38" ht="12.75">
      <c r="A142" s="10">
        <f ca="1">IFERROR(__xludf.DUMMYFUNCTION("""COMPUTED_VALUE"""),43348.3376472222)</f>
        <v>43348.337647222201</v>
      </c>
      <c r="B142" s="11" t="str">
        <f ca="1">IFERROR(__xludf.DUMMYFUNCTION("""COMPUTED_VALUE"""),"Ben Mowbray")</f>
        <v>Ben Mowbray</v>
      </c>
      <c r="C142" t="str">
        <f ca="1">IFERROR(__xludf.DUMMYFUNCTION("""COMPUTED_VALUE"""),"ben.mowbray@dep.state.fl.us")</f>
        <v>ben.mowbray@dep.state.fl.us</v>
      </c>
      <c r="D142" t="str">
        <f ca="1">IFERROR(__xludf.DUMMYFUNCTION("""COMPUTED_VALUE"""),"Research/Pam")</f>
        <v>Research/Pam</v>
      </c>
      <c r="E142" t="str">
        <f ca="1">IFERROR(__xludf.DUMMYFUNCTION("""COMPUTED_VALUE"""),"Aunt Kate's")</f>
        <v>Aunt Kate's</v>
      </c>
      <c r="F142" s="13">
        <f ca="1">IFERROR(__xludf.DUMMYFUNCTION("""COMPUTED_VALUE"""),0.388888888890505)</f>
        <v>0.38888888889050499</v>
      </c>
      <c r="G142" s="14">
        <f ca="1">IFERROR(__xludf.DUMMYFUNCTION("""COMPUTED_VALUE"""),43348)</f>
        <v>43348</v>
      </c>
      <c r="H142" t="str">
        <f ca="1">IFERROR(__xludf.DUMMYFUNCTION("""COMPUTED_VALUE"""),"Kimbro Reefs in TR, GR")</f>
        <v>Kimbro Reefs in TR, GR</v>
      </c>
      <c r="I142" s="15">
        <f ca="1">IFERROR(__xludf.DUMMYFUNCTION("""COMPUTED_VALUE"""),0.5625)</f>
        <v>0.5625</v>
      </c>
      <c r="J142" s="16">
        <f ca="1">IFERROR(__xludf.DUMMYFUNCTION("""COMPUTED_VALUE"""),43348.5902777777)</f>
        <v>43348.590277777701</v>
      </c>
      <c r="K142" t="str">
        <f ca="1">IFERROR(__xludf.DUMMYFUNCTION("""COMPUTED_VALUE"""),"20ft Sea Ark FL5351SJ UNF 2015")</f>
        <v>20ft Sea Ark FL5351SJ UNF 2015</v>
      </c>
      <c r="M142" t="str">
        <f ca="1">IFERROR(__xludf.DUMMYFUNCTION("""COMPUTED_VALUE"""),"DEP07668 Ford F150 2010")</f>
        <v>DEP07668 Ford F150 2010</v>
      </c>
      <c r="N142" t="str">
        <f ca="1">IFERROR(__xludf.DUMMYFUNCTION("""COMPUTED_VALUE"""),"Ben Mowbray, (407) 962-8782")</f>
        <v>Ben Mowbray, (407) 962-8782</v>
      </c>
      <c r="O142" t="str">
        <f ca="1">IFERROR(__xludf.DUMMYFUNCTION("""COMPUTED_VALUE"""),"Craig Tinus, Nicole, Adrienne, Rodrigo")</f>
        <v>Craig Tinus, Nicole, Adrienne, Rodrigo</v>
      </c>
      <c r="P142" t="str">
        <f ca="1">IFERROR(__xludf.DUMMYFUNCTION("""COMPUTED_VALUE"""),"Ben")</f>
        <v>Ben</v>
      </c>
      <c r="Q142" t="str">
        <f ca="1">IFERROR(__xludf.DUMMYFUNCTION("""COMPUTED_VALUE"""),"Good")</f>
        <v>Good</v>
      </c>
      <c r="R142" t="str">
        <f ca="1">IFERROR(__xludf.DUMMYFUNCTION("""COMPUTED_VALUE"""),"Good")</f>
        <v>Good</v>
      </c>
      <c r="S142" t="str">
        <f ca="1">IFERROR(__xludf.DUMMYFUNCTION("""COMPUTED_VALUE"""),"Good")</f>
        <v>Good</v>
      </c>
      <c r="T142" t="str">
        <f ca="1">IFERROR(__xludf.DUMMYFUNCTION("""COMPUTED_VALUE"""),"Good")</f>
        <v>Good</v>
      </c>
      <c r="U142" t="str">
        <f ca="1">IFERROR(__xludf.DUMMYFUNCTION("""COMPUTED_VALUE"""),"Good")</f>
        <v>Good</v>
      </c>
      <c r="V142" t="str">
        <f ca="1">IFERROR(__xludf.DUMMYFUNCTION("""COMPUTED_VALUE"""),"Good")</f>
        <v>Good</v>
      </c>
      <c r="W142" t="str">
        <f ca="1">IFERROR(__xludf.DUMMYFUNCTION("""COMPUTED_VALUE"""),"Good")</f>
        <v>Good</v>
      </c>
      <c r="X142" t="str">
        <f ca="1">IFERROR(__xludf.DUMMYFUNCTION("""COMPUTED_VALUE"""),"Good")</f>
        <v>Good</v>
      </c>
      <c r="Y142" t="str">
        <f ca="1">IFERROR(__xludf.DUMMYFUNCTION("""COMPUTED_VALUE"""),"Good")</f>
        <v>Good</v>
      </c>
      <c r="Z142" t="str">
        <f ca="1">IFERROR(__xludf.DUMMYFUNCTION("""COMPUTED_VALUE"""),"Good")</f>
        <v>Good</v>
      </c>
      <c r="AA142" t="str">
        <f ca="1">IFERROR(__xludf.DUMMYFUNCTION("""COMPUTED_VALUE"""),"Good")</f>
        <v>Good</v>
      </c>
      <c r="AB142" t="str">
        <f ca="1">IFERROR(__xludf.DUMMYFUNCTION("""COMPUTED_VALUE"""),"Good")</f>
        <v>Good</v>
      </c>
      <c r="AC142" t="str">
        <f ca="1">IFERROR(__xludf.DUMMYFUNCTION("""COMPUTED_VALUE"""),"Good")</f>
        <v>Good</v>
      </c>
      <c r="AE142" s="11"/>
      <c r="AF142" t="str">
        <v>Pamela.Marcum@floridadep.gov</v>
      </c>
      <c r="AG142" s="17" t="s">
        <v>17</v>
      </c>
      <c r="AH142" s="12">
        <v>1307</v>
      </c>
      <c r="AI142" s="12" t="s">
        <v>366</v>
      </c>
      <c r="AJ142" s="19" t="s">
        <v>367</v>
      </c>
      <c r="AK142" s="20" t="str">
        <f>HYPERLINK("https://docs.google.com/document/d/1hlaZ7sS4mysE6nV8d7dJ53WrBvYx2rjjVBaLtrkEUXE/edit?usp=drivesdk","Ben Mowbray - 9/5/2018 9:20 AM")</f>
        <v>Ben Mowbray - 9/5/2018 9:20 AM</v>
      </c>
      <c r="AL142" s="12" t="s">
        <v>368</v>
      </c>
    </row>
    <row r="143" spans="1:38" ht="12.75">
      <c r="A143" s="10">
        <f ca="1">IFERROR(__xludf.DUMMYFUNCTION("""COMPUTED_VALUE"""),43348.6089136226)</f>
        <v>43348.6089136226</v>
      </c>
      <c r="B143" s="11" t="str">
        <f ca="1">IFERROR(__xludf.DUMMYFUNCTION("""COMPUTED_VALUE"""),"Jimmy Tomazinis")</f>
        <v>Jimmy Tomazinis</v>
      </c>
      <c r="C143" t="str">
        <f ca="1">IFERROR(__xludf.DUMMYFUNCTION("""COMPUTED_VALUE"""),"james.tomazinis@floridadep.gov")</f>
        <v>james.tomazinis@floridadep.gov</v>
      </c>
      <c r="D143" t="str">
        <f ca="1">IFERROR(__xludf.DUMMYFUNCTION("""COMPUTED_VALUE"""),"Stewardship (Aquatic)")</f>
        <v>Stewardship (Aquatic)</v>
      </c>
      <c r="E143" t="str">
        <f ca="1">IFERROR(__xludf.DUMMYFUNCTION("""COMPUTED_VALUE"""),"Guana Dam")</f>
        <v>Guana Dam</v>
      </c>
      <c r="F143" s="13">
        <f ca="1">IFERROR(__xludf.DUMMYFUNCTION("""COMPUTED_VALUE"""),0.30208333333212)</f>
        <v>0.30208333333212001</v>
      </c>
      <c r="G143" s="14">
        <f ca="1">IFERROR(__xludf.DUMMYFUNCTION("""COMPUTED_VALUE"""),43349)</f>
        <v>43349</v>
      </c>
      <c r="H143" t="str">
        <f ca="1">IFERROR(__xludf.DUMMYFUNCTION("""COMPUTED_VALUE"""),"Guana River WQ Sampling sites")</f>
        <v>Guana River WQ Sampling sites</v>
      </c>
      <c r="I143" s="15">
        <f ca="1">IFERROR(__xludf.DUMMYFUNCTION("""COMPUTED_VALUE"""),0.375)</f>
        <v>0.375</v>
      </c>
      <c r="J143" s="16"/>
      <c r="K143" t="str">
        <f ca="1">IFERROR(__xludf.DUMMYFUNCTION("""COMPUTED_VALUE"""),"Jon Boat FL0484NP DEP06819")</f>
        <v>Jon Boat FL0484NP DEP06819</v>
      </c>
      <c r="M143" t="str">
        <f ca="1">IFERROR(__xludf.DUMMYFUNCTION("""COMPUTED_VALUE"""),"Ford F150 2008 - DEP18041 (SWMP Thing)")</f>
        <v>Ford F150 2008 - DEP18041 (SWMP Thing)</v>
      </c>
      <c r="N143" t="str">
        <f ca="1">IFERROR(__xludf.DUMMYFUNCTION("""COMPUTED_VALUE"""),"Jimmy Tomazinis, (904) 547-0094")</f>
        <v>Jimmy Tomazinis, (904) 547-0094</v>
      </c>
      <c r="O143" t="str">
        <f ca="1">IFERROR(__xludf.DUMMYFUNCTION("""COMPUTED_VALUE"""),"Hunter Mathews")</f>
        <v>Hunter Mathews</v>
      </c>
      <c r="P143" t="str">
        <f ca="1">IFERROR(__xludf.DUMMYFUNCTION("""COMPUTED_VALUE"""),"Jimmy")</f>
        <v>Jimmy</v>
      </c>
      <c r="Q143" t="str">
        <f ca="1">IFERROR(__xludf.DUMMYFUNCTION("""COMPUTED_VALUE"""),"Good")</f>
        <v>Good</v>
      </c>
      <c r="R143" t="str">
        <f ca="1">IFERROR(__xludf.DUMMYFUNCTION("""COMPUTED_VALUE"""),"Good")</f>
        <v>Good</v>
      </c>
      <c r="S143" t="str">
        <f ca="1">IFERROR(__xludf.DUMMYFUNCTION("""COMPUTED_VALUE"""),"Good")</f>
        <v>Good</v>
      </c>
      <c r="T143" t="str">
        <f ca="1">IFERROR(__xludf.DUMMYFUNCTION("""COMPUTED_VALUE"""),"Good")</f>
        <v>Good</v>
      </c>
      <c r="U143" t="str">
        <f ca="1">IFERROR(__xludf.DUMMYFUNCTION("""COMPUTED_VALUE"""),"Good")</f>
        <v>Good</v>
      </c>
      <c r="V143" t="str">
        <f ca="1">IFERROR(__xludf.DUMMYFUNCTION("""COMPUTED_VALUE"""),"Good")</f>
        <v>Good</v>
      </c>
      <c r="W143" t="str">
        <f ca="1">IFERROR(__xludf.DUMMYFUNCTION("""COMPUTED_VALUE"""),"Good")</f>
        <v>Good</v>
      </c>
      <c r="X143" t="str">
        <f ca="1">IFERROR(__xludf.DUMMYFUNCTION("""COMPUTED_VALUE"""),"Good")</f>
        <v>Good</v>
      </c>
      <c r="Y143" t="str">
        <f ca="1">IFERROR(__xludf.DUMMYFUNCTION("""COMPUTED_VALUE"""),"Good")</f>
        <v>Good</v>
      </c>
      <c r="Z143" t="str">
        <f ca="1">IFERROR(__xludf.DUMMYFUNCTION("""COMPUTED_VALUE"""),"Good")</f>
        <v>Good</v>
      </c>
      <c r="AA143" t="str">
        <f ca="1">IFERROR(__xludf.DUMMYFUNCTION("""COMPUTED_VALUE"""),"Good")</f>
        <v>Good</v>
      </c>
      <c r="AB143" t="str">
        <f ca="1">IFERROR(__xludf.DUMMYFUNCTION("""COMPUTED_VALUE"""),"Good")</f>
        <v>Good</v>
      </c>
      <c r="AC143" t="str">
        <f ca="1">IFERROR(__xludf.DUMMYFUNCTION("""COMPUTED_VALUE"""),"Good")</f>
        <v>Good</v>
      </c>
      <c r="AE143" s="11"/>
      <c r="AF143" t="str">
        <v>Scott.Eastman@floridadep.gov</v>
      </c>
      <c r="AG143" s="17" t="s">
        <v>17</v>
      </c>
      <c r="AH143" s="12">
        <v>1050</v>
      </c>
      <c r="AI143" s="12" t="s">
        <v>369</v>
      </c>
      <c r="AJ143" s="19" t="s">
        <v>370</v>
      </c>
      <c r="AK143" s="20" t="str">
        <f>HYPERLINK("https://docs.google.com/document/d/1uWaH_X62R2Liuv1Udb-7AgjTcZgYdkQkjrG1FW0qql4/edit?usp=drivesdk","Jimmy Tomazinis - 9/6/2018 7:15 AM")</f>
        <v>Jimmy Tomazinis - 9/6/2018 7:15 AM</v>
      </c>
      <c r="AL143" s="12" t="s">
        <v>371</v>
      </c>
    </row>
    <row r="144" spans="1:38" ht="12.75">
      <c r="A144" s="10">
        <f ca="1">IFERROR(__xludf.DUMMYFUNCTION("""COMPUTED_VALUE"""),43349.3368338425)</f>
        <v>43349.336833842499</v>
      </c>
      <c r="B144" s="11" t="str">
        <f ca="1">IFERROR(__xludf.DUMMYFUNCTION("""COMPUTED_VALUE"""),"Ben Mowbray")</f>
        <v>Ben Mowbray</v>
      </c>
      <c r="C144" t="str">
        <f ca="1">IFERROR(__xludf.DUMMYFUNCTION("""COMPUTED_VALUE"""),"Ben.mowbray@dep.state.fl.us")</f>
        <v>Ben.mowbray@dep.state.fl.us</v>
      </c>
      <c r="D144" t="str">
        <f ca="1">IFERROR(__xludf.DUMMYFUNCTION("""COMPUTED_VALUE"""),"Research/Pam")</f>
        <v>Research/Pam</v>
      </c>
      <c r="E144" t="str">
        <f ca="1">IFERROR(__xludf.DUMMYFUNCTION("""COMPUTED_VALUE"""),"Shore Dr. =&gt; Aunt Kate's")</f>
        <v>Shore Dr. =&gt; Aunt Kate's</v>
      </c>
      <c r="F144" s="13">
        <f ca="1">IFERROR(__xludf.DUMMYFUNCTION("""COMPUTED_VALUE"""),0.388888888890505)</f>
        <v>0.38888888889050499</v>
      </c>
      <c r="G144" s="14">
        <f ca="1">IFERROR(__xludf.DUMMYFUNCTION("""COMPUTED_VALUE"""),43349)</f>
        <v>43349</v>
      </c>
      <c r="H144" t="str">
        <f ca="1">IFERROR(__xludf.DUMMYFUNCTION("""COMPUTED_VALUE"""),"Kimbro Reefs SA, RC, GR, PI")</f>
        <v>Kimbro Reefs SA, RC, GR, PI</v>
      </c>
      <c r="I144" s="15">
        <f ca="1">IFERROR(__xludf.DUMMYFUNCTION("""COMPUTED_VALUE"""),0.58333333333212)</f>
        <v>0.58333333333212001</v>
      </c>
      <c r="J144" s="16">
        <f ca="1">IFERROR(__xludf.DUMMYFUNCTION("""COMPUTED_VALUE"""),43349.625)</f>
        <v>43349.625</v>
      </c>
      <c r="K144" t="str">
        <f ca="1">IFERROR(__xludf.DUMMYFUNCTION("""COMPUTED_VALUE"""),"23ft Skiff (Bertha) FL7972LJ DEP07613")</f>
        <v>23ft Skiff (Bertha) FL7972LJ DEP07613</v>
      </c>
      <c r="M144" t="str">
        <f ca="1">IFERROR(__xludf.DUMMYFUNCTION("""COMPUTED_VALUE"""),"Ford F250 2017 (Moby Dix) - DEP0021578")</f>
        <v>Ford F250 2017 (Moby Dix) - DEP0021578</v>
      </c>
      <c r="N144" t="str">
        <f ca="1">IFERROR(__xludf.DUMMYFUNCTION("""COMPUTED_VALUE"""),"Ben Mowbray, (407) 962-8782")</f>
        <v>Ben Mowbray, (407) 962-8782</v>
      </c>
      <c r="O144" t="str">
        <f ca="1">IFERROR(__xludf.DUMMYFUNCTION("""COMPUTED_VALUE"""),"Nicole, Rodrigo, Adrienne")</f>
        <v>Nicole, Rodrigo, Adrienne</v>
      </c>
      <c r="P144" t="str">
        <f ca="1">IFERROR(__xludf.DUMMYFUNCTION("""COMPUTED_VALUE"""),"Ben")</f>
        <v>Ben</v>
      </c>
      <c r="Q144" t="str">
        <f ca="1">IFERROR(__xludf.DUMMYFUNCTION("""COMPUTED_VALUE"""),"Good")</f>
        <v>Good</v>
      </c>
      <c r="R144" t="str">
        <f ca="1">IFERROR(__xludf.DUMMYFUNCTION("""COMPUTED_VALUE"""),"Good")</f>
        <v>Good</v>
      </c>
      <c r="S144" t="str">
        <f ca="1">IFERROR(__xludf.DUMMYFUNCTION("""COMPUTED_VALUE"""),"Good")</f>
        <v>Good</v>
      </c>
      <c r="T144" t="str">
        <f ca="1">IFERROR(__xludf.DUMMYFUNCTION("""COMPUTED_VALUE"""),"Good")</f>
        <v>Good</v>
      </c>
      <c r="U144" t="str">
        <f ca="1">IFERROR(__xludf.DUMMYFUNCTION("""COMPUTED_VALUE"""),"Good")</f>
        <v>Good</v>
      </c>
      <c r="V144" t="str">
        <f ca="1">IFERROR(__xludf.DUMMYFUNCTION("""COMPUTED_VALUE"""),"Good")</f>
        <v>Good</v>
      </c>
      <c r="W144" t="str">
        <f ca="1">IFERROR(__xludf.DUMMYFUNCTION("""COMPUTED_VALUE"""),"Good")</f>
        <v>Good</v>
      </c>
      <c r="X144" t="str">
        <f ca="1">IFERROR(__xludf.DUMMYFUNCTION("""COMPUTED_VALUE"""),"Good")</f>
        <v>Good</v>
      </c>
      <c r="Y144" t="str">
        <f ca="1">IFERROR(__xludf.DUMMYFUNCTION("""COMPUTED_VALUE"""),"Good")</f>
        <v>Good</v>
      </c>
      <c r="Z144" t="str">
        <f ca="1">IFERROR(__xludf.DUMMYFUNCTION("""COMPUTED_VALUE"""),"Good")</f>
        <v>Good</v>
      </c>
      <c r="AA144" t="str">
        <f ca="1">IFERROR(__xludf.DUMMYFUNCTION("""COMPUTED_VALUE"""),"Good")</f>
        <v>Good</v>
      </c>
      <c r="AB144" t="str">
        <f ca="1">IFERROR(__xludf.DUMMYFUNCTION("""COMPUTED_VALUE"""),"Good")</f>
        <v>Good</v>
      </c>
      <c r="AC144" t="str">
        <f ca="1">IFERROR(__xludf.DUMMYFUNCTION("""COMPUTED_VALUE"""),"Good")</f>
        <v>Good</v>
      </c>
      <c r="AE144" s="11"/>
      <c r="AF144" t="str">
        <v>Pamela.Marcum@floridadep.gov</v>
      </c>
      <c r="AG144" s="17" t="s">
        <v>17</v>
      </c>
      <c r="AH144" s="12">
        <v>1420</v>
      </c>
      <c r="AI144" s="12" t="s">
        <v>372</v>
      </c>
      <c r="AJ144" s="19" t="s">
        <v>373</v>
      </c>
      <c r="AK144" s="20" t="str">
        <f>HYPERLINK("https://docs.google.com/document/d/1yedKFixA69V0VtSDY7-I0SVCLPtcIuBrNsPWlFA5t0Q/edit?usp=drivesdk","Ben Mowbray - 9/6/2018 9:20 AM")</f>
        <v>Ben Mowbray - 9/6/2018 9:20 AM</v>
      </c>
      <c r="AL144" s="12" t="s">
        <v>374</v>
      </c>
    </row>
    <row r="145" spans="1:38" ht="12.75">
      <c r="A145" s="10">
        <f ca="1">IFERROR(__xludf.DUMMYFUNCTION("""COMPUTED_VALUE"""),43349.379244537)</f>
        <v>43349.379244536998</v>
      </c>
      <c r="B145" s="11" t="str">
        <f ca="1">IFERROR(__xludf.DUMMYFUNCTION("""COMPUTED_VALUE"""),"Pamela Marcum")</f>
        <v>Pamela Marcum</v>
      </c>
      <c r="C145" t="str">
        <f ca="1">IFERROR(__xludf.DUMMYFUNCTION("""COMPUTED_VALUE"""),"Pamela.Marcum@Dep.state.fl.us")</f>
        <v>Pamela.Marcum@Dep.state.fl.us</v>
      </c>
      <c r="D145" t="str">
        <f ca="1">IFERROR(__xludf.DUMMYFUNCTION("""COMPUTED_VALUE"""),"Research/Nikki")</f>
        <v>Research/Nikki</v>
      </c>
      <c r="E145" t="str">
        <f ca="1">IFERROR(__xludf.DUMMYFUNCTION("""COMPUTED_VALUE"""),"Whitney Lab")</f>
        <v>Whitney Lab</v>
      </c>
      <c r="F145" s="13">
        <f ca="1">IFERROR(__xludf.DUMMYFUNCTION("""COMPUTED_VALUE"""),0.4375)</f>
        <v>0.4375</v>
      </c>
      <c r="G145" s="14">
        <f ca="1">IFERROR(__xludf.DUMMYFUNCTION("""COMPUTED_VALUE"""),43349)</f>
        <v>43349</v>
      </c>
      <c r="H145" t="str">
        <f ca="1">IFERROR(__xludf.DUMMYFUNCTION("""COMPUTED_VALUE"""),"Summerhaven Bridge/Whitney Reefs")</f>
        <v>Summerhaven Bridge/Whitney Reefs</v>
      </c>
      <c r="I145" s="15">
        <f ca="1">IFERROR(__xludf.DUMMYFUNCTION("""COMPUTED_VALUE"""),0.625)</f>
        <v>0.625</v>
      </c>
      <c r="J145" s="16">
        <f ca="1">IFERROR(__xludf.DUMMYFUNCTION("""COMPUTED_VALUE"""),43348.6666666666)</f>
        <v>43348.666666666599</v>
      </c>
      <c r="K145" t="str">
        <f ca="1">IFERROR(__xludf.DUMMYFUNCTION("""COMPUTED_VALUE"""),"F 20ft Sea Ark (Easy 200) FL8534PY DEP21451")</f>
        <v>F 20ft Sea Ark (Easy 200) FL8534PY DEP21451</v>
      </c>
      <c r="M145" t="str">
        <f ca="1">IFERROR(__xludf.DUMMYFUNCTION("""COMPUTED_VALUE"""),"Ford F150 2015 (White) - DEP21448")</f>
        <v>Ford F150 2015 (White) - DEP21448</v>
      </c>
      <c r="N145" t="str">
        <f ca="1">IFERROR(__xludf.DUMMYFUNCTION("""COMPUTED_VALUE"""),"Pam Marcum, (480) 332-5414")</f>
        <v>Pam Marcum, (480) 332-5414</v>
      </c>
      <c r="O145" t="str">
        <f ca="1">IFERROR(__xludf.DUMMYFUNCTION("""COMPUTED_VALUE"""),"Tim Coons, Alle Knoell, Jeff Stephenson, George Morgan, Ron Coyne")</f>
        <v>Tim Coons, Alle Knoell, Jeff Stephenson, George Morgan, Ron Coyne</v>
      </c>
      <c r="P145" t="str">
        <f ca="1">IFERROR(__xludf.DUMMYFUNCTION("""COMPUTED_VALUE"""),"Pamela Marcum")</f>
        <v>Pamela Marcum</v>
      </c>
      <c r="Q145" t="str">
        <f ca="1">IFERROR(__xludf.DUMMYFUNCTION("""COMPUTED_VALUE"""),"Good")</f>
        <v>Good</v>
      </c>
      <c r="R145" t="str">
        <f ca="1">IFERROR(__xludf.DUMMYFUNCTION("""COMPUTED_VALUE"""),"Good")</f>
        <v>Good</v>
      </c>
      <c r="S145" t="str">
        <f ca="1">IFERROR(__xludf.DUMMYFUNCTION("""COMPUTED_VALUE"""),"Good")</f>
        <v>Good</v>
      </c>
      <c r="T145" t="str">
        <f ca="1">IFERROR(__xludf.DUMMYFUNCTION("""COMPUTED_VALUE"""),"Good")</f>
        <v>Good</v>
      </c>
      <c r="U145" t="str">
        <f ca="1">IFERROR(__xludf.DUMMYFUNCTION("""COMPUTED_VALUE"""),"Good")</f>
        <v>Good</v>
      </c>
      <c r="V145" t="str">
        <f ca="1">IFERROR(__xludf.DUMMYFUNCTION("""COMPUTED_VALUE"""),"Good")</f>
        <v>Good</v>
      </c>
      <c r="W145" t="str">
        <f ca="1">IFERROR(__xludf.DUMMYFUNCTION("""COMPUTED_VALUE"""),"Good")</f>
        <v>Good</v>
      </c>
      <c r="X145" t="str">
        <f ca="1">IFERROR(__xludf.DUMMYFUNCTION("""COMPUTED_VALUE"""),"Good")</f>
        <v>Good</v>
      </c>
      <c r="Y145" t="str">
        <f ca="1">IFERROR(__xludf.DUMMYFUNCTION("""COMPUTED_VALUE"""),"Good")</f>
        <v>Good</v>
      </c>
      <c r="Z145" t="str">
        <f ca="1">IFERROR(__xludf.DUMMYFUNCTION("""COMPUTED_VALUE"""),"Good")</f>
        <v>Good</v>
      </c>
      <c r="AA145" t="str">
        <f ca="1">IFERROR(__xludf.DUMMYFUNCTION("""COMPUTED_VALUE"""),"Good")</f>
        <v>Good</v>
      </c>
      <c r="AB145" t="str">
        <f ca="1">IFERROR(__xludf.DUMMYFUNCTION("""COMPUTED_VALUE"""),"Good")</f>
        <v>Good</v>
      </c>
      <c r="AC145" t="str">
        <f ca="1">IFERROR(__xludf.DUMMYFUNCTION("""COMPUTED_VALUE"""),"Good")</f>
        <v>Good</v>
      </c>
      <c r="AE145" s="11"/>
      <c r="AF145" t="str">
        <v>Nikki.Dix@floridadep.gov</v>
      </c>
      <c r="AG145" s="17" t="s">
        <v>17</v>
      </c>
      <c r="AH145" s="12">
        <v>1505</v>
      </c>
      <c r="AI145" s="12" t="s">
        <v>375</v>
      </c>
      <c r="AJ145" s="19" t="s">
        <v>376</v>
      </c>
      <c r="AK145" s="20" t="str">
        <f>HYPERLINK("https://docs.google.com/document/d/17DVNObsevh1PglvOtUWG2_f9xR1DhwO97Kb9C_lXeyg/edit?usp=drivesdk","Pamela Marcum - 9/6/2018 10:30 AM")</f>
        <v>Pamela Marcum - 9/6/2018 10:30 AM</v>
      </c>
      <c r="AL145" s="12" t="s">
        <v>377</v>
      </c>
    </row>
    <row r="146" spans="1:38" ht="12.75">
      <c r="A146" s="10">
        <f ca="1">IFERROR(__xludf.DUMMYFUNCTION("""COMPUTED_VALUE"""),43350.37360603)</f>
        <v>43350.37360603</v>
      </c>
      <c r="B146" s="11" t="str">
        <f ca="1">IFERROR(__xludf.DUMMYFUNCTION("""COMPUTED_VALUE"""),"Ben Mowbray")</f>
        <v>Ben Mowbray</v>
      </c>
      <c r="C146" t="str">
        <f ca="1">IFERROR(__xludf.DUMMYFUNCTION("""COMPUTED_VALUE"""),"ben.mowbray@dep.state.fl.us")</f>
        <v>ben.mowbray@dep.state.fl.us</v>
      </c>
      <c r="D146" t="str">
        <f ca="1">IFERROR(__xludf.DUMMYFUNCTION("""COMPUTED_VALUE"""),"Research/Pam")</f>
        <v>Research/Pam</v>
      </c>
      <c r="E146" t="str">
        <f ca="1">IFERROR(__xludf.DUMMYFUNCTION("""COMPUTED_VALUE"""),"Green Rd. =&gt; Anastasia Lighthouse")</f>
        <v>Green Rd. =&gt; Anastasia Lighthouse</v>
      </c>
      <c r="F146" s="13">
        <f ca="1">IFERROR(__xludf.DUMMYFUNCTION("""COMPUTED_VALUE"""),0.4375)</f>
        <v>0.4375</v>
      </c>
      <c r="G146" s="14">
        <f ca="1">IFERROR(__xludf.DUMMYFUNCTION("""COMPUTED_VALUE"""),43350)</f>
        <v>43350</v>
      </c>
      <c r="H146" t="str">
        <f ca="1">IFERROR(__xludf.DUMMYFUNCTION("""COMPUTED_VALUE"""),"FM, SR Reefs")</f>
        <v>FM, SR Reefs</v>
      </c>
      <c r="I146" s="15">
        <f ca="1">IFERROR(__xludf.DUMMYFUNCTION("""COMPUTED_VALUE"""),0.541666666667879)</f>
        <v>0.54166666666787899</v>
      </c>
      <c r="J146" s="16">
        <f ca="1">IFERROR(__xludf.DUMMYFUNCTION("""COMPUTED_VALUE"""),43350.5694444444)</f>
        <v>43350.569444444402</v>
      </c>
      <c r="K146" t="str">
        <f ca="1">IFERROR(__xludf.DUMMYFUNCTION("""COMPUTED_VALUE"""),"23ft Skiff (Bertha) FL7972LJ DEP07613")</f>
        <v>23ft Skiff (Bertha) FL7972LJ DEP07613</v>
      </c>
      <c r="M146" t="str">
        <f ca="1">IFERROR(__xludf.DUMMYFUNCTION("""COMPUTED_VALUE"""),"Ford F250 2017 (Moby Dix) - DEP0021578")</f>
        <v>Ford F250 2017 (Moby Dix) - DEP0021578</v>
      </c>
      <c r="N146" t="str">
        <f ca="1">IFERROR(__xludf.DUMMYFUNCTION("""COMPUTED_VALUE"""),"Ben Mowbray, (407) 962-8782")</f>
        <v>Ben Mowbray, (407) 962-8782</v>
      </c>
      <c r="O146" t="str">
        <f ca="1">IFERROR(__xludf.DUMMYFUNCTION("""COMPUTED_VALUE"""),"Alicia")</f>
        <v>Alicia</v>
      </c>
      <c r="P146" t="str">
        <f ca="1">IFERROR(__xludf.DUMMYFUNCTION("""COMPUTED_VALUE"""),"Ben")</f>
        <v>Ben</v>
      </c>
      <c r="Q146" t="str">
        <f ca="1">IFERROR(__xludf.DUMMYFUNCTION("""COMPUTED_VALUE"""),"Good")</f>
        <v>Good</v>
      </c>
      <c r="R146" t="str">
        <f ca="1">IFERROR(__xludf.DUMMYFUNCTION("""COMPUTED_VALUE"""),"Good")</f>
        <v>Good</v>
      </c>
      <c r="S146" t="str">
        <f ca="1">IFERROR(__xludf.DUMMYFUNCTION("""COMPUTED_VALUE"""),"Good")</f>
        <v>Good</v>
      </c>
      <c r="T146" t="str">
        <f ca="1">IFERROR(__xludf.DUMMYFUNCTION("""COMPUTED_VALUE"""),"Good")</f>
        <v>Good</v>
      </c>
      <c r="U146" t="str">
        <f ca="1">IFERROR(__xludf.DUMMYFUNCTION("""COMPUTED_VALUE"""),"Good")</f>
        <v>Good</v>
      </c>
      <c r="V146" t="str">
        <f ca="1">IFERROR(__xludf.DUMMYFUNCTION("""COMPUTED_VALUE"""),"Good")</f>
        <v>Good</v>
      </c>
      <c r="W146" t="str">
        <f ca="1">IFERROR(__xludf.DUMMYFUNCTION("""COMPUTED_VALUE"""),"Good")</f>
        <v>Good</v>
      </c>
      <c r="X146" t="str">
        <f ca="1">IFERROR(__xludf.DUMMYFUNCTION("""COMPUTED_VALUE"""),"Good")</f>
        <v>Good</v>
      </c>
      <c r="Y146" t="str">
        <f ca="1">IFERROR(__xludf.DUMMYFUNCTION("""COMPUTED_VALUE"""),"Good")</f>
        <v>Good</v>
      </c>
      <c r="Z146" t="str">
        <f ca="1">IFERROR(__xludf.DUMMYFUNCTION("""COMPUTED_VALUE"""),"Good")</f>
        <v>Good</v>
      </c>
      <c r="AA146" t="str">
        <f ca="1">IFERROR(__xludf.DUMMYFUNCTION("""COMPUTED_VALUE"""),"Good")</f>
        <v>Good</v>
      </c>
      <c r="AB146" t="str">
        <f ca="1">IFERROR(__xludf.DUMMYFUNCTION("""COMPUTED_VALUE"""),"Good")</f>
        <v>Good</v>
      </c>
      <c r="AC146" t="str">
        <f ca="1">IFERROR(__xludf.DUMMYFUNCTION("""COMPUTED_VALUE"""),"Good")</f>
        <v>Good</v>
      </c>
      <c r="AE146" s="11"/>
      <c r="AF146" t="str">
        <v>Pamela.Marcum@floridadep.gov</v>
      </c>
      <c r="AG146" s="17" t="s">
        <v>41</v>
      </c>
      <c r="AH146" s="12">
        <v>1255</v>
      </c>
      <c r="AI146" s="12" t="s">
        <v>378</v>
      </c>
      <c r="AJ146" s="19" t="s">
        <v>379</v>
      </c>
      <c r="AK146" s="20" t="str">
        <f>HYPERLINK("https://docs.google.com/document/d/1vK2OVKgBHmbnDyydJiI28-r72XA9d-1diz04IeBEKo4/edit?usp=drivesdk","Ben Mowbray - 9/7/2018 10:30 AM")</f>
        <v>Ben Mowbray - 9/7/2018 10:30 AM</v>
      </c>
      <c r="AL146" s="12" t="s">
        <v>380</v>
      </c>
    </row>
    <row r="147" spans="1:38" ht="12.75">
      <c r="A147" s="10">
        <f ca="1">IFERROR(__xludf.DUMMYFUNCTION("""COMPUTED_VALUE"""),43350.4847730671)</f>
        <v>43350.484773067103</v>
      </c>
      <c r="B147" s="11" t="str">
        <f ca="1">IFERROR(__xludf.DUMMYFUNCTION("""COMPUTED_VALUE"""),"Pam Marcum")</f>
        <v>Pam Marcum</v>
      </c>
      <c r="C147" t="str">
        <f ca="1">IFERROR(__xludf.DUMMYFUNCTION("""COMPUTED_VALUE"""),"pamela.marcum@dep.state.fl.us")</f>
        <v>pamela.marcum@dep.state.fl.us</v>
      </c>
      <c r="D147" t="str">
        <f ca="1">IFERROR(__xludf.DUMMYFUNCTION("""COMPUTED_VALUE"""),"Research/Nikki")</f>
        <v>Research/Nikki</v>
      </c>
      <c r="E147" t="str">
        <f ca="1">IFERROR(__xludf.DUMMYFUNCTION("""COMPUTED_VALUE"""),"Whitney lab")</f>
        <v>Whitney lab</v>
      </c>
      <c r="F147" s="13">
        <f ca="1">IFERROR(__xludf.DUMMYFUNCTION("""COMPUTED_VALUE"""),0.479166666667879)</f>
        <v>0.47916666666787899</v>
      </c>
      <c r="G147" s="14">
        <f ca="1">IFERROR(__xludf.DUMMYFUNCTION("""COMPUTED_VALUE"""),43350)</f>
        <v>43350</v>
      </c>
      <c r="H147" t="str">
        <f ca="1">IFERROR(__xludf.DUMMYFUNCTION("""COMPUTED_VALUE"""),"Whitney reefs and pellicer spat")</f>
        <v>Whitney reefs and pellicer spat</v>
      </c>
      <c r="I147" s="15">
        <f ca="1">IFERROR(__xludf.DUMMYFUNCTION("""COMPUTED_VALUE"""),0.625)</f>
        <v>0.625</v>
      </c>
      <c r="J147" s="16">
        <f ca="1">IFERROR(__xludf.DUMMYFUNCTION("""COMPUTED_VALUE"""),43350.6666666666)</f>
        <v>43350.666666666599</v>
      </c>
      <c r="K147" t="str">
        <f ca="1">IFERROR(__xludf.DUMMYFUNCTION("""COMPUTED_VALUE"""),"F 20ft Sea Ark (Easy 200) FL8534PY DEP21451")</f>
        <v>F 20ft Sea Ark (Easy 200) FL8534PY DEP21451</v>
      </c>
      <c r="M147" t="str">
        <f ca="1">IFERROR(__xludf.DUMMYFUNCTION("""COMPUTED_VALUE"""),"Ford F150 2015 (White) - DEP21448")</f>
        <v>Ford F150 2015 (White) - DEP21448</v>
      </c>
      <c r="N147" t="str">
        <f ca="1">IFERROR(__xludf.DUMMYFUNCTION("""COMPUTED_VALUE"""),"Pam Marcum, (480) 332-5414")</f>
        <v>Pam Marcum, (480) 332-5414</v>
      </c>
      <c r="O147" t="str">
        <f ca="1">IFERROR(__xludf.DUMMYFUNCTION("""COMPUTED_VALUE"""),"Chris Kurtz, Julie Edwards, Diane ")</f>
        <v xml:space="preserve">Chris Kurtz, Julie Edwards, Diane </v>
      </c>
      <c r="P147" t="str">
        <f ca="1">IFERROR(__xludf.DUMMYFUNCTION("""COMPUTED_VALUE"""),"Pam")</f>
        <v>Pam</v>
      </c>
      <c r="Q147" t="str">
        <f ca="1">IFERROR(__xludf.DUMMYFUNCTION("""COMPUTED_VALUE"""),"Good")</f>
        <v>Good</v>
      </c>
      <c r="R147" t="str">
        <f ca="1">IFERROR(__xludf.DUMMYFUNCTION("""COMPUTED_VALUE"""),"Good")</f>
        <v>Good</v>
      </c>
      <c r="S147" t="str">
        <f ca="1">IFERROR(__xludf.DUMMYFUNCTION("""COMPUTED_VALUE"""),"Good")</f>
        <v>Good</v>
      </c>
      <c r="T147" t="str">
        <f ca="1">IFERROR(__xludf.DUMMYFUNCTION("""COMPUTED_VALUE"""),"Good")</f>
        <v>Good</v>
      </c>
      <c r="U147" t="str">
        <f ca="1">IFERROR(__xludf.DUMMYFUNCTION("""COMPUTED_VALUE"""),"Good")</f>
        <v>Good</v>
      </c>
      <c r="V147" t="str">
        <f ca="1">IFERROR(__xludf.DUMMYFUNCTION("""COMPUTED_VALUE"""),"Good")</f>
        <v>Good</v>
      </c>
      <c r="W147" t="str">
        <f ca="1">IFERROR(__xludf.DUMMYFUNCTION("""COMPUTED_VALUE"""),"Good")</f>
        <v>Good</v>
      </c>
      <c r="X147" t="str">
        <f ca="1">IFERROR(__xludf.DUMMYFUNCTION("""COMPUTED_VALUE"""),"Good")</f>
        <v>Good</v>
      </c>
      <c r="Y147" t="str">
        <f ca="1">IFERROR(__xludf.DUMMYFUNCTION("""COMPUTED_VALUE"""),"Good")</f>
        <v>Good</v>
      </c>
      <c r="Z147" t="str">
        <f ca="1">IFERROR(__xludf.DUMMYFUNCTION("""COMPUTED_VALUE"""),"Good")</f>
        <v>Good</v>
      </c>
      <c r="AA147" t="str">
        <f ca="1">IFERROR(__xludf.DUMMYFUNCTION("""COMPUTED_VALUE"""),"Good")</f>
        <v>Good</v>
      </c>
      <c r="AB147" t="str">
        <f ca="1">IFERROR(__xludf.DUMMYFUNCTION("""COMPUTED_VALUE"""),"Good")</f>
        <v>Good</v>
      </c>
      <c r="AC147" t="str">
        <f ca="1">IFERROR(__xludf.DUMMYFUNCTION("""COMPUTED_VALUE"""),"Good")</f>
        <v>Good</v>
      </c>
      <c r="AE147" s="11"/>
      <c r="AF147" t="str">
        <v>Nikki.Dix@floridadep.gov</v>
      </c>
      <c r="AG147" s="17" t="s">
        <v>17</v>
      </c>
      <c r="AH147" s="12">
        <v>1520</v>
      </c>
      <c r="AI147" s="12" t="s">
        <v>381</v>
      </c>
      <c r="AJ147" s="19" t="s">
        <v>382</v>
      </c>
      <c r="AK147" s="20" t="str">
        <f>HYPERLINK("https://docs.google.com/document/d/1pOCINOcEnSuc-joWQ1QIg6quFm4xBtL_1Iljg7H-ldU/edit?usp=drivesdk","Pam Marcum - 9/7/2018 11:30 AM")</f>
        <v>Pam Marcum - 9/7/2018 11:30 AM</v>
      </c>
      <c r="AL147" s="12" t="s">
        <v>383</v>
      </c>
    </row>
    <row r="148" spans="1:38" ht="12.75">
      <c r="A148" s="10">
        <f ca="1">IFERROR(__xludf.DUMMYFUNCTION("""COMPUTED_VALUE"""),43352.4198523611)</f>
        <v>43352.419852361098</v>
      </c>
      <c r="B148" s="11" t="str">
        <f ca="1">IFERROR(__xludf.DUMMYFUNCTION("""COMPUTED_VALUE"""),"Pam Marcum")</f>
        <v>Pam Marcum</v>
      </c>
      <c r="C148" t="str">
        <f ca="1">IFERROR(__xludf.DUMMYFUNCTION("""COMPUTED_VALUE"""),"Pamela.Marcum@dep.state.fl.us")</f>
        <v>Pamela.Marcum@dep.state.fl.us</v>
      </c>
      <c r="D148" t="str">
        <f ca="1">IFERROR(__xludf.DUMMYFUNCTION("""COMPUTED_VALUE"""),"Research/Nikki")</f>
        <v>Research/Nikki</v>
      </c>
      <c r="E148" t="str">
        <f ca="1">IFERROR(__xludf.DUMMYFUNCTION("""COMPUTED_VALUE"""),"Princess Place")</f>
        <v>Princess Place</v>
      </c>
      <c r="F148" s="13">
        <f ca="1">IFERROR(__xludf.DUMMYFUNCTION("""COMPUTED_VALUE"""),0.541666666667879)</f>
        <v>0.54166666666787899</v>
      </c>
      <c r="G148" s="14">
        <f ca="1">IFERROR(__xludf.DUMMYFUNCTION("""COMPUTED_VALUE"""),43352)</f>
        <v>43352</v>
      </c>
      <c r="H148" t="str">
        <f ca="1">IFERROR(__xludf.DUMMYFUNCTION("""COMPUTED_VALUE"""),"Pellicer Flats")</f>
        <v>Pellicer Flats</v>
      </c>
      <c r="I148" s="15">
        <f ca="1">IFERROR(__xludf.DUMMYFUNCTION("""COMPUTED_VALUE"""),0.791666666667879)</f>
        <v>0.79166666666787899</v>
      </c>
      <c r="J148" s="16">
        <f ca="1">IFERROR(__xludf.DUMMYFUNCTION("""COMPUTED_VALUE"""),43352.8333333333)</f>
        <v>43352.833333333299</v>
      </c>
      <c r="K148" t="str">
        <f ca="1">IFERROR(__xludf.DUMMYFUNCTION("""COMPUTED_VALUE"""),"Jon Boat FL0484NP DEP06819")</f>
        <v>Jon Boat FL0484NP DEP06819</v>
      </c>
      <c r="M148" t="str">
        <f ca="1">IFERROR(__xludf.DUMMYFUNCTION("""COMPUTED_VALUE"""),"Ford F150 2008 - DEP18041 (SWMP Thing)")</f>
        <v>Ford F150 2008 - DEP18041 (SWMP Thing)</v>
      </c>
      <c r="N148" t="str">
        <f ca="1">IFERROR(__xludf.DUMMYFUNCTION("""COMPUTED_VALUE"""),"Pam Marcum, (480) 332-5414")</f>
        <v>Pam Marcum, (480) 332-5414</v>
      </c>
      <c r="O148" t="str">
        <f ca="1">IFERROR(__xludf.DUMMYFUNCTION("""COMPUTED_VALUE"""),"Steve Durham, Cheryl Clark")</f>
        <v>Steve Durham, Cheryl Clark</v>
      </c>
      <c r="P148" t="str">
        <f ca="1">IFERROR(__xludf.DUMMYFUNCTION("""COMPUTED_VALUE"""),"Pam")</f>
        <v>Pam</v>
      </c>
      <c r="Q148" t="str">
        <f ca="1">IFERROR(__xludf.DUMMYFUNCTION("""COMPUTED_VALUE"""),"Good")</f>
        <v>Good</v>
      </c>
      <c r="R148" t="str">
        <f ca="1">IFERROR(__xludf.DUMMYFUNCTION("""COMPUTED_VALUE"""),"Good")</f>
        <v>Good</v>
      </c>
      <c r="S148" t="str">
        <f ca="1">IFERROR(__xludf.DUMMYFUNCTION("""COMPUTED_VALUE"""),"Good")</f>
        <v>Good</v>
      </c>
      <c r="T148" t="str">
        <f ca="1">IFERROR(__xludf.DUMMYFUNCTION("""COMPUTED_VALUE"""),"Good")</f>
        <v>Good</v>
      </c>
      <c r="U148" t="str">
        <f ca="1">IFERROR(__xludf.DUMMYFUNCTION("""COMPUTED_VALUE"""),"Good")</f>
        <v>Good</v>
      </c>
      <c r="V148" t="str">
        <f ca="1">IFERROR(__xludf.DUMMYFUNCTION("""COMPUTED_VALUE"""),"Good")</f>
        <v>Good</v>
      </c>
      <c r="W148" t="str">
        <f ca="1">IFERROR(__xludf.DUMMYFUNCTION("""COMPUTED_VALUE"""),"Good")</f>
        <v>Good</v>
      </c>
      <c r="X148" t="str">
        <f ca="1">IFERROR(__xludf.DUMMYFUNCTION("""COMPUTED_VALUE"""),"Good")</f>
        <v>Good</v>
      </c>
      <c r="Y148" t="str">
        <f ca="1">IFERROR(__xludf.DUMMYFUNCTION("""COMPUTED_VALUE"""),"Good")</f>
        <v>Good</v>
      </c>
      <c r="Z148" t="str">
        <f ca="1">IFERROR(__xludf.DUMMYFUNCTION("""COMPUTED_VALUE"""),"Good")</f>
        <v>Good</v>
      </c>
      <c r="AA148" t="str">
        <f ca="1">IFERROR(__xludf.DUMMYFUNCTION("""COMPUTED_VALUE"""),"Good")</f>
        <v>Good</v>
      </c>
      <c r="AB148" t="str">
        <f ca="1">IFERROR(__xludf.DUMMYFUNCTION("""COMPUTED_VALUE"""),"Good")</f>
        <v>Good</v>
      </c>
      <c r="AC148" t="str">
        <f ca="1">IFERROR(__xludf.DUMMYFUNCTION("""COMPUTED_VALUE"""),"Good")</f>
        <v>Good</v>
      </c>
      <c r="AE148" s="11"/>
      <c r="AF148" t="str">
        <v>Nikki.Dix@floridadep.gov</v>
      </c>
      <c r="AG148" s="17" t="s">
        <v>41</v>
      </c>
      <c r="AH148" s="12">
        <v>1900</v>
      </c>
      <c r="AI148" s="12" t="s">
        <v>384</v>
      </c>
      <c r="AJ148" s="19" t="s">
        <v>385</v>
      </c>
      <c r="AK148" s="20" t="str">
        <f>HYPERLINK("https://docs.google.com/document/d/1horU_i0hM4yRqRXVdDj8o-byRvvnkNKOrgAhhkzyH94/edit?usp=drivesdk","Pam Marcum - 9/9/2018 1:00 PM")</f>
        <v>Pam Marcum - 9/9/2018 1:00 PM</v>
      </c>
      <c r="AL148" s="12" t="s">
        <v>386</v>
      </c>
    </row>
    <row r="149" spans="1:38" ht="12.75">
      <c r="A149" s="10">
        <f ca="1">IFERROR(__xludf.DUMMYFUNCTION("""COMPUTED_VALUE"""),43352.5349496875)</f>
        <v>43352.534949687499</v>
      </c>
      <c r="B149" s="11" t="str">
        <f ca="1">IFERROR(__xludf.DUMMYFUNCTION("""COMPUTED_VALUE"""),"Ben Mowbray")</f>
        <v>Ben Mowbray</v>
      </c>
      <c r="C149" t="str">
        <f ca="1">IFERROR(__xludf.DUMMYFUNCTION("""COMPUTED_VALUE"""),"ben.mowbray@dep.state.fl.us")</f>
        <v>ben.mowbray@dep.state.fl.us</v>
      </c>
      <c r="D149" t="str">
        <f ca="1">IFERROR(__xludf.DUMMYFUNCTION("""COMPUTED_VALUE"""),"Research/Nikki")</f>
        <v>Research/Nikki</v>
      </c>
      <c r="E149" t="str">
        <f ca="1">IFERROR(__xludf.DUMMYFUNCTION("""COMPUTED_VALUE"""),"Faver Dykes")</f>
        <v>Faver Dykes</v>
      </c>
      <c r="F149" s="13">
        <f ca="1">IFERROR(__xludf.DUMMYFUNCTION("""COMPUTED_VALUE"""),0.58333333333212)</f>
        <v>0.58333333333212001</v>
      </c>
      <c r="G149" s="14">
        <f ca="1">IFERROR(__xludf.DUMMYFUNCTION("""COMPUTED_VALUE"""),43352)</f>
        <v>43352</v>
      </c>
      <c r="H149" t="str">
        <f ca="1">IFERROR(__xludf.DUMMYFUNCTION("""COMPUTED_VALUE"""),"Pellicer Reefs")</f>
        <v>Pellicer Reefs</v>
      </c>
      <c r="I149" s="15">
        <f ca="1">IFERROR(__xludf.DUMMYFUNCTION("""COMPUTED_VALUE"""),0.75)</f>
        <v>0.75</v>
      </c>
      <c r="J149" s="16">
        <f ca="1">IFERROR(__xludf.DUMMYFUNCTION("""COMPUTED_VALUE"""),43352.7916666666)</f>
        <v>43352.791666666599</v>
      </c>
      <c r="K149" t="str">
        <f ca="1">IFERROR(__xludf.DUMMYFUNCTION("""COMPUTED_VALUE"""),"20ft Sea Ark FL5351SJ UNF 2015")</f>
        <v>20ft Sea Ark FL5351SJ UNF 2015</v>
      </c>
      <c r="M149" t="str">
        <f ca="1">IFERROR(__xludf.DUMMYFUNCTION("""COMPUTED_VALUE"""),"Ford F250 2017 (Moby Dix) - DEP0021578")</f>
        <v>Ford F250 2017 (Moby Dix) - DEP0021578</v>
      </c>
      <c r="N149" t="str">
        <f ca="1">IFERROR(__xludf.DUMMYFUNCTION("""COMPUTED_VALUE"""),"Ben Mowbray, (407) 962-8782")</f>
        <v>Ben Mowbray, (407) 962-8782</v>
      </c>
      <c r="O149" t="str">
        <f ca="1">IFERROR(__xludf.DUMMYFUNCTION("""COMPUTED_VALUE"""),"Marissa Raymond, Mason Schilling, Anna Thorness, Dawn Thorsness")</f>
        <v>Marissa Raymond, Mason Schilling, Anna Thorness, Dawn Thorsness</v>
      </c>
      <c r="P149" t="str">
        <f ca="1">IFERROR(__xludf.DUMMYFUNCTION("""COMPUTED_VALUE"""),"Ben")</f>
        <v>Ben</v>
      </c>
      <c r="Q149" t="str">
        <f ca="1">IFERROR(__xludf.DUMMYFUNCTION("""COMPUTED_VALUE"""),"Good")</f>
        <v>Good</v>
      </c>
      <c r="R149" t="str">
        <f ca="1">IFERROR(__xludf.DUMMYFUNCTION("""COMPUTED_VALUE"""),"Good")</f>
        <v>Good</v>
      </c>
      <c r="S149" t="str">
        <f ca="1">IFERROR(__xludf.DUMMYFUNCTION("""COMPUTED_VALUE"""),"Good")</f>
        <v>Good</v>
      </c>
      <c r="T149" t="str">
        <f ca="1">IFERROR(__xludf.DUMMYFUNCTION("""COMPUTED_VALUE"""),"Good")</f>
        <v>Good</v>
      </c>
      <c r="U149" t="str">
        <f ca="1">IFERROR(__xludf.DUMMYFUNCTION("""COMPUTED_VALUE"""),"Good")</f>
        <v>Good</v>
      </c>
      <c r="V149" t="str">
        <f ca="1">IFERROR(__xludf.DUMMYFUNCTION("""COMPUTED_VALUE"""),"Good")</f>
        <v>Good</v>
      </c>
      <c r="W149" t="str">
        <f ca="1">IFERROR(__xludf.DUMMYFUNCTION("""COMPUTED_VALUE"""),"Good")</f>
        <v>Good</v>
      </c>
      <c r="X149" t="str">
        <f ca="1">IFERROR(__xludf.DUMMYFUNCTION("""COMPUTED_VALUE"""),"Good")</f>
        <v>Good</v>
      </c>
      <c r="Y149" t="str">
        <f ca="1">IFERROR(__xludf.DUMMYFUNCTION("""COMPUTED_VALUE"""),"Good")</f>
        <v>Good</v>
      </c>
      <c r="Z149" t="str">
        <f ca="1">IFERROR(__xludf.DUMMYFUNCTION("""COMPUTED_VALUE"""),"Good")</f>
        <v>Good</v>
      </c>
      <c r="AA149" t="str">
        <f ca="1">IFERROR(__xludf.DUMMYFUNCTION("""COMPUTED_VALUE"""),"Good")</f>
        <v>Good</v>
      </c>
      <c r="AB149" t="str">
        <f ca="1">IFERROR(__xludf.DUMMYFUNCTION("""COMPUTED_VALUE"""),"Good")</f>
        <v>Good</v>
      </c>
      <c r="AC149" t="str">
        <f ca="1">IFERROR(__xludf.DUMMYFUNCTION("""COMPUTED_VALUE"""),"Good")</f>
        <v>Good</v>
      </c>
      <c r="AE149" s="11"/>
      <c r="AF149" t="str">
        <v>Nikki.Dix@floridadep.gov</v>
      </c>
      <c r="AG149" s="17" t="s">
        <v>41</v>
      </c>
      <c r="AH149" s="12">
        <v>1930</v>
      </c>
      <c r="AI149" s="12" t="s">
        <v>387</v>
      </c>
      <c r="AJ149" s="19" t="s">
        <v>388</v>
      </c>
      <c r="AK149" s="20" t="str">
        <f>HYPERLINK("https://docs.google.com/document/d/1cwuPEokQaH8ROzsr7i8PtwhzKFzoCSG6aC6VvMPnr4c/edit?usp=drivesdk","Ben Mowbray - 9/9/2018 2:00 PM")</f>
        <v>Ben Mowbray - 9/9/2018 2:00 PM</v>
      </c>
      <c r="AL149" s="12" t="s">
        <v>389</v>
      </c>
    </row>
    <row r="150" spans="1:38" ht="12.75">
      <c r="A150" s="10">
        <f ca="1">IFERROR(__xludf.DUMMYFUNCTION("""COMPUTED_VALUE"""),43353.4682547569)</f>
        <v>43353.468254756903</v>
      </c>
      <c r="B150" s="11" t="str">
        <f ca="1">IFERROR(__xludf.DUMMYFUNCTION("""COMPUTED_VALUE"""),"Ben Mowbray")</f>
        <v>Ben Mowbray</v>
      </c>
      <c r="C150" t="str">
        <f ca="1">IFERROR(__xludf.DUMMYFUNCTION("""COMPUTED_VALUE"""),"ben.mowbray@dep.state.fl.us")</f>
        <v>ben.mowbray@dep.state.fl.us</v>
      </c>
      <c r="D150" t="str">
        <f ca="1">IFERROR(__xludf.DUMMYFUNCTION("""COMPUTED_VALUE"""),"Research/Nikki")</f>
        <v>Research/Nikki</v>
      </c>
      <c r="E150" t="str">
        <f ca="1">IFERROR(__xludf.DUMMYFUNCTION("""COMPUTED_VALUE"""),"Green Rd.")</f>
        <v>Green Rd.</v>
      </c>
      <c r="F150" s="13">
        <f ca="1">IFERROR(__xludf.DUMMYFUNCTION("""COMPUTED_VALUE"""),0.555555555554747)</f>
        <v>0.555555555554747</v>
      </c>
      <c r="G150" s="14">
        <f ca="1">IFERROR(__xludf.DUMMYFUNCTION("""COMPUTED_VALUE"""),43353)</f>
        <v>43353</v>
      </c>
      <c r="H150" t="str">
        <f ca="1">IFERROR(__xludf.DUMMYFUNCTION("""COMPUTED_VALUE"""),"Durham Reef")</f>
        <v>Durham Reef</v>
      </c>
      <c r="I150" s="15">
        <f ca="1">IFERROR(__xludf.DUMMYFUNCTION("""COMPUTED_VALUE"""),0.791666666667879)</f>
        <v>0.79166666666787899</v>
      </c>
      <c r="J150" s="16">
        <f ca="1">IFERROR(__xludf.DUMMYFUNCTION("""COMPUTED_VALUE"""),43353.8333333333)</f>
        <v>43353.833333333299</v>
      </c>
      <c r="K150" t="str">
        <f ca="1">IFERROR(__xludf.DUMMYFUNCTION("""COMPUTED_VALUE"""),"23ft Skiff (Bertha) FL7972LJ DEP07613")</f>
        <v>23ft Skiff (Bertha) FL7972LJ DEP07613</v>
      </c>
      <c r="M150" t="str">
        <f ca="1">IFERROR(__xludf.DUMMYFUNCTION("""COMPUTED_VALUE"""),"Ford F250 2017 (Moby Dix) - DEP0021578")</f>
        <v>Ford F250 2017 (Moby Dix) - DEP0021578</v>
      </c>
      <c r="N150" t="str">
        <f ca="1">IFERROR(__xludf.DUMMYFUNCTION("""COMPUTED_VALUE"""),"Pam Marcum, (480) 332-5414, Ben Mowbray, (407) 962-8782")</f>
        <v>Pam Marcum, (480) 332-5414, Ben Mowbray, (407) 962-8782</v>
      </c>
      <c r="O150" t="str">
        <f ca="1">IFERROR(__xludf.DUMMYFUNCTION("""COMPUTED_VALUE"""),"Steve Durham, Cheryl, Alicia")</f>
        <v>Steve Durham, Cheryl, Alicia</v>
      </c>
      <c r="P150" t="str">
        <f ca="1">IFERROR(__xludf.DUMMYFUNCTION("""COMPUTED_VALUE"""),"Pam")</f>
        <v>Pam</v>
      </c>
      <c r="Q150" t="str">
        <f ca="1">IFERROR(__xludf.DUMMYFUNCTION("""COMPUTED_VALUE"""),"Good")</f>
        <v>Good</v>
      </c>
      <c r="R150" t="str">
        <f ca="1">IFERROR(__xludf.DUMMYFUNCTION("""COMPUTED_VALUE"""),"Good")</f>
        <v>Good</v>
      </c>
      <c r="S150" t="str">
        <f ca="1">IFERROR(__xludf.DUMMYFUNCTION("""COMPUTED_VALUE"""),"Good")</f>
        <v>Good</v>
      </c>
      <c r="T150" t="str">
        <f ca="1">IFERROR(__xludf.DUMMYFUNCTION("""COMPUTED_VALUE"""),"Good")</f>
        <v>Good</v>
      </c>
      <c r="U150" t="str">
        <f ca="1">IFERROR(__xludf.DUMMYFUNCTION("""COMPUTED_VALUE"""),"Good")</f>
        <v>Good</v>
      </c>
      <c r="V150" t="str">
        <f ca="1">IFERROR(__xludf.DUMMYFUNCTION("""COMPUTED_VALUE"""),"Good")</f>
        <v>Good</v>
      </c>
      <c r="W150" t="str">
        <f ca="1">IFERROR(__xludf.DUMMYFUNCTION("""COMPUTED_VALUE"""),"Good")</f>
        <v>Good</v>
      </c>
      <c r="X150" t="str">
        <f ca="1">IFERROR(__xludf.DUMMYFUNCTION("""COMPUTED_VALUE"""),"Good")</f>
        <v>Good</v>
      </c>
      <c r="Y150" t="str">
        <f ca="1">IFERROR(__xludf.DUMMYFUNCTION("""COMPUTED_VALUE"""),"Good")</f>
        <v>Good</v>
      </c>
      <c r="Z150" t="str">
        <f ca="1">IFERROR(__xludf.DUMMYFUNCTION("""COMPUTED_VALUE"""),"Good")</f>
        <v>Good</v>
      </c>
      <c r="AA150" t="str">
        <f ca="1">IFERROR(__xludf.DUMMYFUNCTION("""COMPUTED_VALUE"""),"Good")</f>
        <v>Good</v>
      </c>
      <c r="AB150" t="str">
        <f ca="1">IFERROR(__xludf.DUMMYFUNCTION("""COMPUTED_VALUE"""),"Good")</f>
        <v>Good</v>
      </c>
      <c r="AC150" t="str">
        <f ca="1">IFERROR(__xludf.DUMMYFUNCTION("""COMPUTED_VALUE"""),"Good")</f>
        <v>Good</v>
      </c>
      <c r="AE150" s="11"/>
      <c r="AF150" t="str">
        <v>Nikki.Dix@floridadep.gov</v>
      </c>
      <c r="AG150" s="17" t="s">
        <v>41</v>
      </c>
      <c r="AH150" s="12">
        <v>2006</v>
      </c>
      <c r="AI150" s="12" t="s">
        <v>390</v>
      </c>
      <c r="AJ150" s="19" t="s">
        <v>391</v>
      </c>
      <c r="AK150" s="20" t="str">
        <f>HYPERLINK("https://docs.google.com/document/d/18a8HUQtBa0oDSzts9fdeoJSPbEzLp3lUXgyOK0PBc3I/edit?usp=drivesdk","Ben Mowbray - 9/10/2018 1:20 PM")</f>
        <v>Ben Mowbray - 9/10/2018 1:20 PM</v>
      </c>
      <c r="AL150" s="12" t="s">
        <v>392</v>
      </c>
    </row>
    <row r="151" spans="1:38" ht="12.75">
      <c r="A151" s="10">
        <f ca="1">IFERROR(__xludf.DUMMYFUNCTION("""COMPUTED_VALUE"""),43353.5491590162)</f>
        <v>43353.549159016198</v>
      </c>
      <c r="B151" s="11" t="str">
        <f ca="1">IFERROR(__xludf.DUMMYFUNCTION("""COMPUTED_VALUE"""),"Pamela Marcum")</f>
        <v>Pamela Marcum</v>
      </c>
      <c r="C151" t="str">
        <f ca="1">IFERROR(__xludf.DUMMYFUNCTION("""COMPUTED_VALUE"""),"Pamela.Marcum@dep.state.fl.us")</f>
        <v>Pamela.Marcum@dep.state.fl.us</v>
      </c>
      <c r="D151" t="str">
        <f ca="1">IFERROR(__xludf.DUMMYFUNCTION("""COMPUTED_VALUE"""),"Research/Nikki")</f>
        <v>Research/Nikki</v>
      </c>
      <c r="E151" t="str">
        <f ca="1">IFERROR(__xludf.DUMMYFUNCTION("""COMPUTED_VALUE"""),"Green Rd")</f>
        <v>Green Rd</v>
      </c>
      <c r="F151" s="13">
        <f ca="1">IFERROR(__xludf.DUMMYFUNCTION("""COMPUTED_VALUE"""),0.58333333333212)</f>
        <v>0.58333333333212001</v>
      </c>
      <c r="G151" s="14">
        <f ca="1">IFERROR(__xludf.DUMMYFUNCTION("""COMPUTED_VALUE"""),43353)</f>
        <v>43353</v>
      </c>
      <c r="H151" t="str">
        <f ca="1">IFERROR(__xludf.DUMMYFUNCTION("""COMPUTED_VALUE"""),"Devil's Elbow")</f>
        <v>Devil's Elbow</v>
      </c>
      <c r="I151" s="15">
        <f ca="1">IFERROR(__xludf.DUMMYFUNCTION("""COMPUTED_VALUE"""),0.75)</f>
        <v>0.75</v>
      </c>
      <c r="J151" s="16">
        <f ca="1">IFERROR(__xludf.DUMMYFUNCTION("""COMPUTED_VALUE"""),43353.7916666666)</f>
        <v>43353.791666666599</v>
      </c>
      <c r="K151" t="str">
        <f ca="1">IFERROR(__xludf.DUMMYFUNCTION("""COMPUTED_VALUE"""),"23ft Skiff (Bertha) FL7972LJ DEP07613")</f>
        <v>23ft Skiff (Bertha) FL7972LJ DEP07613</v>
      </c>
      <c r="M151" t="str">
        <f ca="1">IFERROR(__xludf.DUMMYFUNCTION("""COMPUTED_VALUE"""),"Ford F250 2017 (Moby Dix) - DEP0021578")</f>
        <v>Ford F250 2017 (Moby Dix) - DEP0021578</v>
      </c>
      <c r="N151" t="str">
        <f ca="1">IFERROR(__xludf.DUMMYFUNCTION("""COMPUTED_VALUE"""),"Pam Marcum, (480) 332-5414, Ben Mowbray, (407) 962-8782")</f>
        <v>Pam Marcum, (480) 332-5414, Ben Mowbray, (407) 962-8782</v>
      </c>
      <c r="O151" t="str">
        <f ca="1">IFERROR(__xludf.DUMMYFUNCTION("""COMPUTED_VALUE"""),"Alicia Bishop, Stephen Durham, Cheryl Clark")</f>
        <v>Alicia Bishop, Stephen Durham, Cheryl Clark</v>
      </c>
      <c r="P151" t="str">
        <f ca="1">IFERROR(__xludf.DUMMYFUNCTION("""COMPUTED_VALUE"""),"Pam Marcum")</f>
        <v>Pam Marcum</v>
      </c>
      <c r="Q151" t="str">
        <f ca="1">IFERROR(__xludf.DUMMYFUNCTION("""COMPUTED_VALUE"""),"Good")</f>
        <v>Good</v>
      </c>
      <c r="R151" t="str">
        <f ca="1">IFERROR(__xludf.DUMMYFUNCTION("""COMPUTED_VALUE"""),"Good")</f>
        <v>Good</v>
      </c>
      <c r="S151" t="str">
        <f ca="1">IFERROR(__xludf.DUMMYFUNCTION("""COMPUTED_VALUE"""),"Good")</f>
        <v>Good</v>
      </c>
      <c r="T151" t="str">
        <f ca="1">IFERROR(__xludf.DUMMYFUNCTION("""COMPUTED_VALUE"""),"Good")</f>
        <v>Good</v>
      </c>
      <c r="U151" t="str">
        <f ca="1">IFERROR(__xludf.DUMMYFUNCTION("""COMPUTED_VALUE"""),"Good")</f>
        <v>Good</v>
      </c>
      <c r="V151" t="str">
        <f ca="1">IFERROR(__xludf.DUMMYFUNCTION("""COMPUTED_VALUE"""),"Good")</f>
        <v>Good</v>
      </c>
      <c r="W151" t="str">
        <f ca="1">IFERROR(__xludf.DUMMYFUNCTION("""COMPUTED_VALUE"""),"Good")</f>
        <v>Good</v>
      </c>
      <c r="X151" t="str">
        <f ca="1">IFERROR(__xludf.DUMMYFUNCTION("""COMPUTED_VALUE"""),"Good")</f>
        <v>Good</v>
      </c>
      <c r="Y151" t="str">
        <f ca="1">IFERROR(__xludf.DUMMYFUNCTION("""COMPUTED_VALUE"""),"Good")</f>
        <v>Good</v>
      </c>
      <c r="Z151" t="str">
        <f ca="1">IFERROR(__xludf.DUMMYFUNCTION("""COMPUTED_VALUE"""),"Good")</f>
        <v>Good</v>
      </c>
      <c r="AA151" t="str">
        <f ca="1">IFERROR(__xludf.DUMMYFUNCTION("""COMPUTED_VALUE"""),"Good")</f>
        <v>Good</v>
      </c>
      <c r="AB151" t="str">
        <f ca="1">IFERROR(__xludf.DUMMYFUNCTION("""COMPUTED_VALUE"""),"Good")</f>
        <v>Good</v>
      </c>
      <c r="AC151" t="str">
        <f ca="1">IFERROR(__xludf.DUMMYFUNCTION("""COMPUTED_VALUE"""),"Good")</f>
        <v>Good</v>
      </c>
      <c r="AE151" s="11"/>
      <c r="AF151" t="str">
        <v>Nikki.Dix@floridadep.gov</v>
      </c>
      <c r="AG151" s="17" t="s">
        <v>41</v>
      </c>
      <c r="AH151" s="12">
        <v>1930</v>
      </c>
      <c r="AI151" s="12" t="s">
        <v>393</v>
      </c>
      <c r="AJ151" s="19" t="s">
        <v>394</v>
      </c>
      <c r="AK151" s="20" t="str">
        <f>HYPERLINK("https://docs.google.com/document/d/1o5u6URG4eEL0bZO7Pcc_tA0H2uas6Y_qmD-HJgPbqg4/edit?usp=drivesdk","Pamela Marcum - 9/10/2018 2:00 PM")</f>
        <v>Pamela Marcum - 9/10/2018 2:00 PM</v>
      </c>
      <c r="AL151" s="12" t="s">
        <v>395</v>
      </c>
    </row>
    <row r="152" spans="1:38" ht="12.75">
      <c r="A152" s="10">
        <f ca="1">IFERROR(__xludf.DUMMYFUNCTION("""COMPUTED_VALUE"""),43354.2696505439)</f>
        <v>43354.269650543902</v>
      </c>
      <c r="B152" s="11" t="str">
        <f ca="1">IFERROR(__xludf.DUMMYFUNCTION("""COMPUTED_VALUE"""),"Pam Marcum")</f>
        <v>Pam Marcum</v>
      </c>
      <c r="C152" t="str">
        <f ca="1">IFERROR(__xludf.DUMMYFUNCTION("""COMPUTED_VALUE"""),"Pamela.Marcum@de.state.fl.us")</f>
        <v>Pamela.Marcum@de.state.fl.us</v>
      </c>
      <c r="D152" t="str">
        <f ca="1">IFERROR(__xludf.DUMMYFUNCTION("""COMPUTED_VALUE"""),"Research/Nikki")</f>
        <v>Research/Nikki</v>
      </c>
      <c r="E152" t="str">
        <f ca="1">IFERROR(__xludf.DUMMYFUNCTION("""COMPUTED_VALUE"""),"Faver-Dykes")</f>
        <v>Faver-Dykes</v>
      </c>
      <c r="F152" s="13">
        <f ca="1">IFERROR(__xludf.DUMMYFUNCTION("""COMPUTED_VALUE"""),0.28125)</f>
        <v>0.28125</v>
      </c>
      <c r="G152" s="14">
        <f ca="1">IFERROR(__xludf.DUMMYFUNCTION("""COMPUTED_VALUE"""),43354)</f>
        <v>43354</v>
      </c>
      <c r="H152" t="str">
        <f ca="1">IFERROR(__xludf.DUMMYFUNCTION("""COMPUTED_VALUE"""),"Pellicer Flats")</f>
        <v>Pellicer Flats</v>
      </c>
      <c r="I152" s="15">
        <f ca="1">IFERROR(__xludf.DUMMYFUNCTION("""COMPUTED_VALUE"""),0.354166666667879)</f>
        <v>0.35416666666787899</v>
      </c>
      <c r="J152" s="16">
        <f ca="1">IFERROR(__xludf.DUMMYFUNCTION("""COMPUTED_VALUE"""),43354.4166666666)</f>
        <v>43354.416666666599</v>
      </c>
      <c r="K152" t="str">
        <f ca="1">IFERROR(__xludf.DUMMYFUNCTION("""COMPUTED_VALUE"""),"23ft Skiff (Bertha) FL7972LJ DEP07613")</f>
        <v>23ft Skiff (Bertha) FL7972LJ DEP07613</v>
      </c>
      <c r="M152" t="str">
        <f ca="1">IFERROR(__xludf.DUMMYFUNCTION("""COMPUTED_VALUE"""),"Ford F250 2017 (Moby Dix) - DEP0021578")</f>
        <v>Ford F250 2017 (Moby Dix) - DEP0021578</v>
      </c>
      <c r="N152" t="str">
        <f ca="1">IFERROR(__xludf.DUMMYFUNCTION("""COMPUTED_VALUE"""),"Pam Marcum, (480) 332-5414")</f>
        <v>Pam Marcum, (480) 332-5414</v>
      </c>
      <c r="O152" t="str">
        <f ca="1">IFERROR(__xludf.DUMMYFUNCTION("""COMPUTED_VALUE"""),"Cheryl Clark, Steve Durham")</f>
        <v>Cheryl Clark, Steve Durham</v>
      </c>
      <c r="P152" t="str">
        <f ca="1">IFERROR(__xludf.DUMMYFUNCTION("""COMPUTED_VALUE"""),"Pam")</f>
        <v>Pam</v>
      </c>
      <c r="Q152" t="str">
        <f ca="1">IFERROR(__xludf.DUMMYFUNCTION("""COMPUTED_VALUE"""),"Good")</f>
        <v>Good</v>
      </c>
      <c r="R152" t="str">
        <f ca="1">IFERROR(__xludf.DUMMYFUNCTION("""COMPUTED_VALUE"""),"Good")</f>
        <v>Good</v>
      </c>
      <c r="S152" t="str">
        <f ca="1">IFERROR(__xludf.DUMMYFUNCTION("""COMPUTED_VALUE"""),"Good")</f>
        <v>Good</v>
      </c>
      <c r="T152" t="str">
        <f ca="1">IFERROR(__xludf.DUMMYFUNCTION("""COMPUTED_VALUE"""),"Good")</f>
        <v>Good</v>
      </c>
      <c r="U152" t="str">
        <f ca="1">IFERROR(__xludf.DUMMYFUNCTION("""COMPUTED_VALUE"""),"Good")</f>
        <v>Good</v>
      </c>
      <c r="V152" t="str">
        <f ca="1">IFERROR(__xludf.DUMMYFUNCTION("""COMPUTED_VALUE"""),"Good")</f>
        <v>Good</v>
      </c>
      <c r="W152" t="str">
        <f ca="1">IFERROR(__xludf.DUMMYFUNCTION("""COMPUTED_VALUE"""),"Good")</f>
        <v>Good</v>
      </c>
      <c r="X152" t="str">
        <f ca="1">IFERROR(__xludf.DUMMYFUNCTION("""COMPUTED_VALUE"""),"Good")</f>
        <v>Good</v>
      </c>
      <c r="Y152" t="str">
        <f ca="1">IFERROR(__xludf.DUMMYFUNCTION("""COMPUTED_VALUE"""),"Good")</f>
        <v>Good</v>
      </c>
      <c r="Z152" t="str">
        <f ca="1">IFERROR(__xludf.DUMMYFUNCTION("""COMPUTED_VALUE"""),"Good")</f>
        <v>Good</v>
      </c>
      <c r="AA152" t="str">
        <f ca="1">IFERROR(__xludf.DUMMYFUNCTION("""COMPUTED_VALUE"""),"Good")</f>
        <v>Good</v>
      </c>
      <c r="AB152" t="str">
        <f ca="1">IFERROR(__xludf.DUMMYFUNCTION("""COMPUTED_VALUE"""),"Good")</f>
        <v>Good</v>
      </c>
      <c r="AC152" t="str">
        <f ca="1">IFERROR(__xludf.DUMMYFUNCTION("""COMPUTED_VALUE"""),"Good")</f>
        <v>Good</v>
      </c>
      <c r="AE152" s="11"/>
      <c r="AF152" t="str">
        <v>Nikki.Dix@floridadep.gov</v>
      </c>
      <c r="AG152" s="17" t="s">
        <v>17</v>
      </c>
      <c r="AH152" s="12">
        <v>850</v>
      </c>
      <c r="AI152" s="12" t="s">
        <v>396</v>
      </c>
      <c r="AJ152" s="19" t="s">
        <v>397</v>
      </c>
      <c r="AK152" s="20" t="str">
        <f>HYPERLINK("https://docs.google.com/document/d/13cBA5zcD8QJszQ_sgnLYt3r_hQFmNxCM9ctlDrF2yaI/edit?usp=drivesdk","Pam Marcum - 9/11/2018 6:45 AM")</f>
        <v>Pam Marcum - 9/11/2018 6:45 AM</v>
      </c>
      <c r="AL152" s="12" t="s">
        <v>398</v>
      </c>
    </row>
    <row r="153" spans="1:38" ht="12.75">
      <c r="A153" s="10">
        <f ca="1">IFERROR(__xludf.DUMMYFUNCTION("""COMPUTED_VALUE"""),43354.4597662615)</f>
        <v>43354.459766261498</v>
      </c>
      <c r="B153" s="11" t="str">
        <f ca="1">IFERROR(__xludf.DUMMYFUNCTION("""COMPUTED_VALUE"""),"Shannon Dunnigan")</f>
        <v>Shannon Dunnigan</v>
      </c>
      <c r="C153" t="str">
        <f ca="1">IFERROR(__xludf.DUMMYFUNCTION("""COMPUTED_VALUE"""),"shannon.dunnigan@floridadep.gov")</f>
        <v>shannon.dunnigan@floridadep.gov</v>
      </c>
      <c r="D153" t="str">
        <f ca="1">IFERROR(__xludf.DUMMYFUNCTION("""COMPUTED_VALUE"""),"Research/Nikki")</f>
        <v>Research/Nikki</v>
      </c>
      <c r="E153" t="str">
        <f ca="1">IFERROR(__xludf.DUMMYFUNCTION("""COMPUTED_VALUE"""),"Bings")</f>
        <v>Bings</v>
      </c>
      <c r="F153" s="13">
        <f ca="1">IFERROR(__xludf.DUMMYFUNCTION("""COMPUTED_VALUE"""),0.48958333333212)</f>
        <v>0.48958333333212001</v>
      </c>
      <c r="G153" s="14">
        <f ca="1">IFERROR(__xludf.DUMMYFUNCTION("""COMPUTED_VALUE"""),43355)</f>
        <v>43355</v>
      </c>
      <c r="H153" t="str">
        <f ca="1">IFERROR(__xludf.DUMMYFUNCTION("""COMPUTED_VALUE"""),"ICW FM")</f>
        <v>ICW FM</v>
      </c>
      <c r="I153" s="15">
        <f ca="1">IFERROR(__xludf.DUMMYFUNCTION("""COMPUTED_VALUE"""),0.625)</f>
        <v>0.625</v>
      </c>
      <c r="J153" s="16">
        <f ca="1">IFERROR(__xludf.DUMMYFUNCTION("""COMPUTED_VALUE"""),43355.6875)</f>
        <v>43355.6875</v>
      </c>
      <c r="K153" t="str">
        <f ca="1">IFERROR(__xludf.DUMMYFUNCTION("""COMPUTED_VALUE"""),"20ft Sea Ark FL5351SJ UNF 2015")</f>
        <v>20ft Sea Ark FL5351SJ UNF 2015</v>
      </c>
      <c r="M153" t="str">
        <f ca="1">IFERROR(__xludf.DUMMYFUNCTION("""COMPUTED_VALUE"""),"Ford F150 2015 (White) - DEP21448")</f>
        <v>Ford F150 2015 (White) - DEP21448</v>
      </c>
      <c r="N153" t="str">
        <f ca="1">IFERROR(__xludf.DUMMYFUNCTION("""COMPUTED_VALUE"""),"Shannon Dunnigan, (803) 727-5734")</f>
        <v>Shannon Dunnigan, (803) 727-5734</v>
      </c>
      <c r="O153" t="str">
        <f ca="1">IFERROR(__xludf.DUMMYFUNCTION("""COMPUTED_VALUE"""),"Jessica Lee, Hunter Mathews, Westly Woodward")</f>
        <v>Jessica Lee, Hunter Mathews, Westly Woodward</v>
      </c>
      <c r="P153" t="str">
        <f ca="1">IFERROR(__xludf.DUMMYFUNCTION("""COMPUTED_VALUE"""),"shannon")</f>
        <v>shannon</v>
      </c>
      <c r="Q153" t="str">
        <f ca="1">IFERROR(__xludf.DUMMYFUNCTION("""COMPUTED_VALUE"""),"Good")</f>
        <v>Good</v>
      </c>
      <c r="R153" t="str">
        <f ca="1">IFERROR(__xludf.DUMMYFUNCTION("""COMPUTED_VALUE"""),"Good")</f>
        <v>Good</v>
      </c>
      <c r="S153" t="str">
        <f ca="1">IFERROR(__xludf.DUMMYFUNCTION("""COMPUTED_VALUE"""),"Good")</f>
        <v>Good</v>
      </c>
      <c r="T153" t="str">
        <f ca="1">IFERROR(__xludf.DUMMYFUNCTION("""COMPUTED_VALUE"""),"Good")</f>
        <v>Good</v>
      </c>
      <c r="U153" t="str">
        <f ca="1">IFERROR(__xludf.DUMMYFUNCTION("""COMPUTED_VALUE"""),"Good")</f>
        <v>Good</v>
      </c>
      <c r="V153" t="str">
        <f ca="1">IFERROR(__xludf.DUMMYFUNCTION("""COMPUTED_VALUE"""),"Good")</f>
        <v>Good</v>
      </c>
      <c r="W153" t="str">
        <f ca="1">IFERROR(__xludf.DUMMYFUNCTION("""COMPUTED_VALUE"""),"Good")</f>
        <v>Good</v>
      </c>
      <c r="X153" t="str">
        <f ca="1">IFERROR(__xludf.DUMMYFUNCTION("""COMPUTED_VALUE"""),"Good")</f>
        <v>Good</v>
      </c>
      <c r="Y153" t="str">
        <f ca="1">IFERROR(__xludf.DUMMYFUNCTION("""COMPUTED_VALUE"""),"Good")</f>
        <v>Good</v>
      </c>
      <c r="Z153" t="str">
        <f ca="1">IFERROR(__xludf.DUMMYFUNCTION("""COMPUTED_VALUE"""),"Good")</f>
        <v>Good</v>
      </c>
      <c r="AA153" t="str">
        <f ca="1">IFERROR(__xludf.DUMMYFUNCTION("""COMPUTED_VALUE"""),"Good")</f>
        <v>Good</v>
      </c>
      <c r="AB153" t="str">
        <f ca="1">IFERROR(__xludf.DUMMYFUNCTION("""COMPUTED_VALUE"""),"Good")</f>
        <v>Good</v>
      </c>
      <c r="AC153" t="str">
        <f ca="1">IFERROR(__xludf.DUMMYFUNCTION("""COMPUTED_VALUE"""),"Good")</f>
        <v>Good</v>
      </c>
      <c r="AE153" s="11"/>
      <c r="AF153" t="str">
        <v>Nikki.Dix@floridadep.gov</v>
      </c>
      <c r="AG153" s="17" t="s">
        <v>17</v>
      </c>
      <c r="AH153" s="12">
        <v>1504</v>
      </c>
      <c r="AI153" s="12" t="s">
        <v>399</v>
      </c>
      <c r="AJ153" s="19" t="s">
        <v>400</v>
      </c>
      <c r="AK153" s="20" t="str">
        <f>HYPERLINK("https://docs.google.com/document/d/1LQqlIwHGCF52aRRtJim0ILCgeeS8U4NH2xgD9iHPfTc/edit?usp=drivesdk","Shannon Dunnigan - 9/12/2018 11:45 AM")</f>
        <v>Shannon Dunnigan - 9/12/2018 11:45 AM</v>
      </c>
      <c r="AL153" s="12" t="s">
        <v>401</v>
      </c>
    </row>
    <row r="154" spans="1:38" ht="12.75">
      <c r="A154" s="10">
        <f ca="1">IFERROR(__xludf.DUMMYFUNCTION("""COMPUTED_VALUE"""),43354.4946999768)</f>
        <v>43354.4946999768</v>
      </c>
      <c r="B154" s="11" t="str">
        <f ca="1">IFERROR(__xludf.DUMMYFUNCTION("""COMPUTED_VALUE"""),"Ben Mowbray")</f>
        <v>Ben Mowbray</v>
      </c>
      <c r="C154" t="str">
        <f ca="1">IFERROR(__xludf.DUMMYFUNCTION("""COMPUTED_VALUE"""),"ben.mowbray@dep.state.fl.us")</f>
        <v>ben.mowbray@dep.state.fl.us</v>
      </c>
      <c r="D154" t="str">
        <f ca="1">IFERROR(__xludf.DUMMYFUNCTION("""COMPUTED_VALUE"""),"Research/Pam")</f>
        <v>Research/Pam</v>
      </c>
      <c r="E154" t="str">
        <f ca="1">IFERROR(__xludf.DUMMYFUNCTION("""COMPUTED_VALUE"""),"Shore Dr.")</f>
        <v>Shore Dr.</v>
      </c>
      <c r="F154" s="13">
        <f ca="1">IFERROR(__xludf.DUMMYFUNCTION("""COMPUTED_VALUE"""),0.39583333333212)</f>
        <v>0.39583333333212001</v>
      </c>
      <c r="G154" s="14">
        <f ca="1">IFERROR(__xludf.DUMMYFUNCTION("""COMPUTED_VALUE"""),43354)</f>
        <v>43354</v>
      </c>
      <c r="H154" t="str">
        <f ca="1">IFERROR(__xludf.DUMMYFUNCTION("""COMPUTED_VALUE"""),"Gabby's Creek")</f>
        <v>Gabby's Creek</v>
      </c>
      <c r="I154" s="15">
        <f ca="1">IFERROR(__xludf.DUMMYFUNCTION("""COMPUTED_VALUE"""),0.604166666667879)</f>
        <v>0.60416666666787899</v>
      </c>
      <c r="J154" s="16">
        <f ca="1">IFERROR(__xludf.DUMMYFUNCTION("""COMPUTED_VALUE"""),43354.6458333333)</f>
        <v>43354.645833333299</v>
      </c>
      <c r="K154" t="str">
        <f ca="1">IFERROR(__xludf.DUMMYFUNCTION("""COMPUTED_VALUE"""),"20ft Sea Ark FL5351SJ UNF 2015")</f>
        <v>20ft Sea Ark FL5351SJ UNF 2015</v>
      </c>
      <c r="M154" t="str">
        <f ca="1">IFERROR(__xludf.DUMMYFUNCTION("""COMPUTED_VALUE"""),"Ford F150 2015 (White) - DEP21448")</f>
        <v>Ford F150 2015 (White) - DEP21448</v>
      </c>
      <c r="N154" t="str">
        <f ca="1">IFERROR(__xludf.DUMMYFUNCTION("""COMPUTED_VALUE"""),"Ben Mowbray, (407) 962-8782")</f>
        <v>Ben Mowbray, (407) 962-8782</v>
      </c>
      <c r="O154" t="str">
        <f ca="1">IFERROR(__xludf.DUMMYFUNCTION("""COMPUTED_VALUE"""),"Gabriela Canas, (904) 891-9743, Mike Dickson")</f>
        <v>Gabriela Canas, (904) 891-9743, Mike Dickson</v>
      </c>
      <c r="P154" t="str">
        <f ca="1">IFERROR(__xludf.DUMMYFUNCTION("""COMPUTED_VALUE"""),"Ben")</f>
        <v>Ben</v>
      </c>
      <c r="Q154" t="str">
        <f ca="1">IFERROR(__xludf.DUMMYFUNCTION("""COMPUTED_VALUE"""),"Good")</f>
        <v>Good</v>
      </c>
      <c r="R154" t="str">
        <f ca="1">IFERROR(__xludf.DUMMYFUNCTION("""COMPUTED_VALUE"""),"Good")</f>
        <v>Good</v>
      </c>
      <c r="S154" t="str">
        <f ca="1">IFERROR(__xludf.DUMMYFUNCTION("""COMPUTED_VALUE"""),"Good")</f>
        <v>Good</v>
      </c>
      <c r="T154" t="str">
        <f ca="1">IFERROR(__xludf.DUMMYFUNCTION("""COMPUTED_VALUE"""),"Good")</f>
        <v>Good</v>
      </c>
      <c r="U154" t="str">
        <f ca="1">IFERROR(__xludf.DUMMYFUNCTION("""COMPUTED_VALUE"""),"Good")</f>
        <v>Good</v>
      </c>
      <c r="V154" t="str">
        <f ca="1">IFERROR(__xludf.DUMMYFUNCTION("""COMPUTED_VALUE"""),"Good")</f>
        <v>Good</v>
      </c>
      <c r="W154" t="str">
        <f ca="1">IFERROR(__xludf.DUMMYFUNCTION("""COMPUTED_VALUE"""),"Good")</f>
        <v>Good</v>
      </c>
      <c r="X154" t="str">
        <f ca="1">IFERROR(__xludf.DUMMYFUNCTION("""COMPUTED_VALUE"""),"Good")</f>
        <v>Good</v>
      </c>
      <c r="Y154" t="str">
        <f ca="1">IFERROR(__xludf.DUMMYFUNCTION("""COMPUTED_VALUE"""),"Good")</f>
        <v>Good</v>
      </c>
      <c r="Z154" t="str">
        <f ca="1">IFERROR(__xludf.DUMMYFUNCTION("""COMPUTED_VALUE"""),"Good")</f>
        <v>Good</v>
      </c>
      <c r="AA154" t="str">
        <f ca="1">IFERROR(__xludf.DUMMYFUNCTION("""COMPUTED_VALUE"""),"Good")</f>
        <v>Good</v>
      </c>
      <c r="AB154" t="str">
        <f ca="1">IFERROR(__xludf.DUMMYFUNCTION("""COMPUTED_VALUE"""),"Good")</f>
        <v>Good</v>
      </c>
      <c r="AC154" t="str">
        <f ca="1">IFERROR(__xludf.DUMMYFUNCTION("""COMPUTED_VALUE"""),"Good")</f>
        <v>Good</v>
      </c>
      <c r="AE154" s="11"/>
      <c r="AF154" t="str">
        <v>Pamela.Marcum@floridadep.gov</v>
      </c>
      <c r="AG154" s="17" t="s">
        <v>17</v>
      </c>
      <c r="AH154" s="12">
        <v>1400</v>
      </c>
      <c r="AI154" s="12" t="s">
        <v>402</v>
      </c>
      <c r="AJ154" s="19" t="s">
        <v>403</v>
      </c>
      <c r="AK154" s="20" t="str">
        <f>HYPERLINK("https://docs.google.com/document/d/19gtAry6vLFmaQvsDWVMoI53O_6Z53p6xfjK01wQTQ_Y/edit?usp=drivesdk","Ben Mowbray - 9/11/2018 9:30 AM")</f>
        <v>Ben Mowbray - 9/11/2018 9:30 AM</v>
      </c>
      <c r="AL154" s="12" t="s">
        <v>404</v>
      </c>
    </row>
    <row r="155" spans="1:38" ht="12.75">
      <c r="A155" s="10">
        <f ca="1">IFERROR(__xludf.DUMMYFUNCTION("""COMPUTED_VALUE"""),43354.503103831)</f>
        <v>43354.503103830997</v>
      </c>
      <c r="B155" s="11" t="str">
        <f ca="1">IFERROR(__xludf.DUMMYFUNCTION("""COMPUTED_VALUE"""),"Pam Marcum")</f>
        <v>Pam Marcum</v>
      </c>
      <c r="C155" t="str">
        <f ca="1">IFERROR(__xludf.DUMMYFUNCTION("""COMPUTED_VALUE"""),"Pamela.Marcum@dep.state.fl.us")</f>
        <v>Pamela.Marcum@dep.state.fl.us</v>
      </c>
      <c r="D155" t="str">
        <f ca="1">IFERROR(__xludf.DUMMYFUNCTION("""COMPUTED_VALUE"""),"Research/Nikki")</f>
        <v>Research/Nikki</v>
      </c>
      <c r="E155" t="str">
        <f ca="1">IFERROR(__xludf.DUMMYFUNCTION("""COMPUTED_VALUE"""),"Aunt Kate's")</f>
        <v>Aunt Kate's</v>
      </c>
      <c r="F155" s="13">
        <f ca="1">IFERROR(__xludf.DUMMYFUNCTION("""COMPUTED_VALUE"""),0.58333333333212)</f>
        <v>0.58333333333212001</v>
      </c>
      <c r="G155" s="14">
        <f ca="1">IFERROR(__xludf.DUMMYFUNCTION("""COMPUTED_VALUE"""),43354)</f>
        <v>43354</v>
      </c>
      <c r="H155" t="str">
        <f ca="1">IFERROR(__xludf.DUMMYFUNCTION("""COMPUTED_VALUE"""),"Guana River")</f>
        <v>Guana River</v>
      </c>
      <c r="I155" s="15">
        <f ca="1">IFERROR(__xludf.DUMMYFUNCTION("""COMPUTED_VALUE"""),0.83333333333212)</f>
        <v>0.83333333333212001</v>
      </c>
      <c r="J155" s="16">
        <f ca="1">IFERROR(__xludf.DUMMYFUNCTION("""COMPUTED_VALUE"""),43354.8541666666)</f>
        <v>43354.854166666599</v>
      </c>
      <c r="K155" t="str">
        <f ca="1">IFERROR(__xludf.DUMMYFUNCTION("""COMPUTED_VALUE"""),"23ft Skiff (Bertha) FL7972LJ DEP07613")</f>
        <v>23ft Skiff (Bertha) FL7972LJ DEP07613</v>
      </c>
      <c r="M155" t="str">
        <f ca="1">IFERROR(__xludf.DUMMYFUNCTION("""COMPUTED_VALUE"""),"Ford F250 2017 (Moby Dix) - DEP0021578")</f>
        <v>Ford F250 2017 (Moby Dix) - DEP0021578</v>
      </c>
      <c r="N155" t="str">
        <f ca="1">IFERROR(__xludf.DUMMYFUNCTION("""COMPUTED_VALUE"""),"Nikki Dix, (352) 219-4079, Pam Marcum, (480) 332-5414, Cheryl Clark, Remo Mondazzi")</f>
        <v>Nikki Dix, (352) 219-4079, Pam Marcum, (480) 332-5414, Cheryl Clark, Remo Mondazzi</v>
      </c>
      <c r="O155" t="str">
        <f ca="1">IFERROR(__xludf.DUMMYFUNCTION("""COMPUTED_VALUE"""),"Steve Durham, Greg Dietl")</f>
        <v>Steve Durham, Greg Dietl</v>
      </c>
      <c r="P155" t="str">
        <f ca="1">IFERROR(__xludf.DUMMYFUNCTION("""COMPUTED_VALUE"""),"Pam")</f>
        <v>Pam</v>
      </c>
      <c r="Q155" t="str">
        <f ca="1">IFERROR(__xludf.DUMMYFUNCTION("""COMPUTED_VALUE"""),"Good")</f>
        <v>Good</v>
      </c>
      <c r="R155" t="str">
        <f ca="1">IFERROR(__xludf.DUMMYFUNCTION("""COMPUTED_VALUE"""),"Good")</f>
        <v>Good</v>
      </c>
      <c r="S155" t="str">
        <f ca="1">IFERROR(__xludf.DUMMYFUNCTION("""COMPUTED_VALUE"""),"Good")</f>
        <v>Good</v>
      </c>
      <c r="T155" t="str">
        <f ca="1">IFERROR(__xludf.DUMMYFUNCTION("""COMPUTED_VALUE"""),"Good")</f>
        <v>Good</v>
      </c>
      <c r="U155" t="str">
        <f ca="1">IFERROR(__xludf.DUMMYFUNCTION("""COMPUTED_VALUE"""),"Good")</f>
        <v>Good</v>
      </c>
      <c r="V155" t="str">
        <f ca="1">IFERROR(__xludf.DUMMYFUNCTION("""COMPUTED_VALUE"""),"Good")</f>
        <v>Good</v>
      </c>
      <c r="W155" t="str">
        <f ca="1">IFERROR(__xludf.DUMMYFUNCTION("""COMPUTED_VALUE"""),"Good")</f>
        <v>Good</v>
      </c>
      <c r="X155" t="str">
        <f ca="1">IFERROR(__xludf.DUMMYFUNCTION("""COMPUTED_VALUE"""),"Good")</f>
        <v>Good</v>
      </c>
      <c r="Y155" t="str">
        <f ca="1">IFERROR(__xludf.DUMMYFUNCTION("""COMPUTED_VALUE"""),"Good")</f>
        <v>Good</v>
      </c>
      <c r="Z155" t="str">
        <f ca="1">IFERROR(__xludf.DUMMYFUNCTION("""COMPUTED_VALUE"""),"Good")</f>
        <v>Good</v>
      </c>
      <c r="AA155" t="str">
        <f ca="1">IFERROR(__xludf.DUMMYFUNCTION("""COMPUTED_VALUE"""),"Good")</f>
        <v>Good</v>
      </c>
      <c r="AB155" t="str">
        <f ca="1">IFERROR(__xludf.DUMMYFUNCTION("""COMPUTED_VALUE"""),"Good")</f>
        <v>Good</v>
      </c>
      <c r="AC155" t="str">
        <f ca="1">IFERROR(__xludf.DUMMYFUNCTION("""COMPUTED_VALUE"""),"Good")</f>
        <v>Good</v>
      </c>
      <c r="AE155" s="11"/>
      <c r="AF155" t="str">
        <v>Nikki.Dix@floridadep.gov</v>
      </c>
      <c r="AG155" s="17" t="s">
        <v>41</v>
      </c>
      <c r="AH155" s="12">
        <v>1940</v>
      </c>
      <c r="AI155" s="12" t="s">
        <v>405</v>
      </c>
      <c r="AJ155" s="19" t="s">
        <v>406</v>
      </c>
      <c r="AK155" s="20" t="str">
        <f>HYPERLINK("https://docs.google.com/document/d/1cwjqEBUaX4TZ2uiNweLlEFnrIqkIxDij-KCrl3jgdSs/edit?usp=drivesdk","Pam Marcum - 9/11/2018 2:00 PM")</f>
        <v>Pam Marcum - 9/11/2018 2:00 PM</v>
      </c>
      <c r="AL155" s="12" t="s">
        <v>407</v>
      </c>
    </row>
    <row r="156" spans="1:38" ht="12.75">
      <c r="A156" s="10">
        <f ca="1">IFERROR(__xludf.DUMMYFUNCTION("""COMPUTED_VALUE"""),43355.3420630555)</f>
        <v>43355.342063055497</v>
      </c>
      <c r="B156" s="11" t="str">
        <f ca="1">IFERROR(__xludf.DUMMYFUNCTION("""COMPUTED_VALUE"""),"Silas Tanner")</f>
        <v>Silas Tanner</v>
      </c>
      <c r="C156" t="str">
        <f ca="1">IFERROR(__xludf.DUMMYFUNCTION("""COMPUTED_VALUE"""),"silas.tanner@floridadep.gov")</f>
        <v>silas.tanner@floridadep.gov</v>
      </c>
      <c r="D156" t="str">
        <f ca="1">IFERROR(__xludf.DUMMYFUNCTION("""COMPUTED_VALUE"""),"Research/Nikki")</f>
        <v>Research/Nikki</v>
      </c>
      <c r="E156" t="str">
        <f ca="1">IFERROR(__xludf.DUMMYFUNCTION("""COMPUTED_VALUE"""),"Vilano County ramp")</f>
        <v>Vilano County ramp</v>
      </c>
      <c r="F156" s="13">
        <f ca="1">IFERROR(__xludf.DUMMYFUNCTION("""COMPUTED_VALUE"""),0.42708333333212)</f>
        <v>0.42708333333212001</v>
      </c>
      <c r="G156" s="14">
        <f ca="1">IFERROR(__xludf.DUMMYFUNCTION("""COMPUTED_VALUE"""),43355)</f>
        <v>43355</v>
      </c>
      <c r="H156" t="str">
        <f ca="1">IFERROR(__xludf.DUMMYFUNCTION("""COMPUTED_VALUE"""),"ICW SWMP sites - Pine Island and San Sebastian")</f>
        <v>ICW SWMP sites - Pine Island and San Sebastian</v>
      </c>
      <c r="I156" s="15">
        <f ca="1">IFERROR(__xludf.DUMMYFUNCTION("""COMPUTED_VALUE"""),0.572916666667879)</f>
        <v>0.57291666666787899</v>
      </c>
      <c r="J156" s="16">
        <f ca="1">IFERROR(__xludf.DUMMYFUNCTION("""COMPUTED_VALUE"""),43355.59375)</f>
        <v>43355.59375</v>
      </c>
      <c r="K156" t="str">
        <f ca="1">IFERROR(__xludf.DUMMYFUNCTION("""COMPUTED_VALUE"""),"23ft Skiff (Bertha) FL7972LJ DEP07613")</f>
        <v>23ft Skiff (Bertha) FL7972LJ DEP07613</v>
      </c>
      <c r="M156" t="str">
        <f ca="1">IFERROR(__xludf.DUMMYFUNCTION("""COMPUTED_VALUE"""),"Ford F250 2017 (Moby Dix) - DEP0021578")</f>
        <v>Ford F250 2017 (Moby Dix) - DEP0021578</v>
      </c>
      <c r="N156" t="str">
        <f ca="1">IFERROR(__xludf.DUMMYFUNCTION("""COMPUTED_VALUE"""),"Silas Tanner, (904) 483-8423")</f>
        <v>Silas Tanner, (904) 483-8423</v>
      </c>
      <c r="O156" t="str">
        <f ca="1">IFERROR(__xludf.DUMMYFUNCTION("""COMPUTED_VALUE"""),"Hunter Mathews")</f>
        <v>Hunter Mathews</v>
      </c>
      <c r="P156" t="str">
        <f ca="1">IFERROR(__xludf.DUMMYFUNCTION("""COMPUTED_VALUE"""),"Silas Tanner")</f>
        <v>Silas Tanner</v>
      </c>
      <c r="Q156" t="str">
        <f ca="1">IFERROR(__xludf.DUMMYFUNCTION("""COMPUTED_VALUE"""),"Good")</f>
        <v>Good</v>
      </c>
      <c r="R156" t="str">
        <f ca="1">IFERROR(__xludf.DUMMYFUNCTION("""COMPUTED_VALUE"""),"Good")</f>
        <v>Good</v>
      </c>
      <c r="S156" t="str">
        <f ca="1">IFERROR(__xludf.DUMMYFUNCTION("""COMPUTED_VALUE"""),"Good")</f>
        <v>Good</v>
      </c>
      <c r="T156" t="str">
        <f ca="1">IFERROR(__xludf.DUMMYFUNCTION("""COMPUTED_VALUE"""),"Good")</f>
        <v>Good</v>
      </c>
      <c r="U156" t="str">
        <f ca="1">IFERROR(__xludf.DUMMYFUNCTION("""COMPUTED_VALUE"""),"Good")</f>
        <v>Good</v>
      </c>
      <c r="V156" t="str">
        <f ca="1">IFERROR(__xludf.DUMMYFUNCTION("""COMPUTED_VALUE"""),"Good")</f>
        <v>Good</v>
      </c>
      <c r="W156" t="str">
        <f ca="1">IFERROR(__xludf.DUMMYFUNCTION("""COMPUTED_VALUE"""),"Good")</f>
        <v>Good</v>
      </c>
      <c r="X156" t="str">
        <f ca="1">IFERROR(__xludf.DUMMYFUNCTION("""COMPUTED_VALUE"""),"Good")</f>
        <v>Good</v>
      </c>
      <c r="Y156" t="str">
        <f ca="1">IFERROR(__xludf.DUMMYFUNCTION("""COMPUTED_VALUE"""),"Good")</f>
        <v>Good</v>
      </c>
      <c r="Z156" t="str">
        <f ca="1">IFERROR(__xludf.DUMMYFUNCTION("""COMPUTED_VALUE"""),"Good")</f>
        <v>Good</v>
      </c>
      <c r="AA156" t="str">
        <f ca="1">IFERROR(__xludf.DUMMYFUNCTION("""COMPUTED_VALUE"""),"Good")</f>
        <v>Good</v>
      </c>
      <c r="AB156" t="str">
        <f ca="1">IFERROR(__xludf.DUMMYFUNCTION("""COMPUTED_VALUE"""),"Good")</f>
        <v>Good</v>
      </c>
      <c r="AC156" t="str">
        <f ca="1">IFERROR(__xludf.DUMMYFUNCTION("""COMPUTED_VALUE"""),"Good")</f>
        <v>Good</v>
      </c>
      <c r="AE156" s="11"/>
      <c r="AF156" t="str">
        <v>Nikki.Dix@floridadep.gov</v>
      </c>
      <c r="AG156" s="17" t="s">
        <v>17</v>
      </c>
      <c r="AH156" s="12">
        <v>1155</v>
      </c>
      <c r="AI156" s="12" t="s">
        <v>408</v>
      </c>
      <c r="AJ156" s="19" t="s">
        <v>409</v>
      </c>
      <c r="AK156" s="20" t="str">
        <f>HYPERLINK("https://docs.google.com/document/d/1dbUQc-0YRcUCWv4ZLuAiuh-szs2P71qMm4cR0NVclQw/edit?usp=drivesdk","Silas Tanner - 9/12/2018 10:15 AM")</f>
        <v>Silas Tanner - 9/12/2018 10:15 AM</v>
      </c>
      <c r="AL156" s="12" t="s">
        <v>410</v>
      </c>
    </row>
    <row r="157" spans="1:38" ht="12.75">
      <c r="A157" s="10">
        <f ca="1">IFERROR(__xludf.DUMMYFUNCTION("""COMPUTED_VALUE"""),43356.7011095717)</f>
        <v>43356.701109571703</v>
      </c>
      <c r="B157" s="11" t="str">
        <f ca="1">IFERROR(__xludf.DUMMYFUNCTION("""COMPUTED_VALUE"""),"James Tomazinis")</f>
        <v>James Tomazinis</v>
      </c>
      <c r="C157" t="str">
        <f ca="1">IFERROR(__xludf.DUMMYFUNCTION("""COMPUTED_VALUE"""),"james.tomazinis@dep.state.fl.us")</f>
        <v>james.tomazinis@dep.state.fl.us</v>
      </c>
      <c r="D157" t="str">
        <f ca="1">IFERROR(__xludf.DUMMYFUNCTION("""COMPUTED_VALUE"""),"Stewardship (Aquatic)")</f>
        <v>Stewardship (Aquatic)</v>
      </c>
      <c r="E157" t="str">
        <f ca="1">IFERROR(__xludf.DUMMYFUNCTION("""COMPUTED_VALUE"""),"Gamble Rogers")</f>
        <v>Gamble Rogers</v>
      </c>
      <c r="F157" s="13">
        <f ca="1">IFERROR(__xludf.DUMMYFUNCTION("""COMPUTED_VALUE"""),0.402777777777373)</f>
        <v>0.402777777777373</v>
      </c>
      <c r="G157" s="14">
        <f ca="1">IFERROR(__xludf.DUMMYFUNCTION("""COMPUTED_VALUE"""),43357)</f>
        <v>43357</v>
      </c>
      <c r="H157" t="str">
        <f ca="1">IFERROR(__xludf.DUMMYFUNCTION("""COMPUTED_VALUE"""),"Misquito Ditching in Tomoka")</f>
        <v>Misquito Ditching in Tomoka</v>
      </c>
      <c r="I157" s="15">
        <f ca="1">IFERROR(__xludf.DUMMYFUNCTION("""COMPUTED_VALUE"""),0.541666666667879)</f>
        <v>0.54166666666787899</v>
      </c>
      <c r="J157" s="16"/>
      <c r="K157" t="str">
        <f ca="1">IFERROR(__xludf.DUMMYFUNCTION("""COMPUTED_VALUE"""),"F 20ft Sea Ark (Easy 200) FL8534PY DEP21451")</f>
        <v>F 20ft Sea Ark (Easy 200) FL8534PY DEP21451</v>
      </c>
      <c r="M157" t="str">
        <f ca="1">IFERROR(__xludf.DUMMYFUNCTION("""COMPUTED_VALUE"""),"Ford F150 2015 (White) - DEP21448")</f>
        <v>Ford F150 2015 (White) - DEP21448</v>
      </c>
      <c r="N157" t="str">
        <f ca="1">IFERROR(__xludf.DUMMYFUNCTION("""COMPUTED_VALUE"""),"Jimmy Tomazinis, (904) 547-0094")</f>
        <v>Jimmy Tomazinis, (904) 547-0094</v>
      </c>
      <c r="O157" t="str">
        <f ca="1">IFERROR(__xludf.DUMMYFUNCTION("""COMPUTED_VALUE"""),"Scott Eastman, (904) 501-9267, Kevin Claridge, Annie Otto, Mike Shirley")</f>
        <v>Scott Eastman, (904) 501-9267, Kevin Claridge, Annie Otto, Mike Shirley</v>
      </c>
      <c r="P157" t="str">
        <f ca="1">IFERROR(__xludf.DUMMYFUNCTION("""COMPUTED_VALUE"""),"Jimmy")</f>
        <v>Jimmy</v>
      </c>
      <c r="Q157" t="str">
        <f ca="1">IFERROR(__xludf.DUMMYFUNCTION("""COMPUTED_VALUE"""),"Good")</f>
        <v>Good</v>
      </c>
      <c r="R157" t="str">
        <f ca="1">IFERROR(__xludf.DUMMYFUNCTION("""COMPUTED_VALUE"""),"Good")</f>
        <v>Good</v>
      </c>
      <c r="S157" t="str">
        <f ca="1">IFERROR(__xludf.DUMMYFUNCTION("""COMPUTED_VALUE"""),"Good")</f>
        <v>Good</v>
      </c>
      <c r="T157" t="str">
        <f ca="1">IFERROR(__xludf.DUMMYFUNCTION("""COMPUTED_VALUE"""),"Good")</f>
        <v>Good</v>
      </c>
      <c r="U157" t="str">
        <f ca="1">IFERROR(__xludf.DUMMYFUNCTION("""COMPUTED_VALUE"""),"Good")</f>
        <v>Good</v>
      </c>
      <c r="V157" t="str">
        <f ca="1">IFERROR(__xludf.DUMMYFUNCTION("""COMPUTED_VALUE"""),"Good")</f>
        <v>Good</v>
      </c>
      <c r="W157" t="str">
        <f ca="1">IFERROR(__xludf.DUMMYFUNCTION("""COMPUTED_VALUE"""),"Good")</f>
        <v>Good</v>
      </c>
      <c r="X157" t="str">
        <f ca="1">IFERROR(__xludf.DUMMYFUNCTION("""COMPUTED_VALUE"""),"Good")</f>
        <v>Good</v>
      </c>
      <c r="Y157" t="str">
        <f ca="1">IFERROR(__xludf.DUMMYFUNCTION("""COMPUTED_VALUE"""),"Good")</f>
        <v>Good</v>
      </c>
      <c r="Z157" t="str">
        <f ca="1">IFERROR(__xludf.DUMMYFUNCTION("""COMPUTED_VALUE"""),"Good")</f>
        <v>Good</v>
      </c>
      <c r="AA157" t="str">
        <f ca="1">IFERROR(__xludf.DUMMYFUNCTION("""COMPUTED_VALUE"""),"Good")</f>
        <v>Good</v>
      </c>
      <c r="AB157" t="str">
        <f ca="1">IFERROR(__xludf.DUMMYFUNCTION("""COMPUTED_VALUE"""),"Good")</f>
        <v>Good</v>
      </c>
      <c r="AC157" t="str">
        <f ca="1">IFERROR(__xludf.DUMMYFUNCTION("""COMPUTED_VALUE"""),"Good")</f>
        <v>Good</v>
      </c>
      <c r="AE157" s="11"/>
      <c r="AF157" t="str">
        <v>Scott.Eastman@floridadep.gov</v>
      </c>
      <c r="AG157" s="17" t="s">
        <v>21</v>
      </c>
      <c r="AH157" s="12">
        <v>1130</v>
      </c>
      <c r="AI157" s="12" t="s">
        <v>411</v>
      </c>
      <c r="AJ157" s="19" t="s">
        <v>412</v>
      </c>
      <c r="AK157" s="20" t="str">
        <f>HYPERLINK("https://docs.google.com/document/d/1vSRqTWP7CmpWxXBMw2pni-Z1VXWQUibiRPAhtbpU00M/edit?usp=drivesdk","James Tomazinis - 9/14/2018 9:40 AM")</f>
        <v>James Tomazinis - 9/14/2018 9:40 AM</v>
      </c>
      <c r="AL157" s="12" t="s">
        <v>413</v>
      </c>
    </row>
    <row r="158" spans="1:38" ht="12.75">
      <c r="A158" s="10">
        <f ca="1">IFERROR(__xludf.DUMMYFUNCTION("""COMPUTED_VALUE"""),43360.4976233449)</f>
        <v>43360.497623344898</v>
      </c>
      <c r="B158" s="11" t="str">
        <f ca="1">IFERROR(__xludf.DUMMYFUNCTION("""COMPUTED_VALUE"""),"Gabriela Canas")</f>
        <v>Gabriela Canas</v>
      </c>
      <c r="C158" t="str">
        <f ca="1">IFERROR(__xludf.DUMMYFUNCTION("""COMPUTED_VALUE"""),"gabriela.canas@dep.state.fl.us")</f>
        <v>gabriela.canas@dep.state.fl.us</v>
      </c>
      <c r="D158" t="str">
        <f ca="1">IFERROR(__xludf.DUMMYFUNCTION("""COMPUTED_VALUE"""),"Research/Nikki")</f>
        <v>Research/Nikki</v>
      </c>
      <c r="E158" t="str">
        <f ca="1">IFERROR(__xludf.DUMMYFUNCTION("""COMPUTED_VALUE"""),"Douglas crane")</f>
        <v>Douglas crane</v>
      </c>
      <c r="F158" s="13">
        <f ca="1">IFERROR(__xludf.DUMMYFUNCTION("""COMPUTED_VALUE"""),0.52083333333212)</f>
        <v>0.52083333333212001</v>
      </c>
      <c r="G158" s="14">
        <f ca="1">IFERROR(__xludf.DUMMYFUNCTION("""COMPUTED_VALUE"""),43360)</f>
        <v>43360</v>
      </c>
      <c r="H158" t="str">
        <f ca="1">IFERROR(__xludf.DUMMYFUNCTION("""COMPUTED_VALUE"""),"Gabby’s creek")</f>
        <v>Gabby’s creek</v>
      </c>
      <c r="I158" s="15">
        <f ca="1">IFERROR(__xludf.DUMMYFUNCTION("""COMPUTED_VALUE"""),0.604166666667879)</f>
        <v>0.60416666666787899</v>
      </c>
      <c r="J158" s="16">
        <f ca="1">IFERROR(__xludf.DUMMYFUNCTION("""COMPUTED_VALUE"""),43360.125)</f>
        <v>43360.125</v>
      </c>
      <c r="K158" t="str">
        <f ca="1">IFERROR(__xludf.DUMMYFUNCTION("""COMPUTED_VALUE"""),"20ft Sea Ark FL5351SJ UNF 2015")</f>
        <v>20ft Sea Ark FL5351SJ UNF 2015</v>
      </c>
      <c r="M158" t="str">
        <f ca="1">IFERROR(__xludf.DUMMYFUNCTION("""COMPUTED_VALUE"""),"Ford F250 2017 (Moby Dix) - DEP0021578")</f>
        <v>Ford F250 2017 (Moby Dix) - DEP0021578</v>
      </c>
      <c r="N158" t="str">
        <f ca="1">IFERROR(__xludf.DUMMYFUNCTION("""COMPUTED_VALUE"""),"Mike Dickson")</f>
        <v>Mike Dickson</v>
      </c>
      <c r="O158" t="str">
        <f ca="1">IFERROR(__xludf.DUMMYFUNCTION("""COMPUTED_VALUE"""),"Gabriela Canas, (904) 891-9743")</f>
        <v>Gabriela Canas, (904) 891-9743</v>
      </c>
      <c r="P158" t="str">
        <f ca="1">IFERROR(__xludf.DUMMYFUNCTION("""COMPUTED_VALUE"""),"Mike dickson")</f>
        <v>Mike dickson</v>
      </c>
      <c r="Q158" t="str">
        <f ca="1">IFERROR(__xludf.DUMMYFUNCTION("""COMPUTED_VALUE"""),"Good")</f>
        <v>Good</v>
      </c>
      <c r="R158" t="str">
        <f ca="1">IFERROR(__xludf.DUMMYFUNCTION("""COMPUTED_VALUE"""),"Good")</f>
        <v>Good</v>
      </c>
      <c r="S158" t="str">
        <f ca="1">IFERROR(__xludf.DUMMYFUNCTION("""COMPUTED_VALUE"""),"Good")</f>
        <v>Good</v>
      </c>
      <c r="T158" t="str">
        <f ca="1">IFERROR(__xludf.DUMMYFUNCTION("""COMPUTED_VALUE"""),"Good")</f>
        <v>Good</v>
      </c>
      <c r="U158" t="str">
        <f ca="1">IFERROR(__xludf.DUMMYFUNCTION("""COMPUTED_VALUE"""),"Good")</f>
        <v>Good</v>
      </c>
      <c r="V158" t="str">
        <f ca="1">IFERROR(__xludf.DUMMYFUNCTION("""COMPUTED_VALUE"""),"Good")</f>
        <v>Good</v>
      </c>
      <c r="W158" t="str">
        <f ca="1">IFERROR(__xludf.DUMMYFUNCTION("""COMPUTED_VALUE"""),"Good")</f>
        <v>Good</v>
      </c>
      <c r="X158" t="str">
        <f ca="1">IFERROR(__xludf.DUMMYFUNCTION("""COMPUTED_VALUE"""),"Good")</f>
        <v>Good</v>
      </c>
      <c r="Y158" t="str">
        <f ca="1">IFERROR(__xludf.DUMMYFUNCTION("""COMPUTED_VALUE"""),"Good")</f>
        <v>Good</v>
      </c>
      <c r="Z158" t="str">
        <f ca="1">IFERROR(__xludf.DUMMYFUNCTION("""COMPUTED_VALUE"""),"Good")</f>
        <v>Good</v>
      </c>
      <c r="AA158" t="str">
        <f ca="1">IFERROR(__xludf.DUMMYFUNCTION("""COMPUTED_VALUE"""),"Good")</f>
        <v>Good</v>
      </c>
      <c r="AB158" t="str">
        <f ca="1">IFERROR(__xludf.DUMMYFUNCTION("""COMPUTED_VALUE"""),"Good")</f>
        <v>Good</v>
      </c>
      <c r="AC158" t="str">
        <f ca="1">IFERROR(__xludf.DUMMYFUNCTION("""COMPUTED_VALUE"""),"Good")</f>
        <v>Good</v>
      </c>
      <c r="AE158" s="11"/>
      <c r="AF158" t="str">
        <v>Nikki.Dix@floridadep.gov</v>
      </c>
      <c r="AG158" s="17" t="s">
        <v>17</v>
      </c>
      <c r="AH158" s="12">
        <v>1410</v>
      </c>
      <c r="AI158" s="12" t="s">
        <v>414</v>
      </c>
      <c r="AJ158" s="19" t="s">
        <v>415</v>
      </c>
      <c r="AK158" s="20" t="str">
        <f>HYPERLINK("https://docs.google.com/document/d/1L1Qa-gJZob4LNqDWn65q46mBvDTDwlLwU3zjXy1ncsw/edit?usp=drivesdk","Gabriela Canas - 9/17/2018 12:30 PM")</f>
        <v>Gabriela Canas - 9/17/2018 12:30 PM</v>
      </c>
      <c r="AL158" s="12" t="s">
        <v>416</v>
      </c>
    </row>
    <row r="159" spans="1:38" ht="12.75">
      <c r="A159" s="10">
        <f ca="1">IFERROR(__xludf.DUMMYFUNCTION("""COMPUTED_VALUE"""),43362.308713125)</f>
        <v>43362.308713124999</v>
      </c>
      <c r="B159" s="11" t="str">
        <f ca="1">IFERROR(__xludf.DUMMYFUNCTION("""COMPUTED_VALUE"""),"James Tomazinis")</f>
        <v>James Tomazinis</v>
      </c>
      <c r="C159" t="str">
        <f ca="1">IFERROR(__xludf.DUMMYFUNCTION("""COMPUTED_VALUE"""),"james.tomazinis@floridadep.gov")</f>
        <v>james.tomazinis@floridadep.gov</v>
      </c>
      <c r="D159" t="str">
        <f ca="1">IFERROR(__xludf.DUMMYFUNCTION("""COMPUTED_VALUE"""),"Stewardship (Aquatic)")</f>
        <v>Stewardship (Aquatic)</v>
      </c>
      <c r="E159" t="str">
        <f ca="1">IFERROR(__xludf.DUMMYFUNCTION("""COMPUTED_VALUE"""),"Faver Dykes")</f>
        <v>Faver Dykes</v>
      </c>
      <c r="F159" s="13">
        <f ca="1">IFERROR(__xludf.DUMMYFUNCTION("""COMPUTED_VALUE"""),0.375)</f>
        <v>0.375</v>
      </c>
      <c r="G159" s="14">
        <f ca="1">IFERROR(__xludf.DUMMYFUNCTION("""COMPUTED_VALUE"""),43362)</f>
        <v>43362</v>
      </c>
      <c r="H159" t="str">
        <f ca="1">IFERROR(__xludf.DUMMYFUNCTION("""COMPUTED_VALUE"""),"Pellicer Creek WQ sites")</f>
        <v>Pellicer Creek WQ sites</v>
      </c>
      <c r="I159" s="15">
        <f ca="1">IFERROR(__xludf.DUMMYFUNCTION("""COMPUTED_VALUE"""),0.5625)</f>
        <v>0.5625</v>
      </c>
      <c r="J159" s="16"/>
      <c r="K159" t="str">
        <f ca="1">IFERROR(__xludf.DUMMYFUNCTION("""COMPUTED_VALUE"""),"Jon Boat FL0484NP DEP06819")</f>
        <v>Jon Boat FL0484NP DEP06819</v>
      </c>
      <c r="M159" t="str">
        <f ca="1">IFERROR(__xludf.DUMMYFUNCTION("""COMPUTED_VALUE"""),"NEAP F150")</f>
        <v>NEAP F150</v>
      </c>
      <c r="N159" t="str">
        <f ca="1">IFERROR(__xludf.DUMMYFUNCTION("""COMPUTED_VALUE"""),"Jimmy Tomazinis, (904) 547-0094")</f>
        <v>Jimmy Tomazinis, (904) 547-0094</v>
      </c>
      <c r="O159" t="str">
        <f ca="1">IFERROR(__xludf.DUMMYFUNCTION("""COMPUTED_VALUE"""),"Scott Eastman, (904) 501-9267")</f>
        <v>Scott Eastman, (904) 501-9267</v>
      </c>
      <c r="P159" t="str">
        <f ca="1">IFERROR(__xludf.DUMMYFUNCTION("""COMPUTED_VALUE"""),"Jimmy")</f>
        <v>Jimmy</v>
      </c>
      <c r="Q159" t="str">
        <f ca="1">IFERROR(__xludf.DUMMYFUNCTION("""COMPUTED_VALUE"""),"Good")</f>
        <v>Good</v>
      </c>
      <c r="R159" t="str">
        <f ca="1">IFERROR(__xludf.DUMMYFUNCTION("""COMPUTED_VALUE"""),"Good")</f>
        <v>Good</v>
      </c>
      <c r="S159" t="str">
        <f ca="1">IFERROR(__xludf.DUMMYFUNCTION("""COMPUTED_VALUE"""),"Good")</f>
        <v>Good</v>
      </c>
      <c r="T159" t="str">
        <f ca="1">IFERROR(__xludf.DUMMYFUNCTION("""COMPUTED_VALUE"""),"Good")</f>
        <v>Good</v>
      </c>
      <c r="U159" t="str">
        <f ca="1">IFERROR(__xludf.DUMMYFUNCTION("""COMPUTED_VALUE"""),"Good")</f>
        <v>Good</v>
      </c>
      <c r="V159" t="str">
        <f ca="1">IFERROR(__xludf.DUMMYFUNCTION("""COMPUTED_VALUE"""),"Good")</f>
        <v>Good</v>
      </c>
      <c r="W159" t="str">
        <f ca="1">IFERROR(__xludf.DUMMYFUNCTION("""COMPUTED_VALUE"""),"Good")</f>
        <v>Good</v>
      </c>
      <c r="X159" t="str">
        <f ca="1">IFERROR(__xludf.DUMMYFUNCTION("""COMPUTED_VALUE"""),"Good")</f>
        <v>Good</v>
      </c>
      <c r="Y159" t="str">
        <f ca="1">IFERROR(__xludf.DUMMYFUNCTION("""COMPUTED_VALUE"""),"Good")</f>
        <v>Good</v>
      </c>
      <c r="Z159" t="str">
        <f ca="1">IFERROR(__xludf.DUMMYFUNCTION("""COMPUTED_VALUE"""),"Good")</f>
        <v>Good</v>
      </c>
      <c r="AA159" t="str">
        <f ca="1">IFERROR(__xludf.DUMMYFUNCTION("""COMPUTED_VALUE"""),"Good")</f>
        <v>Good</v>
      </c>
      <c r="AB159" t="str">
        <f ca="1">IFERROR(__xludf.DUMMYFUNCTION("""COMPUTED_VALUE"""),"Good")</f>
        <v>Good</v>
      </c>
      <c r="AC159" t="str">
        <f ca="1">IFERROR(__xludf.DUMMYFUNCTION("""COMPUTED_VALUE"""),"Good")</f>
        <v>Good</v>
      </c>
      <c r="AE159" s="11"/>
      <c r="AF159" t="str">
        <v>Scott.Eastman@floridadep.gov</v>
      </c>
      <c r="AG159" s="17" t="s">
        <v>17</v>
      </c>
      <c r="AH159" s="12">
        <v>1400</v>
      </c>
      <c r="AI159" s="12" t="s">
        <v>417</v>
      </c>
      <c r="AJ159" s="19" t="s">
        <v>418</v>
      </c>
      <c r="AK159" s="20" t="str">
        <f>HYPERLINK("https://docs.google.com/document/d/1BEemg3yUgKS4kZmHueWdHy0Eq3TwI6BuvwXCR9oCHpE/edit?usp=drivesdk","James Tomazinis - 9/19/2018 9:00 AM")</f>
        <v>James Tomazinis - 9/19/2018 9:00 AM</v>
      </c>
      <c r="AL159" s="12" t="s">
        <v>419</v>
      </c>
    </row>
    <row r="160" spans="1:38" ht="12.75">
      <c r="A160" s="10">
        <f ca="1">IFERROR(__xludf.DUMMYFUNCTION("""COMPUTED_VALUE"""),43362.3912069097)</f>
        <v>43362.391206909699</v>
      </c>
      <c r="B160" s="11" t="str">
        <f ca="1">IFERROR(__xludf.DUMMYFUNCTION("""COMPUTED_VALUE"""),"Ben Mowbray")</f>
        <v>Ben Mowbray</v>
      </c>
      <c r="C160" t="str">
        <f ca="1">IFERROR(__xludf.DUMMYFUNCTION("""COMPUTED_VALUE"""),"ben.mowbray@dep.state.fl.us")</f>
        <v>ben.mowbray@dep.state.fl.us</v>
      </c>
      <c r="D160" t="str">
        <f ca="1">IFERROR(__xludf.DUMMYFUNCTION("""COMPUTED_VALUE"""),"Research/Pam")</f>
        <v>Research/Pam</v>
      </c>
      <c r="E160" t="str">
        <f ca="1">IFERROR(__xludf.DUMMYFUNCTION("""COMPUTED_VALUE"""),"Whitney")</f>
        <v>Whitney</v>
      </c>
      <c r="F160" s="13">
        <f ca="1">IFERROR(__xludf.DUMMYFUNCTION("""COMPUTED_VALUE"""),0.409722222222626)</f>
        <v>0.409722222222626</v>
      </c>
      <c r="G160" s="14">
        <f ca="1">IFERROR(__xludf.DUMMYFUNCTION("""COMPUTED_VALUE"""),43362)</f>
        <v>43362</v>
      </c>
      <c r="H160" t="str">
        <f ca="1">IFERROR(__xludf.DUMMYFUNCTION("""COMPUTED_VALUE"""),"Kimbro reefs in Pellicer Flats and near Whitney")</f>
        <v>Kimbro reefs in Pellicer Flats and near Whitney</v>
      </c>
      <c r="I160" s="15">
        <f ca="1">IFERROR(__xludf.DUMMYFUNCTION("""COMPUTED_VALUE"""),0.625)</f>
        <v>0.625</v>
      </c>
      <c r="J160" s="16">
        <f ca="1">IFERROR(__xludf.DUMMYFUNCTION("""COMPUTED_VALUE"""),43362.6666666666)</f>
        <v>43362.666666666599</v>
      </c>
      <c r="K160" t="str">
        <f ca="1">IFERROR(__xludf.DUMMYFUNCTION("""COMPUTED_VALUE"""),"20ft Sea Ark FL5351SJ UNF 2015")</f>
        <v>20ft Sea Ark FL5351SJ UNF 2015</v>
      </c>
      <c r="M160" t="str">
        <f ca="1">IFERROR(__xludf.DUMMYFUNCTION("""COMPUTED_VALUE"""),"Ford F150 2015 (White) - DEP21448")</f>
        <v>Ford F150 2015 (White) - DEP21448</v>
      </c>
      <c r="N160" t="str">
        <f ca="1">IFERROR(__xludf.DUMMYFUNCTION("""COMPUTED_VALUE"""),"Ben Mowbray, (407) 962-8782")</f>
        <v>Ben Mowbray, (407) 962-8782</v>
      </c>
      <c r="O160" t="str">
        <f ca="1">IFERROR(__xludf.DUMMYFUNCTION("""COMPUTED_VALUE"""),"Nicole, Rodrigo, Adrienne")</f>
        <v>Nicole, Rodrigo, Adrienne</v>
      </c>
      <c r="P160" t="str">
        <f ca="1">IFERROR(__xludf.DUMMYFUNCTION("""COMPUTED_VALUE"""),"Ben")</f>
        <v>Ben</v>
      </c>
      <c r="Q160" t="str">
        <f ca="1">IFERROR(__xludf.DUMMYFUNCTION("""COMPUTED_VALUE"""),"Good")</f>
        <v>Good</v>
      </c>
      <c r="R160" t="str">
        <f ca="1">IFERROR(__xludf.DUMMYFUNCTION("""COMPUTED_VALUE"""),"Good")</f>
        <v>Good</v>
      </c>
      <c r="S160" t="str">
        <f ca="1">IFERROR(__xludf.DUMMYFUNCTION("""COMPUTED_VALUE"""),"Good")</f>
        <v>Good</v>
      </c>
      <c r="T160" t="str">
        <f ca="1">IFERROR(__xludf.DUMMYFUNCTION("""COMPUTED_VALUE"""),"Good")</f>
        <v>Good</v>
      </c>
      <c r="U160" t="str">
        <f ca="1">IFERROR(__xludf.DUMMYFUNCTION("""COMPUTED_VALUE"""),"Good")</f>
        <v>Good</v>
      </c>
      <c r="V160" t="str">
        <f ca="1">IFERROR(__xludf.DUMMYFUNCTION("""COMPUTED_VALUE"""),"Good")</f>
        <v>Good</v>
      </c>
      <c r="W160" t="str">
        <f ca="1">IFERROR(__xludf.DUMMYFUNCTION("""COMPUTED_VALUE"""),"Good")</f>
        <v>Good</v>
      </c>
      <c r="X160" t="str">
        <f ca="1">IFERROR(__xludf.DUMMYFUNCTION("""COMPUTED_VALUE"""),"Good")</f>
        <v>Good</v>
      </c>
      <c r="Y160" t="str">
        <f ca="1">IFERROR(__xludf.DUMMYFUNCTION("""COMPUTED_VALUE"""),"Good")</f>
        <v>Good</v>
      </c>
      <c r="Z160" t="str">
        <f ca="1">IFERROR(__xludf.DUMMYFUNCTION("""COMPUTED_VALUE"""),"Good")</f>
        <v>Good</v>
      </c>
      <c r="AA160" t="str">
        <f ca="1">IFERROR(__xludf.DUMMYFUNCTION("""COMPUTED_VALUE"""),"Good")</f>
        <v>Good</v>
      </c>
      <c r="AB160" t="str">
        <f ca="1">IFERROR(__xludf.DUMMYFUNCTION("""COMPUTED_VALUE"""),"Good")</f>
        <v>Good</v>
      </c>
      <c r="AC160" t="str">
        <f ca="1">IFERROR(__xludf.DUMMYFUNCTION("""COMPUTED_VALUE"""),"Good")</f>
        <v>Good</v>
      </c>
      <c r="AE160" s="11"/>
      <c r="AF160" t="str">
        <v>Pamela.Marcum@floridadep.gov</v>
      </c>
      <c r="AG160" s="17" t="s">
        <v>17</v>
      </c>
      <c r="AH160" s="12">
        <v>1457</v>
      </c>
      <c r="AI160" s="12" t="s">
        <v>420</v>
      </c>
      <c r="AJ160" s="19" t="s">
        <v>421</v>
      </c>
      <c r="AK160" s="20" t="str">
        <f>HYPERLINK("https://docs.google.com/document/d/13L1BLRxELDJtkWSeTmCGPwxwpJo_bGihEn16D1Ndh94/edit?usp=drivesdk","Ben Mowbray - 9/19/2018 9:50 AM")</f>
        <v>Ben Mowbray - 9/19/2018 9:50 AM</v>
      </c>
      <c r="AL160" s="12" t="s">
        <v>422</v>
      </c>
    </row>
    <row r="161" spans="1:38" ht="12.75">
      <c r="A161" s="10">
        <f ca="1">IFERROR(__xludf.DUMMYFUNCTION("""COMPUTED_VALUE"""),43362.8456943287)</f>
        <v>43362.845694328702</v>
      </c>
      <c r="B161" s="11" t="str">
        <f ca="1">IFERROR(__xludf.DUMMYFUNCTION("""COMPUTED_VALUE"""),"Shannon Dunnigan")</f>
        <v>Shannon Dunnigan</v>
      </c>
      <c r="C161" t="str">
        <f ca="1">IFERROR(__xludf.DUMMYFUNCTION("""COMPUTED_VALUE"""),"shannon.dunnigan@floridadep.gov")</f>
        <v>shannon.dunnigan@floridadep.gov</v>
      </c>
      <c r="D161" t="str">
        <f ca="1">IFERROR(__xludf.DUMMYFUNCTION("""COMPUTED_VALUE"""),"Research/Nikki")</f>
        <v>Research/Nikki</v>
      </c>
      <c r="E161" t="str">
        <f ca="1">IFERROR(__xludf.DUMMYFUNCTION("""COMPUTED_VALUE"""),"Bings")</f>
        <v>Bings</v>
      </c>
      <c r="F161" s="13">
        <f ca="1">IFERROR(__xludf.DUMMYFUNCTION("""COMPUTED_VALUE"""),0.354166666667879)</f>
        <v>0.35416666666787899</v>
      </c>
      <c r="G161" s="14">
        <f ca="1">IFERROR(__xludf.DUMMYFUNCTION("""COMPUTED_VALUE"""),43363)</f>
        <v>43363</v>
      </c>
      <c r="H161" t="str">
        <f ca="1">IFERROR(__xludf.DUMMYFUNCTION("""COMPUTED_VALUE"""),"Summerhaven River")</f>
        <v>Summerhaven River</v>
      </c>
      <c r="I161" s="15">
        <f ca="1">IFERROR(__xludf.DUMMYFUNCTION("""COMPUTED_VALUE"""),0.45833333333212)</f>
        <v>0.45833333333212001</v>
      </c>
      <c r="J161" s="16">
        <f ca="1">IFERROR(__xludf.DUMMYFUNCTION("""COMPUTED_VALUE"""),43363.5625)</f>
        <v>43363.5625</v>
      </c>
      <c r="K161" t="str">
        <f ca="1">IFERROR(__xludf.DUMMYFUNCTION("""COMPUTED_VALUE"""),"20ft Sea Ark FL5351SJ UNF 2015")</f>
        <v>20ft Sea Ark FL5351SJ UNF 2015</v>
      </c>
      <c r="M161" t="str">
        <f ca="1">IFERROR(__xludf.DUMMYFUNCTION("""COMPUTED_VALUE"""),"Ford F150 2015 (White) - DEP21448")</f>
        <v>Ford F150 2015 (White) - DEP21448</v>
      </c>
      <c r="N161" t="str">
        <f ca="1">IFERROR(__xludf.DUMMYFUNCTION("""COMPUTED_VALUE"""),"Shannon Dunnigan, (803) 727-5734, Silas Tanner, (904) 483-8423")</f>
        <v>Shannon Dunnigan, (803) 727-5734, Silas Tanner, (904) 483-8423</v>
      </c>
      <c r="O161" t="str">
        <f ca="1">IFERROR(__xludf.DUMMYFUNCTION("""COMPUTED_VALUE"""),"Hunter Mathews and Westly Woodward")</f>
        <v>Hunter Mathews and Westly Woodward</v>
      </c>
      <c r="P161" t="str">
        <f ca="1">IFERROR(__xludf.DUMMYFUNCTION("""COMPUTED_VALUE"""),"Shannon Dunnigan")</f>
        <v>Shannon Dunnigan</v>
      </c>
      <c r="Q161" t="str">
        <f ca="1">IFERROR(__xludf.DUMMYFUNCTION("""COMPUTED_VALUE"""),"Good")</f>
        <v>Good</v>
      </c>
      <c r="R161" t="str">
        <f ca="1">IFERROR(__xludf.DUMMYFUNCTION("""COMPUTED_VALUE"""),"Good")</f>
        <v>Good</v>
      </c>
      <c r="S161" t="str">
        <f ca="1">IFERROR(__xludf.DUMMYFUNCTION("""COMPUTED_VALUE"""),"Good")</f>
        <v>Good</v>
      </c>
      <c r="T161" t="str">
        <f ca="1">IFERROR(__xludf.DUMMYFUNCTION("""COMPUTED_VALUE"""),"Good")</f>
        <v>Good</v>
      </c>
      <c r="U161" t="str">
        <f ca="1">IFERROR(__xludf.DUMMYFUNCTION("""COMPUTED_VALUE"""),"Good")</f>
        <v>Good</v>
      </c>
      <c r="V161" t="str">
        <f ca="1">IFERROR(__xludf.DUMMYFUNCTION("""COMPUTED_VALUE"""),"Good")</f>
        <v>Good</v>
      </c>
      <c r="W161" t="str">
        <f ca="1">IFERROR(__xludf.DUMMYFUNCTION("""COMPUTED_VALUE"""),"Good")</f>
        <v>Good</v>
      </c>
      <c r="X161" t="str">
        <f ca="1">IFERROR(__xludf.DUMMYFUNCTION("""COMPUTED_VALUE"""),"Good")</f>
        <v>Good</v>
      </c>
      <c r="Y161" t="str">
        <f ca="1">IFERROR(__xludf.DUMMYFUNCTION("""COMPUTED_VALUE"""),"Good")</f>
        <v>Good</v>
      </c>
      <c r="Z161" t="str">
        <f ca="1">IFERROR(__xludf.DUMMYFUNCTION("""COMPUTED_VALUE"""),"Good")</f>
        <v>Good</v>
      </c>
      <c r="AA161" t="str">
        <f ca="1">IFERROR(__xludf.DUMMYFUNCTION("""COMPUTED_VALUE"""),"Good")</f>
        <v>Good</v>
      </c>
      <c r="AB161" t="str">
        <f ca="1">IFERROR(__xludf.DUMMYFUNCTION("""COMPUTED_VALUE"""),"Good")</f>
        <v>Good</v>
      </c>
      <c r="AC161" t="str">
        <f ca="1">IFERROR(__xludf.DUMMYFUNCTION("""COMPUTED_VALUE"""),"Good")</f>
        <v>Good</v>
      </c>
      <c r="AE161" s="11"/>
      <c r="AF161" t="str">
        <v>Nikki.Dix@floridadep.gov</v>
      </c>
      <c r="AG161" s="17" t="s">
        <v>17</v>
      </c>
      <c r="AH161" s="12">
        <v>1010</v>
      </c>
      <c r="AI161" s="12" t="s">
        <v>423</v>
      </c>
      <c r="AJ161" s="19" t="s">
        <v>424</v>
      </c>
      <c r="AK161" s="20" t="str">
        <f>HYPERLINK("https://docs.google.com/document/d/1XgPHyLVaetsiT9yAxWjsIn05pUXXzoUT6oXrjFlL0YY/edit?usp=drivesdk","Shannon Dunnigan - 9/20/2018 8:30 AM")</f>
        <v>Shannon Dunnigan - 9/20/2018 8:30 AM</v>
      </c>
      <c r="AL161" s="12" t="s">
        <v>425</v>
      </c>
    </row>
    <row r="162" spans="1:38" ht="12.75">
      <c r="A162" s="10">
        <f ca="1">IFERROR(__xludf.DUMMYFUNCTION("""COMPUTED_VALUE"""),43366.7431908101)</f>
        <v>43366.743190810099</v>
      </c>
      <c r="B162" s="11" t="str">
        <f ca="1">IFERROR(__xludf.DUMMYFUNCTION("""COMPUTED_VALUE"""),"Silas Tanner")</f>
        <v>Silas Tanner</v>
      </c>
      <c r="C162" t="str">
        <f ca="1">IFERROR(__xludf.DUMMYFUNCTION("""COMPUTED_VALUE"""),"silas.tanner@floridadep.gov")</f>
        <v>silas.tanner@floridadep.gov</v>
      </c>
      <c r="D162" t="str">
        <f ca="1">IFERROR(__xludf.DUMMYFUNCTION("""COMPUTED_VALUE"""),"Research/Nikki")</f>
        <v>Research/Nikki</v>
      </c>
      <c r="E162" t="str">
        <f ca="1">IFERROR(__xludf.DUMMYFUNCTION("""COMPUTED_VALUE"""),"Vilano county ramp")</f>
        <v>Vilano county ramp</v>
      </c>
      <c r="F162" s="13">
        <f ca="1">IFERROR(__xludf.DUMMYFUNCTION("""COMPUTED_VALUE"""),0.36458333333212)</f>
        <v>0.36458333333212001</v>
      </c>
      <c r="G162" s="14">
        <f ca="1">IFERROR(__xludf.DUMMYFUNCTION("""COMPUTED_VALUE"""),43367)</f>
        <v>43367</v>
      </c>
      <c r="H162" t="str">
        <f ca="1">IFERROR(__xludf.DUMMYFUNCTION("""COMPUTED_VALUE"""),"ICW - SWMP sites")</f>
        <v>ICW - SWMP sites</v>
      </c>
      <c r="I162" s="15">
        <f ca="1">IFERROR(__xludf.DUMMYFUNCTION("""COMPUTED_VALUE"""),0.53125)</f>
        <v>0.53125</v>
      </c>
      <c r="J162" s="16">
        <f ca="1">IFERROR(__xludf.DUMMYFUNCTION("""COMPUTED_VALUE"""),43367.5416666666)</f>
        <v>43367.541666666599</v>
      </c>
      <c r="K162" t="str">
        <f ca="1">IFERROR(__xludf.DUMMYFUNCTION("""COMPUTED_VALUE"""),"23ft Skiff (Bertha) FL7972LJ DEP07613")</f>
        <v>23ft Skiff (Bertha) FL7972LJ DEP07613</v>
      </c>
      <c r="M162" t="str">
        <f ca="1">IFERROR(__xludf.DUMMYFUNCTION("""COMPUTED_VALUE"""),"Ford F250 2017 (Moby Dix) - DEP0021578")</f>
        <v>Ford F250 2017 (Moby Dix) - DEP0021578</v>
      </c>
      <c r="N162" t="str">
        <f ca="1">IFERROR(__xludf.DUMMYFUNCTION("""COMPUTED_VALUE"""),"Silas Tanner, (904) 483-8423")</f>
        <v>Silas Tanner, (904) 483-8423</v>
      </c>
      <c r="O162" t="str">
        <f ca="1">IFERROR(__xludf.DUMMYFUNCTION("""COMPUTED_VALUE"""),"Remo Mondazi, Terri Calleson")</f>
        <v>Remo Mondazi, Terri Calleson</v>
      </c>
      <c r="P162" t="str">
        <f ca="1">IFERROR(__xludf.DUMMYFUNCTION("""COMPUTED_VALUE"""),"Silas Tanner")</f>
        <v>Silas Tanner</v>
      </c>
      <c r="Q162" t="str">
        <f ca="1">IFERROR(__xludf.DUMMYFUNCTION("""COMPUTED_VALUE"""),"Good")</f>
        <v>Good</v>
      </c>
      <c r="R162" t="str">
        <f ca="1">IFERROR(__xludf.DUMMYFUNCTION("""COMPUTED_VALUE"""),"Good")</f>
        <v>Good</v>
      </c>
      <c r="S162" t="str">
        <f ca="1">IFERROR(__xludf.DUMMYFUNCTION("""COMPUTED_VALUE"""),"Good")</f>
        <v>Good</v>
      </c>
      <c r="T162" t="str">
        <f ca="1">IFERROR(__xludf.DUMMYFUNCTION("""COMPUTED_VALUE"""),"Good")</f>
        <v>Good</v>
      </c>
      <c r="U162" t="str">
        <f ca="1">IFERROR(__xludf.DUMMYFUNCTION("""COMPUTED_VALUE"""),"Good")</f>
        <v>Good</v>
      </c>
      <c r="V162" t="str">
        <f ca="1">IFERROR(__xludf.DUMMYFUNCTION("""COMPUTED_VALUE"""),"Good")</f>
        <v>Good</v>
      </c>
      <c r="W162" t="str">
        <f ca="1">IFERROR(__xludf.DUMMYFUNCTION("""COMPUTED_VALUE"""),"Good")</f>
        <v>Good</v>
      </c>
      <c r="X162" t="str">
        <f ca="1">IFERROR(__xludf.DUMMYFUNCTION("""COMPUTED_VALUE"""),"Good")</f>
        <v>Good</v>
      </c>
      <c r="Y162" t="str">
        <f ca="1">IFERROR(__xludf.DUMMYFUNCTION("""COMPUTED_VALUE"""),"Good")</f>
        <v>Good</v>
      </c>
      <c r="Z162" t="str">
        <f ca="1">IFERROR(__xludf.DUMMYFUNCTION("""COMPUTED_VALUE"""),"Good")</f>
        <v>Good</v>
      </c>
      <c r="AA162" t="str">
        <f ca="1">IFERROR(__xludf.DUMMYFUNCTION("""COMPUTED_VALUE"""),"Good")</f>
        <v>Good</v>
      </c>
      <c r="AB162" t="str">
        <f ca="1">IFERROR(__xludf.DUMMYFUNCTION("""COMPUTED_VALUE"""),"Good")</f>
        <v>Good</v>
      </c>
      <c r="AC162" t="str">
        <f ca="1">IFERROR(__xludf.DUMMYFUNCTION("""COMPUTED_VALUE"""),"Good")</f>
        <v>Good</v>
      </c>
      <c r="AE162" s="11"/>
      <c r="AF162" t="str">
        <v>Nikki.Dix@floridadep.gov</v>
      </c>
      <c r="AG162" s="17" t="s">
        <v>54</v>
      </c>
      <c r="AH162" s="12" t="s">
        <v>278</v>
      </c>
      <c r="AI162" s="12" t="s">
        <v>426</v>
      </c>
      <c r="AJ162" s="19" t="s">
        <v>427</v>
      </c>
      <c r="AK162" s="20" t="str">
        <f>HYPERLINK("https://docs.google.com/document/d/19y2xBdaEYRCaUdOVOFVL8R13UVTXTgDmuMIsfnSUrpc/edit?usp=drivesdk","Silas Tanner - 9/24/2018 8:45 AM")</f>
        <v>Silas Tanner - 9/24/2018 8:45 AM</v>
      </c>
      <c r="AL162" s="12" t="s">
        <v>428</v>
      </c>
    </row>
    <row r="163" spans="1:38" ht="12.75">
      <c r="A163" s="10">
        <f ca="1">IFERROR(__xludf.DUMMYFUNCTION("""COMPUTED_VALUE"""),43367.6328765393)</f>
        <v>43367.632876539297</v>
      </c>
      <c r="B163" s="11" t="str">
        <f ca="1">IFERROR(__xludf.DUMMYFUNCTION("""COMPUTED_VALUE"""),"Ben Mowbray")</f>
        <v>Ben Mowbray</v>
      </c>
      <c r="C163" t="str">
        <f ca="1">IFERROR(__xludf.DUMMYFUNCTION("""COMPUTED_VALUE"""),"ben.mowbray@dep.state.fl.us")</f>
        <v>ben.mowbray@dep.state.fl.us</v>
      </c>
      <c r="D163" t="str">
        <f ca="1">IFERROR(__xludf.DUMMYFUNCTION("""COMPUTED_VALUE"""),"Research/Nikki")</f>
        <v>Research/Nikki</v>
      </c>
      <c r="E163" t="str">
        <f ca="1">IFERROR(__xludf.DUMMYFUNCTION("""COMPUTED_VALUE"""),"Bing's")</f>
        <v>Bing's</v>
      </c>
      <c r="F163" s="13">
        <f ca="1">IFERROR(__xludf.DUMMYFUNCTION("""COMPUTED_VALUE"""),0.305555555554747)</f>
        <v>0.305555555554747</v>
      </c>
      <c r="G163" s="14">
        <f ca="1">IFERROR(__xludf.DUMMYFUNCTION("""COMPUTED_VALUE"""),43370)</f>
        <v>43370</v>
      </c>
      <c r="H163" t="str">
        <f ca="1">IFERROR(__xludf.DUMMYFUNCTION("""COMPUTED_VALUE"""),"Washington Oaks marsh platforms")</f>
        <v>Washington Oaks marsh platforms</v>
      </c>
      <c r="I163" s="15">
        <f ca="1">IFERROR(__xludf.DUMMYFUNCTION("""COMPUTED_VALUE"""),0.527777777777373)</f>
        <v>0.527777777777373</v>
      </c>
      <c r="J163" s="16">
        <f ca="1">IFERROR(__xludf.DUMMYFUNCTION("""COMPUTED_VALUE"""),43370.5833333333)</f>
        <v>43370.583333333299</v>
      </c>
      <c r="K163" t="str">
        <f ca="1">IFERROR(__xludf.DUMMYFUNCTION("""COMPUTED_VALUE"""),"20ft Sea Ark FL5351SJ UNF 2015")</f>
        <v>20ft Sea Ark FL5351SJ UNF 2015</v>
      </c>
      <c r="M163" t="str">
        <f ca="1">IFERROR(__xludf.DUMMYFUNCTION("""COMPUTED_VALUE"""),"Ford F250 2017 (Moby Dix) - DEP0021578")</f>
        <v>Ford F250 2017 (Moby Dix) - DEP0021578</v>
      </c>
      <c r="N163" t="str">
        <f ca="1">IFERROR(__xludf.DUMMYFUNCTION("""COMPUTED_VALUE"""),"Silas Tanner, (904) 483-8423, Ben Mowbray, (407) 962-8782")</f>
        <v>Silas Tanner, (904) 483-8423, Ben Mowbray, (407) 962-8782</v>
      </c>
      <c r="O163" t="str">
        <f ca="1">IFERROR(__xludf.DUMMYFUNCTION("""COMPUTED_VALUE"""),"Remo, Jessica")</f>
        <v>Remo, Jessica</v>
      </c>
      <c r="P163" t="str">
        <f ca="1">IFERROR(__xludf.DUMMYFUNCTION("""COMPUTED_VALUE"""),"Silas")</f>
        <v>Silas</v>
      </c>
      <c r="Q163" t="str">
        <f ca="1">IFERROR(__xludf.DUMMYFUNCTION("""COMPUTED_VALUE"""),"Good")</f>
        <v>Good</v>
      </c>
      <c r="R163" t="str">
        <f ca="1">IFERROR(__xludf.DUMMYFUNCTION("""COMPUTED_VALUE"""),"Good")</f>
        <v>Good</v>
      </c>
      <c r="S163" t="str">
        <f ca="1">IFERROR(__xludf.DUMMYFUNCTION("""COMPUTED_VALUE"""),"Good")</f>
        <v>Good</v>
      </c>
      <c r="T163" t="str">
        <f ca="1">IFERROR(__xludf.DUMMYFUNCTION("""COMPUTED_VALUE"""),"Good")</f>
        <v>Good</v>
      </c>
      <c r="U163" t="str">
        <f ca="1">IFERROR(__xludf.DUMMYFUNCTION("""COMPUTED_VALUE"""),"Good")</f>
        <v>Good</v>
      </c>
      <c r="V163" t="str">
        <f ca="1">IFERROR(__xludf.DUMMYFUNCTION("""COMPUTED_VALUE"""),"Good")</f>
        <v>Good</v>
      </c>
      <c r="W163" t="str">
        <f ca="1">IFERROR(__xludf.DUMMYFUNCTION("""COMPUTED_VALUE"""),"Good")</f>
        <v>Good</v>
      </c>
      <c r="X163" t="str">
        <f ca="1">IFERROR(__xludf.DUMMYFUNCTION("""COMPUTED_VALUE"""),"Good")</f>
        <v>Good</v>
      </c>
      <c r="Y163" t="str">
        <f ca="1">IFERROR(__xludf.DUMMYFUNCTION("""COMPUTED_VALUE"""),"Good")</f>
        <v>Good</v>
      </c>
      <c r="Z163" t="str">
        <f ca="1">IFERROR(__xludf.DUMMYFUNCTION("""COMPUTED_VALUE"""),"Good")</f>
        <v>Good</v>
      </c>
      <c r="AA163" t="str">
        <f ca="1">IFERROR(__xludf.DUMMYFUNCTION("""COMPUTED_VALUE"""),"Good")</f>
        <v>Good</v>
      </c>
      <c r="AB163" t="str">
        <f ca="1">IFERROR(__xludf.DUMMYFUNCTION("""COMPUTED_VALUE"""),"Good")</f>
        <v>Good</v>
      </c>
      <c r="AC163" t="str">
        <f ca="1">IFERROR(__xludf.DUMMYFUNCTION("""COMPUTED_VALUE"""),"Good")</f>
        <v>Good</v>
      </c>
      <c r="AE163" s="11"/>
      <c r="AF163" t="str">
        <v>Nikki.Dix@floridadep.gov</v>
      </c>
      <c r="AG163" s="17" t="s">
        <v>126</v>
      </c>
      <c r="AH163" s="23">
        <v>0.52777777777777779</v>
      </c>
      <c r="AI163" s="12" t="s">
        <v>429</v>
      </c>
      <c r="AJ163" s="19" t="s">
        <v>430</v>
      </c>
      <c r="AK163" s="20" t="str">
        <f>HYPERLINK("https://docs.google.com/document/d/1cZCSPnwhRfGhAyk0zgxcNQFgvBFuINflyXPMCG46zK4/edit?usp=drivesdk","Ben Mowbray - 9/27/2018 7:20 AM")</f>
        <v>Ben Mowbray - 9/27/2018 7:20 AM</v>
      </c>
      <c r="AL163" s="12" t="s">
        <v>431</v>
      </c>
    </row>
    <row r="164" spans="1:38" ht="12.75">
      <c r="A164" s="10">
        <f ca="1">IFERROR(__xludf.DUMMYFUNCTION("""COMPUTED_VALUE"""),43367.6352994212)</f>
        <v>43367.635299421199</v>
      </c>
      <c r="B164" s="11" t="str">
        <f ca="1">IFERROR(__xludf.DUMMYFUNCTION("""COMPUTED_VALUE"""),"Ben Mowbray")</f>
        <v>Ben Mowbray</v>
      </c>
      <c r="C164" t="str">
        <f ca="1">IFERROR(__xludf.DUMMYFUNCTION("""COMPUTED_VALUE"""),"ben.mowbray@dep.state.fl.us")</f>
        <v>ben.mowbray@dep.state.fl.us</v>
      </c>
      <c r="D164" t="str">
        <f ca="1">IFERROR(__xludf.DUMMYFUNCTION("""COMPUTED_VALUE"""),"Research/Nikki")</f>
        <v>Research/Nikki</v>
      </c>
      <c r="E164" t="str">
        <f ca="1">IFERROR(__xludf.DUMMYFUNCTION("""COMPUTED_VALUE"""),"Faver Dykes")</f>
        <v>Faver Dykes</v>
      </c>
      <c r="F164" s="13">
        <f ca="1">IFERROR(__xludf.DUMMYFUNCTION("""COMPUTED_VALUE"""),0.326388888890505)</f>
        <v>0.32638888889050499</v>
      </c>
      <c r="G164" s="14">
        <f ca="1">IFERROR(__xludf.DUMMYFUNCTION("""COMPUTED_VALUE"""),43371)</f>
        <v>43371</v>
      </c>
      <c r="H164" t="str">
        <f ca="1">IFERROR(__xludf.DUMMYFUNCTION("""COMPUTED_VALUE"""),"Pellicer marsh platforms")</f>
        <v>Pellicer marsh platforms</v>
      </c>
      <c r="I164" s="15">
        <f ca="1">IFERROR(__xludf.DUMMYFUNCTION("""COMPUTED_VALUE"""),0.527777777777373)</f>
        <v>0.527777777777373</v>
      </c>
      <c r="J164" s="16">
        <f ca="1">IFERROR(__xludf.DUMMYFUNCTION("""COMPUTED_VALUE"""),43371.5833333333)</f>
        <v>43371.583333333299</v>
      </c>
      <c r="K164" t="str">
        <f ca="1">IFERROR(__xludf.DUMMYFUNCTION("""COMPUTED_VALUE"""),"20ft Sea Ark FL5351SJ UNF 2015")</f>
        <v>20ft Sea Ark FL5351SJ UNF 2015</v>
      </c>
      <c r="M164" t="str">
        <f ca="1">IFERROR(__xludf.DUMMYFUNCTION("""COMPUTED_VALUE"""),"Ford F250 2017 (Moby Dix) - DEP0021578")</f>
        <v>Ford F250 2017 (Moby Dix) - DEP0021578</v>
      </c>
      <c r="N164" t="str">
        <f ca="1">IFERROR(__xludf.DUMMYFUNCTION("""COMPUTED_VALUE"""),"Silas Tanner, (904) 483-8423, Ben Mowbray, (407) 962-8782")</f>
        <v>Silas Tanner, (904) 483-8423, Ben Mowbray, (407) 962-8782</v>
      </c>
      <c r="O164" t="str">
        <f ca="1">IFERROR(__xludf.DUMMYFUNCTION("""COMPUTED_VALUE"""),"Joan")</f>
        <v>Joan</v>
      </c>
      <c r="P164" t="str">
        <f ca="1">IFERROR(__xludf.DUMMYFUNCTION("""COMPUTED_VALUE"""),"Silas")</f>
        <v>Silas</v>
      </c>
      <c r="Q164" t="str">
        <f ca="1">IFERROR(__xludf.DUMMYFUNCTION("""COMPUTED_VALUE"""),"Good")</f>
        <v>Good</v>
      </c>
      <c r="R164" t="str">
        <f ca="1">IFERROR(__xludf.DUMMYFUNCTION("""COMPUTED_VALUE"""),"Good")</f>
        <v>Good</v>
      </c>
      <c r="S164" t="str">
        <f ca="1">IFERROR(__xludf.DUMMYFUNCTION("""COMPUTED_VALUE"""),"Good")</f>
        <v>Good</v>
      </c>
      <c r="T164" t="str">
        <f ca="1">IFERROR(__xludf.DUMMYFUNCTION("""COMPUTED_VALUE"""),"Good")</f>
        <v>Good</v>
      </c>
      <c r="U164" t="str">
        <f ca="1">IFERROR(__xludf.DUMMYFUNCTION("""COMPUTED_VALUE"""),"Good")</f>
        <v>Good</v>
      </c>
      <c r="V164" t="str">
        <f ca="1">IFERROR(__xludf.DUMMYFUNCTION("""COMPUTED_VALUE"""),"Good")</f>
        <v>Good</v>
      </c>
      <c r="W164" t="str">
        <f ca="1">IFERROR(__xludf.DUMMYFUNCTION("""COMPUTED_VALUE"""),"Good")</f>
        <v>Good</v>
      </c>
      <c r="X164" t="str">
        <f ca="1">IFERROR(__xludf.DUMMYFUNCTION("""COMPUTED_VALUE"""),"Good")</f>
        <v>Good</v>
      </c>
      <c r="Y164" t="str">
        <f ca="1">IFERROR(__xludf.DUMMYFUNCTION("""COMPUTED_VALUE"""),"Good")</f>
        <v>Good</v>
      </c>
      <c r="Z164" t="str">
        <f ca="1">IFERROR(__xludf.DUMMYFUNCTION("""COMPUTED_VALUE"""),"Good")</f>
        <v>Good</v>
      </c>
      <c r="AA164" t="str">
        <f ca="1">IFERROR(__xludf.DUMMYFUNCTION("""COMPUTED_VALUE"""),"Good")</f>
        <v>Good</v>
      </c>
      <c r="AB164" t="str">
        <f ca="1">IFERROR(__xludf.DUMMYFUNCTION("""COMPUTED_VALUE"""),"Good")</f>
        <v>Good</v>
      </c>
      <c r="AC164" t="str">
        <f ca="1">IFERROR(__xludf.DUMMYFUNCTION("""COMPUTED_VALUE"""),"Good")</f>
        <v>Good</v>
      </c>
      <c r="AE164" s="11"/>
      <c r="AF164" t="str">
        <v>Nikki.Dix@floridadep.gov</v>
      </c>
      <c r="AG164" s="17" t="s">
        <v>17</v>
      </c>
      <c r="AH164" s="23">
        <v>0.52083333333333337</v>
      </c>
      <c r="AI164" s="12" t="s">
        <v>432</v>
      </c>
      <c r="AJ164" s="19" t="s">
        <v>433</v>
      </c>
      <c r="AK164" s="20" t="str">
        <f>HYPERLINK("https://docs.google.com/document/d/10rU4XDlqfzQWaY9r_oxgwKKaIF7s4-1zNcxL46nYc7c/edit?usp=drivesdk","Ben Mowbray - 9/28/2018 7:50 AM")</f>
        <v>Ben Mowbray - 9/28/2018 7:50 AM</v>
      </c>
      <c r="AL164" s="12" t="s">
        <v>434</v>
      </c>
    </row>
    <row r="165" spans="1:38" ht="12.75">
      <c r="A165" s="10">
        <f ca="1">IFERROR(__xludf.DUMMYFUNCTION("""COMPUTED_VALUE"""),43368.3005748611)</f>
        <v>43368.300574861103</v>
      </c>
      <c r="B165" s="11" t="str">
        <f ca="1">IFERROR(__xludf.DUMMYFUNCTION("""COMPUTED_VALUE"""),"Silas Tanner")</f>
        <v>Silas Tanner</v>
      </c>
      <c r="C165" t="str">
        <f ca="1">IFERROR(__xludf.DUMMYFUNCTION("""COMPUTED_VALUE"""),"Silas.Tanner@floridadep.gov")</f>
        <v>Silas.Tanner@floridadep.gov</v>
      </c>
      <c r="D165" t="str">
        <f ca="1">IFERROR(__xludf.DUMMYFUNCTION("""COMPUTED_VALUE"""),"Research/Nikki")</f>
        <v>Research/Nikki</v>
      </c>
      <c r="E165" t="str">
        <f ca="1">IFERROR(__xludf.DUMMYFUNCTION("""COMPUTED_VALUE"""),"Vilano county ramp")</f>
        <v>Vilano county ramp</v>
      </c>
      <c r="F165" s="13">
        <f ca="1">IFERROR(__xludf.DUMMYFUNCTION("""COMPUTED_VALUE"""),0.34375)</f>
        <v>0.34375</v>
      </c>
      <c r="G165" s="14">
        <f ca="1">IFERROR(__xludf.DUMMYFUNCTION("""COMPUTED_VALUE"""),43368)</f>
        <v>43368</v>
      </c>
      <c r="H165" t="str">
        <f ca="1">IFERROR(__xludf.DUMMYFUNCTION("""COMPUTED_VALUE"""),"ICW SWMP sites ")</f>
        <v xml:space="preserve">ICW SWMP sites </v>
      </c>
      <c r="I165" s="15">
        <f ca="1">IFERROR(__xludf.DUMMYFUNCTION("""COMPUTED_VALUE"""),0.510416666667879)</f>
        <v>0.51041666666787899</v>
      </c>
      <c r="J165" s="16">
        <f ca="1">IFERROR(__xludf.DUMMYFUNCTION("""COMPUTED_VALUE"""),43368.5208333333)</f>
        <v>43368.520833333299</v>
      </c>
      <c r="K165" t="str">
        <f ca="1">IFERROR(__xludf.DUMMYFUNCTION("""COMPUTED_VALUE"""),"23ft Skiff (Bertha) FL7972LJ DEP07613")</f>
        <v>23ft Skiff (Bertha) FL7972LJ DEP07613</v>
      </c>
      <c r="M165" t="str">
        <f ca="1">IFERROR(__xludf.DUMMYFUNCTION("""COMPUTED_VALUE"""),"Ford F250 2017 (Moby Dix) - DEP0021578")</f>
        <v>Ford F250 2017 (Moby Dix) - DEP0021578</v>
      </c>
      <c r="N165" t="str">
        <f ca="1">IFERROR(__xludf.DUMMYFUNCTION("""COMPUTED_VALUE"""),"Silas Tanner, (904) 483-8423, Remo Mondazi")</f>
        <v>Silas Tanner, (904) 483-8423, Remo Mondazi</v>
      </c>
      <c r="P165" t="str">
        <f ca="1">IFERROR(__xludf.DUMMYFUNCTION("""COMPUTED_VALUE"""),"Silas Tanner")</f>
        <v>Silas Tanner</v>
      </c>
      <c r="Q165" t="str">
        <f ca="1">IFERROR(__xludf.DUMMYFUNCTION("""COMPUTED_VALUE"""),"Good")</f>
        <v>Good</v>
      </c>
      <c r="R165" t="str">
        <f ca="1">IFERROR(__xludf.DUMMYFUNCTION("""COMPUTED_VALUE"""),"Good")</f>
        <v>Good</v>
      </c>
      <c r="S165" t="str">
        <f ca="1">IFERROR(__xludf.DUMMYFUNCTION("""COMPUTED_VALUE"""),"Good")</f>
        <v>Good</v>
      </c>
      <c r="T165" t="str">
        <f ca="1">IFERROR(__xludf.DUMMYFUNCTION("""COMPUTED_VALUE"""),"Good")</f>
        <v>Good</v>
      </c>
      <c r="U165" t="str">
        <f ca="1">IFERROR(__xludf.DUMMYFUNCTION("""COMPUTED_VALUE"""),"Good")</f>
        <v>Good</v>
      </c>
      <c r="V165" t="str">
        <f ca="1">IFERROR(__xludf.DUMMYFUNCTION("""COMPUTED_VALUE"""),"Good")</f>
        <v>Good</v>
      </c>
      <c r="W165" t="str">
        <f ca="1">IFERROR(__xludf.DUMMYFUNCTION("""COMPUTED_VALUE"""),"Good")</f>
        <v>Good</v>
      </c>
      <c r="X165" t="str">
        <f ca="1">IFERROR(__xludf.DUMMYFUNCTION("""COMPUTED_VALUE"""),"Good")</f>
        <v>Good</v>
      </c>
      <c r="Y165" t="str">
        <f ca="1">IFERROR(__xludf.DUMMYFUNCTION("""COMPUTED_VALUE"""),"Good")</f>
        <v>Good</v>
      </c>
      <c r="Z165" t="str">
        <f ca="1">IFERROR(__xludf.DUMMYFUNCTION("""COMPUTED_VALUE"""),"Good")</f>
        <v>Good</v>
      </c>
      <c r="AA165" t="str">
        <f ca="1">IFERROR(__xludf.DUMMYFUNCTION("""COMPUTED_VALUE"""),"Good")</f>
        <v>Good</v>
      </c>
      <c r="AB165" t="str">
        <f ca="1">IFERROR(__xludf.DUMMYFUNCTION("""COMPUTED_VALUE"""),"Good")</f>
        <v>Good</v>
      </c>
      <c r="AC165" t="str">
        <f ca="1">IFERROR(__xludf.DUMMYFUNCTION("""COMPUTED_VALUE"""),"Good")</f>
        <v>Good</v>
      </c>
      <c r="AE165" s="11"/>
      <c r="AF165" t="str">
        <v>Nikki.Dix@floridadep.gov</v>
      </c>
      <c r="AG165" s="17" t="s">
        <v>126</v>
      </c>
      <c r="AH165" s="12">
        <v>1125</v>
      </c>
      <c r="AI165" s="12" t="s">
        <v>435</v>
      </c>
      <c r="AJ165" s="19" t="s">
        <v>436</v>
      </c>
      <c r="AK165" s="20" t="str">
        <f>HYPERLINK("https://docs.google.com/document/d/1KDK2Lyv_0BANy_IEzxkUFIoBnnXj9uvp7TxHIpYvUyk/edit?usp=drivesdk","Silas Tanner - 9/25/2018 8:15 AM")</f>
        <v>Silas Tanner - 9/25/2018 8:15 AM</v>
      </c>
      <c r="AL165" s="12" t="s">
        <v>437</v>
      </c>
    </row>
    <row r="166" spans="1:38" ht="12.75">
      <c r="A166" s="10">
        <f ca="1">IFERROR(__xludf.DUMMYFUNCTION("""COMPUTED_VALUE"""),43369.3821318287)</f>
        <v>43369.382131828701</v>
      </c>
      <c r="B166" s="11" t="str">
        <f ca="1">IFERROR(__xludf.DUMMYFUNCTION("""COMPUTED_VALUE"""),"Pamela Marcum")</f>
        <v>Pamela Marcum</v>
      </c>
      <c r="C166" t="str">
        <f ca="1">IFERROR(__xludf.DUMMYFUNCTION("""COMPUTED_VALUE"""),"Pamela.Marcum@Dep.state.fl.us")</f>
        <v>Pamela.Marcum@Dep.state.fl.us</v>
      </c>
      <c r="D166" t="str">
        <f ca="1">IFERROR(__xludf.DUMMYFUNCTION("""COMPUTED_VALUE"""),"Research/Nikki")</f>
        <v>Research/Nikki</v>
      </c>
      <c r="E166" t="str">
        <f ca="1">IFERROR(__xludf.DUMMYFUNCTION("""COMPUTED_VALUE"""),"Faver-Dykes")</f>
        <v>Faver-Dykes</v>
      </c>
      <c r="F166" s="13">
        <f ca="1">IFERROR(__xludf.DUMMYFUNCTION("""COMPUTED_VALUE"""),0.4375)</f>
        <v>0.4375</v>
      </c>
      <c r="G166" s="14">
        <f ca="1">IFERROR(__xludf.DUMMYFUNCTION("""COMPUTED_VALUE"""),43369)</f>
        <v>43369</v>
      </c>
      <c r="H166" t="str">
        <f ca="1">IFERROR(__xludf.DUMMYFUNCTION("""COMPUTED_VALUE"""),"Pellicer Creek Middle Platform")</f>
        <v>Pellicer Creek Middle Platform</v>
      </c>
      <c r="I166" s="15">
        <f ca="1">IFERROR(__xludf.DUMMYFUNCTION("""COMPUTED_VALUE"""),0.625)</f>
        <v>0.625</v>
      </c>
      <c r="J166" s="16">
        <f ca="1">IFERROR(__xludf.DUMMYFUNCTION("""COMPUTED_VALUE"""),43369.6666666666)</f>
        <v>43369.666666666599</v>
      </c>
      <c r="K166" t="str">
        <f ca="1">IFERROR(__xludf.DUMMYFUNCTION("""COMPUTED_VALUE"""),"23ft Skiff (Bertha) FL7972LJ DEP07613")</f>
        <v>23ft Skiff (Bertha) FL7972LJ DEP07613</v>
      </c>
      <c r="M166" t="str">
        <f ca="1">IFERROR(__xludf.DUMMYFUNCTION("""COMPUTED_VALUE"""),"Ford F250 2017 (Moby Dix) - DEP0021578")</f>
        <v>Ford F250 2017 (Moby Dix) - DEP0021578</v>
      </c>
      <c r="N166" t="str">
        <f ca="1">IFERROR(__xludf.DUMMYFUNCTION("""COMPUTED_VALUE"""),"Pam Marcum, (480) 332-5414, Ben Mowbray, (407) 962-8782")</f>
        <v>Pam Marcum, (480) 332-5414, Ben Mowbray, (407) 962-8782</v>
      </c>
      <c r="O166" t="str">
        <f ca="1">IFERROR(__xludf.DUMMYFUNCTION("""COMPUTED_VALUE"""),"Stephen Cabanillas")</f>
        <v>Stephen Cabanillas</v>
      </c>
      <c r="P166" t="str">
        <f ca="1">IFERROR(__xludf.DUMMYFUNCTION("""COMPUTED_VALUE"""),"Pam Marcum")</f>
        <v>Pam Marcum</v>
      </c>
      <c r="Q166" t="str">
        <f ca="1">IFERROR(__xludf.DUMMYFUNCTION("""COMPUTED_VALUE"""),"Good")</f>
        <v>Good</v>
      </c>
      <c r="R166" t="str">
        <f ca="1">IFERROR(__xludf.DUMMYFUNCTION("""COMPUTED_VALUE"""),"Good")</f>
        <v>Good</v>
      </c>
      <c r="S166" t="str">
        <f ca="1">IFERROR(__xludf.DUMMYFUNCTION("""COMPUTED_VALUE"""),"Good")</f>
        <v>Good</v>
      </c>
      <c r="T166" t="str">
        <f ca="1">IFERROR(__xludf.DUMMYFUNCTION("""COMPUTED_VALUE"""),"Good")</f>
        <v>Good</v>
      </c>
      <c r="U166" t="str">
        <f ca="1">IFERROR(__xludf.DUMMYFUNCTION("""COMPUTED_VALUE"""),"Good")</f>
        <v>Good</v>
      </c>
      <c r="V166" t="str">
        <f ca="1">IFERROR(__xludf.DUMMYFUNCTION("""COMPUTED_VALUE"""),"Good")</f>
        <v>Good</v>
      </c>
      <c r="W166" t="str">
        <f ca="1">IFERROR(__xludf.DUMMYFUNCTION("""COMPUTED_VALUE"""),"Good")</f>
        <v>Good</v>
      </c>
      <c r="X166" t="str">
        <f ca="1">IFERROR(__xludf.DUMMYFUNCTION("""COMPUTED_VALUE"""),"Good")</f>
        <v>Good</v>
      </c>
      <c r="Y166" t="str">
        <f ca="1">IFERROR(__xludf.DUMMYFUNCTION("""COMPUTED_VALUE"""),"Good")</f>
        <v>Good</v>
      </c>
      <c r="Z166" t="str">
        <f ca="1">IFERROR(__xludf.DUMMYFUNCTION("""COMPUTED_VALUE"""),"Good")</f>
        <v>Good</v>
      </c>
      <c r="AA166" t="str">
        <f ca="1">IFERROR(__xludf.DUMMYFUNCTION("""COMPUTED_VALUE"""),"Good")</f>
        <v>Good</v>
      </c>
      <c r="AB166" t="str">
        <f ca="1">IFERROR(__xludf.DUMMYFUNCTION("""COMPUTED_VALUE"""),"Good")</f>
        <v>Good</v>
      </c>
      <c r="AC166" t="str">
        <f ca="1">IFERROR(__xludf.DUMMYFUNCTION("""COMPUTED_VALUE"""),"Good")</f>
        <v>Good</v>
      </c>
      <c r="AE166" s="11"/>
      <c r="AF166" t="str">
        <v>Nikki.Dix@floridadep.gov</v>
      </c>
      <c r="AG166" s="17" t="s">
        <v>41</v>
      </c>
      <c r="AH166" s="12">
        <v>1330</v>
      </c>
      <c r="AI166" s="12" t="s">
        <v>438</v>
      </c>
      <c r="AJ166" s="19" t="s">
        <v>439</v>
      </c>
      <c r="AK166" s="20" t="str">
        <f>HYPERLINK("https://docs.google.com/document/d/1YbcgZerdP1LVsxnkBb1fZoOvlgu2Id6KK0LNMU632hw/edit?usp=drivesdk","Pamela Marcum - 9/26/2018 10:30 AM")</f>
        <v>Pamela Marcum - 9/26/2018 10:30 AM</v>
      </c>
      <c r="AL166" s="12" t="s">
        <v>440</v>
      </c>
    </row>
    <row r="167" spans="1:38" ht="12.75">
      <c r="A167" s="10">
        <f ca="1">IFERROR(__xludf.DUMMYFUNCTION("""COMPUTED_VALUE"""),43374.3126099652)</f>
        <v>43374.3126099652</v>
      </c>
      <c r="B167" s="11" t="str">
        <f ca="1">IFERROR(__xludf.DUMMYFUNCTION("""COMPUTED_VALUE"""),"Ben Mowbray")</f>
        <v>Ben Mowbray</v>
      </c>
      <c r="C167" t="str">
        <f ca="1">IFERROR(__xludf.DUMMYFUNCTION("""COMPUTED_VALUE"""),"ben.mowbray@dep.state.fl.us")</f>
        <v>ben.mowbray@dep.state.fl.us</v>
      </c>
      <c r="D167" t="str">
        <f ca="1">IFERROR(__xludf.DUMMYFUNCTION("""COMPUTED_VALUE"""),"Research/Pam")</f>
        <v>Research/Pam</v>
      </c>
      <c r="E167" t="str">
        <f ca="1">IFERROR(__xludf.DUMMYFUNCTION("""COMPUTED_VALUE"""),"Palm Valley")</f>
        <v>Palm Valley</v>
      </c>
      <c r="F167" s="13">
        <f ca="1">IFERROR(__xludf.DUMMYFUNCTION("""COMPUTED_VALUE"""),0.354166666667879)</f>
        <v>0.35416666666787899</v>
      </c>
      <c r="G167" s="14">
        <f ca="1">IFERROR(__xludf.DUMMYFUNCTION("""COMPUTED_VALUE"""),43374)</f>
        <v>43374</v>
      </c>
      <c r="H167" t="str">
        <f ca="1">IFERROR(__xludf.DUMMYFUNCTION("""COMPUTED_VALUE"""),"Pine Island Marsh Platforms")</f>
        <v>Pine Island Marsh Platforms</v>
      </c>
      <c r="I167" s="15">
        <f ca="1">IFERROR(__xludf.DUMMYFUNCTION("""COMPUTED_VALUE"""),0.5625)</f>
        <v>0.5625</v>
      </c>
      <c r="J167" s="16">
        <f ca="1">IFERROR(__xludf.DUMMYFUNCTION("""COMPUTED_VALUE"""),43374.5833333333)</f>
        <v>43374.583333333299</v>
      </c>
      <c r="K167" t="str">
        <f ca="1">IFERROR(__xludf.DUMMYFUNCTION("""COMPUTED_VALUE"""),"20ft Sea Ark FL5351SJ UNF 2015")</f>
        <v>20ft Sea Ark FL5351SJ UNF 2015</v>
      </c>
      <c r="M167" t="str">
        <f ca="1">IFERROR(__xludf.DUMMYFUNCTION("""COMPUTED_VALUE"""),"Ford F250 2017 (Moby Dix) - DEP0021578")</f>
        <v>Ford F250 2017 (Moby Dix) - DEP0021578</v>
      </c>
      <c r="N167" t="str">
        <f ca="1">IFERROR(__xludf.DUMMYFUNCTION("""COMPUTED_VALUE"""),"Silas Tanner, (904) 483-8423, Ben Mowbray, (407) 962-8782")</f>
        <v>Silas Tanner, (904) 483-8423, Ben Mowbray, (407) 962-8782</v>
      </c>
      <c r="O167" t="str">
        <f ca="1">IFERROR(__xludf.DUMMYFUNCTION("""COMPUTED_VALUE"""),"Remo")</f>
        <v>Remo</v>
      </c>
      <c r="P167" t="str">
        <f ca="1">IFERROR(__xludf.DUMMYFUNCTION("""COMPUTED_VALUE"""),"Silas")</f>
        <v>Silas</v>
      </c>
      <c r="Q167" t="str">
        <f ca="1">IFERROR(__xludf.DUMMYFUNCTION("""COMPUTED_VALUE"""),"Good")</f>
        <v>Good</v>
      </c>
      <c r="R167" t="str">
        <f ca="1">IFERROR(__xludf.DUMMYFUNCTION("""COMPUTED_VALUE"""),"Good")</f>
        <v>Good</v>
      </c>
      <c r="S167" t="str">
        <f ca="1">IFERROR(__xludf.DUMMYFUNCTION("""COMPUTED_VALUE"""),"Good")</f>
        <v>Good</v>
      </c>
      <c r="T167" t="str">
        <f ca="1">IFERROR(__xludf.DUMMYFUNCTION("""COMPUTED_VALUE"""),"Good")</f>
        <v>Good</v>
      </c>
      <c r="U167" t="str">
        <f ca="1">IFERROR(__xludf.DUMMYFUNCTION("""COMPUTED_VALUE"""),"Good")</f>
        <v>Good</v>
      </c>
      <c r="V167" t="str">
        <f ca="1">IFERROR(__xludf.DUMMYFUNCTION("""COMPUTED_VALUE"""),"Good")</f>
        <v>Good</v>
      </c>
      <c r="W167" t="str">
        <f ca="1">IFERROR(__xludf.DUMMYFUNCTION("""COMPUTED_VALUE"""),"Good")</f>
        <v>Good</v>
      </c>
      <c r="X167" t="str">
        <f ca="1">IFERROR(__xludf.DUMMYFUNCTION("""COMPUTED_VALUE"""),"Good")</f>
        <v>Good</v>
      </c>
      <c r="Y167" t="str">
        <f ca="1">IFERROR(__xludf.DUMMYFUNCTION("""COMPUTED_VALUE"""),"Good")</f>
        <v>Good</v>
      </c>
      <c r="Z167" t="str">
        <f ca="1">IFERROR(__xludf.DUMMYFUNCTION("""COMPUTED_VALUE"""),"Good")</f>
        <v>Good</v>
      </c>
      <c r="AA167" t="str">
        <f ca="1">IFERROR(__xludf.DUMMYFUNCTION("""COMPUTED_VALUE"""),"Good")</f>
        <v>Good</v>
      </c>
      <c r="AB167" t="str">
        <f ca="1">IFERROR(__xludf.DUMMYFUNCTION("""COMPUTED_VALUE"""),"Good")</f>
        <v>Good</v>
      </c>
      <c r="AC167" t="str">
        <f ca="1">IFERROR(__xludf.DUMMYFUNCTION("""COMPUTED_VALUE"""),"Good")</f>
        <v>Good</v>
      </c>
      <c r="AE167" s="11"/>
      <c r="AF167" t="str">
        <v>Pamela.Marcum@floridadep.gov</v>
      </c>
      <c r="AG167" s="17" t="s">
        <v>17</v>
      </c>
      <c r="AH167" s="12">
        <v>1215</v>
      </c>
      <c r="AI167" s="12" t="s">
        <v>441</v>
      </c>
      <c r="AJ167" s="19" t="s">
        <v>442</v>
      </c>
      <c r="AK167" s="20" t="str">
        <f>HYPERLINK("https://docs.google.com/document/d/10B-Y9mtzPJLK-Vl1R2A-xzT2AB0jOcgS4S3pnj8j_Ks/edit?usp=drivesdk","Ben Mowbray - 10/1/2018 8:30 AM")</f>
        <v>Ben Mowbray - 10/1/2018 8:30 AM</v>
      </c>
      <c r="AL167" s="12" t="s">
        <v>443</v>
      </c>
    </row>
    <row r="168" spans="1:38" ht="12.75">
      <c r="A168" s="10">
        <f ca="1">IFERROR(__xludf.DUMMYFUNCTION("""COMPUTED_VALUE"""),43375.2321794444)</f>
        <v>43375.2321794444</v>
      </c>
      <c r="B168" s="11" t="str">
        <f ca="1">IFERROR(__xludf.DUMMYFUNCTION("""COMPUTED_VALUE"""),"Pamela Marcum")</f>
        <v>Pamela Marcum</v>
      </c>
      <c r="C168" t="str">
        <f ca="1">IFERROR(__xludf.DUMMYFUNCTION("""COMPUTED_VALUE"""),"Pamela.Marcum@dep.state.fl.us")</f>
        <v>Pamela.Marcum@dep.state.fl.us</v>
      </c>
      <c r="D168" t="str">
        <f ca="1">IFERROR(__xludf.DUMMYFUNCTION("""COMPUTED_VALUE"""),"Research/Nikki")</f>
        <v>Research/Nikki</v>
      </c>
      <c r="E168" t="str">
        <f ca="1">IFERROR(__xludf.DUMMYFUNCTION("""COMPUTED_VALUE"""),"Vilano")</f>
        <v>Vilano</v>
      </c>
      <c r="F168" s="13">
        <f ca="1">IFERROR(__xludf.DUMMYFUNCTION("""COMPUTED_VALUE"""),0.27083333333212)</f>
        <v>0.27083333333212001</v>
      </c>
      <c r="G168" s="14">
        <f ca="1">IFERROR(__xludf.DUMMYFUNCTION("""COMPUTED_VALUE"""),43375)</f>
        <v>43375</v>
      </c>
      <c r="H168" t="str">
        <f ca="1">IFERROR(__xludf.DUMMYFUNCTION("""COMPUTED_VALUE"""),"Salt Run, St. Augustine spat sites")</f>
        <v>Salt Run, St. Augustine spat sites</v>
      </c>
      <c r="I168" s="15">
        <f ca="1">IFERROR(__xludf.DUMMYFUNCTION("""COMPUTED_VALUE"""),0.45833333333212)</f>
        <v>0.45833333333212001</v>
      </c>
      <c r="J168" s="16">
        <f ca="1">IFERROR(__xludf.DUMMYFUNCTION("""COMPUTED_VALUE"""),43375.5)</f>
        <v>43375.5</v>
      </c>
      <c r="K168" t="str">
        <f ca="1">IFERROR(__xludf.DUMMYFUNCTION("""COMPUTED_VALUE"""),"23ft Skiff (Bertha) FL7972LJ DEP07613")</f>
        <v>23ft Skiff (Bertha) FL7972LJ DEP07613</v>
      </c>
      <c r="M168" t="str">
        <f ca="1">IFERROR(__xludf.DUMMYFUNCTION("""COMPUTED_VALUE"""),"Ford F150 2008 - DEP18041 (SWMP Thing)")</f>
        <v>Ford F150 2008 - DEP18041 (SWMP Thing)</v>
      </c>
      <c r="N168" t="str">
        <f ca="1">IFERROR(__xludf.DUMMYFUNCTION("""COMPUTED_VALUE"""),"Pam Marcum, (480) 332-5414")</f>
        <v>Pam Marcum, (480) 332-5414</v>
      </c>
      <c r="O168" t="str">
        <f ca="1">IFERROR(__xludf.DUMMYFUNCTION("""COMPUTED_VALUE"""),"Rodrigo Pavani, Nicole Peckham, Adrienne Breef-Pilz")</f>
        <v>Rodrigo Pavani, Nicole Peckham, Adrienne Breef-Pilz</v>
      </c>
      <c r="P168" t="str">
        <f ca="1">IFERROR(__xludf.DUMMYFUNCTION("""COMPUTED_VALUE"""),"Pam")</f>
        <v>Pam</v>
      </c>
      <c r="Q168" t="str">
        <f ca="1">IFERROR(__xludf.DUMMYFUNCTION("""COMPUTED_VALUE"""),"Good")</f>
        <v>Good</v>
      </c>
      <c r="R168" t="str">
        <f ca="1">IFERROR(__xludf.DUMMYFUNCTION("""COMPUTED_VALUE"""),"Good")</f>
        <v>Good</v>
      </c>
      <c r="S168" t="str">
        <f ca="1">IFERROR(__xludf.DUMMYFUNCTION("""COMPUTED_VALUE"""),"Good")</f>
        <v>Good</v>
      </c>
      <c r="T168" t="str">
        <f ca="1">IFERROR(__xludf.DUMMYFUNCTION("""COMPUTED_VALUE"""),"Good")</f>
        <v>Good</v>
      </c>
      <c r="U168" t="str">
        <f ca="1">IFERROR(__xludf.DUMMYFUNCTION("""COMPUTED_VALUE"""),"Good")</f>
        <v>Good</v>
      </c>
      <c r="V168" t="str">
        <f ca="1">IFERROR(__xludf.DUMMYFUNCTION("""COMPUTED_VALUE"""),"Good")</f>
        <v>Good</v>
      </c>
      <c r="W168" t="str">
        <f ca="1">IFERROR(__xludf.DUMMYFUNCTION("""COMPUTED_VALUE"""),"Good")</f>
        <v>Good</v>
      </c>
      <c r="X168" t="str">
        <f ca="1">IFERROR(__xludf.DUMMYFUNCTION("""COMPUTED_VALUE"""),"Good")</f>
        <v>Good</v>
      </c>
      <c r="Y168" t="str">
        <f ca="1">IFERROR(__xludf.DUMMYFUNCTION("""COMPUTED_VALUE"""),"Good")</f>
        <v>Good</v>
      </c>
      <c r="Z168" t="str">
        <f ca="1">IFERROR(__xludf.DUMMYFUNCTION("""COMPUTED_VALUE"""),"Good")</f>
        <v>Good</v>
      </c>
      <c r="AA168" t="str">
        <f ca="1">IFERROR(__xludf.DUMMYFUNCTION("""COMPUTED_VALUE"""),"Good")</f>
        <v>Good</v>
      </c>
      <c r="AB168" t="str">
        <f ca="1">IFERROR(__xludf.DUMMYFUNCTION("""COMPUTED_VALUE"""),"Good")</f>
        <v>Good</v>
      </c>
      <c r="AC168" t="str">
        <f ca="1">IFERROR(__xludf.DUMMYFUNCTION("""COMPUTED_VALUE"""),"Good")</f>
        <v>Good</v>
      </c>
      <c r="AE168" s="11"/>
      <c r="AF168" t="str">
        <v>Nikki.Dix@floridadep.gov</v>
      </c>
      <c r="AG168" s="17" t="s">
        <v>444</v>
      </c>
      <c r="AH168" s="12">
        <v>1130</v>
      </c>
      <c r="AI168" s="12" t="s">
        <v>445</v>
      </c>
      <c r="AJ168" s="19" t="s">
        <v>446</v>
      </c>
      <c r="AK168" s="20" t="str">
        <f>HYPERLINK("https://docs.google.com/document/d/1JqTnJCbGjhbLNmpNm8MVKYBsWfwqFc2Spby_NHY6YBU/edit?usp=drivesdk","Pamela Marcum - 10/2/2018 6:30 AM")</f>
        <v>Pamela Marcum - 10/2/2018 6:30 AM</v>
      </c>
      <c r="AL168" s="12" t="s">
        <v>447</v>
      </c>
    </row>
    <row r="169" spans="1:38" ht="12.75">
      <c r="A169" s="10">
        <f ca="1">IFERROR(__xludf.DUMMYFUNCTION("""COMPUTED_VALUE"""),43375.3281146064)</f>
        <v>43375.328114606396</v>
      </c>
      <c r="B169" s="11" t="str">
        <f ca="1">IFERROR(__xludf.DUMMYFUNCTION("""COMPUTED_VALUE"""),"Ben")</f>
        <v>Ben</v>
      </c>
      <c r="C169" t="str">
        <f ca="1">IFERROR(__xludf.DUMMYFUNCTION("""COMPUTED_VALUE"""),"ben.mowbray@dep.state.fl.us")</f>
        <v>ben.mowbray@dep.state.fl.us</v>
      </c>
      <c r="D169" t="str">
        <f ca="1">IFERROR(__xludf.DUMMYFUNCTION("""COMPUTED_VALUE"""),"Research/Pam")</f>
        <v>Research/Pam</v>
      </c>
      <c r="E169" t="str">
        <f ca="1">IFERROR(__xludf.DUMMYFUNCTION("""COMPUTED_VALUE"""),"Douglas Crane")</f>
        <v>Douglas Crane</v>
      </c>
      <c r="F169" s="13">
        <f ca="1">IFERROR(__xludf.DUMMYFUNCTION("""COMPUTED_VALUE"""),0.354166666667879)</f>
        <v>0.35416666666787899</v>
      </c>
      <c r="G169" s="14">
        <f ca="1">IFERROR(__xludf.DUMMYFUNCTION("""COMPUTED_VALUE"""),43375)</f>
        <v>43375</v>
      </c>
      <c r="H169" t="str">
        <f ca="1">IFERROR(__xludf.DUMMYFUNCTION("""COMPUTED_VALUE"""),"Jason's Creek Platforms")</f>
        <v>Jason's Creek Platforms</v>
      </c>
      <c r="I169" s="15">
        <f ca="1">IFERROR(__xludf.DUMMYFUNCTION("""COMPUTED_VALUE"""),0.541666666667879)</f>
        <v>0.54166666666787899</v>
      </c>
      <c r="J169" s="16">
        <f ca="1">IFERROR(__xludf.DUMMYFUNCTION("""COMPUTED_VALUE"""),43375.5694444444)</f>
        <v>43375.569444444402</v>
      </c>
      <c r="K169" t="str">
        <f ca="1">IFERROR(__xludf.DUMMYFUNCTION("""COMPUTED_VALUE"""),"20ft Sea Ark FL5351SJ UNF 2015")</f>
        <v>20ft Sea Ark FL5351SJ UNF 2015</v>
      </c>
      <c r="M169" t="str">
        <f ca="1">IFERROR(__xludf.DUMMYFUNCTION("""COMPUTED_VALUE"""),"Ford F250 2017 (Moby Dix) - DEP0021578")</f>
        <v>Ford F250 2017 (Moby Dix) - DEP0021578</v>
      </c>
      <c r="N169" t="str">
        <f ca="1">IFERROR(__xludf.DUMMYFUNCTION("""COMPUTED_VALUE"""),"Silas Tanner, (904) 483-8423, Ben Mowbray, (407) 962-8782")</f>
        <v>Silas Tanner, (904) 483-8423, Ben Mowbray, (407) 962-8782</v>
      </c>
      <c r="O169" t="str">
        <f ca="1">IFERROR(__xludf.DUMMYFUNCTION("""COMPUTED_VALUE"""),"Jess, Remo")</f>
        <v>Jess, Remo</v>
      </c>
      <c r="P169" t="str">
        <f ca="1">IFERROR(__xludf.DUMMYFUNCTION("""COMPUTED_VALUE"""),"Ben")</f>
        <v>Ben</v>
      </c>
      <c r="Q169" t="str">
        <f ca="1">IFERROR(__xludf.DUMMYFUNCTION("""COMPUTED_VALUE"""),"Good")</f>
        <v>Good</v>
      </c>
      <c r="R169" t="str">
        <f ca="1">IFERROR(__xludf.DUMMYFUNCTION("""COMPUTED_VALUE"""),"Good")</f>
        <v>Good</v>
      </c>
      <c r="S169" t="str">
        <f ca="1">IFERROR(__xludf.DUMMYFUNCTION("""COMPUTED_VALUE"""),"Good")</f>
        <v>Good</v>
      </c>
      <c r="T169" t="str">
        <f ca="1">IFERROR(__xludf.DUMMYFUNCTION("""COMPUTED_VALUE"""),"Good")</f>
        <v>Good</v>
      </c>
      <c r="U169" t="str">
        <f ca="1">IFERROR(__xludf.DUMMYFUNCTION("""COMPUTED_VALUE"""),"Good")</f>
        <v>Good</v>
      </c>
      <c r="V169" t="str">
        <f ca="1">IFERROR(__xludf.DUMMYFUNCTION("""COMPUTED_VALUE"""),"Good")</f>
        <v>Good</v>
      </c>
      <c r="W169" t="str">
        <f ca="1">IFERROR(__xludf.DUMMYFUNCTION("""COMPUTED_VALUE"""),"Good")</f>
        <v>Good</v>
      </c>
      <c r="X169" t="str">
        <f ca="1">IFERROR(__xludf.DUMMYFUNCTION("""COMPUTED_VALUE"""),"Good")</f>
        <v>Good</v>
      </c>
      <c r="Y169" t="str">
        <f ca="1">IFERROR(__xludf.DUMMYFUNCTION("""COMPUTED_VALUE"""),"Good")</f>
        <v>Good</v>
      </c>
      <c r="Z169" t="str">
        <f ca="1">IFERROR(__xludf.DUMMYFUNCTION("""COMPUTED_VALUE"""),"Good")</f>
        <v>Good</v>
      </c>
      <c r="AA169" t="str">
        <f ca="1">IFERROR(__xludf.DUMMYFUNCTION("""COMPUTED_VALUE"""),"Good")</f>
        <v>Good</v>
      </c>
      <c r="AB169" t="str">
        <f ca="1">IFERROR(__xludf.DUMMYFUNCTION("""COMPUTED_VALUE"""),"Good")</f>
        <v>Good</v>
      </c>
      <c r="AC169" t="str">
        <f ca="1">IFERROR(__xludf.DUMMYFUNCTION("""COMPUTED_VALUE"""),"Good")</f>
        <v>Good</v>
      </c>
      <c r="AE169" s="11"/>
      <c r="AF169" t="str">
        <v>Pamela.Marcum@floridadep.gov</v>
      </c>
      <c r="AG169" s="17" t="s">
        <v>41</v>
      </c>
      <c r="AH169" s="12">
        <v>1215</v>
      </c>
      <c r="AI169" s="12" t="s">
        <v>448</v>
      </c>
      <c r="AJ169" s="19" t="s">
        <v>449</v>
      </c>
      <c r="AK169" s="20" t="str">
        <f>HYPERLINK("https://docs.google.com/document/d/1OeQTHLSFGSAT31agDkq7pmB0XfjKbGB3H-0rpdiqzEk/edit?usp=drivesdk","Ben - 10/2/2018 8:30 AM")</f>
        <v>Ben - 10/2/2018 8:30 AM</v>
      </c>
      <c r="AL169" s="12" t="s">
        <v>450</v>
      </c>
    </row>
    <row r="170" spans="1:38" ht="12.75">
      <c r="A170" s="10">
        <f ca="1">IFERROR(__xludf.DUMMYFUNCTION("""COMPUTED_VALUE"""),43376.2596190972)</f>
        <v>43376.259619097204</v>
      </c>
      <c r="B170" s="11" t="str">
        <f ca="1">IFERROR(__xludf.DUMMYFUNCTION("""COMPUTED_VALUE"""),"Pam Marcum")</f>
        <v>Pam Marcum</v>
      </c>
      <c r="C170" t="str">
        <f ca="1">IFERROR(__xludf.DUMMYFUNCTION("""COMPUTED_VALUE"""),"Pamela.Marcum@dep.state.fl.us")</f>
        <v>Pamela.Marcum@dep.state.fl.us</v>
      </c>
      <c r="D170" t="str">
        <f ca="1">IFERROR(__xludf.DUMMYFUNCTION("""COMPUTED_VALUE"""),"Research/Nikki")</f>
        <v>Research/Nikki</v>
      </c>
      <c r="E170" t="str">
        <f ca="1">IFERROR(__xludf.DUMMYFUNCTION("""COMPUTED_VALUE"""),"Aunt Kate's")</f>
        <v>Aunt Kate's</v>
      </c>
      <c r="F170" s="13">
        <f ca="1">IFERROR(__xludf.DUMMYFUNCTION("""COMPUTED_VALUE"""),0.291666666667879)</f>
        <v>0.29166666666787899</v>
      </c>
      <c r="G170" s="14">
        <f ca="1">IFERROR(__xludf.DUMMYFUNCTION("""COMPUTED_VALUE"""),43376)</f>
        <v>43376</v>
      </c>
      <c r="H170" t="str">
        <f ca="1">IFERROR(__xludf.DUMMYFUNCTION("""COMPUTED_VALUE"""),"Robinson Creek, Guana River, Tolomato River")</f>
        <v>Robinson Creek, Guana River, Tolomato River</v>
      </c>
      <c r="I170" s="15">
        <f ca="1">IFERROR(__xludf.DUMMYFUNCTION("""COMPUTED_VALUE"""),0.541666666667879)</f>
        <v>0.54166666666787899</v>
      </c>
      <c r="J170" s="16">
        <f ca="1">IFERROR(__xludf.DUMMYFUNCTION("""COMPUTED_VALUE"""),43376.5625)</f>
        <v>43376.5625</v>
      </c>
      <c r="K170" t="str">
        <f ca="1">IFERROR(__xludf.DUMMYFUNCTION("""COMPUTED_VALUE"""),"23ft Skiff (Bertha) FL7972LJ DEP07613")</f>
        <v>23ft Skiff (Bertha) FL7972LJ DEP07613</v>
      </c>
      <c r="M170" t="str">
        <f ca="1">IFERROR(__xludf.DUMMYFUNCTION("""COMPUTED_VALUE"""),"Ford F150 2008 - DEP18041 (SWMP Thing)")</f>
        <v>Ford F150 2008 - DEP18041 (SWMP Thing)</v>
      </c>
      <c r="N170" t="str">
        <f ca="1">IFERROR(__xludf.DUMMYFUNCTION("""COMPUTED_VALUE"""),"Pam Marcum, (480) 332-5414")</f>
        <v>Pam Marcum, (480) 332-5414</v>
      </c>
      <c r="O170" t="str">
        <f ca="1">IFERROR(__xludf.DUMMYFUNCTION("""COMPUTED_VALUE"""),"Rodrigo Pavani, Adrienne Breef-Pilz, Nicole Peckham, Craig Tinus")</f>
        <v>Rodrigo Pavani, Adrienne Breef-Pilz, Nicole Peckham, Craig Tinus</v>
      </c>
      <c r="P170" t="str">
        <f ca="1">IFERROR(__xludf.DUMMYFUNCTION("""COMPUTED_VALUE"""),"Pam")</f>
        <v>Pam</v>
      </c>
      <c r="Q170" t="str">
        <f ca="1">IFERROR(__xludf.DUMMYFUNCTION("""COMPUTED_VALUE"""),"Good")</f>
        <v>Good</v>
      </c>
      <c r="R170" t="str">
        <f ca="1">IFERROR(__xludf.DUMMYFUNCTION("""COMPUTED_VALUE"""),"Good")</f>
        <v>Good</v>
      </c>
      <c r="S170" t="str">
        <f ca="1">IFERROR(__xludf.DUMMYFUNCTION("""COMPUTED_VALUE"""),"Good")</f>
        <v>Good</v>
      </c>
      <c r="T170" t="str">
        <f ca="1">IFERROR(__xludf.DUMMYFUNCTION("""COMPUTED_VALUE"""),"Good")</f>
        <v>Good</v>
      </c>
      <c r="U170" t="str">
        <f ca="1">IFERROR(__xludf.DUMMYFUNCTION("""COMPUTED_VALUE"""),"Good")</f>
        <v>Good</v>
      </c>
      <c r="V170" t="str">
        <f ca="1">IFERROR(__xludf.DUMMYFUNCTION("""COMPUTED_VALUE"""),"Good")</f>
        <v>Good</v>
      </c>
      <c r="W170" t="str">
        <f ca="1">IFERROR(__xludf.DUMMYFUNCTION("""COMPUTED_VALUE"""),"Good")</f>
        <v>Good</v>
      </c>
      <c r="X170" t="str">
        <f ca="1">IFERROR(__xludf.DUMMYFUNCTION("""COMPUTED_VALUE"""),"Good")</f>
        <v>Good</v>
      </c>
      <c r="Y170" t="str">
        <f ca="1">IFERROR(__xludf.DUMMYFUNCTION("""COMPUTED_VALUE"""),"Good")</f>
        <v>Good</v>
      </c>
      <c r="Z170" t="str">
        <f ca="1">IFERROR(__xludf.DUMMYFUNCTION("""COMPUTED_VALUE"""),"Good")</f>
        <v>Good</v>
      </c>
      <c r="AA170" t="str">
        <f ca="1">IFERROR(__xludf.DUMMYFUNCTION("""COMPUTED_VALUE"""),"Good")</f>
        <v>Good</v>
      </c>
      <c r="AB170" t="str">
        <f ca="1">IFERROR(__xludf.DUMMYFUNCTION("""COMPUTED_VALUE"""),"Good")</f>
        <v>Good</v>
      </c>
      <c r="AC170" t="str">
        <f ca="1">IFERROR(__xludf.DUMMYFUNCTION("""COMPUTED_VALUE"""),"Good")</f>
        <v>Good</v>
      </c>
      <c r="AE170" s="11"/>
      <c r="AF170" t="str">
        <v>Nikki.Dix@floridadep.gov</v>
      </c>
      <c r="AG170" s="17" t="s">
        <v>58</v>
      </c>
      <c r="AH170" s="12">
        <v>1350</v>
      </c>
      <c r="AI170" s="12" t="s">
        <v>451</v>
      </c>
      <c r="AJ170" s="19" t="s">
        <v>452</v>
      </c>
      <c r="AK170" s="20" t="str">
        <f>HYPERLINK("https://docs.google.com/document/d/1h91QH6PngBZUaCNZ-MO08urM96IecrjSB_niSTukIOo/edit?usp=drivesdk","Pam Marcum - 10/3/2018 7:00 AM")</f>
        <v>Pam Marcum - 10/3/2018 7:00 AM</v>
      </c>
      <c r="AL170" s="12" t="s">
        <v>453</v>
      </c>
    </row>
    <row r="171" spans="1:38" ht="12.75">
      <c r="A171" s="10">
        <f ca="1">IFERROR(__xludf.DUMMYFUNCTION("""COMPUTED_VALUE"""),43376.3000109374)</f>
        <v>43376.300010937499</v>
      </c>
      <c r="B171" s="11" t="str">
        <f ca="1">IFERROR(__xludf.DUMMYFUNCTION("""COMPUTED_VALUE"""),"Ben")</f>
        <v>Ben</v>
      </c>
      <c r="C171" t="str">
        <f ca="1">IFERROR(__xludf.DUMMYFUNCTION("""COMPUTED_VALUE"""),"ben.mowbray@dep.state.fl")</f>
        <v>ben.mowbray@dep.state.fl</v>
      </c>
      <c r="D171" t="str">
        <f ca="1">IFERROR(__xludf.DUMMYFUNCTION("""COMPUTED_VALUE"""),"Research/Pam")</f>
        <v>Research/Pam</v>
      </c>
      <c r="E171" t="str">
        <f ca="1">IFERROR(__xludf.DUMMYFUNCTION("""COMPUTED_VALUE"""),"Aunt Kate's")</f>
        <v>Aunt Kate's</v>
      </c>
      <c r="F171" s="13">
        <f ca="1">IFERROR(__xludf.DUMMYFUNCTION("""COMPUTED_VALUE"""),0.319444444445252)</f>
        <v>0.319444444445252</v>
      </c>
      <c r="G171" s="14">
        <f ca="1">IFERROR(__xludf.DUMMYFUNCTION("""COMPUTED_VALUE"""),43376)</f>
        <v>43376</v>
      </c>
      <c r="H171" t="str">
        <f ca="1">IFERROR(__xludf.DUMMYFUNCTION("""COMPUTED_VALUE"""),"Hat Island Platforms")</f>
        <v>Hat Island Platforms</v>
      </c>
      <c r="I171" s="15">
        <f ca="1">IFERROR(__xludf.DUMMYFUNCTION("""COMPUTED_VALUE"""),0.52083333333212)</f>
        <v>0.52083333333212001</v>
      </c>
      <c r="J171" s="16">
        <f ca="1">IFERROR(__xludf.DUMMYFUNCTION("""COMPUTED_VALUE"""),43376.5416666666)</f>
        <v>43376.541666666599</v>
      </c>
      <c r="K171" t="str">
        <f ca="1">IFERROR(__xludf.DUMMYFUNCTION("""COMPUTED_VALUE"""),"20ft Sea Ark FL5351SJ UNF 2015")</f>
        <v>20ft Sea Ark FL5351SJ UNF 2015</v>
      </c>
      <c r="M171" t="str">
        <f ca="1">IFERROR(__xludf.DUMMYFUNCTION("""COMPUTED_VALUE"""),"Ford F250 2017 (Moby Dix) - DEP0021578")</f>
        <v>Ford F250 2017 (Moby Dix) - DEP0021578</v>
      </c>
      <c r="N171" t="str">
        <f ca="1">IFERROR(__xludf.DUMMYFUNCTION("""COMPUTED_VALUE"""),"Silas Tanner, (904) 483-8423, Ben Mowbray, (407) 962-8782")</f>
        <v>Silas Tanner, (904) 483-8423, Ben Mowbray, (407) 962-8782</v>
      </c>
      <c r="O171" t="str">
        <f ca="1">IFERROR(__xludf.DUMMYFUNCTION("""COMPUTED_VALUE"""),"Jessica Lee")</f>
        <v>Jessica Lee</v>
      </c>
      <c r="P171" t="str">
        <f ca="1">IFERROR(__xludf.DUMMYFUNCTION("""COMPUTED_VALUE"""),"Ben")</f>
        <v>Ben</v>
      </c>
      <c r="Q171" t="str">
        <f ca="1">IFERROR(__xludf.DUMMYFUNCTION("""COMPUTED_VALUE"""),"Good")</f>
        <v>Good</v>
      </c>
      <c r="R171" t="str">
        <f ca="1">IFERROR(__xludf.DUMMYFUNCTION("""COMPUTED_VALUE"""),"Good")</f>
        <v>Good</v>
      </c>
      <c r="S171" t="str">
        <f ca="1">IFERROR(__xludf.DUMMYFUNCTION("""COMPUTED_VALUE"""),"Good")</f>
        <v>Good</v>
      </c>
      <c r="T171" t="str">
        <f ca="1">IFERROR(__xludf.DUMMYFUNCTION("""COMPUTED_VALUE"""),"Good")</f>
        <v>Good</v>
      </c>
      <c r="U171" t="str">
        <f ca="1">IFERROR(__xludf.DUMMYFUNCTION("""COMPUTED_VALUE"""),"Good")</f>
        <v>Good</v>
      </c>
      <c r="V171" t="str">
        <f ca="1">IFERROR(__xludf.DUMMYFUNCTION("""COMPUTED_VALUE"""),"Good")</f>
        <v>Good</v>
      </c>
      <c r="W171" t="str">
        <f ca="1">IFERROR(__xludf.DUMMYFUNCTION("""COMPUTED_VALUE"""),"Good")</f>
        <v>Good</v>
      </c>
      <c r="X171" t="str">
        <f ca="1">IFERROR(__xludf.DUMMYFUNCTION("""COMPUTED_VALUE"""),"Good")</f>
        <v>Good</v>
      </c>
      <c r="Y171" t="str">
        <f ca="1">IFERROR(__xludf.DUMMYFUNCTION("""COMPUTED_VALUE"""),"Good")</f>
        <v>Good</v>
      </c>
      <c r="Z171" t="str">
        <f ca="1">IFERROR(__xludf.DUMMYFUNCTION("""COMPUTED_VALUE"""),"Good")</f>
        <v>Good</v>
      </c>
      <c r="AA171" t="str">
        <f ca="1">IFERROR(__xludf.DUMMYFUNCTION("""COMPUTED_VALUE"""),"Good")</f>
        <v>Good</v>
      </c>
      <c r="AB171" t="str">
        <f ca="1">IFERROR(__xludf.DUMMYFUNCTION("""COMPUTED_VALUE"""),"Good")</f>
        <v>Good</v>
      </c>
      <c r="AC171" t="str">
        <f ca="1">IFERROR(__xludf.DUMMYFUNCTION("""COMPUTED_VALUE"""),"Good")</f>
        <v>Good</v>
      </c>
      <c r="AE171" s="11"/>
      <c r="AF171" t="str">
        <v>Pamela.Marcum@floridadep.gov</v>
      </c>
      <c r="AG171" s="17" t="s">
        <v>17</v>
      </c>
      <c r="AH171" s="12">
        <v>1150</v>
      </c>
      <c r="AI171" s="12" t="s">
        <v>454</v>
      </c>
      <c r="AJ171" s="19" t="s">
        <v>455</v>
      </c>
      <c r="AK171" s="20" t="str">
        <f>HYPERLINK("https://docs.google.com/document/d/1JRlYA77vV_VIb-S6I2VOgzFmlAaoJSMri79y4krYTeg/edit?usp=drivesdk","Ben - 10/3/2018 7:40 AM")</f>
        <v>Ben - 10/3/2018 7:40 AM</v>
      </c>
      <c r="AL171" s="12" t="s">
        <v>456</v>
      </c>
    </row>
    <row r="172" spans="1:38" ht="12.75">
      <c r="A172" s="10">
        <f ca="1">IFERROR(__xludf.DUMMYFUNCTION("""COMPUTED_VALUE"""),43377.2953647916)</f>
        <v>43377.2953647916</v>
      </c>
      <c r="B172" s="11" t="str">
        <f ca="1">IFERROR(__xludf.DUMMYFUNCTION("""COMPUTED_VALUE"""),"Pamela Marcum")</f>
        <v>Pamela Marcum</v>
      </c>
      <c r="C172" t="str">
        <f ca="1">IFERROR(__xludf.DUMMYFUNCTION("""COMPUTED_VALUE"""),"Pamela.Marcum@dep.state.fl.us")</f>
        <v>Pamela.Marcum@dep.state.fl.us</v>
      </c>
      <c r="D172" t="str">
        <f ca="1">IFERROR(__xludf.DUMMYFUNCTION("""COMPUTED_VALUE"""),"Research/Nikki")</f>
        <v>Research/Nikki</v>
      </c>
      <c r="E172" t="str">
        <f ca="1">IFERROR(__xludf.DUMMYFUNCTION("""COMPUTED_VALUE"""),"Aunt Kate's 7:15, Green Rd 12:30, Bings 2:00")</f>
        <v>Aunt Kate's 7:15, Green Rd 12:30, Bings 2:00</v>
      </c>
      <c r="F172" s="13">
        <f ca="1">IFERROR(__xludf.DUMMYFUNCTION("""COMPUTED_VALUE"""),0.30208333333212)</f>
        <v>0.30208333333212001</v>
      </c>
      <c r="G172" s="14">
        <f ca="1">IFERROR(__xludf.DUMMYFUNCTION("""COMPUTED_VALUE"""),43377)</f>
        <v>43377</v>
      </c>
      <c r="H172" t="str">
        <f ca="1">IFERROR(__xludf.DUMMYFUNCTION("""COMPUTED_VALUE"""),"Spat trees - north to south")</f>
        <v>Spat trees - north to south</v>
      </c>
      <c r="I172" s="15">
        <f ca="1">IFERROR(__xludf.DUMMYFUNCTION("""COMPUTED_VALUE"""),0.625)</f>
        <v>0.625</v>
      </c>
      <c r="J172" s="16">
        <f ca="1">IFERROR(__xludf.DUMMYFUNCTION("""COMPUTED_VALUE"""),43377.6666666666)</f>
        <v>43377.666666666599</v>
      </c>
      <c r="K172" t="str">
        <f ca="1">IFERROR(__xludf.DUMMYFUNCTION("""COMPUTED_VALUE"""),"20ft Sea Ark FL5351SJ UNF 2015")</f>
        <v>20ft Sea Ark FL5351SJ UNF 2015</v>
      </c>
      <c r="M172" t="str">
        <f ca="1">IFERROR(__xludf.DUMMYFUNCTION("""COMPUTED_VALUE"""),"Ford F150 2008 - DEP18041 (SWMP Thing)")</f>
        <v>Ford F150 2008 - DEP18041 (SWMP Thing)</v>
      </c>
      <c r="N172" t="str">
        <f ca="1">IFERROR(__xludf.DUMMYFUNCTION("""COMPUTED_VALUE"""),"Pam Marcum, (480) 332-5414")</f>
        <v>Pam Marcum, (480) 332-5414</v>
      </c>
      <c r="O172" t="str">
        <f ca="1">IFERROR(__xludf.DUMMYFUNCTION("""COMPUTED_VALUE"""),"Alicia Bishop, Diane Downing")</f>
        <v>Alicia Bishop, Diane Downing</v>
      </c>
      <c r="P172" t="str">
        <f ca="1">IFERROR(__xludf.DUMMYFUNCTION("""COMPUTED_VALUE"""),"Pam")</f>
        <v>Pam</v>
      </c>
      <c r="Q172" t="str">
        <f ca="1">IFERROR(__xludf.DUMMYFUNCTION("""COMPUTED_VALUE"""),"Good")</f>
        <v>Good</v>
      </c>
      <c r="R172" t="str">
        <f ca="1">IFERROR(__xludf.DUMMYFUNCTION("""COMPUTED_VALUE"""),"Good")</f>
        <v>Good</v>
      </c>
      <c r="S172" t="str">
        <f ca="1">IFERROR(__xludf.DUMMYFUNCTION("""COMPUTED_VALUE"""),"Good")</f>
        <v>Good</v>
      </c>
      <c r="T172" t="str">
        <f ca="1">IFERROR(__xludf.DUMMYFUNCTION("""COMPUTED_VALUE"""),"Good")</f>
        <v>Good</v>
      </c>
      <c r="U172" t="str">
        <f ca="1">IFERROR(__xludf.DUMMYFUNCTION("""COMPUTED_VALUE"""),"Good")</f>
        <v>Good</v>
      </c>
      <c r="V172" t="str">
        <f ca="1">IFERROR(__xludf.DUMMYFUNCTION("""COMPUTED_VALUE"""),"Good")</f>
        <v>Good</v>
      </c>
      <c r="W172" t="str">
        <f ca="1">IFERROR(__xludf.DUMMYFUNCTION("""COMPUTED_VALUE"""),"Good")</f>
        <v>Good</v>
      </c>
      <c r="X172" t="str">
        <f ca="1">IFERROR(__xludf.DUMMYFUNCTION("""COMPUTED_VALUE"""),"Good")</f>
        <v>Good</v>
      </c>
      <c r="Y172" t="str">
        <f ca="1">IFERROR(__xludf.DUMMYFUNCTION("""COMPUTED_VALUE"""),"Good")</f>
        <v>Good</v>
      </c>
      <c r="Z172" t="str">
        <f ca="1">IFERROR(__xludf.DUMMYFUNCTION("""COMPUTED_VALUE"""),"Good")</f>
        <v>Good</v>
      </c>
      <c r="AA172" t="str">
        <f ca="1">IFERROR(__xludf.DUMMYFUNCTION("""COMPUTED_VALUE"""),"Good")</f>
        <v>Good</v>
      </c>
      <c r="AB172" t="str">
        <f ca="1">IFERROR(__xludf.DUMMYFUNCTION("""COMPUTED_VALUE"""),"Good")</f>
        <v>Good</v>
      </c>
      <c r="AC172" t="str">
        <f ca="1">IFERROR(__xludf.DUMMYFUNCTION("""COMPUTED_VALUE"""),"Good")</f>
        <v>Good</v>
      </c>
      <c r="AE172" s="11"/>
      <c r="AF172" t="str">
        <v>Nikki.Dix@floridadep.gov</v>
      </c>
      <c r="AG172" s="17" t="s">
        <v>41</v>
      </c>
      <c r="AH172" s="12">
        <v>1615</v>
      </c>
      <c r="AI172" s="12" t="s">
        <v>457</v>
      </c>
      <c r="AJ172" s="19" t="s">
        <v>458</v>
      </c>
      <c r="AK172" s="20" t="str">
        <f>HYPERLINK("https://docs.google.com/document/d/1jLef7WH1ZWvUDuCPO5cYBeyKUgeRQ04zAG93ZEtwINk/edit?usp=drivesdk","Pamela Marcum - 10/4/2018 7:15 AM")</f>
        <v>Pamela Marcum - 10/4/2018 7:15 AM</v>
      </c>
      <c r="AL172" s="12" t="s">
        <v>459</v>
      </c>
    </row>
    <row r="173" spans="1:38" ht="12.75">
      <c r="A173" s="10">
        <f ca="1">IFERROR(__xludf.DUMMYFUNCTION("""COMPUTED_VALUE"""),43377.3132212384)</f>
        <v>43377.313221238401</v>
      </c>
      <c r="B173" s="11" t="str">
        <f ca="1">IFERROR(__xludf.DUMMYFUNCTION("""COMPUTED_VALUE"""),"Silas Tanner")</f>
        <v>Silas Tanner</v>
      </c>
      <c r="C173" t="str">
        <f ca="1">IFERROR(__xludf.DUMMYFUNCTION("""COMPUTED_VALUE"""),"silas.tanner@floridadep.gov")</f>
        <v>silas.tanner@floridadep.gov</v>
      </c>
      <c r="D173" t="str">
        <f ca="1">IFERROR(__xludf.DUMMYFUNCTION("""COMPUTED_VALUE"""),"Research/Nikki")</f>
        <v>Research/Nikki</v>
      </c>
      <c r="E173" t="str">
        <f ca="1">IFERROR(__xludf.DUMMYFUNCTION("""COMPUTED_VALUE"""),"Moses Creek floating dock")</f>
        <v>Moses Creek floating dock</v>
      </c>
      <c r="F173" s="13">
        <f ca="1">IFERROR(__xludf.DUMMYFUNCTION("""COMPUTED_VALUE"""),0.33333333333212)</f>
        <v>0.33333333333212001</v>
      </c>
      <c r="G173" s="14">
        <f ca="1">IFERROR(__xludf.DUMMYFUNCTION("""COMPUTED_VALUE"""),43377)</f>
        <v>43377</v>
      </c>
      <c r="H173" t="str">
        <f ca="1">IFERROR(__xludf.DUMMYFUNCTION("""COMPUTED_VALUE"""),"Moses Creek platforms")</f>
        <v>Moses Creek platforms</v>
      </c>
      <c r="I173" s="15">
        <f ca="1">IFERROR(__xludf.DUMMYFUNCTION("""COMPUTED_VALUE"""),0.58333333333212)</f>
        <v>0.58333333333212001</v>
      </c>
      <c r="J173" s="16">
        <f ca="1">IFERROR(__xludf.DUMMYFUNCTION("""COMPUTED_VALUE"""),43377.625)</f>
        <v>43377.625</v>
      </c>
      <c r="K173" t="str">
        <f ca="1">IFERROR(__xludf.DUMMYFUNCTION("""COMPUTED_VALUE"""),"Canoe(s)")</f>
        <v>Canoe(s)</v>
      </c>
      <c r="L173">
        <f ca="1">IFERROR(__xludf.DUMMYFUNCTION("""COMPUTED_VALUE"""),2)</f>
        <v>2</v>
      </c>
      <c r="M173" t="str">
        <f ca="1">IFERROR(__xludf.DUMMYFUNCTION("""COMPUTED_VALUE"""),"Ford F250 2017 (Moby Dix) - DEP0021578")</f>
        <v>Ford F250 2017 (Moby Dix) - DEP0021578</v>
      </c>
      <c r="N173" t="str">
        <f ca="1">IFERROR(__xludf.DUMMYFUNCTION("""COMPUTED_VALUE"""),"Silas Tanner, (904) 483-8423, Ben Mowbray, (407) 962-8782")</f>
        <v>Silas Tanner, (904) 483-8423, Ben Mowbray, (407) 962-8782</v>
      </c>
      <c r="O173" t="str">
        <f ca="1">IFERROR(__xludf.DUMMYFUNCTION("""COMPUTED_VALUE"""),"Hunter Mathews")</f>
        <v>Hunter Mathews</v>
      </c>
      <c r="P173" t="str">
        <f ca="1">IFERROR(__xludf.DUMMYFUNCTION("""COMPUTED_VALUE"""),"Silas Tanner")</f>
        <v>Silas Tanner</v>
      </c>
      <c r="Q173" t="str">
        <f ca="1">IFERROR(__xludf.DUMMYFUNCTION("""COMPUTED_VALUE"""),"Good")</f>
        <v>Good</v>
      </c>
      <c r="R173" t="str">
        <f ca="1">IFERROR(__xludf.DUMMYFUNCTION("""COMPUTED_VALUE"""),"Good")</f>
        <v>Good</v>
      </c>
      <c r="S173" t="str">
        <f ca="1">IFERROR(__xludf.DUMMYFUNCTION("""COMPUTED_VALUE"""),"Good")</f>
        <v>Good</v>
      </c>
      <c r="T173" t="str">
        <f ca="1">IFERROR(__xludf.DUMMYFUNCTION("""COMPUTED_VALUE"""),"Good")</f>
        <v>Good</v>
      </c>
      <c r="U173" t="str">
        <f ca="1">IFERROR(__xludf.DUMMYFUNCTION("""COMPUTED_VALUE"""),"Good")</f>
        <v>Good</v>
      </c>
      <c r="V173" t="str">
        <f ca="1">IFERROR(__xludf.DUMMYFUNCTION("""COMPUTED_VALUE"""),"Good")</f>
        <v>Good</v>
      </c>
      <c r="W173" t="str">
        <f ca="1">IFERROR(__xludf.DUMMYFUNCTION("""COMPUTED_VALUE"""),"Good")</f>
        <v>Good</v>
      </c>
      <c r="X173" t="str">
        <f ca="1">IFERROR(__xludf.DUMMYFUNCTION("""COMPUTED_VALUE"""),"Good")</f>
        <v>Good</v>
      </c>
      <c r="Y173" t="str">
        <f ca="1">IFERROR(__xludf.DUMMYFUNCTION("""COMPUTED_VALUE"""),"Good")</f>
        <v>Good</v>
      </c>
      <c r="Z173" t="str">
        <f ca="1">IFERROR(__xludf.DUMMYFUNCTION("""COMPUTED_VALUE"""),"Good")</f>
        <v>Good</v>
      </c>
      <c r="AA173" t="str">
        <f ca="1">IFERROR(__xludf.DUMMYFUNCTION("""COMPUTED_VALUE"""),"Good")</f>
        <v>Good</v>
      </c>
      <c r="AB173" t="str">
        <f ca="1">IFERROR(__xludf.DUMMYFUNCTION("""COMPUTED_VALUE"""),"Good")</f>
        <v>Good</v>
      </c>
      <c r="AC173" t="str">
        <f ca="1">IFERROR(__xludf.DUMMYFUNCTION("""COMPUTED_VALUE"""),"Good")</f>
        <v>Good</v>
      </c>
      <c r="AE173" s="11"/>
      <c r="AF173" t="str">
        <v>Nikki.Dix@floridadep.gov</v>
      </c>
      <c r="AG173" s="17" t="s">
        <v>58</v>
      </c>
      <c r="AH173" s="12">
        <v>1320</v>
      </c>
      <c r="AI173" s="12" t="s">
        <v>460</v>
      </c>
      <c r="AJ173" s="19" t="s">
        <v>461</v>
      </c>
      <c r="AK173" s="20" t="str">
        <f>HYPERLINK("https://docs.google.com/document/d/1LuCtXJrW5W_uDwtAy3HfcI7oOa4lD8iG7UzSamPCoDk/edit?usp=drivesdk","Silas Tanner - 10/4/2018 8:00 AM")</f>
        <v>Silas Tanner - 10/4/2018 8:00 AM</v>
      </c>
      <c r="AL173" s="12" t="s">
        <v>462</v>
      </c>
    </row>
    <row r="174" spans="1:38" ht="12.75">
      <c r="A174" s="10">
        <f ca="1">IFERROR(__xludf.DUMMYFUNCTION("""COMPUTED_VALUE"""),43377.3379065162)</f>
        <v>43377.337906516201</v>
      </c>
      <c r="B174" s="11" t="str">
        <f ca="1">IFERROR(__xludf.DUMMYFUNCTION("""COMPUTED_VALUE"""),"Shannon Dunnigan")</f>
        <v>Shannon Dunnigan</v>
      </c>
      <c r="C174" t="str">
        <f ca="1">IFERROR(__xludf.DUMMYFUNCTION("""COMPUTED_VALUE"""),"shannon.dunnigan@floridadep.gov")</f>
        <v>shannon.dunnigan@floridadep.gov</v>
      </c>
      <c r="D174" t="str">
        <f ca="1">IFERROR(__xludf.DUMMYFUNCTION("""COMPUTED_VALUE"""),"Research/Nikki")</f>
        <v>Research/Nikki</v>
      </c>
      <c r="E174" t="str">
        <f ca="1">IFERROR(__xludf.DUMMYFUNCTION("""COMPUTED_VALUE"""),"Bings")</f>
        <v>Bings</v>
      </c>
      <c r="F174" s="13">
        <f ca="1">IFERROR(__xludf.DUMMYFUNCTION("""COMPUTED_VALUE"""),0.385416666667879)</f>
        <v>0.38541666666787899</v>
      </c>
      <c r="G174" s="14">
        <f ca="1">IFERROR(__xludf.DUMMYFUNCTION("""COMPUTED_VALUE"""),43377)</f>
        <v>43377</v>
      </c>
      <c r="H174" t="str">
        <f ca="1">IFERROR(__xludf.DUMMYFUNCTION("""COMPUTED_VALUE"""),"Summerhaven")</f>
        <v>Summerhaven</v>
      </c>
      <c r="I174" s="15">
        <f ca="1">IFERROR(__xludf.DUMMYFUNCTION("""COMPUTED_VALUE"""),0)</f>
        <v>0</v>
      </c>
      <c r="J174" s="16">
        <f ca="1">IFERROR(__xludf.DUMMYFUNCTION("""COMPUTED_VALUE"""),43377.5625)</f>
        <v>43377.5625</v>
      </c>
      <c r="K174" t="str">
        <f ca="1">IFERROR(__xludf.DUMMYFUNCTION("""COMPUTED_VALUE"""),"23ft Skiff (Bertha) FL7972LJ DEP07613")</f>
        <v>23ft Skiff (Bertha) FL7972LJ DEP07613</v>
      </c>
      <c r="M174" t="str">
        <f ca="1">IFERROR(__xludf.DUMMYFUNCTION("""COMPUTED_VALUE"""),"Ford F150 2015 (White) - DEP21448")</f>
        <v>Ford F150 2015 (White) - DEP21448</v>
      </c>
      <c r="N174" t="str">
        <f ca="1">IFERROR(__xludf.DUMMYFUNCTION("""COMPUTED_VALUE"""),"Shannon Dunnigan, (803) 727-5734")</f>
        <v>Shannon Dunnigan, (803) 727-5734</v>
      </c>
      <c r="O174" t="str">
        <f ca="1">IFERROR(__xludf.DUMMYFUNCTION("""COMPUTED_VALUE"""),"Westly Woodward")</f>
        <v>Westly Woodward</v>
      </c>
      <c r="P174" t="str">
        <f ca="1">IFERROR(__xludf.DUMMYFUNCTION("""COMPUTED_VALUE"""),"Shannon")</f>
        <v>Shannon</v>
      </c>
      <c r="Q174" t="str">
        <f ca="1">IFERROR(__xludf.DUMMYFUNCTION("""COMPUTED_VALUE"""),"Good")</f>
        <v>Good</v>
      </c>
      <c r="R174" t="str">
        <f ca="1">IFERROR(__xludf.DUMMYFUNCTION("""COMPUTED_VALUE"""),"Good")</f>
        <v>Good</v>
      </c>
      <c r="S174" t="str">
        <f ca="1">IFERROR(__xludf.DUMMYFUNCTION("""COMPUTED_VALUE"""),"Good")</f>
        <v>Good</v>
      </c>
      <c r="T174" t="str">
        <f ca="1">IFERROR(__xludf.DUMMYFUNCTION("""COMPUTED_VALUE"""),"Good")</f>
        <v>Good</v>
      </c>
      <c r="U174" t="str">
        <f ca="1">IFERROR(__xludf.DUMMYFUNCTION("""COMPUTED_VALUE"""),"Good")</f>
        <v>Good</v>
      </c>
      <c r="V174" t="str">
        <f ca="1">IFERROR(__xludf.DUMMYFUNCTION("""COMPUTED_VALUE"""),"Good")</f>
        <v>Good</v>
      </c>
      <c r="W174" t="str">
        <f ca="1">IFERROR(__xludf.DUMMYFUNCTION("""COMPUTED_VALUE"""),"Good")</f>
        <v>Good</v>
      </c>
      <c r="X174" t="str">
        <f ca="1">IFERROR(__xludf.DUMMYFUNCTION("""COMPUTED_VALUE"""),"Good")</f>
        <v>Good</v>
      </c>
      <c r="Y174" t="str">
        <f ca="1">IFERROR(__xludf.DUMMYFUNCTION("""COMPUTED_VALUE"""),"Good")</f>
        <v>Good</v>
      </c>
      <c r="Z174" t="str">
        <f ca="1">IFERROR(__xludf.DUMMYFUNCTION("""COMPUTED_VALUE"""),"Good")</f>
        <v>Good</v>
      </c>
      <c r="AA174" t="str">
        <f ca="1">IFERROR(__xludf.DUMMYFUNCTION("""COMPUTED_VALUE"""),"Good")</f>
        <v>Good</v>
      </c>
      <c r="AB174" t="str">
        <f ca="1">IFERROR(__xludf.DUMMYFUNCTION("""COMPUTED_VALUE"""),"Good")</f>
        <v>Good</v>
      </c>
      <c r="AC174" t="str">
        <f ca="1">IFERROR(__xludf.DUMMYFUNCTION("""COMPUTED_VALUE"""),"Good")</f>
        <v>Good</v>
      </c>
      <c r="AE174" s="11"/>
      <c r="AF174" t="str">
        <v>Nikki.Dix@floridadep.gov</v>
      </c>
      <c r="AG174" s="17" t="s">
        <v>41</v>
      </c>
      <c r="AH174" s="12">
        <v>1112</v>
      </c>
      <c r="AI174" s="12" t="s">
        <v>463</v>
      </c>
      <c r="AJ174" s="19" t="s">
        <v>464</v>
      </c>
      <c r="AK174" s="20" t="str">
        <f>HYPERLINK("https://docs.google.com/document/d/165OlHMSD7QQspuLihMnA4iOz0DUxDdUqPxfmQ1cBeNs/edit?usp=drivesdk","Shannon Dunnigan - 10/4/2018 9:15 AM")</f>
        <v>Shannon Dunnigan - 10/4/2018 9:15 AM</v>
      </c>
      <c r="AL174" s="12" t="s">
        <v>465</v>
      </c>
    </row>
    <row r="175" spans="1:38" ht="12.75">
      <c r="A175" s="10">
        <f ca="1">IFERROR(__xludf.DUMMYFUNCTION("""COMPUTED_VALUE"""),43382.6024042013)</f>
        <v>43382.602404201301</v>
      </c>
      <c r="B175" s="11" t="str">
        <f ca="1">IFERROR(__xludf.DUMMYFUNCTION("""COMPUTED_VALUE"""),"Silas Tanner")</f>
        <v>Silas Tanner</v>
      </c>
      <c r="C175" t="str">
        <f ca="1">IFERROR(__xludf.DUMMYFUNCTION("""COMPUTED_VALUE"""),"silas.tanner@floridadep.gov")</f>
        <v>silas.tanner@floridadep.gov</v>
      </c>
      <c r="D175" t="str">
        <f ca="1">IFERROR(__xludf.DUMMYFUNCTION("""COMPUTED_VALUE"""),"Research/Nikki")</f>
        <v>Research/Nikki</v>
      </c>
      <c r="E175" t="str">
        <f ca="1">IFERROR(__xludf.DUMMYFUNCTION("""COMPUTED_VALUE"""),"Green Rd., Vilano County Ramp")</f>
        <v>Green Rd., Vilano County Ramp</v>
      </c>
      <c r="F175" s="13">
        <f ca="1">IFERROR(__xludf.DUMMYFUNCTION("""COMPUTED_VALUE"""),0.3125)</f>
        <v>0.3125</v>
      </c>
      <c r="G175" s="14">
        <f ca="1">IFERROR(__xludf.DUMMYFUNCTION("""COMPUTED_VALUE"""),43383)</f>
        <v>43383</v>
      </c>
      <c r="H175" t="str">
        <f ca="1">IFERROR(__xludf.DUMMYFUNCTION("""COMPUTED_VALUE"""),"ICW - SWMP sites")</f>
        <v>ICW - SWMP sites</v>
      </c>
      <c r="I175" s="15">
        <f ca="1">IFERROR(__xludf.DUMMYFUNCTION("""COMPUTED_VALUE"""),0.50069444444307)</f>
        <v>0.50069444444306999</v>
      </c>
      <c r="J175" s="16">
        <f ca="1">IFERROR(__xludf.DUMMYFUNCTION("""COMPUTED_VALUE"""),43383.5104166666)</f>
        <v>43383.510416666599</v>
      </c>
      <c r="K175" t="str">
        <f ca="1">IFERROR(__xludf.DUMMYFUNCTION("""COMPUTED_VALUE"""),"20ft Sea Ark FL5351SJ UNF 2015")</f>
        <v>20ft Sea Ark FL5351SJ UNF 2015</v>
      </c>
      <c r="M175" t="str">
        <f ca="1">IFERROR(__xludf.DUMMYFUNCTION("""COMPUTED_VALUE"""),"Ford F250 2017 (Moby Dix) - DEP0021578")</f>
        <v>Ford F250 2017 (Moby Dix) - DEP0021578</v>
      </c>
      <c r="N175" t="str">
        <f ca="1">IFERROR(__xludf.DUMMYFUNCTION("""COMPUTED_VALUE"""),"Silas Tanner, (904) 483-8423")</f>
        <v>Silas Tanner, (904) 483-8423</v>
      </c>
      <c r="O175" t="str">
        <f ca="1">IFERROR(__xludf.DUMMYFUNCTION("""COMPUTED_VALUE"""),"Hunter Mathews")</f>
        <v>Hunter Mathews</v>
      </c>
      <c r="P175" t="str">
        <f ca="1">IFERROR(__xludf.DUMMYFUNCTION("""COMPUTED_VALUE"""),"S. Tanner")</f>
        <v>S. Tanner</v>
      </c>
      <c r="Q175" t="str">
        <f ca="1">IFERROR(__xludf.DUMMYFUNCTION("""COMPUTED_VALUE"""),"Good")</f>
        <v>Good</v>
      </c>
      <c r="R175" t="str">
        <f ca="1">IFERROR(__xludf.DUMMYFUNCTION("""COMPUTED_VALUE"""),"Good")</f>
        <v>Good</v>
      </c>
      <c r="S175" t="str">
        <f ca="1">IFERROR(__xludf.DUMMYFUNCTION("""COMPUTED_VALUE"""),"Good")</f>
        <v>Good</v>
      </c>
      <c r="T175" t="str">
        <f ca="1">IFERROR(__xludf.DUMMYFUNCTION("""COMPUTED_VALUE"""),"Good")</f>
        <v>Good</v>
      </c>
      <c r="U175" t="str">
        <f ca="1">IFERROR(__xludf.DUMMYFUNCTION("""COMPUTED_VALUE"""),"Good")</f>
        <v>Good</v>
      </c>
      <c r="V175" t="str">
        <f ca="1">IFERROR(__xludf.DUMMYFUNCTION("""COMPUTED_VALUE"""),"Good")</f>
        <v>Good</v>
      </c>
      <c r="W175" t="str">
        <f ca="1">IFERROR(__xludf.DUMMYFUNCTION("""COMPUTED_VALUE"""),"Good")</f>
        <v>Good</v>
      </c>
      <c r="X175" t="str">
        <f ca="1">IFERROR(__xludf.DUMMYFUNCTION("""COMPUTED_VALUE"""),"Good")</f>
        <v>Good</v>
      </c>
      <c r="Y175" t="str">
        <f ca="1">IFERROR(__xludf.DUMMYFUNCTION("""COMPUTED_VALUE"""),"Good")</f>
        <v>Good</v>
      </c>
      <c r="Z175" t="str">
        <f ca="1">IFERROR(__xludf.DUMMYFUNCTION("""COMPUTED_VALUE"""),"Good")</f>
        <v>Good</v>
      </c>
      <c r="AA175" t="str">
        <f ca="1">IFERROR(__xludf.DUMMYFUNCTION("""COMPUTED_VALUE"""),"Good")</f>
        <v>Good</v>
      </c>
      <c r="AB175" t="str">
        <f ca="1">IFERROR(__xludf.DUMMYFUNCTION("""COMPUTED_VALUE"""),"Good")</f>
        <v>Good</v>
      </c>
      <c r="AC175" t="str">
        <f ca="1">IFERROR(__xludf.DUMMYFUNCTION("""COMPUTED_VALUE"""),"Good")</f>
        <v>Good</v>
      </c>
      <c r="AE175" s="11"/>
      <c r="AF175" t="str">
        <v>Nikki.Dix@floridadep.gov</v>
      </c>
      <c r="AG175" s="17" t="s">
        <v>139</v>
      </c>
      <c r="AH175" s="12">
        <v>1113</v>
      </c>
      <c r="AI175" s="12" t="s">
        <v>466</v>
      </c>
      <c r="AJ175" s="19" t="s">
        <v>467</v>
      </c>
      <c r="AK175" s="20" t="str">
        <f>HYPERLINK("https://docs.google.com/document/d/1L1XIyzHuHRQHoWUjLZVh96I0pkX6GW-koS18WeV4S5A/edit?usp=drivesdk","Silas Tanner - 10/10/2018 7:30 AM")</f>
        <v>Silas Tanner - 10/10/2018 7:30 AM</v>
      </c>
      <c r="AL175" s="12" t="s">
        <v>468</v>
      </c>
    </row>
    <row r="176" spans="1:38" ht="12.75">
      <c r="A176" s="10">
        <f ca="1">IFERROR(__xludf.DUMMYFUNCTION("""COMPUTED_VALUE"""),43385.4172265625)</f>
        <v>43385.417226562502</v>
      </c>
      <c r="B176" s="11" t="str">
        <f ca="1">IFERROR(__xludf.DUMMYFUNCTION("""COMPUTED_VALUE"""),"Ben Mowbray")</f>
        <v>Ben Mowbray</v>
      </c>
      <c r="C176" t="str">
        <f ca="1">IFERROR(__xludf.DUMMYFUNCTION("""COMPUTED_VALUE"""),"ben.mowbray@dep.state.fl.us")</f>
        <v>ben.mowbray@dep.state.fl.us</v>
      </c>
      <c r="D176" t="str">
        <f ca="1">IFERROR(__xludf.DUMMYFUNCTION("""COMPUTED_VALUE"""),"Research/Nikki")</f>
        <v>Research/Nikki</v>
      </c>
      <c r="E176" t="str">
        <f ca="1">IFERROR(__xludf.DUMMYFUNCTION("""COMPUTED_VALUE"""),"Faver-Dykes")</f>
        <v>Faver-Dykes</v>
      </c>
      <c r="F176" s="13">
        <f ca="1">IFERROR(__xludf.DUMMYFUNCTION("""COMPUTED_VALUE"""),0.46875)</f>
        <v>0.46875</v>
      </c>
      <c r="G176" s="14">
        <f ca="1">IFERROR(__xludf.DUMMYFUNCTION("""COMPUTED_VALUE"""),43385)</f>
        <v>43385</v>
      </c>
      <c r="H176" t="str">
        <f ca="1">IFERROR(__xludf.DUMMYFUNCTION("""COMPUTED_VALUE"""),"Westernmost Pellicer Sentinel Site")</f>
        <v>Westernmost Pellicer Sentinel Site</v>
      </c>
      <c r="I176" s="15">
        <f ca="1">IFERROR(__xludf.DUMMYFUNCTION("""COMPUTED_VALUE"""),0.666666666667879)</f>
        <v>0.66666666666787899</v>
      </c>
      <c r="J176" s="16">
        <f ca="1">IFERROR(__xludf.DUMMYFUNCTION("""COMPUTED_VALUE"""),43385.71875)</f>
        <v>43385.71875</v>
      </c>
      <c r="K176" t="str">
        <f ca="1">IFERROR(__xludf.DUMMYFUNCTION("""COMPUTED_VALUE"""),"23ft Skiff (Bertha) FL7972LJ DEP07613")</f>
        <v>23ft Skiff (Bertha) FL7972LJ DEP07613</v>
      </c>
      <c r="M176" t="str">
        <f ca="1">IFERROR(__xludf.DUMMYFUNCTION("""COMPUTED_VALUE"""),"Ford F250 2017 (Moby Dix) - DEP0021578")</f>
        <v>Ford F250 2017 (Moby Dix) - DEP0021578</v>
      </c>
      <c r="N176" t="str">
        <f ca="1">IFERROR(__xludf.DUMMYFUNCTION("""COMPUTED_VALUE"""),"Pam Marcum, (480) 332-5414, Ben Mowbray, (407) 962-8782")</f>
        <v>Pam Marcum, (480) 332-5414, Ben Mowbray, (407) 962-8782</v>
      </c>
      <c r="P176" t="str">
        <f ca="1">IFERROR(__xludf.DUMMYFUNCTION("""COMPUTED_VALUE"""),"Pam")</f>
        <v>Pam</v>
      </c>
      <c r="Q176" t="str">
        <f ca="1">IFERROR(__xludf.DUMMYFUNCTION("""COMPUTED_VALUE"""),"Good")</f>
        <v>Good</v>
      </c>
      <c r="R176" t="str">
        <f ca="1">IFERROR(__xludf.DUMMYFUNCTION("""COMPUTED_VALUE"""),"Good")</f>
        <v>Good</v>
      </c>
      <c r="S176" t="str">
        <f ca="1">IFERROR(__xludf.DUMMYFUNCTION("""COMPUTED_VALUE"""),"Good")</f>
        <v>Good</v>
      </c>
      <c r="T176" t="str">
        <f ca="1">IFERROR(__xludf.DUMMYFUNCTION("""COMPUTED_VALUE"""),"Good")</f>
        <v>Good</v>
      </c>
      <c r="U176" t="str">
        <f ca="1">IFERROR(__xludf.DUMMYFUNCTION("""COMPUTED_VALUE"""),"Good")</f>
        <v>Good</v>
      </c>
      <c r="V176" t="str">
        <f ca="1">IFERROR(__xludf.DUMMYFUNCTION("""COMPUTED_VALUE"""),"Good")</f>
        <v>Good</v>
      </c>
      <c r="W176" t="str">
        <f ca="1">IFERROR(__xludf.DUMMYFUNCTION("""COMPUTED_VALUE"""),"Good")</f>
        <v>Good</v>
      </c>
      <c r="X176" t="str">
        <f ca="1">IFERROR(__xludf.DUMMYFUNCTION("""COMPUTED_VALUE"""),"Good")</f>
        <v>Good</v>
      </c>
      <c r="Y176" t="str">
        <f ca="1">IFERROR(__xludf.DUMMYFUNCTION("""COMPUTED_VALUE"""),"Good")</f>
        <v>Good</v>
      </c>
      <c r="Z176" t="str">
        <f ca="1">IFERROR(__xludf.DUMMYFUNCTION("""COMPUTED_VALUE"""),"Good")</f>
        <v>Good</v>
      </c>
      <c r="AA176" t="str">
        <f ca="1">IFERROR(__xludf.DUMMYFUNCTION("""COMPUTED_VALUE"""),"Good")</f>
        <v>Good</v>
      </c>
      <c r="AB176" t="str">
        <f ca="1">IFERROR(__xludf.DUMMYFUNCTION("""COMPUTED_VALUE"""),"Good")</f>
        <v>Good</v>
      </c>
      <c r="AC176" t="str">
        <f ca="1">IFERROR(__xludf.DUMMYFUNCTION("""COMPUTED_VALUE"""),"Good")</f>
        <v>Good</v>
      </c>
      <c r="AE176" s="11"/>
      <c r="AF176" t="str">
        <v>Nikki.Dix@floridadep.gov</v>
      </c>
      <c r="AG176" s="17" t="s">
        <v>17</v>
      </c>
      <c r="AH176" s="12">
        <v>1440</v>
      </c>
      <c r="AI176" s="12" t="s">
        <v>469</v>
      </c>
      <c r="AJ176" s="19" t="s">
        <v>470</v>
      </c>
      <c r="AK176" s="20" t="str">
        <f>HYPERLINK("https://docs.google.com/document/d/1FPp7Ct0JiV_kWgKtlmLlCmGzPELIhER6zZ_PuQTEZXQ/edit?usp=drivesdk","Ben Mowbray - 10/12/2018 11:15 AM")</f>
        <v>Ben Mowbray - 10/12/2018 11:15 AM</v>
      </c>
      <c r="AL176" s="12" t="s">
        <v>471</v>
      </c>
    </row>
    <row r="177" spans="1:38" ht="12.75">
      <c r="A177" s="10">
        <f ca="1">IFERROR(__xludf.DUMMYFUNCTION("""COMPUTED_VALUE"""),43389.2832374421)</f>
        <v>43389.283237442098</v>
      </c>
      <c r="B177" s="11" t="str">
        <f ca="1">IFERROR(__xludf.DUMMYFUNCTION("""COMPUTED_VALUE"""),"Pamela Marcum")</f>
        <v>Pamela Marcum</v>
      </c>
      <c r="C177" t="str">
        <f ca="1">IFERROR(__xludf.DUMMYFUNCTION("""COMPUTED_VALUE"""),"Pamela.Marcum@hotmail.com")</f>
        <v>Pamela.Marcum@hotmail.com</v>
      </c>
      <c r="D177" t="str">
        <f ca="1">IFERROR(__xludf.DUMMYFUNCTION("""COMPUTED_VALUE"""),"Research/Nikki")</f>
        <v>Research/Nikki</v>
      </c>
      <c r="E177" t="str">
        <f ca="1">IFERROR(__xludf.DUMMYFUNCTION("""COMPUTED_VALUE"""),"Aunt Kate's")</f>
        <v>Aunt Kate's</v>
      </c>
      <c r="F177" s="13">
        <f ca="1">IFERROR(__xludf.DUMMYFUNCTION("""COMPUTED_VALUE"""),0.30208333333212)</f>
        <v>0.30208333333212001</v>
      </c>
      <c r="G177" s="14">
        <f ca="1">IFERROR(__xludf.DUMMYFUNCTION("""COMPUTED_VALUE"""),43389)</f>
        <v>43389</v>
      </c>
      <c r="H177" t="str">
        <f ca="1">IFERROR(__xludf.DUMMYFUNCTION("""COMPUTED_VALUE"""),"Guana River")</f>
        <v>Guana River</v>
      </c>
      <c r="I177" s="15">
        <f ca="1">IFERROR(__xludf.DUMMYFUNCTION("""COMPUTED_VALUE"""),0.479166666667879)</f>
        <v>0.47916666666787899</v>
      </c>
      <c r="J177" s="16">
        <f ca="1">IFERROR(__xludf.DUMMYFUNCTION("""COMPUTED_VALUE"""),43389.5)</f>
        <v>43389.5</v>
      </c>
      <c r="K177" t="str">
        <f ca="1">IFERROR(__xludf.DUMMYFUNCTION("""COMPUTED_VALUE"""),"20ft Sea Ark FL5351SJ UNF 2015")</f>
        <v>20ft Sea Ark FL5351SJ UNF 2015</v>
      </c>
      <c r="M177" t="str">
        <f ca="1">IFERROR(__xludf.DUMMYFUNCTION("""COMPUTED_VALUE"""),"Ford F250 2017 (Moby Dix) - DEP0021578")</f>
        <v>Ford F250 2017 (Moby Dix) - DEP0021578</v>
      </c>
      <c r="N177" t="str">
        <f ca="1">IFERROR(__xludf.DUMMYFUNCTION("""COMPUTED_VALUE"""),"Pam Marcum, (480) 332-5414, Ben Mowbray, (407) 962-8782")</f>
        <v>Pam Marcum, (480) 332-5414, Ben Mowbray, (407) 962-8782</v>
      </c>
      <c r="O177" t="str">
        <f ca="1">IFERROR(__xludf.DUMMYFUNCTION("""COMPUTED_VALUE"""),"Jessica Lee, Allee Knoell")</f>
        <v>Jessica Lee, Allee Knoell</v>
      </c>
      <c r="P177" t="str">
        <f ca="1">IFERROR(__xludf.DUMMYFUNCTION("""COMPUTED_VALUE"""),"Pam")</f>
        <v>Pam</v>
      </c>
      <c r="Q177" t="str">
        <f ca="1">IFERROR(__xludf.DUMMYFUNCTION("""COMPUTED_VALUE"""),"Good")</f>
        <v>Good</v>
      </c>
      <c r="R177" t="str">
        <f ca="1">IFERROR(__xludf.DUMMYFUNCTION("""COMPUTED_VALUE"""),"Good")</f>
        <v>Good</v>
      </c>
      <c r="S177" t="str">
        <f ca="1">IFERROR(__xludf.DUMMYFUNCTION("""COMPUTED_VALUE"""),"Good")</f>
        <v>Good</v>
      </c>
      <c r="T177" t="str">
        <f ca="1">IFERROR(__xludf.DUMMYFUNCTION("""COMPUTED_VALUE"""),"Good")</f>
        <v>Good</v>
      </c>
      <c r="U177" t="str">
        <f ca="1">IFERROR(__xludf.DUMMYFUNCTION("""COMPUTED_VALUE"""),"Good")</f>
        <v>Good</v>
      </c>
      <c r="V177" t="str">
        <f ca="1">IFERROR(__xludf.DUMMYFUNCTION("""COMPUTED_VALUE"""),"Good")</f>
        <v>Good</v>
      </c>
      <c r="W177" t="str">
        <f ca="1">IFERROR(__xludf.DUMMYFUNCTION("""COMPUTED_VALUE"""),"Good")</f>
        <v>Good</v>
      </c>
      <c r="X177" t="str">
        <f ca="1">IFERROR(__xludf.DUMMYFUNCTION("""COMPUTED_VALUE"""),"Good")</f>
        <v>Good</v>
      </c>
      <c r="Y177" t="str">
        <f ca="1">IFERROR(__xludf.DUMMYFUNCTION("""COMPUTED_VALUE"""),"Good")</f>
        <v>Good</v>
      </c>
      <c r="Z177" t="str">
        <f ca="1">IFERROR(__xludf.DUMMYFUNCTION("""COMPUTED_VALUE"""),"Good")</f>
        <v>Good</v>
      </c>
      <c r="AA177" t="str">
        <f ca="1">IFERROR(__xludf.DUMMYFUNCTION("""COMPUTED_VALUE"""),"Good")</f>
        <v>Good</v>
      </c>
      <c r="AB177" t="str">
        <f ca="1">IFERROR(__xludf.DUMMYFUNCTION("""COMPUTED_VALUE"""),"Good")</f>
        <v>Good</v>
      </c>
      <c r="AC177" t="str">
        <f ca="1">IFERROR(__xludf.DUMMYFUNCTION("""COMPUTED_VALUE"""),"Good")</f>
        <v>Good</v>
      </c>
      <c r="AE177" s="11"/>
      <c r="AF177" t="str">
        <v>Nikki.Dix@floridadep.gov</v>
      </c>
      <c r="AG177" s="17" t="s">
        <v>41</v>
      </c>
      <c r="AH177" s="12">
        <v>1055</v>
      </c>
      <c r="AI177" s="12" t="s">
        <v>472</v>
      </c>
      <c r="AJ177" s="19" t="s">
        <v>473</v>
      </c>
      <c r="AK177" s="20" t="str">
        <f>HYPERLINK("https://docs.google.com/document/d/1JGMIP5SQ2ZMKd8eDucsvIls3aSK9Tt3z-nF29BgavLw/edit?usp=drivesdk","Pamela Marcum - 10/16/2018 7:15 AM")</f>
        <v>Pamela Marcum - 10/16/2018 7:15 AM</v>
      </c>
      <c r="AL177" s="12" t="s">
        <v>474</v>
      </c>
    </row>
    <row r="178" spans="1:38" ht="12.75">
      <c r="A178" s="10">
        <f ca="1">IFERROR(__xludf.DUMMYFUNCTION("""COMPUTED_VALUE"""),43391.5875394907)</f>
        <v>43391.587539490698</v>
      </c>
      <c r="B178" s="11" t="str">
        <f ca="1">IFERROR(__xludf.DUMMYFUNCTION("""COMPUTED_VALUE"""),"Silas Tanner")</f>
        <v>Silas Tanner</v>
      </c>
      <c r="C178" t="str">
        <f ca="1">IFERROR(__xludf.DUMMYFUNCTION("""COMPUTED_VALUE"""),"silas.tanner@floridadep.gov")</f>
        <v>silas.tanner@floridadep.gov</v>
      </c>
      <c r="D178" t="str">
        <f ca="1">IFERROR(__xludf.DUMMYFUNCTION("""COMPUTED_VALUE"""),"Research/Nikki")</f>
        <v>Research/Nikki</v>
      </c>
      <c r="E178" t="str">
        <f ca="1">IFERROR(__xludf.DUMMYFUNCTION("""COMPUTED_VALUE"""),"Bing's")</f>
        <v>Bing's</v>
      </c>
      <c r="F178" s="13">
        <f ca="1">IFERROR(__xludf.DUMMYFUNCTION("""COMPUTED_VALUE"""),0.354166666667879)</f>
        <v>0.35416666666787899</v>
      </c>
      <c r="G178" s="14">
        <f ca="1">IFERROR(__xludf.DUMMYFUNCTION("""COMPUTED_VALUE"""),43392)</f>
        <v>43392</v>
      </c>
      <c r="H178" t="str">
        <f ca="1">IFERROR(__xludf.DUMMYFUNCTION("""COMPUTED_VALUE"""),"ICW - Rattlesnake Island to Bing's")</f>
        <v>ICW - Rattlesnake Island to Bing's</v>
      </c>
      <c r="I178" s="15">
        <f ca="1">IFERROR(__xludf.DUMMYFUNCTION("""COMPUTED_VALUE"""),0.479166666667879)</f>
        <v>0.47916666666787899</v>
      </c>
      <c r="J178" s="16">
        <f ca="1">IFERROR(__xludf.DUMMYFUNCTION("""COMPUTED_VALUE"""),43392.5208333333)</f>
        <v>43392.520833333299</v>
      </c>
      <c r="K178" t="str">
        <f ca="1">IFERROR(__xludf.DUMMYFUNCTION("""COMPUTED_VALUE"""),"20ft Sea Ark FL5351SJ UNF 2015")</f>
        <v>20ft Sea Ark FL5351SJ UNF 2015</v>
      </c>
      <c r="M178" t="str">
        <f ca="1">IFERROR(__xludf.DUMMYFUNCTION("""COMPUTED_VALUE"""),"Ford F150 2015 (White) - DEP21448")</f>
        <v>Ford F150 2015 (White) - DEP21448</v>
      </c>
      <c r="N178" t="str">
        <f ca="1">IFERROR(__xludf.DUMMYFUNCTION("""COMPUTED_VALUE"""),"Shannon Dunnigan, (803) 727-5734, Silas Tanner, (904) 483-8423")</f>
        <v>Shannon Dunnigan, (803) 727-5734, Silas Tanner, (904) 483-8423</v>
      </c>
      <c r="O178" t="str">
        <f ca="1">IFERROR(__xludf.DUMMYFUNCTION("""COMPUTED_VALUE"""),"Matt Brown")</f>
        <v>Matt Brown</v>
      </c>
      <c r="P178" t="str">
        <f ca="1">IFERROR(__xludf.DUMMYFUNCTION("""COMPUTED_VALUE"""),"Shannon Dunnigan")</f>
        <v>Shannon Dunnigan</v>
      </c>
      <c r="Q178" t="str">
        <f ca="1">IFERROR(__xludf.DUMMYFUNCTION("""COMPUTED_VALUE"""),"Good")</f>
        <v>Good</v>
      </c>
      <c r="R178" t="str">
        <f ca="1">IFERROR(__xludf.DUMMYFUNCTION("""COMPUTED_VALUE"""),"Good")</f>
        <v>Good</v>
      </c>
      <c r="S178" t="str">
        <f ca="1">IFERROR(__xludf.DUMMYFUNCTION("""COMPUTED_VALUE"""),"Good")</f>
        <v>Good</v>
      </c>
      <c r="T178" t="str">
        <f ca="1">IFERROR(__xludf.DUMMYFUNCTION("""COMPUTED_VALUE"""),"Good")</f>
        <v>Good</v>
      </c>
      <c r="U178" t="str">
        <f ca="1">IFERROR(__xludf.DUMMYFUNCTION("""COMPUTED_VALUE"""),"Good")</f>
        <v>Good</v>
      </c>
      <c r="V178" t="str">
        <f ca="1">IFERROR(__xludf.DUMMYFUNCTION("""COMPUTED_VALUE"""),"Good")</f>
        <v>Good</v>
      </c>
      <c r="W178" t="str">
        <f ca="1">IFERROR(__xludf.DUMMYFUNCTION("""COMPUTED_VALUE"""),"Good")</f>
        <v>Good</v>
      </c>
      <c r="X178" t="str">
        <f ca="1">IFERROR(__xludf.DUMMYFUNCTION("""COMPUTED_VALUE"""),"Good")</f>
        <v>Good</v>
      </c>
      <c r="Y178" t="str">
        <f ca="1">IFERROR(__xludf.DUMMYFUNCTION("""COMPUTED_VALUE"""),"Good")</f>
        <v>Good</v>
      </c>
      <c r="Z178" t="str">
        <f ca="1">IFERROR(__xludf.DUMMYFUNCTION("""COMPUTED_VALUE"""),"Good")</f>
        <v>Good</v>
      </c>
      <c r="AA178" t="str">
        <f ca="1">IFERROR(__xludf.DUMMYFUNCTION("""COMPUTED_VALUE"""),"Good")</f>
        <v>Good</v>
      </c>
      <c r="AB178" t="str">
        <f ca="1">IFERROR(__xludf.DUMMYFUNCTION("""COMPUTED_VALUE"""),"Good")</f>
        <v>Good</v>
      </c>
      <c r="AC178" t="str">
        <f ca="1">IFERROR(__xludf.DUMMYFUNCTION("""COMPUTED_VALUE"""),"Good")</f>
        <v>Good</v>
      </c>
      <c r="AE178" s="11"/>
      <c r="AF178" t="str">
        <v>Nikki.Dix@floridadep.gov</v>
      </c>
      <c r="AG178" s="17" t="s">
        <v>41</v>
      </c>
      <c r="AH178" s="12">
        <v>1100</v>
      </c>
      <c r="AI178" s="12" t="s">
        <v>475</v>
      </c>
      <c r="AJ178" s="19" t="s">
        <v>476</v>
      </c>
      <c r="AK178" s="20" t="str">
        <f>HYPERLINK("https://docs.google.com/document/d/1RDmcLZdwMIRHDuujQWjczrbdq11SFvJ7BvyZZWaLJ_M/edit?usp=drivesdk","Silas Tanner - 10/19/2018 8:30 AM")</f>
        <v>Silas Tanner - 10/19/2018 8:30 AM</v>
      </c>
      <c r="AL178" s="12" t="s">
        <v>477</v>
      </c>
    </row>
    <row r="179" spans="1:38" ht="12.75">
      <c r="A179" s="10">
        <f ca="1">IFERROR(__xludf.DUMMYFUNCTION("""COMPUTED_VALUE"""),43395.3329521643)</f>
        <v>43395.332952164303</v>
      </c>
      <c r="B179" s="11" t="str">
        <f ca="1">IFERROR(__xludf.DUMMYFUNCTION("""COMPUTED_VALUE"""),"James Tomazinis")</f>
        <v>James Tomazinis</v>
      </c>
      <c r="C179" t="str">
        <f ca="1">IFERROR(__xludf.DUMMYFUNCTION("""COMPUTED_VALUE"""),"james.tomazinis@floridadep.gov")</f>
        <v>james.tomazinis@floridadep.gov</v>
      </c>
      <c r="D179" t="str">
        <f ca="1">IFERROR(__xludf.DUMMYFUNCTION("""COMPUTED_VALUE"""),"Stewardship (Aquatic)")</f>
        <v>Stewardship (Aquatic)</v>
      </c>
      <c r="E179" t="str">
        <f ca="1">IFERROR(__xludf.DUMMYFUNCTION("""COMPUTED_VALUE"""),"Guana Dam")</f>
        <v>Guana Dam</v>
      </c>
      <c r="F179" s="13">
        <f ca="1">IFERROR(__xludf.DUMMYFUNCTION("""COMPUTED_VALUE"""),0.354166666667879)</f>
        <v>0.35416666666787899</v>
      </c>
      <c r="G179" s="14">
        <f ca="1">IFERROR(__xludf.DUMMYFUNCTION("""COMPUTED_VALUE"""),43395)</f>
        <v>43395</v>
      </c>
      <c r="H179" t="str">
        <f ca="1">IFERROR(__xludf.DUMMYFUNCTION("""COMPUTED_VALUE"""),"Guana River sampling sites")</f>
        <v>Guana River sampling sites</v>
      </c>
      <c r="I179" s="15">
        <f ca="1">IFERROR(__xludf.DUMMYFUNCTION("""COMPUTED_VALUE"""),0.416666666667879)</f>
        <v>0.41666666666787899</v>
      </c>
      <c r="J179" s="16"/>
      <c r="K179" t="str">
        <f ca="1">IFERROR(__xludf.DUMMYFUNCTION("""COMPUTED_VALUE"""),"Jon Boat FL0484NP DEP06819")</f>
        <v>Jon Boat FL0484NP DEP06819</v>
      </c>
      <c r="M179" t="str">
        <f ca="1">IFERROR(__xludf.DUMMYFUNCTION("""COMPUTED_VALUE"""),"Ford F150 2015 (White) - DEP21448")</f>
        <v>Ford F150 2015 (White) - DEP21448</v>
      </c>
      <c r="N179" t="str">
        <f ca="1">IFERROR(__xludf.DUMMYFUNCTION("""COMPUTED_VALUE"""),"Jimmy Tomazinis, (904) 547-0094")</f>
        <v>Jimmy Tomazinis, (904) 547-0094</v>
      </c>
      <c r="O179" t="str">
        <f ca="1">IFERROR(__xludf.DUMMYFUNCTION("""COMPUTED_VALUE"""),"Hunter Mathews")</f>
        <v>Hunter Mathews</v>
      </c>
      <c r="P179" t="str">
        <f ca="1">IFERROR(__xludf.DUMMYFUNCTION("""COMPUTED_VALUE"""),"Jimmy")</f>
        <v>Jimmy</v>
      </c>
      <c r="Q179" t="str">
        <f ca="1">IFERROR(__xludf.DUMMYFUNCTION("""COMPUTED_VALUE"""),"Good")</f>
        <v>Good</v>
      </c>
      <c r="R179" t="str">
        <f ca="1">IFERROR(__xludf.DUMMYFUNCTION("""COMPUTED_VALUE"""),"Good")</f>
        <v>Good</v>
      </c>
      <c r="S179" t="str">
        <f ca="1">IFERROR(__xludf.DUMMYFUNCTION("""COMPUTED_VALUE"""),"Good")</f>
        <v>Good</v>
      </c>
      <c r="T179" t="str">
        <f ca="1">IFERROR(__xludf.DUMMYFUNCTION("""COMPUTED_VALUE"""),"Good")</f>
        <v>Good</v>
      </c>
      <c r="U179" t="str">
        <f ca="1">IFERROR(__xludf.DUMMYFUNCTION("""COMPUTED_VALUE"""),"Good")</f>
        <v>Good</v>
      </c>
      <c r="V179" t="str">
        <f ca="1">IFERROR(__xludf.DUMMYFUNCTION("""COMPUTED_VALUE"""),"Good")</f>
        <v>Good</v>
      </c>
      <c r="W179" t="str">
        <f ca="1">IFERROR(__xludf.DUMMYFUNCTION("""COMPUTED_VALUE"""),"Good")</f>
        <v>Good</v>
      </c>
      <c r="X179" t="str">
        <f ca="1">IFERROR(__xludf.DUMMYFUNCTION("""COMPUTED_VALUE"""),"Good")</f>
        <v>Good</v>
      </c>
      <c r="Y179" t="str">
        <f ca="1">IFERROR(__xludf.DUMMYFUNCTION("""COMPUTED_VALUE"""),"Good")</f>
        <v>Good</v>
      </c>
      <c r="Z179" t="str">
        <f ca="1">IFERROR(__xludf.DUMMYFUNCTION("""COMPUTED_VALUE"""),"Good")</f>
        <v>Good</v>
      </c>
      <c r="AA179" t="str">
        <f ca="1">IFERROR(__xludf.DUMMYFUNCTION("""COMPUTED_VALUE"""),"Good")</f>
        <v>Good</v>
      </c>
      <c r="AB179" t="str">
        <f ca="1">IFERROR(__xludf.DUMMYFUNCTION("""COMPUTED_VALUE"""),"Good")</f>
        <v>Good</v>
      </c>
      <c r="AC179" t="str">
        <f ca="1">IFERROR(__xludf.DUMMYFUNCTION("""COMPUTED_VALUE"""),"Good")</f>
        <v>Good</v>
      </c>
      <c r="AE179" s="11"/>
      <c r="AF179" t="str">
        <v>Scott.Eastman@floridadep.gov</v>
      </c>
      <c r="AG179" s="17" t="s">
        <v>126</v>
      </c>
      <c r="AH179" s="23">
        <v>0.51041666666666663</v>
      </c>
      <c r="AI179" s="12" t="s">
        <v>478</v>
      </c>
      <c r="AJ179" s="19" t="s">
        <v>479</v>
      </c>
      <c r="AK179" s="20" t="str">
        <f>HYPERLINK("https://docs.google.com/document/d/1vhbaWsznObDXbxBjYZJm-c5mH0w0JZvCBOp-BzfpDKI/edit?usp=drivesdk","James Tomazinis - 10/22/2018 8:30 AM")</f>
        <v>James Tomazinis - 10/22/2018 8:30 AM</v>
      </c>
      <c r="AL179" s="12" t="s">
        <v>480</v>
      </c>
    </row>
    <row r="180" spans="1:38" ht="12.75">
      <c r="A180" s="10">
        <f ca="1">IFERROR(__xludf.DUMMYFUNCTION("""COMPUTED_VALUE"""),43395.5614141319)</f>
        <v>43395.561414131902</v>
      </c>
      <c r="B180" s="11" t="str">
        <f ca="1">IFERROR(__xludf.DUMMYFUNCTION("""COMPUTED_VALUE"""),"Silas Tanner")</f>
        <v>Silas Tanner</v>
      </c>
      <c r="C180" t="str">
        <f ca="1">IFERROR(__xludf.DUMMYFUNCTION("""COMPUTED_VALUE"""),"silas.tanner@floridadep.gov")</f>
        <v>silas.tanner@floridadep.gov</v>
      </c>
      <c r="D180" t="str">
        <f ca="1">IFERROR(__xludf.DUMMYFUNCTION("""COMPUTED_VALUE"""),"Research/Nikki")</f>
        <v>Research/Nikki</v>
      </c>
      <c r="E180" t="str">
        <f ca="1">IFERROR(__xludf.DUMMYFUNCTION("""COMPUTED_VALUE"""),"Vilano county ramp")</f>
        <v>Vilano county ramp</v>
      </c>
      <c r="F180" s="13">
        <f ca="1">IFERROR(__xludf.DUMMYFUNCTION("""COMPUTED_VALUE"""),0.33333333333212)</f>
        <v>0.33333333333212001</v>
      </c>
      <c r="G180" s="14">
        <f ca="1">IFERROR(__xludf.DUMMYFUNCTION("""COMPUTED_VALUE"""),43396)</f>
        <v>43396</v>
      </c>
      <c r="H180" t="str">
        <f ca="1">IFERROR(__xludf.DUMMYFUNCTION("""COMPUTED_VALUE"""),"ICW - SWMP sites")</f>
        <v>ICW - SWMP sites</v>
      </c>
      <c r="I180" s="15">
        <f ca="1">IFERROR(__xludf.DUMMYFUNCTION("""COMPUTED_VALUE"""),0.541666666667879)</f>
        <v>0.54166666666787899</v>
      </c>
      <c r="J180" s="16">
        <f ca="1">IFERROR(__xludf.DUMMYFUNCTION("""COMPUTED_VALUE"""),43396.5625)</f>
        <v>43396.5625</v>
      </c>
      <c r="K180" t="str">
        <f ca="1">IFERROR(__xludf.DUMMYFUNCTION("""COMPUTED_VALUE"""),"20ft Sea Ark FL5351SJ UNF 2015")</f>
        <v>20ft Sea Ark FL5351SJ UNF 2015</v>
      </c>
      <c r="M180" t="str">
        <f ca="1">IFERROR(__xludf.DUMMYFUNCTION("""COMPUTED_VALUE"""),"Ford F150 2015 (White) - DEP21448")</f>
        <v>Ford F150 2015 (White) - DEP21448</v>
      </c>
      <c r="N180" t="str">
        <f ca="1">IFERROR(__xludf.DUMMYFUNCTION("""COMPUTED_VALUE"""),"Silas Tanner, (904) 483-8423, Jimmy Tomazinis, (904) 547-0094")</f>
        <v>Silas Tanner, (904) 483-8423, Jimmy Tomazinis, (904) 547-0094</v>
      </c>
      <c r="O180" t="str">
        <f ca="1">IFERROR(__xludf.DUMMYFUNCTION("""COMPUTED_VALUE"""),"Hunter Mathews, Tatum Theodore")</f>
        <v>Hunter Mathews, Tatum Theodore</v>
      </c>
      <c r="P180" t="str">
        <f ca="1">IFERROR(__xludf.DUMMYFUNCTION("""COMPUTED_VALUE"""),"Silas Tanner")</f>
        <v>Silas Tanner</v>
      </c>
      <c r="Q180" t="str">
        <f ca="1">IFERROR(__xludf.DUMMYFUNCTION("""COMPUTED_VALUE"""),"Good")</f>
        <v>Good</v>
      </c>
      <c r="R180" t="str">
        <f ca="1">IFERROR(__xludf.DUMMYFUNCTION("""COMPUTED_VALUE"""),"Good")</f>
        <v>Good</v>
      </c>
      <c r="S180" t="str">
        <f ca="1">IFERROR(__xludf.DUMMYFUNCTION("""COMPUTED_VALUE"""),"Good")</f>
        <v>Good</v>
      </c>
      <c r="T180" t="str">
        <f ca="1">IFERROR(__xludf.DUMMYFUNCTION("""COMPUTED_VALUE"""),"Good")</f>
        <v>Good</v>
      </c>
      <c r="U180" t="str">
        <f ca="1">IFERROR(__xludf.DUMMYFUNCTION("""COMPUTED_VALUE"""),"Good")</f>
        <v>Good</v>
      </c>
      <c r="V180" t="str">
        <f ca="1">IFERROR(__xludf.DUMMYFUNCTION("""COMPUTED_VALUE"""),"Good")</f>
        <v>Good</v>
      </c>
      <c r="W180" t="str">
        <f ca="1">IFERROR(__xludf.DUMMYFUNCTION("""COMPUTED_VALUE"""),"Good")</f>
        <v>Good</v>
      </c>
      <c r="X180" t="str">
        <f ca="1">IFERROR(__xludf.DUMMYFUNCTION("""COMPUTED_VALUE"""),"Good")</f>
        <v>Good</v>
      </c>
      <c r="Y180" t="str">
        <f ca="1">IFERROR(__xludf.DUMMYFUNCTION("""COMPUTED_VALUE"""),"Good")</f>
        <v>Good</v>
      </c>
      <c r="Z180" t="str">
        <f ca="1">IFERROR(__xludf.DUMMYFUNCTION("""COMPUTED_VALUE"""),"Good")</f>
        <v>Good</v>
      </c>
      <c r="AA180" t="str">
        <f ca="1">IFERROR(__xludf.DUMMYFUNCTION("""COMPUTED_VALUE"""),"Good")</f>
        <v>Good</v>
      </c>
      <c r="AB180" t="str">
        <f ca="1">IFERROR(__xludf.DUMMYFUNCTION("""COMPUTED_VALUE"""),"Good")</f>
        <v>Good</v>
      </c>
      <c r="AC180" t="str">
        <f ca="1">IFERROR(__xludf.DUMMYFUNCTION("""COMPUTED_VALUE"""),"Good")</f>
        <v>Good</v>
      </c>
      <c r="AE180" s="11"/>
      <c r="AF180" t="str">
        <v>Nikki.Dix@floridadep.gov</v>
      </c>
      <c r="AG180" s="17" t="s">
        <v>17</v>
      </c>
      <c r="AH180" s="12">
        <v>1230</v>
      </c>
      <c r="AI180" s="12" t="s">
        <v>481</v>
      </c>
      <c r="AJ180" s="19" t="s">
        <v>482</v>
      </c>
      <c r="AK180" s="20" t="str">
        <f>HYPERLINK("https://docs.google.com/document/d/1ZNjLR5XjuWTsIS-2tFfq5tQYsgGh-MACWxn2ZoDEOuU/edit?usp=drivesdk","Silas Tanner - 10/23/2018 8:00 AM")</f>
        <v>Silas Tanner - 10/23/2018 8:00 AM</v>
      </c>
      <c r="AL180" s="12" t="s">
        <v>483</v>
      </c>
    </row>
    <row r="181" spans="1:38" ht="12.75">
      <c r="A181" s="10">
        <f ca="1">IFERROR(__xludf.DUMMYFUNCTION("""COMPUTED_VALUE"""),43402.2682190393)</f>
        <v>43402.268219039302</v>
      </c>
      <c r="B181" s="11" t="str">
        <f ca="1">IFERROR(__xludf.DUMMYFUNCTION("""COMPUTED_VALUE"""),"Pamela Marcum")</f>
        <v>Pamela Marcum</v>
      </c>
      <c r="C181" t="str">
        <f ca="1">IFERROR(__xludf.DUMMYFUNCTION("""COMPUTED_VALUE"""),"Pamela.Marcum@Dep.state.fl.us")</f>
        <v>Pamela.Marcum@Dep.state.fl.us</v>
      </c>
      <c r="D181" t="str">
        <f ca="1">IFERROR(__xludf.DUMMYFUNCTION("""COMPUTED_VALUE"""),"Research/Nikki")</f>
        <v>Research/Nikki</v>
      </c>
      <c r="E181" t="str">
        <f ca="1">IFERROR(__xludf.DUMMYFUNCTION("""COMPUTED_VALUE"""),"Palm Valley")</f>
        <v>Palm Valley</v>
      </c>
      <c r="F181" s="13">
        <f ca="1">IFERROR(__xludf.DUMMYFUNCTION("""COMPUTED_VALUE"""),0.291666666667879)</f>
        <v>0.29166666666787899</v>
      </c>
      <c r="G181" s="14">
        <f ca="1">IFERROR(__xludf.DUMMYFUNCTION("""COMPUTED_VALUE"""),43402)</f>
        <v>43402</v>
      </c>
      <c r="H181" t="str">
        <f ca="1">IFERROR(__xludf.DUMMYFUNCTION("""COMPUTED_VALUE"""),"Angelini Sites")</f>
        <v>Angelini Sites</v>
      </c>
      <c r="I181" s="15">
        <f ca="1">IFERROR(__xludf.DUMMYFUNCTION("""COMPUTED_VALUE"""),0.541666666667879)</f>
        <v>0.54166666666787899</v>
      </c>
      <c r="J181" s="16">
        <f ca="1">IFERROR(__xludf.DUMMYFUNCTION("""COMPUTED_VALUE"""),43402.5625)</f>
        <v>43402.5625</v>
      </c>
      <c r="K181" t="str">
        <f ca="1">IFERROR(__xludf.DUMMYFUNCTION("""COMPUTED_VALUE"""),"20ft Sea Ark FL5351SJ UNF 2015")</f>
        <v>20ft Sea Ark FL5351SJ UNF 2015</v>
      </c>
      <c r="M181" t="str">
        <f ca="1">IFERROR(__xludf.DUMMYFUNCTION("""COMPUTED_VALUE"""),"Ford F150 2015 (White) - DEP21448")</f>
        <v>Ford F150 2015 (White) - DEP21448</v>
      </c>
      <c r="N181" t="str">
        <f ca="1">IFERROR(__xludf.DUMMYFUNCTION("""COMPUTED_VALUE"""),"Pam Marcum, (480) 332-5414")</f>
        <v>Pam Marcum, (480) 332-5414</v>
      </c>
      <c r="O181" t="str">
        <f ca="1">IFERROR(__xludf.DUMMYFUNCTION("""COMPUTED_VALUE"""),"Hunter Matthews, Ray Grizzle, Melissa Southwell, Craig Tinus, Krystin")</f>
        <v>Hunter Matthews, Ray Grizzle, Melissa Southwell, Craig Tinus, Krystin</v>
      </c>
      <c r="P181" t="str">
        <f ca="1">IFERROR(__xludf.DUMMYFUNCTION("""COMPUTED_VALUE"""),"Pam Marcum")</f>
        <v>Pam Marcum</v>
      </c>
      <c r="Q181" t="str">
        <f ca="1">IFERROR(__xludf.DUMMYFUNCTION("""COMPUTED_VALUE"""),"Good")</f>
        <v>Good</v>
      </c>
      <c r="R181" t="str">
        <f ca="1">IFERROR(__xludf.DUMMYFUNCTION("""COMPUTED_VALUE"""),"Good")</f>
        <v>Good</v>
      </c>
      <c r="S181" t="str">
        <f ca="1">IFERROR(__xludf.DUMMYFUNCTION("""COMPUTED_VALUE"""),"Good")</f>
        <v>Good</v>
      </c>
      <c r="T181" t="str">
        <f ca="1">IFERROR(__xludf.DUMMYFUNCTION("""COMPUTED_VALUE"""),"Good")</f>
        <v>Good</v>
      </c>
      <c r="U181" t="str">
        <f ca="1">IFERROR(__xludf.DUMMYFUNCTION("""COMPUTED_VALUE"""),"Good")</f>
        <v>Good</v>
      </c>
      <c r="V181" t="str">
        <f ca="1">IFERROR(__xludf.DUMMYFUNCTION("""COMPUTED_VALUE"""),"Good")</f>
        <v>Good</v>
      </c>
      <c r="W181" t="str">
        <f ca="1">IFERROR(__xludf.DUMMYFUNCTION("""COMPUTED_VALUE"""),"Good")</f>
        <v>Good</v>
      </c>
      <c r="X181" t="str">
        <f ca="1">IFERROR(__xludf.DUMMYFUNCTION("""COMPUTED_VALUE"""),"Good")</f>
        <v>Good</v>
      </c>
      <c r="Y181" t="str">
        <f ca="1">IFERROR(__xludf.DUMMYFUNCTION("""COMPUTED_VALUE"""),"Good")</f>
        <v>Good</v>
      </c>
      <c r="Z181" t="str">
        <f ca="1">IFERROR(__xludf.DUMMYFUNCTION("""COMPUTED_VALUE"""),"Good")</f>
        <v>Good</v>
      </c>
      <c r="AA181" t="str">
        <f ca="1">IFERROR(__xludf.DUMMYFUNCTION("""COMPUTED_VALUE"""),"Good")</f>
        <v>Good</v>
      </c>
      <c r="AB181" t="str">
        <f ca="1">IFERROR(__xludf.DUMMYFUNCTION("""COMPUTED_VALUE"""),"Good")</f>
        <v>Good</v>
      </c>
      <c r="AC181" t="str">
        <f ca="1">IFERROR(__xludf.DUMMYFUNCTION("""COMPUTED_VALUE"""),"Good")</f>
        <v>Good</v>
      </c>
      <c r="AE181" s="11"/>
      <c r="AF181" t="str">
        <v>Nikki.Dix@floridadep.gov</v>
      </c>
      <c r="AG181" s="17" t="s">
        <v>17</v>
      </c>
      <c r="AH181" s="12">
        <v>1205</v>
      </c>
      <c r="AI181" s="12" t="s">
        <v>484</v>
      </c>
      <c r="AJ181" s="19" t="s">
        <v>485</v>
      </c>
      <c r="AK181" s="20" t="str">
        <f>HYPERLINK("https://docs.google.com/document/d/1KDW4JIx-TDLtUs2oIxpu-004J3DLKclKRdUK1ysIZ4w/edit?usp=drivesdk","Pamela Marcum - 10/29/2018 7:00 AM")</f>
        <v>Pamela Marcum - 10/29/2018 7:00 AM</v>
      </c>
      <c r="AL181" s="12" t="s">
        <v>486</v>
      </c>
    </row>
    <row r="182" spans="1:38" ht="12.75">
      <c r="A182" s="10">
        <f ca="1">IFERROR(__xludf.DUMMYFUNCTION("""COMPUTED_VALUE"""),43403.2623704513)</f>
        <v>43403.262370451303</v>
      </c>
      <c r="B182" s="11" t="str">
        <f ca="1">IFERROR(__xludf.DUMMYFUNCTION("""COMPUTED_VALUE"""),"Pamela Marcum")</f>
        <v>Pamela Marcum</v>
      </c>
      <c r="C182" t="str">
        <f ca="1">IFERROR(__xludf.DUMMYFUNCTION("""COMPUTED_VALUE"""),"Pamela.Marcum@dep.state.fl.us")</f>
        <v>Pamela.Marcum@dep.state.fl.us</v>
      </c>
      <c r="D182" t="str">
        <f ca="1">IFERROR(__xludf.DUMMYFUNCTION("""COMPUTED_VALUE"""),"Research/Nikki")</f>
        <v>Research/Nikki</v>
      </c>
      <c r="E182" t="str">
        <f ca="1">IFERROR(__xludf.DUMMYFUNCTION("""COMPUTED_VALUE"""),"Palm Valley/210")</f>
        <v>Palm Valley/210</v>
      </c>
      <c r="F182" s="13">
        <f ca="1">IFERROR(__xludf.DUMMYFUNCTION("""COMPUTED_VALUE"""),0.291666666667879)</f>
        <v>0.29166666666787899</v>
      </c>
      <c r="G182" s="14">
        <f ca="1">IFERROR(__xludf.DUMMYFUNCTION("""COMPUTED_VALUE"""),43403)</f>
        <v>43403</v>
      </c>
      <c r="H182" t="str">
        <f ca="1">IFERROR(__xludf.DUMMYFUNCTION("""COMPUTED_VALUE"""),"Angelini Sites")</f>
        <v>Angelini Sites</v>
      </c>
      <c r="I182" s="15">
        <f ca="1">IFERROR(__xludf.DUMMYFUNCTION("""COMPUTED_VALUE"""),0.541666666667879)</f>
        <v>0.54166666666787899</v>
      </c>
      <c r="J182" s="16">
        <f ca="1">IFERROR(__xludf.DUMMYFUNCTION("""COMPUTED_VALUE"""),43403.5625)</f>
        <v>43403.5625</v>
      </c>
      <c r="K182" t="str">
        <f ca="1">IFERROR(__xludf.DUMMYFUNCTION("""COMPUTED_VALUE"""),"20ft Sea Ark FL5351SJ UNF 2015")</f>
        <v>20ft Sea Ark FL5351SJ UNF 2015</v>
      </c>
      <c r="M182" t="str">
        <f ca="1">IFERROR(__xludf.DUMMYFUNCTION("""COMPUTED_VALUE"""),"Ford F150 2015 (White) - DEP21448")</f>
        <v>Ford F150 2015 (White) - DEP21448</v>
      </c>
      <c r="N182" t="str">
        <f ca="1">IFERROR(__xludf.DUMMYFUNCTION("""COMPUTED_VALUE"""),"Pam Marcum, (480) 332-5414")</f>
        <v>Pam Marcum, (480) 332-5414</v>
      </c>
      <c r="O182" t="str">
        <f ca="1">IFERROR(__xludf.DUMMYFUNCTION("""COMPUTED_VALUE"""),"Krystin, Ray Grizzle, Craig Tinus")</f>
        <v>Krystin, Ray Grizzle, Craig Tinus</v>
      </c>
      <c r="P182" t="str">
        <f ca="1">IFERROR(__xludf.DUMMYFUNCTION("""COMPUTED_VALUE"""),"Pam")</f>
        <v>Pam</v>
      </c>
      <c r="Q182" t="str">
        <f ca="1">IFERROR(__xludf.DUMMYFUNCTION("""COMPUTED_VALUE"""),"Good")</f>
        <v>Good</v>
      </c>
      <c r="R182" t="str">
        <f ca="1">IFERROR(__xludf.DUMMYFUNCTION("""COMPUTED_VALUE"""),"Good")</f>
        <v>Good</v>
      </c>
      <c r="S182" t="str">
        <f ca="1">IFERROR(__xludf.DUMMYFUNCTION("""COMPUTED_VALUE"""),"Good")</f>
        <v>Good</v>
      </c>
      <c r="T182" t="str">
        <f ca="1">IFERROR(__xludf.DUMMYFUNCTION("""COMPUTED_VALUE"""),"Good")</f>
        <v>Good</v>
      </c>
      <c r="U182" t="str">
        <f ca="1">IFERROR(__xludf.DUMMYFUNCTION("""COMPUTED_VALUE"""),"Good")</f>
        <v>Good</v>
      </c>
      <c r="V182" t="str">
        <f ca="1">IFERROR(__xludf.DUMMYFUNCTION("""COMPUTED_VALUE"""),"Good")</f>
        <v>Good</v>
      </c>
      <c r="W182" t="str">
        <f ca="1">IFERROR(__xludf.DUMMYFUNCTION("""COMPUTED_VALUE"""),"Good")</f>
        <v>Good</v>
      </c>
      <c r="X182" t="str">
        <f ca="1">IFERROR(__xludf.DUMMYFUNCTION("""COMPUTED_VALUE"""),"Good")</f>
        <v>Good</v>
      </c>
      <c r="Y182" t="str">
        <f ca="1">IFERROR(__xludf.DUMMYFUNCTION("""COMPUTED_VALUE"""),"Good")</f>
        <v>Good</v>
      </c>
      <c r="Z182" t="str">
        <f ca="1">IFERROR(__xludf.DUMMYFUNCTION("""COMPUTED_VALUE"""),"Good")</f>
        <v>Good</v>
      </c>
      <c r="AA182" t="str">
        <f ca="1">IFERROR(__xludf.DUMMYFUNCTION("""COMPUTED_VALUE"""),"Good")</f>
        <v>Good</v>
      </c>
      <c r="AB182" t="str">
        <f ca="1">IFERROR(__xludf.DUMMYFUNCTION("""COMPUTED_VALUE"""),"Good")</f>
        <v>Good</v>
      </c>
      <c r="AC182" t="str">
        <f ca="1">IFERROR(__xludf.DUMMYFUNCTION("""COMPUTED_VALUE"""),"Good")</f>
        <v>Good</v>
      </c>
      <c r="AE182" s="11"/>
      <c r="AF182" t="str">
        <v>Nikki.Dix@floridadep.gov</v>
      </c>
      <c r="AG182" s="17" t="s">
        <v>17</v>
      </c>
      <c r="AH182" s="12">
        <v>1115</v>
      </c>
      <c r="AI182" s="12" t="s">
        <v>487</v>
      </c>
      <c r="AJ182" s="19" t="s">
        <v>488</v>
      </c>
      <c r="AK182" s="20" t="str">
        <f>HYPERLINK("https://docs.google.com/document/d/1Qu9mmZmTv01KNWghm6u4OGUV88UmBjkTWh1ifHFSkZg/edit?usp=drivesdk","Pamela Marcum - 10/30/2018 7:00 AM")</f>
        <v>Pamela Marcum - 10/30/2018 7:00 AM</v>
      </c>
      <c r="AL182" s="12" t="s">
        <v>489</v>
      </c>
    </row>
    <row r="183" spans="1:38" ht="12.75">
      <c r="A183" s="10">
        <f ca="1">IFERROR(__xludf.DUMMYFUNCTION("""COMPUTED_VALUE"""),43404.2830738425)</f>
        <v>43404.283073842496</v>
      </c>
      <c r="B183" s="11" t="str">
        <f ca="1">IFERROR(__xludf.DUMMYFUNCTION("""COMPUTED_VALUE"""),"Pamela Marcum")</f>
        <v>Pamela Marcum</v>
      </c>
      <c r="C183" t="str">
        <f ca="1">IFERROR(__xludf.DUMMYFUNCTION("""COMPUTED_VALUE"""),"Pamela.Marcum@dep.state.fl.us")</f>
        <v>Pamela.Marcum@dep.state.fl.us</v>
      </c>
      <c r="D183" t="str">
        <f ca="1">IFERROR(__xludf.DUMMYFUNCTION("""COMPUTED_VALUE"""),"Research/Nikki")</f>
        <v>Research/Nikki</v>
      </c>
      <c r="E183" t="str">
        <f ca="1">IFERROR(__xludf.DUMMYFUNCTION("""COMPUTED_VALUE"""),"Palm Valley/210")</f>
        <v>Palm Valley/210</v>
      </c>
      <c r="F183" s="13">
        <f ca="1">IFERROR(__xludf.DUMMYFUNCTION("""COMPUTED_VALUE"""),0.3125)</f>
        <v>0.3125</v>
      </c>
      <c r="G183" s="14">
        <f ca="1">IFERROR(__xludf.DUMMYFUNCTION("""COMPUTED_VALUE"""),43404)</f>
        <v>43404</v>
      </c>
      <c r="H183" t="str">
        <f ca="1">IFERROR(__xludf.DUMMYFUNCTION("""COMPUTED_VALUE"""),"Pine Island")</f>
        <v>Pine Island</v>
      </c>
      <c r="I183" s="15">
        <f ca="1">IFERROR(__xludf.DUMMYFUNCTION("""COMPUTED_VALUE"""),0.58333333333212)</f>
        <v>0.58333333333212001</v>
      </c>
      <c r="J183" s="16">
        <f ca="1">IFERROR(__xludf.DUMMYFUNCTION("""COMPUTED_VALUE"""),43404.6041666666)</f>
        <v>43404.604166666599</v>
      </c>
      <c r="K183" t="str">
        <f ca="1">IFERROR(__xludf.DUMMYFUNCTION("""COMPUTED_VALUE"""),"20ft Sea Ark FL5351SJ UNF 2015")</f>
        <v>20ft Sea Ark FL5351SJ UNF 2015</v>
      </c>
      <c r="M183" t="str">
        <f ca="1">IFERROR(__xludf.DUMMYFUNCTION("""COMPUTED_VALUE"""),"Ford F150 2015 (White) - DEP21448")</f>
        <v>Ford F150 2015 (White) - DEP21448</v>
      </c>
      <c r="N183" t="str">
        <f ca="1">IFERROR(__xludf.DUMMYFUNCTION("""COMPUTED_VALUE"""),"Pam Marcum, (480) 332-5414")</f>
        <v>Pam Marcum, (480) 332-5414</v>
      </c>
      <c r="O183" t="str">
        <f ca="1">IFERROR(__xludf.DUMMYFUNCTION("""COMPUTED_VALUE"""),"Emma Hanson")</f>
        <v>Emma Hanson</v>
      </c>
      <c r="P183" t="str">
        <f ca="1">IFERROR(__xludf.DUMMYFUNCTION("""COMPUTED_VALUE"""),"Pam")</f>
        <v>Pam</v>
      </c>
      <c r="Q183" t="str">
        <f ca="1">IFERROR(__xludf.DUMMYFUNCTION("""COMPUTED_VALUE"""),"Good")</f>
        <v>Good</v>
      </c>
      <c r="R183" t="str">
        <f ca="1">IFERROR(__xludf.DUMMYFUNCTION("""COMPUTED_VALUE"""),"Good")</f>
        <v>Good</v>
      </c>
      <c r="S183" t="str">
        <f ca="1">IFERROR(__xludf.DUMMYFUNCTION("""COMPUTED_VALUE"""),"Good")</f>
        <v>Good</v>
      </c>
      <c r="T183" t="str">
        <f ca="1">IFERROR(__xludf.DUMMYFUNCTION("""COMPUTED_VALUE"""),"Good")</f>
        <v>Good</v>
      </c>
      <c r="U183" t="str">
        <f ca="1">IFERROR(__xludf.DUMMYFUNCTION("""COMPUTED_VALUE"""),"Good")</f>
        <v>Good</v>
      </c>
      <c r="V183" t="str">
        <f ca="1">IFERROR(__xludf.DUMMYFUNCTION("""COMPUTED_VALUE"""),"Good")</f>
        <v>Good</v>
      </c>
      <c r="W183" t="str">
        <f ca="1">IFERROR(__xludf.DUMMYFUNCTION("""COMPUTED_VALUE"""),"Good")</f>
        <v>Good</v>
      </c>
      <c r="X183" t="str">
        <f ca="1">IFERROR(__xludf.DUMMYFUNCTION("""COMPUTED_VALUE"""),"Good")</f>
        <v>Good</v>
      </c>
      <c r="Y183" t="str">
        <f ca="1">IFERROR(__xludf.DUMMYFUNCTION("""COMPUTED_VALUE"""),"Good")</f>
        <v>Good</v>
      </c>
      <c r="Z183" t="str">
        <f ca="1">IFERROR(__xludf.DUMMYFUNCTION("""COMPUTED_VALUE"""),"Good")</f>
        <v>Good</v>
      </c>
      <c r="AA183" t="str">
        <f ca="1">IFERROR(__xludf.DUMMYFUNCTION("""COMPUTED_VALUE"""),"Good")</f>
        <v>Good</v>
      </c>
      <c r="AB183" t="str">
        <f ca="1">IFERROR(__xludf.DUMMYFUNCTION("""COMPUTED_VALUE"""),"Good")</f>
        <v>Good</v>
      </c>
      <c r="AC183" t="str">
        <f ca="1">IFERROR(__xludf.DUMMYFUNCTION("""COMPUTED_VALUE"""),"Good")</f>
        <v>Good</v>
      </c>
      <c r="AE183" s="11"/>
      <c r="AF183" t="str">
        <v>Nikki.Dix@floridadep.gov</v>
      </c>
      <c r="AG183" s="17" t="s">
        <v>58</v>
      </c>
      <c r="AH183" s="23">
        <v>0.47916666666666669</v>
      </c>
      <c r="AI183" s="12" t="s">
        <v>490</v>
      </c>
      <c r="AJ183" s="19" t="s">
        <v>491</v>
      </c>
      <c r="AK183" s="20" t="str">
        <f>HYPERLINK("https://docs.google.com/document/d/1Piq9pUUSz179ys6kT1N1gc9p86TbMAxgV-Uv5HnwE5E/edit?usp=drivesdk","Pamela Marcum - 10/31/2018 7:30 AM")</f>
        <v>Pamela Marcum - 10/31/2018 7:30 AM</v>
      </c>
      <c r="AL183" s="12" t="s">
        <v>492</v>
      </c>
    </row>
    <row r="184" spans="1:38" ht="12.75">
      <c r="A184" s="10">
        <f ca="1">IFERROR(__xludf.DUMMYFUNCTION("""COMPUTED_VALUE"""),43404.2847958449)</f>
        <v>43404.284795844898</v>
      </c>
      <c r="B184" s="11" t="str">
        <f ca="1">IFERROR(__xludf.DUMMYFUNCTION("""COMPUTED_VALUE"""),"Ben Mowbray")</f>
        <v>Ben Mowbray</v>
      </c>
      <c r="C184" t="str">
        <f ca="1">IFERROR(__xludf.DUMMYFUNCTION("""COMPUTED_VALUE"""),"Ben.Mowbray@dep.state.fl.us")</f>
        <v>Ben.Mowbray@dep.state.fl.us</v>
      </c>
      <c r="D184" t="str">
        <f ca="1">IFERROR(__xludf.DUMMYFUNCTION("""COMPUTED_VALUE"""),"Research/Nikki")</f>
        <v>Research/Nikki</v>
      </c>
      <c r="E184" t="str">
        <f ca="1">IFERROR(__xludf.DUMMYFUNCTION("""COMPUTED_VALUE"""),"Palm Valley/210")</f>
        <v>Palm Valley/210</v>
      </c>
      <c r="F184" s="13">
        <f ca="1">IFERROR(__xludf.DUMMYFUNCTION("""COMPUTED_VALUE"""),0.3125)</f>
        <v>0.3125</v>
      </c>
      <c r="G184" s="14">
        <f ca="1">IFERROR(__xludf.DUMMYFUNCTION("""COMPUTED_VALUE"""),43404)</f>
        <v>43404</v>
      </c>
      <c r="H184" t="str">
        <f ca="1">IFERROR(__xludf.DUMMYFUNCTION("""COMPUTED_VALUE"""),"Pine Island")</f>
        <v>Pine Island</v>
      </c>
      <c r="I184" s="15">
        <f ca="1">IFERROR(__xludf.DUMMYFUNCTION("""COMPUTED_VALUE"""),0.58333333333212)</f>
        <v>0.58333333333212001</v>
      </c>
      <c r="J184" s="16">
        <f ca="1">IFERROR(__xludf.DUMMYFUNCTION("""COMPUTED_VALUE"""),43404.6041666666)</f>
        <v>43404.604166666599</v>
      </c>
      <c r="K184" t="str">
        <f ca="1">IFERROR(__xludf.DUMMYFUNCTION("""COMPUTED_VALUE"""),"F 20ft Sea Ark (Easy 200) FL8534PY DEP21451")</f>
        <v>F 20ft Sea Ark (Easy 200) FL8534PY DEP21451</v>
      </c>
      <c r="M184" t="str">
        <f ca="1">IFERROR(__xludf.DUMMYFUNCTION("""COMPUTED_VALUE"""),"Ford F150 2008 - DEP18041 (SWMP Thing)")</f>
        <v>Ford F150 2008 - DEP18041 (SWMP Thing)</v>
      </c>
      <c r="N184" t="str">
        <f ca="1">IFERROR(__xludf.DUMMYFUNCTION("""COMPUTED_VALUE"""),"Ben Mowbray, (407) 962-8782")</f>
        <v>Ben Mowbray, (407) 962-8782</v>
      </c>
      <c r="O184" t="str">
        <f ca="1">IFERROR(__xludf.DUMMYFUNCTION("""COMPUTED_VALUE"""),"Craig Tinus, Melissa Southwell, Jessica Veenstra, Ray Grizzle, Krystin Ward")</f>
        <v>Craig Tinus, Melissa Southwell, Jessica Veenstra, Ray Grizzle, Krystin Ward</v>
      </c>
      <c r="P184" t="str">
        <f ca="1">IFERROR(__xludf.DUMMYFUNCTION("""COMPUTED_VALUE"""),"Ben")</f>
        <v>Ben</v>
      </c>
      <c r="Q184" t="str">
        <f ca="1">IFERROR(__xludf.DUMMYFUNCTION("""COMPUTED_VALUE"""),"Good")</f>
        <v>Good</v>
      </c>
      <c r="R184" t="str">
        <f ca="1">IFERROR(__xludf.DUMMYFUNCTION("""COMPUTED_VALUE"""),"Good")</f>
        <v>Good</v>
      </c>
      <c r="S184" t="str">
        <f ca="1">IFERROR(__xludf.DUMMYFUNCTION("""COMPUTED_VALUE"""),"Good")</f>
        <v>Good</v>
      </c>
      <c r="T184" t="str">
        <f ca="1">IFERROR(__xludf.DUMMYFUNCTION("""COMPUTED_VALUE"""),"Good")</f>
        <v>Good</v>
      </c>
      <c r="U184" t="str">
        <f ca="1">IFERROR(__xludf.DUMMYFUNCTION("""COMPUTED_VALUE"""),"Good")</f>
        <v>Good</v>
      </c>
      <c r="V184" t="str">
        <f ca="1">IFERROR(__xludf.DUMMYFUNCTION("""COMPUTED_VALUE"""),"Good")</f>
        <v>Good</v>
      </c>
      <c r="W184" t="str">
        <f ca="1">IFERROR(__xludf.DUMMYFUNCTION("""COMPUTED_VALUE"""),"Good")</f>
        <v>Good</v>
      </c>
      <c r="X184" t="str">
        <f ca="1">IFERROR(__xludf.DUMMYFUNCTION("""COMPUTED_VALUE"""),"Good")</f>
        <v>Good</v>
      </c>
      <c r="Y184" t="str">
        <f ca="1">IFERROR(__xludf.DUMMYFUNCTION("""COMPUTED_VALUE"""),"Good")</f>
        <v>Good</v>
      </c>
      <c r="Z184" t="str">
        <f ca="1">IFERROR(__xludf.DUMMYFUNCTION("""COMPUTED_VALUE"""),"Good")</f>
        <v>Good</v>
      </c>
      <c r="AA184" t="str">
        <f ca="1">IFERROR(__xludf.DUMMYFUNCTION("""COMPUTED_VALUE"""),"Good")</f>
        <v>Good</v>
      </c>
      <c r="AB184" t="str">
        <f ca="1">IFERROR(__xludf.DUMMYFUNCTION("""COMPUTED_VALUE"""),"Good")</f>
        <v>Good</v>
      </c>
      <c r="AC184" t="str">
        <f ca="1">IFERROR(__xludf.DUMMYFUNCTION("""COMPUTED_VALUE"""),"Good")</f>
        <v>Good</v>
      </c>
      <c r="AE184" s="11"/>
      <c r="AF184" t="str">
        <v>Nikki.Dix@floridadep.gov</v>
      </c>
      <c r="AG184" s="17" t="s">
        <v>126</v>
      </c>
      <c r="AH184" s="23">
        <v>0.47916666666666669</v>
      </c>
      <c r="AI184" s="12" t="s">
        <v>493</v>
      </c>
      <c r="AJ184" s="19" t="s">
        <v>494</v>
      </c>
      <c r="AK184" s="20" t="str">
        <f>HYPERLINK("https://docs.google.com/document/d/1yRmCu21DibXxTmzuabRnKsTEkg4ImN6YDeiFUo9b1mQ/edit?usp=drivesdk","Ben Mowbray - 10/31/2018 7:30 AM")</f>
        <v>Ben Mowbray - 10/31/2018 7:30 AM</v>
      </c>
      <c r="AL184" s="12" t="s">
        <v>495</v>
      </c>
    </row>
    <row r="185" spans="1:38" ht="12.75">
      <c r="A185" s="10">
        <f ca="1">IFERROR(__xludf.DUMMYFUNCTION("""COMPUTED_VALUE"""),43404.4863444444)</f>
        <v>43404.486344444398</v>
      </c>
      <c r="B185" s="11" t="str">
        <f ca="1">IFERROR(__xludf.DUMMYFUNCTION("""COMPUTED_VALUE"""),"Silas Tanner")</f>
        <v>Silas Tanner</v>
      </c>
      <c r="C185" t="str">
        <f ca="1">IFERROR(__xludf.DUMMYFUNCTION("""COMPUTED_VALUE"""),"silas.tanner@floridadep.gov")</f>
        <v>silas.tanner@floridadep.gov</v>
      </c>
      <c r="D185" t="str">
        <f ca="1">IFERROR(__xludf.DUMMYFUNCTION("""COMPUTED_VALUE"""),"Research/Nikki")</f>
        <v>Research/Nikki</v>
      </c>
      <c r="E185" t="str">
        <f ca="1">IFERROR(__xludf.DUMMYFUNCTION("""COMPUTED_VALUE"""),"Crane Ramp")</f>
        <v>Crane Ramp</v>
      </c>
      <c r="F185" s="13">
        <f ca="1">IFERROR(__xludf.DUMMYFUNCTION("""COMPUTED_VALUE"""),0.510416666667879)</f>
        <v>0.51041666666787899</v>
      </c>
      <c r="G185" s="14">
        <f ca="1">IFERROR(__xludf.DUMMYFUNCTION("""COMPUTED_VALUE"""),43404)</f>
        <v>43404</v>
      </c>
      <c r="H185" t="str">
        <f ca="1">IFERROR(__xludf.DUMMYFUNCTION("""COMPUTED_VALUE"""),"ICW - Marsh Creek aka ""Gabby's Creek""")</f>
        <v>ICW - Marsh Creek aka "Gabby's Creek"</v>
      </c>
      <c r="I185" s="15">
        <f ca="1">IFERROR(__xludf.DUMMYFUNCTION("""COMPUTED_VALUE"""),0.6875)</f>
        <v>0.6875</v>
      </c>
      <c r="J185" s="16">
        <f ca="1">IFERROR(__xludf.DUMMYFUNCTION("""COMPUTED_VALUE"""),43404.7083333333)</f>
        <v>43404.708333333299</v>
      </c>
      <c r="K185" t="str">
        <f ca="1">IFERROR(__xludf.DUMMYFUNCTION("""COMPUTED_VALUE"""),"17ft Skill FL0642GW DEP07239")</f>
        <v>17ft Skill FL0642GW DEP07239</v>
      </c>
      <c r="M185" t="str">
        <f ca="1">IFERROR(__xludf.DUMMYFUNCTION("""COMPUTED_VALUE"""),"Ford F250 2017 (Moby Dix) - DEP0021578")</f>
        <v>Ford F250 2017 (Moby Dix) - DEP0021578</v>
      </c>
      <c r="N185" t="str">
        <f ca="1">IFERROR(__xludf.DUMMYFUNCTION("""COMPUTED_VALUE"""),"Silas Tanner, (904) 483-8423")</f>
        <v>Silas Tanner, (904) 483-8423</v>
      </c>
      <c r="O185" t="str">
        <f ca="1">IFERROR(__xludf.DUMMYFUNCTION("""COMPUTED_VALUE"""),"Gabriela Canas, (904) 891-9743, Alee")</f>
        <v>Gabriela Canas, (904) 891-9743, Alee</v>
      </c>
      <c r="P185" t="str">
        <f ca="1">IFERROR(__xludf.DUMMYFUNCTION("""COMPUTED_VALUE"""),"Tanner")</f>
        <v>Tanner</v>
      </c>
      <c r="Q185" t="str">
        <f ca="1">IFERROR(__xludf.DUMMYFUNCTION("""COMPUTED_VALUE"""),"Good")</f>
        <v>Good</v>
      </c>
      <c r="R185" t="str">
        <f ca="1">IFERROR(__xludf.DUMMYFUNCTION("""COMPUTED_VALUE"""),"Good")</f>
        <v>Good</v>
      </c>
      <c r="S185" t="str">
        <f ca="1">IFERROR(__xludf.DUMMYFUNCTION("""COMPUTED_VALUE"""),"Good")</f>
        <v>Good</v>
      </c>
      <c r="T185" t="str">
        <f ca="1">IFERROR(__xludf.DUMMYFUNCTION("""COMPUTED_VALUE"""),"Good")</f>
        <v>Good</v>
      </c>
      <c r="U185" t="str">
        <f ca="1">IFERROR(__xludf.DUMMYFUNCTION("""COMPUTED_VALUE"""),"Good")</f>
        <v>Good</v>
      </c>
      <c r="V185" t="str">
        <f ca="1">IFERROR(__xludf.DUMMYFUNCTION("""COMPUTED_VALUE"""),"Good")</f>
        <v>Good</v>
      </c>
      <c r="W185" t="str">
        <f ca="1">IFERROR(__xludf.DUMMYFUNCTION("""COMPUTED_VALUE"""),"Good")</f>
        <v>Good</v>
      </c>
      <c r="X185" t="str">
        <f ca="1">IFERROR(__xludf.DUMMYFUNCTION("""COMPUTED_VALUE"""),"Good")</f>
        <v>Good</v>
      </c>
      <c r="Y185" t="str">
        <f ca="1">IFERROR(__xludf.DUMMYFUNCTION("""COMPUTED_VALUE"""),"Good")</f>
        <v>Good</v>
      </c>
      <c r="Z185" t="str">
        <f ca="1">IFERROR(__xludf.DUMMYFUNCTION("""COMPUTED_VALUE"""),"Good")</f>
        <v>Good</v>
      </c>
      <c r="AA185" t="str">
        <f ca="1">IFERROR(__xludf.DUMMYFUNCTION("""COMPUTED_VALUE"""),"Good")</f>
        <v>Good</v>
      </c>
      <c r="AB185" t="str">
        <f ca="1">IFERROR(__xludf.DUMMYFUNCTION("""COMPUTED_VALUE"""),"Good")</f>
        <v>Good</v>
      </c>
      <c r="AC185" t="str">
        <f ca="1">IFERROR(__xludf.DUMMYFUNCTION("""COMPUTED_VALUE"""),"Good")</f>
        <v>Good</v>
      </c>
      <c r="AE185" s="11"/>
      <c r="AF185" t="str">
        <v>Nikki.Dix@floridadep.gov</v>
      </c>
      <c r="AG185" s="17" t="s">
        <v>41</v>
      </c>
      <c r="AH185" s="12">
        <v>1608</v>
      </c>
      <c r="AI185" s="12" t="s">
        <v>496</v>
      </c>
      <c r="AJ185" s="19" t="s">
        <v>497</v>
      </c>
      <c r="AK185" s="20" t="str">
        <f>HYPERLINK("https://docs.google.com/document/d/1RX_gUfr2Cwzo06Md2uxfQ1lOEGgjQtJf8J9lleJZCOQ/edit?usp=drivesdk","Silas Tanner - 10/31/2018 12:15 PM")</f>
        <v>Silas Tanner - 10/31/2018 12:15 PM</v>
      </c>
      <c r="AL185" s="12" t="s">
        <v>498</v>
      </c>
    </row>
    <row r="186" spans="1:38" ht="12.75">
      <c r="A186" s="10">
        <f ca="1">IFERROR(__xludf.DUMMYFUNCTION("""COMPUTED_VALUE"""),43405.2769685879)</f>
        <v>43405.276968587903</v>
      </c>
      <c r="B186" s="11" t="str">
        <f ca="1">IFERROR(__xludf.DUMMYFUNCTION("""COMPUTED_VALUE"""),"Ben Mowbray")</f>
        <v>Ben Mowbray</v>
      </c>
      <c r="C186" t="str">
        <f ca="1">IFERROR(__xludf.DUMMYFUNCTION("""COMPUTED_VALUE"""),"ben.mowbray@dep.state.fl.us")</f>
        <v>ben.mowbray@dep.state.fl.us</v>
      </c>
      <c r="D186" t="str">
        <f ca="1">IFERROR(__xludf.DUMMYFUNCTION("""COMPUTED_VALUE"""),"Research/Nikki")</f>
        <v>Research/Nikki</v>
      </c>
      <c r="E186" t="str">
        <f ca="1">IFERROR(__xludf.DUMMYFUNCTION("""COMPUTED_VALUE"""),"Anastasia, Shore Dr., Green Rd., Washington Oaks")</f>
        <v>Anastasia, Shore Dr., Green Rd., Washington Oaks</v>
      </c>
      <c r="F186" s="13">
        <f ca="1">IFERROR(__xludf.DUMMYFUNCTION("""COMPUTED_VALUE"""),0.319444444445252)</f>
        <v>0.319444444445252</v>
      </c>
      <c r="G186" s="14">
        <f ca="1">IFERROR(__xludf.DUMMYFUNCTION("""COMPUTED_VALUE"""),43405)</f>
        <v>43405</v>
      </c>
      <c r="H186" t="str">
        <f ca="1">IFERROR(__xludf.DUMMYFUNCTION("""COMPUTED_VALUE"""),"Spat Run")</f>
        <v>Spat Run</v>
      </c>
      <c r="I186" s="15">
        <f ca="1">IFERROR(__xludf.DUMMYFUNCTION("""COMPUTED_VALUE"""),0.604166666667879)</f>
        <v>0.60416666666787899</v>
      </c>
      <c r="J186" s="16">
        <f ca="1">IFERROR(__xludf.DUMMYFUNCTION("""COMPUTED_VALUE"""),43405.6597222222)</f>
        <v>43405.659722222197</v>
      </c>
      <c r="K186" t="str">
        <f ca="1">IFERROR(__xludf.DUMMYFUNCTION("""COMPUTED_VALUE"""),"17ft Skill FL0642GW DEP07239")</f>
        <v>17ft Skill FL0642GW DEP07239</v>
      </c>
      <c r="M186" t="str">
        <f ca="1">IFERROR(__xludf.DUMMYFUNCTION("""COMPUTED_VALUE"""),"Ford F250 2017 (Moby Dix) - DEP0021578")</f>
        <v>Ford F250 2017 (Moby Dix) - DEP0021578</v>
      </c>
      <c r="N186" t="str">
        <f ca="1">IFERROR(__xludf.DUMMYFUNCTION("""COMPUTED_VALUE"""),"Ben Mowbray, (407) 962-8782")</f>
        <v>Ben Mowbray, (407) 962-8782</v>
      </c>
      <c r="O186" t="str">
        <f ca="1">IFERROR(__xludf.DUMMYFUNCTION("""COMPUTED_VALUE"""),"Marissa Raymond, Alicia Bishop")</f>
        <v>Marissa Raymond, Alicia Bishop</v>
      </c>
      <c r="P186" t="str">
        <f ca="1">IFERROR(__xludf.DUMMYFUNCTION("""COMPUTED_VALUE"""),"Ben")</f>
        <v>Ben</v>
      </c>
      <c r="Q186" t="str">
        <f ca="1">IFERROR(__xludf.DUMMYFUNCTION("""COMPUTED_VALUE"""),"Good")</f>
        <v>Good</v>
      </c>
      <c r="R186" t="str">
        <f ca="1">IFERROR(__xludf.DUMMYFUNCTION("""COMPUTED_VALUE"""),"Good")</f>
        <v>Good</v>
      </c>
      <c r="S186" t="str">
        <f ca="1">IFERROR(__xludf.DUMMYFUNCTION("""COMPUTED_VALUE"""),"Good")</f>
        <v>Good</v>
      </c>
      <c r="T186" t="str">
        <f ca="1">IFERROR(__xludf.DUMMYFUNCTION("""COMPUTED_VALUE"""),"Good")</f>
        <v>Good</v>
      </c>
      <c r="U186" t="str">
        <f ca="1">IFERROR(__xludf.DUMMYFUNCTION("""COMPUTED_VALUE"""),"Good")</f>
        <v>Good</v>
      </c>
      <c r="V186" t="str">
        <f ca="1">IFERROR(__xludf.DUMMYFUNCTION("""COMPUTED_VALUE"""),"Good")</f>
        <v>Good</v>
      </c>
      <c r="W186" t="str">
        <f ca="1">IFERROR(__xludf.DUMMYFUNCTION("""COMPUTED_VALUE"""),"Good")</f>
        <v>Good</v>
      </c>
      <c r="X186" t="str">
        <f ca="1">IFERROR(__xludf.DUMMYFUNCTION("""COMPUTED_VALUE"""),"Good")</f>
        <v>Good</v>
      </c>
      <c r="Y186" t="str">
        <f ca="1">IFERROR(__xludf.DUMMYFUNCTION("""COMPUTED_VALUE"""),"Good")</f>
        <v>Good</v>
      </c>
      <c r="Z186" t="str">
        <f ca="1">IFERROR(__xludf.DUMMYFUNCTION("""COMPUTED_VALUE"""),"Good")</f>
        <v>Good</v>
      </c>
      <c r="AA186" t="str">
        <f ca="1">IFERROR(__xludf.DUMMYFUNCTION("""COMPUTED_VALUE"""),"Good")</f>
        <v>Good</v>
      </c>
      <c r="AB186" t="str">
        <f ca="1">IFERROR(__xludf.DUMMYFUNCTION("""COMPUTED_VALUE"""),"Good")</f>
        <v>Good</v>
      </c>
      <c r="AC186" t="str">
        <f ca="1">IFERROR(__xludf.DUMMYFUNCTION("""COMPUTED_VALUE"""),"Good")</f>
        <v>Good</v>
      </c>
      <c r="AE186" s="11"/>
      <c r="AF186" t="str">
        <v>Nikki.Dix@floridadep.gov</v>
      </c>
      <c r="AG186" s="17" t="s">
        <v>499</v>
      </c>
      <c r="AH186" s="23">
        <v>0.61458333333333337</v>
      </c>
      <c r="AI186" s="12" t="s">
        <v>500</v>
      </c>
      <c r="AJ186" s="19" t="s">
        <v>501</v>
      </c>
      <c r="AK186" s="20" t="str">
        <f>HYPERLINK("https://docs.google.com/document/d/1s3JiwQ-KWulWysULpBhqbwpxDkxCnkakIu_ciCP-aHE/edit?usp=drivesdk","Ben Mowbray - 11/1/2018 7:40 AM")</f>
        <v>Ben Mowbray - 11/1/2018 7:40 AM</v>
      </c>
      <c r="AL186" s="12" t="s">
        <v>502</v>
      </c>
    </row>
    <row r="187" spans="1:38" ht="12.75">
      <c r="A187" s="10">
        <f ca="1">IFERROR(__xludf.DUMMYFUNCTION("""COMPUTED_VALUE"""),43405.3254264814)</f>
        <v>43405.325426481402</v>
      </c>
      <c r="B187" s="11" t="str">
        <f ca="1">IFERROR(__xludf.DUMMYFUNCTION("""COMPUTED_VALUE"""),"Pamela Marcum")</f>
        <v>Pamela Marcum</v>
      </c>
      <c r="C187" t="str">
        <f ca="1">IFERROR(__xludf.DUMMYFUNCTION("""COMPUTED_VALUE"""),"Pamela.Marcum@Dep.state.fl.us")</f>
        <v>Pamela.Marcum@Dep.state.fl.us</v>
      </c>
      <c r="D187" t="str">
        <f ca="1">IFERROR(__xludf.DUMMYFUNCTION("""COMPUTED_VALUE"""),"Research/Nikki")</f>
        <v>Research/Nikki</v>
      </c>
      <c r="E187" t="str">
        <f ca="1">IFERROR(__xludf.DUMMYFUNCTION("""COMPUTED_VALUE"""),"Aunt Kate's")</f>
        <v>Aunt Kate's</v>
      </c>
      <c r="F187" s="13">
        <f ca="1">IFERROR(__xludf.DUMMYFUNCTION("""COMPUTED_VALUE"""),0.33333333333212)</f>
        <v>0.33333333333212001</v>
      </c>
      <c r="G187" s="14">
        <f ca="1">IFERROR(__xludf.DUMMYFUNCTION("""COMPUTED_VALUE"""),43405)</f>
        <v>43405</v>
      </c>
      <c r="H187" t="str">
        <f ca="1">IFERROR(__xludf.DUMMYFUNCTION("""COMPUTED_VALUE"""),"Tolomato and Guana Kimbro Sites")</f>
        <v>Tolomato and Guana Kimbro Sites</v>
      </c>
      <c r="I187" s="15">
        <f ca="1">IFERROR(__xludf.DUMMYFUNCTION("""COMPUTED_VALUE"""),0.541666666667879)</f>
        <v>0.54166666666787899</v>
      </c>
      <c r="J187" s="16">
        <f ca="1">IFERROR(__xludf.DUMMYFUNCTION("""COMPUTED_VALUE"""),43405.5625)</f>
        <v>43405.5625</v>
      </c>
      <c r="K187" t="str">
        <f ca="1">IFERROR(__xludf.DUMMYFUNCTION("""COMPUTED_VALUE"""),"F 20ft Sea Ark (Easy 200) FL8534PY DEP21451")</f>
        <v>F 20ft Sea Ark (Easy 200) FL8534PY DEP21451</v>
      </c>
      <c r="M187" t="str">
        <f ca="1">IFERROR(__xludf.DUMMYFUNCTION("""COMPUTED_VALUE"""),"Ford F150 2008 - DEP18041 (SWMP Thing)")</f>
        <v>Ford F150 2008 - DEP18041 (SWMP Thing)</v>
      </c>
      <c r="N187" t="str">
        <f ca="1">IFERROR(__xludf.DUMMYFUNCTION("""COMPUTED_VALUE"""),"Pam Marcum, (480) 332-5414")</f>
        <v>Pam Marcum, (480) 332-5414</v>
      </c>
      <c r="O187" t="str">
        <f ca="1">IFERROR(__xludf.DUMMYFUNCTION("""COMPUTED_VALUE"""),"Nicole Peckham, Andre Breef-Pilz, Rodrigo Pavani")</f>
        <v>Nicole Peckham, Andre Breef-Pilz, Rodrigo Pavani</v>
      </c>
      <c r="P187" t="str">
        <f ca="1">IFERROR(__xludf.DUMMYFUNCTION("""COMPUTED_VALUE"""),"Pam")</f>
        <v>Pam</v>
      </c>
      <c r="Q187" t="str">
        <f ca="1">IFERROR(__xludf.DUMMYFUNCTION("""COMPUTED_VALUE"""),"Good")</f>
        <v>Good</v>
      </c>
      <c r="R187" t="str">
        <f ca="1">IFERROR(__xludf.DUMMYFUNCTION("""COMPUTED_VALUE"""),"Good")</f>
        <v>Good</v>
      </c>
      <c r="S187" t="str">
        <f ca="1">IFERROR(__xludf.DUMMYFUNCTION("""COMPUTED_VALUE"""),"Good")</f>
        <v>Good</v>
      </c>
      <c r="T187" t="str">
        <f ca="1">IFERROR(__xludf.DUMMYFUNCTION("""COMPUTED_VALUE"""),"Good")</f>
        <v>Good</v>
      </c>
      <c r="U187" t="str">
        <f ca="1">IFERROR(__xludf.DUMMYFUNCTION("""COMPUTED_VALUE"""),"Good")</f>
        <v>Good</v>
      </c>
      <c r="V187" t="str">
        <f ca="1">IFERROR(__xludf.DUMMYFUNCTION("""COMPUTED_VALUE"""),"Good")</f>
        <v>Good</v>
      </c>
      <c r="W187" t="str">
        <f ca="1">IFERROR(__xludf.DUMMYFUNCTION("""COMPUTED_VALUE"""),"Good")</f>
        <v>Good</v>
      </c>
      <c r="X187" t="str">
        <f ca="1">IFERROR(__xludf.DUMMYFUNCTION("""COMPUTED_VALUE"""),"Good")</f>
        <v>Good</v>
      </c>
      <c r="Y187" t="str">
        <f ca="1">IFERROR(__xludf.DUMMYFUNCTION("""COMPUTED_VALUE"""),"Good")</f>
        <v>Good</v>
      </c>
      <c r="Z187" t="str">
        <f ca="1">IFERROR(__xludf.DUMMYFUNCTION("""COMPUTED_VALUE"""),"Good")</f>
        <v>Good</v>
      </c>
      <c r="AA187" t="str">
        <f ca="1">IFERROR(__xludf.DUMMYFUNCTION("""COMPUTED_VALUE"""),"Good")</f>
        <v>Good</v>
      </c>
      <c r="AB187" t="str">
        <f ca="1">IFERROR(__xludf.DUMMYFUNCTION("""COMPUTED_VALUE"""),"Good")</f>
        <v>Good</v>
      </c>
      <c r="AC187" t="str">
        <f ca="1">IFERROR(__xludf.DUMMYFUNCTION("""COMPUTED_VALUE"""),"Good")</f>
        <v>Good</v>
      </c>
      <c r="AE187" s="11"/>
      <c r="AF187" t="str">
        <v>Nikki.Dix@floridadep.gov</v>
      </c>
      <c r="AG187" s="12" t="s">
        <v>503</v>
      </c>
      <c r="AH187" s="23">
        <v>0.61805555555555558</v>
      </c>
      <c r="AI187" s="12" t="s">
        <v>504</v>
      </c>
      <c r="AJ187" s="19" t="s">
        <v>505</v>
      </c>
      <c r="AK187" s="20" t="str">
        <f>HYPERLINK("https://docs.google.com/document/d/1wHN4Cbsn47rCWCLLPwvhvv0RSpz-ejSy8O1YNICpliM/edit?usp=drivesdk","Pamela Marcum - 11/1/2018 8:00 AM")</f>
        <v>Pamela Marcum - 11/1/2018 8:00 AM</v>
      </c>
      <c r="AL187" s="12" t="s">
        <v>506</v>
      </c>
    </row>
    <row r="188" spans="1:38" ht="12.75">
      <c r="A188" s="10">
        <f ca="1">IFERROR(__xludf.DUMMYFUNCTION("""COMPUTED_VALUE"""),43405.3465735185)</f>
        <v>43405.346573518502</v>
      </c>
      <c r="B188" s="11" t="str">
        <f ca="1">IFERROR(__xludf.DUMMYFUNCTION("""COMPUTED_VALUE"""),"Silas Tanner")</f>
        <v>Silas Tanner</v>
      </c>
      <c r="C188" t="str">
        <f ca="1">IFERROR(__xludf.DUMMYFUNCTION("""COMPUTED_VALUE"""),"Silas.Tanner@dep.state.fl.us")</f>
        <v>Silas.Tanner@dep.state.fl.us</v>
      </c>
      <c r="D188" t="str">
        <f ca="1">IFERROR(__xludf.DUMMYFUNCTION("""COMPUTED_VALUE"""),"Research/Nikki")</f>
        <v>Research/Nikki</v>
      </c>
      <c r="E188" t="str">
        <f ca="1">IFERROR(__xludf.DUMMYFUNCTION("""COMPUTED_VALUE"""),"Aunt Kate's")</f>
        <v>Aunt Kate's</v>
      </c>
      <c r="F188" s="13">
        <f ca="1">IFERROR(__xludf.DUMMYFUNCTION("""COMPUTED_VALUE"""),0.354166666667879)</f>
        <v>0.35416666666787899</v>
      </c>
      <c r="G188" s="14">
        <f ca="1">IFERROR(__xludf.DUMMYFUNCTION("""COMPUTED_VALUE"""),43405)</f>
        <v>43405</v>
      </c>
      <c r="H188" t="str">
        <f ca="1">IFERROR(__xludf.DUMMYFUNCTION("""COMPUTED_VALUE"""),"ICW Living Shorelines site 5")</f>
        <v>ICW Living Shorelines site 5</v>
      </c>
      <c r="I188" s="15">
        <f ca="1">IFERROR(__xludf.DUMMYFUNCTION("""COMPUTED_VALUE"""),0.604166666667879)</f>
        <v>0.60416666666787899</v>
      </c>
      <c r="J188" s="16">
        <f ca="1">IFERROR(__xludf.DUMMYFUNCTION("""COMPUTED_VALUE"""),43405.625)</f>
        <v>43405.625</v>
      </c>
      <c r="K188" t="str">
        <f ca="1">IFERROR(__xludf.DUMMYFUNCTION("""COMPUTED_VALUE"""),"20ft Sea Ark FL5351SJ UNF 2015")</f>
        <v>20ft Sea Ark FL5351SJ UNF 2015</v>
      </c>
      <c r="M188" t="str">
        <f ca="1">IFERROR(__xludf.DUMMYFUNCTION("""COMPUTED_VALUE"""),"Ford F150 2015 (White) - DEP21448")</f>
        <v>Ford F150 2015 (White) - DEP21448</v>
      </c>
      <c r="N188" t="str">
        <f ca="1">IFERROR(__xludf.DUMMYFUNCTION("""COMPUTED_VALUE"""),"Silas Tanner, (904) 483-8423")</f>
        <v>Silas Tanner, (904) 483-8423</v>
      </c>
      <c r="O188" t="str">
        <f ca="1">IFERROR(__xludf.DUMMYFUNCTION("""COMPUTED_VALUE"""),"Ray Grizzle, Kristen Ward, Emma Hanson, Kelly Smith")</f>
        <v>Ray Grizzle, Kristen Ward, Emma Hanson, Kelly Smith</v>
      </c>
      <c r="P188" t="str">
        <f ca="1">IFERROR(__xludf.DUMMYFUNCTION("""COMPUTED_VALUE"""),"Silas Tanner")</f>
        <v>Silas Tanner</v>
      </c>
      <c r="Q188" t="str">
        <f ca="1">IFERROR(__xludf.DUMMYFUNCTION("""COMPUTED_VALUE"""),"Good")</f>
        <v>Good</v>
      </c>
      <c r="R188" t="str">
        <f ca="1">IFERROR(__xludf.DUMMYFUNCTION("""COMPUTED_VALUE"""),"Good")</f>
        <v>Good</v>
      </c>
      <c r="S188" t="str">
        <f ca="1">IFERROR(__xludf.DUMMYFUNCTION("""COMPUTED_VALUE"""),"Good")</f>
        <v>Good</v>
      </c>
      <c r="T188" t="str">
        <f ca="1">IFERROR(__xludf.DUMMYFUNCTION("""COMPUTED_VALUE"""),"Good")</f>
        <v>Good</v>
      </c>
      <c r="U188" t="str">
        <f ca="1">IFERROR(__xludf.DUMMYFUNCTION("""COMPUTED_VALUE"""),"Good")</f>
        <v>Good</v>
      </c>
      <c r="V188" t="str">
        <f ca="1">IFERROR(__xludf.DUMMYFUNCTION("""COMPUTED_VALUE"""),"Good")</f>
        <v>Good</v>
      </c>
      <c r="W188" t="str">
        <f ca="1">IFERROR(__xludf.DUMMYFUNCTION("""COMPUTED_VALUE"""),"Good")</f>
        <v>Good</v>
      </c>
      <c r="X188" t="str">
        <f ca="1">IFERROR(__xludf.DUMMYFUNCTION("""COMPUTED_VALUE"""),"Good")</f>
        <v>Good</v>
      </c>
      <c r="Y188" t="str">
        <f ca="1">IFERROR(__xludf.DUMMYFUNCTION("""COMPUTED_VALUE"""),"Good")</f>
        <v>Good</v>
      </c>
      <c r="Z188" t="str">
        <f ca="1">IFERROR(__xludf.DUMMYFUNCTION("""COMPUTED_VALUE"""),"Good")</f>
        <v>Good</v>
      </c>
      <c r="AA188" t="str">
        <f ca="1">IFERROR(__xludf.DUMMYFUNCTION("""COMPUTED_VALUE"""),"Good")</f>
        <v>Good</v>
      </c>
      <c r="AB188" t="str">
        <f ca="1">IFERROR(__xludf.DUMMYFUNCTION("""COMPUTED_VALUE"""),"Good")</f>
        <v>Good</v>
      </c>
      <c r="AC188" t="str">
        <f ca="1">IFERROR(__xludf.DUMMYFUNCTION("""COMPUTED_VALUE"""),"Good")</f>
        <v>Good</v>
      </c>
      <c r="AE188" s="11"/>
      <c r="AF188" t="str">
        <v>Nikki.Dix@floridadep.gov</v>
      </c>
      <c r="AG188" s="12" t="s">
        <v>507</v>
      </c>
      <c r="AH188" s="12">
        <v>1205</v>
      </c>
      <c r="AI188" s="12" t="s">
        <v>508</v>
      </c>
      <c r="AJ188" s="19" t="s">
        <v>509</v>
      </c>
      <c r="AK188" s="20" t="str">
        <f>HYPERLINK("https://docs.google.com/document/d/1Rrrw9hXvd2dswIm7DTQzp7Bj3bZQddXoz6ZiVQaAymE/edit?usp=drivesdk","Silas Tanner - 11/1/2018 8:30 AM")</f>
        <v>Silas Tanner - 11/1/2018 8:30 AM</v>
      </c>
      <c r="AL188" s="12" t="s">
        <v>510</v>
      </c>
    </row>
    <row r="189" spans="1:38" ht="12.75">
      <c r="A189" s="10">
        <f ca="1">IFERROR(__xludf.DUMMYFUNCTION("""COMPUTED_VALUE"""),43406.327230243)</f>
        <v>43406.327230242998</v>
      </c>
      <c r="B189" s="11" t="str">
        <f ca="1">IFERROR(__xludf.DUMMYFUNCTION("""COMPUTED_VALUE"""),"Ben Mowbray")</f>
        <v>Ben Mowbray</v>
      </c>
      <c r="C189" t="str">
        <f ca="1">IFERROR(__xludf.DUMMYFUNCTION("""COMPUTED_VALUE"""),"ben.mowbray@dep.state.fl.us")</f>
        <v>ben.mowbray@dep.state.fl.us</v>
      </c>
      <c r="D189" t="str">
        <f ca="1">IFERROR(__xludf.DUMMYFUNCTION("""COMPUTED_VALUE"""),"Research/Nikki")</f>
        <v>Research/Nikki</v>
      </c>
      <c r="E189" t="str">
        <f ca="1">IFERROR(__xludf.DUMMYFUNCTION("""COMPUTED_VALUE"""),"Douglas Crane")</f>
        <v>Douglas Crane</v>
      </c>
      <c r="F189" s="13">
        <f ca="1">IFERROR(__xludf.DUMMYFUNCTION("""COMPUTED_VALUE"""),0.361111111109494)</f>
        <v>0.36111111110949401</v>
      </c>
      <c r="G189" s="14">
        <f ca="1">IFERROR(__xludf.DUMMYFUNCTION("""COMPUTED_VALUE"""),43406)</f>
        <v>43406</v>
      </c>
      <c r="H189" t="str">
        <f ca="1">IFERROR(__xludf.DUMMYFUNCTION("""COMPUTED_VALUE"""),"Kimbro SA and SR sites")</f>
        <v>Kimbro SA and SR sites</v>
      </c>
      <c r="I189" s="15">
        <f ca="1">IFERROR(__xludf.DUMMYFUNCTION("""COMPUTED_VALUE"""),0.58333333333212)</f>
        <v>0.58333333333212001</v>
      </c>
      <c r="J189" s="16">
        <f ca="1">IFERROR(__xludf.DUMMYFUNCTION("""COMPUTED_VALUE"""),43406.6111111111)</f>
        <v>43406.611111111102</v>
      </c>
      <c r="K189" t="str">
        <f ca="1">IFERROR(__xludf.DUMMYFUNCTION("""COMPUTED_VALUE"""),"17ft Skill FL0642GW DEP07239")</f>
        <v>17ft Skill FL0642GW DEP07239</v>
      </c>
      <c r="M189" t="str">
        <f ca="1">IFERROR(__xludf.DUMMYFUNCTION("""COMPUTED_VALUE"""),"Ford F250 2017 (Moby Dix) - DEP0021578")</f>
        <v>Ford F250 2017 (Moby Dix) - DEP0021578</v>
      </c>
      <c r="N189" t="str">
        <f ca="1">IFERROR(__xludf.DUMMYFUNCTION("""COMPUTED_VALUE"""),"Ben Mowbray, (407) 962-8782")</f>
        <v>Ben Mowbray, (407) 962-8782</v>
      </c>
      <c r="O189" t="str">
        <f ca="1">IFERROR(__xludf.DUMMYFUNCTION("""COMPUTED_VALUE"""),"Craig Tinus, Nicole Peckham, Adrienne Bried-Pilz, Rodrigo Pavani")</f>
        <v>Craig Tinus, Nicole Peckham, Adrienne Bried-Pilz, Rodrigo Pavani</v>
      </c>
      <c r="P189" t="str">
        <f ca="1">IFERROR(__xludf.DUMMYFUNCTION("""COMPUTED_VALUE"""),"Ben")</f>
        <v>Ben</v>
      </c>
      <c r="Q189" t="str">
        <f ca="1">IFERROR(__xludf.DUMMYFUNCTION("""COMPUTED_VALUE"""),"Good")</f>
        <v>Good</v>
      </c>
      <c r="R189" t="str">
        <f ca="1">IFERROR(__xludf.DUMMYFUNCTION("""COMPUTED_VALUE"""),"Good")</f>
        <v>Good</v>
      </c>
      <c r="S189" t="str">
        <f ca="1">IFERROR(__xludf.DUMMYFUNCTION("""COMPUTED_VALUE"""),"Good")</f>
        <v>Good</v>
      </c>
      <c r="T189" t="str">
        <f ca="1">IFERROR(__xludf.DUMMYFUNCTION("""COMPUTED_VALUE"""),"Good")</f>
        <v>Good</v>
      </c>
      <c r="U189" t="str">
        <f ca="1">IFERROR(__xludf.DUMMYFUNCTION("""COMPUTED_VALUE"""),"Good")</f>
        <v>Good</v>
      </c>
      <c r="V189" t="str">
        <f ca="1">IFERROR(__xludf.DUMMYFUNCTION("""COMPUTED_VALUE"""),"Good")</f>
        <v>Good</v>
      </c>
      <c r="W189" t="str">
        <f ca="1">IFERROR(__xludf.DUMMYFUNCTION("""COMPUTED_VALUE"""),"Good")</f>
        <v>Good</v>
      </c>
      <c r="X189" t="str">
        <f ca="1">IFERROR(__xludf.DUMMYFUNCTION("""COMPUTED_VALUE"""),"Good")</f>
        <v>Good</v>
      </c>
      <c r="Y189" t="str">
        <f ca="1">IFERROR(__xludf.DUMMYFUNCTION("""COMPUTED_VALUE"""),"Good")</f>
        <v>Good</v>
      </c>
      <c r="Z189" t="str">
        <f ca="1">IFERROR(__xludf.DUMMYFUNCTION("""COMPUTED_VALUE"""),"Good")</f>
        <v>Good</v>
      </c>
      <c r="AA189" t="str">
        <f ca="1">IFERROR(__xludf.DUMMYFUNCTION("""COMPUTED_VALUE"""),"Good")</f>
        <v>Good</v>
      </c>
      <c r="AB189" t="str">
        <f ca="1">IFERROR(__xludf.DUMMYFUNCTION("""COMPUTED_VALUE"""),"Good")</f>
        <v>Good</v>
      </c>
      <c r="AC189" t="str">
        <f ca="1">IFERROR(__xludf.DUMMYFUNCTION("""COMPUTED_VALUE"""),"Good")</f>
        <v>Good</v>
      </c>
      <c r="AE189" s="11"/>
      <c r="AF189" t="str">
        <v>Nikki.Dix@floridadep.gov</v>
      </c>
      <c r="AG189" s="17" t="s">
        <v>126</v>
      </c>
      <c r="AH189" s="23">
        <v>0.56944444444444442</v>
      </c>
      <c r="AI189" s="12" t="s">
        <v>511</v>
      </c>
      <c r="AJ189" s="19" t="s">
        <v>512</v>
      </c>
      <c r="AK189" s="20" t="str">
        <f>HYPERLINK("https://docs.google.com/document/d/1HISdHTEExN4zHmyd24EnNJE9re7ldowomCTkQ-w64zU/edit?usp=drivesdk","Ben Mowbray - 11/2/2018 8:40 AM")</f>
        <v>Ben Mowbray - 11/2/2018 8:40 AM</v>
      </c>
      <c r="AL189" s="12" t="s">
        <v>513</v>
      </c>
    </row>
    <row r="190" spans="1:38" ht="12.75">
      <c r="A190" s="10">
        <f ca="1">IFERROR(__xludf.DUMMYFUNCTION("""COMPUTED_VALUE"""),43406.3815740393)</f>
        <v>43406.381574039297</v>
      </c>
      <c r="B190" s="11" t="str">
        <f ca="1">IFERROR(__xludf.DUMMYFUNCTION("""COMPUTED_VALUE"""),"Pamela Marcum")</f>
        <v>Pamela Marcum</v>
      </c>
      <c r="C190" t="str">
        <f ca="1">IFERROR(__xludf.DUMMYFUNCTION("""COMPUTED_VALUE"""),"Pamela.Marcum@dep.state.fl.us")</f>
        <v>Pamela.Marcum@dep.state.fl.us</v>
      </c>
      <c r="D190" t="str">
        <f ca="1">IFERROR(__xludf.DUMMYFUNCTION("""COMPUTED_VALUE"""),"Research/Nikki")</f>
        <v>Research/Nikki</v>
      </c>
      <c r="E190" t="str">
        <f ca="1">IFERROR(__xludf.DUMMYFUNCTION("""COMPUTED_VALUE"""),"Aunt Kate's")</f>
        <v>Aunt Kate's</v>
      </c>
      <c r="F190" s="13">
        <f ca="1">IFERROR(__xludf.DUMMYFUNCTION("""COMPUTED_VALUE"""),0.39583333333212)</f>
        <v>0.39583333333212001</v>
      </c>
      <c r="G190" s="14">
        <f ca="1">IFERROR(__xludf.DUMMYFUNCTION("""COMPUTED_VALUE"""),43406)</f>
        <v>43406</v>
      </c>
      <c r="H190" t="str">
        <f ca="1">IFERROR(__xludf.DUMMYFUNCTION("""COMPUTED_VALUE"""),"Pine Island")</f>
        <v>Pine Island</v>
      </c>
      <c r="I190" s="15">
        <f ca="1">IFERROR(__xludf.DUMMYFUNCTION("""COMPUTED_VALUE"""),0.604166666667879)</f>
        <v>0.60416666666787899</v>
      </c>
      <c r="J190" s="16">
        <f ca="1">IFERROR(__xludf.DUMMYFUNCTION("""COMPUTED_VALUE"""),43406.625)</f>
        <v>43406.625</v>
      </c>
      <c r="K190" t="str">
        <f ca="1">IFERROR(__xludf.DUMMYFUNCTION("""COMPUTED_VALUE"""),"20ft Sea Ark FL5351SJ UNF 2015")</f>
        <v>20ft Sea Ark FL5351SJ UNF 2015</v>
      </c>
      <c r="M190" t="str">
        <f ca="1">IFERROR(__xludf.DUMMYFUNCTION("""COMPUTED_VALUE"""),"Ford F150 2015 (White) - DEP21448")</f>
        <v>Ford F150 2015 (White) - DEP21448</v>
      </c>
      <c r="N190" t="str">
        <f ca="1">IFERROR(__xludf.DUMMYFUNCTION("""COMPUTED_VALUE"""),"Pam Marcum, (480) 332-5414, Silas Tanner, (904) 483-8423")</f>
        <v>Pam Marcum, (480) 332-5414, Silas Tanner, (904) 483-8423</v>
      </c>
      <c r="O190" t="str">
        <f ca="1">IFERROR(__xludf.DUMMYFUNCTION("""COMPUTED_VALUE"""),"Jessica Lee, Jessica Veenstra, Justina Dacey, Ray Grizzle, Krystin Ward, ")</f>
        <v xml:space="preserve">Jessica Lee, Jessica Veenstra, Justina Dacey, Ray Grizzle, Krystin Ward, </v>
      </c>
      <c r="P190" t="str">
        <f ca="1">IFERROR(__xludf.DUMMYFUNCTION("""COMPUTED_VALUE"""),"Silas")</f>
        <v>Silas</v>
      </c>
      <c r="Q190" t="str">
        <f ca="1">IFERROR(__xludf.DUMMYFUNCTION("""COMPUTED_VALUE"""),"Good")</f>
        <v>Good</v>
      </c>
      <c r="R190" t="str">
        <f ca="1">IFERROR(__xludf.DUMMYFUNCTION("""COMPUTED_VALUE"""),"Good")</f>
        <v>Good</v>
      </c>
      <c r="S190" t="str">
        <f ca="1">IFERROR(__xludf.DUMMYFUNCTION("""COMPUTED_VALUE"""),"Good")</f>
        <v>Good</v>
      </c>
      <c r="T190" t="str">
        <f ca="1">IFERROR(__xludf.DUMMYFUNCTION("""COMPUTED_VALUE"""),"Good")</f>
        <v>Good</v>
      </c>
      <c r="U190" t="str">
        <f ca="1">IFERROR(__xludf.DUMMYFUNCTION("""COMPUTED_VALUE"""),"Good")</f>
        <v>Good</v>
      </c>
      <c r="V190" t="str">
        <f ca="1">IFERROR(__xludf.DUMMYFUNCTION("""COMPUTED_VALUE"""),"Good")</f>
        <v>Good</v>
      </c>
      <c r="W190" t="str">
        <f ca="1">IFERROR(__xludf.DUMMYFUNCTION("""COMPUTED_VALUE"""),"Good")</f>
        <v>Good</v>
      </c>
      <c r="X190" t="str">
        <f ca="1">IFERROR(__xludf.DUMMYFUNCTION("""COMPUTED_VALUE"""),"Good")</f>
        <v>Good</v>
      </c>
      <c r="Y190" t="str">
        <f ca="1">IFERROR(__xludf.DUMMYFUNCTION("""COMPUTED_VALUE"""),"Good")</f>
        <v>Good</v>
      </c>
      <c r="Z190" t="str">
        <f ca="1">IFERROR(__xludf.DUMMYFUNCTION("""COMPUTED_VALUE"""),"Good")</f>
        <v>Good</v>
      </c>
      <c r="AA190" t="str">
        <f ca="1">IFERROR(__xludf.DUMMYFUNCTION("""COMPUTED_VALUE"""),"Good")</f>
        <v>Good</v>
      </c>
      <c r="AB190" t="str">
        <f ca="1">IFERROR(__xludf.DUMMYFUNCTION("""COMPUTED_VALUE"""),"Good")</f>
        <v>Good</v>
      </c>
      <c r="AC190" t="str">
        <f ca="1">IFERROR(__xludf.DUMMYFUNCTION("""COMPUTED_VALUE"""),"Good")</f>
        <v>Good</v>
      </c>
      <c r="AE190" s="11"/>
      <c r="AF190" t="str">
        <v>Nikki.Dix@floridadep.gov</v>
      </c>
      <c r="AG190" s="17" t="s">
        <v>126</v>
      </c>
      <c r="AH190" s="23">
        <v>0.56597222222222221</v>
      </c>
      <c r="AI190" s="12" t="s">
        <v>514</v>
      </c>
      <c r="AJ190" s="19" t="s">
        <v>515</v>
      </c>
      <c r="AK190" s="20" t="str">
        <f>HYPERLINK("https://docs.google.com/document/d/1Gx8Cm5JStNGnczb9BENMG9AfAMxlxOh8pLjeAEIKSJ8/edit?usp=drivesdk","Pamela Marcum - 11/2/2018 9:30 AM")</f>
        <v>Pamela Marcum - 11/2/2018 9:30 AM</v>
      </c>
      <c r="AL190" s="12" t="s">
        <v>516</v>
      </c>
    </row>
    <row r="191" spans="1:38" ht="12.75">
      <c r="A191" s="10">
        <f ca="1">IFERROR(__xludf.DUMMYFUNCTION("""COMPUTED_VALUE"""),43409.3079725231)</f>
        <v>43409.3079725231</v>
      </c>
      <c r="B191" s="11" t="str">
        <f ca="1">IFERROR(__xludf.DUMMYFUNCTION("""COMPUTED_VALUE"""),"Silas Tanner")</f>
        <v>Silas Tanner</v>
      </c>
      <c r="C191" t="str">
        <f ca="1">IFERROR(__xludf.DUMMYFUNCTION("""COMPUTED_VALUE"""),"silas.tanner@floridadep.gov")</f>
        <v>silas.tanner@floridadep.gov</v>
      </c>
      <c r="D191" t="str">
        <f ca="1">IFERROR(__xludf.DUMMYFUNCTION("""COMPUTED_VALUE"""),"Research/Nikki")</f>
        <v>Research/Nikki</v>
      </c>
      <c r="E191" t="str">
        <f ca="1">IFERROR(__xludf.DUMMYFUNCTION("""COMPUTED_VALUE"""),"Vilano county ramp")</f>
        <v>Vilano county ramp</v>
      </c>
      <c r="F191" s="13">
        <f ca="1">IFERROR(__xludf.DUMMYFUNCTION("""COMPUTED_VALUE"""),0.34375)</f>
        <v>0.34375</v>
      </c>
      <c r="G191" s="14">
        <f ca="1">IFERROR(__xludf.DUMMYFUNCTION("""COMPUTED_VALUE"""),43410)</f>
        <v>43410</v>
      </c>
      <c r="H191" t="str">
        <f ca="1">IFERROR(__xludf.DUMMYFUNCTION("""COMPUTED_VALUE"""),"ICW SWMP sites")</f>
        <v>ICW SWMP sites</v>
      </c>
      <c r="I191" s="15">
        <f ca="1">IFERROR(__xludf.DUMMYFUNCTION("""COMPUTED_VALUE"""),0.541666666667879)</f>
        <v>0.54166666666787899</v>
      </c>
      <c r="J191" s="16">
        <f ca="1">IFERROR(__xludf.DUMMYFUNCTION("""COMPUTED_VALUE"""),43410.5625)</f>
        <v>43410.5625</v>
      </c>
      <c r="K191" t="str">
        <f ca="1">IFERROR(__xludf.DUMMYFUNCTION("""COMPUTED_VALUE"""),"F 20ft Sea Ark (Easy 200) FL8534PY DEP21451")</f>
        <v>F 20ft Sea Ark (Easy 200) FL8534PY DEP21451</v>
      </c>
      <c r="M191" t="str">
        <f ca="1">IFERROR(__xludf.DUMMYFUNCTION("""COMPUTED_VALUE"""),"Ford F250 2017 (Moby Dix) - DEP0021578")</f>
        <v>Ford F250 2017 (Moby Dix) - DEP0021578</v>
      </c>
      <c r="N191" t="str">
        <f ca="1">IFERROR(__xludf.DUMMYFUNCTION("""COMPUTED_VALUE"""),"Silas Tanner, (904) 483-8423, Jimmy Tomazinis, (904) 547-0094")</f>
        <v>Silas Tanner, (904) 483-8423, Jimmy Tomazinis, (904) 547-0094</v>
      </c>
      <c r="O191" t="str">
        <f ca="1">IFERROR(__xludf.DUMMYFUNCTION("""COMPUTED_VALUE"""),"Hunter Mathews, Diane Downing")</f>
        <v>Hunter Mathews, Diane Downing</v>
      </c>
      <c r="P191" t="str">
        <f ca="1">IFERROR(__xludf.DUMMYFUNCTION("""COMPUTED_VALUE"""),"Jimmy Tomazinis")</f>
        <v>Jimmy Tomazinis</v>
      </c>
      <c r="Q191" t="str">
        <f ca="1">IFERROR(__xludf.DUMMYFUNCTION("""COMPUTED_VALUE"""),"Good")</f>
        <v>Good</v>
      </c>
      <c r="R191" t="str">
        <f ca="1">IFERROR(__xludf.DUMMYFUNCTION("""COMPUTED_VALUE"""),"Good")</f>
        <v>Good</v>
      </c>
      <c r="S191" t="str">
        <f ca="1">IFERROR(__xludf.DUMMYFUNCTION("""COMPUTED_VALUE"""),"Good")</f>
        <v>Good</v>
      </c>
      <c r="T191" t="str">
        <f ca="1">IFERROR(__xludf.DUMMYFUNCTION("""COMPUTED_VALUE"""),"Good")</f>
        <v>Good</v>
      </c>
      <c r="U191" t="str">
        <f ca="1">IFERROR(__xludf.DUMMYFUNCTION("""COMPUTED_VALUE"""),"Good")</f>
        <v>Good</v>
      </c>
      <c r="V191" t="str">
        <f ca="1">IFERROR(__xludf.DUMMYFUNCTION("""COMPUTED_VALUE"""),"Good")</f>
        <v>Good</v>
      </c>
      <c r="W191" t="str">
        <f ca="1">IFERROR(__xludf.DUMMYFUNCTION("""COMPUTED_VALUE"""),"Good")</f>
        <v>Good</v>
      </c>
      <c r="X191" t="str">
        <f ca="1">IFERROR(__xludf.DUMMYFUNCTION("""COMPUTED_VALUE"""),"Good")</f>
        <v>Good</v>
      </c>
      <c r="Y191" t="str">
        <f ca="1">IFERROR(__xludf.DUMMYFUNCTION("""COMPUTED_VALUE"""),"Good")</f>
        <v>Good</v>
      </c>
      <c r="Z191" t="str">
        <f ca="1">IFERROR(__xludf.DUMMYFUNCTION("""COMPUTED_VALUE"""),"Good")</f>
        <v>Good</v>
      </c>
      <c r="AA191" t="str">
        <f ca="1">IFERROR(__xludf.DUMMYFUNCTION("""COMPUTED_VALUE"""),"Good")</f>
        <v>Good</v>
      </c>
      <c r="AB191" t="str">
        <f ca="1">IFERROR(__xludf.DUMMYFUNCTION("""COMPUTED_VALUE"""),"Good")</f>
        <v>Good</v>
      </c>
      <c r="AC191" t="str">
        <f ca="1">IFERROR(__xludf.DUMMYFUNCTION("""COMPUTED_VALUE"""),"Good")</f>
        <v>Good</v>
      </c>
      <c r="AE191" s="11"/>
      <c r="AF191" t="str">
        <v>Nikki.Dix@floridadep.gov</v>
      </c>
      <c r="AG191" s="17" t="s">
        <v>17</v>
      </c>
      <c r="AH191" s="12">
        <v>1250</v>
      </c>
      <c r="AI191" s="12" t="s">
        <v>517</v>
      </c>
      <c r="AJ191" s="19" t="s">
        <v>518</v>
      </c>
      <c r="AK191" s="20" t="str">
        <f>HYPERLINK("https://docs.google.com/document/d/17M5r-E0k9v_FKlTFq_QQgPbH7eVdZ0U53IGJR24U6D0/edit?usp=drivesdk","Silas Tanner - 11/6/2018 8:15 AM")</f>
        <v>Silas Tanner - 11/6/2018 8:15 AM</v>
      </c>
      <c r="AL191" s="12" t="s">
        <v>519</v>
      </c>
    </row>
    <row r="192" spans="1:38" ht="12.75">
      <c r="A192" s="10">
        <f ca="1">IFERROR(__xludf.DUMMYFUNCTION("""COMPUTED_VALUE"""),43409.515005081)</f>
        <v>43409.515005080997</v>
      </c>
      <c r="B192" s="11" t="str">
        <f ca="1">IFERROR(__xludf.DUMMYFUNCTION("""COMPUTED_VALUE"""),"Emma Hanson")</f>
        <v>Emma Hanson</v>
      </c>
      <c r="C192" t="str">
        <f ca="1">IFERROR(__xludf.DUMMYFUNCTION("""COMPUTED_VALUE"""),"emma.hanson@dep.state.fl.us")</f>
        <v>emma.hanson@dep.state.fl.us</v>
      </c>
      <c r="D192" t="str">
        <f ca="1">IFERROR(__xludf.DUMMYFUNCTION("""COMPUTED_VALUE"""),"Research/Pam")</f>
        <v>Research/Pam</v>
      </c>
      <c r="E192" t="str">
        <f ca="1">IFERROR(__xludf.DUMMYFUNCTION("""COMPUTED_VALUE"""),"Aunt Kate's")</f>
        <v>Aunt Kate's</v>
      </c>
      <c r="F192" s="13">
        <f ca="1">IFERROR(__xludf.DUMMYFUNCTION("""COMPUTED_VALUE"""),0.52083333333212)</f>
        <v>0.52083333333212001</v>
      </c>
      <c r="G192" s="14">
        <f ca="1">IFERROR(__xludf.DUMMYFUNCTION("""COMPUTED_VALUE"""),43409)</f>
        <v>43409</v>
      </c>
      <c r="H192" t="str">
        <f ca="1">IFERROR(__xludf.DUMMYFUNCTION("""COMPUTED_VALUE"""),"Pine &amp; Hat Island")</f>
        <v>Pine &amp; Hat Island</v>
      </c>
      <c r="I192" s="15">
        <f ca="1">IFERROR(__xludf.DUMMYFUNCTION("""COMPUTED_VALUE"""),0.64583333333212)</f>
        <v>0.64583333333212001</v>
      </c>
      <c r="J192" s="16">
        <f ca="1">IFERROR(__xludf.DUMMYFUNCTION("""COMPUTED_VALUE"""),43409.6458333333)</f>
        <v>43409.645833333299</v>
      </c>
      <c r="K192" t="str">
        <f ca="1">IFERROR(__xludf.DUMMYFUNCTION("""COMPUTED_VALUE"""),"20ft Sea Ark FL5351SJ UNF 2015")</f>
        <v>20ft Sea Ark FL5351SJ UNF 2015</v>
      </c>
      <c r="M192" t="str">
        <f ca="1">IFERROR(__xludf.DUMMYFUNCTION("""COMPUTED_VALUE"""),"Ford F150 2008 - DEP18041 (SWMP Thing)")</f>
        <v>Ford F150 2008 - DEP18041 (SWMP Thing)</v>
      </c>
      <c r="N192" t="str">
        <f ca="1">IFERROR(__xludf.DUMMYFUNCTION("""COMPUTED_VALUE"""),"Ben Mowbray, (407) 962-8782")</f>
        <v>Ben Mowbray, (407) 962-8782</v>
      </c>
      <c r="O192" t="str">
        <f ca="1">IFERROR(__xludf.DUMMYFUNCTION("""COMPUTED_VALUE"""),"Emma Hanson")</f>
        <v>Emma Hanson</v>
      </c>
      <c r="P192" t="str">
        <f ca="1">IFERROR(__xludf.DUMMYFUNCTION("""COMPUTED_VALUE"""),"Ben Mowbray")</f>
        <v>Ben Mowbray</v>
      </c>
      <c r="Q192" t="str">
        <f ca="1">IFERROR(__xludf.DUMMYFUNCTION("""COMPUTED_VALUE"""),"Good")</f>
        <v>Good</v>
      </c>
      <c r="R192" t="str">
        <f ca="1">IFERROR(__xludf.DUMMYFUNCTION("""COMPUTED_VALUE"""),"Good")</f>
        <v>Good</v>
      </c>
      <c r="S192" t="str">
        <f ca="1">IFERROR(__xludf.DUMMYFUNCTION("""COMPUTED_VALUE"""),"Good")</f>
        <v>Good</v>
      </c>
      <c r="T192" t="str">
        <f ca="1">IFERROR(__xludf.DUMMYFUNCTION("""COMPUTED_VALUE"""),"Good")</f>
        <v>Good</v>
      </c>
      <c r="U192" t="str">
        <f ca="1">IFERROR(__xludf.DUMMYFUNCTION("""COMPUTED_VALUE"""),"Good")</f>
        <v>Good</v>
      </c>
      <c r="V192" t="str">
        <f ca="1">IFERROR(__xludf.DUMMYFUNCTION("""COMPUTED_VALUE"""),"Good")</f>
        <v>Good</v>
      </c>
      <c r="W192" t="str">
        <f ca="1">IFERROR(__xludf.DUMMYFUNCTION("""COMPUTED_VALUE"""),"Good")</f>
        <v>Good</v>
      </c>
      <c r="X192" t="str">
        <f ca="1">IFERROR(__xludf.DUMMYFUNCTION("""COMPUTED_VALUE"""),"Good")</f>
        <v>Good</v>
      </c>
      <c r="Y192" t="str">
        <f ca="1">IFERROR(__xludf.DUMMYFUNCTION("""COMPUTED_VALUE"""),"Good")</f>
        <v>Good</v>
      </c>
      <c r="Z192" t="str">
        <f ca="1">IFERROR(__xludf.DUMMYFUNCTION("""COMPUTED_VALUE"""),"Good")</f>
        <v>Good</v>
      </c>
      <c r="AA192" t="str">
        <f ca="1">IFERROR(__xludf.DUMMYFUNCTION("""COMPUTED_VALUE"""),"Good")</f>
        <v>Good</v>
      </c>
      <c r="AB192" t="str">
        <f ca="1">IFERROR(__xludf.DUMMYFUNCTION("""COMPUTED_VALUE"""),"Good")</f>
        <v>Good</v>
      </c>
      <c r="AC192" t="str">
        <f ca="1">IFERROR(__xludf.DUMMYFUNCTION("""COMPUTED_VALUE"""),"Good")</f>
        <v>Good</v>
      </c>
      <c r="AE192" s="11"/>
      <c r="AF192" t="str">
        <v>Pamela.Marcum@floridadep.gov</v>
      </c>
      <c r="AG192" s="17" t="s">
        <v>139</v>
      </c>
      <c r="AH192" s="23">
        <v>0.68611111111111112</v>
      </c>
      <c r="AI192" s="12" t="s">
        <v>520</v>
      </c>
      <c r="AJ192" s="19" t="s">
        <v>521</v>
      </c>
      <c r="AK192" s="20" t="str">
        <f>HYPERLINK("https://docs.google.com/document/d/1Hfjuh-87HyMgDwCqQ1yxd7fH8nLij__YzoKp6Zt-A88/edit?usp=drivesdk","Emma Hanson - 11/5/2018 12:30 PM")</f>
        <v>Emma Hanson - 11/5/2018 12:30 PM</v>
      </c>
      <c r="AL192" s="12" t="s">
        <v>522</v>
      </c>
    </row>
    <row r="193" spans="1:38" ht="12.75">
      <c r="A193" s="10">
        <f ca="1">IFERROR(__xludf.DUMMYFUNCTION("""COMPUTED_VALUE"""),43410.5177185648)</f>
        <v>43410.517718564799</v>
      </c>
      <c r="B193" s="11" t="str">
        <f ca="1">IFERROR(__xludf.DUMMYFUNCTION("""COMPUTED_VALUE"""),"Pam Marcum")</f>
        <v>Pam Marcum</v>
      </c>
      <c r="C193" t="str">
        <f ca="1">IFERROR(__xludf.DUMMYFUNCTION("""COMPUTED_VALUE"""),"Pamela.Marcum@dep.state.fl.us")</f>
        <v>Pamela.Marcum@dep.state.fl.us</v>
      </c>
      <c r="D193" t="str">
        <f ca="1">IFERROR(__xludf.DUMMYFUNCTION("""COMPUTED_VALUE"""),"Research/Nikki")</f>
        <v>Research/Nikki</v>
      </c>
      <c r="E193" t="str">
        <f ca="1">IFERROR(__xludf.DUMMYFUNCTION("""COMPUTED_VALUE"""),"Aunt Kate's")</f>
        <v>Aunt Kate's</v>
      </c>
      <c r="F193" s="13">
        <f ca="1">IFERROR(__xludf.DUMMYFUNCTION("""COMPUTED_VALUE"""),0.541666666667879)</f>
        <v>0.54166666666787899</v>
      </c>
      <c r="G193" s="14">
        <f ca="1">IFERROR(__xludf.DUMMYFUNCTION("""COMPUTED_VALUE"""),43410)</f>
        <v>43410</v>
      </c>
      <c r="H193" t="str">
        <f ca="1">IFERROR(__xludf.DUMMYFUNCTION("""COMPUTED_VALUE"""),"Tolomat River/Pine Island")</f>
        <v>Tolomat River/Pine Island</v>
      </c>
      <c r="I193" s="15">
        <f ca="1">IFERROR(__xludf.DUMMYFUNCTION("""COMPUTED_VALUE"""),0.70833333333212)</f>
        <v>0.70833333333212001</v>
      </c>
      <c r="J193" s="16">
        <f ca="1">IFERROR(__xludf.DUMMYFUNCTION("""COMPUTED_VALUE"""),43410.7291666666)</f>
        <v>43410.729166666599</v>
      </c>
      <c r="K193" t="str">
        <f ca="1">IFERROR(__xludf.DUMMYFUNCTION("""COMPUTED_VALUE"""),"20ft Sea Ark FL5351SJ UNF 2015")</f>
        <v>20ft Sea Ark FL5351SJ UNF 2015</v>
      </c>
      <c r="M193" t="str">
        <f ca="1">IFERROR(__xludf.DUMMYFUNCTION("""COMPUTED_VALUE"""),"Ford F150 2008 - DEP18041 (SWMP Thing)")</f>
        <v>Ford F150 2008 - DEP18041 (SWMP Thing)</v>
      </c>
      <c r="N193" t="str">
        <f ca="1">IFERROR(__xludf.DUMMYFUNCTION("""COMPUTED_VALUE"""),"Pam Marcum, (480) 332-5414, Annie Otto")</f>
        <v>Pam Marcum, (480) 332-5414, Annie Otto</v>
      </c>
      <c r="O193" t="str">
        <f ca="1">IFERROR(__xludf.DUMMYFUNCTION("""COMPUTED_VALUE"""),"Ray Grizzle")</f>
        <v>Ray Grizzle</v>
      </c>
      <c r="P193" t="str">
        <f ca="1">IFERROR(__xludf.DUMMYFUNCTION("""COMPUTED_VALUE"""),"Pam")</f>
        <v>Pam</v>
      </c>
      <c r="Q193" t="str">
        <f ca="1">IFERROR(__xludf.DUMMYFUNCTION("""COMPUTED_VALUE"""),"Good")</f>
        <v>Good</v>
      </c>
      <c r="R193" t="str">
        <f ca="1">IFERROR(__xludf.DUMMYFUNCTION("""COMPUTED_VALUE"""),"Good")</f>
        <v>Good</v>
      </c>
      <c r="S193" t="str">
        <f ca="1">IFERROR(__xludf.DUMMYFUNCTION("""COMPUTED_VALUE"""),"Good")</f>
        <v>Good</v>
      </c>
      <c r="T193" t="str">
        <f ca="1">IFERROR(__xludf.DUMMYFUNCTION("""COMPUTED_VALUE"""),"Good")</f>
        <v>Good</v>
      </c>
      <c r="U193" t="str">
        <f ca="1">IFERROR(__xludf.DUMMYFUNCTION("""COMPUTED_VALUE"""),"Good")</f>
        <v>Good</v>
      </c>
      <c r="V193" t="str">
        <f ca="1">IFERROR(__xludf.DUMMYFUNCTION("""COMPUTED_VALUE"""),"Good")</f>
        <v>Good</v>
      </c>
      <c r="W193" t="str">
        <f ca="1">IFERROR(__xludf.DUMMYFUNCTION("""COMPUTED_VALUE"""),"Good")</f>
        <v>Good</v>
      </c>
      <c r="X193" t="str">
        <f ca="1">IFERROR(__xludf.DUMMYFUNCTION("""COMPUTED_VALUE"""),"Good")</f>
        <v>Good</v>
      </c>
      <c r="Y193" t="str">
        <f ca="1">IFERROR(__xludf.DUMMYFUNCTION("""COMPUTED_VALUE"""),"Good")</f>
        <v>Good</v>
      </c>
      <c r="Z193" t="str">
        <f ca="1">IFERROR(__xludf.DUMMYFUNCTION("""COMPUTED_VALUE"""),"Good")</f>
        <v>Good</v>
      </c>
      <c r="AA193" t="str">
        <f ca="1">IFERROR(__xludf.DUMMYFUNCTION("""COMPUTED_VALUE"""),"Good")</f>
        <v>Good</v>
      </c>
      <c r="AB193" t="str">
        <f ca="1">IFERROR(__xludf.DUMMYFUNCTION("""COMPUTED_VALUE"""),"Good")</f>
        <v>Good</v>
      </c>
      <c r="AC193" t="str">
        <f ca="1">IFERROR(__xludf.DUMMYFUNCTION("""COMPUTED_VALUE"""),"Good")</f>
        <v>Good</v>
      </c>
      <c r="AE193" s="11"/>
      <c r="AF193" t="str">
        <v>Nikki.Dix@floridadep.gov</v>
      </c>
      <c r="AG193" s="17" t="s">
        <v>126</v>
      </c>
      <c r="AH193" s="23">
        <v>0.64583333333333337</v>
      </c>
      <c r="AI193" s="12" t="s">
        <v>523</v>
      </c>
      <c r="AJ193" s="19" t="s">
        <v>524</v>
      </c>
      <c r="AK193" s="20" t="str">
        <f>HYPERLINK("https://docs.google.com/document/d/1OdROVKVnWNppbGnZBe8XQx4EcpL1Z_wheLxqjEAAvaY/edit?usp=drivesdk","Pam Marcum - 11/6/2018 1:00 PM")</f>
        <v>Pam Marcum - 11/6/2018 1:00 PM</v>
      </c>
      <c r="AL193" s="12" t="s">
        <v>525</v>
      </c>
    </row>
    <row r="194" spans="1:38" ht="12.75">
      <c r="A194" s="10">
        <f ca="1">IFERROR(__xludf.DUMMYFUNCTION("""COMPUTED_VALUE"""),43411.3292064814)</f>
        <v>43411.329206481401</v>
      </c>
      <c r="B194" s="11" t="str">
        <f ca="1">IFERROR(__xludf.DUMMYFUNCTION("""COMPUTED_VALUE"""),"James Tomazinis")</f>
        <v>James Tomazinis</v>
      </c>
      <c r="C194" t="str">
        <f ca="1">IFERROR(__xludf.DUMMYFUNCTION("""COMPUTED_VALUE"""),"james.tomazinis@floridadep.gov")</f>
        <v>james.tomazinis@floridadep.gov</v>
      </c>
      <c r="D194" t="str">
        <f ca="1">IFERROR(__xludf.DUMMYFUNCTION("""COMPUTED_VALUE"""),"Stewardship (Aquatic)")</f>
        <v>Stewardship (Aquatic)</v>
      </c>
      <c r="E194" t="str">
        <f ca="1">IFERROR(__xludf.DUMMYFUNCTION("""COMPUTED_VALUE"""),"Guana Dam")</f>
        <v>Guana Dam</v>
      </c>
      <c r="F194" s="13">
        <f ca="1">IFERROR(__xludf.DUMMYFUNCTION("""COMPUTED_VALUE"""),0.354166666667879)</f>
        <v>0.35416666666787899</v>
      </c>
      <c r="G194" s="14">
        <f ca="1">IFERROR(__xludf.DUMMYFUNCTION("""COMPUTED_VALUE"""),43411)</f>
        <v>43411</v>
      </c>
      <c r="H194" t="str">
        <f ca="1">IFERROR(__xludf.DUMMYFUNCTION("""COMPUTED_VALUE"""),"Guana River WQ sites")</f>
        <v>Guana River WQ sites</v>
      </c>
      <c r="I194" s="15">
        <f ca="1">IFERROR(__xludf.DUMMYFUNCTION("""COMPUTED_VALUE"""),0.42708333333212)</f>
        <v>0.42708333333212001</v>
      </c>
      <c r="J194" s="16"/>
      <c r="K194" t="str">
        <f ca="1">IFERROR(__xludf.DUMMYFUNCTION("""COMPUTED_VALUE"""),"Jon Boat FL0484NP DEP06819")</f>
        <v>Jon Boat FL0484NP DEP06819</v>
      </c>
      <c r="M194" t="str">
        <f ca="1">IFERROR(__xludf.DUMMYFUNCTION("""COMPUTED_VALUE"""),"Ford F150 2015 (White) - DEP21448")</f>
        <v>Ford F150 2015 (White) - DEP21448</v>
      </c>
      <c r="N194" t="str">
        <f ca="1">IFERROR(__xludf.DUMMYFUNCTION("""COMPUTED_VALUE"""),"Jimmy Tomazinis, (904) 547-0094")</f>
        <v>Jimmy Tomazinis, (904) 547-0094</v>
      </c>
      <c r="O194" t="str">
        <f ca="1">IFERROR(__xludf.DUMMYFUNCTION("""COMPUTED_VALUE"""),"Silas Tanner, (904) 483-8423")</f>
        <v>Silas Tanner, (904) 483-8423</v>
      </c>
      <c r="P194" t="str">
        <f ca="1">IFERROR(__xludf.DUMMYFUNCTION("""COMPUTED_VALUE"""),"Jimmy")</f>
        <v>Jimmy</v>
      </c>
      <c r="Q194" t="str">
        <f ca="1">IFERROR(__xludf.DUMMYFUNCTION("""COMPUTED_VALUE"""),"Good")</f>
        <v>Good</v>
      </c>
      <c r="R194" t="str">
        <f ca="1">IFERROR(__xludf.DUMMYFUNCTION("""COMPUTED_VALUE"""),"Good")</f>
        <v>Good</v>
      </c>
      <c r="S194" t="str">
        <f ca="1">IFERROR(__xludf.DUMMYFUNCTION("""COMPUTED_VALUE"""),"Good")</f>
        <v>Good</v>
      </c>
      <c r="T194" t="str">
        <f ca="1">IFERROR(__xludf.DUMMYFUNCTION("""COMPUTED_VALUE"""),"Good")</f>
        <v>Good</v>
      </c>
      <c r="U194" t="str">
        <f ca="1">IFERROR(__xludf.DUMMYFUNCTION("""COMPUTED_VALUE"""),"Good")</f>
        <v>Good</v>
      </c>
      <c r="V194" t="str">
        <f ca="1">IFERROR(__xludf.DUMMYFUNCTION("""COMPUTED_VALUE"""),"Good")</f>
        <v>Good</v>
      </c>
      <c r="W194" t="str">
        <f ca="1">IFERROR(__xludf.DUMMYFUNCTION("""COMPUTED_VALUE"""),"Good")</f>
        <v>Good</v>
      </c>
      <c r="X194" t="str">
        <f ca="1">IFERROR(__xludf.DUMMYFUNCTION("""COMPUTED_VALUE"""),"Good")</f>
        <v>Good</v>
      </c>
      <c r="Y194" t="str">
        <f ca="1">IFERROR(__xludf.DUMMYFUNCTION("""COMPUTED_VALUE"""),"Good")</f>
        <v>Good</v>
      </c>
      <c r="Z194" t="str">
        <f ca="1">IFERROR(__xludf.DUMMYFUNCTION("""COMPUTED_VALUE"""),"Good")</f>
        <v>Good</v>
      </c>
      <c r="AA194" t="str">
        <f ca="1">IFERROR(__xludf.DUMMYFUNCTION("""COMPUTED_VALUE"""),"Good")</f>
        <v>Good</v>
      </c>
      <c r="AB194" t="str">
        <f ca="1">IFERROR(__xludf.DUMMYFUNCTION("""COMPUTED_VALUE"""),"Good")</f>
        <v>Good</v>
      </c>
      <c r="AC194" t="str">
        <f ca="1">IFERROR(__xludf.DUMMYFUNCTION("""COMPUTED_VALUE"""),"Good")</f>
        <v>Good</v>
      </c>
      <c r="AE194" s="11"/>
      <c r="AF194" t="str">
        <v>Scott.Eastman@floridadep.gov</v>
      </c>
      <c r="AG194" s="17" t="s">
        <v>17</v>
      </c>
      <c r="AH194" s="12">
        <v>1025</v>
      </c>
      <c r="AI194" s="12" t="s">
        <v>526</v>
      </c>
      <c r="AJ194" s="19" t="s">
        <v>527</v>
      </c>
      <c r="AK194" s="20" t="str">
        <f>HYPERLINK("https://docs.google.com/document/d/19Pl4hL-nT5KCVnZ4JEMGc1icTwYZpi4m7pzITqh2Uto/edit?usp=drivesdk","James Tomazinis - 11/7/2018 8:30 AM")</f>
        <v>James Tomazinis - 11/7/2018 8:30 AM</v>
      </c>
      <c r="AL194" s="12" t="s">
        <v>528</v>
      </c>
    </row>
    <row r="195" spans="1:38" ht="12.75">
      <c r="A195" s="10">
        <f ca="1">IFERROR(__xludf.DUMMYFUNCTION("""COMPUTED_VALUE"""),43412.71965603)</f>
        <v>43412.71965603</v>
      </c>
      <c r="B195" s="11" t="str">
        <f ca="1">IFERROR(__xludf.DUMMYFUNCTION("""COMPUTED_VALUE"""),"Pamela Marcum")</f>
        <v>Pamela Marcum</v>
      </c>
      <c r="C195" t="str">
        <f ca="1">IFERROR(__xludf.DUMMYFUNCTION("""COMPUTED_VALUE"""),"Pamela.Marcum@dep.state.fl.us")</f>
        <v>Pamela.Marcum@dep.state.fl.us</v>
      </c>
      <c r="D195" t="str">
        <f ca="1">IFERROR(__xludf.DUMMYFUNCTION("""COMPUTED_VALUE"""),"Research/Nikki")</f>
        <v>Research/Nikki</v>
      </c>
      <c r="E195" t="str">
        <f ca="1">IFERROR(__xludf.DUMMYFUNCTION("""COMPUTED_VALUE"""),"Crane Park - Shore Drive")</f>
        <v>Crane Park - Shore Drive</v>
      </c>
      <c r="F195" s="13">
        <f ca="1">IFERROR(__xludf.DUMMYFUNCTION("""COMPUTED_VALUE"""),0.33333333333212)</f>
        <v>0.33333333333212001</v>
      </c>
      <c r="G195" s="14">
        <f ca="1">IFERROR(__xludf.DUMMYFUNCTION("""COMPUTED_VALUE"""),43413)</f>
        <v>43413</v>
      </c>
      <c r="H195" t="str">
        <f ca="1">IFERROR(__xludf.DUMMYFUNCTION("""COMPUTED_VALUE"""),"Marsh Creek")</f>
        <v>Marsh Creek</v>
      </c>
      <c r="I195" s="15">
        <f ca="1">IFERROR(__xludf.DUMMYFUNCTION("""COMPUTED_VALUE"""),0.58333333333212)</f>
        <v>0.58333333333212001</v>
      </c>
      <c r="J195" s="16">
        <f ca="1">IFERROR(__xludf.DUMMYFUNCTION("""COMPUTED_VALUE"""),43412.625)</f>
        <v>43412.625</v>
      </c>
      <c r="K195" t="str">
        <f ca="1">IFERROR(__xludf.DUMMYFUNCTION("""COMPUTED_VALUE"""),"20ft Sea Ark FL5351SJ UNF 2015")</f>
        <v>20ft Sea Ark FL5351SJ UNF 2015</v>
      </c>
      <c r="M195" t="str">
        <f ca="1">IFERROR(__xludf.DUMMYFUNCTION("""COMPUTED_VALUE"""),"Ford F150 2008 - DEP18041 (SWMP Thing)")</f>
        <v>Ford F150 2008 - DEP18041 (SWMP Thing)</v>
      </c>
      <c r="N195" t="str">
        <f ca="1">IFERROR(__xludf.DUMMYFUNCTION("""COMPUTED_VALUE"""),"Pam Marcum, (480) 332-5414")</f>
        <v>Pam Marcum, (480) 332-5414</v>
      </c>
      <c r="O195" t="str">
        <f ca="1">IFERROR(__xludf.DUMMYFUNCTION("""COMPUTED_VALUE"""),"Matt Hayes, Chuck, Emily, Tess")</f>
        <v>Matt Hayes, Chuck, Emily, Tess</v>
      </c>
      <c r="P195" t="str">
        <f ca="1">IFERROR(__xludf.DUMMYFUNCTION("""COMPUTED_VALUE"""),"Pam")</f>
        <v>Pam</v>
      </c>
      <c r="Q195" t="str">
        <f ca="1">IFERROR(__xludf.DUMMYFUNCTION("""COMPUTED_VALUE"""),"Good")</f>
        <v>Good</v>
      </c>
      <c r="R195" t="str">
        <f ca="1">IFERROR(__xludf.DUMMYFUNCTION("""COMPUTED_VALUE"""),"Good")</f>
        <v>Good</v>
      </c>
      <c r="S195" t="str">
        <f ca="1">IFERROR(__xludf.DUMMYFUNCTION("""COMPUTED_VALUE"""),"Good")</f>
        <v>Good</v>
      </c>
      <c r="T195" t="str">
        <f ca="1">IFERROR(__xludf.DUMMYFUNCTION("""COMPUTED_VALUE"""),"Good")</f>
        <v>Good</v>
      </c>
      <c r="U195" t="str">
        <f ca="1">IFERROR(__xludf.DUMMYFUNCTION("""COMPUTED_VALUE"""),"Good")</f>
        <v>Good</v>
      </c>
      <c r="V195" t="str">
        <f ca="1">IFERROR(__xludf.DUMMYFUNCTION("""COMPUTED_VALUE"""),"Good")</f>
        <v>Good</v>
      </c>
      <c r="W195" t="str">
        <f ca="1">IFERROR(__xludf.DUMMYFUNCTION("""COMPUTED_VALUE"""),"Good")</f>
        <v>Good</v>
      </c>
      <c r="X195" t="str">
        <f ca="1">IFERROR(__xludf.DUMMYFUNCTION("""COMPUTED_VALUE"""),"Good")</f>
        <v>Good</v>
      </c>
      <c r="Y195" t="str">
        <f ca="1">IFERROR(__xludf.DUMMYFUNCTION("""COMPUTED_VALUE"""),"Good")</f>
        <v>Good</v>
      </c>
      <c r="Z195" t="str">
        <f ca="1">IFERROR(__xludf.DUMMYFUNCTION("""COMPUTED_VALUE"""),"Good")</f>
        <v>Good</v>
      </c>
      <c r="AA195" t="str">
        <f ca="1">IFERROR(__xludf.DUMMYFUNCTION("""COMPUTED_VALUE"""),"Good")</f>
        <v>Good</v>
      </c>
      <c r="AB195" t="str">
        <f ca="1">IFERROR(__xludf.DUMMYFUNCTION("""COMPUTED_VALUE"""),"Good")</f>
        <v>Good</v>
      </c>
      <c r="AC195" t="str">
        <f ca="1">IFERROR(__xludf.DUMMYFUNCTION("""COMPUTED_VALUE"""),"Good")</f>
        <v>Good</v>
      </c>
      <c r="AE195" s="11"/>
      <c r="AF195" t="str">
        <v>Nikki.Dix@floridadep.gov</v>
      </c>
      <c r="AG195" s="17" t="s">
        <v>17</v>
      </c>
      <c r="AH195" s="12">
        <v>1600</v>
      </c>
      <c r="AI195" s="12" t="s">
        <v>529</v>
      </c>
      <c r="AJ195" s="19" t="s">
        <v>530</v>
      </c>
      <c r="AK195" s="20" t="str">
        <f>HYPERLINK("https://docs.google.com/document/d/1i7gzGMRtKsIfqsAqJWP2driUwJ2sHFfr9kkmwR3CAzc/edit?usp=drivesdk","Pamela Marcum - 11/9/2018 8:00 AM")</f>
        <v>Pamela Marcum - 11/9/2018 8:00 AM</v>
      </c>
      <c r="AL195" s="12" t="s">
        <v>531</v>
      </c>
    </row>
    <row r="196" spans="1:38" ht="12.75">
      <c r="A196" s="10">
        <f ca="1">IFERROR(__xludf.DUMMYFUNCTION("""COMPUTED_VALUE"""),43414.3412246412)</f>
        <v>43414.341224641197</v>
      </c>
      <c r="B196" s="11" t="str">
        <f ca="1">IFERROR(__xludf.DUMMYFUNCTION("""COMPUTED_VALUE"""),"Ben Mowbray")</f>
        <v>Ben Mowbray</v>
      </c>
      <c r="C196" t="str">
        <f ca="1">IFERROR(__xludf.DUMMYFUNCTION("""COMPUTED_VALUE"""),"ben.mowbray@dep.state.fl.us")</f>
        <v>ben.mowbray@dep.state.fl.us</v>
      </c>
      <c r="D196" t="str">
        <f ca="1">IFERROR(__xludf.DUMMYFUNCTION("""COMPUTED_VALUE"""),"Research/Nikki")</f>
        <v>Research/Nikki</v>
      </c>
      <c r="E196" t="str">
        <f ca="1">IFERROR(__xludf.DUMMYFUNCTION("""COMPUTED_VALUE"""),"Faver Dykes")</f>
        <v>Faver Dykes</v>
      </c>
      <c r="F196" s="13">
        <f ca="1">IFERROR(__xludf.DUMMYFUNCTION("""COMPUTED_VALUE"""),0.416666666667879)</f>
        <v>0.41666666666787899</v>
      </c>
      <c r="G196" s="14">
        <f ca="1">IFERROR(__xludf.DUMMYFUNCTION("""COMPUTED_VALUE"""),43414)</f>
        <v>43414</v>
      </c>
      <c r="H196" t="str">
        <f ca="1">IFERROR(__xludf.DUMMYFUNCTION("""COMPUTED_VALUE"""),"Westernmost Transect")</f>
        <v>Westernmost Transect</v>
      </c>
      <c r="I196" s="15">
        <f ca="1">IFERROR(__xludf.DUMMYFUNCTION("""COMPUTED_VALUE"""),0.5)</f>
        <v>0.5</v>
      </c>
      <c r="J196" s="16">
        <f ca="1">IFERROR(__xludf.DUMMYFUNCTION("""COMPUTED_VALUE"""),43414.75)</f>
        <v>43414.75</v>
      </c>
      <c r="K196" t="str">
        <f ca="1">IFERROR(__xludf.DUMMYFUNCTION("""COMPUTED_VALUE"""),"20ft Sea Ark FL5351SJ UNF 2015")</f>
        <v>20ft Sea Ark FL5351SJ UNF 2015</v>
      </c>
      <c r="M196" t="str">
        <f ca="1">IFERROR(__xludf.DUMMYFUNCTION("""COMPUTED_VALUE"""),"Ford F150 2008 - DEP18041 (SWMP Thing)")</f>
        <v>Ford F150 2008 - DEP18041 (SWMP Thing)</v>
      </c>
      <c r="N196" t="str">
        <f ca="1">IFERROR(__xludf.DUMMYFUNCTION("""COMPUTED_VALUE"""),"Pam Marcum, (480) 332-5414, Ben Mowbray, (407) 962-8782")</f>
        <v>Pam Marcum, (480) 332-5414, Ben Mowbray, (407) 962-8782</v>
      </c>
      <c r="P196" t="str">
        <f ca="1">IFERROR(__xludf.DUMMYFUNCTION("""COMPUTED_VALUE"""),"Pam")</f>
        <v>Pam</v>
      </c>
      <c r="Q196" t="str">
        <f ca="1">IFERROR(__xludf.DUMMYFUNCTION("""COMPUTED_VALUE"""),"Good")</f>
        <v>Good</v>
      </c>
      <c r="R196" t="str">
        <f ca="1">IFERROR(__xludf.DUMMYFUNCTION("""COMPUTED_VALUE"""),"Good")</f>
        <v>Good</v>
      </c>
      <c r="S196" t="str">
        <f ca="1">IFERROR(__xludf.DUMMYFUNCTION("""COMPUTED_VALUE"""),"Good")</f>
        <v>Good</v>
      </c>
      <c r="T196" t="str">
        <f ca="1">IFERROR(__xludf.DUMMYFUNCTION("""COMPUTED_VALUE"""),"Good")</f>
        <v>Good</v>
      </c>
      <c r="U196" t="str">
        <f ca="1">IFERROR(__xludf.DUMMYFUNCTION("""COMPUTED_VALUE"""),"Good")</f>
        <v>Good</v>
      </c>
      <c r="V196" t="str">
        <f ca="1">IFERROR(__xludf.DUMMYFUNCTION("""COMPUTED_VALUE"""),"Good")</f>
        <v>Good</v>
      </c>
      <c r="W196" t="str">
        <f ca="1">IFERROR(__xludf.DUMMYFUNCTION("""COMPUTED_VALUE"""),"Good")</f>
        <v>Good</v>
      </c>
      <c r="X196" t="str">
        <f ca="1">IFERROR(__xludf.DUMMYFUNCTION("""COMPUTED_VALUE"""),"Good")</f>
        <v>Good</v>
      </c>
      <c r="Y196" t="str">
        <f ca="1">IFERROR(__xludf.DUMMYFUNCTION("""COMPUTED_VALUE"""),"Good")</f>
        <v>Good</v>
      </c>
      <c r="Z196" t="str">
        <f ca="1">IFERROR(__xludf.DUMMYFUNCTION("""COMPUTED_VALUE"""),"Good")</f>
        <v>Good</v>
      </c>
      <c r="AA196" t="str">
        <f ca="1">IFERROR(__xludf.DUMMYFUNCTION("""COMPUTED_VALUE"""),"Good")</f>
        <v>Good</v>
      </c>
      <c r="AB196" t="str">
        <f ca="1">IFERROR(__xludf.DUMMYFUNCTION("""COMPUTED_VALUE"""),"Good")</f>
        <v>Good</v>
      </c>
      <c r="AC196" t="str">
        <f ca="1">IFERROR(__xludf.DUMMYFUNCTION("""COMPUTED_VALUE"""),"Good")</f>
        <v>Good</v>
      </c>
      <c r="AE196" s="11"/>
      <c r="AF196" t="str">
        <v>Nikki.Dix@floridadep.gov</v>
      </c>
      <c r="AG196" s="17" t="s">
        <v>41</v>
      </c>
      <c r="AH196" s="12">
        <v>1200</v>
      </c>
      <c r="AI196" s="12" t="s">
        <v>532</v>
      </c>
      <c r="AJ196" s="19" t="s">
        <v>533</v>
      </c>
      <c r="AK196" s="20" t="str">
        <f>HYPERLINK("https://docs.google.com/document/d/1633f9rTaCMPyS4IZy7tFzPfoCMpeoOCM4AqFBr6ZdaU/edit?usp=drivesdk","Ben Mowbray - 11/10/2018 10:00 AM")</f>
        <v>Ben Mowbray - 11/10/2018 10:00 AM</v>
      </c>
      <c r="AL196" s="12" t="s">
        <v>534</v>
      </c>
    </row>
    <row r="197" spans="1:38" ht="12.75">
      <c r="A197" s="10">
        <f ca="1">IFERROR(__xludf.DUMMYFUNCTION("""COMPUTED_VALUE"""),43417.5574621296)</f>
        <v>43417.557462129596</v>
      </c>
      <c r="B197" s="11" t="str">
        <f ca="1">IFERROR(__xludf.DUMMYFUNCTION("""COMPUTED_VALUE"""),"Pamela Marcum")</f>
        <v>Pamela Marcum</v>
      </c>
      <c r="C197" t="str">
        <f ca="1">IFERROR(__xludf.DUMMYFUNCTION("""COMPUTED_VALUE"""),"Pamela.Marcum@dep.state.fl.us")</f>
        <v>Pamela.Marcum@dep.state.fl.us</v>
      </c>
      <c r="D197" t="str">
        <f ca="1">IFERROR(__xludf.DUMMYFUNCTION("""COMPUTED_VALUE"""),"Research/Nikki")</f>
        <v>Research/Nikki</v>
      </c>
      <c r="E197" t="str">
        <f ca="1">IFERROR(__xludf.DUMMYFUNCTION("""COMPUTED_VALUE"""),"Aunt Kate's")</f>
        <v>Aunt Kate's</v>
      </c>
      <c r="F197" s="13">
        <f ca="1">IFERROR(__xludf.DUMMYFUNCTION("""COMPUTED_VALUE"""),0.58333333333212)</f>
        <v>0.58333333333212001</v>
      </c>
      <c r="G197" s="14">
        <f ca="1">IFERROR(__xludf.DUMMYFUNCTION("""COMPUTED_VALUE"""),43417)</f>
        <v>43417</v>
      </c>
      <c r="H197" t="str">
        <f ca="1">IFERROR(__xludf.DUMMYFUNCTION("""COMPUTED_VALUE"""),"Pine Island then Hat Island")</f>
        <v>Pine Island then Hat Island</v>
      </c>
      <c r="I197" s="15">
        <f ca="1">IFERROR(__xludf.DUMMYFUNCTION("""COMPUTED_VALUE"""),0.64583333333212)</f>
        <v>0.64583333333212001</v>
      </c>
      <c r="J197" s="16">
        <f ca="1">IFERROR(__xludf.DUMMYFUNCTION("""COMPUTED_VALUE"""),43417.6666666666)</f>
        <v>43417.666666666599</v>
      </c>
      <c r="K197" t="str">
        <f ca="1">IFERROR(__xludf.DUMMYFUNCTION("""COMPUTED_VALUE"""),"20ft Sea Ark FL5351SJ UNF 2015")</f>
        <v>20ft Sea Ark FL5351SJ UNF 2015</v>
      </c>
      <c r="M197" t="str">
        <f ca="1">IFERROR(__xludf.DUMMYFUNCTION("""COMPUTED_VALUE"""),"Ford F250 2017 (Moby Dix) - DEP0021578")</f>
        <v>Ford F250 2017 (Moby Dix) - DEP0021578</v>
      </c>
      <c r="N197" t="str">
        <f ca="1">IFERROR(__xludf.DUMMYFUNCTION("""COMPUTED_VALUE"""),"Pam Marcum, (480) 332-5414")</f>
        <v>Pam Marcum, (480) 332-5414</v>
      </c>
      <c r="O197" t="str">
        <f ca="1">IFERROR(__xludf.DUMMYFUNCTION("""COMPUTED_VALUE"""),"Michael Shirley, John Upton, Melissa")</f>
        <v>Michael Shirley, John Upton, Melissa</v>
      </c>
      <c r="P197" t="str">
        <f ca="1">IFERROR(__xludf.DUMMYFUNCTION("""COMPUTED_VALUE"""),"Pam")</f>
        <v>Pam</v>
      </c>
      <c r="Q197" t="str">
        <f ca="1">IFERROR(__xludf.DUMMYFUNCTION("""COMPUTED_VALUE"""),"Good")</f>
        <v>Good</v>
      </c>
      <c r="R197" t="str">
        <f ca="1">IFERROR(__xludf.DUMMYFUNCTION("""COMPUTED_VALUE"""),"Good")</f>
        <v>Good</v>
      </c>
      <c r="S197" t="str">
        <f ca="1">IFERROR(__xludf.DUMMYFUNCTION("""COMPUTED_VALUE"""),"Good")</f>
        <v>Good</v>
      </c>
      <c r="T197" t="str">
        <f ca="1">IFERROR(__xludf.DUMMYFUNCTION("""COMPUTED_VALUE"""),"Good")</f>
        <v>Good</v>
      </c>
      <c r="U197" t="str">
        <f ca="1">IFERROR(__xludf.DUMMYFUNCTION("""COMPUTED_VALUE"""),"Good")</f>
        <v>Good</v>
      </c>
      <c r="V197" t="str">
        <f ca="1">IFERROR(__xludf.DUMMYFUNCTION("""COMPUTED_VALUE"""),"Good")</f>
        <v>Good</v>
      </c>
      <c r="W197" t="str">
        <f ca="1">IFERROR(__xludf.DUMMYFUNCTION("""COMPUTED_VALUE"""),"Good")</f>
        <v>Good</v>
      </c>
      <c r="X197" t="str">
        <f ca="1">IFERROR(__xludf.DUMMYFUNCTION("""COMPUTED_VALUE"""),"Good")</f>
        <v>Good</v>
      </c>
      <c r="Y197" t="str">
        <f ca="1">IFERROR(__xludf.DUMMYFUNCTION("""COMPUTED_VALUE"""),"Good")</f>
        <v>Good</v>
      </c>
      <c r="Z197" t="str">
        <f ca="1">IFERROR(__xludf.DUMMYFUNCTION("""COMPUTED_VALUE"""),"Good")</f>
        <v>Good</v>
      </c>
      <c r="AA197" t="str">
        <f ca="1">IFERROR(__xludf.DUMMYFUNCTION("""COMPUTED_VALUE"""),"Good")</f>
        <v>Good</v>
      </c>
      <c r="AB197" t="str">
        <f ca="1">IFERROR(__xludf.DUMMYFUNCTION("""COMPUTED_VALUE"""),"Good")</f>
        <v>Good</v>
      </c>
      <c r="AC197" t="str">
        <f ca="1">IFERROR(__xludf.DUMMYFUNCTION("""COMPUTED_VALUE"""),"Good")</f>
        <v>Good</v>
      </c>
      <c r="AE197" s="11"/>
      <c r="AF197" t="str">
        <v>Nikki.Dix@floridadep.gov</v>
      </c>
      <c r="AG197" s="18"/>
      <c r="AH197" s="12">
        <v>1600</v>
      </c>
      <c r="AI197" s="12" t="s">
        <v>535</v>
      </c>
      <c r="AJ197" s="19" t="s">
        <v>536</v>
      </c>
      <c r="AK197" s="20" t="str">
        <f>HYPERLINK("https://docs.google.com/document/d/1PL271tW_lqAUNom36USh5xQ5-3Fx9KBM5GmY4JnYfd4/edit?usp=drivesdk","Pamela Marcum - 11/13/2018 2:00 PM")</f>
        <v>Pamela Marcum - 11/13/2018 2:00 PM</v>
      </c>
      <c r="AL197" s="12" t="s">
        <v>537</v>
      </c>
    </row>
    <row r="198" spans="1:38" ht="12.75">
      <c r="A198" s="10">
        <f ca="1">IFERROR(__xludf.DUMMYFUNCTION("""COMPUTED_VALUE"""),43417.6305930555)</f>
        <v>43417.630593055503</v>
      </c>
      <c r="B198" s="11" t="str">
        <f ca="1">IFERROR(__xludf.DUMMYFUNCTION("""COMPUTED_VALUE"""),"Silas Tanner")</f>
        <v>Silas Tanner</v>
      </c>
      <c r="C198" t="str">
        <f ca="1">IFERROR(__xludf.DUMMYFUNCTION("""COMPUTED_VALUE"""),"silas.tanner@floridadep.gov")</f>
        <v>silas.tanner@floridadep.gov</v>
      </c>
      <c r="D198" t="str">
        <f ca="1">IFERROR(__xludf.DUMMYFUNCTION("""COMPUTED_VALUE"""),"Research/Nikki")</f>
        <v>Research/Nikki</v>
      </c>
      <c r="E198" t="str">
        <f ca="1">IFERROR(__xludf.DUMMYFUNCTION("""COMPUTED_VALUE"""),"Vilano county ramp")</f>
        <v>Vilano county ramp</v>
      </c>
      <c r="F198" s="13">
        <f ca="1">IFERROR(__xludf.DUMMYFUNCTION("""COMPUTED_VALUE"""),0.4375)</f>
        <v>0.4375</v>
      </c>
      <c r="G198" s="14">
        <f ca="1">IFERROR(__xludf.DUMMYFUNCTION("""COMPUTED_VALUE"""),43418)</f>
        <v>43418</v>
      </c>
      <c r="H198" t="str">
        <f ca="1">IFERROR(__xludf.DUMMYFUNCTION("""COMPUTED_VALUE"""),"ICW SWMP sites")</f>
        <v>ICW SWMP sites</v>
      </c>
      <c r="I198" s="15">
        <f ca="1">IFERROR(__xludf.DUMMYFUNCTION("""COMPUTED_VALUE"""),0.58333333333212)</f>
        <v>0.58333333333212001</v>
      </c>
      <c r="J198" s="16">
        <f ca="1">IFERROR(__xludf.DUMMYFUNCTION("""COMPUTED_VALUE"""),43418.59375)</f>
        <v>43418.59375</v>
      </c>
      <c r="K198" t="str">
        <f ca="1">IFERROR(__xludf.DUMMYFUNCTION("""COMPUTED_VALUE"""),"20ft Sea Ark FL5351SJ UNF 2015")</f>
        <v>20ft Sea Ark FL5351SJ UNF 2015</v>
      </c>
      <c r="M198" t="str">
        <f ca="1">IFERROR(__xludf.DUMMYFUNCTION("""COMPUTED_VALUE"""),"Ford F250 2017 (Moby Dix) - DEP0021578")</f>
        <v>Ford F250 2017 (Moby Dix) - DEP0021578</v>
      </c>
      <c r="N198" t="str">
        <f ca="1">IFERROR(__xludf.DUMMYFUNCTION("""COMPUTED_VALUE"""),"Shannon Dunnigan, (803) 727-5734, Silas Tanner, (904) 483-8423")</f>
        <v>Shannon Dunnigan, (803) 727-5734, Silas Tanner, (904) 483-8423</v>
      </c>
      <c r="O198" t="str">
        <f ca="1">IFERROR(__xludf.DUMMYFUNCTION("""COMPUTED_VALUE"""),"Mike Darragh ")</f>
        <v xml:space="preserve">Mike Darragh </v>
      </c>
      <c r="P198" t="str">
        <f ca="1">IFERROR(__xludf.DUMMYFUNCTION("""COMPUTED_VALUE"""),"Dunnigan")</f>
        <v>Dunnigan</v>
      </c>
      <c r="Q198" t="str">
        <f ca="1">IFERROR(__xludf.DUMMYFUNCTION("""COMPUTED_VALUE"""),"Good")</f>
        <v>Good</v>
      </c>
      <c r="R198" t="str">
        <f ca="1">IFERROR(__xludf.DUMMYFUNCTION("""COMPUTED_VALUE"""),"Good")</f>
        <v>Good</v>
      </c>
      <c r="S198" t="str">
        <f ca="1">IFERROR(__xludf.DUMMYFUNCTION("""COMPUTED_VALUE"""),"Good")</f>
        <v>Good</v>
      </c>
      <c r="T198" t="str">
        <f ca="1">IFERROR(__xludf.DUMMYFUNCTION("""COMPUTED_VALUE"""),"Good")</f>
        <v>Good</v>
      </c>
      <c r="U198" t="str">
        <f ca="1">IFERROR(__xludf.DUMMYFUNCTION("""COMPUTED_VALUE"""),"Good")</f>
        <v>Good</v>
      </c>
      <c r="V198" t="str">
        <f ca="1">IFERROR(__xludf.DUMMYFUNCTION("""COMPUTED_VALUE"""),"Good")</f>
        <v>Good</v>
      </c>
      <c r="W198" t="str">
        <f ca="1">IFERROR(__xludf.DUMMYFUNCTION("""COMPUTED_VALUE"""),"Good")</f>
        <v>Good</v>
      </c>
      <c r="X198" t="str">
        <f ca="1">IFERROR(__xludf.DUMMYFUNCTION("""COMPUTED_VALUE"""),"Good")</f>
        <v>Good</v>
      </c>
      <c r="Y198" t="str">
        <f ca="1">IFERROR(__xludf.DUMMYFUNCTION("""COMPUTED_VALUE"""),"Good")</f>
        <v>Good</v>
      </c>
      <c r="Z198" t="str">
        <f ca="1">IFERROR(__xludf.DUMMYFUNCTION("""COMPUTED_VALUE"""),"Good")</f>
        <v>Good</v>
      </c>
      <c r="AA198" t="str">
        <f ca="1">IFERROR(__xludf.DUMMYFUNCTION("""COMPUTED_VALUE"""),"Good")</f>
        <v>Good</v>
      </c>
      <c r="AB198" t="str">
        <f ca="1">IFERROR(__xludf.DUMMYFUNCTION("""COMPUTED_VALUE"""),"Good")</f>
        <v>Good</v>
      </c>
      <c r="AC198" t="str">
        <f ca="1">IFERROR(__xludf.DUMMYFUNCTION("""COMPUTED_VALUE"""),"Good")</f>
        <v>Good</v>
      </c>
      <c r="AE198" s="11"/>
      <c r="AF198" t="str">
        <v>Nikki.Dix@floridadep.gov</v>
      </c>
      <c r="AG198" s="18"/>
      <c r="AI198" s="12" t="s">
        <v>538</v>
      </c>
      <c r="AJ198" s="19" t="s">
        <v>539</v>
      </c>
      <c r="AK198" s="20" t="str">
        <f>HYPERLINK("https://docs.google.com/document/d/1kbvT1CsqWVSgIaGJKDYhYIm_4ojgiC2OS4qGLdNc4tI/edit?usp=drivesdk","Silas Tanner - 11/14/2018 10:30 AM")</f>
        <v>Silas Tanner - 11/14/2018 10:30 AM</v>
      </c>
      <c r="AL198" s="12" t="s">
        <v>540</v>
      </c>
    </row>
    <row r="199" spans="1:38" ht="12.75">
      <c r="A199" s="10">
        <f ca="1">IFERROR(__xludf.DUMMYFUNCTION("""COMPUTED_VALUE"""),43419.4357276504)</f>
        <v>43419.435727650402</v>
      </c>
      <c r="B199" s="11" t="str">
        <f ca="1">IFERROR(__xludf.DUMMYFUNCTION("""COMPUTED_VALUE"""),"Silas Tanner")</f>
        <v>Silas Tanner</v>
      </c>
      <c r="C199" t="str">
        <f ca="1">IFERROR(__xludf.DUMMYFUNCTION("""COMPUTED_VALUE"""),"silas.tanner@floridadep.gov")</f>
        <v>silas.tanner@floridadep.gov</v>
      </c>
      <c r="D199" t="str">
        <f ca="1">IFERROR(__xludf.DUMMYFUNCTION("""COMPUTED_VALUE"""),"Research/Nikki")</f>
        <v>Research/Nikki</v>
      </c>
      <c r="E199" t="str">
        <f ca="1">IFERROR(__xludf.DUMMYFUNCTION("""COMPUTED_VALUE"""),"Vilano county ramp")</f>
        <v>Vilano county ramp</v>
      </c>
      <c r="F199" s="13">
        <f ca="1">IFERROR(__xludf.DUMMYFUNCTION("""COMPUTED_VALUE"""),0.45833333333212)</f>
        <v>0.45833333333212001</v>
      </c>
      <c r="G199" s="14">
        <f ca="1">IFERROR(__xludf.DUMMYFUNCTION("""COMPUTED_VALUE"""),43419)</f>
        <v>43419</v>
      </c>
      <c r="H199" t="str">
        <f ca="1">IFERROR(__xludf.DUMMYFUNCTION("""COMPUTED_VALUE"""),"ICW - SWMP sites")</f>
        <v>ICW - SWMP sites</v>
      </c>
      <c r="I199" s="15">
        <f ca="1">IFERROR(__xludf.DUMMYFUNCTION("""COMPUTED_VALUE"""),0.625)</f>
        <v>0.625</v>
      </c>
      <c r="J199" s="16">
        <f ca="1">IFERROR(__xludf.DUMMYFUNCTION("""COMPUTED_VALUE"""),43419.6354166666)</f>
        <v>43419.635416666599</v>
      </c>
      <c r="K199" t="str">
        <f ca="1">IFERROR(__xludf.DUMMYFUNCTION("""COMPUTED_VALUE"""),"20ft Sea Ark FL5351SJ UNF 2015")</f>
        <v>20ft Sea Ark FL5351SJ UNF 2015</v>
      </c>
      <c r="M199" t="str">
        <f ca="1">IFERROR(__xludf.DUMMYFUNCTION("""COMPUTED_VALUE"""),"Ford F250 2017 (Moby Dix) - DEP0021578")</f>
        <v>Ford F250 2017 (Moby Dix) - DEP0021578</v>
      </c>
      <c r="N199" t="str">
        <f ca="1">IFERROR(__xludf.DUMMYFUNCTION("""COMPUTED_VALUE"""),"Silas Tanner, (904) 483-8423")</f>
        <v>Silas Tanner, (904) 483-8423</v>
      </c>
      <c r="O199" t="str">
        <f ca="1">IFERROR(__xludf.DUMMYFUNCTION("""COMPUTED_VALUE"""),"Hunter Mathews, Mike Darragh")</f>
        <v>Hunter Mathews, Mike Darragh</v>
      </c>
      <c r="P199" t="str">
        <f ca="1">IFERROR(__xludf.DUMMYFUNCTION("""COMPUTED_VALUE"""),"S. Tanner")</f>
        <v>S. Tanner</v>
      </c>
      <c r="Q199" t="str">
        <f ca="1">IFERROR(__xludf.DUMMYFUNCTION("""COMPUTED_VALUE"""),"Good")</f>
        <v>Good</v>
      </c>
      <c r="R199" t="str">
        <f ca="1">IFERROR(__xludf.DUMMYFUNCTION("""COMPUTED_VALUE"""),"Good")</f>
        <v>Good</v>
      </c>
      <c r="S199" t="str">
        <f ca="1">IFERROR(__xludf.DUMMYFUNCTION("""COMPUTED_VALUE"""),"Good")</f>
        <v>Good</v>
      </c>
      <c r="T199" t="str">
        <f ca="1">IFERROR(__xludf.DUMMYFUNCTION("""COMPUTED_VALUE"""),"Good")</f>
        <v>Good</v>
      </c>
      <c r="U199" t="str">
        <f ca="1">IFERROR(__xludf.DUMMYFUNCTION("""COMPUTED_VALUE"""),"Good")</f>
        <v>Good</v>
      </c>
      <c r="V199" t="str">
        <f ca="1">IFERROR(__xludf.DUMMYFUNCTION("""COMPUTED_VALUE"""),"Good")</f>
        <v>Good</v>
      </c>
      <c r="W199" t="str">
        <f ca="1">IFERROR(__xludf.DUMMYFUNCTION("""COMPUTED_VALUE"""),"Good")</f>
        <v>Good</v>
      </c>
      <c r="X199" t="str">
        <f ca="1">IFERROR(__xludf.DUMMYFUNCTION("""COMPUTED_VALUE"""),"Good")</f>
        <v>Good</v>
      </c>
      <c r="Y199" t="str">
        <f ca="1">IFERROR(__xludf.DUMMYFUNCTION("""COMPUTED_VALUE"""),"Good")</f>
        <v>Good</v>
      </c>
      <c r="Z199" t="str">
        <f ca="1">IFERROR(__xludf.DUMMYFUNCTION("""COMPUTED_VALUE"""),"Good")</f>
        <v>Good</v>
      </c>
      <c r="AA199" t="str">
        <f ca="1">IFERROR(__xludf.DUMMYFUNCTION("""COMPUTED_VALUE"""),"Good")</f>
        <v>Good</v>
      </c>
      <c r="AB199" t="str">
        <f ca="1">IFERROR(__xludf.DUMMYFUNCTION("""COMPUTED_VALUE"""),"Good")</f>
        <v>Good</v>
      </c>
      <c r="AC199" t="str">
        <f ca="1">IFERROR(__xludf.DUMMYFUNCTION("""COMPUTED_VALUE"""),"Good")</f>
        <v>Good</v>
      </c>
      <c r="AE199" s="11"/>
      <c r="AF199" t="str">
        <v>Nikki.Dix@floridadep.gov</v>
      </c>
      <c r="AG199" s="17" t="s">
        <v>126</v>
      </c>
      <c r="AH199" s="12">
        <v>1430</v>
      </c>
      <c r="AI199" s="12" t="s">
        <v>541</v>
      </c>
      <c r="AJ199" s="19" t="s">
        <v>542</v>
      </c>
      <c r="AK199" s="20" t="str">
        <f>HYPERLINK("https://docs.google.com/document/d/1Ro8NJhnFBHEkHT8r9UkoHcGushyxmf7T7UxF2d3EPTo/edit?usp=drivesdk","Silas Tanner - 11/15/2018 11:00 AM")</f>
        <v>Silas Tanner - 11/15/2018 11:00 AM</v>
      </c>
      <c r="AL199" s="12" t="s">
        <v>543</v>
      </c>
    </row>
    <row r="200" spans="1:38" ht="12.75">
      <c r="A200" s="10">
        <f ca="1">IFERROR(__xludf.DUMMYFUNCTION("""COMPUTED_VALUE"""),43430.6148708333)</f>
        <v>43430.614870833298</v>
      </c>
      <c r="B200" s="11" t="str">
        <f ca="1">IFERROR(__xludf.DUMMYFUNCTION("""COMPUTED_VALUE"""),"Ben Mowbray")</f>
        <v>Ben Mowbray</v>
      </c>
      <c r="C200" t="str">
        <f ca="1">IFERROR(__xludf.DUMMYFUNCTION("""COMPUTED_VALUE"""),"ben.mowbray@dep.state.fl.us")</f>
        <v>ben.mowbray@dep.state.fl.us</v>
      </c>
      <c r="D200" t="str">
        <f ca="1">IFERROR(__xludf.DUMMYFUNCTION("""COMPUTED_VALUE"""),"Research/Pam")</f>
        <v>Research/Pam</v>
      </c>
      <c r="E200" t="str">
        <f ca="1">IFERROR(__xludf.DUMMYFUNCTION("""COMPUTED_VALUE"""),"Douglas Crane")</f>
        <v>Douglas Crane</v>
      </c>
      <c r="F200" s="13">
        <f ca="1">IFERROR(__xludf.DUMMYFUNCTION("""COMPUTED_VALUE"""),0.611111111109494)</f>
        <v>0.61111111110949401</v>
      </c>
      <c r="G200" s="14">
        <f ca="1">IFERROR(__xludf.DUMMYFUNCTION("""COMPUTED_VALUE"""),43431)</f>
        <v>43431</v>
      </c>
      <c r="H200" t="str">
        <f ca="1">IFERROR(__xludf.DUMMYFUNCTION("""COMPUTED_VALUE"""),"Chapman site and Marsh monitoring platforms")</f>
        <v>Chapman site and Marsh monitoring platforms</v>
      </c>
      <c r="I200" s="15">
        <f ca="1">IFERROR(__xludf.DUMMYFUNCTION("""COMPUTED_VALUE"""),0.680555555554747)</f>
        <v>0.680555555554747</v>
      </c>
      <c r="J200" s="16">
        <f ca="1">IFERROR(__xludf.DUMMYFUNCTION("""COMPUTED_VALUE"""),43431.7083333333)</f>
        <v>43431.708333333299</v>
      </c>
      <c r="K200" t="str">
        <f ca="1">IFERROR(__xludf.DUMMYFUNCTION("""COMPUTED_VALUE"""),"20ft Sea Ark FL5351SJ UNF 2015")</f>
        <v>20ft Sea Ark FL5351SJ UNF 2015</v>
      </c>
      <c r="M200" t="str">
        <f ca="1">IFERROR(__xludf.DUMMYFUNCTION("""COMPUTED_VALUE"""),"Ford F250 2017 (Moby Dix) - DEP0021578")</f>
        <v>Ford F250 2017 (Moby Dix) - DEP0021578</v>
      </c>
      <c r="N200" t="str">
        <f ca="1">IFERROR(__xludf.DUMMYFUNCTION("""COMPUTED_VALUE"""),"Ben Mowbray, (407) 962-8782")</f>
        <v>Ben Mowbray, (407) 962-8782</v>
      </c>
      <c r="O200" t="str">
        <f ca="1">IFERROR(__xludf.DUMMYFUNCTION("""COMPUTED_VALUE"""),"Gabby")</f>
        <v>Gabby</v>
      </c>
      <c r="P200" t="str">
        <f ca="1">IFERROR(__xludf.DUMMYFUNCTION("""COMPUTED_VALUE"""),"Ben")</f>
        <v>Ben</v>
      </c>
      <c r="Q200" t="str">
        <f ca="1">IFERROR(__xludf.DUMMYFUNCTION("""COMPUTED_VALUE"""),"Good")</f>
        <v>Good</v>
      </c>
      <c r="R200" t="str">
        <f ca="1">IFERROR(__xludf.DUMMYFUNCTION("""COMPUTED_VALUE"""),"Good")</f>
        <v>Good</v>
      </c>
      <c r="S200" t="str">
        <f ca="1">IFERROR(__xludf.DUMMYFUNCTION("""COMPUTED_VALUE"""),"Good")</f>
        <v>Good</v>
      </c>
      <c r="T200" t="str">
        <f ca="1">IFERROR(__xludf.DUMMYFUNCTION("""COMPUTED_VALUE"""),"Good")</f>
        <v>Good</v>
      </c>
      <c r="U200" t="str">
        <f ca="1">IFERROR(__xludf.DUMMYFUNCTION("""COMPUTED_VALUE"""),"Good")</f>
        <v>Good</v>
      </c>
      <c r="V200" t="str">
        <f ca="1">IFERROR(__xludf.DUMMYFUNCTION("""COMPUTED_VALUE"""),"Good")</f>
        <v>Good</v>
      </c>
      <c r="W200" t="str">
        <f ca="1">IFERROR(__xludf.DUMMYFUNCTION("""COMPUTED_VALUE"""),"Good")</f>
        <v>Good</v>
      </c>
      <c r="X200" t="str">
        <f ca="1">IFERROR(__xludf.DUMMYFUNCTION("""COMPUTED_VALUE"""),"Good")</f>
        <v>Good</v>
      </c>
      <c r="Y200" t="str">
        <f ca="1">IFERROR(__xludf.DUMMYFUNCTION("""COMPUTED_VALUE"""),"Good")</f>
        <v>Good</v>
      </c>
      <c r="Z200" t="str">
        <f ca="1">IFERROR(__xludf.DUMMYFUNCTION("""COMPUTED_VALUE"""),"Good")</f>
        <v>Good</v>
      </c>
      <c r="AA200" t="str">
        <f ca="1">IFERROR(__xludf.DUMMYFUNCTION("""COMPUTED_VALUE"""),"Good")</f>
        <v>Good</v>
      </c>
      <c r="AB200" t="str">
        <f ca="1">IFERROR(__xludf.DUMMYFUNCTION("""COMPUTED_VALUE"""),"Good")</f>
        <v>Good</v>
      </c>
      <c r="AC200" t="str">
        <f ca="1">IFERROR(__xludf.DUMMYFUNCTION("""COMPUTED_VALUE"""),"Good")</f>
        <v>Good</v>
      </c>
      <c r="AE200" s="11"/>
      <c r="AF200" t="str">
        <v>Pamela.Marcum@floridadep.gov</v>
      </c>
      <c r="AG200" s="17" t="s">
        <v>139</v>
      </c>
      <c r="AH200" s="12">
        <v>1620</v>
      </c>
      <c r="AI200" s="12" t="s">
        <v>544</v>
      </c>
      <c r="AJ200" s="19" t="s">
        <v>545</v>
      </c>
      <c r="AK200" s="20" t="str">
        <f>HYPERLINK("https://docs.google.com/document/d/1oCIbNyJwXRwNMINWHnLOK0AHi7aUYV5hxePSeCyfP2Q/edit?usp=drivesdk","Ben Mowbray - 11/27/2018 2:40 PM")</f>
        <v>Ben Mowbray - 11/27/2018 2:40 PM</v>
      </c>
      <c r="AL200" s="12" t="s">
        <v>546</v>
      </c>
    </row>
    <row r="201" spans="1:38" ht="12.75">
      <c r="A201" s="10">
        <f ca="1">IFERROR(__xludf.DUMMYFUNCTION("""COMPUTED_VALUE"""),43431.758201574)</f>
        <v>43431.758201573997</v>
      </c>
      <c r="B201" s="11" t="str">
        <f ca="1">IFERROR(__xludf.DUMMYFUNCTION("""COMPUTED_VALUE"""),"Ben Mowbray")</f>
        <v>Ben Mowbray</v>
      </c>
      <c r="C201" t="str">
        <f ca="1">IFERROR(__xludf.DUMMYFUNCTION("""COMPUTED_VALUE"""),"ben.mowbray@dep.state.fl.us")</f>
        <v>ben.mowbray@dep.state.fl.us</v>
      </c>
      <c r="D201" t="str">
        <f ca="1">IFERROR(__xludf.DUMMYFUNCTION("""COMPUTED_VALUE"""),"Research/Nikki")</f>
        <v>Research/Nikki</v>
      </c>
      <c r="E201" t="str">
        <f ca="1">IFERROR(__xludf.DUMMYFUNCTION("""COMPUTED_VALUE"""),"Green Road")</f>
        <v>Green Road</v>
      </c>
      <c r="F201" s="13">
        <f ca="1">IFERROR(__xludf.DUMMYFUNCTION("""COMPUTED_VALUE"""),0.409722222222626)</f>
        <v>0.409722222222626</v>
      </c>
      <c r="G201" s="14">
        <f ca="1">IFERROR(__xludf.DUMMYFUNCTION("""COMPUTED_VALUE"""),43431)</f>
        <v>43431</v>
      </c>
      <c r="H201" t="str">
        <f ca="1">IFERROR(__xludf.DUMMYFUNCTION("""COMPUTED_VALUE"""),"Moses Creek, Devil's Elbow")</f>
        <v>Moses Creek, Devil's Elbow</v>
      </c>
      <c r="I201" s="15">
        <f ca="1">IFERROR(__xludf.DUMMYFUNCTION("""COMPUTED_VALUE"""),0.666666666667879)</f>
        <v>0.66666666666787899</v>
      </c>
      <c r="J201" s="16">
        <f ca="1">IFERROR(__xludf.DUMMYFUNCTION("""COMPUTED_VALUE"""),43431.7222222222)</f>
        <v>43431.722222222197</v>
      </c>
      <c r="K201" t="str">
        <f ca="1">IFERROR(__xludf.DUMMYFUNCTION("""COMPUTED_VALUE"""),"20ft Sea Ark FL5351SJ UNF 2015")</f>
        <v>20ft Sea Ark FL5351SJ UNF 2015</v>
      </c>
      <c r="M201" t="str">
        <f ca="1">IFERROR(__xludf.DUMMYFUNCTION("""COMPUTED_VALUE"""),"Ford F250 2017 (Moby Dix) - DEP0021578")</f>
        <v>Ford F250 2017 (Moby Dix) - DEP0021578</v>
      </c>
      <c r="N201" t="str">
        <f ca="1">IFERROR(__xludf.DUMMYFUNCTION("""COMPUTED_VALUE"""),"Ben Mowbray, (407) 962-8782")</f>
        <v>Ben Mowbray, (407) 962-8782</v>
      </c>
      <c r="O201" t="str">
        <f ca="1">IFERROR(__xludf.DUMMYFUNCTION("""COMPUTED_VALUE"""),"Nicole Peckham, Rodrigo Pavani, Adrienne Brief-Pilz")</f>
        <v>Nicole Peckham, Rodrigo Pavani, Adrienne Brief-Pilz</v>
      </c>
      <c r="P201" t="str">
        <f ca="1">IFERROR(__xludf.DUMMYFUNCTION("""COMPUTED_VALUE"""),"Ben")</f>
        <v>Ben</v>
      </c>
      <c r="Q201" t="str">
        <f ca="1">IFERROR(__xludf.DUMMYFUNCTION("""COMPUTED_VALUE"""),"Good")</f>
        <v>Good</v>
      </c>
      <c r="R201" t="str">
        <f ca="1">IFERROR(__xludf.DUMMYFUNCTION("""COMPUTED_VALUE"""),"Good")</f>
        <v>Good</v>
      </c>
      <c r="S201" t="str">
        <f ca="1">IFERROR(__xludf.DUMMYFUNCTION("""COMPUTED_VALUE"""),"Good")</f>
        <v>Good</v>
      </c>
      <c r="T201" t="str">
        <f ca="1">IFERROR(__xludf.DUMMYFUNCTION("""COMPUTED_VALUE"""),"Good")</f>
        <v>Good</v>
      </c>
      <c r="U201" t="str">
        <f ca="1">IFERROR(__xludf.DUMMYFUNCTION("""COMPUTED_VALUE"""),"Good")</f>
        <v>Good</v>
      </c>
      <c r="V201" t="str">
        <f ca="1">IFERROR(__xludf.DUMMYFUNCTION("""COMPUTED_VALUE"""),"Good")</f>
        <v>Good</v>
      </c>
      <c r="W201" t="str">
        <f ca="1">IFERROR(__xludf.DUMMYFUNCTION("""COMPUTED_VALUE"""),"Good")</f>
        <v>Good</v>
      </c>
      <c r="X201" t="str">
        <f ca="1">IFERROR(__xludf.DUMMYFUNCTION("""COMPUTED_VALUE"""),"Good")</f>
        <v>Good</v>
      </c>
      <c r="Y201" t="str">
        <f ca="1">IFERROR(__xludf.DUMMYFUNCTION("""COMPUTED_VALUE"""),"Good")</f>
        <v>Good</v>
      </c>
      <c r="Z201" t="str">
        <f ca="1">IFERROR(__xludf.DUMMYFUNCTION("""COMPUTED_VALUE"""),"Good")</f>
        <v>Good</v>
      </c>
      <c r="AA201" t="str">
        <f ca="1">IFERROR(__xludf.DUMMYFUNCTION("""COMPUTED_VALUE"""),"Good")</f>
        <v>Good</v>
      </c>
      <c r="AB201" t="str">
        <f ca="1">IFERROR(__xludf.DUMMYFUNCTION("""COMPUTED_VALUE"""),"Good")</f>
        <v>Good</v>
      </c>
      <c r="AC201" t="str">
        <f ca="1">IFERROR(__xludf.DUMMYFUNCTION("""COMPUTED_VALUE"""),"Good")</f>
        <v>Good</v>
      </c>
      <c r="AE201" s="11"/>
      <c r="AF201" t="str">
        <v>Nikki.Dix@floridadep.gov</v>
      </c>
      <c r="AG201" s="17" t="s">
        <v>444</v>
      </c>
      <c r="AH201" s="12">
        <v>1215</v>
      </c>
      <c r="AI201" s="12" t="s">
        <v>547</v>
      </c>
      <c r="AJ201" s="19" t="s">
        <v>548</v>
      </c>
      <c r="AK201" s="20" t="str">
        <f>HYPERLINK("https://docs.google.com/document/d/1UytU1qoyfwDOxvXCNFzuyxYJSlOMrr0F6BOQspPMTz0/edit?usp=drivesdk","Ben Mowbray - 11/27/2018 9:50 AM")</f>
        <v>Ben Mowbray - 11/27/2018 9:50 AM</v>
      </c>
      <c r="AL201" s="12" t="s">
        <v>549</v>
      </c>
    </row>
    <row r="202" spans="1:38" ht="12.75">
      <c r="A202" s="10">
        <f ca="1">IFERROR(__xludf.DUMMYFUNCTION("""COMPUTED_VALUE"""),43433.290531574)</f>
        <v>43433.290531573999</v>
      </c>
      <c r="B202" s="11" t="str">
        <f ca="1">IFERROR(__xludf.DUMMYFUNCTION("""COMPUTED_VALUE"""),"Ben Mowbray")</f>
        <v>Ben Mowbray</v>
      </c>
      <c r="C202" t="str">
        <f ca="1">IFERROR(__xludf.DUMMYFUNCTION("""COMPUTED_VALUE"""),"ben.mowbray@dep.state.fl.us")</f>
        <v>ben.mowbray@dep.state.fl.us</v>
      </c>
      <c r="D202" t="str">
        <f ca="1">IFERROR(__xludf.DUMMYFUNCTION("""COMPUTED_VALUE"""),"Research/Pam")</f>
        <v>Research/Pam</v>
      </c>
      <c r="E202" t="str">
        <f ca="1">IFERROR(__xludf.DUMMYFUNCTION("""COMPUTED_VALUE"""),"Whitney")</f>
        <v>Whitney</v>
      </c>
      <c r="F202" s="13">
        <f ca="1">IFERROR(__xludf.DUMMYFUNCTION("""COMPUTED_VALUE"""),0.347222222222626)</f>
        <v>0.347222222222626</v>
      </c>
      <c r="G202" s="14">
        <f ca="1">IFERROR(__xludf.DUMMYFUNCTION("""COMPUTED_VALUE"""),43433)</f>
        <v>43433</v>
      </c>
      <c r="H202" t="str">
        <f ca="1">IFERROR(__xludf.DUMMYFUNCTION("""COMPUTED_VALUE"""),"Pellicer and Devil's Elbow reefs")</f>
        <v>Pellicer and Devil's Elbow reefs</v>
      </c>
      <c r="I202" s="15">
        <f ca="1">IFERROR(__xludf.DUMMYFUNCTION("""COMPUTED_VALUE"""),0.58333333333212)</f>
        <v>0.58333333333212001</v>
      </c>
      <c r="J202" s="16">
        <f ca="1">IFERROR(__xludf.DUMMYFUNCTION("""COMPUTED_VALUE"""),43433.6388888888)</f>
        <v>43433.638888888803</v>
      </c>
      <c r="K202" t="str">
        <f ca="1">IFERROR(__xludf.DUMMYFUNCTION("""COMPUTED_VALUE"""),"20ft Sea Ark FL5351SJ UNF 2015")</f>
        <v>20ft Sea Ark FL5351SJ UNF 2015</v>
      </c>
      <c r="M202" t="str">
        <f ca="1">IFERROR(__xludf.DUMMYFUNCTION("""COMPUTED_VALUE"""),"Ford F250 2017 (Moby Dix) - DEP0021578")</f>
        <v>Ford F250 2017 (Moby Dix) - DEP0021578</v>
      </c>
      <c r="N202" t="str">
        <f ca="1">IFERROR(__xludf.DUMMYFUNCTION("""COMPUTED_VALUE"""),"Ben Mowbray, (407) 962-8782")</f>
        <v>Ben Mowbray, (407) 962-8782</v>
      </c>
      <c r="O202" t="str">
        <f ca="1">IFERROR(__xludf.DUMMYFUNCTION("""COMPUTED_VALUE"""),"Nicole Peckham, Adrienne Brief-Pilz")</f>
        <v>Nicole Peckham, Adrienne Brief-Pilz</v>
      </c>
      <c r="P202" t="str">
        <f ca="1">IFERROR(__xludf.DUMMYFUNCTION("""COMPUTED_VALUE"""),"Ben")</f>
        <v>Ben</v>
      </c>
      <c r="Q202" t="str">
        <f ca="1">IFERROR(__xludf.DUMMYFUNCTION("""COMPUTED_VALUE"""),"Good")</f>
        <v>Good</v>
      </c>
      <c r="R202" t="str">
        <f ca="1">IFERROR(__xludf.DUMMYFUNCTION("""COMPUTED_VALUE"""),"Good")</f>
        <v>Good</v>
      </c>
      <c r="S202" t="str">
        <f ca="1">IFERROR(__xludf.DUMMYFUNCTION("""COMPUTED_VALUE"""),"Good")</f>
        <v>Good</v>
      </c>
      <c r="T202" t="str">
        <f ca="1">IFERROR(__xludf.DUMMYFUNCTION("""COMPUTED_VALUE"""),"Good")</f>
        <v>Good</v>
      </c>
      <c r="U202" t="str">
        <f ca="1">IFERROR(__xludf.DUMMYFUNCTION("""COMPUTED_VALUE"""),"Good")</f>
        <v>Good</v>
      </c>
      <c r="V202" t="str">
        <f ca="1">IFERROR(__xludf.DUMMYFUNCTION("""COMPUTED_VALUE"""),"Good")</f>
        <v>Good</v>
      </c>
      <c r="W202" t="str">
        <f ca="1">IFERROR(__xludf.DUMMYFUNCTION("""COMPUTED_VALUE"""),"Good")</f>
        <v>Good</v>
      </c>
      <c r="X202" t="str">
        <f ca="1">IFERROR(__xludf.DUMMYFUNCTION("""COMPUTED_VALUE"""),"Good")</f>
        <v>Good</v>
      </c>
      <c r="Y202" t="str">
        <f ca="1">IFERROR(__xludf.DUMMYFUNCTION("""COMPUTED_VALUE"""),"Good")</f>
        <v>Good</v>
      </c>
      <c r="Z202" t="str">
        <f ca="1">IFERROR(__xludf.DUMMYFUNCTION("""COMPUTED_VALUE"""),"Good")</f>
        <v>Good</v>
      </c>
      <c r="AA202" t="str">
        <f ca="1">IFERROR(__xludf.DUMMYFUNCTION("""COMPUTED_VALUE"""),"Good")</f>
        <v>Good</v>
      </c>
      <c r="AB202" t="str">
        <f ca="1">IFERROR(__xludf.DUMMYFUNCTION("""COMPUTED_VALUE"""),"Good")</f>
        <v>Good</v>
      </c>
      <c r="AC202" t="str">
        <f ca="1">IFERROR(__xludf.DUMMYFUNCTION("""COMPUTED_VALUE"""),"Good")</f>
        <v>Good</v>
      </c>
      <c r="AE202" s="11"/>
      <c r="AF202" t="str">
        <v>Pamela.Marcum@floridadep.gov</v>
      </c>
      <c r="AG202" s="17" t="s">
        <v>444</v>
      </c>
      <c r="AH202" s="12">
        <v>1200</v>
      </c>
      <c r="AI202" s="12" t="s">
        <v>550</v>
      </c>
      <c r="AJ202" s="19" t="s">
        <v>551</v>
      </c>
      <c r="AK202" s="20" t="str">
        <f>HYPERLINK("https://docs.google.com/document/d/1WPXaA7dO7Ju4PLovG3d8P_hfoKL3mzHt2dO7NERh5Nc/edit?usp=drivesdk","Ben Mowbray - 11/29/2018 8:20 AM")</f>
        <v>Ben Mowbray - 11/29/2018 8:20 AM</v>
      </c>
      <c r="AL202" s="12" t="s">
        <v>552</v>
      </c>
    </row>
    <row r="203" spans="1:38" ht="12.75">
      <c r="A203" s="10">
        <f ca="1">IFERROR(__xludf.DUMMYFUNCTION("""COMPUTED_VALUE"""),43434.2872713425)</f>
        <v>43434.287271342502</v>
      </c>
      <c r="B203" s="11" t="str">
        <f ca="1">IFERROR(__xludf.DUMMYFUNCTION("""COMPUTED_VALUE"""),"Ben Mowbray")</f>
        <v>Ben Mowbray</v>
      </c>
      <c r="C203" t="str">
        <f ca="1">IFERROR(__xludf.DUMMYFUNCTION("""COMPUTED_VALUE"""),"ben.mowbray@dep.state.fl.us")</f>
        <v>ben.mowbray@dep.state.fl.us</v>
      </c>
      <c r="D203" t="str">
        <f ca="1">IFERROR(__xludf.DUMMYFUNCTION("""COMPUTED_VALUE"""),"Research/Nikki")</f>
        <v>Research/Nikki</v>
      </c>
      <c r="E203" t="str">
        <f ca="1">IFERROR(__xludf.DUMMYFUNCTION("""COMPUTED_VALUE"""),"Aunt Kate's")</f>
        <v>Aunt Kate's</v>
      </c>
      <c r="F203" s="13">
        <f ca="1">IFERROR(__xludf.DUMMYFUNCTION("""COMPUTED_VALUE"""),0.305555555554747)</f>
        <v>0.305555555554747</v>
      </c>
      <c r="G203" s="14">
        <f ca="1">IFERROR(__xludf.DUMMYFUNCTION("""COMPUTED_VALUE"""),43434)</f>
        <v>43434</v>
      </c>
      <c r="H203" t="str">
        <f ca="1">IFERROR(__xludf.DUMMYFUNCTION("""COMPUTED_VALUE"""),"TR, GR, SR reefs")</f>
        <v>TR, GR, SR reefs</v>
      </c>
      <c r="I203" s="15">
        <f ca="1">IFERROR(__xludf.DUMMYFUNCTION("""COMPUTED_VALUE"""),0.513888888890505)</f>
        <v>0.51388888889050499</v>
      </c>
      <c r="J203" s="16">
        <f ca="1">IFERROR(__xludf.DUMMYFUNCTION("""COMPUTED_VALUE"""),43434.5416666666)</f>
        <v>43434.541666666599</v>
      </c>
      <c r="K203" t="str">
        <f ca="1">IFERROR(__xludf.DUMMYFUNCTION("""COMPUTED_VALUE"""),"20ft Sea Ark FL5351SJ UNF 2015")</f>
        <v>20ft Sea Ark FL5351SJ UNF 2015</v>
      </c>
      <c r="M203" t="str">
        <f ca="1">IFERROR(__xludf.DUMMYFUNCTION("""COMPUTED_VALUE"""),"Ford F250 2017 (Moby Dix) - DEP0021578")</f>
        <v>Ford F250 2017 (Moby Dix) - DEP0021578</v>
      </c>
      <c r="N203" t="str">
        <f ca="1">IFERROR(__xludf.DUMMYFUNCTION("""COMPUTED_VALUE"""),"Ben Mowbray, (407) 962-8782")</f>
        <v>Ben Mowbray, (407) 962-8782</v>
      </c>
      <c r="O203" t="str">
        <f ca="1">IFERROR(__xludf.DUMMYFUNCTION("""COMPUTED_VALUE"""),"Alicia Bishop")</f>
        <v>Alicia Bishop</v>
      </c>
      <c r="P203" t="str">
        <f ca="1">IFERROR(__xludf.DUMMYFUNCTION("""COMPUTED_VALUE"""),"Ben")</f>
        <v>Ben</v>
      </c>
      <c r="Q203" t="str">
        <f ca="1">IFERROR(__xludf.DUMMYFUNCTION("""COMPUTED_VALUE"""),"Good")</f>
        <v>Good</v>
      </c>
      <c r="R203" t="str">
        <f ca="1">IFERROR(__xludf.DUMMYFUNCTION("""COMPUTED_VALUE"""),"Good")</f>
        <v>Good</v>
      </c>
      <c r="S203" t="str">
        <f ca="1">IFERROR(__xludf.DUMMYFUNCTION("""COMPUTED_VALUE"""),"Good")</f>
        <v>Good</v>
      </c>
      <c r="T203" t="str">
        <f ca="1">IFERROR(__xludf.DUMMYFUNCTION("""COMPUTED_VALUE"""),"Good")</f>
        <v>Good</v>
      </c>
      <c r="U203" t="str">
        <f ca="1">IFERROR(__xludf.DUMMYFUNCTION("""COMPUTED_VALUE"""),"Good")</f>
        <v>Good</v>
      </c>
      <c r="V203" t="str">
        <f ca="1">IFERROR(__xludf.DUMMYFUNCTION("""COMPUTED_VALUE"""),"Good")</f>
        <v>Good</v>
      </c>
      <c r="W203" t="str">
        <f ca="1">IFERROR(__xludf.DUMMYFUNCTION("""COMPUTED_VALUE"""),"Good")</f>
        <v>Good</v>
      </c>
      <c r="X203" t="str">
        <f ca="1">IFERROR(__xludf.DUMMYFUNCTION("""COMPUTED_VALUE"""),"Good")</f>
        <v>Good</v>
      </c>
      <c r="Y203" t="str">
        <f ca="1">IFERROR(__xludf.DUMMYFUNCTION("""COMPUTED_VALUE"""),"Good")</f>
        <v>Good</v>
      </c>
      <c r="Z203" t="str">
        <f ca="1">IFERROR(__xludf.DUMMYFUNCTION("""COMPUTED_VALUE"""),"Good")</f>
        <v>Good</v>
      </c>
      <c r="AA203" t="str">
        <f ca="1">IFERROR(__xludf.DUMMYFUNCTION("""COMPUTED_VALUE"""),"Good")</f>
        <v>Good</v>
      </c>
      <c r="AB203" t="str">
        <f ca="1">IFERROR(__xludf.DUMMYFUNCTION("""COMPUTED_VALUE"""),"Good")</f>
        <v>Good</v>
      </c>
      <c r="AC203" t="str">
        <f ca="1">IFERROR(__xludf.DUMMYFUNCTION("""COMPUTED_VALUE"""),"Good")</f>
        <v>Good</v>
      </c>
      <c r="AE203" s="11"/>
      <c r="AF203" t="str">
        <v>Nikki.Dix@floridadep.gov</v>
      </c>
      <c r="AG203" s="18"/>
      <c r="AH203" s="12">
        <v>1130</v>
      </c>
      <c r="AI203" s="12" t="s">
        <v>553</v>
      </c>
      <c r="AJ203" s="19" t="s">
        <v>554</v>
      </c>
      <c r="AK203" s="20" t="str">
        <f>HYPERLINK("https://docs.google.com/document/d/1-6d6hvJWvO6BYtbO2WWaqb1in49kdbEkIdMZcbPaJuo/edit?usp=drivesdk","Ben Mowbray - 11/30/2018 7:20 AM")</f>
        <v>Ben Mowbray - 11/30/2018 7:20 AM</v>
      </c>
      <c r="AL203" s="12" t="s">
        <v>555</v>
      </c>
    </row>
    <row r="204" spans="1:38" ht="12.75">
      <c r="A204" s="10">
        <f ca="1">IFERROR(__xludf.DUMMYFUNCTION("""COMPUTED_VALUE"""),43434.2964600115)</f>
        <v>43434.296460011501</v>
      </c>
      <c r="B204" s="11" t="str">
        <f ca="1">IFERROR(__xludf.DUMMYFUNCTION("""COMPUTED_VALUE"""),"Pamela Marcum")</f>
        <v>Pamela Marcum</v>
      </c>
      <c r="C204" t="str">
        <f ca="1">IFERROR(__xludf.DUMMYFUNCTION("""COMPUTED_VALUE"""),"Pamela.Marcum@Dep.state.fl.us")</f>
        <v>Pamela.Marcum@Dep.state.fl.us</v>
      </c>
      <c r="D204" t="str">
        <f ca="1">IFERROR(__xludf.DUMMYFUNCTION("""COMPUTED_VALUE"""),"Research/Nikki")</f>
        <v>Research/Nikki</v>
      </c>
      <c r="E204" t="str">
        <f ca="1">IFERROR(__xludf.DUMMYFUNCTION("""COMPUTED_VALUE"""),"Shore 7:30am, Green 9am, Bings 11pm")</f>
        <v>Shore 7:30am, Green 9am, Bings 11pm</v>
      </c>
      <c r="F204" s="13">
        <f ca="1">IFERROR(__xludf.DUMMYFUNCTION("""COMPUTED_VALUE"""),0.33333333333212)</f>
        <v>0.33333333333212001</v>
      </c>
      <c r="G204" s="14">
        <f ca="1">IFERROR(__xludf.DUMMYFUNCTION("""COMPUTED_VALUE"""),43434)</f>
        <v>43434</v>
      </c>
      <c r="H204" t="str">
        <f ca="1">IFERROR(__xludf.DUMMYFUNCTION("""COMPUTED_VALUE"""),"Spat Trees - Southern ")</f>
        <v xml:space="preserve">Spat Trees - Southern </v>
      </c>
      <c r="I204" s="15">
        <f ca="1">IFERROR(__xludf.DUMMYFUNCTION("""COMPUTED_VALUE"""),0.541666666667879)</f>
        <v>0.54166666666787899</v>
      </c>
      <c r="J204" s="16">
        <f ca="1">IFERROR(__xludf.DUMMYFUNCTION("""COMPUTED_VALUE"""),43434.5625)</f>
        <v>43434.5625</v>
      </c>
      <c r="K204" t="str">
        <f ca="1">IFERROR(__xludf.DUMMYFUNCTION("""COMPUTED_VALUE"""),"17ft Skill FL0642GW DEP07239")</f>
        <v>17ft Skill FL0642GW DEP07239</v>
      </c>
      <c r="M204" t="str">
        <f ca="1">IFERROR(__xludf.DUMMYFUNCTION("""COMPUTED_VALUE"""),"Ford F150 2010 - DEP07668 (4 door)")</f>
        <v>Ford F150 2010 - DEP07668 (4 door)</v>
      </c>
      <c r="N204" t="str">
        <f ca="1">IFERROR(__xludf.DUMMYFUNCTION("""COMPUTED_VALUE"""),"Pam Marcum, (480) 332-5414")</f>
        <v>Pam Marcum, (480) 332-5414</v>
      </c>
      <c r="O204" t="str">
        <f ca="1">IFERROR(__xludf.DUMMYFUNCTION("""COMPUTED_VALUE"""),"Abby Kuhn")</f>
        <v>Abby Kuhn</v>
      </c>
      <c r="P204" t="str">
        <f ca="1">IFERROR(__xludf.DUMMYFUNCTION("""COMPUTED_VALUE"""),"Pam")</f>
        <v>Pam</v>
      </c>
      <c r="Q204" t="str">
        <f ca="1">IFERROR(__xludf.DUMMYFUNCTION("""COMPUTED_VALUE"""),"Good")</f>
        <v>Good</v>
      </c>
      <c r="R204" t="str">
        <f ca="1">IFERROR(__xludf.DUMMYFUNCTION("""COMPUTED_VALUE"""),"Good")</f>
        <v>Good</v>
      </c>
      <c r="S204" t="str">
        <f ca="1">IFERROR(__xludf.DUMMYFUNCTION("""COMPUTED_VALUE"""),"Good")</f>
        <v>Good</v>
      </c>
      <c r="T204" t="str">
        <f ca="1">IFERROR(__xludf.DUMMYFUNCTION("""COMPUTED_VALUE"""),"Good")</f>
        <v>Good</v>
      </c>
      <c r="U204" t="str">
        <f ca="1">IFERROR(__xludf.DUMMYFUNCTION("""COMPUTED_VALUE"""),"Good")</f>
        <v>Good</v>
      </c>
      <c r="V204" t="str">
        <f ca="1">IFERROR(__xludf.DUMMYFUNCTION("""COMPUTED_VALUE"""),"Good")</f>
        <v>Good</v>
      </c>
      <c r="W204" t="str">
        <f ca="1">IFERROR(__xludf.DUMMYFUNCTION("""COMPUTED_VALUE"""),"Good")</f>
        <v>Good</v>
      </c>
      <c r="X204" t="str">
        <f ca="1">IFERROR(__xludf.DUMMYFUNCTION("""COMPUTED_VALUE"""),"Good")</f>
        <v>Good</v>
      </c>
      <c r="Y204" t="str">
        <f ca="1">IFERROR(__xludf.DUMMYFUNCTION("""COMPUTED_VALUE"""),"Good")</f>
        <v>Good</v>
      </c>
      <c r="Z204" t="str">
        <f ca="1">IFERROR(__xludf.DUMMYFUNCTION("""COMPUTED_VALUE"""),"Good")</f>
        <v>Good</v>
      </c>
      <c r="AA204" t="str">
        <f ca="1">IFERROR(__xludf.DUMMYFUNCTION("""COMPUTED_VALUE"""),"Good")</f>
        <v>Good</v>
      </c>
      <c r="AB204" t="str">
        <f ca="1">IFERROR(__xludf.DUMMYFUNCTION("""COMPUTED_VALUE"""),"Good")</f>
        <v>Good</v>
      </c>
      <c r="AC204" t="str">
        <f ca="1">IFERROR(__xludf.DUMMYFUNCTION("""COMPUTED_VALUE"""),"Good")</f>
        <v>Good</v>
      </c>
      <c r="AE204" s="11"/>
      <c r="AF204" t="str">
        <v>Nikki.Dix@floridadep.gov</v>
      </c>
      <c r="AG204" s="17" t="s">
        <v>556</v>
      </c>
      <c r="AH204" s="12">
        <v>1230</v>
      </c>
      <c r="AI204" s="12" t="s">
        <v>557</v>
      </c>
      <c r="AJ204" s="19" t="s">
        <v>558</v>
      </c>
      <c r="AK204" s="20" t="str">
        <f>HYPERLINK("https://docs.google.com/document/d/1GVAYZH_XWuygN1DJkmLahy2vWDXRXeAZcQd7hsb812o/edit?usp=drivesdk","Pamela Marcum - 11/30/2018 8:00 AM")</f>
        <v>Pamela Marcum - 11/30/2018 8:00 AM</v>
      </c>
      <c r="AL204" s="12" t="s">
        <v>559</v>
      </c>
    </row>
    <row r="205" spans="1:38" ht="12.75">
      <c r="A205" s="10">
        <f ca="1">IFERROR(__xludf.DUMMYFUNCTION("""COMPUTED_VALUE"""),43437.6070762615)</f>
        <v>43437.607076261498</v>
      </c>
      <c r="B205" s="11" t="str">
        <f ca="1">IFERROR(__xludf.DUMMYFUNCTION("""COMPUTED_VALUE"""),"Silas Tanner")</f>
        <v>Silas Tanner</v>
      </c>
      <c r="C205" t="str">
        <f ca="1">IFERROR(__xludf.DUMMYFUNCTION("""COMPUTED_VALUE"""),"silas.tanner@floridadep.gov")</f>
        <v>silas.tanner@floridadep.gov</v>
      </c>
      <c r="D205" t="str">
        <f ca="1">IFERROR(__xludf.DUMMYFUNCTION("""COMPUTED_VALUE"""),"Research/Nikki")</f>
        <v>Research/Nikki</v>
      </c>
      <c r="E205" t="str">
        <f ca="1">IFERROR(__xludf.DUMMYFUNCTION("""COMPUTED_VALUE"""),"Vilano Landing (county ramp)")</f>
        <v>Vilano Landing (county ramp)</v>
      </c>
      <c r="F205" s="13">
        <f ca="1">IFERROR(__xludf.DUMMYFUNCTION("""COMPUTED_VALUE"""),0.3125)</f>
        <v>0.3125</v>
      </c>
      <c r="G205" s="14">
        <f ca="1">IFERROR(__xludf.DUMMYFUNCTION("""COMPUTED_VALUE"""),43438)</f>
        <v>43438</v>
      </c>
      <c r="H205" t="str">
        <f ca="1">IFERROR(__xludf.DUMMYFUNCTION("""COMPUTED_VALUE"""),"ICW SWMP sites")</f>
        <v>ICW SWMP sites</v>
      </c>
      <c r="I205" s="15">
        <f ca="1">IFERROR(__xludf.DUMMYFUNCTION("""COMPUTED_VALUE"""),0.5625)</f>
        <v>0.5625</v>
      </c>
      <c r="J205" s="16">
        <f ca="1">IFERROR(__xludf.DUMMYFUNCTION("""COMPUTED_VALUE"""),43438.5833333333)</f>
        <v>43438.583333333299</v>
      </c>
      <c r="K205" t="str">
        <f ca="1">IFERROR(__xludf.DUMMYFUNCTION("""COMPUTED_VALUE"""),"F 20ft Sea Ark (Easy 200) FL8534PY DEP21451")</f>
        <v>F 20ft Sea Ark (Easy 200) FL8534PY DEP21451</v>
      </c>
      <c r="M205" t="str">
        <f ca="1">IFERROR(__xludf.DUMMYFUNCTION("""COMPUTED_VALUE"""),"Ford F250 2017 (Moby Dix) - DEP0021578")</f>
        <v>Ford F250 2017 (Moby Dix) - DEP0021578</v>
      </c>
      <c r="N205" t="str">
        <f ca="1">IFERROR(__xludf.DUMMYFUNCTION("""COMPUTED_VALUE"""),"Silas Tanner, (904) 483-8423, Jimmy Tomazinis, (904) 547-0094")</f>
        <v>Silas Tanner, (904) 483-8423, Jimmy Tomazinis, (904) 547-0094</v>
      </c>
      <c r="O205" t="str">
        <f ca="1">IFERROR(__xludf.DUMMYFUNCTION("""COMPUTED_VALUE"""),"Jeff Finnan")</f>
        <v>Jeff Finnan</v>
      </c>
      <c r="P205" t="str">
        <f ca="1">IFERROR(__xludf.DUMMYFUNCTION("""COMPUTED_VALUE"""),"S. Tanner")</f>
        <v>S. Tanner</v>
      </c>
      <c r="Q205" t="str">
        <f ca="1">IFERROR(__xludf.DUMMYFUNCTION("""COMPUTED_VALUE"""),"Good")</f>
        <v>Good</v>
      </c>
      <c r="R205" t="str">
        <f ca="1">IFERROR(__xludf.DUMMYFUNCTION("""COMPUTED_VALUE"""),"Good")</f>
        <v>Good</v>
      </c>
      <c r="S205" t="str">
        <f ca="1">IFERROR(__xludf.DUMMYFUNCTION("""COMPUTED_VALUE"""),"Good")</f>
        <v>Good</v>
      </c>
      <c r="T205" t="str">
        <f ca="1">IFERROR(__xludf.DUMMYFUNCTION("""COMPUTED_VALUE"""),"Good")</f>
        <v>Good</v>
      </c>
      <c r="U205" t="str">
        <f ca="1">IFERROR(__xludf.DUMMYFUNCTION("""COMPUTED_VALUE"""),"Good")</f>
        <v>Good</v>
      </c>
      <c r="V205" t="str">
        <f ca="1">IFERROR(__xludf.DUMMYFUNCTION("""COMPUTED_VALUE"""),"Good")</f>
        <v>Good</v>
      </c>
      <c r="W205" t="str">
        <f ca="1">IFERROR(__xludf.DUMMYFUNCTION("""COMPUTED_VALUE"""),"Good")</f>
        <v>Good</v>
      </c>
      <c r="X205" t="str">
        <f ca="1">IFERROR(__xludf.DUMMYFUNCTION("""COMPUTED_VALUE"""),"Good")</f>
        <v>Good</v>
      </c>
      <c r="Y205" t="str">
        <f ca="1">IFERROR(__xludf.DUMMYFUNCTION("""COMPUTED_VALUE"""),"Good")</f>
        <v>Good</v>
      </c>
      <c r="Z205" t="str">
        <f ca="1">IFERROR(__xludf.DUMMYFUNCTION("""COMPUTED_VALUE"""),"Good")</f>
        <v>Good</v>
      </c>
      <c r="AA205" t="str">
        <f ca="1">IFERROR(__xludf.DUMMYFUNCTION("""COMPUTED_VALUE"""),"Good")</f>
        <v>Good</v>
      </c>
      <c r="AB205" t="str">
        <f ca="1">IFERROR(__xludf.DUMMYFUNCTION("""COMPUTED_VALUE"""),"Good")</f>
        <v>Good</v>
      </c>
      <c r="AC205" t="str">
        <f ca="1">IFERROR(__xludf.DUMMYFUNCTION("""COMPUTED_VALUE"""),"Good")</f>
        <v>Good</v>
      </c>
      <c r="AE205" s="11"/>
      <c r="AF205" t="str">
        <v>Nikki.Dix@floridadep.gov</v>
      </c>
      <c r="AG205" s="17" t="s">
        <v>17</v>
      </c>
      <c r="AH205" s="12">
        <v>1220</v>
      </c>
      <c r="AI205" s="12" t="s">
        <v>8</v>
      </c>
      <c r="AJ205" s="12" t="s">
        <v>8</v>
      </c>
      <c r="AK205" s="12" t="s">
        <v>8</v>
      </c>
      <c r="AL205" s="12" t="s">
        <v>8</v>
      </c>
    </row>
    <row r="206" spans="1:38" ht="12.75">
      <c r="A206" s="10">
        <f ca="1">IFERROR(__xludf.DUMMYFUNCTION("""COMPUTED_VALUE"""),43438.368635324)</f>
        <v>43438.368635323997</v>
      </c>
      <c r="B206" s="11" t="str">
        <f ca="1">IFERROR(__xludf.DUMMYFUNCTION("""COMPUTED_VALUE"""),"Ben Mowbray")</f>
        <v>Ben Mowbray</v>
      </c>
      <c r="C206" t="str">
        <f ca="1">IFERROR(__xludf.DUMMYFUNCTION("""COMPUTED_VALUE"""),"ben.mowbray@dep.state.fl.us")</f>
        <v>ben.mowbray@dep.state.fl.us</v>
      </c>
      <c r="D206" t="str">
        <f ca="1">IFERROR(__xludf.DUMMYFUNCTION("""COMPUTED_VALUE"""),"Research/Nikki")</f>
        <v>Research/Nikki</v>
      </c>
      <c r="E206" t="str">
        <f ca="1">IFERROR(__xludf.DUMMYFUNCTION("""COMPUTED_VALUE"""),"Aunt Kate's")</f>
        <v>Aunt Kate's</v>
      </c>
      <c r="F206" s="13">
        <f ca="1">IFERROR(__xludf.DUMMYFUNCTION("""COMPUTED_VALUE"""),0.430555555554747)</f>
        <v>0.430555555554747</v>
      </c>
      <c r="G206" s="14">
        <f ca="1">IFERROR(__xludf.DUMMYFUNCTION("""COMPUTED_VALUE"""),43438)</f>
        <v>43438</v>
      </c>
      <c r="H206" t="str">
        <f ca="1">IFERROR(__xludf.DUMMYFUNCTION("""COMPUTED_VALUE"""),"RC, TR, and GR kimbro reefs")</f>
        <v>RC, TR, and GR kimbro reefs</v>
      </c>
      <c r="I206" s="15">
        <f ca="1">IFERROR(__xludf.DUMMYFUNCTION("""COMPUTED_VALUE"""),0.625)</f>
        <v>0.625</v>
      </c>
      <c r="J206" s="16">
        <f ca="1">IFERROR(__xludf.DUMMYFUNCTION("""COMPUTED_VALUE"""),43438.6527777777)</f>
        <v>43438.652777777701</v>
      </c>
      <c r="K206" t="str">
        <f ca="1">IFERROR(__xludf.DUMMYFUNCTION("""COMPUTED_VALUE"""),"20ft Sea Ark FL5351SJ UNF 2015")</f>
        <v>20ft Sea Ark FL5351SJ UNF 2015</v>
      </c>
      <c r="M206" t="str">
        <f ca="1">IFERROR(__xludf.DUMMYFUNCTION("""COMPUTED_VALUE"""),"2010 F150 - DEP07668")</f>
        <v>2010 F150 - DEP07668</v>
      </c>
      <c r="N206" t="str">
        <f ca="1">IFERROR(__xludf.DUMMYFUNCTION("""COMPUTED_VALUE"""),"Ben Mowbray, (407) 962-8782")</f>
        <v>Ben Mowbray, (407) 962-8782</v>
      </c>
      <c r="O206" t="str">
        <f ca="1">IFERROR(__xludf.DUMMYFUNCTION("""COMPUTED_VALUE"""),"Nicole Peckham, Adrienne Brief-Pilz")</f>
        <v>Nicole Peckham, Adrienne Brief-Pilz</v>
      </c>
      <c r="P206" t="str">
        <f ca="1">IFERROR(__xludf.DUMMYFUNCTION("""COMPUTED_VALUE"""),"Ben")</f>
        <v>Ben</v>
      </c>
      <c r="Q206" t="str">
        <f ca="1">IFERROR(__xludf.DUMMYFUNCTION("""COMPUTED_VALUE"""),"Good")</f>
        <v>Good</v>
      </c>
      <c r="R206" t="str">
        <f ca="1">IFERROR(__xludf.DUMMYFUNCTION("""COMPUTED_VALUE"""),"Good")</f>
        <v>Good</v>
      </c>
      <c r="S206" t="str">
        <f ca="1">IFERROR(__xludf.DUMMYFUNCTION("""COMPUTED_VALUE"""),"Good")</f>
        <v>Good</v>
      </c>
      <c r="T206" t="str">
        <f ca="1">IFERROR(__xludf.DUMMYFUNCTION("""COMPUTED_VALUE"""),"Good")</f>
        <v>Good</v>
      </c>
      <c r="U206" t="str">
        <f ca="1">IFERROR(__xludf.DUMMYFUNCTION("""COMPUTED_VALUE"""),"Good")</f>
        <v>Good</v>
      </c>
      <c r="V206" t="str">
        <f ca="1">IFERROR(__xludf.DUMMYFUNCTION("""COMPUTED_VALUE"""),"Good")</f>
        <v>Good</v>
      </c>
      <c r="W206" t="str">
        <f ca="1">IFERROR(__xludf.DUMMYFUNCTION("""COMPUTED_VALUE"""),"Good")</f>
        <v>Good</v>
      </c>
      <c r="X206" t="str">
        <f ca="1">IFERROR(__xludf.DUMMYFUNCTION("""COMPUTED_VALUE"""),"Good")</f>
        <v>Good</v>
      </c>
      <c r="Y206" t="str">
        <f ca="1">IFERROR(__xludf.DUMMYFUNCTION("""COMPUTED_VALUE"""),"Good")</f>
        <v>Good</v>
      </c>
      <c r="Z206" t="str">
        <f ca="1">IFERROR(__xludf.DUMMYFUNCTION("""COMPUTED_VALUE"""),"Good")</f>
        <v>Good</v>
      </c>
      <c r="AA206" t="str">
        <f ca="1">IFERROR(__xludf.DUMMYFUNCTION("""COMPUTED_VALUE"""),"Good")</f>
        <v>Good</v>
      </c>
      <c r="AB206" t="str">
        <f ca="1">IFERROR(__xludf.DUMMYFUNCTION("""COMPUTED_VALUE"""),"Good")</f>
        <v>Good</v>
      </c>
      <c r="AC206" t="str">
        <f ca="1">IFERROR(__xludf.DUMMYFUNCTION("""COMPUTED_VALUE"""),"Good")</f>
        <v>Good</v>
      </c>
      <c r="AE206" s="11"/>
      <c r="AF206" t="str">
        <v>Nikki.Dix@floridadep.gov</v>
      </c>
      <c r="AG206" s="17" t="s">
        <v>41</v>
      </c>
      <c r="AH206" s="12">
        <v>1424</v>
      </c>
      <c r="AI206" s="12" t="s">
        <v>560</v>
      </c>
      <c r="AJ206" s="19" t="s">
        <v>561</v>
      </c>
      <c r="AK206" s="20" t="str">
        <f>HYPERLINK("https://docs.google.com/document/d/1A8RL1csPx-oiXdee1EdEvumxx2HabklDEO-iwGQ4XE4/edit?usp=drivesdk","Ben Mowbray - 12/4/2018 10:20 AM")</f>
        <v>Ben Mowbray - 12/4/2018 10:20 AM</v>
      </c>
      <c r="AL206" s="12" t="s">
        <v>562</v>
      </c>
    </row>
    <row r="207" spans="1:38" ht="12.75">
      <c r="A207" s="10">
        <f ca="1">IFERROR(__xludf.DUMMYFUNCTION("""COMPUTED_VALUE"""),43438.4274088541)</f>
        <v>43438.427408854099</v>
      </c>
      <c r="B207" s="11" t="str">
        <f ca="1">IFERROR(__xludf.DUMMYFUNCTION("""COMPUTED_VALUE"""),"Pamela Marcum")</f>
        <v>Pamela Marcum</v>
      </c>
      <c r="C207" t="str">
        <f ca="1">IFERROR(__xludf.DUMMYFUNCTION("""COMPUTED_VALUE"""),"Pamela.Marcum@dep.state.fl.us")</f>
        <v>Pamela.Marcum@dep.state.fl.us</v>
      </c>
      <c r="D207" t="str">
        <f ca="1">IFERROR(__xludf.DUMMYFUNCTION("""COMPUTED_VALUE"""),"Research/Nikki")</f>
        <v>Research/Nikki</v>
      </c>
      <c r="E207" t="str">
        <f ca="1">IFERROR(__xludf.DUMMYFUNCTION("""COMPUTED_VALUE"""),"Faver-Dykes")</f>
        <v>Faver-Dykes</v>
      </c>
      <c r="F207" s="13">
        <f ca="1">IFERROR(__xludf.DUMMYFUNCTION("""COMPUTED_VALUE"""),0.45833333333212)</f>
        <v>0.45833333333212001</v>
      </c>
      <c r="G207" s="14">
        <f ca="1">IFERROR(__xludf.DUMMYFUNCTION("""COMPUTED_VALUE"""),43438)</f>
        <v>43438</v>
      </c>
      <c r="H207" t="str">
        <f ca="1">IFERROR(__xludf.DUMMYFUNCTION("""COMPUTED_VALUE"""),"Pellicer Creek upper")</f>
        <v>Pellicer Creek upper</v>
      </c>
      <c r="I207" s="15">
        <f ca="1">IFERROR(__xludf.DUMMYFUNCTION("""COMPUTED_VALUE"""),0.58333333333212)</f>
        <v>0.58333333333212001</v>
      </c>
      <c r="J207" s="16">
        <f ca="1">IFERROR(__xludf.DUMMYFUNCTION("""COMPUTED_VALUE"""),43438.625)</f>
        <v>43438.625</v>
      </c>
      <c r="K207" t="str">
        <f ca="1">IFERROR(__xludf.DUMMYFUNCTION("""COMPUTED_VALUE"""),"23ft Skiff (Bertha) FL7972LJ DEP07613")</f>
        <v>23ft Skiff (Bertha) FL7972LJ DEP07613</v>
      </c>
      <c r="M207" t="str">
        <f ca="1">IFERROR(__xludf.DUMMYFUNCTION("""COMPUTED_VALUE"""),"Ford F150 2008 - DEP18041 (SWMP Thing)")</f>
        <v>Ford F150 2008 - DEP18041 (SWMP Thing)</v>
      </c>
      <c r="N207" t="str">
        <f ca="1">IFERROR(__xludf.DUMMYFUNCTION("""COMPUTED_VALUE"""),"Pam Marcum, (480) 332-5414")</f>
        <v>Pam Marcum, (480) 332-5414</v>
      </c>
      <c r="O207" t="str">
        <f ca="1">IFERROR(__xludf.DUMMYFUNCTION("""COMPUTED_VALUE"""),"Duane Noel")</f>
        <v>Duane Noel</v>
      </c>
      <c r="P207" t="str">
        <f ca="1">IFERROR(__xludf.DUMMYFUNCTION("""COMPUTED_VALUE"""),"Pam")</f>
        <v>Pam</v>
      </c>
      <c r="Q207" t="str">
        <f ca="1">IFERROR(__xludf.DUMMYFUNCTION("""COMPUTED_VALUE"""),"Good")</f>
        <v>Good</v>
      </c>
      <c r="R207" t="str">
        <f ca="1">IFERROR(__xludf.DUMMYFUNCTION("""COMPUTED_VALUE"""),"Good")</f>
        <v>Good</v>
      </c>
      <c r="S207" t="str">
        <f ca="1">IFERROR(__xludf.DUMMYFUNCTION("""COMPUTED_VALUE"""),"Good")</f>
        <v>Good</v>
      </c>
      <c r="T207" t="str">
        <f ca="1">IFERROR(__xludf.DUMMYFUNCTION("""COMPUTED_VALUE"""),"Good")</f>
        <v>Good</v>
      </c>
      <c r="U207" t="str">
        <f ca="1">IFERROR(__xludf.DUMMYFUNCTION("""COMPUTED_VALUE"""),"Good")</f>
        <v>Good</v>
      </c>
      <c r="V207" t="str">
        <f ca="1">IFERROR(__xludf.DUMMYFUNCTION("""COMPUTED_VALUE"""),"Good")</f>
        <v>Good</v>
      </c>
      <c r="W207" t="str">
        <f ca="1">IFERROR(__xludf.DUMMYFUNCTION("""COMPUTED_VALUE"""),"Good")</f>
        <v>Good</v>
      </c>
      <c r="X207" t="str">
        <f ca="1">IFERROR(__xludf.DUMMYFUNCTION("""COMPUTED_VALUE"""),"Good")</f>
        <v>Good</v>
      </c>
      <c r="Y207" t="str">
        <f ca="1">IFERROR(__xludf.DUMMYFUNCTION("""COMPUTED_VALUE"""),"Good")</f>
        <v>Good</v>
      </c>
      <c r="Z207" t="str">
        <f ca="1">IFERROR(__xludf.DUMMYFUNCTION("""COMPUTED_VALUE"""),"Good")</f>
        <v>Good</v>
      </c>
      <c r="AA207" t="str">
        <f ca="1">IFERROR(__xludf.DUMMYFUNCTION("""COMPUTED_VALUE"""),"Good")</f>
        <v>Good</v>
      </c>
      <c r="AB207" t="str">
        <f ca="1">IFERROR(__xludf.DUMMYFUNCTION("""COMPUTED_VALUE"""),"Good")</f>
        <v>Good</v>
      </c>
      <c r="AC207" t="str">
        <f ca="1">IFERROR(__xludf.DUMMYFUNCTION("""COMPUTED_VALUE"""),"Good")</f>
        <v>Good</v>
      </c>
      <c r="AE207" s="11"/>
      <c r="AF207" t="str">
        <v>Nikki.Dix@floridadep.gov</v>
      </c>
      <c r="AG207" s="17" t="s">
        <v>113</v>
      </c>
      <c r="AH207" s="12">
        <v>1415</v>
      </c>
      <c r="AI207" s="12" t="s">
        <v>563</v>
      </c>
      <c r="AJ207" s="19" t="s">
        <v>564</v>
      </c>
      <c r="AK207" s="20" t="str">
        <f>HYPERLINK("https://docs.google.com/document/d/1oTcfsWZOgZYgI5Fy-XeM-Rzu-vTXU288StIZED4uEX8/edit?usp=drivesdk","Pamela Marcum - 12/4/2018 11:00 AM")</f>
        <v>Pamela Marcum - 12/4/2018 11:00 AM</v>
      </c>
      <c r="AL207" s="12" t="s">
        <v>565</v>
      </c>
    </row>
    <row r="208" spans="1:38" ht="12.75">
      <c r="A208" s="10">
        <f ca="1">IFERROR(__xludf.DUMMYFUNCTION("""COMPUTED_VALUE"""),43438.6132620023)</f>
        <v>43438.613262002298</v>
      </c>
      <c r="B208" s="11" t="str">
        <f ca="1">IFERROR(__xludf.DUMMYFUNCTION("""COMPUTED_VALUE"""),"James Tomazinis")</f>
        <v>James Tomazinis</v>
      </c>
      <c r="C208" t="str">
        <f ca="1">IFERROR(__xludf.DUMMYFUNCTION("""COMPUTED_VALUE"""),"james.tomazinis@floridadep.gov")</f>
        <v>james.tomazinis@floridadep.gov</v>
      </c>
      <c r="D208" t="str">
        <f ca="1">IFERROR(__xludf.DUMMYFUNCTION("""COMPUTED_VALUE"""),"Stewardship (Aquatic)")</f>
        <v>Stewardship (Aquatic)</v>
      </c>
      <c r="E208" t="str">
        <f ca="1">IFERROR(__xludf.DUMMYFUNCTION("""COMPUTED_VALUE"""),"Guana Dam")</f>
        <v>Guana Dam</v>
      </c>
      <c r="F208" s="13">
        <f ca="1">IFERROR(__xludf.DUMMYFUNCTION("""COMPUTED_VALUE"""),0.33333333333212)</f>
        <v>0.33333333333212001</v>
      </c>
      <c r="G208" s="14">
        <f ca="1">IFERROR(__xludf.DUMMYFUNCTION("""COMPUTED_VALUE"""),43439)</f>
        <v>43439</v>
      </c>
      <c r="H208" t="str">
        <f ca="1">IFERROR(__xludf.DUMMYFUNCTION("""COMPUTED_VALUE"""),"Guana River WQ sites")</f>
        <v>Guana River WQ sites</v>
      </c>
      <c r="I208" s="15">
        <f ca="1">IFERROR(__xludf.DUMMYFUNCTION("""COMPUTED_VALUE"""),0.385416666667879)</f>
        <v>0.38541666666787899</v>
      </c>
      <c r="J208" s="16"/>
      <c r="K208" t="str">
        <f ca="1">IFERROR(__xludf.DUMMYFUNCTION("""COMPUTED_VALUE"""),"Jon Boat FL0484NP DEP06819")</f>
        <v>Jon Boat FL0484NP DEP06819</v>
      </c>
      <c r="M208" t="str">
        <f ca="1">IFERROR(__xludf.DUMMYFUNCTION("""COMPUTED_VALUE"""),"Ford F150 2015 (White) - DEP21448")</f>
        <v>Ford F150 2015 (White) - DEP21448</v>
      </c>
      <c r="N208" t="str">
        <f ca="1">IFERROR(__xludf.DUMMYFUNCTION("""COMPUTED_VALUE"""),"Jimmy Tomazinis, (904) 547-0094")</f>
        <v>Jimmy Tomazinis, (904) 547-0094</v>
      </c>
      <c r="O208" t="str">
        <f ca="1">IFERROR(__xludf.DUMMYFUNCTION("""COMPUTED_VALUE"""),"Benjamin Mowbray, (407) 962-8782")</f>
        <v>Benjamin Mowbray, (407) 962-8782</v>
      </c>
      <c r="P208" t="str">
        <f ca="1">IFERROR(__xludf.DUMMYFUNCTION("""COMPUTED_VALUE"""),"Jimmy")</f>
        <v>Jimmy</v>
      </c>
      <c r="Q208" t="str">
        <f ca="1">IFERROR(__xludf.DUMMYFUNCTION("""COMPUTED_VALUE"""),"Good")</f>
        <v>Good</v>
      </c>
      <c r="R208" t="str">
        <f ca="1">IFERROR(__xludf.DUMMYFUNCTION("""COMPUTED_VALUE"""),"Good")</f>
        <v>Good</v>
      </c>
      <c r="S208" t="str">
        <f ca="1">IFERROR(__xludf.DUMMYFUNCTION("""COMPUTED_VALUE"""),"Good")</f>
        <v>Good</v>
      </c>
      <c r="T208" t="str">
        <f ca="1">IFERROR(__xludf.DUMMYFUNCTION("""COMPUTED_VALUE"""),"Good")</f>
        <v>Good</v>
      </c>
      <c r="U208" t="str">
        <f ca="1">IFERROR(__xludf.DUMMYFUNCTION("""COMPUTED_VALUE"""),"Good")</f>
        <v>Good</v>
      </c>
      <c r="V208" t="str">
        <f ca="1">IFERROR(__xludf.DUMMYFUNCTION("""COMPUTED_VALUE"""),"Good")</f>
        <v>Good</v>
      </c>
      <c r="W208" t="str">
        <f ca="1">IFERROR(__xludf.DUMMYFUNCTION("""COMPUTED_VALUE"""),"Good")</f>
        <v>Good</v>
      </c>
      <c r="X208" t="str">
        <f ca="1">IFERROR(__xludf.DUMMYFUNCTION("""COMPUTED_VALUE"""),"Good")</f>
        <v>Good</v>
      </c>
      <c r="Y208" t="str">
        <f ca="1">IFERROR(__xludf.DUMMYFUNCTION("""COMPUTED_VALUE"""),"Good")</f>
        <v>Good</v>
      </c>
      <c r="Z208" t="str">
        <f ca="1">IFERROR(__xludf.DUMMYFUNCTION("""COMPUTED_VALUE"""),"Good")</f>
        <v>Good</v>
      </c>
      <c r="AA208" t="str">
        <f ca="1">IFERROR(__xludf.DUMMYFUNCTION("""COMPUTED_VALUE"""),"Good")</f>
        <v>Good</v>
      </c>
      <c r="AB208" t="str">
        <f ca="1">IFERROR(__xludf.DUMMYFUNCTION("""COMPUTED_VALUE"""),"Good")</f>
        <v>Good</v>
      </c>
      <c r="AC208" t="str">
        <f ca="1">IFERROR(__xludf.DUMMYFUNCTION("""COMPUTED_VALUE"""),"Good")</f>
        <v>Good</v>
      </c>
      <c r="AE208" s="11"/>
      <c r="AF208" t="str">
        <v>Scott.Eastman@floridadep.gov</v>
      </c>
      <c r="AG208" s="17" t="s">
        <v>17</v>
      </c>
      <c r="AH208" s="12">
        <v>950</v>
      </c>
      <c r="AI208" s="12" t="s">
        <v>566</v>
      </c>
      <c r="AJ208" s="19" t="s">
        <v>567</v>
      </c>
      <c r="AK208" s="20" t="str">
        <f>HYPERLINK("https://docs.google.com/document/d/1hauw2vE5xdSX1EdBY3STcNLUeeUqh_H2hN1zo1cocKU/edit?usp=drivesdk","James Tomazinis - 12/5/2018 8:00 AM")</f>
        <v>James Tomazinis - 12/5/2018 8:00 AM</v>
      </c>
      <c r="AL208" s="12" t="s">
        <v>568</v>
      </c>
    </row>
    <row r="209" spans="1:38" ht="12.75">
      <c r="A209" s="10">
        <f ca="1">IFERROR(__xludf.DUMMYFUNCTION("""COMPUTED_VALUE"""),43439.3789141087)</f>
        <v>43439.378914108704</v>
      </c>
      <c r="B209" s="11" t="str">
        <f ca="1">IFERROR(__xludf.DUMMYFUNCTION("""COMPUTED_VALUE"""),"Pamela Marcum")</f>
        <v>Pamela Marcum</v>
      </c>
      <c r="C209" t="str">
        <f ca="1">IFERROR(__xludf.DUMMYFUNCTION("""COMPUTED_VALUE"""),"Pamela.Marcum@dep.state.fl.us")</f>
        <v>Pamela.Marcum@dep.state.fl.us</v>
      </c>
      <c r="D209" t="str">
        <f ca="1">IFERROR(__xludf.DUMMYFUNCTION("""COMPUTED_VALUE"""),"Research/Nikki")</f>
        <v>Research/Nikki</v>
      </c>
      <c r="E209" t="str">
        <f ca="1">IFERROR(__xludf.DUMMYFUNCTION("""COMPUTED_VALUE"""),"Faver-Dykes")</f>
        <v>Faver-Dykes</v>
      </c>
      <c r="F209" s="13">
        <f ca="1">IFERROR(__xludf.DUMMYFUNCTION("""COMPUTED_VALUE"""),0.4375)</f>
        <v>0.4375</v>
      </c>
      <c r="G209" s="14">
        <f ca="1">IFERROR(__xludf.DUMMYFUNCTION("""COMPUTED_VALUE"""),43439)</f>
        <v>43439</v>
      </c>
      <c r="H209" t="str">
        <f ca="1">IFERROR(__xludf.DUMMYFUNCTION("""COMPUTED_VALUE"""),"Upper Pellicer Creek")</f>
        <v>Upper Pellicer Creek</v>
      </c>
      <c r="I209" s="15">
        <f ca="1">IFERROR(__xludf.DUMMYFUNCTION("""COMPUTED_VALUE"""),0.58333333333212)</f>
        <v>0.58333333333212001</v>
      </c>
      <c r="J209" s="16">
        <f ca="1">IFERROR(__xludf.DUMMYFUNCTION("""COMPUTED_VALUE"""),43439.7083333333)</f>
        <v>43439.708333333299</v>
      </c>
      <c r="K209" t="str">
        <f ca="1">IFERROR(__xludf.DUMMYFUNCTION("""COMPUTED_VALUE"""),"23ft Skiff (Bertha) FL7972LJ DEP07613")</f>
        <v>23ft Skiff (Bertha) FL7972LJ DEP07613</v>
      </c>
      <c r="M209" t="str">
        <f ca="1">IFERROR(__xludf.DUMMYFUNCTION("""COMPUTED_VALUE"""),"Ford F150 2008 - DEP18041 (SWMP Thing)")</f>
        <v>Ford F150 2008 - DEP18041 (SWMP Thing)</v>
      </c>
      <c r="N209" t="str">
        <f ca="1">IFERROR(__xludf.DUMMYFUNCTION("""COMPUTED_VALUE"""),"Pam Marcum, (480) 332-5414")</f>
        <v>Pam Marcum, (480) 332-5414</v>
      </c>
      <c r="O209" t="str">
        <f ca="1">IFERROR(__xludf.DUMMYFUNCTION("""COMPUTED_VALUE"""),"Tom Fox")</f>
        <v>Tom Fox</v>
      </c>
      <c r="P209" t="str">
        <f ca="1">IFERROR(__xludf.DUMMYFUNCTION("""COMPUTED_VALUE"""),"Pam")</f>
        <v>Pam</v>
      </c>
      <c r="Q209" t="str">
        <f ca="1">IFERROR(__xludf.DUMMYFUNCTION("""COMPUTED_VALUE"""),"Good")</f>
        <v>Good</v>
      </c>
      <c r="R209" t="str">
        <f ca="1">IFERROR(__xludf.DUMMYFUNCTION("""COMPUTED_VALUE"""),"Good")</f>
        <v>Good</v>
      </c>
      <c r="S209" t="str">
        <f ca="1">IFERROR(__xludf.DUMMYFUNCTION("""COMPUTED_VALUE"""),"Good")</f>
        <v>Good</v>
      </c>
      <c r="T209" t="str">
        <f ca="1">IFERROR(__xludf.DUMMYFUNCTION("""COMPUTED_VALUE"""),"Good")</f>
        <v>Good</v>
      </c>
      <c r="U209" t="str">
        <f ca="1">IFERROR(__xludf.DUMMYFUNCTION("""COMPUTED_VALUE"""),"Good")</f>
        <v>Good</v>
      </c>
      <c r="V209" t="str">
        <f ca="1">IFERROR(__xludf.DUMMYFUNCTION("""COMPUTED_VALUE"""),"Good")</f>
        <v>Good</v>
      </c>
      <c r="W209" t="str">
        <f ca="1">IFERROR(__xludf.DUMMYFUNCTION("""COMPUTED_VALUE"""),"Good")</f>
        <v>Good</v>
      </c>
      <c r="X209" t="str">
        <f ca="1">IFERROR(__xludf.DUMMYFUNCTION("""COMPUTED_VALUE"""),"Good")</f>
        <v>Good</v>
      </c>
      <c r="Y209" t="str">
        <f ca="1">IFERROR(__xludf.DUMMYFUNCTION("""COMPUTED_VALUE"""),"Good")</f>
        <v>Good</v>
      </c>
      <c r="Z209" t="str">
        <f ca="1">IFERROR(__xludf.DUMMYFUNCTION("""COMPUTED_VALUE"""),"Good")</f>
        <v>Good</v>
      </c>
      <c r="AA209" t="str">
        <f ca="1">IFERROR(__xludf.DUMMYFUNCTION("""COMPUTED_VALUE"""),"Good")</f>
        <v>Good</v>
      </c>
      <c r="AB209" t="str">
        <f ca="1">IFERROR(__xludf.DUMMYFUNCTION("""COMPUTED_VALUE"""),"Good")</f>
        <v>Good</v>
      </c>
      <c r="AC209" t="str">
        <f ca="1">IFERROR(__xludf.DUMMYFUNCTION("""COMPUTED_VALUE"""),"Good")</f>
        <v>Good</v>
      </c>
      <c r="AE209" s="11"/>
      <c r="AF209" t="str">
        <v>Nikki.Dix@floridadep.gov</v>
      </c>
      <c r="AG209" s="17" t="s">
        <v>126</v>
      </c>
      <c r="AH209" s="12">
        <v>1410</v>
      </c>
      <c r="AI209" s="12" t="s">
        <v>569</v>
      </c>
      <c r="AJ209" s="19" t="s">
        <v>570</v>
      </c>
      <c r="AK209" s="20" t="str">
        <f>HYPERLINK("https://docs.google.com/document/d/1uWbC2LTTPyzZ9D7G8dbN75G0kC0n3ExQXQUhFHsruTY/edit?usp=drivesdk","Pamela Marcum - 12/5/2018 10:30 AM")</f>
        <v>Pamela Marcum - 12/5/2018 10:30 AM</v>
      </c>
      <c r="AL209" s="12" t="s">
        <v>571</v>
      </c>
    </row>
    <row r="210" spans="1:38" ht="12.75">
      <c r="A210" s="10">
        <f ca="1">IFERROR(__xludf.DUMMYFUNCTION("""COMPUTED_VALUE"""),43444.3413890972)</f>
        <v>43444.341389097201</v>
      </c>
      <c r="B210" s="11" t="str">
        <f ca="1">IFERROR(__xludf.DUMMYFUNCTION("""COMPUTED_VALUE"""),"Pamela Marcum")</f>
        <v>Pamela Marcum</v>
      </c>
      <c r="C210" t="str">
        <f ca="1">IFERROR(__xludf.DUMMYFUNCTION("""COMPUTED_VALUE"""),"Pamela.Marcum@dep.state.fl.us")</f>
        <v>Pamela.Marcum@dep.state.fl.us</v>
      </c>
      <c r="D210" t="str">
        <f ca="1">IFERROR(__xludf.DUMMYFUNCTION("""COMPUTED_VALUE"""),"Research/Nikki")</f>
        <v>Research/Nikki</v>
      </c>
      <c r="E210" t="str">
        <f ca="1">IFERROR(__xludf.DUMMYFUNCTION("""COMPUTED_VALUE"""),"Faver-Dykes")</f>
        <v>Faver-Dykes</v>
      </c>
      <c r="F210" s="13">
        <f ca="1">IFERROR(__xludf.DUMMYFUNCTION("""COMPUTED_VALUE"""),0.4375)</f>
        <v>0.4375</v>
      </c>
      <c r="G210" s="14">
        <f ca="1">IFERROR(__xludf.DUMMYFUNCTION("""COMPUTED_VALUE"""),43444)</f>
        <v>43444</v>
      </c>
      <c r="H210" t="str">
        <f ca="1">IFERROR(__xludf.DUMMYFUNCTION("""COMPUTED_VALUE"""),"Upper Pellicer Creek")</f>
        <v>Upper Pellicer Creek</v>
      </c>
      <c r="I210" s="15">
        <f ca="1">IFERROR(__xludf.DUMMYFUNCTION("""COMPUTED_VALUE"""),0.625)</f>
        <v>0.625</v>
      </c>
      <c r="J210" s="16">
        <f ca="1">IFERROR(__xludf.DUMMYFUNCTION("""COMPUTED_VALUE"""),43444.6666666666)</f>
        <v>43444.666666666599</v>
      </c>
      <c r="K210" t="str">
        <f ca="1">IFERROR(__xludf.DUMMYFUNCTION("""COMPUTED_VALUE"""),"23ft Skiff (Bertha) FL7972LJ DEP07613")</f>
        <v>23ft Skiff (Bertha) FL7972LJ DEP07613</v>
      </c>
      <c r="M210" t="str">
        <f ca="1">IFERROR(__xludf.DUMMYFUNCTION("""COMPUTED_VALUE"""),"Ford F150 2015 (White) - DEP21448")</f>
        <v>Ford F150 2015 (White) - DEP21448</v>
      </c>
      <c r="N210" t="str">
        <f ca="1">IFERROR(__xludf.DUMMYFUNCTION("""COMPUTED_VALUE"""),"Pam Marcum, (480) 332-5414")</f>
        <v>Pam Marcum, (480) 332-5414</v>
      </c>
      <c r="O210" t="str">
        <f ca="1">IFERROR(__xludf.DUMMYFUNCTION("""COMPUTED_VALUE"""),"Ken Harp")</f>
        <v>Ken Harp</v>
      </c>
      <c r="P210" t="str">
        <f ca="1">IFERROR(__xludf.DUMMYFUNCTION("""COMPUTED_VALUE"""),"Pam")</f>
        <v>Pam</v>
      </c>
      <c r="Q210" t="str">
        <f ca="1">IFERROR(__xludf.DUMMYFUNCTION("""COMPUTED_VALUE"""),"Good")</f>
        <v>Good</v>
      </c>
      <c r="R210" t="str">
        <f ca="1">IFERROR(__xludf.DUMMYFUNCTION("""COMPUTED_VALUE"""),"Good")</f>
        <v>Good</v>
      </c>
      <c r="S210" t="str">
        <f ca="1">IFERROR(__xludf.DUMMYFUNCTION("""COMPUTED_VALUE"""),"Good")</f>
        <v>Good</v>
      </c>
      <c r="T210" t="str">
        <f ca="1">IFERROR(__xludf.DUMMYFUNCTION("""COMPUTED_VALUE"""),"Good")</f>
        <v>Good</v>
      </c>
      <c r="U210" t="str">
        <f ca="1">IFERROR(__xludf.DUMMYFUNCTION("""COMPUTED_VALUE"""),"Good")</f>
        <v>Good</v>
      </c>
      <c r="V210" t="str">
        <f ca="1">IFERROR(__xludf.DUMMYFUNCTION("""COMPUTED_VALUE"""),"Good")</f>
        <v>Good</v>
      </c>
      <c r="W210" t="str">
        <f ca="1">IFERROR(__xludf.DUMMYFUNCTION("""COMPUTED_VALUE"""),"Good")</f>
        <v>Good</v>
      </c>
      <c r="X210" t="str">
        <f ca="1">IFERROR(__xludf.DUMMYFUNCTION("""COMPUTED_VALUE"""),"Good")</f>
        <v>Good</v>
      </c>
      <c r="Y210" t="str">
        <f ca="1">IFERROR(__xludf.DUMMYFUNCTION("""COMPUTED_VALUE"""),"Good")</f>
        <v>Good</v>
      </c>
      <c r="Z210" t="str">
        <f ca="1">IFERROR(__xludf.DUMMYFUNCTION("""COMPUTED_VALUE"""),"Good")</f>
        <v>Good</v>
      </c>
      <c r="AA210" t="str">
        <f ca="1">IFERROR(__xludf.DUMMYFUNCTION("""COMPUTED_VALUE"""),"Good")</f>
        <v>Good</v>
      </c>
      <c r="AB210" t="str">
        <f ca="1">IFERROR(__xludf.DUMMYFUNCTION("""COMPUTED_VALUE"""),"Good")</f>
        <v>Good</v>
      </c>
      <c r="AC210" t="str">
        <f ca="1">IFERROR(__xludf.DUMMYFUNCTION("""COMPUTED_VALUE"""),"Good")</f>
        <v>Good</v>
      </c>
      <c r="AE210" s="11"/>
      <c r="AF210" t="str">
        <v>Nikki.Dix@floridadep.gov</v>
      </c>
      <c r="AG210" s="17" t="s">
        <v>17</v>
      </c>
      <c r="AH210" s="12">
        <v>1340</v>
      </c>
      <c r="AI210" s="12" t="s">
        <v>572</v>
      </c>
      <c r="AJ210" s="19" t="s">
        <v>573</v>
      </c>
      <c r="AK210" s="20" t="str">
        <f>HYPERLINK("https://docs.google.com/document/d/1MdfvTIYnceoqzhRGfam7t0apLcYPKCV83LbdbuAQAkg/edit?usp=drivesdk","Pamela Marcum - 12/10/2018 10:30 AM")</f>
        <v>Pamela Marcum - 12/10/2018 10:30 AM</v>
      </c>
      <c r="AL210" s="12" t="s">
        <v>574</v>
      </c>
    </row>
    <row r="211" spans="1:38" ht="12.75">
      <c r="A211" s="10">
        <f ca="1">IFERROR(__xludf.DUMMYFUNCTION("""COMPUTED_VALUE"""),43445.3491915393)</f>
        <v>43445.349191539302</v>
      </c>
      <c r="B211" s="11" t="str">
        <f ca="1">IFERROR(__xludf.DUMMYFUNCTION("""COMPUTED_VALUE"""),"Pam Marcum")</f>
        <v>Pam Marcum</v>
      </c>
      <c r="C211" t="str">
        <f ca="1">IFERROR(__xludf.DUMMYFUNCTION("""COMPUTED_VALUE"""),"Pamela.Marcum@dep.state.fl.us")</f>
        <v>Pamela.Marcum@dep.state.fl.us</v>
      </c>
      <c r="D211" t="str">
        <f ca="1">IFERROR(__xludf.DUMMYFUNCTION("""COMPUTED_VALUE"""),"Stewardship (Aquatic)")</f>
        <v>Stewardship (Aquatic)</v>
      </c>
      <c r="E211" t="str">
        <f ca="1">IFERROR(__xludf.DUMMYFUNCTION("""COMPUTED_VALUE"""),"Faver-Dykes")</f>
        <v>Faver-Dykes</v>
      </c>
      <c r="F211" s="13">
        <f ca="1">IFERROR(__xludf.DUMMYFUNCTION("""COMPUTED_VALUE"""),0.39583333333212)</f>
        <v>0.39583333333212001</v>
      </c>
      <c r="G211" s="14">
        <f ca="1">IFERROR(__xludf.DUMMYFUNCTION("""COMPUTED_VALUE"""),43445)</f>
        <v>43445</v>
      </c>
      <c r="H211" t="str">
        <f ca="1">IFERROR(__xludf.DUMMYFUNCTION("""COMPUTED_VALUE"""),"Upper Pellicer")</f>
        <v>Upper Pellicer</v>
      </c>
      <c r="I211" s="15">
        <f ca="1">IFERROR(__xludf.DUMMYFUNCTION("""COMPUTED_VALUE"""),0.625)</f>
        <v>0.625</v>
      </c>
      <c r="J211" s="16">
        <f ca="1">IFERROR(__xludf.DUMMYFUNCTION("""COMPUTED_VALUE"""),43446.375)</f>
        <v>43446.375</v>
      </c>
      <c r="K211" t="str">
        <f ca="1">IFERROR(__xludf.DUMMYFUNCTION("""COMPUTED_VALUE"""),"23ft Skiff (Bertha) FL7972LJ DEP07613")</f>
        <v>23ft Skiff (Bertha) FL7972LJ DEP07613</v>
      </c>
      <c r="M211" t="str">
        <f ca="1">IFERROR(__xludf.DUMMYFUNCTION("""COMPUTED_VALUE"""),"Ford F150 2015 (White) - DEP21448")</f>
        <v>Ford F150 2015 (White) - DEP21448</v>
      </c>
      <c r="N211" t="str">
        <f ca="1">IFERROR(__xludf.DUMMYFUNCTION("""COMPUTED_VALUE"""),"Pam Marcum, (480) 332-5414")</f>
        <v>Pam Marcum, (480) 332-5414</v>
      </c>
      <c r="O211" t="str">
        <f ca="1">IFERROR(__xludf.DUMMYFUNCTION("""COMPUTED_VALUE"""),"Jim Moye")</f>
        <v>Jim Moye</v>
      </c>
      <c r="P211" t="str">
        <f ca="1">IFERROR(__xludf.DUMMYFUNCTION("""COMPUTED_VALUE"""),"Pam")</f>
        <v>Pam</v>
      </c>
      <c r="Q211" t="str">
        <f ca="1">IFERROR(__xludf.DUMMYFUNCTION("""COMPUTED_VALUE"""),"Good")</f>
        <v>Good</v>
      </c>
      <c r="R211" t="str">
        <f ca="1">IFERROR(__xludf.DUMMYFUNCTION("""COMPUTED_VALUE"""),"Good")</f>
        <v>Good</v>
      </c>
      <c r="S211" t="str">
        <f ca="1">IFERROR(__xludf.DUMMYFUNCTION("""COMPUTED_VALUE"""),"Good")</f>
        <v>Good</v>
      </c>
      <c r="T211" t="str">
        <f ca="1">IFERROR(__xludf.DUMMYFUNCTION("""COMPUTED_VALUE"""),"Good")</f>
        <v>Good</v>
      </c>
      <c r="U211" t="str">
        <f ca="1">IFERROR(__xludf.DUMMYFUNCTION("""COMPUTED_VALUE"""),"Good")</f>
        <v>Good</v>
      </c>
      <c r="V211" t="str">
        <f ca="1">IFERROR(__xludf.DUMMYFUNCTION("""COMPUTED_VALUE"""),"Good")</f>
        <v>Good</v>
      </c>
      <c r="W211" t="str">
        <f ca="1">IFERROR(__xludf.DUMMYFUNCTION("""COMPUTED_VALUE"""),"Good")</f>
        <v>Good</v>
      </c>
      <c r="X211" t="str">
        <f ca="1">IFERROR(__xludf.DUMMYFUNCTION("""COMPUTED_VALUE"""),"Good")</f>
        <v>Good</v>
      </c>
      <c r="Y211" t="str">
        <f ca="1">IFERROR(__xludf.DUMMYFUNCTION("""COMPUTED_VALUE"""),"Good")</f>
        <v>Good</v>
      </c>
      <c r="Z211" t="str">
        <f ca="1">IFERROR(__xludf.DUMMYFUNCTION("""COMPUTED_VALUE"""),"Good")</f>
        <v>Good</v>
      </c>
      <c r="AA211" t="str">
        <f ca="1">IFERROR(__xludf.DUMMYFUNCTION("""COMPUTED_VALUE"""),"Good")</f>
        <v>Good</v>
      </c>
      <c r="AB211" t="str">
        <f ca="1">IFERROR(__xludf.DUMMYFUNCTION("""COMPUTED_VALUE"""),"Good")</f>
        <v>Good</v>
      </c>
      <c r="AC211" t="str">
        <f ca="1">IFERROR(__xludf.DUMMYFUNCTION("""COMPUTED_VALUE"""),"Good")</f>
        <v>Good</v>
      </c>
      <c r="AE211" s="11"/>
      <c r="AF211" t="str">
        <v>Scott.Eastman@floridadep.gov</v>
      </c>
      <c r="AG211" s="17" t="s">
        <v>17</v>
      </c>
      <c r="AH211" s="12">
        <v>1330</v>
      </c>
      <c r="AI211" s="12" t="s">
        <v>575</v>
      </c>
      <c r="AJ211" s="19" t="s">
        <v>576</v>
      </c>
      <c r="AK211" s="20" t="str">
        <f>HYPERLINK("https://docs.google.com/document/d/1h0R2PZU0rvgtqbs53JDBEKKuDogTM-nMHYHY7C7YB0Q/edit?usp=drivesdk","Pam Marcum - 12/11/2018 9:30 AM")</f>
        <v>Pam Marcum - 12/11/2018 9:30 AM</v>
      </c>
      <c r="AL211" s="12" t="s">
        <v>577</v>
      </c>
    </row>
    <row r="212" spans="1:38" ht="12.75">
      <c r="A212" s="10">
        <f ca="1">IFERROR(__xludf.DUMMYFUNCTION("""COMPUTED_VALUE"""),43447.3659006713)</f>
        <v>43447.365900671299</v>
      </c>
      <c r="B212" s="11" t="str">
        <f ca="1">IFERROR(__xludf.DUMMYFUNCTION("""COMPUTED_VALUE"""),"Pamela Marcum")</f>
        <v>Pamela Marcum</v>
      </c>
      <c r="C212" t="str">
        <f ca="1">IFERROR(__xludf.DUMMYFUNCTION("""COMPUTED_VALUE"""),"Pamela.Marcum@dep.state.fl.us")</f>
        <v>Pamela.Marcum@dep.state.fl.us</v>
      </c>
      <c r="D212" t="str">
        <f ca="1">IFERROR(__xludf.DUMMYFUNCTION("""COMPUTED_VALUE"""),"Stewardship (Aquatic)")</f>
        <v>Stewardship (Aquatic)</v>
      </c>
      <c r="E212" t="str">
        <f ca="1">IFERROR(__xludf.DUMMYFUNCTION("""COMPUTED_VALUE"""),"Faver-Dykes")</f>
        <v>Faver-Dykes</v>
      </c>
      <c r="F212" s="13">
        <f ca="1">IFERROR(__xludf.DUMMYFUNCTION("""COMPUTED_VALUE"""),0.4375)</f>
        <v>0.4375</v>
      </c>
      <c r="G212" s="14">
        <f ca="1">IFERROR(__xludf.DUMMYFUNCTION("""COMPUTED_VALUE"""),43447)</f>
        <v>43447</v>
      </c>
      <c r="H212" t="str">
        <f ca="1">IFERROR(__xludf.DUMMYFUNCTION("""COMPUTED_VALUE"""),"Upper Pellicer Creek")</f>
        <v>Upper Pellicer Creek</v>
      </c>
      <c r="I212" s="15">
        <f ca="1">IFERROR(__xludf.DUMMYFUNCTION("""COMPUTED_VALUE"""),0.625)</f>
        <v>0.625</v>
      </c>
      <c r="J212" s="16">
        <f ca="1">IFERROR(__xludf.DUMMYFUNCTION("""COMPUTED_VALUE"""),43447.6875)</f>
        <v>43447.6875</v>
      </c>
      <c r="K212" t="str">
        <f ca="1">IFERROR(__xludf.DUMMYFUNCTION("""COMPUTED_VALUE"""),"23ft Skiff (Bertha) FL7972LJ DEP07613")</f>
        <v>23ft Skiff (Bertha) FL7972LJ DEP07613</v>
      </c>
      <c r="M212" t="str">
        <f ca="1">IFERROR(__xludf.DUMMYFUNCTION("""COMPUTED_VALUE"""),"Ford F150 2015 (White) - DEP21448")</f>
        <v>Ford F150 2015 (White) - DEP21448</v>
      </c>
      <c r="N212" t="str">
        <f ca="1">IFERROR(__xludf.DUMMYFUNCTION("""COMPUTED_VALUE"""),"Pam Marcum, (480) 332-5414")</f>
        <v>Pam Marcum, (480) 332-5414</v>
      </c>
      <c r="O212" t="str">
        <f ca="1">IFERROR(__xludf.DUMMYFUNCTION("""COMPUTED_VALUE"""),"Tom Fox")</f>
        <v>Tom Fox</v>
      </c>
      <c r="P212" t="str">
        <f ca="1">IFERROR(__xludf.DUMMYFUNCTION("""COMPUTED_VALUE"""),"Pam")</f>
        <v>Pam</v>
      </c>
      <c r="Q212" t="str">
        <f ca="1">IFERROR(__xludf.DUMMYFUNCTION("""COMPUTED_VALUE"""),"Good")</f>
        <v>Good</v>
      </c>
      <c r="R212" t="str">
        <f ca="1">IFERROR(__xludf.DUMMYFUNCTION("""COMPUTED_VALUE"""),"Good")</f>
        <v>Good</v>
      </c>
      <c r="S212" t="str">
        <f ca="1">IFERROR(__xludf.DUMMYFUNCTION("""COMPUTED_VALUE"""),"Good")</f>
        <v>Good</v>
      </c>
      <c r="T212" t="str">
        <f ca="1">IFERROR(__xludf.DUMMYFUNCTION("""COMPUTED_VALUE"""),"Good")</f>
        <v>Good</v>
      </c>
      <c r="U212" t="str">
        <f ca="1">IFERROR(__xludf.DUMMYFUNCTION("""COMPUTED_VALUE"""),"Good")</f>
        <v>Good</v>
      </c>
      <c r="V212" t="str">
        <f ca="1">IFERROR(__xludf.DUMMYFUNCTION("""COMPUTED_VALUE"""),"Good")</f>
        <v>Good</v>
      </c>
      <c r="W212" t="str">
        <f ca="1">IFERROR(__xludf.DUMMYFUNCTION("""COMPUTED_VALUE"""),"Good")</f>
        <v>Good</v>
      </c>
      <c r="X212" t="str">
        <f ca="1">IFERROR(__xludf.DUMMYFUNCTION("""COMPUTED_VALUE"""),"Good")</f>
        <v>Good</v>
      </c>
      <c r="Y212" t="str">
        <f ca="1">IFERROR(__xludf.DUMMYFUNCTION("""COMPUTED_VALUE"""),"Good")</f>
        <v>Good</v>
      </c>
      <c r="Z212" t="str">
        <f ca="1">IFERROR(__xludf.DUMMYFUNCTION("""COMPUTED_VALUE"""),"Good")</f>
        <v>Good</v>
      </c>
      <c r="AA212" t="str">
        <f ca="1">IFERROR(__xludf.DUMMYFUNCTION("""COMPUTED_VALUE"""),"Good")</f>
        <v>Good</v>
      </c>
      <c r="AB212" t="str">
        <f ca="1">IFERROR(__xludf.DUMMYFUNCTION("""COMPUTED_VALUE"""),"Good")</f>
        <v>Good</v>
      </c>
      <c r="AC212" t="str">
        <f ca="1">IFERROR(__xludf.DUMMYFUNCTION("""COMPUTED_VALUE"""),"Good")</f>
        <v>Good</v>
      </c>
      <c r="AE212" s="11"/>
      <c r="AF212" t="str">
        <v>Scott.Eastman@floridadep.gov</v>
      </c>
      <c r="AG212" s="17" t="s">
        <v>17</v>
      </c>
      <c r="AH212" s="12">
        <v>1200</v>
      </c>
      <c r="AI212" s="12" t="s">
        <v>578</v>
      </c>
      <c r="AJ212" s="19" t="s">
        <v>579</v>
      </c>
      <c r="AK212" s="20" t="str">
        <f>HYPERLINK("https://docs.google.com/document/d/1zstXvM6CwDhboX8ljkxSJeWbw2aJlIOMC9rK3xtsd2U/edit?usp=drivesdk","Pamela Marcum - 12/13/2018 10:30 AM")</f>
        <v>Pamela Marcum - 12/13/2018 10:30 AM</v>
      </c>
      <c r="AL212" s="12" t="s">
        <v>580</v>
      </c>
    </row>
    <row r="213" spans="1:38" ht="12.75">
      <c r="A213" s="10">
        <f ca="1">IFERROR(__xludf.DUMMYFUNCTION("""COMPUTED_VALUE"""),43451.3387792824)</f>
        <v>43451.3387792824</v>
      </c>
      <c r="B213" s="11" t="str">
        <f ca="1">IFERROR(__xludf.DUMMYFUNCTION("""COMPUTED_VALUE"""),"james tomazinis")</f>
        <v>james tomazinis</v>
      </c>
      <c r="C213" t="str">
        <f ca="1">IFERROR(__xludf.DUMMYFUNCTION("""COMPUTED_VALUE"""),"james.tomazinis@floridadep.gov")</f>
        <v>james.tomazinis@floridadep.gov</v>
      </c>
      <c r="D213" t="str">
        <f ca="1">IFERROR(__xludf.DUMMYFUNCTION("""COMPUTED_VALUE"""),"Stewardship (Aquatic)")</f>
        <v>Stewardship (Aquatic)</v>
      </c>
      <c r="E213" t="str">
        <f ca="1">IFERROR(__xludf.DUMMYFUNCTION("""COMPUTED_VALUE"""),"Sawpit Creek")</f>
        <v>Sawpit Creek</v>
      </c>
      <c r="F213" s="13">
        <f ca="1">IFERROR(__xludf.DUMMYFUNCTION("""COMPUTED_VALUE"""),0.40625)</f>
        <v>0.40625</v>
      </c>
      <c r="G213" s="14">
        <f ca="1">IFERROR(__xludf.DUMMYFUNCTION("""COMPUTED_VALUE"""),43451)</f>
        <v>43451</v>
      </c>
      <c r="H213" t="str">
        <f ca="1">IFERROR(__xludf.DUMMYFUNCTION("""COMPUTED_VALUE"""),"Nassauville and Nassau sound")</f>
        <v>Nassauville and Nassau sound</v>
      </c>
      <c r="I213" s="15">
        <f ca="1">IFERROR(__xludf.DUMMYFUNCTION("""COMPUTED_VALUE"""),0.666666666667879)</f>
        <v>0.66666666666787899</v>
      </c>
      <c r="J213" s="16"/>
      <c r="K213" t="str">
        <f ca="1">IFERROR(__xludf.DUMMYFUNCTION("""COMPUTED_VALUE"""),"F 20ft Sea Ark (Easy 200) FL8534PY DEP21451")</f>
        <v>F 20ft Sea Ark (Easy 200) FL8534PY DEP21451</v>
      </c>
      <c r="M213" t="str">
        <f ca="1">IFERROR(__xludf.DUMMYFUNCTION("""COMPUTED_VALUE"""),"Ford F150 2015 (White) - DEP21448")</f>
        <v>Ford F150 2015 (White) - DEP21448</v>
      </c>
      <c r="N213" t="str">
        <f ca="1">IFERROR(__xludf.DUMMYFUNCTION("""COMPUTED_VALUE"""),"Scott Eastman, (904) 501-9267, Jimmy Tomazinis, (904) 547-0094, Mike Dicksone")</f>
        <v>Scott Eastman, (904) 501-9267, Jimmy Tomazinis, (904) 547-0094, Mike Dicksone</v>
      </c>
      <c r="O213" t="str">
        <f ca="1">IFERROR(__xludf.DUMMYFUNCTION("""COMPUTED_VALUE"""),"Suzi Porterfield")</f>
        <v>Suzi Porterfield</v>
      </c>
      <c r="P213" t="str">
        <f ca="1">IFERROR(__xludf.DUMMYFUNCTION("""COMPUTED_VALUE"""),"Jimmy")</f>
        <v>Jimmy</v>
      </c>
      <c r="Q213" t="str">
        <f ca="1">IFERROR(__xludf.DUMMYFUNCTION("""COMPUTED_VALUE"""),"Good")</f>
        <v>Good</v>
      </c>
      <c r="R213" t="str">
        <f ca="1">IFERROR(__xludf.DUMMYFUNCTION("""COMPUTED_VALUE"""),"Good")</f>
        <v>Good</v>
      </c>
      <c r="S213" t="str">
        <f ca="1">IFERROR(__xludf.DUMMYFUNCTION("""COMPUTED_VALUE"""),"Good")</f>
        <v>Good</v>
      </c>
      <c r="T213" t="str">
        <f ca="1">IFERROR(__xludf.DUMMYFUNCTION("""COMPUTED_VALUE"""),"Good")</f>
        <v>Good</v>
      </c>
      <c r="U213" t="str">
        <f ca="1">IFERROR(__xludf.DUMMYFUNCTION("""COMPUTED_VALUE"""),"Good")</f>
        <v>Good</v>
      </c>
      <c r="V213" t="str">
        <f ca="1">IFERROR(__xludf.DUMMYFUNCTION("""COMPUTED_VALUE"""),"Good")</f>
        <v>Good</v>
      </c>
      <c r="W213" t="str">
        <f ca="1">IFERROR(__xludf.DUMMYFUNCTION("""COMPUTED_VALUE"""),"Good")</f>
        <v>Good</v>
      </c>
      <c r="X213" t="str">
        <f ca="1">IFERROR(__xludf.DUMMYFUNCTION("""COMPUTED_VALUE"""),"Good")</f>
        <v>Good</v>
      </c>
      <c r="Y213" t="str">
        <f ca="1">IFERROR(__xludf.DUMMYFUNCTION("""COMPUTED_VALUE"""),"Good")</f>
        <v>Good</v>
      </c>
      <c r="Z213" t="str">
        <f ca="1">IFERROR(__xludf.DUMMYFUNCTION("""COMPUTED_VALUE"""),"Good")</f>
        <v>Good</v>
      </c>
      <c r="AA213" t="str">
        <f ca="1">IFERROR(__xludf.DUMMYFUNCTION("""COMPUTED_VALUE"""),"Good")</f>
        <v>Good</v>
      </c>
      <c r="AB213" t="str">
        <f ca="1">IFERROR(__xludf.DUMMYFUNCTION("""COMPUTED_VALUE"""),"Good")</f>
        <v>Good</v>
      </c>
      <c r="AC213" t="str">
        <f ca="1">IFERROR(__xludf.DUMMYFUNCTION("""COMPUTED_VALUE"""),"Good")</f>
        <v>Good</v>
      </c>
      <c r="AE213" s="11"/>
      <c r="AF213" t="str">
        <v>Scott.Eastman@floridadep.gov</v>
      </c>
      <c r="AG213" s="17" t="s">
        <v>21</v>
      </c>
      <c r="AH213" s="12">
        <v>1500</v>
      </c>
      <c r="AI213" s="12" t="s">
        <v>581</v>
      </c>
      <c r="AJ213" s="19" t="s">
        <v>582</v>
      </c>
      <c r="AK213" s="20" t="str">
        <f>HYPERLINK("https://docs.google.com/document/d/1YjoS9sKmNES22k8xi23oxX83WayzKLWesHbnmpWte98/edit?usp=drivesdk","james tomazinis - 12/17/2018 9:45 AM")</f>
        <v>james tomazinis - 12/17/2018 9:45 AM</v>
      </c>
      <c r="AL213" s="12" t="s">
        <v>583</v>
      </c>
    </row>
    <row r="214" spans="1:38" ht="12.75">
      <c r="A214" s="10">
        <f ca="1">IFERROR(__xludf.DUMMYFUNCTION("""COMPUTED_VALUE"""),43453.2819955092)</f>
        <v>43453.281995509198</v>
      </c>
      <c r="B214" s="11" t="str">
        <f ca="1">IFERROR(__xludf.DUMMYFUNCTION("""COMPUTED_VALUE"""),"Silas Tanner")</f>
        <v>Silas Tanner</v>
      </c>
      <c r="C214" t="str">
        <f ca="1">IFERROR(__xludf.DUMMYFUNCTION("""COMPUTED_VALUE"""),"silas.tanner@floridadep.gov")</f>
        <v>silas.tanner@floridadep.gov</v>
      </c>
      <c r="D214" t="str">
        <f ca="1">IFERROR(__xludf.DUMMYFUNCTION("""COMPUTED_VALUE"""),"Research/Nikki")</f>
        <v>Research/Nikki</v>
      </c>
      <c r="E214" t="str">
        <f ca="1">IFERROR(__xludf.DUMMYFUNCTION("""COMPUTED_VALUE"""),"Vilano Landing")</f>
        <v>Vilano Landing</v>
      </c>
      <c r="F214" s="13">
        <f ca="1">IFERROR(__xludf.DUMMYFUNCTION("""COMPUTED_VALUE"""),0.298611111109494)</f>
        <v>0.29861111110949401</v>
      </c>
      <c r="G214" s="14">
        <f ca="1">IFERROR(__xludf.DUMMYFUNCTION("""COMPUTED_VALUE"""),43453)</f>
        <v>43453</v>
      </c>
      <c r="H214" t="str">
        <f ca="1">IFERROR(__xludf.DUMMYFUNCTION("""COMPUTED_VALUE"""),"ICW SWMP sites")</f>
        <v>ICW SWMP sites</v>
      </c>
      <c r="I214" s="15">
        <f ca="1">IFERROR(__xludf.DUMMYFUNCTION("""COMPUTED_VALUE"""),0.53125)</f>
        <v>0.53125</v>
      </c>
      <c r="J214" s="16">
        <f ca="1">IFERROR(__xludf.DUMMYFUNCTION("""COMPUTED_VALUE"""),43453.5520833333)</f>
        <v>43453.552083333299</v>
      </c>
      <c r="K214" t="str">
        <f ca="1">IFERROR(__xludf.DUMMYFUNCTION("""COMPUTED_VALUE"""),"20ft Sea Ark FL5351SJ UNF 2015")</f>
        <v>20ft Sea Ark FL5351SJ UNF 2015</v>
      </c>
      <c r="M214" t="str">
        <f ca="1">IFERROR(__xludf.DUMMYFUNCTION("""COMPUTED_VALUE"""),"Ford F250 2017 (Moby Dix) - DEP0021578")</f>
        <v>Ford F250 2017 (Moby Dix) - DEP0021578</v>
      </c>
      <c r="N214" t="str">
        <f ca="1">IFERROR(__xludf.DUMMYFUNCTION("""COMPUTED_VALUE"""),"Silas Tanner, (904) 483-8423")</f>
        <v>Silas Tanner, (904) 483-8423</v>
      </c>
      <c r="O214" t="str">
        <f ca="1">IFERROR(__xludf.DUMMYFUNCTION("""COMPUTED_VALUE"""),"Suzi Porterfield")</f>
        <v>Suzi Porterfield</v>
      </c>
      <c r="P214" t="str">
        <f ca="1">IFERROR(__xludf.DUMMYFUNCTION("""COMPUTED_VALUE"""),"Tanner")</f>
        <v>Tanner</v>
      </c>
      <c r="Q214" t="str">
        <f ca="1">IFERROR(__xludf.DUMMYFUNCTION("""COMPUTED_VALUE"""),"Good")</f>
        <v>Good</v>
      </c>
      <c r="R214" t="str">
        <f ca="1">IFERROR(__xludf.DUMMYFUNCTION("""COMPUTED_VALUE"""),"Good")</f>
        <v>Good</v>
      </c>
      <c r="S214" t="str">
        <f ca="1">IFERROR(__xludf.DUMMYFUNCTION("""COMPUTED_VALUE"""),"Good")</f>
        <v>Good</v>
      </c>
      <c r="T214" t="str">
        <f ca="1">IFERROR(__xludf.DUMMYFUNCTION("""COMPUTED_VALUE"""),"Good")</f>
        <v>Good</v>
      </c>
      <c r="U214" t="str">
        <f ca="1">IFERROR(__xludf.DUMMYFUNCTION("""COMPUTED_VALUE"""),"Good")</f>
        <v>Good</v>
      </c>
      <c r="V214" t="str">
        <f ca="1">IFERROR(__xludf.DUMMYFUNCTION("""COMPUTED_VALUE"""),"Good")</f>
        <v>Good</v>
      </c>
      <c r="W214" t="str">
        <f ca="1">IFERROR(__xludf.DUMMYFUNCTION("""COMPUTED_VALUE"""),"Good")</f>
        <v>Good</v>
      </c>
      <c r="X214" t="str">
        <f ca="1">IFERROR(__xludf.DUMMYFUNCTION("""COMPUTED_VALUE"""),"Good")</f>
        <v>Good</v>
      </c>
      <c r="Y214" t="str">
        <f ca="1">IFERROR(__xludf.DUMMYFUNCTION("""COMPUTED_VALUE"""),"Good")</f>
        <v>Good</v>
      </c>
      <c r="Z214" t="str">
        <f ca="1">IFERROR(__xludf.DUMMYFUNCTION("""COMPUTED_VALUE"""),"Good")</f>
        <v>Good</v>
      </c>
      <c r="AA214" t="str">
        <f ca="1">IFERROR(__xludf.DUMMYFUNCTION("""COMPUTED_VALUE"""),"Good")</f>
        <v>Good</v>
      </c>
      <c r="AB214" t="str">
        <f ca="1">IFERROR(__xludf.DUMMYFUNCTION("""COMPUTED_VALUE"""),"Good")</f>
        <v>Good</v>
      </c>
      <c r="AC214" t="str">
        <f ca="1">IFERROR(__xludf.DUMMYFUNCTION("""COMPUTED_VALUE"""),"Good")</f>
        <v>Good</v>
      </c>
      <c r="AE214" s="11"/>
      <c r="AF214" t="str">
        <v>Nikki.Dix@floridadep.gov</v>
      </c>
      <c r="AG214" s="17" t="s">
        <v>17</v>
      </c>
      <c r="AH214" s="12">
        <v>1145</v>
      </c>
      <c r="AI214" s="12" t="s">
        <v>584</v>
      </c>
      <c r="AJ214" s="19" t="s">
        <v>585</v>
      </c>
      <c r="AK214" s="20" t="str">
        <f>HYPERLINK("https://docs.google.com/document/d/1YiWcFq3l08V3qBUS4JCJ18wDAAtAadOsJGTbNWJ7y0o/edit?usp=drivesdk","Silas Tanner - 12/19/2018 7:10 AM")</f>
        <v>Silas Tanner - 12/19/2018 7:10 AM</v>
      </c>
      <c r="AL214" s="12" t="s">
        <v>586</v>
      </c>
    </row>
    <row r="215" spans="1:38" ht="12.75">
      <c r="A215" s="10">
        <f ca="1">IFERROR(__xludf.DUMMYFUNCTION("""COMPUTED_VALUE"""),43460.4078849305)</f>
        <v>43460.407884930501</v>
      </c>
      <c r="B215" s="11" t="str">
        <f ca="1">IFERROR(__xludf.DUMMYFUNCTION("""COMPUTED_VALUE"""),"Ben Mowbray")</f>
        <v>Ben Mowbray</v>
      </c>
      <c r="C215" t="str">
        <f ca="1">IFERROR(__xludf.DUMMYFUNCTION("""COMPUTED_VALUE"""),"ben.mowbray@dep.state.fl.us")</f>
        <v>ben.mowbray@dep.state.fl.us</v>
      </c>
      <c r="D215" t="str">
        <f ca="1">IFERROR(__xludf.DUMMYFUNCTION("""COMPUTED_VALUE"""),"Research/Pam")</f>
        <v>Research/Pam</v>
      </c>
      <c r="E215" t="str">
        <f ca="1">IFERROR(__xludf.DUMMYFUNCTION("""COMPUTED_VALUE"""),"Douglas Crane")</f>
        <v>Douglas Crane</v>
      </c>
      <c r="F215" s="13">
        <f ca="1">IFERROR(__xludf.DUMMYFUNCTION("""COMPUTED_VALUE"""),0.45833333333212)</f>
        <v>0.45833333333212001</v>
      </c>
      <c r="G215" s="14">
        <f ca="1">IFERROR(__xludf.DUMMYFUNCTION("""COMPUTED_VALUE"""),43460)</f>
        <v>43460</v>
      </c>
      <c r="H215" t="str">
        <f ca="1">IFERROR(__xludf.DUMMYFUNCTION("""COMPUTED_VALUE"""),"Chapman Middle Site")</f>
        <v>Chapman Middle Site</v>
      </c>
      <c r="I215" s="15">
        <f ca="1">IFERROR(__xludf.DUMMYFUNCTION("""COMPUTED_VALUE"""),0.666666666667879)</f>
        <v>0.66666666666787899</v>
      </c>
      <c r="J215" s="16">
        <f ca="1">IFERROR(__xludf.DUMMYFUNCTION("""COMPUTED_VALUE"""),43460.6944444444)</f>
        <v>43460.694444444402</v>
      </c>
      <c r="K215" t="str">
        <f ca="1">IFERROR(__xludf.DUMMYFUNCTION("""COMPUTED_VALUE"""),"F 20ft Sea Ark (Easy 200) FL8534PY DEP21451")</f>
        <v>F 20ft Sea Ark (Easy 200) FL8534PY DEP21451</v>
      </c>
      <c r="M215" t="str">
        <f ca="1">IFERROR(__xludf.DUMMYFUNCTION("""COMPUTED_VALUE"""),"Ford F250 2017 (Moby Dix) - DEP0021578")</f>
        <v>Ford F250 2017 (Moby Dix) - DEP0021578</v>
      </c>
      <c r="N215" t="str">
        <f ca="1">IFERROR(__xludf.DUMMYFUNCTION("""COMPUTED_VALUE"""),"Ben Mowbray, (407) 962-8782")</f>
        <v>Ben Mowbray, (407) 962-8782</v>
      </c>
      <c r="O215" t="str">
        <f ca="1">IFERROR(__xludf.DUMMYFUNCTION("""COMPUTED_VALUE"""),"Gabriela Canas, (904) 891-9743")</f>
        <v>Gabriela Canas, (904) 891-9743</v>
      </c>
      <c r="P215" t="str">
        <f ca="1">IFERROR(__xludf.DUMMYFUNCTION("""COMPUTED_VALUE"""),"Ben")</f>
        <v>Ben</v>
      </c>
      <c r="Q215" t="str">
        <f ca="1">IFERROR(__xludf.DUMMYFUNCTION("""COMPUTED_VALUE"""),"Good")</f>
        <v>Good</v>
      </c>
      <c r="R215" t="str">
        <f ca="1">IFERROR(__xludf.DUMMYFUNCTION("""COMPUTED_VALUE"""),"Good")</f>
        <v>Good</v>
      </c>
      <c r="S215" t="str">
        <f ca="1">IFERROR(__xludf.DUMMYFUNCTION("""COMPUTED_VALUE"""),"Good")</f>
        <v>Good</v>
      </c>
      <c r="T215" t="str">
        <f ca="1">IFERROR(__xludf.DUMMYFUNCTION("""COMPUTED_VALUE"""),"Good")</f>
        <v>Good</v>
      </c>
      <c r="U215" t="str">
        <f ca="1">IFERROR(__xludf.DUMMYFUNCTION("""COMPUTED_VALUE"""),"Good")</f>
        <v>Good</v>
      </c>
      <c r="V215" t="str">
        <f ca="1">IFERROR(__xludf.DUMMYFUNCTION("""COMPUTED_VALUE"""),"Good")</f>
        <v>Good</v>
      </c>
      <c r="W215" t="str">
        <f ca="1">IFERROR(__xludf.DUMMYFUNCTION("""COMPUTED_VALUE"""),"Good")</f>
        <v>Good</v>
      </c>
      <c r="X215" t="str">
        <f ca="1">IFERROR(__xludf.DUMMYFUNCTION("""COMPUTED_VALUE"""),"Good")</f>
        <v>Good</v>
      </c>
      <c r="Y215" t="str">
        <f ca="1">IFERROR(__xludf.DUMMYFUNCTION("""COMPUTED_VALUE"""),"Good")</f>
        <v>Good</v>
      </c>
      <c r="Z215" t="str">
        <f ca="1">IFERROR(__xludf.DUMMYFUNCTION("""COMPUTED_VALUE"""),"Good")</f>
        <v>Good</v>
      </c>
      <c r="AA215" t="str">
        <f ca="1">IFERROR(__xludf.DUMMYFUNCTION("""COMPUTED_VALUE"""),"Good")</f>
        <v>Good</v>
      </c>
      <c r="AB215" t="str">
        <f ca="1">IFERROR(__xludf.DUMMYFUNCTION("""COMPUTED_VALUE"""),"Good")</f>
        <v>Good</v>
      </c>
      <c r="AC215" t="str">
        <f ca="1">IFERROR(__xludf.DUMMYFUNCTION("""COMPUTED_VALUE"""),"Good")</f>
        <v>Good</v>
      </c>
      <c r="AE215" s="11"/>
      <c r="AF215" t="str">
        <v>Pamela.Marcum@floridadep.gov</v>
      </c>
      <c r="AG215" s="17" t="s">
        <v>41</v>
      </c>
      <c r="AH215" s="12">
        <v>1630</v>
      </c>
      <c r="AI215" s="12" t="s">
        <v>587</v>
      </c>
      <c r="AJ215" s="19" t="s">
        <v>588</v>
      </c>
      <c r="AK215" s="20" t="str">
        <f>HYPERLINK("https://docs.google.com/document/d/1urGKS6Hhgz61wxKnJxIwXPH6FT9q0n0PP04qBW5_huw/edit?usp=drivesdk","Ben Mowbray - 12/26/2018 11:00 AM")</f>
        <v>Ben Mowbray - 12/26/2018 11:00 AM</v>
      </c>
      <c r="AL215" s="12" t="s">
        <v>589</v>
      </c>
    </row>
    <row r="216" spans="1:38" ht="12.75">
      <c r="A216" s="10">
        <f ca="1">IFERROR(__xludf.DUMMYFUNCTION("""COMPUTED_VALUE"""),43467.384645405)</f>
        <v>43467.384645405</v>
      </c>
      <c r="B216" s="11" t="str">
        <f ca="1">IFERROR(__xludf.DUMMYFUNCTION("""COMPUTED_VALUE"""),"Ben Mowbray")</f>
        <v>Ben Mowbray</v>
      </c>
      <c r="C216" t="str">
        <f ca="1">IFERROR(__xludf.DUMMYFUNCTION("""COMPUTED_VALUE"""),"ben.mowbray@dep.state.fl.us")</f>
        <v>ben.mowbray@dep.state.fl.us</v>
      </c>
      <c r="D216" t="str">
        <f ca="1">IFERROR(__xludf.DUMMYFUNCTION("""COMPUTED_VALUE"""),"Research/Nikki")</f>
        <v>Research/Nikki</v>
      </c>
      <c r="E216" t="str">
        <f ca="1">IFERROR(__xludf.DUMMYFUNCTION("""COMPUTED_VALUE"""),"Aunt Kate's")</f>
        <v>Aunt Kate's</v>
      </c>
      <c r="F216" s="13">
        <f ca="1">IFERROR(__xludf.DUMMYFUNCTION("""COMPUTED_VALUE"""),0.416666666667879)</f>
        <v>0.41666666666787899</v>
      </c>
      <c r="G216" s="14">
        <f ca="1">IFERROR(__xludf.DUMMYFUNCTION("""COMPUTED_VALUE"""),43467)</f>
        <v>43467</v>
      </c>
      <c r="H216" t="str">
        <f ca="1">IFERROR(__xludf.DUMMYFUNCTION("""COMPUTED_VALUE"""),"Spat Run")</f>
        <v>Spat Run</v>
      </c>
      <c r="I216" s="15">
        <f ca="1">IFERROR(__xludf.DUMMYFUNCTION("""COMPUTED_VALUE"""),0.625)</f>
        <v>0.625</v>
      </c>
      <c r="J216" s="16">
        <f ca="1">IFERROR(__xludf.DUMMYFUNCTION("""COMPUTED_VALUE"""),43467.6527777777)</f>
        <v>43467.652777777701</v>
      </c>
      <c r="K216" t="str">
        <f ca="1">IFERROR(__xludf.DUMMYFUNCTION("""COMPUTED_VALUE"""),"23ft Skiff (Bertha) FL7972LJ DEP07613")</f>
        <v>23ft Skiff (Bertha) FL7972LJ DEP07613</v>
      </c>
      <c r="M216" t="str">
        <f ca="1">IFERROR(__xludf.DUMMYFUNCTION("""COMPUTED_VALUE"""),"Ford F150 2015 (White) - DEP21448")</f>
        <v>Ford F150 2015 (White) - DEP21448</v>
      </c>
      <c r="N216" t="str">
        <f ca="1">IFERROR(__xludf.DUMMYFUNCTION("""COMPUTED_VALUE"""),"Ben Mowbray, (407) 962-8782")</f>
        <v>Ben Mowbray, (407) 962-8782</v>
      </c>
      <c r="O216" t="str">
        <f ca="1">IFERROR(__xludf.DUMMYFUNCTION("""COMPUTED_VALUE"""),"Alicia Bishop")</f>
        <v>Alicia Bishop</v>
      </c>
      <c r="P216" t="str">
        <f ca="1">IFERROR(__xludf.DUMMYFUNCTION("""COMPUTED_VALUE"""),"Ben")</f>
        <v>Ben</v>
      </c>
      <c r="Q216" t="str">
        <f ca="1">IFERROR(__xludf.DUMMYFUNCTION("""COMPUTED_VALUE"""),"Good")</f>
        <v>Good</v>
      </c>
      <c r="R216" t="str">
        <f ca="1">IFERROR(__xludf.DUMMYFUNCTION("""COMPUTED_VALUE"""),"Good")</f>
        <v>Good</v>
      </c>
      <c r="S216" t="str">
        <f ca="1">IFERROR(__xludf.DUMMYFUNCTION("""COMPUTED_VALUE"""),"Good")</f>
        <v>Good</v>
      </c>
      <c r="T216" t="str">
        <f ca="1">IFERROR(__xludf.DUMMYFUNCTION("""COMPUTED_VALUE"""),"Good")</f>
        <v>Good</v>
      </c>
      <c r="U216" t="str">
        <f ca="1">IFERROR(__xludf.DUMMYFUNCTION("""COMPUTED_VALUE"""),"Good")</f>
        <v>Good</v>
      </c>
      <c r="V216" t="str">
        <f ca="1">IFERROR(__xludf.DUMMYFUNCTION("""COMPUTED_VALUE"""),"Good")</f>
        <v>Good</v>
      </c>
      <c r="W216" t="str">
        <f ca="1">IFERROR(__xludf.DUMMYFUNCTION("""COMPUTED_VALUE"""),"Good")</f>
        <v>Good</v>
      </c>
      <c r="X216" t="str">
        <f ca="1">IFERROR(__xludf.DUMMYFUNCTION("""COMPUTED_VALUE"""),"Good")</f>
        <v>Good</v>
      </c>
      <c r="Y216" t="str">
        <f ca="1">IFERROR(__xludf.DUMMYFUNCTION("""COMPUTED_VALUE"""),"Good")</f>
        <v>Good</v>
      </c>
      <c r="Z216" t="str">
        <f ca="1">IFERROR(__xludf.DUMMYFUNCTION("""COMPUTED_VALUE"""),"Good")</f>
        <v>Good</v>
      </c>
      <c r="AA216" t="str">
        <f ca="1">IFERROR(__xludf.DUMMYFUNCTION("""COMPUTED_VALUE"""),"Good")</f>
        <v>Good</v>
      </c>
      <c r="AB216" t="str">
        <f ca="1">IFERROR(__xludf.DUMMYFUNCTION("""COMPUTED_VALUE"""),"Good")</f>
        <v>Good</v>
      </c>
      <c r="AC216" t="str">
        <f ca="1">IFERROR(__xludf.DUMMYFUNCTION("""COMPUTED_VALUE"""),"Good")</f>
        <v>Good</v>
      </c>
      <c r="AE216" s="11"/>
      <c r="AF216" t="str">
        <v>Nikki.Dix@floridadep.gov</v>
      </c>
      <c r="AG216" s="17" t="s">
        <v>41</v>
      </c>
      <c r="AH216" s="12">
        <v>1600</v>
      </c>
      <c r="AI216" s="12" t="s">
        <v>590</v>
      </c>
      <c r="AJ216" s="19" t="s">
        <v>591</v>
      </c>
      <c r="AK216" s="20" t="str">
        <f>HYPERLINK("https://docs.google.com/document/d/1Uul-M4yHrQoQPnrQFZYN9DfqLTVHhiUvwWZpw-wNmWI/edit?usp=drivesdk","Ben Mowbray - 1/2/2019 10:00 AM")</f>
        <v>Ben Mowbray - 1/2/2019 10:00 AM</v>
      </c>
      <c r="AL216" s="12" t="s">
        <v>592</v>
      </c>
    </row>
    <row r="217" spans="1:38" ht="12.75">
      <c r="A217" s="10">
        <f ca="1">IFERROR(__xludf.DUMMYFUNCTION("""COMPUTED_VALUE"""),43467.4009532986)</f>
        <v>43467.400953298602</v>
      </c>
      <c r="B217" s="11" t="str">
        <f ca="1">IFERROR(__xludf.DUMMYFUNCTION("""COMPUTED_VALUE"""),"Pamela Marcum")</f>
        <v>Pamela Marcum</v>
      </c>
      <c r="C217" t="str">
        <f ca="1">IFERROR(__xludf.DUMMYFUNCTION("""COMPUTED_VALUE"""),"Pamela.Marcum@dep.state.fl.us")</f>
        <v>Pamela.Marcum@dep.state.fl.us</v>
      </c>
      <c r="D217" t="str">
        <f ca="1">IFERROR(__xludf.DUMMYFUNCTION("""COMPUTED_VALUE"""),"Research/Nikki")</f>
        <v>Research/Nikki</v>
      </c>
      <c r="E217" t="str">
        <f ca="1">IFERROR(__xludf.DUMMYFUNCTION("""COMPUTED_VALUE"""),"Shore Drive 10a, Green Rd 1p, Bings 3p")</f>
        <v>Shore Drive 10a, Green Rd 1p, Bings 3p</v>
      </c>
      <c r="F217" s="13">
        <f ca="1">IFERROR(__xludf.DUMMYFUNCTION("""COMPUTED_VALUE"""),0.416666666667879)</f>
        <v>0.41666666666787899</v>
      </c>
      <c r="G217" s="14">
        <f ca="1">IFERROR(__xludf.DUMMYFUNCTION("""COMPUTED_VALUE"""),43467)</f>
        <v>43467</v>
      </c>
      <c r="H217" t="str">
        <f ca="1">IFERROR(__xludf.DUMMYFUNCTION("""COMPUTED_VALUE"""),"spat trees")</f>
        <v>spat trees</v>
      </c>
      <c r="I217" s="15">
        <f ca="1">IFERROR(__xludf.DUMMYFUNCTION("""COMPUTED_VALUE"""),0.70833333333212)</f>
        <v>0.70833333333212001</v>
      </c>
      <c r="J217" s="16">
        <f ca="1">IFERROR(__xludf.DUMMYFUNCTION("""COMPUTED_VALUE"""),43467.7708333333)</f>
        <v>43467.770833333299</v>
      </c>
      <c r="K217" t="str">
        <f ca="1">IFERROR(__xludf.DUMMYFUNCTION("""COMPUTED_VALUE"""),"20ft Sea Ark FL5351SJ UNF 2015")</f>
        <v>20ft Sea Ark FL5351SJ UNF 2015</v>
      </c>
      <c r="M217" t="str">
        <f ca="1">IFERROR(__xludf.DUMMYFUNCTION("""COMPUTED_VALUE"""),"Ford F150 2008 - DEP18041 (SWMP Thing)")</f>
        <v>Ford F150 2008 - DEP18041 (SWMP Thing)</v>
      </c>
      <c r="N217" t="str">
        <f ca="1">IFERROR(__xludf.DUMMYFUNCTION("""COMPUTED_VALUE"""),"Pam Marcum, (480) 332-5414, Remo Mondazzi")</f>
        <v>Pam Marcum, (480) 332-5414, Remo Mondazzi</v>
      </c>
      <c r="P217" t="str">
        <f ca="1">IFERROR(__xludf.DUMMYFUNCTION("""COMPUTED_VALUE"""),"Pam")</f>
        <v>Pam</v>
      </c>
      <c r="Q217" t="str">
        <f ca="1">IFERROR(__xludf.DUMMYFUNCTION("""COMPUTED_VALUE"""),"Good")</f>
        <v>Good</v>
      </c>
      <c r="R217" t="str">
        <f ca="1">IFERROR(__xludf.DUMMYFUNCTION("""COMPUTED_VALUE"""),"Good")</f>
        <v>Good</v>
      </c>
      <c r="S217" t="str">
        <f ca="1">IFERROR(__xludf.DUMMYFUNCTION("""COMPUTED_VALUE"""),"Good")</f>
        <v>Good</v>
      </c>
      <c r="T217" t="str">
        <f ca="1">IFERROR(__xludf.DUMMYFUNCTION("""COMPUTED_VALUE"""),"Good")</f>
        <v>Good</v>
      </c>
      <c r="U217" t="str">
        <f ca="1">IFERROR(__xludf.DUMMYFUNCTION("""COMPUTED_VALUE"""),"Good")</f>
        <v>Good</v>
      </c>
      <c r="V217" t="str">
        <f ca="1">IFERROR(__xludf.DUMMYFUNCTION("""COMPUTED_VALUE"""),"Good")</f>
        <v>Good</v>
      </c>
      <c r="W217" t="str">
        <f ca="1">IFERROR(__xludf.DUMMYFUNCTION("""COMPUTED_VALUE"""),"Good")</f>
        <v>Good</v>
      </c>
      <c r="X217" t="str">
        <f ca="1">IFERROR(__xludf.DUMMYFUNCTION("""COMPUTED_VALUE"""),"Good")</f>
        <v>Good</v>
      </c>
      <c r="Y217" t="str">
        <f ca="1">IFERROR(__xludf.DUMMYFUNCTION("""COMPUTED_VALUE"""),"Good")</f>
        <v>Good</v>
      </c>
      <c r="Z217" t="str">
        <f ca="1">IFERROR(__xludf.DUMMYFUNCTION("""COMPUTED_VALUE"""),"Good")</f>
        <v>Good</v>
      </c>
      <c r="AA217" t="str">
        <f ca="1">IFERROR(__xludf.DUMMYFUNCTION("""COMPUTED_VALUE"""),"Good")</f>
        <v>Good</v>
      </c>
      <c r="AB217" t="str">
        <f ca="1">IFERROR(__xludf.DUMMYFUNCTION("""COMPUTED_VALUE"""),"Good")</f>
        <v>Good</v>
      </c>
      <c r="AC217" t="str">
        <f ca="1">IFERROR(__xludf.DUMMYFUNCTION("""COMPUTED_VALUE"""),"Good")</f>
        <v>Good</v>
      </c>
      <c r="AE217" s="11"/>
      <c r="AF217" t="str">
        <v>Nikki.Dix@floridadep.gov</v>
      </c>
      <c r="AG217" s="17" t="s">
        <v>41</v>
      </c>
      <c r="AH217" s="12">
        <v>1440</v>
      </c>
      <c r="AI217" s="12" t="s">
        <v>593</v>
      </c>
      <c r="AJ217" s="19" t="s">
        <v>594</v>
      </c>
      <c r="AK217" s="20" t="str">
        <f>HYPERLINK("https://docs.google.com/document/d/11wDe1iSta-uPiSj3aBwpM_PUcVB86619YC5CLL_mQ-I/edit?usp=drivesdk","Pamela Marcum - 1/2/2019 10:00 AM")</f>
        <v>Pamela Marcum - 1/2/2019 10:00 AM</v>
      </c>
      <c r="AL217" s="12" t="s">
        <v>595</v>
      </c>
    </row>
    <row r="218" spans="1:38" ht="12.75">
      <c r="A218" s="10">
        <f ca="1">IFERROR(__xludf.DUMMYFUNCTION("""COMPUTED_VALUE"""),43467.7862429282)</f>
        <v>43467.786242928203</v>
      </c>
      <c r="B218" s="11" t="str">
        <f ca="1">IFERROR(__xludf.DUMMYFUNCTION("""COMPUTED_VALUE"""),"Pamela Marcum")</f>
        <v>Pamela Marcum</v>
      </c>
      <c r="C218" t="str">
        <f ca="1">IFERROR(__xludf.DUMMYFUNCTION("""COMPUTED_VALUE"""),"Pamela.Marcum@dep.state.fl.us")</f>
        <v>Pamela.Marcum@dep.state.fl.us</v>
      </c>
      <c r="D218" t="str">
        <f ca="1">IFERROR(__xludf.DUMMYFUNCTION("""COMPUTED_VALUE"""),"Research/Nikki")</f>
        <v>Research/Nikki</v>
      </c>
      <c r="E218" t="str">
        <f ca="1">IFERROR(__xludf.DUMMYFUNCTION("""COMPUTED_VALUE"""),"Lighthouse 0930, Shore Dr 1130")</f>
        <v>Lighthouse 0930, Shore Dr 1130</v>
      </c>
      <c r="F218" s="13">
        <f ca="1">IFERROR(__xludf.DUMMYFUNCTION("""COMPUTED_VALUE"""),0.39583333333212)</f>
        <v>0.39583333333212001</v>
      </c>
      <c r="G218" s="14">
        <f ca="1">IFERROR(__xludf.DUMMYFUNCTION("""COMPUTED_VALUE"""),43468)</f>
        <v>43468</v>
      </c>
      <c r="H218" t="str">
        <f ca="1">IFERROR(__xludf.DUMMYFUNCTION("""COMPUTED_VALUE"""),"Salt Run &amp; St. Aug Kimbro sites")</f>
        <v>Salt Run &amp; St. Aug Kimbro sites</v>
      </c>
      <c r="I218" s="15">
        <f ca="1">IFERROR(__xludf.DUMMYFUNCTION("""COMPUTED_VALUE"""),0.5625)</f>
        <v>0.5625</v>
      </c>
      <c r="J218" s="16">
        <f ca="1">IFERROR(__xludf.DUMMYFUNCTION("""COMPUTED_VALUE"""),43468.5833333333)</f>
        <v>43468.583333333299</v>
      </c>
      <c r="K218" t="str">
        <f ca="1">IFERROR(__xludf.DUMMYFUNCTION("""COMPUTED_VALUE"""),"20ft Sea Ark FL5351SJ UNF 2015")</f>
        <v>20ft Sea Ark FL5351SJ UNF 2015</v>
      </c>
      <c r="M218" t="str">
        <f ca="1">IFERROR(__xludf.DUMMYFUNCTION("""COMPUTED_VALUE"""),"Ford F150 2008 - DEP18041 (SWMP Thing)")</f>
        <v>Ford F150 2008 - DEP18041 (SWMP Thing)</v>
      </c>
      <c r="N218" t="str">
        <f ca="1">IFERROR(__xludf.DUMMYFUNCTION("""COMPUTED_VALUE"""),"Pam Marcum, (480) 332-5414")</f>
        <v>Pam Marcum, (480) 332-5414</v>
      </c>
      <c r="O218" t="str">
        <f ca="1">IFERROR(__xludf.DUMMYFUNCTION("""COMPUTED_VALUE"""),"Nicole Peckham, Adrienne Breef-Pilz")</f>
        <v>Nicole Peckham, Adrienne Breef-Pilz</v>
      </c>
      <c r="P218" t="str">
        <f ca="1">IFERROR(__xludf.DUMMYFUNCTION("""COMPUTED_VALUE"""),"Pam")</f>
        <v>Pam</v>
      </c>
      <c r="Q218" t="str">
        <f ca="1">IFERROR(__xludf.DUMMYFUNCTION("""COMPUTED_VALUE"""),"Good")</f>
        <v>Good</v>
      </c>
      <c r="R218" t="str">
        <f ca="1">IFERROR(__xludf.DUMMYFUNCTION("""COMPUTED_VALUE"""),"Good")</f>
        <v>Good</v>
      </c>
      <c r="S218" t="str">
        <f ca="1">IFERROR(__xludf.DUMMYFUNCTION("""COMPUTED_VALUE"""),"Good")</f>
        <v>Good</v>
      </c>
      <c r="T218" t="str">
        <f ca="1">IFERROR(__xludf.DUMMYFUNCTION("""COMPUTED_VALUE"""),"Good")</f>
        <v>Good</v>
      </c>
      <c r="U218" t="str">
        <f ca="1">IFERROR(__xludf.DUMMYFUNCTION("""COMPUTED_VALUE"""),"Good")</f>
        <v>Good</v>
      </c>
      <c r="V218" t="str">
        <f ca="1">IFERROR(__xludf.DUMMYFUNCTION("""COMPUTED_VALUE"""),"Good")</f>
        <v>Good</v>
      </c>
      <c r="W218" t="str">
        <f ca="1">IFERROR(__xludf.DUMMYFUNCTION("""COMPUTED_VALUE"""),"Good")</f>
        <v>Good</v>
      </c>
      <c r="X218" t="str">
        <f ca="1">IFERROR(__xludf.DUMMYFUNCTION("""COMPUTED_VALUE"""),"Good")</f>
        <v>Good</v>
      </c>
      <c r="Y218" t="str">
        <f ca="1">IFERROR(__xludf.DUMMYFUNCTION("""COMPUTED_VALUE"""),"Good")</f>
        <v>Good</v>
      </c>
      <c r="Z218" t="str">
        <f ca="1">IFERROR(__xludf.DUMMYFUNCTION("""COMPUTED_VALUE"""),"Good")</f>
        <v>Good</v>
      </c>
      <c r="AA218" t="str">
        <f ca="1">IFERROR(__xludf.DUMMYFUNCTION("""COMPUTED_VALUE"""),"Good")</f>
        <v>Good</v>
      </c>
      <c r="AB218" t="str">
        <f ca="1">IFERROR(__xludf.DUMMYFUNCTION("""COMPUTED_VALUE"""),"Good")</f>
        <v>Good</v>
      </c>
      <c r="AC218" t="str">
        <f ca="1">IFERROR(__xludf.DUMMYFUNCTION("""COMPUTED_VALUE"""),"Good")</f>
        <v>Good</v>
      </c>
      <c r="AE218" s="11"/>
      <c r="AF218" t="str">
        <v>Nikki.Dix@floridadep.gov</v>
      </c>
      <c r="AG218" s="17" t="s">
        <v>126</v>
      </c>
      <c r="AH218" s="12">
        <v>1445</v>
      </c>
      <c r="AI218" s="12" t="s">
        <v>596</v>
      </c>
      <c r="AJ218" s="19" t="s">
        <v>597</v>
      </c>
      <c r="AK218" s="20" t="str">
        <f>HYPERLINK("https://docs.google.com/document/d/16OYOj5TIsxB7aLpe8-WmMHmeLPl3WJceZcqhaNcR8ug/edit?usp=drivesdk","Pamela Marcum - 1/3/2019 9:30 AM")</f>
        <v>Pamela Marcum - 1/3/2019 9:30 AM</v>
      </c>
      <c r="AL218" s="12" t="s">
        <v>598</v>
      </c>
    </row>
    <row r="219" spans="1:38" ht="12.75">
      <c r="A219" s="10">
        <f ca="1">IFERROR(__xludf.DUMMYFUNCTION("""COMPUTED_VALUE"""),43469.3435967939)</f>
        <v>43469.3435967939</v>
      </c>
      <c r="B219" s="11" t="str">
        <f ca="1">IFERROR(__xludf.DUMMYFUNCTION("""COMPUTED_VALUE"""),"James Tomazinis")</f>
        <v>James Tomazinis</v>
      </c>
      <c r="C219" t="str">
        <f ca="1">IFERROR(__xludf.DUMMYFUNCTION("""COMPUTED_VALUE"""),"james.tomazinis@floridadep.gov")</f>
        <v>james.tomazinis@floridadep.gov</v>
      </c>
      <c r="D219" t="str">
        <f ca="1">IFERROR(__xludf.DUMMYFUNCTION("""COMPUTED_VALUE"""),"Stewardship (Aquatic)")</f>
        <v>Stewardship (Aquatic)</v>
      </c>
      <c r="E219" t="str">
        <f ca="1">IFERROR(__xludf.DUMMYFUNCTION("""COMPUTED_VALUE"""),"Aunt Kates")</f>
        <v>Aunt Kates</v>
      </c>
      <c r="F219" s="13">
        <f ca="1">IFERROR(__xludf.DUMMYFUNCTION("""COMPUTED_VALUE"""),0.375)</f>
        <v>0.375</v>
      </c>
      <c r="G219" s="14">
        <f ca="1">IFERROR(__xludf.DUMMYFUNCTION("""COMPUTED_VALUE"""),43469)</f>
        <v>43469</v>
      </c>
      <c r="H219" t="str">
        <f ca="1">IFERROR(__xludf.DUMMYFUNCTION("""COMPUTED_VALUE"""),"Tolomato River near airport")</f>
        <v>Tolomato River near airport</v>
      </c>
      <c r="I219" s="15">
        <f ca="1">IFERROR(__xludf.DUMMYFUNCTION("""COMPUTED_VALUE"""),0.52083333333212)</f>
        <v>0.52083333333212001</v>
      </c>
      <c r="J219" s="16"/>
      <c r="K219" t="str">
        <f ca="1">IFERROR(__xludf.DUMMYFUNCTION("""COMPUTED_VALUE"""),"23ft Skiff (Bertha) FL7972LJ DEP07613")</f>
        <v>23ft Skiff (Bertha) FL7972LJ DEP07613</v>
      </c>
      <c r="M219" t="str">
        <f ca="1">IFERROR(__xludf.DUMMYFUNCTION("""COMPUTED_VALUE"""),"Ford F150 2015 (White) - DEP21448")</f>
        <v>Ford F150 2015 (White) - DEP21448</v>
      </c>
      <c r="N219" t="str">
        <f ca="1">IFERROR(__xludf.DUMMYFUNCTION("""COMPUTED_VALUE"""),"Jimmy Tomazinis, (904) 547-0094, Ben Mowbray, (407) 962-8782")</f>
        <v>Jimmy Tomazinis, (904) 547-0094, Ben Mowbray, (407) 962-8782</v>
      </c>
      <c r="O219" t="str">
        <f ca="1">IFERROR(__xludf.DUMMYFUNCTION("""COMPUTED_VALUE"""),"Benjamin Mowbray, (407) 962-8782, Gabriela Canas, (904) 891-9743, Ed McGinley")</f>
        <v>Benjamin Mowbray, (407) 962-8782, Gabriela Canas, (904) 891-9743, Ed McGinley</v>
      </c>
      <c r="P219" t="str">
        <f ca="1">IFERROR(__xludf.DUMMYFUNCTION("""COMPUTED_VALUE"""),"Jimmy")</f>
        <v>Jimmy</v>
      </c>
      <c r="Q219" t="str">
        <f ca="1">IFERROR(__xludf.DUMMYFUNCTION("""COMPUTED_VALUE"""),"Good")</f>
        <v>Good</v>
      </c>
      <c r="R219" t="str">
        <f ca="1">IFERROR(__xludf.DUMMYFUNCTION("""COMPUTED_VALUE"""),"Good")</f>
        <v>Good</v>
      </c>
      <c r="S219" t="str">
        <f ca="1">IFERROR(__xludf.DUMMYFUNCTION("""COMPUTED_VALUE"""),"Good")</f>
        <v>Good</v>
      </c>
      <c r="T219" t="str">
        <f ca="1">IFERROR(__xludf.DUMMYFUNCTION("""COMPUTED_VALUE"""),"Good")</f>
        <v>Good</v>
      </c>
      <c r="U219" t="str">
        <f ca="1">IFERROR(__xludf.DUMMYFUNCTION("""COMPUTED_VALUE"""),"Good")</f>
        <v>Good</v>
      </c>
      <c r="V219" t="str">
        <f ca="1">IFERROR(__xludf.DUMMYFUNCTION("""COMPUTED_VALUE"""),"Good")</f>
        <v>Good</v>
      </c>
      <c r="W219" t="str">
        <f ca="1">IFERROR(__xludf.DUMMYFUNCTION("""COMPUTED_VALUE"""),"Good")</f>
        <v>Good</v>
      </c>
      <c r="X219" t="str">
        <f ca="1">IFERROR(__xludf.DUMMYFUNCTION("""COMPUTED_VALUE"""),"Good")</f>
        <v>Good</v>
      </c>
      <c r="Y219" t="str">
        <f ca="1">IFERROR(__xludf.DUMMYFUNCTION("""COMPUTED_VALUE"""),"Good")</f>
        <v>Good</v>
      </c>
      <c r="Z219" t="str">
        <f ca="1">IFERROR(__xludf.DUMMYFUNCTION("""COMPUTED_VALUE"""),"Good")</f>
        <v>Good</v>
      </c>
      <c r="AA219" t="str">
        <f ca="1">IFERROR(__xludf.DUMMYFUNCTION("""COMPUTED_VALUE"""),"Good")</f>
        <v>Good</v>
      </c>
      <c r="AB219" t="str">
        <f ca="1">IFERROR(__xludf.DUMMYFUNCTION("""COMPUTED_VALUE"""),"Good")</f>
        <v>Good</v>
      </c>
      <c r="AC219" t="str">
        <f ca="1">IFERROR(__xludf.DUMMYFUNCTION("""COMPUTED_VALUE"""),"Good")</f>
        <v>Good</v>
      </c>
      <c r="AE219" s="11"/>
      <c r="AF219" t="str">
        <v>Scott.Eastman@floridadep.gov</v>
      </c>
      <c r="AG219" s="17" t="s">
        <v>126</v>
      </c>
      <c r="AH219" s="12">
        <v>1255</v>
      </c>
      <c r="AI219" s="12" t="s">
        <v>599</v>
      </c>
      <c r="AJ219" s="19" t="s">
        <v>600</v>
      </c>
      <c r="AK219" s="20" t="str">
        <f>HYPERLINK("https://docs.google.com/document/d/16SdYODC-uCZ2zFLn33qfp7Qjty_GYbog-ssGQaMREx8/edit?usp=drivesdk","James Tomazinis - 1/4/2019 9:00 AM")</f>
        <v>James Tomazinis - 1/4/2019 9:00 AM</v>
      </c>
      <c r="AL219" s="12" t="s">
        <v>601</v>
      </c>
    </row>
    <row r="220" spans="1:38" ht="12.75">
      <c r="A220" s="10">
        <f ca="1">IFERROR(__xludf.DUMMYFUNCTION("""COMPUTED_VALUE"""),43469.4142080092)</f>
        <v>43469.414208009199</v>
      </c>
      <c r="B220" s="11" t="str">
        <f ca="1">IFERROR(__xludf.DUMMYFUNCTION("""COMPUTED_VALUE"""),"Pamela Marcum")</f>
        <v>Pamela Marcum</v>
      </c>
      <c r="C220" t="str">
        <f ca="1">IFERROR(__xludf.DUMMYFUNCTION("""COMPUTED_VALUE"""),"Pamela.Marcum@dep.state.fl.us")</f>
        <v>Pamela.Marcum@dep.state.fl.us</v>
      </c>
      <c r="D220" t="str">
        <f ca="1">IFERROR(__xludf.DUMMYFUNCTION("""COMPUTED_VALUE"""),"Research/Nikki")</f>
        <v>Research/Nikki</v>
      </c>
      <c r="E220" t="str">
        <f ca="1">IFERROR(__xludf.DUMMYFUNCTION("""COMPUTED_VALUE"""),"Shore Dr 10am, Aunt Kate's 11am")</f>
        <v>Shore Dr 10am, Aunt Kate's 11am</v>
      </c>
      <c r="F220" s="13">
        <f ca="1">IFERROR(__xludf.DUMMYFUNCTION("""COMPUTED_VALUE"""),0.416666666667879)</f>
        <v>0.41666666666787899</v>
      </c>
      <c r="G220" s="14">
        <f ca="1">IFERROR(__xludf.DUMMYFUNCTION("""COMPUTED_VALUE"""),43469)</f>
        <v>43469</v>
      </c>
      <c r="H220" t="str">
        <f ca="1">IFERROR(__xludf.DUMMYFUNCTION("""COMPUTED_VALUE"""),"Northern Kimbro sites")</f>
        <v>Northern Kimbro sites</v>
      </c>
      <c r="I220" s="15">
        <f ca="1">IFERROR(__xludf.DUMMYFUNCTION("""COMPUTED_VALUE"""),0.625)</f>
        <v>0.625</v>
      </c>
      <c r="J220" s="16">
        <f ca="1">IFERROR(__xludf.DUMMYFUNCTION("""COMPUTED_VALUE"""),43469.6458333333)</f>
        <v>43469.645833333299</v>
      </c>
      <c r="K220" t="str">
        <f ca="1">IFERROR(__xludf.DUMMYFUNCTION("""COMPUTED_VALUE"""),"20ft Sea Ark FL5351SJ UNF 2015")</f>
        <v>20ft Sea Ark FL5351SJ UNF 2015</v>
      </c>
      <c r="M220" t="str">
        <f ca="1">IFERROR(__xludf.DUMMYFUNCTION("""COMPUTED_VALUE"""),"Ford F150 2008 - DEP18041 (SWMP Thing)")</f>
        <v>Ford F150 2008 - DEP18041 (SWMP Thing)</v>
      </c>
      <c r="N220" t="str">
        <f ca="1">IFERROR(__xludf.DUMMYFUNCTION("""COMPUTED_VALUE"""),"Pam Marcum, (480) 332-5414")</f>
        <v>Pam Marcum, (480) 332-5414</v>
      </c>
      <c r="O220" t="str">
        <f ca="1">IFERROR(__xludf.DUMMYFUNCTION("""COMPUTED_VALUE"""),"Adrienne Breef-Pilz, Nicoloe Peckham")</f>
        <v>Adrienne Breef-Pilz, Nicoloe Peckham</v>
      </c>
      <c r="P220" t="str">
        <f ca="1">IFERROR(__xludf.DUMMYFUNCTION("""COMPUTED_VALUE"""),"Pam")</f>
        <v>Pam</v>
      </c>
      <c r="Q220" t="str">
        <f ca="1">IFERROR(__xludf.DUMMYFUNCTION("""COMPUTED_VALUE"""),"Good")</f>
        <v>Good</v>
      </c>
      <c r="R220" t="str">
        <f ca="1">IFERROR(__xludf.DUMMYFUNCTION("""COMPUTED_VALUE"""),"Good")</f>
        <v>Good</v>
      </c>
      <c r="S220" t="str">
        <f ca="1">IFERROR(__xludf.DUMMYFUNCTION("""COMPUTED_VALUE"""),"Good")</f>
        <v>Good</v>
      </c>
      <c r="T220" t="str">
        <f ca="1">IFERROR(__xludf.DUMMYFUNCTION("""COMPUTED_VALUE"""),"Good")</f>
        <v>Good</v>
      </c>
      <c r="U220" t="str">
        <f ca="1">IFERROR(__xludf.DUMMYFUNCTION("""COMPUTED_VALUE"""),"Good")</f>
        <v>Good</v>
      </c>
      <c r="V220" t="str">
        <f ca="1">IFERROR(__xludf.DUMMYFUNCTION("""COMPUTED_VALUE"""),"Good")</f>
        <v>Good</v>
      </c>
      <c r="W220" t="str">
        <f ca="1">IFERROR(__xludf.DUMMYFUNCTION("""COMPUTED_VALUE"""),"Good")</f>
        <v>Good</v>
      </c>
      <c r="X220" t="str">
        <f ca="1">IFERROR(__xludf.DUMMYFUNCTION("""COMPUTED_VALUE"""),"Good")</f>
        <v>Good</v>
      </c>
      <c r="Y220" t="str">
        <f ca="1">IFERROR(__xludf.DUMMYFUNCTION("""COMPUTED_VALUE"""),"Good")</f>
        <v>Good</v>
      </c>
      <c r="Z220" t="str">
        <f ca="1">IFERROR(__xludf.DUMMYFUNCTION("""COMPUTED_VALUE"""),"Good")</f>
        <v>Good</v>
      </c>
      <c r="AA220" t="str">
        <f ca="1">IFERROR(__xludf.DUMMYFUNCTION("""COMPUTED_VALUE"""),"Good")</f>
        <v>Good</v>
      </c>
      <c r="AB220" t="str">
        <f ca="1">IFERROR(__xludf.DUMMYFUNCTION("""COMPUTED_VALUE"""),"Good")</f>
        <v>Good</v>
      </c>
      <c r="AC220" t="str">
        <f ca="1">IFERROR(__xludf.DUMMYFUNCTION("""COMPUTED_VALUE"""),"Good")</f>
        <v>Good</v>
      </c>
      <c r="AE220" s="11"/>
      <c r="AF220" t="str">
        <v>Nikki.Dix@floridadep.gov</v>
      </c>
      <c r="AG220" s="17" t="s">
        <v>126</v>
      </c>
      <c r="AI220" s="12" t="s">
        <v>602</v>
      </c>
      <c r="AJ220" s="19" t="s">
        <v>603</v>
      </c>
      <c r="AK220" s="20" t="str">
        <f>HYPERLINK("https://docs.google.com/document/d/1p7s5sR34YXc9wg1z-_VVivHlRGZkuTUZxMHhBUHtCco/edit?usp=drivesdk","Pamela Marcum - 1/4/2019 10:00 AM")</f>
        <v>Pamela Marcum - 1/4/2019 10:00 AM</v>
      </c>
      <c r="AL220" s="12" t="s">
        <v>604</v>
      </c>
    </row>
    <row r="221" spans="1:38" ht="12.75">
      <c r="A221" s="10">
        <f ca="1">IFERROR(__xludf.DUMMYFUNCTION("""COMPUTED_VALUE"""),43472.6592457985)</f>
        <v>43472.659245798597</v>
      </c>
      <c r="B221" s="11" t="str">
        <f ca="1">IFERROR(__xludf.DUMMYFUNCTION("""COMPUTED_VALUE"""),"Silas Tanner")</f>
        <v>Silas Tanner</v>
      </c>
      <c r="C221" t="str">
        <f ca="1">IFERROR(__xludf.DUMMYFUNCTION("""COMPUTED_VALUE"""),"silas.tanner@floridadep.gov")</f>
        <v>silas.tanner@floridadep.gov</v>
      </c>
      <c r="D221" t="str">
        <f ca="1">IFERROR(__xludf.DUMMYFUNCTION("""COMPUTED_VALUE"""),"Research/Nikki")</f>
        <v>Research/Nikki</v>
      </c>
      <c r="E221" t="str">
        <f ca="1">IFERROR(__xludf.DUMMYFUNCTION("""COMPUTED_VALUE"""),"Vilano Landing")</f>
        <v>Vilano Landing</v>
      </c>
      <c r="F221" s="13">
        <f ca="1">IFERROR(__xludf.DUMMYFUNCTION("""COMPUTED_VALUE"""),0.36458333333212)</f>
        <v>0.36458333333212001</v>
      </c>
      <c r="G221" s="14">
        <f ca="1">IFERROR(__xludf.DUMMYFUNCTION("""COMPUTED_VALUE"""),43473)</f>
        <v>43473</v>
      </c>
      <c r="H221" t="str">
        <f ca="1">IFERROR(__xludf.DUMMYFUNCTION("""COMPUTED_VALUE"""),"ICW: SWMP Stations")</f>
        <v>ICW: SWMP Stations</v>
      </c>
      <c r="I221" s="15">
        <f ca="1">IFERROR(__xludf.DUMMYFUNCTION("""COMPUTED_VALUE"""),0.53125)</f>
        <v>0.53125</v>
      </c>
      <c r="J221" s="16">
        <f ca="1">IFERROR(__xludf.DUMMYFUNCTION("""COMPUTED_VALUE"""),43473.5416666666)</f>
        <v>43473.541666666599</v>
      </c>
      <c r="K221" t="str">
        <f ca="1">IFERROR(__xludf.DUMMYFUNCTION("""COMPUTED_VALUE"""),"20ft Sea Ark FL5351SJ UNF 2015")</f>
        <v>20ft Sea Ark FL5351SJ UNF 2015</v>
      </c>
      <c r="M221" t="str">
        <f ca="1">IFERROR(__xludf.DUMMYFUNCTION("""COMPUTED_VALUE"""),"Ford F250 2017 (Moby Dix) - DEP0021578")</f>
        <v>Ford F250 2017 (Moby Dix) - DEP0021578</v>
      </c>
      <c r="N221" t="str">
        <f ca="1">IFERROR(__xludf.DUMMYFUNCTION("""COMPUTED_VALUE"""),"Silas Tanner, (904) 483-8423, Remo Mondazi")</f>
        <v>Silas Tanner, (904) 483-8423, Remo Mondazi</v>
      </c>
      <c r="P221" t="str">
        <f ca="1">IFERROR(__xludf.DUMMYFUNCTION("""COMPUTED_VALUE"""),"S. Tanner")</f>
        <v>S. Tanner</v>
      </c>
      <c r="Q221" t="str">
        <f ca="1">IFERROR(__xludf.DUMMYFUNCTION("""COMPUTED_VALUE"""),"Good")</f>
        <v>Good</v>
      </c>
      <c r="R221" t="str">
        <f ca="1">IFERROR(__xludf.DUMMYFUNCTION("""COMPUTED_VALUE"""),"Good")</f>
        <v>Good</v>
      </c>
      <c r="S221" t="str">
        <f ca="1">IFERROR(__xludf.DUMMYFUNCTION("""COMPUTED_VALUE"""),"Good")</f>
        <v>Good</v>
      </c>
      <c r="T221" t="str">
        <f ca="1">IFERROR(__xludf.DUMMYFUNCTION("""COMPUTED_VALUE"""),"Good")</f>
        <v>Good</v>
      </c>
      <c r="U221" t="str">
        <f ca="1">IFERROR(__xludf.DUMMYFUNCTION("""COMPUTED_VALUE"""),"Good")</f>
        <v>Good</v>
      </c>
      <c r="V221" t="str">
        <f ca="1">IFERROR(__xludf.DUMMYFUNCTION("""COMPUTED_VALUE"""),"Good")</f>
        <v>Good</v>
      </c>
      <c r="W221" t="str">
        <f ca="1">IFERROR(__xludf.DUMMYFUNCTION("""COMPUTED_VALUE"""),"Good")</f>
        <v>Good</v>
      </c>
      <c r="X221" t="str">
        <f ca="1">IFERROR(__xludf.DUMMYFUNCTION("""COMPUTED_VALUE"""),"Good")</f>
        <v>Good</v>
      </c>
      <c r="Y221" t="str">
        <f ca="1">IFERROR(__xludf.DUMMYFUNCTION("""COMPUTED_VALUE"""),"Good")</f>
        <v>Good</v>
      </c>
      <c r="Z221" t="str">
        <f ca="1">IFERROR(__xludf.DUMMYFUNCTION("""COMPUTED_VALUE"""),"Good")</f>
        <v>Good</v>
      </c>
      <c r="AA221" t="str">
        <f ca="1">IFERROR(__xludf.DUMMYFUNCTION("""COMPUTED_VALUE"""),"Good")</f>
        <v>Good</v>
      </c>
      <c r="AB221" t="str">
        <f ca="1">IFERROR(__xludf.DUMMYFUNCTION("""COMPUTED_VALUE"""),"Good")</f>
        <v>Good</v>
      </c>
      <c r="AC221" t="str">
        <f ca="1">IFERROR(__xludf.DUMMYFUNCTION("""COMPUTED_VALUE"""),"Good")</f>
        <v>Good</v>
      </c>
      <c r="AE221" s="11"/>
      <c r="AF221" t="str">
        <v>Nikki.Dix@floridadep.gov</v>
      </c>
      <c r="AG221" s="17" t="s">
        <v>17</v>
      </c>
      <c r="AH221" s="12">
        <v>1220</v>
      </c>
      <c r="AI221" s="12" t="s">
        <v>605</v>
      </c>
      <c r="AJ221" s="19" t="s">
        <v>606</v>
      </c>
      <c r="AK221" s="20" t="str">
        <f>HYPERLINK("https://docs.google.com/document/d/1w5yvrJDRg-YgyWDyeVMe6dpoKT5A2GMePvS1bvcmC00/edit?usp=drivesdk","Silas Tanner - 1/8/2019 8:45 AM")</f>
        <v>Silas Tanner - 1/8/2019 8:45 AM</v>
      </c>
      <c r="AL221" s="12" t="s">
        <v>607</v>
      </c>
    </row>
    <row r="222" spans="1:38" ht="12.75">
      <c r="A222" s="10">
        <f ca="1">IFERROR(__xludf.DUMMYFUNCTION("""COMPUTED_VALUE"""),43474.3427314236)</f>
        <v>43474.342731423603</v>
      </c>
      <c r="B222" s="11" t="str">
        <f ca="1">IFERROR(__xludf.DUMMYFUNCTION("""COMPUTED_VALUE"""),"James Tomazinis")</f>
        <v>James Tomazinis</v>
      </c>
      <c r="C222" t="str">
        <f ca="1">IFERROR(__xludf.DUMMYFUNCTION("""COMPUTED_VALUE"""),"james.tomazinis@floridadep.gov")</f>
        <v>james.tomazinis@floridadep.gov</v>
      </c>
      <c r="D222" t="str">
        <f ca="1">IFERROR(__xludf.DUMMYFUNCTION("""COMPUTED_VALUE"""),"Stewardship (Aquatic)")</f>
        <v>Stewardship (Aquatic)</v>
      </c>
      <c r="E222" t="str">
        <f ca="1">IFERROR(__xludf.DUMMYFUNCTION("""COMPUTED_VALUE"""),"Vilano")</f>
        <v>Vilano</v>
      </c>
      <c r="F222" s="13">
        <f ca="1">IFERROR(__xludf.DUMMYFUNCTION("""COMPUTED_VALUE"""),0.375)</f>
        <v>0.375</v>
      </c>
      <c r="G222" s="14">
        <f ca="1">IFERROR(__xludf.DUMMYFUNCTION("""COMPUTED_VALUE"""),43474)</f>
        <v>43474</v>
      </c>
      <c r="H222" t="str">
        <f ca="1">IFERROR(__xludf.DUMMYFUNCTION("""COMPUTED_VALUE"""),"Tolomato River Nekton Sites")</f>
        <v>Tolomato River Nekton Sites</v>
      </c>
      <c r="I222" s="15">
        <f ca="1">IFERROR(__xludf.DUMMYFUNCTION("""COMPUTED_VALUE"""),0.697916666667879)</f>
        <v>0.69791666666787899</v>
      </c>
      <c r="J222" s="16"/>
      <c r="K222" t="str">
        <f ca="1">IFERROR(__xludf.DUMMYFUNCTION("""COMPUTED_VALUE"""),"23ft Skiff (Bertha) FL7972LJ DEP07613")</f>
        <v>23ft Skiff (Bertha) FL7972LJ DEP07613</v>
      </c>
      <c r="M222" t="str">
        <f ca="1">IFERROR(__xludf.DUMMYFUNCTION("""COMPUTED_VALUE"""),"Ford F150 2015 (White) - DEP21448")</f>
        <v>Ford F150 2015 (White) - DEP21448</v>
      </c>
      <c r="N222" t="str">
        <f ca="1">IFERROR(__xludf.DUMMYFUNCTION("""COMPUTED_VALUE"""),"Jimmy Tomazinis, (904) 547-0094")</f>
        <v>Jimmy Tomazinis, (904) 547-0094</v>
      </c>
      <c r="O222" t="str">
        <f ca="1">IFERROR(__xludf.DUMMYFUNCTION("""COMPUTED_VALUE"""),"Doug Plishka, Jeff Finnan, Jim Cedarburg")</f>
        <v>Doug Plishka, Jeff Finnan, Jim Cedarburg</v>
      </c>
      <c r="P222" t="str">
        <f ca="1">IFERROR(__xludf.DUMMYFUNCTION("""COMPUTED_VALUE"""),"Jimmy")</f>
        <v>Jimmy</v>
      </c>
      <c r="Q222" t="str">
        <f ca="1">IFERROR(__xludf.DUMMYFUNCTION("""COMPUTED_VALUE"""),"Good")</f>
        <v>Good</v>
      </c>
      <c r="R222" t="str">
        <f ca="1">IFERROR(__xludf.DUMMYFUNCTION("""COMPUTED_VALUE"""),"Good")</f>
        <v>Good</v>
      </c>
      <c r="S222" t="str">
        <f ca="1">IFERROR(__xludf.DUMMYFUNCTION("""COMPUTED_VALUE"""),"Good")</f>
        <v>Good</v>
      </c>
      <c r="T222" t="str">
        <f ca="1">IFERROR(__xludf.DUMMYFUNCTION("""COMPUTED_VALUE"""),"Good")</f>
        <v>Good</v>
      </c>
      <c r="U222" t="str">
        <f ca="1">IFERROR(__xludf.DUMMYFUNCTION("""COMPUTED_VALUE"""),"Good")</f>
        <v>Good</v>
      </c>
      <c r="V222" t="str">
        <f ca="1">IFERROR(__xludf.DUMMYFUNCTION("""COMPUTED_VALUE"""),"Good")</f>
        <v>Good</v>
      </c>
      <c r="W222" t="str">
        <f ca="1">IFERROR(__xludf.DUMMYFUNCTION("""COMPUTED_VALUE"""),"Good")</f>
        <v>Good</v>
      </c>
      <c r="X222" t="str">
        <f ca="1">IFERROR(__xludf.DUMMYFUNCTION("""COMPUTED_VALUE"""),"Good")</f>
        <v>Good</v>
      </c>
      <c r="Y222" t="str">
        <f ca="1">IFERROR(__xludf.DUMMYFUNCTION("""COMPUTED_VALUE"""),"Good")</f>
        <v>Good</v>
      </c>
      <c r="Z222" t="str">
        <f ca="1">IFERROR(__xludf.DUMMYFUNCTION("""COMPUTED_VALUE"""),"Good")</f>
        <v>Good</v>
      </c>
      <c r="AA222" t="str">
        <f ca="1">IFERROR(__xludf.DUMMYFUNCTION("""COMPUTED_VALUE"""),"Good")</f>
        <v>Good</v>
      </c>
      <c r="AB222" t="str">
        <f ca="1">IFERROR(__xludf.DUMMYFUNCTION("""COMPUTED_VALUE"""),"Good")</f>
        <v>Good</v>
      </c>
      <c r="AC222" t="str">
        <f ca="1">IFERROR(__xludf.DUMMYFUNCTION("""COMPUTED_VALUE"""),"Good")</f>
        <v>Good</v>
      </c>
      <c r="AE222" s="11"/>
      <c r="AF222" t="str">
        <v>Scott.Eastman@floridadep.gov</v>
      </c>
      <c r="AG222" s="17" t="s">
        <v>222</v>
      </c>
      <c r="AH222" s="12" t="s">
        <v>278</v>
      </c>
      <c r="AI222" s="12" t="s">
        <v>608</v>
      </c>
      <c r="AJ222" s="19" t="s">
        <v>609</v>
      </c>
      <c r="AK222" s="20" t="str">
        <f>HYPERLINK("https://docs.google.com/document/d/1UTMHhAq_kXygMb9yCTHtxEDXQXCiJxKdNDQMS38t11M/edit?usp=drivesdk","James Tomazinis - 1/9/2019 9:00 AM")</f>
        <v>James Tomazinis - 1/9/2019 9:00 AM</v>
      </c>
      <c r="AL222" s="12" t="s">
        <v>610</v>
      </c>
    </row>
    <row r="223" spans="1:38" ht="12.75">
      <c r="A223" s="10">
        <f ca="1">IFERROR(__xludf.DUMMYFUNCTION("""COMPUTED_VALUE"""),43475.3616449884)</f>
        <v>43475.361644988399</v>
      </c>
      <c r="B223" s="11" t="str">
        <f ca="1">IFERROR(__xludf.DUMMYFUNCTION("""COMPUTED_VALUE"""),"Silas Tanner")</f>
        <v>Silas Tanner</v>
      </c>
      <c r="C223" t="str">
        <f ca="1">IFERROR(__xludf.DUMMYFUNCTION("""COMPUTED_VALUE"""),"silas.tanner@floridadep.gov")</f>
        <v>silas.tanner@floridadep.gov</v>
      </c>
      <c r="D223" t="str">
        <f ca="1">IFERROR(__xludf.DUMMYFUNCTION("""COMPUTED_VALUE"""),"Research/Nikki")</f>
        <v>Research/Nikki</v>
      </c>
      <c r="E223" t="str">
        <f ca="1">IFERROR(__xludf.DUMMYFUNCTION("""COMPUTED_VALUE"""),"Bings")</f>
        <v>Bings</v>
      </c>
      <c r="F223" s="13">
        <f ca="1">IFERROR(__xludf.DUMMYFUNCTION("""COMPUTED_VALUE"""),0.36458333333212)</f>
        <v>0.36458333333212001</v>
      </c>
      <c r="G223" s="14">
        <f ca="1">IFERROR(__xludf.DUMMYFUNCTION("""COMPUTED_VALUE"""),43475)</f>
        <v>43475</v>
      </c>
      <c r="H223" t="str">
        <f ca="1">IFERROR(__xludf.DUMMYFUNCTION("""COMPUTED_VALUE"""),"ICW Bings Kimbo sites")</f>
        <v>ICW Bings Kimbo sites</v>
      </c>
      <c r="I223" s="15">
        <f ca="1">IFERROR(__xludf.DUMMYFUNCTION("""COMPUTED_VALUE"""),0.541666666667879)</f>
        <v>0.54166666666787899</v>
      </c>
      <c r="J223" s="16">
        <f ca="1">IFERROR(__xludf.DUMMYFUNCTION("""COMPUTED_VALUE"""),43475.6666666666)</f>
        <v>43475.666666666599</v>
      </c>
      <c r="K223" t="str">
        <f ca="1">IFERROR(__xludf.DUMMYFUNCTION("""COMPUTED_VALUE"""),"20ft Sea Ark FL5351SJ UNF 2015")</f>
        <v>20ft Sea Ark FL5351SJ UNF 2015</v>
      </c>
      <c r="M223" t="str">
        <f ca="1">IFERROR(__xludf.DUMMYFUNCTION("""COMPUTED_VALUE"""),"Ford F150 2008 - DEP18041 (SWMP Thing)")</f>
        <v>Ford F150 2008 - DEP18041 (SWMP Thing)</v>
      </c>
      <c r="N223" t="str">
        <f ca="1">IFERROR(__xludf.DUMMYFUNCTION("""COMPUTED_VALUE"""),"Pam Marcum, (480) 332-5414, Silas Tanner, (904) 483-8423")</f>
        <v>Pam Marcum, (480) 332-5414, Silas Tanner, (904) 483-8423</v>
      </c>
      <c r="O223" t="str">
        <f ca="1">IFERROR(__xludf.DUMMYFUNCTION("""COMPUTED_VALUE"""),"Kimbro group")</f>
        <v>Kimbro group</v>
      </c>
      <c r="P223" t="str">
        <f ca="1">IFERROR(__xludf.DUMMYFUNCTION("""COMPUTED_VALUE"""),"Tanner")</f>
        <v>Tanner</v>
      </c>
      <c r="Q223" t="str">
        <f ca="1">IFERROR(__xludf.DUMMYFUNCTION("""COMPUTED_VALUE"""),"Good")</f>
        <v>Good</v>
      </c>
      <c r="R223" t="str">
        <f ca="1">IFERROR(__xludf.DUMMYFUNCTION("""COMPUTED_VALUE"""),"Good")</f>
        <v>Good</v>
      </c>
      <c r="S223" t="str">
        <f ca="1">IFERROR(__xludf.DUMMYFUNCTION("""COMPUTED_VALUE"""),"Good")</f>
        <v>Good</v>
      </c>
      <c r="T223" t="str">
        <f ca="1">IFERROR(__xludf.DUMMYFUNCTION("""COMPUTED_VALUE"""),"Good")</f>
        <v>Good</v>
      </c>
      <c r="U223" t="str">
        <f ca="1">IFERROR(__xludf.DUMMYFUNCTION("""COMPUTED_VALUE"""),"Good")</f>
        <v>Good</v>
      </c>
      <c r="V223" t="str">
        <f ca="1">IFERROR(__xludf.DUMMYFUNCTION("""COMPUTED_VALUE"""),"Good")</f>
        <v>Good</v>
      </c>
      <c r="W223" t="str">
        <f ca="1">IFERROR(__xludf.DUMMYFUNCTION("""COMPUTED_VALUE"""),"Good")</f>
        <v>Good</v>
      </c>
      <c r="X223" t="str">
        <f ca="1">IFERROR(__xludf.DUMMYFUNCTION("""COMPUTED_VALUE"""),"Good")</f>
        <v>Good</v>
      </c>
      <c r="Y223" t="str">
        <f ca="1">IFERROR(__xludf.DUMMYFUNCTION("""COMPUTED_VALUE"""),"Good")</f>
        <v>Good</v>
      </c>
      <c r="Z223" t="str">
        <f ca="1">IFERROR(__xludf.DUMMYFUNCTION("""COMPUTED_VALUE"""),"Good")</f>
        <v>Good</v>
      </c>
      <c r="AA223" t="str">
        <f ca="1">IFERROR(__xludf.DUMMYFUNCTION("""COMPUTED_VALUE"""),"Good")</f>
        <v>Good</v>
      </c>
      <c r="AB223" t="str">
        <f ca="1">IFERROR(__xludf.DUMMYFUNCTION("""COMPUTED_VALUE"""),"Good")</f>
        <v>Good</v>
      </c>
      <c r="AC223" t="str">
        <f ca="1">IFERROR(__xludf.DUMMYFUNCTION("""COMPUTED_VALUE"""),"Good")</f>
        <v>Good</v>
      </c>
      <c r="AE223" s="11"/>
      <c r="AF223" t="str">
        <v>Nikki.Dix@floridadep.gov</v>
      </c>
      <c r="AG223" s="17" t="s">
        <v>17</v>
      </c>
      <c r="AH223" s="12">
        <v>1105</v>
      </c>
      <c r="AI223" s="12" t="s">
        <v>611</v>
      </c>
      <c r="AJ223" s="19" t="s">
        <v>612</v>
      </c>
      <c r="AK223" s="20" t="str">
        <f>HYPERLINK("https://docs.google.com/document/d/1SXZqdzN-q45bqHiSwks60gp_1yChmg6o0A3CtR_bRFY/edit?usp=drivesdk","Silas Tanner - 1/10/2019 8:45 AM")</f>
        <v>Silas Tanner - 1/10/2019 8:45 AM</v>
      </c>
      <c r="AL223" s="12" t="s">
        <v>613</v>
      </c>
    </row>
    <row r="224" spans="1:38" ht="12.75">
      <c r="A224" s="10">
        <f ca="1">IFERROR(__xludf.DUMMYFUNCTION("""COMPUTED_VALUE"""),43475.3634130555)</f>
        <v>43475.3634130555</v>
      </c>
      <c r="B224" s="11" t="str">
        <f ca="1">IFERROR(__xludf.DUMMYFUNCTION("""COMPUTED_VALUE"""),"Ben Mowbray")</f>
        <v>Ben Mowbray</v>
      </c>
      <c r="C224" t="str">
        <f ca="1">IFERROR(__xludf.DUMMYFUNCTION("""COMPUTED_VALUE"""),"ben.mowbray@dep.state.fl.us")</f>
        <v>ben.mowbray@dep.state.fl.us</v>
      </c>
      <c r="D224" t="str">
        <f ca="1">IFERROR(__xludf.DUMMYFUNCTION("""COMPUTED_VALUE"""),"Research/Nikki")</f>
        <v>Research/Nikki</v>
      </c>
      <c r="E224" t="str">
        <f ca="1">IFERROR(__xludf.DUMMYFUNCTION("""COMPUTED_VALUE"""),"Aunt Kate's")</f>
        <v>Aunt Kate's</v>
      </c>
      <c r="F224" s="13">
        <f ca="1">IFERROR(__xludf.DUMMYFUNCTION("""COMPUTED_VALUE"""),0.39583333333212)</f>
        <v>0.39583333333212001</v>
      </c>
      <c r="G224" s="14">
        <f ca="1">IFERROR(__xludf.DUMMYFUNCTION("""COMPUTED_VALUE"""),43475)</f>
        <v>43475</v>
      </c>
      <c r="H224" t="str">
        <f ca="1">IFERROR(__xludf.DUMMYFUNCTION("""COMPUTED_VALUE"""),"Guana Peninsula")</f>
        <v>Guana Peninsula</v>
      </c>
      <c r="I224" s="15">
        <f ca="1">IFERROR(__xludf.DUMMYFUNCTION("""COMPUTED_VALUE"""),0.666666666667879)</f>
        <v>0.66666666666787899</v>
      </c>
      <c r="J224" s="16">
        <f ca="1">IFERROR(__xludf.DUMMYFUNCTION("""COMPUTED_VALUE"""),43475.6944444444)</f>
        <v>43475.694444444402</v>
      </c>
      <c r="K224" t="str">
        <f ca="1">IFERROR(__xludf.DUMMYFUNCTION("""COMPUTED_VALUE"""),"F 20ft Sea Ark (Easy 200) FL8534PY DEP21451")</f>
        <v>F 20ft Sea Ark (Easy 200) FL8534PY DEP21451</v>
      </c>
      <c r="M224" t="str">
        <f ca="1">IFERROR(__xludf.DUMMYFUNCTION("""COMPUTED_VALUE"""),"Ford F250 2017 (Moby Dix) - DEP0021578")</f>
        <v>Ford F250 2017 (Moby Dix) - DEP0021578</v>
      </c>
      <c r="N224" t="str">
        <f ca="1">IFERROR(__xludf.DUMMYFUNCTION("""COMPUTED_VALUE"""),"Ben Mowbray, (407) 962-8782")</f>
        <v>Ben Mowbray, (407) 962-8782</v>
      </c>
      <c r="O224" t="str">
        <f ca="1">IFERROR(__xludf.DUMMYFUNCTION("""COMPUTED_VALUE"""),"Mike Dickson")</f>
        <v>Mike Dickson</v>
      </c>
      <c r="P224" t="str">
        <f ca="1">IFERROR(__xludf.DUMMYFUNCTION("""COMPUTED_VALUE"""),"Ben")</f>
        <v>Ben</v>
      </c>
      <c r="Q224" t="str">
        <f ca="1">IFERROR(__xludf.DUMMYFUNCTION("""COMPUTED_VALUE"""),"Good")</f>
        <v>Good</v>
      </c>
      <c r="R224" t="str">
        <f ca="1">IFERROR(__xludf.DUMMYFUNCTION("""COMPUTED_VALUE"""),"Good")</f>
        <v>Good</v>
      </c>
      <c r="S224" t="str">
        <f ca="1">IFERROR(__xludf.DUMMYFUNCTION("""COMPUTED_VALUE"""),"Good")</f>
        <v>Good</v>
      </c>
      <c r="T224" t="str">
        <f ca="1">IFERROR(__xludf.DUMMYFUNCTION("""COMPUTED_VALUE"""),"Good")</f>
        <v>Good</v>
      </c>
      <c r="U224" t="str">
        <f ca="1">IFERROR(__xludf.DUMMYFUNCTION("""COMPUTED_VALUE"""),"Good")</f>
        <v>Good</v>
      </c>
      <c r="V224" t="str">
        <f ca="1">IFERROR(__xludf.DUMMYFUNCTION("""COMPUTED_VALUE"""),"Good")</f>
        <v>Good</v>
      </c>
      <c r="W224" t="str">
        <f ca="1">IFERROR(__xludf.DUMMYFUNCTION("""COMPUTED_VALUE"""),"Good")</f>
        <v>Good</v>
      </c>
      <c r="X224" t="str">
        <f ca="1">IFERROR(__xludf.DUMMYFUNCTION("""COMPUTED_VALUE"""),"Good")</f>
        <v>Good</v>
      </c>
      <c r="Y224" t="str">
        <f ca="1">IFERROR(__xludf.DUMMYFUNCTION("""COMPUTED_VALUE"""),"Good")</f>
        <v>Good</v>
      </c>
      <c r="Z224" t="str">
        <f ca="1">IFERROR(__xludf.DUMMYFUNCTION("""COMPUTED_VALUE"""),"Good")</f>
        <v>Good</v>
      </c>
      <c r="AA224" t="str">
        <f ca="1">IFERROR(__xludf.DUMMYFUNCTION("""COMPUTED_VALUE"""),"Good")</f>
        <v>Good</v>
      </c>
      <c r="AB224" t="str">
        <f ca="1">IFERROR(__xludf.DUMMYFUNCTION("""COMPUTED_VALUE"""),"Good")</f>
        <v>Good</v>
      </c>
      <c r="AC224" t="str">
        <f ca="1">IFERROR(__xludf.DUMMYFUNCTION("""COMPUTED_VALUE"""),"Good")</f>
        <v>Good</v>
      </c>
      <c r="AE224" s="11"/>
      <c r="AF224" t="str">
        <v>Nikki.Dix@floridadep.gov</v>
      </c>
      <c r="AG224" s="17" t="s">
        <v>17</v>
      </c>
      <c r="AH224" s="12">
        <v>1000</v>
      </c>
      <c r="AI224" s="12" t="s">
        <v>614</v>
      </c>
      <c r="AJ224" s="19" t="s">
        <v>615</v>
      </c>
      <c r="AK224" s="20" t="str">
        <f>HYPERLINK("https://docs.google.com/document/d/1gVI_jfcOWjzZEQMF4gbfgFQynt0Z5DO6MONlYJj8nUU/edit?usp=drivesdk","Ben Mowbray - 1/10/2019 9:30 AM")</f>
        <v>Ben Mowbray - 1/10/2019 9:30 AM</v>
      </c>
      <c r="AL224" s="12" t="s">
        <v>616</v>
      </c>
    </row>
    <row r="225" spans="1:38" ht="12.75">
      <c r="A225" s="10">
        <f ca="1">IFERROR(__xludf.DUMMYFUNCTION("""COMPUTED_VALUE"""),43476.5868623726)</f>
        <v>43476.586862372598</v>
      </c>
      <c r="B225" s="11" t="str">
        <f ca="1">IFERROR(__xludf.DUMMYFUNCTION("""COMPUTED_VALUE"""),"james tomazinis")</f>
        <v>james tomazinis</v>
      </c>
      <c r="C225" t="str">
        <f ca="1">IFERROR(__xludf.DUMMYFUNCTION("""COMPUTED_VALUE"""),"james.tomazinis@floridadep.gov")</f>
        <v>james.tomazinis@floridadep.gov</v>
      </c>
      <c r="D225" t="str">
        <f ca="1">IFERROR(__xludf.DUMMYFUNCTION("""COMPUTED_VALUE"""),"Stewardship (Aquatic)")</f>
        <v>Stewardship (Aquatic)</v>
      </c>
      <c r="E225" t="str">
        <f ca="1">IFERROR(__xludf.DUMMYFUNCTION("""COMPUTED_VALUE"""),"Guana Dam")</f>
        <v>Guana Dam</v>
      </c>
      <c r="F225" s="13">
        <f ca="1">IFERROR(__xludf.DUMMYFUNCTION("""COMPUTED_VALUE"""),0.604166666667879)</f>
        <v>0.60416666666787899</v>
      </c>
      <c r="G225" s="14">
        <f ca="1">IFERROR(__xludf.DUMMYFUNCTION("""COMPUTED_VALUE"""),43476)</f>
        <v>43476</v>
      </c>
      <c r="H225" t="str">
        <f ca="1">IFERROR(__xludf.DUMMYFUNCTION("""COMPUTED_VALUE"""),"Guana River")</f>
        <v>Guana River</v>
      </c>
      <c r="I225" s="15">
        <f ca="1">IFERROR(__xludf.DUMMYFUNCTION("""COMPUTED_VALUE"""),0.64583333333212)</f>
        <v>0.64583333333212001</v>
      </c>
      <c r="J225" s="16"/>
      <c r="K225" t="str">
        <f ca="1">IFERROR(__xludf.DUMMYFUNCTION("""COMPUTED_VALUE"""),"Kayak(s)")</f>
        <v>Kayak(s)</v>
      </c>
      <c r="L225">
        <f ca="1">IFERROR(__xludf.DUMMYFUNCTION("""COMPUTED_VALUE"""),1)</f>
        <v>1</v>
      </c>
      <c r="M225" t="str">
        <f ca="1">IFERROR(__xludf.DUMMYFUNCTION("""COMPUTED_VALUE"""),"Ford F150 2015 (White) - DEP21448")</f>
        <v>Ford F150 2015 (White) - DEP21448</v>
      </c>
      <c r="N225" t="str">
        <f ca="1">IFERROR(__xludf.DUMMYFUNCTION("""COMPUTED_VALUE"""),"Jimmy Tomazinis, (904) 547-0094")</f>
        <v>Jimmy Tomazinis, (904) 547-0094</v>
      </c>
      <c r="P225" t="str">
        <f ca="1">IFERROR(__xludf.DUMMYFUNCTION("""COMPUTED_VALUE"""),"jimmy")</f>
        <v>jimmy</v>
      </c>
      <c r="Q225" t="str">
        <f ca="1">IFERROR(__xludf.DUMMYFUNCTION("""COMPUTED_VALUE"""),"Good")</f>
        <v>Good</v>
      </c>
      <c r="R225" t="str">
        <f ca="1">IFERROR(__xludf.DUMMYFUNCTION("""COMPUTED_VALUE"""),"Good")</f>
        <v>Good</v>
      </c>
      <c r="S225" t="str">
        <f ca="1">IFERROR(__xludf.DUMMYFUNCTION("""COMPUTED_VALUE"""),"Good")</f>
        <v>Good</v>
      </c>
      <c r="T225" t="str">
        <f ca="1">IFERROR(__xludf.DUMMYFUNCTION("""COMPUTED_VALUE"""),"Good")</f>
        <v>Good</v>
      </c>
      <c r="U225" t="str">
        <f ca="1">IFERROR(__xludf.DUMMYFUNCTION("""COMPUTED_VALUE"""),"Good")</f>
        <v>Good</v>
      </c>
      <c r="V225" t="str">
        <f ca="1">IFERROR(__xludf.DUMMYFUNCTION("""COMPUTED_VALUE"""),"Good")</f>
        <v>Good</v>
      </c>
      <c r="W225" t="str">
        <f ca="1">IFERROR(__xludf.DUMMYFUNCTION("""COMPUTED_VALUE"""),"Good")</f>
        <v>Good</v>
      </c>
      <c r="X225" t="str">
        <f ca="1">IFERROR(__xludf.DUMMYFUNCTION("""COMPUTED_VALUE"""),"Good")</f>
        <v>Good</v>
      </c>
      <c r="Y225" t="str">
        <f ca="1">IFERROR(__xludf.DUMMYFUNCTION("""COMPUTED_VALUE"""),"Good")</f>
        <v>Good</v>
      </c>
      <c r="Z225" t="str">
        <f ca="1">IFERROR(__xludf.DUMMYFUNCTION("""COMPUTED_VALUE"""),"Good")</f>
        <v>Good</v>
      </c>
      <c r="AA225" t="str">
        <f ca="1">IFERROR(__xludf.DUMMYFUNCTION("""COMPUTED_VALUE"""),"Good")</f>
        <v>Good</v>
      </c>
      <c r="AB225" t="str">
        <f ca="1">IFERROR(__xludf.DUMMYFUNCTION("""COMPUTED_VALUE"""),"Good")</f>
        <v>Good</v>
      </c>
      <c r="AC225" t="str">
        <f ca="1">IFERROR(__xludf.DUMMYFUNCTION("""COMPUTED_VALUE"""),"Good")</f>
        <v>Good</v>
      </c>
      <c r="AE225" s="11"/>
      <c r="AF225" t="str">
        <v>Scott.Eastman@floridadep.gov</v>
      </c>
      <c r="AG225" s="17" t="s">
        <v>126</v>
      </c>
      <c r="AH225" s="12">
        <v>1430</v>
      </c>
      <c r="AI225" s="12" t="s">
        <v>617</v>
      </c>
      <c r="AJ225" s="19" t="s">
        <v>618</v>
      </c>
      <c r="AK225" s="20" t="str">
        <f>HYPERLINK("https://docs.google.com/document/d/1IaxkgNOqPzkSPHLaQxOsCa-xiQoIeRtfPOqC3I0c1oI/edit?usp=drivesdk","james tomazinis - 1/11/2019 2:30 PM")</f>
        <v>james tomazinis - 1/11/2019 2:30 PM</v>
      </c>
      <c r="AL225" s="12" t="s">
        <v>619</v>
      </c>
    </row>
    <row r="226" spans="1:38" ht="12.75">
      <c r="A226" s="10">
        <f ca="1">IFERROR(__xludf.DUMMYFUNCTION("""COMPUTED_VALUE"""),43476.6670952429)</f>
        <v>43476.667095242999</v>
      </c>
      <c r="B226" s="11" t="str">
        <f ca="1">IFERROR(__xludf.DUMMYFUNCTION("""COMPUTED_VALUE"""),"Ben Mowbray")</f>
        <v>Ben Mowbray</v>
      </c>
      <c r="C226" t="str">
        <f ca="1">IFERROR(__xludf.DUMMYFUNCTION("""COMPUTED_VALUE"""),"ben.mowbray@dep.state.fl.us")</f>
        <v>ben.mowbray@dep.state.fl.us</v>
      </c>
      <c r="D226" t="str">
        <f ca="1">IFERROR(__xludf.DUMMYFUNCTION("""COMPUTED_VALUE"""),"Research/Shannon")</f>
        <v>Research/Shannon</v>
      </c>
      <c r="E226" t="str">
        <f ca="1">IFERROR(__xludf.DUMMYFUNCTION("""COMPUTED_VALUE"""),"Douglas Crane")</f>
        <v>Douglas Crane</v>
      </c>
      <c r="F226" s="13">
        <f ca="1">IFERROR(__xludf.DUMMYFUNCTION("""COMPUTED_VALUE"""),0.444444444445252)</f>
        <v>0.444444444445252</v>
      </c>
      <c r="G226" s="14">
        <f ca="1">IFERROR(__xludf.DUMMYFUNCTION("""COMPUTED_VALUE"""),43476)</f>
        <v>43476</v>
      </c>
      <c r="H226" t="str">
        <f ca="1">IFERROR(__xludf.DUMMYFUNCTION("""COMPUTED_VALUE"""),"Chapman Middle Site")</f>
        <v>Chapman Middle Site</v>
      </c>
      <c r="I226" s="15">
        <f ca="1">IFERROR(__xludf.DUMMYFUNCTION("""COMPUTED_VALUE"""),0.625)</f>
        <v>0.625</v>
      </c>
      <c r="J226" s="16">
        <f ca="1">IFERROR(__xludf.DUMMYFUNCTION("""COMPUTED_VALUE"""),43476.6666666666)</f>
        <v>43476.666666666599</v>
      </c>
      <c r="K226" t="str">
        <f ca="1">IFERROR(__xludf.DUMMYFUNCTION("""COMPUTED_VALUE"""),"20ft Sea Ark FL5351SJ UNF 2015")</f>
        <v>20ft Sea Ark FL5351SJ UNF 2015</v>
      </c>
      <c r="M226" t="str">
        <f ca="1">IFERROR(__xludf.DUMMYFUNCTION("""COMPUTED_VALUE"""),"Ford F250 2017 (Moby Dix) - DEP0021578")</f>
        <v>Ford F250 2017 (Moby Dix) - DEP0021578</v>
      </c>
      <c r="N226" t="str">
        <f ca="1">IFERROR(__xludf.DUMMYFUNCTION("""COMPUTED_VALUE"""),"Ben Mowbray, (407) 962-8782, Gabriela Canas, (904) 891-9743")</f>
        <v>Ben Mowbray, (407) 962-8782, Gabriela Canas, (904) 891-9743</v>
      </c>
      <c r="O226" t="str">
        <f ca="1">IFERROR(__xludf.DUMMYFUNCTION("""COMPUTED_VALUE"""),"Matt Sturchio, Allee, Alicia Bishop")</f>
        <v>Matt Sturchio, Allee, Alicia Bishop</v>
      </c>
      <c r="P226" t="str">
        <f ca="1">IFERROR(__xludf.DUMMYFUNCTION("""COMPUTED_VALUE"""),"Ben")</f>
        <v>Ben</v>
      </c>
      <c r="Q226" t="str">
        <f ca="1">IFERROR(__xludf.DUMMYFUNCTION("""COMPUTED_VALUE"""),"Good")</f>
        <v>Good</v>
      </c>
      <c r="R226" t="str">
        <f ca="1">IFERROR(__xludf.DUMMYFUNCTION("""COMPUTED_VALUE"""),"Good")</f>
        <v>Good</v>
      </c>
      <c r="S226" t="str">
        <f ca="1">IFERROR(__xludf.DUMMYFUNCTION("""COMPUTED_VALUE"""),"Good")</f>
        <v>Good</v>
      </c>
      <c r="T226" t="str">
        <f ca="1">IFERROR(__xludf.DUMMYFUNCTION("""COMPUTED_VALUE"""),"Good")</f>
        <v>Good</v>
      </c>
      <c r="U226" t="str">
        <f ca="1">IFERROR(__xludf.DUMMYFUNCTION("""COMPUTED_VALUE"""),"Good")</f>
        <v>Good</v>
      </c>
      <c r="V226" t="str">
        <f ca="1">IFERROR(__xludf.DUMMYFUNCTION("""COMPUTED_VALUE"""),"Good")</f>
        <v>Good</v>
      </c>
      <c r="W226" t="str">
        <f ca="1">IFERROR(__xludf.DUMMYFUNCTION("""COMPUTED_VALUE"""),"Good")</f>
        <v>Good</v>
      </c>
      <c r="X226" t="str">
        <f ca="1">IFERROR(__xludf.DUMMYFUNCTION("""COMPUTED_VALUE"""),"Good")</f>
        <v>Good</v>
      </c>
      <c r="Y226" t="str">
        <f ca="1">IFERROR(__xludf.DUMMYFUNCTION("""COMPUTED_VALUE"""),"Good")</f>
        <v>Good</v>
      </c>
      <c r="Z226" t="str">
        <f ca="1">IFERROR(__xludf.DUMMYFUNCTION("""COMPUTED_VALUE"""),"Good")</f>
        <v>Good</v>
      </c>
      <c r="AA226" t="str">
        <f ca="1">IFERROR(__xludf.DUMMYFUNCTION("""COMPUTED_VALUE"""),"Good")</f>
        <v>Good</v>
      </c>
      <c r="AB226" t="str">
        <f ca="1">IFERROR(__xludf.DUMMYFUNCTION("""COMPUTED_VALUE"""),"Good")</f>
        <v>Good</v>
      </c>
      <c r="AC226" t="str">
        <f ca="1">IFERROR(__xludf.DUMMYFUNCTION("""COMPUTED_VALUE"""),"Good")</f>
        <v>Good</v>
      </c>
      <c r="AE226" s="11"/>
      <c r="AF226" t="str">
        <v>Shannon.Dunnigan@floridadep.gov</v>
      </c>
      <c r="AG226" s="17" t="s">
        <v>620</v>
      </c>
      <c r="AH226" s="12">
        <v>1430</v>
      </c>
      <c r="AI226" s="12" t="s">
        <v>621</v>
      </c>
      <c r="AJ226" s="19" t="s">
        <v>622</v>
      </c>
      <c r="AK226" s="20" t="str">
        <f>HYPERLINK("https://docs.google.com/document/d/17RQ4Ys5vhUgH_js1ld3jCjcGkUV1G8rZmkNP458_zYM/edit?usp=drivesdk","Ben Mowbray - 1/11/2019 10:40 AM")</f>
        <v>Ben Mowbray - 1/11/2019 10:40 AM</v>
      </c>
      <c r="AL226" s="12" t="s">
        <v>623</v>
      </c>
    </row>
    <row r="227" spans="1:38" ht="12.75">
      <c r="A227" s="10">
        <f ca="1">IFERROR(__xludf.DUMMYFUNCTION("""COMPUTED_VALUE"""),43479.2880234606)</f>
        <v>43479.288023460598</v>
      </c>
      <c r="B227" s="11" t="str">
        <f ca="1">IFERROR(__xludf.DUMMYFUNCTION("""COMPUTED_VALUE"""),"Pamela Marcum")</f>
        <v>Pamela Marcum</v>
      </c>
      <c r="C227" t="str">
        <f ca="1">IFERROR(__xludf.DUMMYFUNCTION("""COMPUTED_VALUE"""),"Pamela.Marcum@dep.state.fl.us")</f>
        <v>Pamela.Marcum@dep.state.fl.us</v>
      </c>
      <c r="D227" t="str">
        <f ca="1">IFERROR(__xludf.DUMMYFUNCTION("""COMPUTED_VALUE"""),"Research/Nikki")</f>
        <v>Research/Nikki</v>
      </c>
      <c r="E227" t="str">
        <f ca="1">IFERROR(__xludf.DUMMYFUNCTION("""COMPUTED_VALUE"""),"Green Rd")</f>
        <v>Green Rd</v>
      </c>
      <c r="F227" s="13">
        <f ca="1">IFERROR(__xludf.DUMMYFUNCTION("""COMPUTED_VALUE"""),0.322916666667879)</f>
        <v>0.32291666666787899</v>
      </c>
      <c r="G227" s="14">
        <f ca="1">IFERROR(__xludf.DUMMYFUNCTION("""COMPUTED_VALUE"""),43479)</f>
        <v>43479</v>
      </c>
      <c r="H227" t="str">
        <f ca="1">IFERROR(__xludf.DUMMYFUNCTION("""COMPUTED_VALUE"""),"Devils Elbow")</f>
        <v>Devils Elbow</v>
      </c>
      <c r="I227" s="15">
        <f ca="1">IFERROR(__xludf.DUMMYFUNCTION("""COMPUTED_VALUE"""),0.5)</f>
        <v>0.5</v>
      </c>
      <c r="J227" s="16">
        <f ca="1">IFERROR(__xludf.DUMMYFUNCTION("""COMPUTED_VALUE"""),43479.5416666666)</f>
        <v>43479.541666666599</v>
      </c>
      <c r="K227" t="str">
        <f ca="1">IFERROR(__xludf.DUMMYFUNCTION("""COMPUTED_VALUE"""),"20ft Sea Ark FL5351SJ UNF 2015")</f>
        <v>20ft Sea Ark FL5351SJ UNF 2015</v>
      </c>
      <c r="M227" t="str">
        <f ca="1">IFERROR(__xludf.DUMMYFUNCTION("""COMPUTED_VALUE"""),"Ford F150 2008 - DEP18041 (SWMP Thing)")</f>
        <v>Ford F150 2008 - DEP18041 (SWMP Thing)</v>
      </c>
      <c r="N227" t="str">
        <f ca="1">IFERROR(__xludf.DUMMYFUNCTION("""COMPUTED_VALUE"""),"Pam Marcum, (480) 332-5414, Silas Tanner, (904) 483-8423")</f>
        <v>Pam Marcum, (480) 332-5414, Silas Tanner, (904) 483-8423</v>
      </c>
      <c r="O227" t="str">
        <f ca="1">IFERROR(__xludf.DUMMYFUNCTION("""COMPUTED_VALUE"""),"Jeff Finnan")</f>
        <v>Jeff Finnan</v>
      </c>
      <c r="P227" t="str">
        <f ca="1">IFERROR(__xludf.DUMMYFUNCTION("""COMPUTED_VALUE"""),"Pam")</f>
        <v>Pam</v>
      </c>
      <c r="Q227" t="str">
        <f ca="1">IFERROR(__xludf.DUMMYFUNCTION("""COMPUTED_VALUE"""),"Good")</f>
        <v>Good</v>
      </c>
      <c r="R227" t="str">
        <f ca="1">IFERROR(__xludf.DUMMYFUNCTION("""COMPUTED_VALUE"""),"Good")</f>
        <v>Good</v>
      </c>
      <c r="S227" t="str">
        <f ca="1">IFERROR(__xludf.DUMMYFUNCTION("""COMPUTED_VALUE"""),"Good")</f>
        <v>Good</v>
      </c>
      <c r="T227" t="str">
        <f ca="1">IFERROR(__xludf.DUMMYFUNCTION("""COMPUTED_VALUE"""),"Good")</f>
        <v>Good</v>
      </c>
      <c r="U227" t="str">
        <f ca="1">IFERROR(__xludf.DUMMYFUNCTION("""COMPUTED_VALUE"""),"Good")</f>
        <v>Good</v>
      </c>
      <c r="V227" t="str">
        <f ca="1">IFERROR(__xludf.DUMMYFUNCTION("""COMPUTED_VALUE"""),"Good")</f>
        <v>Good</v>
      </c>
      <c r="W227" t="str">
        <f ca="1">IFERROR(__xludf.DUMMYFUNCTION("""COMPUTED_VALUE"""),"Good")</f>
        <v>Good</v>
      </c>
      <c r="X227" t="str">
        <f ca="1">IFERROR(__xludf.DUMMYFUNCTION("""COMPUTED_VALUE"""),"Good")</f>
        <v>Good</v>
      </c>
      <c r="Y227" t="str">
        <f ca="1">IFERROR(__xludf.DUMMYFUNCTION("""COMPUTED_VALUE"""),"Good")</f>
        <v>Good</v>
      </c>
      <c r="Z227" t="str">
        <f ca="1">IFERROR(__xludf.DUMMYFUNCTION("""COMPUTED_VALUE"""),"Good")</f>
        <v>Good</v>
      </c>
      <c r="AA227" t="str">
        <f ca="1">IFERROR(__xludf.DUMMYFUNCTION("""COMPUTED_VALUE"""),"Good")</f>
        <v>Good</v>
      </c>
      <c r="AB227" t="str">
        <f ca="1">IFERROR(__xludf.DUMMYFUNCTION("""COMPUTED_VALUE"""),"Good")</f>
        <v>Good</v>
      </c>
      <c r="AC227" t="str">
        <f ca="1">IFERROR(__xludf.DUMMYFUNCTION("""COMPUTED_VALUE"""),"Good")</f>
        <v>Good</v>
      </c>
      <c r="AE227" s="11"/>
      <c r="AF227" t="str">
        <v>Nikki.Dix@floridadep.gov</v>
      </c>
      <c r="AG227" s="17" t="s">
        <v>17</v>
      </c>
      <c r="AH227" s="12">
        <v>1105</v>
      </c>
      <c r="AI227" s="12" t="s">
        <v>624</v>
      </c>
      <c r="AJ227" s="19" t="s">
        <v>625</v>
      </c>
      <c r="AK227" s="20" t="str">
        <f>HYPERLINK("https://docs.google.com/document/d/1sp3x5m3NjyONG81qm62pZZCQIhwJORfCMNu2kAoMkJc/edit?usp=drivesdk","Pamela Marcum - 1/14/2019 7:45 AM")</f>
        <v>Pamela Marcum - 1/14/2019 7:45 AM</v>
      </c>
      <c r="AL227" s="12" t="s">
        <v>626</v>
      </c>
    </row>
    <row r="228" spans="1:38" ht="12.75">
      <c r="A228" s="10">
        <f ca="1">IFERROR(__xludf.DUMMYFUNCTION("""COMPUTED_VALUE"""),43480.3671087037)</f>
        <v>43480.3671087037</v>
      </c>
      <c r="B228" s="11" t="str">
        <f ca="1">IFERROR(__xludf.DUMMYFUNCTION("""COMPUTED_VALUE"""),"Pamela Marcum")</f>
        <v>Pamela Marcum</v>
      </c>
      <c r="C228" t="str">
        <f ca="1">IFERROR(__xludf.DUMMYFUNCTION("""COMPUTED_VALUE"""),"pamela.marcum@dep.state.fl.us")</f>
        <v>pamela.marcum@dep.state.fl.us</v>
      </c>
      <c r="D228" t="str">
        <f ca="1">IFERROR(__xludf.DUMMYFUNCTION("""COMPUTED_VALUE"""),"Research/Nikki")</f>
        <v>Research/Nikki</v>
      </c>
      <c r="E228" t="str">
        <f ca="1">IFERROR(__xludf.DUMMYFUNCTION("""COMPUTED_VALUE"""),"Aunt Kate")</f>
        <v>Aunt Kate</v>
      </c>
      <c r="F228" s="13">
        <f ca="1">IFERROR(__xludf.DUMMYFUNCTION("""COMPUTED_VALUE"""),0.36458333333212)</f>
        <v>0.36458333333212001</v>
      </c>
      <c r="G228" s="14">
        <f ca="1">IFERROR(__xludf.DUMMYFUNCTION("""COMPUTED_VALUE"""),43480)</f>
        <v>43480</v>
      </c>
      <c r="H228" t="str">
        <f ca="1">IFERROR(__xludf.DUMMYFUNCTION("""COMPUTED_VALUE"""),"Tolomato")</f>
        <v>Tolomato</v>
      </c>
      <c r="I228" s="15">
        <f ca="1">IFERROR(__xludf.DUMMYFUNCTION("""COMPUTED_VALUE"""),0.5)</f>
        <v>0.5</v>
      </c>
      <c r="J228" s="16">
        <f ca="1">IFERROR(__xludf.DUMMYFUNCTION("""COMPUTED_VALUE"""),43480.0208333333)</f>
        <v>43480.020833333299</v>
      </c>
      <c r="K228" t="str">
        <f ca="1">IFERROR(__xludf.DUMMYFUNCTION("""COMPUTED_VALUE"""),"F 20ft Sea Ark (Easy 200) FL8534PY DEP21451")</f>
        <v>F 20ft Sea Ark (Easy 200) FL8534PY DEP21451</v>
      </c>
      <c r="M228" t="str">
        <f ca="1">IFERROR(__xludf.DUMMYFUNCTION("""COMPUTED_VALUE"""),"Ford F150 2015 (White) - DEP21448")</f>
        <v>Ford F150 2015 (White) - DEP21448</v>
      </c>
      <c r="N228" t="str">
        <f ca="1">IFERROR(__xludf.DUMMYFUNCTION("""COMPUTED_VALUE"""),"Pam Marcum, (480) 332-5414")</f>
        <v>Pam Marcum, (480) 332-5414</v>
      </c>
      <c r="O228" t="str">
        <f ca="1">IFERROR(__xludf.DUMMYFUNCTION("""COMPUTED_VALUE"""),"Jessica clark, lewis turner, Patrician, Brittany")</f>
        <v>Jessica clark, lewis turner, Patrician, Brittany</v>
      </c>
      <c r="P228" t="str">
        <f ca="1">IFERROR(__xludf.DUMMYFUNCTION("""COMPUTED_VALUE"""),"Pam")</f>
        <v>Pam</v>
      </c>
      <c r="Q228" t="str">
        <f ca="1">IFERROR(__xludf.DUMMYFUNCTION("""COMPUTED_VALUE"""),"Good")</f>
        <v>Good</v>
      </c>
      <c r="R228" t="str">
        <f ca="1">IFERROR(__xludf.DUMMYFUNCTION("""COMPUTED_VALUE"""),"Good")</f>
        <v>Good</v>
      </c>
      <c r="S228" t="str">
        <f ca="1">IFERROR(__xludf.DUMMYFUNCTION("""COMPUTED_VALUE"""),"Good")</f>
        <v>Good</v>
      </c>
      <c r="T228" t="str">
        <f ca="1">IFERROR(__xludf.DUMMYFUNCTION("""COMPUTED_VALUE"""),"Good")</f>
        <v>Good</v>
      </c>
      <c r="U228" t="str">
        <f ca="1">IFERROR(__xludf.DUMMYFUNCTION("""COMPUTED_VALUE"""),"Good")</f>
        <v>Good</v>
      </c>
      <c r="V228" t="str">
        <f ca="1">IFERROR(__xludf.DUMMYFUNCTION("""COMPUTED_VALUE"""),"Good")</f>
        <v>Good</v>
      </c>
      <c r="W228" t="str">
        <f ca="1">IFERROR(__xludf.DUMMYFUNCTION("""COMPUTED_VALUE"""),"Good")</f>
        <v>Good</v>
      </c>
      <c r="X228" t="str">
        <f ca="1">IFERROR(__xludf.DUMMYFUNCTION("""COMPUTED_VALUE"""),"Good")</f>
        <v>Good</v>
      </c>
      <c r="Y228" t="str">
        <f ca="1">IFERROR(__xludf.DUMMYFUNCTION("""COMPUTED_VALUE"""),"Good")</f>
        <v>Good</v>
      </c>
      <c r="Z228" t="str">
        <f ca="1">IFERROR(__xludf.DUMMYFUNCTION("""COMPUTED_VALUE"""),"Good")</f>
        <v>Good</v>
      </c>
      <c r="AA228" t="str">
        <f ca="1">IFERROR(__xludf.DUMMYFUNCTION("""COMPUTED_VALUE"""),"Good")</f>
        <v>Good</v>
      </c>
      <c r="AB228" t="str">
        <f ca="1">IFERROR(__xludf.DUMMYFUNCTION("""COMPUTED_VALUE"""),"Good")</f>
        <v>Good</v>
      </c>
      <c r="AC228" t="str">
        <f ca="1">IFERROR(__xludf.DUMMYFUNCTION("""COMPUTED_VALUE"""),"Good")</f>
        <v>Good</v>
      </c>
      <c r="AE228" s="11"/>
      <c r="AF228" t="str">
        <v>Nikki.Dix@floridadep.gov</v>
      </c>
      <c r="AG228" s="17" t="s">
        <v>17</v>
      </c>
      <c r="AH228" s="12">
        <v>1150</v>
      </c>
      <c r="AI228" s="12" t="s">
        <v>627</v>
      </c>
      <c r="AJ228" s="19" t="s">
        <v>628</v>
      </c>
      <c r="AK228" s="20" t="str">
        <f>HYPERLINK("https://docs.google.com/document/d/1-LNoiYtth3TFidddGkp-DIB0m_Gtbagw1nKdq4vBdXE/edit?usp=drivesdk","Pamela Marcum - 1/15/2019 8:45 AM")</f>
        <v>Pamela Marcum - 1/15/2019 8:45 AM</v>
      </c>
      <c r="AL228" s="12" t="s">
        <v>629</v>
      </c>
    </row>
    <row r="229" spans="1:38" ht="12.75">
      <c r="A229" s="10">
        <f ca="1">IFERROR(__xludf.DUMMYFUNCTION("""COMPUTED_VALUE"""),43480.3671087037)</f>
        <v>43480.3671087037</v>
      </c>
      <c r="B229" s="11" t="str">
        <f ca="1">IFERROR(__xludf.DUMMYFUNCTION("""COMPUTED_VALUE"""),"Silas Tanner")</f>
        <v>Silas Tanner</v>
      </c>
      <c r="C229" t="str">
        <f ca="1">IFERROR(__xludf.DUMMYFUNCTION("""COMPUTED_VALUE"""),"silas.tanner@dep.state.fl.us")</f>
        <v>silas.tanner@dep.state.fl.us</v>
      </c>
      <c r="D229" t="str">
        <f ca="1">IFERROR(__xludf.DUMMYFUNCTION("""COMPUTED_VALUE"""),"Research/Nikki")</f>
        <v>Research/Nikki</v>
      </c>
      <c r="E229" t="str">
        <f ca="1">IFERROR(__xludf.DUMMYFUNCTION("""COMPUTED_VALUE"""),"Aunt Kate")</f>
        <v>Aunt Kate</v>
      </c>
      <c r="F229" s="13">
        <f ca="1">IFERROR(__xludf.DUMMYFUNCTION("""COMPUTED_VALUE"""),0.36458333333212)</f>
        <v>0.36458333333212001</v>
      </c>
      <c r="G229" s="14">
        <f ca="1">IFERROR(__xludf.DUMMYFUNCTION("""COMPUTED_VALUE"""),43480)</f>
        <v>43480</v>
      </c>
      <c r="H229" t="str">
        <f ca="1">IFERROR(__xludf.DUMMYFUNCTION("""COMPUTED_VALUE"""),"Tolomato")</f>
        <v>Tolomato</v>
      </c>
      <c r="I229" s="15">
        <f ca="1">IFERROR(__xludf.DUMMYFUNCTION("""COMPUTED_VALUE"""),0.5)</f>
        <v>0.5</v>
      </c>
      <c r="J229" s="16">
        <f ca="1">IFERROR(__xludf.DUMMYFUNCTION("""COMPUTED_VALUE"""),43480.0208333333)</f>
        <v>43480.020833333299</v>
      </c>
      <c r="K229" t="str">
        <f ca="1">IFERROR(__xludf.DUMMYFUNCTION("""COMPUTED_VALUE"""),"23ft Skiff (Bertha) FL7972LJ DEP07613")</f>
        <v>23ft Skiff (Bertha) FL7972LJ DEP07613</v>
      </c>
      <c r="M229" t="str">
        <f ca="1">IFERROR(__xludf.DUMMYFUNCTION("""COMPUTED_VALUE"""),"Ford F250 2017 (Moby Dix) - DEP0021578")</f>
        <v>Ford F250 2017 (Moby Dix) - DEP0021578</v>
      </c>
      <c r="N229" t="str">
        <f ca="1">IFERROR(__xludf.DUMMYFUNCTION("""COMPUTED_VALUE"""),"Silas Tanner, (904) 483-8423, Remo Mondazi")</f>
        <v>Silas Tanner, (904) 483-8423, Remo Mondazi</v>
      </c>
      <c r="O229" t="str">
        <f ca="1">IFERROR(__xludf.DUMMYFUNCTION("""COMPUTED_VALUE"""),"Allee Knoll, Cathy, Mary, Aaron")</f>
        <v>Allee Knoll, Cathy, Mary, Aaron</v>
      </c>
      <c r="P229" t="str">
        <f ca="1">IFERROR(__xludf.DUMMYFUNCTION("""COMPUTED_VALUE"""),"Silas")</f>
        <v>Silas</v>
      </c>
      <c r="Q229" t="str">
        <f ca="1">IFERROR(__xludf.DUMMYFUNCTION("""COMPUTED_VALUE"""),"Good")</f>
        <v>Good</v>
      </c>
      <c r="R229" t="str">
        <f ca="1">IFERROR(__xludf.DUMMYFUNCTION("""COMPUTED_VALUE"""),"Good")</f>
        <v>Good</v>
      </c>
      <c r="S229" t="str">
        <f ca="1">IFERROR(__xludf.DUMMYFUNCTION("""COMPUTED_VALUE"""),"Good")</f>
        <v>Good</v>
      </c>
      <c r="T229" t="str">
        <f ca="1">IFERROR(__xludf.DUMMYFUNCTION("""COMPUTED_VALUE"""),"Good")</f>
        <v>Good</v>
      </c>
      <c r="U229" t="str">
        <f ca="1">IFERROR(__xludf.DUMMYFUNCTION("""COMPUTED_VALUE"""),"Good")</f>
        <v>Good</v>
      </c>
      <c r="V229" t="str">
        <f ca="1">IFERROR(__xludf.DUMMYFUNCTION("""COMPUTED_VALUE"""),"Good")</f>
        <v>Good</v>
      </c>
      <c r="W229" t="str">
        <f ca="1">IFERROR(__xludf.DUMMYFUNCTION("""COMPUTED_VALUE"""),"Good")</f>
        <v>Good</v>
      </c>
      <c r="X229" t="str">
        <f ca="1">IFERROR(__xludf.DUMMYFUNCTION("""COMPUTED_VALUE"""),"Good")</f>
        <v>Good</v>
      </c>
      <c r="Y229" t="str">
        <f ca="1">IFERROR(__xludf.DUMMYFUNCTION("""COMPUTED_VALUE"""),"Good")</f>
        <v>Good</v>
      </c>
      <c r="Z229" t="str">
        <f ca="1">IFERROR(__xludf.DUMMYFUNCTION("""COMPUTED_VALUE"""),"Good")</f>
        <v>Good</v>
      </c>
      <c r="AA229" t="str">
        <f ca="1">IFERROR(__xludf.DUMMYFUNCTION("""COMPUTED_VALUE"""),"Good")</f>
        <v>Good</v>
      </c>
      <c r="AB229" t="str">
        <f ca="1">IFERROR(__xludf.DUMMYFUNCTION("""COMPUTED_VALUE"""),"Good")</f>
        <v>Good</v>
      </c>
      <c r="AC229" t="str">
        <f ca="1">IFERROR(__xludf.DUMMYFUNCTION("""COMPUTED_VALUE"""),"Good")</f>
        <v>Good</v>
      </c>
      <c r="AE229" s="11"/>
      <c r="AF229" t="str">
        <v>Nikki.Dix@floridadep.gov</v>
      </c>
      <c r="AG229" s="17" t="s">
        <v>126</v>
      </c>
      <c r="AH229" s="12">
        <v>1100</v>
      </c>
      <c r="AI229" s="12" t="s">
        <v>630</v>
      </c>
      <c r="AJ229" s="19" t="s">
        <v>631</v>
      </c>
      <c r="AK229" s="20" t="str">
        <f>HYPERLINK("https://docs.google.com/document/d/1BlhUooj52_5Yvz462SxTIX6_-Pjdb3OHBRmrvl_Ls6A/edit?usp=drivesdk","Silas Tanner - 1/15/2019 8:45 AM")</f>
        <v>Silas Tanner - 1/15/2019 8:45 AM</v>
      </c>
      <c r="AL229" s="12" t="s">
        <v>632</v>
      </c>
    </row>
    <row r="230" spans="1:38" ht="12.75">
      <c r="A230" s="10">
        <f ca="1">IFERROR(__xludf.DUMMYFUNCTION("""COMPUTED_VALUE"""),43481.2888603009)</f>
        <v>43481.288860300898</v>
      </c>
      <c r="B230" s="11" t="str">
        <f ca="1">IFERROR(__xludf.DUMMYFUNCTION("""COMPUTED_VALUE"""),"Pamela Marcum")</f>
        <v>Pamela Marcum</v>
      </c>
      <c r="C230" t="str">
        <f ca="1">IFERROR(__xludf.DUMMYFUNCTION("""COMPUTED_VALUE"""),"Pamela.Marcum@dep.state.fl.us")</f>
        <v>Pamela.Marcum@dep.state.fl.us</v>
      </c>
      <c r="D230" t="str">
        <f ca="1">IFERROR(__xludf.DUMMYFUNCTION("""COMPUTED_VALUE"""),"Research/Nikki")</f>
        <v>Research/Nikki</v>
      </c>
      <c r="E230" t="str">
        <f ca="1">IFERROR(__xludf.DUMMYFUNCTION("""COMPUTED_VALUE"""),"Aunt Kate's")</f>
        <v>Aunt Kate's</v>
      </c>
      <c r="F230" s="13">
        <f ca="1">IFERROR(__xludf.DUMMYFUNCTION("""COMPUTED_VALUE"""),0.354166666667879)</f>
        <v>0.35416666666787899</v>
      </c>
      <c r="G230" s="14">
        <f ca="1">IFERROR(__xludf.DUMMYFUNCTION("""COMPUTED_VALUE"""),43481)</f>
        <v>43481</v>
      </c>
      <c r="H230" t="str">
        <f ca="1">IFERROR(__xludf.DUMMYFUNCTION("""COMPUTED_VALUE"""),"Tolomato/Guana Rivers")</f>
        <v>Tolomato/Guana Rivers</v>
      </c>
      <c r="I230" s="15">
        <f ca="1">IFERROR(__xludf.DUMMYFUNCTION("""COMPUTED_VALUE"""),0.5)</f>
        <v>0.5</v>
      </c>
      <c r="J230" s="16">
        <f ca="1">IFERROR(__xludf.DUMMYFUNCTION("""COMPUTED_VALUE"""),43481.5208333333)</f>
        <v>43481.520833333299</v>
      </c>
      <c r="K230" t="str">
        <f ca="1">IFERROR(__xludf.DUMMYFUNCTION("""COMPUTED_VALUE"""),"20ft Sea Ark FL5351SJ UNF 2015")</f>
        <v>20ft Sea Ark FL5351SJ UNF 2015</v>
      </c>
      <c r="M230" t="str">
        <f ca="1">IFERROR(__xludf.DUMMYFUNCTION("""COMPUTED_VALUE"""),"Ford F150 2008 - DEP18041 (SWMP Thing)")</f>
        <v>Ford F150 2008 - DEP18041 (SWMP Thing)</v>
      </c>
      <c r="N230" t="str">
        <f ca="1">IFERROR(__xludf.DUMMYFUNCTION("""COMPUTED_VALUE"""),"Pam Marcum, (480) 332-5414")</f>
        <v>Pam Marcum, (480) 332-5414</v>
      </c>
      <c r="O230" t="str">
        <f ca="1">IFERROR(__xludf.DUMMYFUNCTION("""COMPUTED_VALUE"""),"Jeff Finnan, Terri Calleson")</f>
        <v>Jeff Finnan, Terri Calleson</v>
      </c>
      <c r="P230" t="str">
        <f ca="1">IFERROR(__xludf.DUMMYFUNCTION("""COMPUTED_VALUE"""),"Pam")</f>
        <v>Pam</v>
      </c>
      <c r="Q230" t="str">
        <f ca="1">IFERROR(__xludf.DUMMYFUNCTION("""COMPUTED_VALUE"""),"Good")</f>
        <v>Good</v>
      </c>
      <c r="R230" t="str">
        <f ca="1">IFERROR(__xludf.DUMMYFUNCTION("""COMPUTED_VALUE"""),"Good")</f>
        <v>Good</v>
      </c>
      <c r="S230" t="str">
        <f ca="1">IFERROR(__xludf.DUMMYFUNCTION("""COMPUTED_VALUE"""),"Good")</f>
        <v>Good</v>
      </c>
      <c r="T230" t="str">
        <f ca="1">IFERROR(__xludf.DUMMYFUNCTION("""COMPUTED_VALUE"""),"Good")</f>
        <v>Good</v>
      </c>
      <c r="U230" t="str">
        <f ca="1">IFERROR(__xludf.DUMMYFUNCTION("""COMPUTED_VALUE"""),"Good")</f>
        <v>Good</v>
      </c>
      <c r="V230" t="str">
        <f ca="1">IFERROR(__xludf.DUMMYFUNCTION("""COMPUTED_VALUE"""),"Good")</f>
        <v>Good</v>
      </c>
      <c r="W230" t="str">
        <f ca="1">IFERROR(__xludf.DUMMYFUNCTION("""COMPUTED_VALUE"""),"Good")</f>
        <v>Good</v>
      </c>
      <c r="X230" t="str">
        <f ca="1">IFERROR(__xludf.DUMMYFUNCTION("""COMPUTED_VALUE"""),"Good")</f>
        <v>Good</v>
      </c>
      <c r="Y230" t="str">
        <f ca="1">IFERROR(__xludf.DUMMYFUNCTION("""COMPUTED_VALUE"""),"Good")</f>
        <v>Good</v>
      </c>
      <c r="Z230" t="str">
        <f ca="1">IFERROR(__xludf.DUMMYFUNCTION("""COMPUTED_VALUE"""),"Good")</f>
        <v>Good</v>
      </c>
      <c r="AA230" t="str">
        <f ca="1">IFERROR(__xludf.DUMMYFUNCTION("""COMPUTED_VALUE"""),"Good")</f>
        <v>Good</v>
      </c>
      <c r="AB230" t="str">
        <f ca="1">IFERROR(__xludf.DUMMYFUNCTION("""COMPUTED_VALUE"""),"Good")</f>
        <v>Good</v>
      </c>
      <c r="AC230" t="str">
        <f ca="1">IFERROR(__xludf.DUMMYFUNCTION("""COMPUTED_VALUE"""),"Good")</f>
        <v>Good</v>
      </c>
      <c r="AE230" s="11"/>
      <c r="AF230" t="str">
        <v>Nikki.Dix@floridadep.gov</v>
      </c>
      <c r="AG230" s="17" t="s">
        <v>222</v>
      </c>
      <c r="AH230" s="12" t="s">
        <v>278</v>
      </c>
      <c r="AI230" s="12" t="s">
        <v>633</v>
      </c>
      <c r="AJ230" s="19" t="s">
        <v>634</v>
      </c>
      <c r="AK230" s="20" t="str">
        <f>HYPERLINK("https://docs.google.com/document/d/1wCwibueR_wcJviqe1JCJpLlTRhJP87kkXm9YSbcKdXU/edit?usp=drivesdk","Pamela Marcum - 1/16/2019 8:30 AM")</f>
        <v>Pamela Marcum - 1/16/2019 8:30 AM</v>
      </c>
      <c r="AL230" s="12" t="s">
        <v>635</v>
      </c>
    </row>
    <row r="231" spans="1:38" ht="12.75">
      <c r="A231" s="10">
        <f ca="1">IFERROR(__xludf.DUMMYFUNCTION("""COMPUTED_VALUE"""),43481.3919825347)</f>
        <v>43481.391982534697</v>
      </c>
      <c r="B231" s="11" t="str">
        <f ca="1">IFERROR(__xludf.DUMMYFUNCTION("""COMPUTED_VALUE"""),"Pam")</f>
        <v>Pam</v>
      </c>
      <c r="C231" t="str">
        <f ca="1">IFERROR(__xludf.DUMMYFUNCTION("""COMPUTED_VALUE"""),"pamela.marcum@dep.state.fl.us")</f>
        <v>pamela.marcum@dep.state.fl.us</v>
      </c>
      <c r="D231" t="str">
        <f ca="1">IFERROR(__xludf.DUMMYFUNCTION("""COMPUTED_VALUE"""),"Research/Nikki")</f>
        <v>Research/Nikki</v>
      </c>
      <c r="E231" t="str">
        <f ca="1">IFERROR(__xludf.DUMMYFUNCTION("""COMPUTED_VALUE"""),"Aunt kates")</f>
        <v>Aunt kates</v>
      </c>
      <c r="F231" s="13">
        <f ca="1">IFERROR(__xludf.DUMMYFUNCTION("""COMPUTED_VALUE"""),0.385416666667879)</f>
        <v>0.38541666666787899</v>
      </c>
      <c r="G231" s="14">
        <f ca="1">IFERROR(__xludf.DUMMYFUNCTION("""COMPUTED_VALUE"""),43481)</f>
        <v>43481</v>
      </c>
      <c r="H231" t="str">
        <f ca="1">IFERROR(__xludf.DUMMYFUNCTION("""COMPUTED_VALUE"""),"Tolomato")</f>
        <v>Tolomato</v>
      </c>
      <c r="I231" s="15">
        <f ca="1">IFERROR(__xludf.DUMMYFUNCTION("""COMPUTED_VALUE"""),0.5)</f>
        <v>0.5</v>
      </c>
      <c r="J231" s="16">
        <f ca="1">IFERROR(__xludf.DUMMYFUNCTION("""COMPUTED_VALUE"""),43481.0208333333)</f>
        <v>43481.020833333299</v>
      </c>
      <c r="K231" t="str">
        <f ca="1">IFERROR(__xludf.DUMMYFUNCTION("""COMPUTED_VALUE"""),"23ft Skiff (Bertha) FL7972LJ DEP07613")</f>
        <v>23ft Skiff (Bertha) FL7972LJ DEP07613</v>
      </c>
      <c r="M231" t="str">
        <f ca="1">IFERROR(__xludf.DUMMYFUNCTION("""COMPUTED_VALUE"""),"Ford F150 2008 - DEP18041 (SWMP Thing)")</f>
        <v>Ford F150 2008 - DEP18041 (SWMP Thing)</v>
      </c>
      <c r="N231" t="str">
        <f ca="1">IFERROR(__xludf.DUMMYFUNCTION("""COMPUTED_VALUE"""),"Pam Marcum, (480) 332-5414")</f>
        <v>Pam Marcum, (480) 332-5414</v>
      </c>
      <c r="O231" t="str">
        <f ca="1">IFERROR(__xludf.DUMMYFUNCTION("""COMPUTED_VALUE"""),"Jeff finnan, terri")</f>
        <v>Jeff finnan, terri</v>
      </c>
      <c r="P231" t="str">
        <f ca="1">IFERROR(__xludf.DUMMYFUNCTION("""COMPUTED_VALUE"""),"Pam")</f>
        <v>Pam</v>
      </c>
      <c r="Q231" t="str">
        <f ca="1">IFERROR(__xludf.DUMMYFUNCTION("""COMPUTED_VALUE"""),"Good")</f>
        <v>Good</v>
      </c>
      <c r="R231" t="str">
        <f ca="1">IFERROR(__xludf.DUMMYFUNCTION("""COMPUTED_VALUE"""),"Good")</f>
        <v>Good</v>
      </c>
      <c r="S231" t="str">
        <f ca="1">IFERROR(__xludf.DUMMYFUNCTION("""COMPUTED_VALUE"""),"Good")</f>
        <v>Good</v>
      </c>
      <c r="T231" t="str">
        <f ca="1">IFERROR(__xludf.DUMMYFUNCTION("""COMPUTED_VALUE"""),"Good")</f>
        <v>Good</v>
      </c>
      <c r="U231" t="str">
        <f ca="1">IFERROR(__xludf.DUMMYFUNCTION("""COMPUTED_VALUE"""),"Good")</f>
        <v>Good</v>
      </c>
      <c r="V231" t="str">
        <f ca="1">IFERROR(__xludf.DUMMYFUNCTION("""COMPUTED_VALUE"""),"Good")</f>
        <v>Good</v>
      </c>
      <c r="W231" t="str">
        <f ca="1">IFERROR(__xludf.DUMMYFUNCTION("""COMPUTED_VALUE"""),"Good")</f>
        <v>Good</v>
      </c>
      <c r="X231" t="str">
        <f ca="1">IFERROR(__xludf.DUMMYFUNCTION("""COMPUTED_VALUE"""),"Good")</f>
        <v>Good</v>
      </c>
      <c r="Y231" t="str">
        <f ca="1">IFERROR(__xludf.DUMMYFUNCTION("""COMPUTED_VALUE"""),"Good")</f>
        <v>Good</v>
      </c>
      <c r="Z231" t="str">
        <f ca="1">IFERROR(__xludf.DUMMYFUNCTION("""COMPUTED_VALUE"""),"Good")</f>
        <v>Good</v>
      </c>
      <c r="AA231" t="str">
        <f ca="1">IFERROR(__xludf.DUMMYFUNCTION("""COMPUTED_VALUE"""),"Good")</f>
        <v>Good</v>
      </c>
      <c r="AB231" t="str">
        <f ca="1">IFERROR(__xludf.DUMMYFUNCTION("""COMPUTED_VALUE"""),"Good")</f>
        <v>Good</v>
      </c>
      <c r="AC231" t="str">
        <f ca="1">IFERROR(__xludf.DUMMYFUNCTION("""COMPUTED_VALUE"""),"Good")</f>
        <v>Good</v>
      </c>
      <c r="AE231" s="11"/>
      <c r="AF231" t="str">
        <v>Nikki.Dix@floridadep.gov</v>
      </c>
      <c r="AG231" s="17" t="s">
        <v>17</v>
      </c>
      <c r="AH231" s="12">
        <v>1200</v>
      </c>
      <c r="AI231" s="12" t="s">
        <v>636</v>
      </c>
      <c r="AJ231" s="19" t="s">
        <v>637</v>
      </c>
      <c r="AK231" s="20" t="str">
        <f>HYPERLINK("https://docs.google.com/document/d/1ashMolhPpUl0A5fQ5JeXWD9xog1UFTWMtXS3rIJnr9I/edit?usp=drivesdk","Pam - 1/16/2019 9:15 AM")</f>
        <v>Pam - 1/16/2019 9:15 AM</v>
      </c>
      <c r="AL231" s="12" t="s">
        <v>638</v>
      </c>
    </row>
    <row r="232" spans="1:38" ht="12.75">
      <c r="A232" s="10">
        <f ca="1">IFERROR(__xludf.DUMMYFUNCTION("""COMPUTED_VALUE"""),43482.4385300925)</f>
        <v>43482.438530092499</v>
      </c>
      <c r="B232" s="11" t="str">
        <f ca="1">IFERROR(__xludf.DUMMYFUNCTION("""COMPUTED_VALUE"""),"Pam")</f>
        <v>Pam</v>
      </c>
      <c r="C232" t="str">
        <f ca="1">IFERROR(__xludf.DUMMYFUNCTION("""COMPUTED_VALUE"""),"pamela.marcum@dep.state.fl.us")</f>
        <v>pamela.marcum@dep.state.fl.us</v>
      </c>
      <c r="D232" t="str">
        <f ca="1">IFERROR(__xludf.DUMMYFUNCTION("""COMPUTED_VALUE"""),"Research/Shannon")</f>
        <v>Research/Shannon</v>
      </c>
      <c r="E232" t="str">
        <f ca="1">IFERROR(__xludf.DUMMYFUNCTION("""COMPUTED_VALUE"""),"Aunt kates")</f>
        <v>Aunt kates</v>
      </c>
      <c r="F232" s="13">
        <f ca="1">IFERROR(__xludf.DUMMYFUNCTION("""COMPUTED_VALUE"""),0.354166666667879)</f>
        <v>0.35416666666787899</v>
      </c>
      <c r="G232" s="14">
        <f ca="1">IFERROR(__xludf.DUMMYFUNCTION("""COMPUTED_VALUE"""),43482)</f>
        <v>43482</v>
      </c>
      <c r="H232" t="str">
        <f ca="1">IFERROR(__xludf.DUMMYFUNCTION("""COMPUTED_VALUE"""),"Tolomato")</f>
        <v>Tolomato</v>
      </c>
      <c r="I232" s="15">
        <f ca="1">IFERROR(__xludf.DUMMYFUNCTION("""COMPUTED_VALUE"""),0.5)</f>
        <v>0.5</v>
      </c>
      <c r="J232" s="16">
        <f ca="1">IFERROR(__xludf.DUMMYFUNCTION("""COMPUTED_VALUE"""),43482)</f>
        <v>43482</v>
      </c>
      <c r="K232" t="str">
        <f ca="1">IFERROR(__xludf.DUMMYFUNCTION("""COMPUTED_VALUE"""),"23ft Skiff (Bertha) FL7972LJ DEP07613")</f>
        <v>23ft Skiff (Bertha) FL7972LJ DEP07613</v>
      </c>
      <c r="M232" t="str">
        <f ca="1">IFERROR(__xludf.DUMMYFUNCTION("""COMPUTED_VALUE"""),"Ford F150 2008 - DEP18041 (SWMP Thing)")</f>
        <v>Ford F150 2008 - DEP18041 (SWMP Thing)</v>
      </c>
      <c r="N232" t="str">
        <f ca="1">IFERROR(__xludf.DUMMYFUNCTION("""COMPUTED_VALUE"""),"Pam Marcum, (480) 332-5414")</f>
        <v>Pam Marcum, (480) 332-5414</v>
      </c>
      <c r="O232" t="str">
        <f ca="1">IFERROR(__xludf.DUMMYFUNCTION("""COMPUTED_VALUE"""),"Collin, Remo")</f>
        <v>Collin, Remo</v>
      </c>
      <c r="P232" t="str">
        <f ca="1">IFERROR(__xludf.DUMMYFUNCTION("""COMPUTED_VALUE"""),"Pam")</f>
        <v>Pam</v>
      </c>
      <c r="Q232" t="str">
        <f ca="1">IFERROR(__xludf.DUMMYFUNCTION("""COMPUTED_VALUE"""),"Good")</f>
        <v>Good</v>
      </c>
      <c r="R232" t="str">
        <f ca="1">IFERROR(__xludf.DUMMYFUNCTION("""COMPUTED_VALUE"""),"Good")</f>
        <v>Good</v>
      </c>
      <c r="S232" t="str">
        <f ca="1">IFERROR(__xludf.DUMMYFUNCTION("""COMPUTED_VALUE"""),"Good")</f>
        <v>Good</v>
      </c>
      <c r="T232" t="str">
        <f ca="1">IFERROR(__xludf.DUMMYFUNCTION("""COMPUTED_VALUE"""),"Good")</f>
        <v>Good</v>
      </c>
      <c r="U232" t="str">
        <f ca="1">IFERROR(__xludf.DUMMYFUNCTION("""COMPUTED_VALUE"""),"Good")</f>
        <v>Good</v>
      </c>
      <c r="V232" t="str">
        <f ca="1">IFERROR(__xludf.DUMMYFUNCTION("""COMPUTED_VALUE"""),"Good")</f>
        <v>Good</v>
      </c>
      <c r="W232" t="str">
        <f ca="1">IFERROR(__xludf.DUMMYFUNCTION("""COMPUTED_VALUE"""),"Good")</f>
        <v>Good</v>
      </c>
      <c r="X232" t="str">
        <f ca="1">IFERROR(__xludf.DUMMYFUNCTION("""COMPUTED_VALUE"""),"Good")</f>
        <v>Good</v>
      </c>
      <c r="Y232" t="str">
        <f ca="1">IFERROR(__xludf.DUMMYFUNCTION("""COMPUTED_VALUE"""),"Good")</f>
        <v>Good</v>
      </c>
      <c r="Z232" t="str">
        <f ca="1">IFERROR(__xludf.DUMMYFUNCTION("""COMPUTED_VALUE"""),"Good")</f>
        <v>Good</v>
      </c>
      <c r="AA232" t="str">
        <f ca="1">IFERROR(__xludf.DUMMYFUNCTION("""COMPUTED_VALUE"""),"Good")</f>
        <v>Good</v>
      </c>
      <c r="AB232" t="str">
        <f ca="1">IFERROR(__xludf.DUMMYFUNCTION("""COMPUTED_VALUE"""),"Good")</f>
        <v>Good</v>
      </c>
      <c r="AC232" t="str">
        <f ca="1">IFERROR(__xludf.DUMMYFUNCTION("""COMPUTED_VALUE"""),"Good")</f>
        <v>Good</v>
      </c>
      <c r="AE232" s="11"/>
      <c r="AF232" t="str">
        <v>Shannon.Dunnigan@floridadep.gov</v>
      </c>
      <c r="AG232" s="17" t="s">
        <v>639</v>
      </c>
      <c r="AH232" s="12">
        <v>1219</v>
      </c>
      <c r="AI232" s="12" t="s">
        <v>640</v>
      </c>
      <c r="AJ232" s="19" t="s">
        <v>641</v>
      </c>
      <c r="AK232" s="20" t="str">
        <f>HYPERLINK("https://docs.google.com/document/d/1ySIzZqkUgYZOnUT2s6MMktH4mDF9DGVF0uvVl5xf4BM/edit?usp=drivesdk","Pam - 1/17/2019 8:30 AM")</f>
        <v>Pam - 1/17/2019 8:30 AM</v>
      </c>
      <c r="AL232" s="12" t="s">
        <v>642</v>
      </c>
    </row>
    <row r="233" spans="1:38" ht="12.75">
      <c r="A233" s="10">
        <f ca="1">IFERROR(__xludf.DUMMYFUNCTION("""COMPUTED_VALUE"""),43483.4386750115)</f>
        <v>43483.438675011501</v>
      </c>
      <c r="B233" s="11" t="str">
        <f ca="1">IFERROR(__xludf.DUMMYFUNCTION("""COMPUTED_VALUE"""),"Pam Marcum")</f>
        <v>Pam Marcum</v>
      </c>
      <c r="C233" t="str">
        <f ca="1">IFERROR(__xludf.DUMMYFUNCTION("""COMPUTED_VALUE"""),"Pamela.Marcum@dep.state.fl.us")</f>
        <v>Pamela.Marcum@dep.state.fl.us</v>
      </c>
      <c r="D233" t="str">
        <f ca="1">IFERROR(__xludf.DUMMYFUNCTION("""COMPUTED_VALUE"""),"Research/Nikki")</f>
        <v>Research/Nikki</v>
      </c>
      <c r="E233" t="str">
        <f ca="1">IFERROR(__xludf.DUMMYFUNCTION("""COMPUTED_VALUE"""),"Aunt Kate's")</f>
        <v>Aunt Kate's</v>
      </c>
      <c r="F233" s="13">
        <f ca="1">IFERROR(__xludf.DUMMYFUNCTION("""COMPUTED_VALUE"""),0.447916666667879)</f>
        <v>0.44791666666787899</v>
      </c>
      <c r="G233" s="14">
        <f ca="1">IFERROR(__xludf.DUMMYFUNCTION("""COMPUTED_VALUE"""),43483)</f>
        <v>43483</v>
      </c>
      <c r="H233" t="str">
        <f ca="1">IFERROR(__xludf.DUMMYFUNCTION("""COMPUTED_VALUE"""),"Guana River")</f>
        <v>Guana River</v>
      </c>
      <c r="I233" s="15">
        <f ca="1">IFERROR(__xludf.DUMMYFUNCTION("""COMPUTED_VALUE"""),0.541666666667879)</f>
        <v>0.54166666666787899</v>
      </c>
      <c r="J233" s="16">
        <f ca="1">IFERROR(__xludf.DUMMYFUNCTION("""COMPUTED_VALUE"""),43483.5625)</f>
        <v>43483.5625</v>
      </c>
      <c r="K233" t="str">
        <f ca="1">IFERROR(__xludf.DUMMYFUNCTION("""COMPUTED_VALUE"""),"23ft Skiff (Bertha) FL7972LJ DEP07613")</f>
        <v>23ft Skiff (Bertha) FL7972LJ DEP07613</v>
      </c>
      <c r="M233" t="str">
        <f ca="1">IFERROR(__xludf.DUMMYFUNCTION("""COMPUTED_VALUE"""),"Ford F150 2008 - DEP18041 (SWMP Thing)")</f>
        <v>Ford F150 2008 - DEP18041 (SWMP Thing)</v>
      </c>
      <c r="N233" t="str">
        <f ca="1">IFERROR(__xludf.DUMMYFUNCTION("""COMPUTED_VALUE"""),"Pam Marcum, (480) 332-5414")</f>
        <v>Pam Marcum, (480) 332-5414</v>
      </c>
      <c r="O233" t="str">
        <f ca="1">IFERROR(__xludf.DUMMYFUNCTION("""COMPUTED_VALUE"""),"Connor Kellie, Vicki MacDonald, Barry MacDonald, Jeff Finnan")</f>
        <v>Connor Kellie, Vicki MacDonald, Barry MacDonald, Jeff Finnan</v>
      </c>
      <c r="P233" t="str">
        <f ca="1">IFERROR(__xludf.DUMMYFUNCTION("""COMPUTED_VALUE"""),"Pam")</f>
        <v>Pam</v>
      </c>
      <c r="Q233" t="str">
        <f ca="1">IFERROR(__xludf.DUMMYFUNCTION("""COMPUTED_VALUE"""),"Good")</f>
        <v>Good</v>
      </c>
      <c r="R233" t="str">
        <f ca="1">IFERROR(__xludf.DUMMYFUNCTION("""COMPUTED_VALUE"""),"Good")</f>
        <v>Good</v>
      </c>
      <c r="S233" t="str">
        <f ca="1">IFERROR(__xludf.DUMMYFUNCTION("""COMPUTED_VALUE"""),"Good")</f>
        <v>Good</v>
      </c>
      <c r="T233" t="str">
        <f ca="1">IFERROR(__xludf.DUMMYFUNCTION("""COMPUTED_VALUE"""),"Good")</f>
        <v>Good</v>
      </c>
      <c r="U233" t="str">
        <f ca="1">IFERROR(__xludf.DUMMYFUNCTION("""COMPUTED_VALUE"""),"Good")</f>
        <v>Good</v>
      </c>
      <c r="V233" t="str">
        <f ca="1">IFERROR(__xludf.DUMMYFUNCTION("""COMPUTED_VALUE"""),"Good")</f>
        <v>Good</v>
      </c>
      <c r="W233" t="str">
        <f ca="1">IFERROR(__xludf.DUMMYFUNCTION("""COMPUTED_VALUE"""),"Good")</f>
        <v>Good</v>
      </c>
      <c r="X233" t="str">
        <f ca="1">IFERROR(__xludf.DUMMYFUNCTION("""COMPUTED_VALUE"""),"Good")</f>
        <v>Good</v>
      </c>
      <c r="Y233" t="str">
        <f ca="1">IFERROR(__xludf.DUMMYFUNCTION("""COMPUTED_VALUE"""),"Good")</f>
        <v>Good</v>
      </c>
      <c r="Z233" t="str">
        <f ca="1">IFERROR(__xludf.DUMMYFUNCTION("""COMPUTED_VALUE"""),"Good")</f>
        <v>Good</v>
      </c>
      <c r="AA233" t="str">
        <f ca="1">IFERROR(__xludf.DUMMYFUNCTION("""COMPUTED_VALUE"""),"Good")</f>
        <v>Good</v>
      </c>
      <c r="AB233" t="str">
        <f ca="1">IFERROR(__xludf.DUMMYFUNCTION("""COMPUTED_VALUE"""),"Good")</f>
        <v>Good</v>
      </c>
      <c r="AC233" t="str">
        <f ca="1">IFERROR(__xludf.DUMMYFUNCTION("""COMPUTED_VALUE"""),"Good")</f>
        <v>Good</v>
      </c>
      <c r="AE233" s="11"/>
      <c r="AF233" t="str">
        <v>Nikki.Dix@floridadep.gov</v>
      </c>
      <c r="AG233" s="17" t="s">
        <v>41</v>
      </c>
      <c r="AH233" s="12">
        <v>1345</v>
      </c>
      <c r="AI233" s="12" t="s">
        <v>643</v>
      </c>
      <c r="AJ233" s="19" t="s">
        <v>644</v>
      </c>
      <c r="AK233" s="20" t="str">
        <f>HYPERLINK("https://docs.google.com/document/d/1BNVX05cr1434PSG7V5_vi5xdcMP9K4I0Om0n38jVaK0/edit?usp=drivesdk","Pam Marcum - 1/18/2019 10:45 AM")</f>
        <v>Pam Marcum - 1/18/2019 10:45 AM</v>
      </c>
      <c r="AL233" s="12" t="s">
        <v>645</v>
      </c>
    </row>
    <row r="234" spans="1:38" ht="12.75">
      <c r="A234" s="10">
        <f ca="1">IFERROR(__xludf.DUMMYFUNCTION("""COMPUTED_VALUE"""),43483.4462388194)</f>
        <v>43483.446238819401</v>
      </c>
      <c r="B234" s="11" t="str">
        <f ca="1">IFERROR(__xludf.DUMMYFUNCTION("""COMPUTED_VALUE"""),"Shannon")</f>
        <v>Shannon</v>
      </c>
      <c r="C234" t="str">
        <f ca="1">IFERROR(__xludf.DUMMYFUNCTION("""COMPUTED_VALUE"""),"shannon.dunnigan@floridadep.gov")</f>
        <v>shannon.dunnigan@floridadep.gov</v>
      </c>
      <c r="D234" t="str">
        <f ca="1">IFERROR(__xludf.DUMMYFUNCTION("""COMPUTED_VALUE"""),"Research/Nikki")</f>
        <v>Research/Nikki</v>
      </c>
      <c r="E234" t="str">
        <f ca="1">IFERROR(__xludf.DUMMYFUNCTION("""COMPUTED_VALUE"""),"Aunt Kate’s")</f>
        <v>Aunt Kate’s</v>
      </c>
      <c r="F234" s="13">
        <f ca="1">IFERROR(__xludf.DUMMYFUNCTION("""COMPUTED_VALUE"""),0.45833333333212)</f>
        <v>0.45833333333212001</v>
      </c>
      <c r="G234" s="14">
        <f ca="1">IFERROR(__xludf.DUMMYFUNCTION("""COMPUTED_VALUE"""),43483)</f>
        <v>43483</v>
      </c>
      <c r="H234" t="str">
        <f ca="1">IFERROR(__xludf.DUMMYFUNCTION("""COMPUTED_VALUE"""),"Tolomato")</f>
        <v>Tolomato</v>
      </c>
      <c r="I234" s="15">
        <f ca="1">IFERROR(__xludf.DUMMYFUNCTION("""COMPUTED_VALUE"""),0.58333333333212)</f>
        <v>0.58333333333212001</v>
      </c>
      <c r="J234" s="16">
        <f ca="1">IFERROR(__xludf.DUMMYFUNCTION("""COMPUTED_VALUE"""),43483.625)</f>
        <v>43483.625</v>
      </c>
      <c r="K234" t="str">
        <f ca="1">IFERROR(__xludf.DUMMYFUNCTION("""COMPUTED_VALUE"""),"F 20ft Sea Ark (Easy 200) FL8534PY DEP21451")</f>
        <v>F 20ft Sea Ark (Easy 200) FL8534PY DEP21451</v>
      </c>
      <c r="M234" t="str">
        <f ca="1">IFERROR(__xludf.DUMMYFUNCTION("""COMPUTED_VALUE"""),"Ford F250 2017 (Moby Dix) - DEP0021578")</f>
        <v>Ford F250 2017 (Moby Dix) - DEP0021578</v>
      </c>
      <c r="N234" t="str">
        <f ca="1">IFERROR(__xludf.DUMMYFUNCTION("""COMPUTED_VALUE"""),"Nikki Dix, (352) 219-4079, Shannon Dunnigan, (803) 727-5734")</f>
        <v>Nikki Dix, (352) 219-4079, Shannon Dunnigan, (803) 727-5734</v>
      </c>
      <c r="P234" t="str">
        <f ca="1">IFERROR(__xludf.DUMMYFUNCTION("""COMPUTED_VALUE"""),"Shannon")</f>
        <v>Shannon</v>
      </c>
      <c r="Q234" t="str">
        <f ca="1">IFERROR(__xludf.DUMMYFUNCTION("""COMPUTED_VALUE"""),"Good")</f>
        <v>Good</v>
      </c>
      <c r="R234" t="str">
        <f ca="1">IFERROR(__xludf.DUMMYFUNCTION("""COMPUTED_VALUE"""),"Good")</f>
        <v>Good</v>
      </c>
      <c r="S234" t="str">
        <f ca="1">IFERROR(__xludf.DUMMYFUNCTION("""COMPUTED_VALUE"""),"Good")</f>
        <v>Good</v>
      </c>
      <c r="T234" t="str">
        <f ca="1">IFERROR(__xludf.DUMMYFUNCTION("""COMPUTED_VALUE"""),"Good")</f>
        <v>Good</v>
      </c>
      <c r="U234" t="str">
        <f ca="1">IFERROR(__xludf.DUMMYFUNCTION("""COMPUTED_VALUE"""),"Good")</f>
        <v>Good</v>
      </c>
      <c r="V234" t="str">
        <f ca="1">IFERROR(__xludf.DUMMYFUNCTION("""COMPUTED_VALUE"""),"Good")</f>
        <v>Good</v>
      </c>
      <c r="W234" t="str">
        <f ca="1">IFERROR(__xludf.DUMMYFUNCTION("""COMPUTED_VALUE"""),"Good")</f>
        <v>Good</v>
      </c>
      <c r="X234" t="str">
        <f ca="1">IFERROR(__xludf.DUMMYFUNCTION("""COMPUTED_VALUE"""),"Good")</f>
        <v>Good</v>
      </c>
      <c r="Y234" t="str">
        <f ca="1">IFERROR(__xludf.DUMMYFUNCTION("""COMPUTED_VALUE"""),"Good")</f>
        <v>Good</v>
      </c>
      <c r="Z234" t="str">
        <f ca="1">IFERROR(__xludf.DUMMYFUNCTION("""COMPUTED_VALUE"""),"Good")</f>
        <v>Good</v>
      </c>
      <c r="AA234" t="str">
        <f ca="1">IFERROR(__xludf.DUMMYFUNCTION("""COMPUTED_VALUE"""),"Good")</f>
        <v>Good</v>
      </c>
      <c r="AB234" t="str">
        <f ca="1">IFERROR(__xludf.DUMMYFUNCTION("""COMPUTED_VALUE"""),"Good")</f>
        <v>Good</v>
      </c>
      <c r="AC234" t="str">
        <f ca="1">IFERROR(__xludf.DUMMYFUNCTION("""COMPUTED_VALUE"""),"Good")</f>
        <v>Good</v>
      </c>
      <c r="AE234" s="11"/>
      <c r="AF234" t="str">
        <v>Nikki.Dix@floridadep.gov</v>
      </c>
      <c r="AG234" s="17" t="s">
        <v>54</v>
      </c>
      <c r="AH234" s="12" t="s">
        <v>278</v>
      </c>
      <c r="AI234" s="12" t="s">
        <v>646</v>
      </c>
      <c r="AJ234" s="19" t="s">
        <v>647</v>
      </c>
      <c r="AK234" s="20" t="str">
        <f>HYPERLINK("https://docs.google.com/document/d/1y2UDORHMpvgGxnWKusUow10nn0yr4r-KxQFkrbWVVDg/edit?usp=drivesdk","Shannon - 1/18/2019 11:00 AM")</f>
        <v>Shannon - 1/18/2019 11:00 AM</v>
      </c>
      <c r="AL234" s="12" t="s">
        <v>648</v>
      </c>
    </row>
    <row r="235" spans="1:38" ht="12.75">
      <c r="A235" s="10">
        <f ca="1">IFERROR(__xludf.DUMMYFUNCTION("""COMPUTED_VALUE"""),43483.4528569213)</f>
        <v>43483.4528569213</v>
      </c>
      <c r="B235" s="11" t="str">
        <f ca="1">IFERROR(__xludf.DUMMYFUNCTION("""COMPUTED_VALUE"""),"Shannon")</f>
        <v>Shannon</v>
      </c>
      <c r="C235" t="str">
        <f ca="1">IFERROR(__xludf.DUMMYFUNCTION("""COMPUTED_VALUE"""),"shannon.dunnigan@floridadep.gov")</f>
        <v>shannon.dunnigan@floridadep.gov</v>
      </c>
      <c r="D235" t="str">
        <f ca="1">IFERROR(__xludf.DUMMYFUNCTION("""COMPUTED_VALUE"""),"Research/Nikki")</f>
        <v>Research/Nikki</v>
      </c>
      <c r="E235" t="str">
        <f ca="1">IFERROR(__xludf.DUMMYFUNCTION("""COMPUTED_VALUE"""),"Kates")</f>
        <v>Kates</v>
      </c>
      <c r="F235" s="13">
        <f ca="1">IFERROR(__xludf.DUMMYFUNCTION("""COMPUTED_VALUE"""),0.45833333333212)</f>
        <v>0.45833333333212001</v>
      </c>
      <c r="G235" s="14">
        <f ca="1">IFERROR(__xludf.DUMMYFUNCTION("""COMPUTED_VALUE"""),43484)</f>
        <v>43484</v>
      </c>
      <c r="H235" t="str">
        <f ca="1">IFERROR(__xludf.DUMMYFUNCTION("""COMPUTED_VALUE"""),"Tolomato")</f>
        <v>Tolomato</v>
      </c>
      <c r="I235" s="15">
        <f ca="1">IFERROR(__xludf.DUMMYFUNCTION("""COMPUTED_VALUE"""),0.5)</f>
        <v>0.5</v>
      </c>
      <c r="J235" s="16">
        <f ca="1">IFERROR(__xludf.DUMMYFUNCTION("""COMPUTED_VALUE"""),43483.5006944444)</f>
        <v>43483.500694444403</v>
      </c>
      <c r="K235" t="str">
        <f ca="1">IFERROR(__xludf.DUMMYFUNCTION("""COMPUTED_VALUE"""),"F 20ft Sea Ark (Easy 200) FL8534PY DEP21451")</f>
        <v>F 20ft Sea Ark (Easy 200) FL8534PY DEP21451</v>
      </c>
      <c r="M235" t="str">
        <f ca="1">IFERROR(__xludf.DUMMYFUNCTION("""COMPUTED_VALUE"""),"Ford F250 2017 (Moby Dix) - DEP0021578")</f>
        <v>Ford F250 2017 (Moby Dix) - DEP0021578</v>
      </c>
      <c r="N235" t="str">
        <f ca="1">IFERROR(__xludf.DUMMYFUNCTION("""COMPUTED_VALUE"""),"Nikki Dix, (352) 219-4079, Shannon Dunnigan, (803) 727-5734")</f>
        <v>Nikki Dix, (352) 219-4079, Shannon Dunnigan, (803) 727-5734</v>
      </c>
      <c r="P235" t="str">
        <f ca="1">IFERROR(__xludf.DUMMYFUNCTION("""COMPUTED_VALUE"""),"Shannon")</f>
        <v>Shannon</v>
      </c>
      <c r="Q235" t="str">
        <f ca="1">IFERROR(__xludf.DUMMYFUNCTION("""COMPUTED_VALUE"""),"Good")</f>
        <v>Good</v>
      </c>
      <c r="R235" t="str">
        <f ca="1">IFERROR(__xludf.DUMMYFUNCTION("""COMPUTED_VALUE"""),"Good")</f>
        <v>Good</v>
      </c>
      <c r="S235" t="str">
        <f ca="1">IFERROR(__xludf.DUMMYFUNCTION("""COMPUTED_VALUE"""),"Good")</f>
        <v>Good</v>
      </c>
      <c r="T235" t="str">
        <f ca="1">IFERROR(__xludf.DUMMYFUNCTION("""COMPUTED_VALUE"""),"Good")</f>
        <v>Good</v>
      </c>
      <c r="U235" t="str">
        <f ca="1">IFERROR(__xludf.DUMMYFUNCTION("""COMPUTED_VALUE"""),"Good")</f>
        <v>Good</v>
      </c>
      <c r="V235" t="str">
        <f ca="1">IFERROR(__xludf.DUMMYFUNCTION("""COMPUTED_VALUE"""),"Good")</f>
        <v>Good</v>
      </c>
      <c r="W235" t="str">
        <f ca="1">IFERROR(__xludf.DUMMYFUNCTION("""COMPUTED_VALUE"""),"Good")</f>
        <v>Good</v>
      </c>
      <c r="X235" t="str">
        <f ca="1">IFERROR(__xludf.DUMMYFUNCTION("""COMPUTED_VALUE"""),"Good")</f>
        <v>Good</v>
      </c>
      <c r="Y235" t="str">
        <f ca="1">IFERROR(__xludf.DUMMYFUNCTION("""COMPUTED_VALUE"""),"Good")</f>
        <v>Good</v>
      </c>
      <c r="Z235" t="str">
        <f ca="1">IFERROR(__xludf.DUMMYFUNCTION("""COMPUTED_VALUE"""),"Good")</f>
        <v>Good</v>
      </c>
      <c r="AA235" t="str">
        <f ca="1">IFERROR(__xludf.DUMMYFUNCTION("""COMPUTED_VALUE"""),"Good")</f>
        <v>Good</v>
      </c>
      <c r="AB235" t="str">
        <f ca="1">IFERROR(__xludf.DUMMYFUNCTION("""COMPUTED_VALUE"""),"Good")</f>
        <v>Good</v>
      </c>
      <c r="AC235" t="str">
        <f ca="1">IFERROR(__xludf.DUMMYFUNCTION("""COMPUTED_VALUE"""),"Good")</f>
        <v>Good</v>
      </c>
      <c r="AE235" s="11"/>
      <c r="AF235" t="str">
        <v>Nikki.Dix@floridadep.gov</v>
      </c>
      <c r="AG235" s="17" t="s">
        <v>54</v>
      </c>
      <c r="AH235" s="12" t="s">
        <v>278</v>
      </c>
      <c r="AI235" s="12" t="s">
        <v>649</v>
      </c>
      <c r="AJ235" s="19" t="s">
        <v>650</v>
      </c>
      <c r="AK235" s="20" t="str">
        <f>HYPERLINK("https://docs.google.com/document/d/14yTxW_f-O_a2XG44MuzS7iWl79ZZNjt9kb-KH_PVWqg/edit?usp=drivesdk","Shannon - 1/19/2019 11:00 AM")</f>
        <v>Shannon - 1/19/2019 11:00 AM</v>
      </c>
      <c r="AL235" s="12" t="s">
        <v>651</v>
      </c>
    </row>
    <row r="236" spans="1:38" ht="12.75">
      <c r="A236" s="10">
        <f ca="1">IFERROR(__xludf.DUMMYFUNCTION("""COMPUTED_VALUE"""),43483.5107411574)</f>
        <v>43483.510741157399</v>
      </c>
      <c r="B236" s="11" t="str">
        <f ca="1">IFERROR(__xludf.DUMMYFUNCTION("""COMPUTED_VALUE"""),"Kenneth is testing Hi Everyone!")</f>
        <v>Kenneth is testing Hi Everyone!</v>
      </c>
      <c r="C236" t="str">
        <f ca="1">IFERROR(__xludf.DUMMYFUNCTION("""COMPUTED_VALUE"""),"kennethcrainer@gmail.com")</f>
        <v>kennethcrainer@gmail.com</v>
      </c>
      <c r="D236" t="str">
        <f ca="1">IFERROR(__xludf.DUMMYFUNCTION("""COMPUTED_VALUE"""),"Research/Nikki")</f>
        <v>Research/Nikki</v>
      </c>
      <c r="E236" t="str">
        <f ca="1">IFERROR(__xludf.DUMMYFUNCTION("""COMPUTED_VALUE"""),"Aunt Kate's")</f>
        <v>Aunt Kate's</v>
      </c>
      <c r="F236" s="13">
        <f ca="1">IFERROR(__xludf.DUMMYFUNCTION("""COMPUTED_VALUE"""),0.354166666667879)</f>
        <v>0.35416666666787899</v>
      </c>
      <c r="G236" s="14">
        <f ca="1">IFERROR(__xludf.DUMMYFUNCTION("""COMPUTED_VALUE"""),43483)</f>
        <v>43483</v>
      </c>
      <c r="H236" t="str">
        <f ca="1">IFERROR(__xludf.DUMMYFUNCTION("""COMPUTED_VALUE"""),"North Guana River")</f>
        <v>North Guana River</v>
      </c>
      <c r="I236" s="15">
        <f ca="1">IFERROR(__xludf.DUMMYFUNCTION("""COMPUTED_VALUE"""),0.5)</f>
        <v>0.5</v>
      </c>
      <c r="J236" s="16">
        <f ca="1">IFERROR(__xludf.DUMMYFUNCTION("""COMPUTED_VALUE"""),43483.7083333333)</f>
        <v>43483.708333333299</v>
      </c>
      <c r="K236" t="str">
        <f ca="1">IFERROR(__xludf.DUMMYFUNCTION("""COMPUTED_VALUE"""),"F 20ft Sea Ark (Easy 200) FL8534PY DEP21451")</f>
        <v>F 20ft Sea Ark (Easy 200) FL8534PY DEP21451</v>
      </c>
      <c r="L236">
        <f ca="1">IFERROR(__xludf.DUMMYFUNCTION("""COMPUTED_VALUE"""),2)</f>
        <v>2</v>
      </c>
      <c r="M236" t="str">
        <f ca="1">IFERROR(__xludf.DUMMYFUNCTION("""COMPUTED_VALUE"""),"Ford F250 2017 (Moby Dix) - DEP0021578")</f>
        <v>Ford F250 2017 (Moby Dix) - DEP0021578</v>
      </c>
      <c r="N236" t="str">
        <f ca="1">IFERROR(__xludf.DUMMYFUNCTION("""COMPUTED_VALUE"""),"Nikki Dix, (352) 219-4079, Kenneth Rainer, (936) 499-1853")</f>
        <v>Nikki Dix, (352) 219-4079, Kenneth Rainer, (936) 499-1853</v>
      </c>
      <c r="O236" t="str">
        <f ca="1">IFERROR(__xludf.DUMMYFUNCTION("""COMPUTED_VALUE"""),"Benjamin Mowbray, (407) 962-8782, Kenneth Rainer, (936) 499-1853")</f>
        <v>Benjamin Mowbray, (407) 962-8782, Kenneth Rainer, (936) 499-1853</v>
      </c>
      <c r="P236" t="str">
        <f ca="1">IFERROR(__xludf.DUMMYFUNCTION("""COMPUTED_VALUE"""),"Captain Kenneth")</f>
        <v>Captain Kenneth</v>
      </c>
      <c r="Q236" t="str">
        <f ca="1">IFERROR(__xludf.DUMMYFUNCTION("""COMPUTED_VALUE"""),"Good")</f>
        <v>Good</v>
      </c>
      <c r="R236" t="str">
        <f ca="1">IFERROR(__xludf.DUMMYFUNCTION("""COMPUTED_VALUE"""),"Good")</f>
        <v>Good</v>
      </c>
      <c r="S236" t="str">
        <f ca="1">IFERROR(__xludf.DUMMYFUNCTION("""COMPUTED_VALUE"""),"Good")</f>
        <v>Good</v>
      </c>
      <c r="T236" t="str">
        <f ca="1">IFERROR(__xludf.DUMMYFUNCTION("""COMPUTED_VALUE"""),"Good")</f>
        <v>Good</v>
      </c>
      <c r="U236" t="str">
        <f ca="1">IFERROR(__xludf.DUMMYFUNCTION("""COMPUTED_VALUE"""),"Good")</f>
        <v>Good</v>
      </c>
      <c r="V236" t="str">
        <f ca="1">IFERROR(__xludf.DUMMYFUNCTION("""COMPUTED_VALUE"""),"Good")</f>
        <v>Good</v>
      </c>
      <c r="W236" t="str">
        <f ca="1">IFERROR(__xludf.DUMMYFUNCTION("""COMPUTED_VALUE"""),"Good")</f>
        <v>Good</v>
      </c>
      <c r="X236" t="str">
        <f ca="1">IFERROR(__xludf.DUMMYFUNCTION("""COMPUTED_VALUE"""),"Good")</f>
        <v>Good</v>
      </c>
      <c r="Y236" t="str">
        <f ca="1">IFERROR(__xludf.DUMMYFUNCTION("""COMPUTED_VALUE"""),"Good")</f>
        <v>Good</v>
      </c>
      <c r="Z236" t="str">
        <f ca="1">IFERROR(__xludf.DUMMYFUNCTION("""COMPUTED_VALUE"""),"Good")</f>
        <v>Good</v>
      </c>
      <c r="AA236" t="str">
        <f ca="1">IFERROR(__xludf.DUMMYFUNCTION("""COMPUTED_VALUE"""),"Good")</f>
        <v>Good</v>
      </c>
      <c r="AB236" t="str">
        <f ca="1">IFERROR(__xludf.DUMMYFUNCTION("""COMPUTED_VALUE"""),"Good")</f>
        <v>Good</v>
      </c>
      <c r="AC236" t="str">
        <f ca="1">IFERROR(__xludf.DUMMYFUNCTION("""COMPUTED_VALUE"""),"Good")</f>
        <v>Good</v>
      </c>
      <c r="AD236" t="str">
        <f ca="1">IFERROR(__xludf.DUMMYFUNCTION("""COMPUTED_VALUE"""),"It's beautiful -- shame this is only a test")</f>
        <v>It's beautiful -- shame this is only a test</v>
      </c>
      <c r="AE236" s="11" t="str">
        <f ca="1">IFERROR(__xludf.DUMMYFUNCTION("""COMPUTED_VALUE"""),"nuisance flooding all over")</f>
        <v>nuisance flooding all over</v>
      </c>
      <c r="AF236" t="str">
        <v>Nikki.Dix@floridadep.gov</v>
      </c>
      <c r="AG236" s="17" t="s">
        <v>54</v>
      </c>
      <c r="AH236" s="12" t="s">
        <v>278</v>
      </c>
      <c r="AI236" s="12" t="s">
        <v>652</v>
      </c>
      <c r="AJ236" s="19" t="s">
        <v>653</v>
      </c>
      <c r="AK236" s="20" t="str">
        <f>HYPERLINK("https://docs.google.com/document/d/1Sid9zj_P_dXtirRpSMOa44APDNbBmBxfUhLaW12NacM/edit?usp=drivesdk","Kenneth is testing Hi Everyone! - 1/18/2019 8:30 AM")</f>
        <v>Kenneth is testing Hi Everyone! - 1/18/2019 8:30 AM</v>
      </c>
      <c r="AL236" s="12" t="s">
        <v>654</v>
      </c>
    </row>
    <row r="237" spans="1:38" ht="12.75">
      <c r="A237" s="10">
        <f ca="1">IFERROR(__xludf.DUMMYFUNCTION("""COMPUTED_VALUE"""),43486.6418071064)</f>
        <v>43486.641807106404</v>
      </c>
      <c r="B237" s="11" t="str">
        <f ca="1">IFERROR(__xludf.DUMMYFUNCTION("""COMPUTED_VALUE"""),"James Tomazinis")</f>
        <v>James Tomazinis</v>
      </c>
      <c r="C237" t="str">
        <f ca="1">IFERROR(__xludf.DUMMYFUNCTION("""COMPUTED_VALUE"""),"james.tomazinis@floridadep.gov")</f>
        <v>james.tomazinis@floridadep.gov</v>
      </c>
      <c r="D237" t="str">
        <f ca="1">IFERROR(__xludf.DUMMYFUNCTION("""COMPUTED_VALUE"""),"Stewardship (Aquatic)")</f>
        <v>Stewardship (Aquatic)</v>
      </c>
      <c r="E237" t="str">
        <f ca="1">IFERROR(__xludf.DUMMYFUNCTION("""COMPUTED_VALUE"""),"Guana Dam")</f>
        <v>Guana Dam</v>
      </c>
      <c r="F237" s="13">
        <f ca="1">IFERROR(__xludf.DUMMYFUNCTION("""COMPUTED_VALUE"""),0.42708333333212)</f>
        <v>0.42708333333212001</v>
      </c>
      <c r="G237" s="14">
        <f ca="1">IFERROR(__xludf.DUMMYFUNCTION("""COMPUTED_VALUE"""),43487)</f>
        <v>43487</v>
      </c>
      <c r="H237" t="str">
        <f ca="1">IFERROR(__xludf.DUMMYFUNCTION("""COMPUTED_VALUE"""),"Guana River WQ sites")</f>
        <v>Guana River WQ sites</v>
      </c>
      <c r="I237" s="15">
        <f ca="1">IFERROR(__xludf.DUMMYFUNCTION("""COMPUTED_VALUE"""),0.472222222222626)</f>
        <v>0.472222222222626</v>
      </c>
      <c r="J237" s="16"/>
      <c r="K237" t="str">
        <f ca="1">IFERROR(__xludf.DUMMYFUNCTION("""COMPUTED_VALUE"""),"Jon Boat FL0484NP DEP06819")</f>
        <v>Jon Boat FL0484NP DEP06819</v>
      </c>
      <c r="M237" t="str">
        <f ca="1">IFERROR(__xludf.DUMMYFUNCTION("""COMPUTED_VALUE"""),"Ford F150 2015 (White) - DEP21448")</f>
        <v>Ford F150 2015 (White) - DEP21448</v>
      </c>
      <c r="N237" t="str">
        <f ca="1">IFERROR(__xludf.DUMMYFUNCTION("""COMPUTED_VALUE"""),"Jimmy Tomazinis, (904) 547-0094")</f>
        <v>Jimmy Tomazinis, (904) 547-0094</v>
      </c>
      <c r="O237" t="str">
        <f ca="1">IFERROR(__xludf.DUMMYFUNCTION("""COMPUTED_VALUE"""),"Jessica Lee")</f>
        <v>Jessica Lee</v>
      </c>
      <c r="P237" t="str">
        <f ca="1">IFERROR(__xludf.DUMMYFUNCTION("""COMPUTED_VALUE"""),"Jimmy")</f>
        <v>Jimmy</v>
      </c>
      <c r="Q237" t="str">
        <f ca="1">IFERROR(__xludf.DUMMYFUNCTION("""COMPUTED_VALUE"""),"Good")</f>
        <v>Good</v>
      </c>
      <c r="R237" t="str">
        <f ca="1">IFERROR(__xludf.DUMMYFUNCTION("""COMPUTED_VALUE"""),"Good")</f>
        <v>Good</v>
      </c>
      <c r="S237" t="str">
        <f ca="1">IFERROR(__xludf.DUMMYFUNCTION("""COMPUTED_VALUE"""),"Good")</f>
        <v>Good</v>
      </c>
      <c r="T237" t="str">
        <f ca="1">IFERROR(__xludf.DUMMYFUNCTION("""COMPUTED_VALUE"""),"Good")</f>
        <v>Good</v>
      </c>
      <c r="U237" t="str">
        <f ca="1">IFERROR(__xludf.DUMMYFUNCTION("""COMPUTED_VALUE"""),"Good")</f>
        <v>Good</v>
      </c>
      <c r="V237" t="str">
        <f ca="1">IFERROR(__xludf.DUMMYFUNCTION("""COMPUTED_VALUE"""),"Good")</f>
        <v>Good</v>
      </c>
      <c r="W237" t="str">
        <f ca="1">IFERROR(__xludf.DUMMYFUNCTION("""COMPUTED_VALUE"""),"Good")</f>
        <v>Good</v>
      </c>
      <c r="X237" t="str">
        <f ca="1">IFERROR(__xludf.DUMMYFUNCTION("""COMPUTED_VALUE"""),"Good")</f>
        <v>Good</v>
      </c>
      <c r="Y237" t="str">
        <f ca="1">IFERROR(__xludf.DUMMYFUNCTION("""COMPUTED_VALUE"""),"Good")</f>
        <v>Good</v>
      </c>
      <c r="Z237" t="str">
        <f ca="1">IFERROR(__xludf.DUMMYFUNCTION("""COMPUTED_VALUE"""),"Good")</f>
        <v>Good</v>
      </c>
      <c r="AA237" t="str">
        <f ca="1">IFERROR(__xludf.DUMMYFUNCTION("""COMPUTED_VALUE"""),"Good")</f>
        <v>Good</v>
      </c>
      <c r="AB237" t="str">
        <f ca="1">IFERROR(__xludf.DUMMYFUNCTION("""COMPUTED_VALUE"""),"Good")</f>
        <v>Good</v>
      </c>
      <c r="AC237" t="str">
        <f ca="1">IFERROR(__xludf.DUMMYFUNCTION("""COMPUTED_VALUE"""),"Good")</f>
        <v>Good</v>
      </c>
      <c r="AE237" s="11"/>
      <c r="AF237" t="str">
        <v>Scott.Eastman@floridadep.gov</v>
      </c>
      <c r="AG237" s="17" t="s">
        <v>17</v>
      </c>
      <c r="AH237" s="12">
        <v>1220</v>
      </c>
      <c r="AI237" s="12" t="s">
        <v>655</v>
      </c>
      <c r="AJ237" s="19" t="s">
        <v>656</v>
      </c>
      <c r="AK237" s="20" t="str">
        <f>HYPERLINK("https://docs.google.com/document/d/1XZEg-gWWPTOj9opQYdpz_9DxyzyU6y5Gp45RZpWYD4Q/edit?usp=drivesdk","James Tomazinis - 1/22/2019 10:15 AM")</f>
        <v>James Tomazinis - 1/22/2019 10:15 AM</v>
      </c>
      <c r="AL237" s="12" t="s">
        <v>657</v>
      </c>
    </row>
    <row r="238" spans="1:38" ht="12.75">
      <c r="A238" s="10">
        <f ca="1">IFERROR(__xludf.DUMMYFUNCTION("""COMPUTED_VALUE"""),43487.3310231944)</f>
        <v>43487.331023194398</v>
      </c>
      <c r="B238" s="11" t="str">
        <f ca="1">IFERROR(__xludf.DUMMYFUNCTION("""COMPUTED_VALUE"""),"Silas Tanner")</f>
        <v>Silas Tanner</v>
      </c>
      <c r="C238" t="str">
        <f ca="1">IFERROR(__xludf.DUMMYFUNCTION("""COMPUTED_VALUE"""),"Silas.Tanner@floridadep.gov")</f>
        <v>Silas.Tanner@floridadep.gov</v>
      </c>
      <c r="D238" t="str">
        <f ca="1">IFERROR(__xludf.DUMMYFUNCTION("""COMPUTED_VALUE"""),"Research/Nikki")</f>
        <v>Research/Nikki</v>
      </c>
      <c r="E238" t="str">
        <f ca="1">IFERROR(__xludf.DUMMYFUNCTION("""COMPUTED_VALUE"""),"Vilano Landing")</f>
        <v>Vilano Landing</v>
      </c>
      <c r="F238" s="13">
        <f ca="1">IFERROR(__xludf.DUMMYFUNCTION("""COMPUTED_VALUE"""),0.340277777777373)</f>
        <v>0.340277777777373</v>
      </c>
      <c r="G238" s="14">
        <f ca="1">IFERROR(__xludf.DUMMYFUNCTION("""COMPUTED_VALUE"""),43487)</f>
        <v>43487</v>
      </c>
      <c r="H238" t="str">
        <f ca="1">IFERROR(__xludf.DUMMYFUNCTION("""COMPUTED_VALUE"""),"ICW SWMP sites")</f>
        <v>ICW SWMP sites</v>
      </c>
      <c r="I238" s="15">
        <f ca="1">IFERROR(__xludf.DUMMYFUNCTION("""COMPUTED_VALUE"""),0.541666666667879)</f>
        <v>0.54166666666787899</v>
      </c>
      <c r="J238" s="16">
        <f ca="1">IFERROR(__xludf.DUMMYFUNCTION("""COMPUTED_VALUE"""),43487.5625)</f>
        <v>43487.5625</v>
      </c>
      <c r="K238" t="str">
        <f ca="1">IFERROR(__xludf.DUMMYFUNCTION("""COMPUTED_VALUE"""),"23ft Skiff (Bertha) FL7972LJ DEP07613")</f>
        <v>23ft Skiff (Bertha) FL7972LJ DEP07613</v>
      </c>
      <c r="M238" t="str">
        <f ca="1">IFERROR(__xludf.DUMMYFUNCTION("""COMPUTED_VALUE"""),"Ford F150 2008 - DEP18041 (SWMP Thing)")</f>
        <v>Ford F150 2008 - DEP18041 (SWMP Thing)</v>
      </c>
      <c r="N238" t="str">
        <f ca="1">IFERROR(__xludf.DUMMYFUNCTION("""COMPUTED_VALUE"""),"Nikki Dix, (352) 219-4079, Silas Tanner, (904) 483-8423, Ben Mowbray, (407) 962-8782")</f>
        <v>Nikki Dix, (352) 219-4079, Silas Tanner, (904) 483-8423, Ben Mowbray, (407) 962-8782</v>
      </c>
      <c r="P238" t="str">
        <f ca="1">IFERROR(__xludf.DUMMYFUNCTION("""COMPUTED_VALUE"""),"B. Mowbray")</f>
        <v>B. Mowbray</v>
      </c>
      <c r="Q238" t="str">
        <f ca="1">IFERROR(__xludf.DUMMYFUNCTION("""COMPUTED_VALUE"""),"Good")</f>
        <v>Good</v>
      </c>
      <c r="R238" t="str">
        <f ca="1">IFERROR(__xludf.DUMMYFUNCTION("""COMPUTED_VALUE"""),"Good")</f>
        <v>Good</v>
      </c>
      <c r="S238" t="str">
        <f ca="1">IFERROR(__xludf.DUMMYFUNCTION("""COMPUTED_VALUE"""),"Good")</f>
        <v>Good</v>
      </c>
      <c r="T238" t="str">
        <f ca="1">IFERROR(__xludf.DUMMYFUNCTION("""COMPUTED_VALUE"""),"Good")</f>
        <v>Good</v>
      </c>
      <c r="U238" t="str">
        <f ca="1">IFERROR(__xludf.DUMMYFUNCTION("""COMPUTED_VALUE"""),"Good")</f>
        <v>Good</v>
      </c>
      <c r="V238" t="str">
        <f ca="1">IFERROR(__xludf.DUMMYFUNCTION("""COMPUTED_VALUE"""),"Good")</f>
        <v>Good</v>
      </c>
      <c r="W238" t="str">
        <f ca="1">IFERROR(__xludf.DUMMYFUNCTION("""COMPUTED_VALUE"""),"Good")</f>
        <v>Good</v>
      </c>
      <c r="X238" t="str">
        <f ca="1">IFERROR(__xludf.DUMMYFUNCTION("""COMPUTED_VALUE"""),"Good")</f>
        <v>Good</v>
      </c>
      <c r="Y238" t="str">
        <f ca="1">IFERROR(__xludf.DUMMYFUNCTION("""COMPUTED_VALUE"""),"Good")</f>
        <v>Good</v>
      </c>
      <c r="Z238" t="str">
        <f ca="1">IFERROR(__xludf.DUMMYFUNCTION("""COMPUTED_VALUE"""),"Good")</f>
        <v>Good</v>
      </c>
      <c r="AA238" t="str">
        <f ca="1">IFERROR(__xludf.DUMMYFUNCTION("""COMPUTED_VALUE"""),"Good")</f>
        <v>Good</v>
      </c>
      <c r="AB238" t="str">
        <f ca="1">IFERROR(__xludf.DUMMYFUNCTION("""COMPUTED_VALUE"""),"Good")</f>
        <v>Good</v>
      </c>
      <c r="AC238" t="str">
        <f ca="1">IFERROR(__xludf.DUMMYFUNCTION("""COMPUTED_VALUE"""),"Good")</f>
        <v>Good</v>
      </c>
      <c r="AE238" s="11"/>
      <c r="AF238" t="str">
        <v>Nikki.Dix@floridadep.gov</v>
      </c>
      <c r="AG238" s="17" t="s">
        <v>17</v>
      </c>
      <c r="AH238" s="12">
        <v>1305</v>
      </c>
      <c r="AI238" s="12" t="s">
        <v>658</v>
      </c>
      <c r="AJ238" s="19" t="s">
        <v>659</v>
      </c>
      <c r="AK238" s="20" t="str">
        <f>HYPERLINK("https://docs.google.com/document/d/14k-y4LM7_8qVmY3d7q2kykDV05hX-vJ64NitEnXnQnc/edit?usp=drivesdk","Silas Tanner - 1/22/2019 8:10 AM")</f>
        <v>Silas Tanner - 1/22/2019 8:10 AM</v>
      </c>
      <c r="AL238" s="12" t="s">
        <v>660</v>
      </c>
    </row>
    <row r="239" spans="1:38" ht="12.75">
      <c r="A239" s="10">
        <f ca="1">IFERROR(__xludf.DUMMYFUNCTION("""COMPUTED_VALUE"""),43488.3618511458)</f>
        <v>43488.361851145797</v>
      </c>
      <c r="B239" s="11" t="str">
        <f ca="1">IFERROR(__xludf.DUMMYFUNCTION("""COMPUTED_VALUE"""),"james tomazinis")</f>
        <v>james tomazinis</v>
      </c>
      <c r="C239" t="str">
        <f ca="1">IFERROR(__xludf.DUMMYFUNCTION("""COMPUTED_VALUE"""),"james.tomazinis@dep.state.fl.us")</f>
        <v>james.tomazinis@dep.state.fl.us</v>
      </c>
      <c r="D239" t="str">
        <f ca="1">IFERROR(__xludf.DUMMYFUNCTION("""COMPUTED_VALUE"""),"Stewardship (Aquatic)")</f>
        <v>Stewardship (Aquatic)</v>
      </c>
      <c r="E239" t="str">
        <f ca="1">IFERROR(__xludf.DUMMYFUNCTION("""COMPUTED_VALUE"""),"Vilano")</f>
        <v>Vilano</v>
      </c>
      <c r="F239" s="13">
        <f ca="1">IFERROR(__xludf.DUMMYFUNCTION("""COMPUTED_VALUE"""),0.375)</f>
        <v>0.375</v>
      </c>
      <c r="G239" s="14">
        <f ca="1">IFERROR(__xludf.DUMMYFUNCTION("""COMPUTED_VALUE"""),43488)</f>
        <v>43488</v>
      </c>
      <c r="H239" t="str">
        <f ca="1">IFERROR(__xludf.DUMMYFUNCTION("""COMPUTED_VALUE"""),"Matanzas river nekton sites")</f>
        <v>Matanzas river nekton sites</v>
      </c>
      <c r="I239" s="15">
        <f ca="1">IFERROR(__xludf.DUMMYFUNCTION("""COMPUTED_VALUE"""),0.1875)</f>
        <v>0.1875</v>
      </c>
      <c r="J239" s="16"/>
      <c r="K239" t="str">
        <f ca="1">IFERROR(__xludf.DUMMYFUNCTION("""COMPUTED_VALUE"""),"23ft Skiff (Bertha) FL7972LJ DEP07613")</f>
        <v>23ft Skiff (Bertha) FL7972LJ DEP07613</v>
      </c>
      <c r="M239" t="str">
        <f ca="1">IFERROR(__xludf.DUMMYFUNCTION("""COMPUTED_VALUE"""),"Ford F150 2008 - DEP18041 (SWMP Thing)")</f>
        <v>Ford F150 2008 - DEP18041 (SWMP Thing)</v>
      </c>
      <c r="N239" t="str">
        <f ca="1">IFERROR(__xludf.DUMMYFUNCTION("""COMPUTED_VALUE"""),"Jimmy Tomazinis, (904) 547-0094, Rueben Allen")</f>
        <v>Jimmy Tomazinis, (904) 547-0094, Rueben Allen</v>
      </c>
      <c r="O239" t="str">
        <f ca="1">IFERROR(__xludf.DUMMYFUNCTION("""COMPUTED_VALUE"""),"Jeff Finnan, Abi Tabor, Cassie Picard")</f>
        <v>Jeff Finnan, Abi Tabor, Cassie Picard</v>
      </c>
      <c r="P239" t="str">
        <f ca="1">IFERROR(__xludf.DUMMYFUNCTION("""COMPUTED_VALUE"""),"Jimmy")</f>
        <v>Jimmy</v>
      </c>
      <c r="Q239" t="str">
        <f ca="1">IFERROR(__xludf.DUMMYFUNCTION("""COMPUTED_VALUE"""),"Good")</f>
        <v>Good</v>
      </c>
      <c r="R239" t="str">
        <f ca="1">IFERROR(__xludf.DUMMYFUNCTION("""COMPUTED_VALUE"""),"Good")</f>
        <v>Good</v>
      </c>
      <c r="S239" t="str">
        <f ca="1">IFERROR(__xludf.DUMMYFUNCTION("""COMPUTED_VALUE"""),"Good")</f>
        <v>Good</v>
      </c>
      <c r="T239" t="str">
        <f ca="1">IFERROR(__xludf.DUMMYFUNCTION("""COMPUTED_VALUE"""),"Good")</f>
        <v>Good</v>
      </c>
      <c r="U239" t="str">
        <f ca="1">IFERROR(__xludf.DUMMYFUNCTION("""COMPUTED_VALUE"""),"Good")</f>
        <v>Good</v>
      </c>
      <c r="V239" t="str">
        <f ca="1">IFERROR(__xludf.DUMMYFUNCTION("""COMPUTED_VALUE"""),"Good")</f>
        <v>Good</v>
      </c>
      <c r="W239" t="str">
        <f ca="1">IFERROR(__xludf.DUMMYFUNCTION("""COMPUTED_VALUE"""),"Good")</f>
        <v>Good</v>
      </c>
      <c r="X239" t="str">
        <f ca="1">IFERROR(__xludf.DUMMYFUNCTION("""COMPUTED_VALUE"""),"Good")</f>
        <v>Good</v>
      </c>
      <c r="Y239" t="str">
        <f ca="1">IFERROR(__xludf.DUMMYFUNCTION("""COMPUTED_VALUE"""),"Good")</f>
        <v>Good</v>
      </c>
      <c r="Z239" t="str">
        <f ca="1">IFERROR(__xludf.DUMMYFUNCTION("""COMPUTED_VALUE"""),"Good")</f>
        <v>Good</v>
      </c>
      <c r="AA239" t="str">
        <f ca="1">IFERROR(__xludf.DUMMYFUNCTION("""COMPUTED_VALUE"""),"Good")</f>
        <v>Good</v>
      </c>
      <c r="AB239" t="str">
        <f ca="1">IFERROR(__xludf.DUMMYFUNCTION("""COMPUTED_VALUE"""),"Good")</f>
        <v>Good</v>
      </c>
      <c r="AC239" t="str">
        <f ca="1">IFERROR(__xludf.DUMMYFUNCTION("""COMPUTED_VALUE"""),"Good")</f>
        <v>Good</v>
      </c>
      <c r="AE239" s="11"/>
      <c r="AF239" t="str">
        <v>Scott.Eastman@floridadep.gov</v>
      </c>
      <c r="AG239" s="18"/>
      <c r="AI239" s="12" t="s">
        <v>661</v>
      </c>
      <c r="AJ239" s="19" t="s">
        <v>662</v>
      </c>
      <c r="AK239" s="20" t="str">
        <f>HYPERLINK("https://docs.google.com/document/d/1VxyoSgDSUY1xZ5RK1eus2n0CN5AUTnIlYoMgzyp0JHQ/edit?usp=drivesdk","james tomazinis - 1/23/2019 9:00 AM")</f>
        <v>james tomazinis - 1/23/2019 9:00 AM</v>
      </c>
      <c r="AL239" s="12" t="s">
        <v>663</v>
      </c>
    </row>
    <row r="240" spans="1:38" ht="12.75">
      <c r="A240" s="10">
        <f ca="1">IFERROR(__xludf.DUMMYFUNCTION("""COMPUTED_VALUE"""),43489.4158611458)</f>
        <v>43489.415861145797</v>
      </c>
      <c r="B240" s="11" t="str">
        <f ca="1">IFERROR(__xludf.DUMMYFUNCTION("""COMPUTED_VALUE"""),"Pamela Marcum")</f>
        <v>Pamela Marcum</v>
      </c>
      <c r="C240" t="str">
        <f ca="1">IFERROR(__xludf.DUMMYFUNCTION("""COMPUTED_VALUE"""),"pamela.marcum@dep.state.fl.us")</f>
        <v>pamela.marcum@dep.state.fl.us</v>
      </c>
      <c r="D240" t="str">
        <f ca="1">IFERROR(__xludf.DUMMYFUNCTION("""COMPUTED_VALUE"""),"Administration")</f>
        <v>Administration</v>
      </c>
      <c r="E240" t="str">
        <f ca="1">IFERROR(__xludf.DUMMYFUNCTION("""COMPUTED_VALUE"""),"Faver Dykes")</f>
        <v>Faver Dykes</v>
      </c>
      <c r="F240" s="13">
        <f ca="1">IFERROR(__xludf.DUMMYFUNCTION("""COMPUTED_VALUE"""),0.42708333333212)</f>
        <v>0.42708333333212001</v>
      </c>
      <c r="G240" s="14">
        <f ca="1">IFERROR(__xludf.DUMMYFUNCTION("""COMPUTED_VALUE"""),43489)</f>
        <v>43489</v>
      </c>
      <c r="H240" t="str">
        <f ca="1">IFERROR(__xludf.DUMMYFUNCTION("""COMPUTED_VALUE"""),"Pellicer Creek")</f>
        <v>Pellicer Creek</v>
      </c>
      <c r="I240" s="15">
        <f ca="1">IFERROR(__xludf.DUMMYFUNCTION("""COMPUTED_VALUE"""),0.52083333333212)</f>
        <v>0.52083333333212001</v>
      </c>
      <c r="J240" s="16">
        <f ca="1">IFERROR(__xludf.DUMMYFUNCTION("""COMPUTED_VALUE"""),43489.5625)</f>
        <v>43489.5625</v>
      </c>
      <c r="K240" t="str">
        <f ca="1">IFERROR(__xludf.DUMMYFUNCTION("""COMPUTED_VALUE"""),"F 20ft Sea Ark (Easy 200) FL8534PY DEP21451")</f>
        <v>F 20ft Sea Ark (Easy 200) FL8534PY DEP21451</v>
      </c>
      <c r="M240" t="str">
        <f ca="1">IFERROR(__xludf.DUMMYFUNCTION("""COMPUTED_VALUE"""),"Ford F250 2017 (Moby Dix) - DEP0021578")</f>
        <v>Ford F250 2017 (Moby Dix) - DEP0021578</v>
      </c>
      <c r="N240" t="str">
        <f ca="1">IFERROR(__xludf.DUMMYFUNCTION("""COMPUTED_VALUE"""),"Nikki Dix, (352) 219-4079, Scott Eastman, (904) 501-9267, Pam Marcum, (480) 332-5414, Ben Mowbray, (407) 962-8782")</f>
        <v>Nikki Dix, (352) 219-4079, Scott Eastman, (904) 501-9267, Pam Marcum, (480) 332-5414, Ben Mowbray, (407) 962-8782</v>
      </c>
      <c r="P240" t="str">
        <f ca="1">IFERROR(__xludf.DUMMYFUNCTION("""COMPUTED_VALUE"""),"Ben")</f>
        <v>Ben</v>
      </c>
      <c r="Q240" t="str">
        <f ca="1">IFERROR(__xludf.DUMMYFUNCTION("""COMPUTED_VALUE"""),"Good")</f>
        <v>Good</v>
      </c>
      <c r="R240" t="str">
        <f ca="1">IFERROR(__xludf.DUMMYFUNCTION("""COMPUTED_VALUE"""),"Good")</f>
        <v>Good</v>
      </c>
      <c r="S240" t="str">
        <f ca="1">IFERROR(__xludf.DUMMYFUNCTION("""COMPUTED_VALUE"""),"Good")</f>
        <v>Good</v>
      </c>
      <c r="T240" t="str">
        <f ca="1">IFERROR(__xludf.DUMMYFUNCTION("""COMPUTED_VALUE"""),"Good")</f>
        <v>Good</v>
      </c>
      <c r="U240" t="str">
        <f ca="1">IFERROR(__xludf.DUMMYFUNCTION("""COMPUTED_VALUE"""),"Good")</f>
        <v>Good</v>
      </c>
      <c r="V240" t="str">
        <f ca="1">IFERROR(__xludf.DUMMYFUNCTION("""COMPUTED_VALUE"""),"Good")</f>
        <v>Good</v>
      </c>
      <c r="W240" t="str">
        <f ca="1">IFERROR(__xludf.DUMMYFUNCTION("""COMPUTED_VALUE"""),"Good")</f>
        <v>Good</v>
      </c>
      <c r="X240" t="str">
        <f ca="1">IFERROR(__xludf.DUMMYFUNCTION("""COMPUTED_VALUE"""),"Good")</f>
        <v>Good</v>
      </c>
      <c r="Y240" t="str">
        <f ca="1">IFERROR(__xludf.DUMMYFUNCTION("""COMPUTED_VALUE"""),"Good")</f>
        <v>Good</v>
      </c>
      <c r="Z240" t="str">
        <f ca="1">IFERROR(__xludf.DUMMYFUNCTION("""COMPUTED_VALUE"""),"Good")</f>
        <v>Good</v>
      </c>
      <c r="AA240" t="str">
        <f ca="1">IFERROR(__xludf.DUMMYFUNCTION("""COMPUTED_VALUE"""),"Good")</f>
        <v>Good</v>
      </c>
      <c r="AB240" t="str">
        <f ca="1">IFERROR(__xludf.DUMMYFUNCTION("""COMPUTED_VALUE"""),"Good")</f>
        <v>Good</v>
      </c>
      <c r="AC240" t="str">
        <f ca="1">IFERROR(__xludf.DUMMYFUNCTION("""COMPUTED_VALUE"""),"Good")</f>
        <v>Good</v>
      </c>
      <c r="AE240" s="11"/>
      <c r="AF240" t="str">
        <v>Lia.Sansom@floridadep.gov</v>
      </c>
      <c r="AG240" s="17" t="s">
        <v>17</v>
      </c>
      <c r="AH240" s="12">
        <v>1250</v>
      </c>
      <c r="AI240" s="12" t="s">
        <v>664</v>
      </c>
      <c r="AJ240" s="19" t="s">
        <v>665</v>
      </c>
      <c r="AK240" s="20" t="str">
        <f>HYPERLINK("https://docs.google.com/document/d/1ySdWIilTOg-yyMQjktbgZWwdRIY5MumEp3vG29GzdsE/edit?usp=drivesdk","Pamela Marcum - 1/24/2019 10:15 AM")</f>
        <v>Pamela Marcum - 1/24/2019 10:15 AM</v>
      </c>
      <c r="AL240" s="12" t="s">
        <v>666</v>
      </c>
    </row>
    <row r="241" spans="1:38" ht="12.75">
      <c r="A241" s="10">
        <f ca="1">IFERROR(__xludf.DUMMYFUNCTION("""COMPUTED_VALUE"""),43496.2930394328)</f>
        <v>43496.2930394328</v>
      </c>
      <c r="B241" s="11" t="str">
        <f ca="1">IFERROR(__xludf.DUMMYFUNCTION("""COMPUTED_VALUE"""),"Ben Mowbray")</f>
        <v>Ben Mowbray</v>
      </c>
      <c r="C241" t="str">
        <f ca="1">IFERROR(__xludf.DUMMYFUNCTION("""COMPUTED_VALUE"""),"ben.mowbray@dep.state.fl.us")</f>
        <v>ben.mowbray@dep.state.fl.us</v>
      </c>
      <c r="D241" t="str">
        <f ca="1">IFERROR(__xludf.DUMMYFUNCTION("""COMPUTED_VALUE"""),"Research/Shannon")</f>
        <v>Research/Shannon</v>
      </c>
      <c r="E241" t="str">
        <f ca="1">IFERROR(__xludf.DUMMYFUNCTION("""COMPUTED_VALUE"""),"Light House, Green Rd., Bing's")</f>
        <v>Light House, Green Rd., Bing's</v>
      </c>
      <c r="F241" s="13">
        <f ca="1">IFERROR(__xludf.DUMMYFUNCTION("""COMPUTED_VALUE"""),0.416666666667879)</f>
        <v>0.41666666666787899</v>
      </c>
      <c r="G241" s="14">
        <f ca="1">IFERROR(__xludf.DUMMYFUNCTION("""COMPUTED_VALUE"""),43486)</f>
        <v>43486</v>
      </c>
      <c r="H241" t="str">
        <f ca="1">IFERROR(__xludf.DUMMYFUNCTION("""COMPUTED_VALUE"""),"Southern Spat Run")</f>
        <v>Southern Spat Run</v>
      </c>
      <c r="I241" s="15">
        <f ca="1">IFERROR(__xludf.DUMMYFUNCTION("""COMPUTED_VALUE"""),0.625)</f>
        <v>0.625</v>
      </c>
      <c r="J241" s="16">
        <f ca="1">IFERROR(__xludf.DUMMYFUNCTION("""COMPUTED_VALUE"""),43496.7083333333)</f>
        <v>43496.708333333299</v>
      </c>
      <c r="K241" t="str">
        <f ca="1">IFERROR(__xludf.DUMMYFUNCTION("""COMPUTED_VALUE"""),"23ft Skiff (Bertha) FL7972LJ DEP07613")</f>
        <v>23ft Skiff (Bertha) FL7972LJ DEP07613</v>
      </c>
      <c r="M241" t="str">
        <f ca="1">IFERROR(__xludf.DUMMYFUNCTION("""COMPUTED_VALUE"""),"Ford F250 2017 (Moby Dix) - DEP0021578")</f>
        <v>Ford F250 2017 (Moby Dix) - DEP0021578</v>
      </c>
      <c r="N241" t="str">
        <f ca="1">IFERROR(__xludf.DUMMYFUNCTION("""COMPUTED_VALUE"""),"Ben Mowbray, (407) 962-8782")</f>
        <v>Ben Mowbray, (407) 962-8782</v>
      </c>
      <c r="O241" t="str">
        <f ca="1">IFERROR(__xludf.DUMMYFUNCTION("""COMPUTED_VALUE"""),"Greg Wilson")</f>
        <v>Greg Wilson</v>
      </c>
      <c r="P241" t="str">
        <f ca="1">IFERROR(__xludf.DUMMYFUNCTION("""COMPUTED_VALUE"""),"Ben")</f>
        <v>Ben</v>
      </c>
      <c r="Q241" t="str">
        <f ca="1">IFERROR(__xludf.DUMMYFUNCTION("""COMPUTED_VALUE"""),"Good")</f>
        <v>Good</v>
      </c>
      <c r="R241" t="str">
        <f ca="1">IFERROR(__xludf.DUMMYFUNCTION("""COMPUTED_VALUE"""),"Good")</f>
        <v>Good</v>
      </c>
      <c r="S241" t="str">
        <f ca="1">IFERROR(__xludf.DUMMYFUNCTION("""COMPUTED_VALUE"""),"Good")</f>
        <v>Good</v>
      </c>
      <c r="T241" t="str">
        <f ca="1">IFERROR(__xludf.DUMMYFUNCTION("""COMPUTED_VALUE"""),"Good")</f>
        <v>Good</v>
      </c>
      <c r="U241" t="str">
        <f ca="1">IFERROR(__xludf.DUMMYFUNCTION("""COMPUTED_VALUE"""),"Good")</f>
        <v>Good</v>
      </c>
      <c r="V241" t="str">
        <f ca="1">IFERROR(__xludf.DUMMYFUNCTION("""COMPUTED_VALUE"""),"Good")</f>
        <v>Good</v>
      </c>
      <c r="W241" t="str">
        <f ca="1">IFERROR(__xludf.DUMMYFUNCTION("""COMPUTED_VALUE"""),"Good")</f>
        <v>Good</v>
      </c>
      <c r="X241" t="str">
        <f ca="1">IFERROR(__xludf.DUMMYFUNCTION("""COMPUTED_VALUE"""),"Good")</f>
        <v>Good</v>
      </c>
      <c r="Y241" t="str">
        <f ca="1">IFERROR(__xludf.DUMMYFUNCTION("""COMPUTED_VALUE"""),"Good")</f>
        <v>Good</v>
      </c>
      <c r="Z241" t="str">
        <f ca="1">IFERROR(__xludf.DUMMYFUNCTION("""COMPUTED_VALUE"""),"Good")</f>
        <v>Good</v>
      </c>
      <c r="AA241" t="str">
        <f ca="1">IFERROR(__xludf.DUMMYFUNCTION("""COMPUTED_VALUE"""),"Good")</f>
        <v>Good</v>
      </c>
      <c r="AB241" t="str">
        <f ca="1">IFERROR(__xludf.DUMMYFUNCTION("""COMPUTED_VALUE"""),"Good")</f>
        <v>Good</v>
      </c>
      <c r="AC241" t="str">
        <f ca="1">IFERROR(__xludf.DUMMYFUNCTION("""COMPUTED_VALUE"""),"Good")</f>
        <v>Good</v>
      </c>
      <c r="AE241" s="11"/>
      <c r="AF241" t="str">
        <v>Shannon.Dunnigan@floridadep.gov</v>
      </c>
      <c r="AG241" s="17" t="s">
        <v>41</v>
      </c>
      <c r="AH241" s="12">
        <v>1700</v>
      </c>
      <c r="AI241" s="12" t="s">
        <v>667</v>
      </c>
      <c r="AJ241" s="19" t="s">
        <v>668</v>
      </c>
      <c r="AK241" s="20" t="str">
        <f>HYPERLINK("https://docs.google.com/document/d/1CUCpLehHRWB0zqBa_QILwFpQoJRVitx2XHWrEXyFSLw/edit?usp=drivesdk","Ben Mowbray - 1/21/2019 10:00 AM")</f>
        <v>Ben Mowbray - 1/21/2019 10:00 AM</v>
      </c>
      <c r="AL241" s="12" t="s">
        <v>669</v>
      </c>
    </row>
    <row r="242" spans="1:38" ht="12.75">
      <c r="A242" s="10">
        <f ca="1">IFERROR(__xludf.DUMMYFUNCTION("""COMPUTED_VALUE"""),43496.3422881134)</f>
        <v>43496.342288113403</v>
      </c>
      <c r="B242" s="11" t="str">
        <f ca="1">IFERROR(__xludf.DUMMYFUNCTION("""COMPUTED_VALUE"""),"Pamela Marcum")</f>
        <v>Pamela Marcum</v>
      </c>
      <c r="C242" t="str">
        <f ca="1">IFERROR(__xludf.DUMMYFUNCTION("""COMPUTED_VALUE"""),"Pamela.Marcum@dep.state.fl.us")</f>
        <v>Pamela.Marcum@dep.state.fl.us</v>
      </c>
      <c r="D242" t="str">
        <f ca="1">IFERROR(__xludf.DUMMYFUNCTION("""COMPUTED_VALUE"""),"Research/Nikki")</f>
        <v>Research/Nikki</v>
      </c>
      <c r="E242" t="str">
        <f ca="1">IFERROR(__xludf.DUMMYFUNCTION("""COMPUTED_VALUE"""),"Aunt Kate's")</f>
        <v>Aunt Kate's</v>
      </c>
      <c r="F242" s="13">
        <f ca="1">IFERROR(__xludf.DUMMYFUNCTION("""COMPUTED_VALUE"""),0.385416666667879)</f>
        <v>0.38541666666787899</v>
      </c>
      <c r="G242" s="14">
        <f ca="1">IFERROR(__xludf.DUMMYFUNCTION("""COMPUTED_VALUE"""),43496)</f>
        <v>43496</v>
      </c>
      <c r="H242" t="str">
        <f ca="1">IFERROR(__xludf.DUMMYFUNCTION("""COMPUTED_VALUE"""),"Matanzas and Tolomato Rivers")</f>
        <v>Matanzas and Tolomato Rivers</v>
      </c>
      <c r="I242" s="15">
        <f ca="1">IFERROR(__xludf.DUMMYFUNCTION("""COMPUTED_VALUE"""),0.58333333333212)</f>
        <v>0.58333333333212001</v>
      </c>
      <c r="J242" s="16">
        <f ca="1">IFERROR(__xludf.DUMMYFUNCTION("""COMPUTED_VALUE"""),43496.6041666666)</f>
        <v>43496.604166666599</v>
      </c>
      <c r="K242" t="str">
        <f ca="1">IFERROR(__xludf.DUMMYFUNCTION("""COMPUTED_VALUE"""),"23ft Skiff (Bertha) FL7972LJ DEP07613")</f>
        <v>23ft Skiff (Bertha) FL7972LJ DEP07613</v>
      </c>
      <c r="M242" t="str">
        <f ca="1">IFERROR(__xludf.DUMMYFUNCTION("""COMPUTED_VALUE"""),"Ford F250 2017 (Moby Dix) - DEP0021578")</f>
        <v>Ford F250 2017 (Moby Dix) - DEP0021578</v>
      </c>
      <c r="N242" t="str">
        <f ca="1">IFERROR(__xludf.DUMMYFUNCTION("""COMPUTED_VALUE"""),"Pam Marcum, (480) 332-5414")</f>
        <v>Pam Marcum, (480) 332-5414</v>
      </c>
      <c r="O242" t="str">
        <f ca="1">IFERROR(__xludf.DUMMYFUNCTION("""COMPUTED_VALUE"""),"Nicole Peckham, Adrienne Breef-Pilz")</f>
        <v>Nicole Peckham, Adrienne Breef-Pilz</v>
      </c>
      <c r="P242" t="str">
        <f ca="1">IFERROR(__xludf.DUMMYFUNCTION("""COMPUTED_VALUE"""),"Pam")</f>
        <v>Pam</v>
      </c>
      <c r="Q242" t="str">
        <f ca="1">IFERROR(__xludf.DUMMYFUNCTION("""COMPUTED_VALUE"""),"Good")</f>
        <v>Good</v>
      </c>
      <c r="R242" t="str">
        <f ca="1">IFERROR(__xludf.DUMMYFUNCTION("""COMPUTED_VALUE"""),"Good")</f>
        <v>Good</v>
      </c>
      <c r="S242" t="str">
        <f ca="1">IFERROR(__xludf.DUMMYFUNCTION("""COMPUTED_VALUE"""),"Good")</f>
        <v>Good</v>
      </c>
      <c r="T242" t="str">
        <f ca="1">IFERROR(__xludf.DUMMYFUNCTION("""COMPUTED_VALUE"""),"Good")</f>
        <v>Good</v>
      </c>
      <c r="U242" t="str">
        <f ca="1">IFERROR(__xludf.DUMMYFUNCTION("""COMPUTED_VALUE"""),"Good")</f>
        <v>Good</v>
      </c>
      <c r="V242" t="str">
        <f ca="1">IFERROR(__xludf.DUMMYFUNCTION("""COMPUTED_VALUE"""),"Good")</f>
        <v>Good</v>
      </c>
      <c r="W242" t="str">
        <f ca="1">IFERROR(__xludf.DUMMYFUNCTION("""COMPUTED_VALUE"""),"Good")</f>
        <v>Good</v>
      </c>
      <c r="X242" t="str">
        <f ca="1">IFERROR(__xludf.DUMMYFUNCTION("""COMPUTED_VALUE"""),"Good")</f>
        <v>Good</v>
      </c>
      <c r="Y242" t="str">
        <f ca="1">IFERROR(__xludf.DUMMYFUNCTION("""COMPUTED_VALUE"""),"Good")</f>
        <v>Good</v>
      </c>
      <c r="Z242" t="str">
        <f ca="1">IFERROR(__xludf.DUMMYFUNCTION("""COMPUTED_VALUE"""),"Good")</f>
        <v>Good</v>
      </c>
      <c r="AA242" t="str">
        <f ca="1">IFERROR(__xludf.DUMMYFUNCTION("""COMPUTED_VALUE"""),"Good")</f>
        <v>Good</v>
      </c>
      <c r="AB242" t="str">
        <f ca="1">IFERROR(__xludf.DUMMYFUNCTION("""COMPUTED_VALUE"""),"Good")</f>
        <v>Good</v>
      </c>
      <c r="AC242" t="str">
        <f ca="1">IFERROR(__xludf.DUMMYFUNCTION("""COMPUTED_VALUE"""),"Good")</f>
        <v>Good</v>
      </c>
      <c r="AE242" s="11"/>
      <c r="AF242" t="str">
        <v>Nikki.Dix@floridadep.gov</v>
      </c>
      <c r="AG242" s="17" t="s">
        <v>17</v>
      </c>
      <c r="AH242" s="12">
        <v>1435</v>
      </c>
      <c r="AI242" s="12" t="s">
        <v>670</v>
      </c>
      <c r="AJ242" s="19" t="s">
        <v>671</v>
      </c>
      <c r="AK242" s="20" t="str">
        <f>HYPERLINK("https://docs.google.com/document/d/1GOBsFESX6f9qZ6TPdcc-u6UgUVmptfCcKPpgKqBe1ww/edit?usp=drivesdk","Pamela Marcum - 1/31/2019 9:15 AM")</f>
        <v>Pamela Marcum - 1/31/2019 9:15 AM</v>
      </c>
      <c r="AL242" s="12" t="s">
        <v>672</v>
      </c>
    </row>
    <row r="243" spans="1:38" ht="12.75">
      <c r="A243" s="10">
        <f ca="1">IFERROR(__xludf.DUMMYFUNCTION("""COMPUTED_VALUE"""),43500.3312657523)</f>
        <v>43500.331265752298</v>
      </c>
      <c r="B243" s="11" t="str">
        <f ca="1">IFERROR(__xludf.DUMMYFUNCTION("""COMPUTED_VALUE"""),"James Tomazinis")</f>
        <v>James Tomazinis</v>
      </c>
      <c r="C243" t="str">
        <f ca="1">IFERROR(__xludf.DUMMYFUNCTION("""COMPUTED_VALUE"""),"James.tomazinis@floridadep.gov")</f>
        <v>James.tomazinis@floridadep.gov</v>
      </c>
      <c r="D243" t="str">
        <f ca="1">IFERROR(__xludf.DUMMYFUNCTION("""COMPUTED_VALUE"""),"Stewardship (Aquatic)")</f>
        <v>Stewardship (Aquatic)</v>
      </c>
      <c r="E243" t="str">
        <f ca="1">IFERROR(__xludf.DUMMYFUNCTION("""COMPUTED_VALUE"""),"Guana Dam")</f>
        <v>Guana Dam</v>
      </c>
      <c r="F243" s="13">
        <f ca="1">IFERROR(__xludf.DUMMYFUNCTION("""COMPUTED_VALUE"""),0.385416666667879)</f>
        <v>0.38541666666787899</v>
      </c>
      <c r="G243" s="14">
        <f ca="1">IFERROR(__xludf.DUMMYFUNCTION("""COMPUTED_VALUE"""),43500)</f>
        <v>43500</v>
      </c>
      <c r="H243" t="str">
        <f ca="1">IFERROR(__xludf.DUMMYFUNCTION("""COMPUTED_VALUE"""),"Guana River WQ sites")</f>
        <v>Guana River WQ sites</v>
      </c>
      <c r="I243" s="15">
        <f ca="1">IFERROR(__xludf.DUMMYFUNCTION("""COMPUTED_VALUE"""),0.451388888890505)</f>
        <v>0.45138888889050499</v>
      </c>
      <c r="J243" s="16"/>
      <c r="K243" t="str">
        <f ca="1">IFERROR(__xludf.DUMMYFUNCTION("""COMPUTED_VALUE"""),"Jon Boat FL0484NP DEP06819")</f>
        <v>Jon Boat FL0484NP DEP06819</v>
      </c>
      <c r="M243" t="str">
        <f ca="1">IFERROR(__xludf.DUMMYFUNCTION("""COMPUTED_VALUE"""),"Ford F150 2015 (White) - DEP21448")</f>
        <v>Ford F150 2015 (White) - DEP21448</v>
      </c>
      <c r="N243" t="str">
        <f ca="1">IFERROR(__xludf.DUMMYFUNCTION("""COMPUTED_VALUE"""),"Jimmy Tomazinis, (904) 547-0094, Ben Mowbray, (407) 962-8782")</f>
        <v>Jimmy Tomazinis, (904) 547-0094, Ben Mowbray, (407) 962-8782</v>
      </c>
      <c r="O243" t="str">
        <f ca="1">IFERROR(__xludf.DUMMYFUNCTION("""COMPUTED_VALUE"""),"Mark Collins")</f>
        <v>Mark Collins</v>
      </c>
      <c r="P243" t="str">
        <f ca="1">IFERROR(__xludf.DUMMYFUNCTION("""COMPUTED_VALUE"""),"Jimmy")</f>
        <v>Jimmy</v>
      </c>
      <c r="Q243" t="str">
        <f ca="1">IFERROR(__xludf.DUMMYFUNCTION("""COMPUTED_VALUE"""),"Good")</f>
        <v>Good</v>
      </c>
      <c r="R243" t="str">
        <f ca="1">IFERROR(__xludf.DUMMYFUNCTION("""COMPUTED_VALUE"""),"Good")</f>
        <v>Good</v>
      </c>
      <c r="S243" t="str">
        <f ca="1">IFERROR(__xludf.DUMMYFUNCTION("""COMPUTED_VALUE"""),"Good")</f>
        <v>Good</v>
      </c>
      <c r="T243" t="str">
        <f ca="1">IFERROR(__xludf.DUMMYFUNCTION("""COMPUTED_VALUE"""),"Good")</f>
        <v>Good</v>
      </c>
      <c r="U243" t="str">
        <f ca="1">IFERROR(__xludf.DUMMYFUNCTION("""COMPUTED_VALUE"""),"Good")</f>
        <v>Good</v>
      </c>
      <c r="V243" t="str">
        <f ca="1">IFERROR(__xludf.DUMMYFUNCTION("""COMPUTED_VALUE"""),"Good")</f>
        <v>Good</v>
      </c>
      <c r="W243" t="str">
        <f ca="1">IFERROR(__xludf.DUMMYFUNCTION("""COMPUTED_VALUE"""),"Good")</f>
        <v>Good</v>
      </c>
      <c r="X243" t="str">
        <f ca="1">IFERROR(__xludf.DUMMYFUNCTION("""COMPUTED_VALUE"""),"Good")</f>
        <v>Good</v>
      </c>
      <c r="Y243" t="str">
        <f ca="1">IFERROR(__xludf.DUMMYFUNCTION("""COMPUTED_VALUE"""),"Good")</f>
        <v>Good</v>
      </c>
      <c r="Z243" t="str">
        <f ca="1">IFERROR(__xludf.DUMMYFUNCTION("""COMPUTED_VALUE"""),"Good")</f>
        <v>Good</v>
      </c>
      <c r="AA243" t="str">
        <f ca="1">IFERROR(__xludf.DUMMYFUNCTION("""COMPUTED_VALUE"""),"Good")</f>
        <v>Good</v>
      </c>
      <c r="AB243" t="str">
        <f ca="1">IFERROR(__xludf.DUMMYFUNCTION("""COMPUTED_VALUE"""),"Good")</f>
        <v>Good</v>
      </c>
      <c r="AC243" t="str">
        <f ca="1">IFERROR(__xludf.DUMMYFUNCTION("""COMPUTED_VALUE"""),"Good")</f>
        <v>Good</v>
      </c>
      <c r="AE243" s="11"/>
      <c r="AF243" t="str">
        <v>Scott.Eastman@floridadep.gov</v>
      </c>
      <c r="AG243" s="18"/>
      <c r="AI243" s="12" t="s">
        <v>673</v>
      </c>
      <c r="AJ243" s="19" t="s">
        <v>674</v>
      </c>
      <c r="AK243" s="20" t="str">
        <f>HYPERLINK("https://docs.google.com/document/d/1cLJrO_7vYjsC5Las3DO7HiNkHwUoPLtkT1XEBLKwk2I/edit?usp=drivesdk","James Tomazinis - 2/4/2019 9:15 AM")</f>
        <v>James Tomazinis - 2/4/2019 9:15 AM</v>
      </c>
      <c r="AL243" s="12" t="s">
        <v>675</v>
      </c>
    </row>
    <row r="244" spans="1:38" ht="12.75">
      <c r="A244" s="10">
        <f ca="1">IFERROR(__xludf.DUMMYFUNCTION("""COMPUTED_VALUE"""),43501.3250736921)</f>
        <v>43501.325073692104</v>
      </c>
      <c r="B244" s="11" t="str">
        <f ca="1">IFERROR(__xludf.DUMMYFUNCTION("""COMPUTED_VALUE"""),"Silas Tanner")</f>
        <v>Silas Tanner</v>
      </c>
      <c r="C244" t="str">
        <f ca="1">IFERROR(__xludf.DUMMYFUNCTION("""COMPUTED_VALUE"""),"silas.tanner@floridadep.gov")</f>
        <v>silas.tanner@floridadep.gov</v>
      </c>
      <c r="D244" t="str">
        <f ca="1">IFERROR(__xludf.DUMMYFUNCTION("""COMPUTED_VALUE"""),"Research/Nikki")</f>
        <v>Research/Nikki</v>
      </c>
      <c r="E244" t="str">
        <f ca="1">IFERROR(__xludf.DUMMYFUNCTION("""COMPUTED_VALUE"""),"Vilano Landing")</f>
        <v>Vilano Landing</v>
      </c>
      <c r="F244" s="13">
        <f ca="1">IFERROR(__xludf.DUMMYFUNCTION("""COMPUTED_VALUE"""),0.354166666667879)</f>
        <v>0.35416666666787899</v>
      </c>
      <c r="G244" s="14">
        <f ca="1">IFERROR(__xludf.DUMMYFUNCTION("""COMPUTED_VALUE"""),43501)</f>
        <v>43501</v>
      </c>
      <c r="H244" t="str">
        <f ca="1">IFERROR(__xludf.DUMMYFUNCTION("""COMPUTED_VALUE"""),"ICW - SWMP sites")</f>
        <v>ICW - SWMP sites</v>
      </c>
      <c r="I244" s="15">
        <f ca="1">IFERROR(__xludf.DUMMYFUNCTION("""COMPUTED_VALUE"""),0.5625)</f>
        <v>0.5625</v>
      </c>
      <c r="J244" s="16">
        <f ca="1">IFERROR(__xludf.DUMMYFUNCTION("""COMPUTED_VALUE"""),43501.5729166666)</f>
        <v>43501.572916666599</v>
      </c>
      <c r="K244" t="str">
        <f ca="1">IFERROR(__xludf.DUMMYFUNCTION("""COMPUTED_VALUE"""),"23ft Skiff (Bertha) FL7972LJ DEP07613")</f>
        <v>23ft Skiff (Bertha) FL7972LJ DEP07613</v>
      </c>
      <c r="M244" t="str">
        <f ca="1">IFERROR(__xludf.DUMMYFUNCTION("""COMPUTED_VALUE"""),"Ford F150 2015 (White) - DEP21448")</f>
        <v>Ford F150 2015 (White) - DEP21448</v>
      </c>
      <c r="N244" t="str">
        <f ca="1">IFERROR(__xludf.DUMMYFUNCTION("""COMPUTED_VALUE"""),"Silas Tanner, (904) 483-8423, Ben Mowbray, (407) 962-8782")</f>
        <v>Silas Tanner, (904) 483-8423, Ben Mowbray, (407) 962-8782</v>
      </c>
      <c r="O244" t="str">
        <f ca="1">IFERROR(__xludf.DUMMYFUNCTION("""COMPUTED_VALUE"""),"Vincent Mcclure")</f>
        <v>Vincent Mcclure</v>
      </c>
      <c r="P244" t="str">
        <f ca="1">IFERROR(__xludf.DUMMYFUNCTION("""COMPUTED_VALUE"""),"S. Tanner")</f>
        <v>S. Tanner</v>
      </c>
      <c r="Q244" t="str">
        <f ca="1">IFERROR(__xludf.DUMMYFUNCTION("""COMPUTED_VALUE"""),"Good")</f>
        <v>Good</v>
      </c>
      <c r="R244" t="str">
        <f ca="1">IFERROR(__xludf.DUMMYFUNCTION("""COMPUTED_VALUE"""),"Good")</f>
        <v>Good</v>
      </c>
      <c r="S244" t="str">
        <f ca="1">IFERROR(__xludf.DUMMYFUNCTION("""COMPUTED_VALUE"""),"Good")</f>
        <v>Good</v>
      </c>
      <c r="T244" t="str">
        <f ca="1">IFERROR(__xludf.DUMMYFUNCTION("""COMPUTED_VALUE"""),"Good")</f>
        <v>Good</v>
      </c>
      <c r="U244" t="str">
        <f ca="1">IFERROR(__xludf.DUMMYFUNCTION("""COMPUTED_VALUE"""),"Good")</f>
        <v>Good</v>
      </c>
      <c r="V244" t="str">
        <f ca="1">IFERROR(__xludf.DUMMYFUNCTION("""COMPUTED_VALUE"""),"Good")</f>
        <v>Good</v>
      </c>
      <c r="W244" t="str">
        <f ca="1">IFERROR(__xludf.DUMMYFUNCTION("""COMPUTED_VALUE"""),"Good")</f>
        <v>Good</v>
      </c>
      <c r="X244" t="str">
        <f ca="1">IFERROR(__xludf.DUMMYFUNCTION("""COMPUTED_VALUE"""),"Good")</f>
        <v>Good</v>
      </c>
      <c r="Y244" t="str">
        <f ca="1">IFERROR(__xludf.DUMMYFUNCTION("""COMPUTED_VALUE"""),"Good")</f>
        <v>Good</v>
      </c>
      <c r="Z244" t="str">
        <f ca="1">IFERROR(__xludf.DUMMYFUNCTION("""COMPUTED_VALUE"""),"Good")</f>
        <v>Good</v>
      </c>
      <c r="AA244" t="str">
        <f ca="1">IFERROR(__xludf.DUMMYFUNCTION("""COMPUTED_VALUE"""),"Good")</f>
        <v>Good</v>
      </c>
      <c r="AB244" t="str">
        <f ca="1">IFERROR(__xludf.DUMMYFUNCTION("""COMPUTED_VALUE"""),"Good")</f>
        <v>Good</v>
      </c>
      <c r="AC244" t="str">
        <f ca="1">IFERROR(__xludf.DUMMYFUNCTION("""COMPUTED_VALUE"""),"Good")</f>
        <v>Good</v>
      </c>
      <c r="AE244" s="11"/>
      <c r="AF244" t="str">
        <v>Nikki.Dix@floridadep.gov</v>
      </c>
      <c r="AG244" s="17" t="s">
        <v>17</v>
      </c>
      <c r="AH244" s="12">
        <v>1324</v>
      </c>
      <c r="AI244" s="12" t="s">
        <v>676</v>
      </c>
      <c r="AJ244" s="19" t="s">
        <v>677</v>
      </c>
      <c r="AK244" s="20" t="str">
        <f>HYPERLINK("https://docs.google.com/document/d/1fSs9eCOq3hWlcEUsnZCYxYLdt3MBFViSiMNmwpFrbqo/edit?usp=drivesdk","Silas Tanner - 2/5/2019 8:30 AM")</f>
        <v>Silas Tanner - 2/5/2019 8:30 AM</v>
      </c>
      <c r="AL244" s="12" t="s">
        <v>678</v>
      </c>
    </row>
    <row r="245" spans="1:38" ht="12.75">
      <c r="A245" s="10">
        <f ca="1">IFERROR(__xludf.DUMMYFUNCTION("""COMPUTED_VALUE"""),43507.3840526157)</f>
        <v>43507.3840526157</v>
      </c>
      <c r="B245" s="11" t="str">
        <f ca="1">IFERROR(__xludf.DUMMYFUNCTION("""COMPUTED_VALUE"""),"Silas Tanner")</f>
        <v>Silas Tanner</v>
      </c>
      <c r="C245" t="str">
        <f ca="1">IFERROR(__xludf.DUMMYFUNCTION("""COMPUTED_VALUE"""),"silas.tanner@floridadep.gov")</f>
        <v>silas.tanner@floridadep.gov</v>
      </c>
      <c r="D245" t="str">
        <f ca="1">IFERROR(__xludf.DUMMYFUNCTION("""COMPUTED_VALUE"""),"Research/Pam")</f>
        <v>Research/Pam</v>
      </c>
      <c r="E245" t="str">
        <f ca="1">IFERROR(__xludf.DUMMYFUNCTION("""COMPUTED_VALUE"""),"Faver Dykes State Park")</f>
        <v>Faver Dykes State Park</v>
      </c>
      <c r="F245" s="13">
        <f ca="1">IFERROR(__xludf.DUMMYFUNCTION("""COMPUTED_VALUE"""),0.42708333333212)</f>
        <v>0.42708333333212001</v>
      </c>
      <c r="G245" s="14">
        <f ca="1">IFERROR(__xludf.DUMMYFUNCTION("""COMPUTED_VALUE"""),43507)</f>
        <v>43507</v>
      </c>
      <c r="H245" t="str">
        <f ca="1">IFERROR(__xludf.DUMMYFUNCTION("""COMPUTED_VALUE"""),"Pellicer SWMP platforms")</f>
        <v>Pellicer SWMP platforms</v>
      </c>
      <c r="I245" s="15">
        <f ca="1">IFERROR(__xludf.DUMMYFUNCTION("""COMPUTED_VALUE"""),0.55208333333212)</f>
        <v>0.55208333333212001</v>
      </c>
      <c r="J245" s="16">
        <f ca="1">IFERROR(__xludf.DUMMYFUNCTION("""COMPUTED_VALUE"""),43507.59375)</f>
        <v>43507.59375</v>
      </c>
      <c r="K245" t="str">
        <f ca="1">IFERROR(__xludf.DUMMYFUNCTION("""COMPUTED_VALUE"""),"F 20ft Sea Ark (Easy 200) FL8534PY DEP21451")</f>
        <v>F 20ft Sea Ark (Easy 200) FL8534PY DEP21451</v>
      </c>
      <c r="M245" t="str">
        <f ca="1">IFERROR(__xludf.DUMMYFUNCTION("""COMPUTED_VALUE"""),"Ford F150 2008 - DEP18041 (SWMP Thing)")</f>
        <v>Ford F150 2008 - DEP18041 (SWMP Thing)</v>
      </c>
      <c r="N245" t="str">
        <f ca="1">IFERROR(__xludf.DUMMYFUNCTION("""COMPUTED_VALUE"""),"Silas Tanner, (904) 483-8423, Ben Mowbray, (407) 962-8782")</f>
        <v>Silas Tanner, (904) 483-8423, Ben Mowbray, (407) 962-8782</v>
      </c>
      <c r="P245" t="str">
        <f ca="1">IFERROR(__xludf.DUMMYFUNCTION("""COMPUTED_VALUE"""),"Tanner")</f>
        <v>Tanner</v>
      </c>
      <c r="Q245" t="str">
        <f ca="1">IFERROR(__xludf.DUMMYFUNCTION("""COMPUTED_VALUE"""),"Good")</f>
        <v>Good</v>
      </c>
      <c r="R245" t="str">
        <f ca="1">IFERROR(__xludf.DUMMYFUNCTION("""COMPUTED_VALUE"""),"Good")</f>
        <v>Good</v>
      </c>
      <c r="S245" t="str">
        <f ca="1">IFERROR(__xludf.DUMMYFUNCTION("""COMPUTED_VALUE"""),"Good")</f>
        <v>Good</v>
      </c>
      <c r="T245" t="str">
        <f ca="1">IFERROR(__xludf.DUMMYFUNCTION("""COMPUTED_VALUE"""),"Good")</f>
        <v>Good</v>
      </c>
      <c r="U245" t="str">
        <f ca="1">IFERROR(__xludf.DUMMYFUNCTION("""COMPUTED_VALUE"""),"Good")</f>
        <v>Good</v>
      </c>
      <c r="V245" t="str">
        <f ca="1">IFERROR(__xludf.DUMMYFUNCTION("""COMPUTED_VALUE"""),"Good")</f>
        <v>Good</v>
      </c>
      <c r="W245" t="str">
        <f ca="1">IFERROR(__xludf.DUMMYFUNCTION("""COMPUTED_VALUE"""),"Good")</f>
        <v>Good</v>
      </c>
      <c r="X245" t="str">
        <f ca="1">IFERROR(__xludf.DUMMYFUNCTION("""COMPUTED_VALUE"""),"Good")</f>
        <v>Good</v>
      </c>
      <c r="Y245" t="str">
        <f ca="1">IFERROR(__xludf.DUMMYFUNCTION("""COMPUTED_VALUE"""),"Good")</f>
        <v>Good</v>
      </c>
      <c r="Z245" t="str">
        <f ca="1">IFERROR(__xludf.DUMMYFUNCTION("""COMPUTED_VALUE"""),"Good")</f>
        <v>Good</v>
      </c>
      <c r="AA245" t="str">
        <f ca="1">IFERROR(__xludf.DUMMYFUNCTION("""COMPUTED_VALUE"""),"Good")</f>
        <v>Good</v>
      </c>
      <c r="AB245" t="str">
        <f ca="1">IFERROR(__xludf.DUMMYFUNCTION("""COMPUTED_VALUE"""),"Good")</f>
        <v>Good</v>
      </c>
      <c r="AC245" t="str">
        <f ca="1">IFERROR(__xludf.DUMMYFUNCTION("""COMPUTED_VALUE"""),"Good")</f>
        <v>Good</v>
      </c>
      <c r="AE245" s="11"/>
      <c r="AF245" t="str">
        <v>Pamela.Marcum@floridadep.gov</v>
      </c>
      <c r="AG245" s="17" t="s">
        <v>17</v>
      </c>
      <c r="AH245" s="12">
        <v>1250</v>
      </c>
      <c r="AI245" s="12" t="s">
        <v>679</v>
      </c>
      <c r="AJ245" s="19" t="s">
        <v>680</v>
      </c>
      <c r="AK245" s="20" t="str">
        <f>HYPERLINK("https://docs.google.com/document/d/14VlWjsETlFQ2d5qk_szZ5WONt_dxnNxiUZBzsMiNW10/edit?usp=drivesdk","Silas Tanner - 2/11/2019 10:15 AM")</f>
        <v>Silas Tanner - 2/11/2019 10:15 AM</v>
      </c>
      <c r="AL245" s="12" t="s">
        <v>681</v>
      </c>
    </row>
    <row r="246" spans="1:38" ht="12.75">
      <c r="A246" s="10">
        <f ca="1">IFERROR(__xludf.DUMMYFUNCTION("""COMPUTED_VALUE"""),43507.502865162)</f>
        <v>43507.502865162001</v>
      </c>
      <c r="B246" s="11" t="str">
        <f ca="1">IFERROR(__xludf.DUMMYFUNCTION("""COMPUTED_VALUE"""),"James Tomazinis")</f>
        <v>James Tomazinis</v>
      </c>
      <c r="C246" t="str">
        <f ca="1">IFERROR(__xludf.DUMMYFUNCTION("""COMPUTED_VALUE"""),"james.tomazinis@floridadep.gov")</f>
        <v>james.tomazinis@floridadep.gov</v>
      </c>
      <c r="D246" t="str">
        <f ca="1">IFERROR(__xludf.DUMMYFUNCTION("""COMPUTED_VALUE"""),"Stewardship (Aquatic)")</f>
        <v>Stewardship (Aquatic)</v>
      </c>
      <c r="E246" t="str">
        <f ca="1">IFERROR(__xludf.DUMMYFUNCTION("""COMPUTED_VALUE"""),"Vilano")</f>
        <v>Vilano</v>
      </c>
      <c r="F246" s="13">
        <f ca="1">IFERROR(__xludf.DUMMYFUNCTION("""COMPUTED_VALUE"""),0.385416666667879)</f>
        <v>0.38541666666787899</v>
      </c>
      <c r="G246" s="14">
        <f ca="1">IFERROR(__xludf.DUMMYFUNCTION("""COMPUTED_VALUE"""),43508)</f>
        <v>43508</v>
      </c>
      <c r="H246" t="str">
        <f ca="1">IFERROR(__xludf.DUMMYFUNCTION("""COMPUTED_VALUE"""),"Tolomato Nekton sites")</f>
        <v>Tolomato Nekton sites</v>
      </c>
      <c r="I246" s="15">
        <f ca="1">IFERROR(__xludf.DUMMYFUNCTION("""COMPUTED_VALUE"""),0.666666666667879)</f>
        <v>0.66666666666787899</v>
      </c>
      <c r="J246" s="16"/>
      <c r="K246" t="str">
        <f ca="1">IFERROR(__xludf.DUMMYFUNCTION("""COMPUTED_VALUE"""),"23ft Skiff (Bertha) FL7972LJ DEP07613")</f>
        <v>23ft Skiff (Bertha) FL7972LJ DEP07613</v>
      </c>
      <c r="M246" t="str">
        <f ca="1">IFERROR(__xludf.DUMMYFUNCTION("""COMPUTED_VALUE"""),"Ford F250 2017 (Moby Dix) - DEP0021578")</f>
        <v>Ford F250 2017 (Moby Dix) - DEP0021578</v>
      </c>
      <c r="N246" t="str">
        <f ca="1">IFERROR(__xludf.DUMMYFUNCTION("""COMPUTED_VALUE"""),"Jimmy Tomazinis, (904) 547-0094")</f>
        <v>Jimmy Tomazinis, (904) 547-0094</v>
      </c>
      <c r="O246" t="str">
        <f ca="1">IFERROR(__xludf.DUMMYFUNCTION("""COMPUTED_VALUE"""),"Jeff Finnan, Chris Kurtz")</f>
        <v>Jeff Finnan, Chris Kurtz</v>
      </c>
      <c r="P246" t="str">
        <f ca="1">IFERROR(__xludf.DUMMYFUNCTION("""COMPUTED_VALUE"""),"Jimmy")</f>
        <v>Jimmy</v>
      </c>
      <c r="Q246" t="str">
        <f ca="1">IFERROR(__xludf.DUMMYFUNCTION("""COMPUTED_VALUE"""),"Good")</f>
        <v>Good</v>
      </c>
      <c r="R246" t="str">
        <f ca="1">IFERROR(__xludf.DUMMYFUNCTION("""COMPUTED_VALUE"""),"Good")</f>
        <v>Good</v>
      </c>
      <c r="S246" t="str">
        <f ca="1">IFERROR(__xludf.DUMMYFUNCTION("""COMPUTED_VALUE"""),"Good")</f>
        <v>Good</v>
      </c>
      <c r="T246" t="str">
        <f ca="1">IFERROR(__xludf.DUMMYFUNCTION("""COMPUTED_VALUE"""),"Good")</f>
        <v>Good</v>
      </c>
      <c r="U246" t="str">
        <f ca="1">IFERROR(__xludf.DUMMYFUNCTION("""COMPUTED_VALUE"""),"Good")</f>
        <v>Good</v>
      </c>
      <c r="V246" t="str">
        <f ca="1">IFERROR(__xludf.DUMMYFUNCTION("""COMPUTED_VALUE"""),"Good")</f>
        <v>Good</v>
      </c>
      <c r="W246" t="str">
        <f ca="1">IFERROR(__xludf.DUMMYFUNCTION("""COMPUTED_VALUE"""),"Good")</f>
        <v>Good</v>
      </c>
      <c r="X246" t="str">
        <f ca="1">IFERROR(__xludf.DUMMYFUNCTION("""COMPUTED_VALUE"""),"Good")</f>
        <v>Good</v>
      </c>
      <c r="Y246" t="str">
        <f ca="1">IFERROR(__xludf.DUMMYFUNCTION("""COMPUTED_VALUE"""),"Good")</f>
        <v>Good</v>
      </c>
      <c r="Z246" t="str">
        <f ca="1">IFERROR(__xludf.DUMMYFUNCTION("""COMPUTED_VALUE"""),"Good")</f>
        <v>Good</v>
      </c>
      <c r="AA246" t="str">
        <f ca="1">IFERROR(__xludf.DUMMYFUNCTION("""COMPUTED_VALUE"""),"Good")</f>
        <v>Good</v>
      </c>
      <c r="AB246" t="str">
        <f ca="1">IFERROR(__xludf.DUMMYFUNCTION("""COMPUTED_VALUE"""),"Good")</f>
        <v>Good</v>
      </c>
      <c r="AC246" t="str">
        <f ca="1">IFERROR(__xludf.DUMMYFUNCTION("""COMPUTED_VALUE"""),"Good")</f>
        <v>Good</v>
      </c>
      <c r="AE246" s="11"/>
      <c r="AF246" t="str">
        <v>Scott.Eastman@floridadep.gov</v>
      </c>
      <c r="AG246" s="18"/>
      <c r="AI246" s="12" t="s">
        <v>682</v>
      </c>
      <c r="AJ246" s="19" t="s">
        <v>683</v>
      </c>
      <c r="AK246" s="20" t="str">
        <f>HYPERLINK("https://docs.google.com/document/d/1Vt0pUicYELfU8R8zAnYq1oBkEo08TQq0YR1IqW-z6do/edit?usp=drivesdk","James Tomazinis - 2/12/2019 9:15 AM")</f>
        <v>James Tomazinis - 2/12/2019 9:15 AM</v>
      </c>
      <c r="AL246" s="12" t="s">
        <v>684</v>
      </c>
    </row>
    <row r="247" spans="1:38" ht="12.75">
      <c r="A247" s="10">
        <f ca="1">IFERROR(__xludf.DUMMYFUNCTION("""COMPUTED_VALUE"""),43507.6243709027)</f>
        <v>43507.624370902697</v>
      </c>
      <c r="B247" s="11" t="str">
        <f ca="1">IFERROR(__xludf.DUMMYFUNCTION("""COMPUTED_VALUE"""),"Pam Marcu.")</f>
        <v>Pam Marcu.</v>
      </c>
      <c r="C247" t="str">
        <f ca="1">IFERROR(__xludf.DUMMYFUNCTION("""COMPUTED_VALUE"""),"Pamela.Marcum@floridadep.gov")</f>
        <v>Pamela.Marcum@floridadep.gov</v>
      </c>
      <c r="D247" t="str">
        <f ca="1">IFERROR(__xludf.DUMMYFUNCTION("""COMPUTED_VALUE"""),"Research/Nikki")</f>
        <v>Research/Nikki</v>
      </c>
      <c r="E247" t="str">
        <f ca="1">IFERROR(__xludf.DUMMYFUNCTION("""COMPUTED_VALUE"""),"Whitney Lab")</f>
        <v>Whitney Lab</v>
      </c>
      <c r="F247" s="13">
        <f ca="1">IFERROR(__xludf.DUMMYFUNCTION("""COMPUTED_VALUE"""),0.625)</f>
        <v>0.625</v>
      </c>
      <c r="G247" s="14">
        <f ca="1">IFERROR(__xludf.DUMMYFUNCTION("""COMPUTED_VALUE"""),43507)</f>
        <v>43507</v>
      </c>
      <c r="H247" t="str">
        <f ca="1">IFERROR(__xludf.DUMMYFUNCTION("""COMPUTED_VALUE"""),"Matanzas River")</f>
        <v>Matanzas River</v>
      </c>
      <c r="I247" s="15">
        <f ca="1">IFERROR(__xludf.DUMMYFUNCTION("""COMPUTED_VALUE"""),0.6875)</f>
        <v>0.6875</v>
      </c>
      <c r="J247" s="16">
        <f ca="1">IFERROR(__xludf.DUMMYFUNCTION("""COMPUTED_VALUE"""),43507.7291666666)</f>
        <v>43507.729166666599</v>
      </c>
      <c r="K247" t="str">
        <f ca="1">IFERROR(__xludf.DUMMYFUNCTION("""COMPUTED_VALUE"""),"23ft Skiff (Bertha) FL7972LJ DEP07613")</f>
        <v>23ft Skiff (Bertha) FL7972LJ DEP07613</v>
      </c>
      <c r="M247" t="str">
        <f ca="1">IFERROR(__xludf.DUMMYFUNCTION("""COMPUTED_VALUE"""),"Ford F250 2017 (Moby Dix) - DEP0021578")</f>
        <v>Ford F250 2017 (Moby Dix) - DEP0021578</v>
      </c>
      <c r="N247" t="str">
        <f ca="1">IFERROR(__xludf.DUMMYFUNCTION("""COMPUTED_VALUE"""),"Pam Marcum, (480) 332-5414")</f>
        <v>Pam Marcum, (480) 332-5414</v>
      </c>
      <c r="O247" t="str">
        <f ca="1">IFERROR(__xludf.DUMMYFUNCTION("""COMPUTED_VALUE"""),"Emma Hanson")</f>
        <v>Emma Hanson</v>
      </c>
      <c r="P247" t="str">
        <f ca="1">IFERROR(__xludf.DUMMYFUNCTION("""COMPUTED_VALUE"""),"Pam")</f>
        <v>Pam</v>
      </c>
      <c r="Q247" t="str">
        <f ca="1">IFERROR(__xludf.DUMMYFUNCTION("""COMPUTED_VALUE"""),"Good")</f>
        <v>Good</v>
      </c>
      <c r="R247" t="str">
        <f ca="1">IFERROR(__xludf.DUMMYFUNCTION("""COMPUTED_VALUE"""),"Good")</f>
        <v>Good</v>
      </c>
      <c r="S247" t="str">
        <f ca="1">IFERROR(__xludf.DUMMYFUNCTION("""COMPUTED_VALUE"""),"Good")</f>
        <v>Good</v>
      </c>
      <c r="T247" t="str">
        <f ca="1">IFERROR(__xludf.DUMMYFUNCTION("""COMPUTED_VALUE"""),"Good")</f>
        <v>Good</v>
      </c>
      <c r="U247" t="str">
        <f ca="1">IFERROR(__xludf.DUMMYFUNCTION("""COMPUTED_VALUE"""),"Good")</f>
        <v>Good</v>
      </c>
      <c r="V247" t="str">
        <f ca="1">IFERROR(__xludf.DUMMYFUNCTION("""COMPUTED_VALUE"""),"Good")</f>
        <v>Good</v>
      </c>
      <c r="W247" t="str">
        <f ca="1">IFERROR(__xludf.DUMMYFUNCTION("""COMPUTED_VALUE"""),"Good")</f>
        <v>Good</v>
      </c>
      <c r="X247" t="str">
        <f ca="1">IFERROR(__xludf.DUMMYFUNCTION("""COMPUTED_VALUE"""),"Good")</f>
        <v>Good</v>
      </c>
      <c r="Y247" t="str">
        <f ca="1">IFERROR(__xludf.DUMMYFUNCTION("""COMPUTED_VALUE"""),"Good")</f>
        <v>Good</v>
      </c>
      <c r="Z247" t="str">
        <f ca="1">IFERROR(__xludf.DUMMYFUNCTION("""COMPUTED_VALUE"""),"Good")</f>
        <v>Good</v>
      </c>
      <c r="AA247" t="str">
        <f ca="1">IFERROR(__xludf.DUMMYFUNCTION("""COMPUTED_VALUE"""),"Good")</f>
        <v>Good</v>
      </c>
      <c r="AB247" t="str">
        <f ca="1">IFERROR(__xludf.DUMMYFUNCTION("""COMPUTED_VALUE"""),"Good")</f>
        <v>Good</v>
      </c>
      <c r="AC247" t="str">
        <f ca="1">IFERROR(__xludf.DUMMYFUNCTION("""COMPUTED_VALUE"""),"Good")</f>
        <v>Good</v>
      </c>
      <c r="AE247" s="11"/>
      <c r="AF247" t="str">
        <v>Nikki.Dix@floridadep.gov</v>
      </c>
      <c r="AG247" s="17" t="s">
        <v>41</v>
      </c>
      <c r="AH247" s="12">
        <v>1640</v>
      </c>
      <c r="AI247" s="12" t="s">
        <v>685</v>
      </c>
      <c r="AJ247" s="19" t="s">
        <v>686</v>
      </c>
      <c r="AK247" s="20" t="str">
        <f>HYPERLINK("https://docs.google.com/document/d/1R42heGi2q08QFfpu_TBe529dTzIeq4zdK5DrHcNnHbY/edit?usp=drivesdk","Pam Marcu. - 2/11/2019 3:00 PM")</f>
        <v>Pam Marcu. - 2/11/2019 3:00 PM</v>
      </c>
      <c r="AL247" s="12" t="s">
        <v>687</v>
      </c>
    </row>
    <row r="248" spans="1:38" ht="12.75">
      <c r="A248" s="10">
        <f ca="1">IFERROR(__xludf.DUMMYFUNCTION("""COMPUTED_VALUE"""),43508.3053433796)</f>
        <v>43508.305343379601</v>
      </c>
      <c r="B248" s="11" t="str">
        <f ca="1">IFERROR(__xludf.DUMMYFUNCTION("""COMPUTED_VALUE"""),"Ben Mowbray")</f>
        <v>Ben Mowbray</v>
      </c>
      <c r="C248" t="str">
        <f ca="1">IFERROR(__xludf.DUMMYFUNCTION("""COMPUTED_VALUE"""),"ben.mowbray@dep.state.fl.us")</f>
        <v>ben.mowbray@dep.state.fl.us</v>
      </c>
      <c r="D248" t="str">
        <f ca="1">IFERROR(__xludf.DUMMYFUNCTION("""COMPUTED_VALUE"""),"Research/Pam")</f>
        <v>Research/Pam</v>
      </c>
      <c r="E248" t="str">
        <f ca="1">IFERROR(__xludf.DUMMYFUNCTION("""COMPUTED_VALUE"""),"Douglas Crane")</f>
        <v>Douglas Crane</v>
      </c>
      <c r="F248" s="13">
        <f ca="1">IFERROR(__xludf.DUMMYFUNCTION("""COMPUTED_VALUE"""),0.322916666667879)</f>
        <v>0.32291666666787899</v>
      </c>
      <c r="G248" s="14">
        <f ca="1">IFERROR(__xludf.DUMMYFUNCTION("""COMPUTED_VALUE"""),43508)</f>
        <v>43508</v>
      </c>
      <c r="H248" t="str">
        <f ca="1">IFERROR(__xludf.DUMMYFUNCTION("""COMPUTED_VALUE"""),"Jason Creek Marsh Monitoring Platforms")</f>
        <v>Jason Creek Marsh Monitoring Platforms</v>
      </c>
      <c r="I248" s="15">
        <f ca="1">IFERROR(__xludf.DUMMYFUNCTION("""COMPUTED_VALUE"""),0.5)</f>
        <v>0.5</v>
      </c>
      <c r="J248" s="16">
        <f ca="1">IFERROR(__xludf.DUMMYFUNCTION("""COMPUTED_VALUE"""),43508.5416666666)</f>
        <v>43508.541666666599</v>
      </c>
      <c r="K248" t="str">
        <f ca="1">IFERROR(__xludf.DUMMYFUNCTION("""COMPUTED_VALUE"""),"17ft Skill FL0642GW DEP07239")</f>
        <v>17ft Skill FL0642GW DEP07239</v>
      </c>
      <c r="M248" t="str">
        <f ca="1">IFERROR(__xludf.DUMMYFUNCTION("""COMPUTED_VALUE"""),"Ford F150 2008 - DEP18041 (SWMP Thing)")</f>
        <v>Ford F150 2008 - DEP18041 (SWMP Thing)</v>
      </c>
      <c r="N248" t="str">
        <f ca="1">IFERROR(__xludf.DUMMYFUNCTION("""COMPUTED_VALUE"""),"Silas Tanner, (904) 483-8423, Ben Mowbray, (407) 962-8782")</f>
        <v>Silas Tanner, (904) 483-8423, Ben Mowbray, (407) 962-8782</v>
      </c>
      <c r="P248" t="str">
        <f ca="1">IFERROR(__xludf.DUMMYFUNCTION("""COMPUTED_VALUE"""),"Silas")</f>
        <v>Silas</v>
      </c>
      <c r="Q248" t="str">
        <f ca="1">IFERROR(__xludf.DUMMYFUNCTION("""COMPUTED_VALUE"""),"Good")</f>
        <v>Good</v>
      </c>
      <c r="R248" t="str">
        <f ca="1">IFERROR(__xludf.DUMMYFUNCTION("""COMPUTED_VALUE"""),"Good")</f>
        <v>Good</v>
      </c>
      <c r="S248" t="str">
        <f ca="1">IFERROR(__xludf.DUMMYFUNCTION("""COMPUTED_VALUE"""),"Good")</f>
        <v>Good</v>
      </c>
      <c r="T248" t="str">
        <f ca="1">IFERROR(__xludf.DUMMYFUNCTION("""COMPUTED_VALUE"""),"Good")</f>
        <v>Good</v>
      </c>
      <c r="U248" t="str">
        <f ca="1">IFERROR(__xludf.DUMMYFUNCTION("""COMPUTED_VALUE"""),"Good")</f>
        <v>Good</v>
      </c>
      <c r="V248" t="str">
        <f ca="1">IFERROR(__xludf.DUMMYFUNCTION("""COMPUTED_VALUE"""),"Good")</f>
        <v>Good</v>
      </c>
      <c r="W248" t="str">
        <f ca="1">IFERROR(__xludf.DUMMYFUNCTION("""COMPUTED_VALUE"""),"Good")</f>
        <v>Good</v>
      </c>
      <c r="X248" t="str">
        <f ca="1">IFERROR(__xludf.DUMMYFUNCTION("""COMPUTED_VALUE"""),"Good")</f>
        <v>Good</v>
      </c>
      <c r="Y248" t="str">
        <f ca="1">IFERROR(__xludf.DUMMYFUNCTION("""COMPUTED_VALUE"""),"Good")</f>
        <v>Good</v>
      </c>
      <c r="Z248" t="str">
        <f ca="1">IFERROR(__xludf.DUMMYFUNCTION("""COMPUTED_VALUE"""),"Good")</f>
        <v>Good</v>
      </c>
      <c r="AA248" t="str">
        <f ca="1">IFERROR(__xludf.DUMMYFUNCTION("""COMPUTED_VALUE"""),"Good")</f>
        <v>Good</v>
      </c>
      <c r="AB248" t="str">
        <f ca="1">IFERROR(__xludf.DUMMYFUNCTION("""COMPUTED_VALUE"""),"Good")</f>
        <v>Good</v>
      </c>
      <c r="AC248" t="str">
        <f ca="1">IFERROR(__xludf.DUMMYFUNCTION("""COMPUTED_VALUE"""),"Good")</f>
        <v>Good</v>
      </c>
      <c r="AE248" s="11"/>
      <c r="AF248" t="str">
        <v>Pamela.Marcum@floridadep.gov</v>
      </c>
      <c r="AG248" s="17" t="s">
        <v>17</v>
      </c>
      <c r="AH248" s="12">
        <v>1040</v>
      </c>
      <c r="AI248" s="12" t="s">
        <v>688</v>
      </c>
      <c r="AJ248" s="19" t="s">
        <v>689</v>
      </c>
      <c r="AK248" s="20" t="str">
        <f>HYPERLINK("https://docs.google.com/document/d/1itUqLCg4quoRnKKQPLsV-rj3IX1_eBmEhbjlCHZeqlc/edit?usp=drivesdk","Ben Mowbray - 2/12/2019 7:45 AM")</f>
        <v>Ben Mowbray - 2/12/2019 7:45 AM</v>
      </c>
      <c r="AL248" s="12" t="s">
        <v>690</v>
      </c>
    </row>
    <row r="249" spans="1:38" ht="12.75">
      <c r="A249" s="10">
        <f ca="1">IFERROR(__xludf.DUMMYFUNCTION("""COMPUTED_VALUE"""),43509.3671124305)</f>
        <v>43509.367112430496</v>
      </c>
      <c r="B249" s="11" t="str">
        <f ca="1">IFERROR(__xludf.DUMMYFUNCTION("""COMPUTED_VALUE"""),"Silas Tanner")</f>
        <v>Silas Tanner</v>
      </c>
      <c r="C249" t="str">
        <f ca="1">IFERROR(__xludf.DUMMYFUNCTION("""COMPUTED_VALUE"""),"silas.tanner@floridadep.gov")</f>
        <v>silas.tanner@floridadep.gov</v>
      </c>
      <c r="D249" t="str">
        <f ca="1">IFERROR(__xludf.DUMMYFUNCTION("""COMPUTED_VALUE"""),"Research/Nikki")</f>
        <v>Research/Nikki</v>
      </c>
      <c r="E249" t="str">
        <f ca="1">IFERROR(__xludf.DUMMYFUNCTION("""COMPUTED_VALUE"""),"Palm Valley ramp")</f>
        <v>Palm Valley ramp</v>
      </c>
      <c r="F249" s="13">
        <f ca="1">IFERROR(__xludf.DUMMYFUNCTION("""COMPUTED_VALUE"""),0.40625)</f>
        <v>0.40625</v>
      </c>
      <c r="G249" s="14">
        <f ca="1">IFERROR(__xludf.DUMMYFUNCTION("""COMPUTED_VALUE"""),43509)</f>
        <v>43509</v>
      </c>
      <c r="H249" t="str">
        <f ca="1">IFERROR(__xludf.DUMMYFUNCTION("""COMPUTED_VALUE"""),"ICW - Pine Island marsh platforms")</f>
        <v>ICW - Pine Island marsh platforms</v>
      </c>
      <c r="I249" s="15">
        <f ca="1">IFERROR(__xludf.DUMMYFUNCTION("""COMPUTED_VALUE"""),0.625)</f>
        <v>0.625</v>
      </c>
      <c r="J249" s="16">
        <f ca="1">IFERROR(__xludf.DUMMYFUNCTION("""COMPUTED_VALUE"""),43509.65625)</f>
        <v>43509.65625</v>
      </c>
      <c r="K249" t="str">
        <f ca="1">IFERROR(__xludf.DUMMYFUNCTION("""COMPUTED_VALUE"""),"F 20ft Sea Ark (Easy 200) FL8534PY DEP21451")</f>
        <v>F 20ft Sea Ark (Easy 200) FL8534PY DEP21451</v>
      </c>
      <c r="M249" t="str">
        <f ca="1">IFERROR(__xludf.DUMMYFUNCTION("""COMPUTED_VALUE"""),"Ford F150 2008 - DEP18041 (SWMP Thing)")</f>
        <v>Ford F150 2008 - DEP18041 (SWMP Thing)</v>
      </c>
      <c r="N249" t="str">
        <f ca="1">IFERROR(__xludf.DUMMYFUNCTION("""COMPUTED_VALUE"""),"Silas Tanner, (904) 483-8423, Ben Mowbray, (407) 962-8782")</f>
        <v>Silas Tanner, (904) 483-8423, Ben Mowbray, (407) 962-8782</v>
      </c>
      <c r="P249" t="str">
        <f ca="1">IFERROR(__xludf.DUMMYFUNCTION("""COMPUTED_VALUE"""),"S. Tanner")</f>
        <v>S. Tanner</v>
      </c>
      <c r="Q249" t="str">
        <f ca="1">IFERROR(__xludf.DUMMYFUNCTION("""COMPUTED_VALUE"""),"Good")</f>
        <v>Good</v>
      </c>
      <c r="R249" t="str">
        <f ca="1">IFERROR(__xludf.DUMMYFUNCTION("""COMPUTED_VALUE"""),"Good")</f>
        <v>Good</v>
      </c>
      <c r="S249" t="str">
        <f ca="1">IFERROR(__xludf.DUMMYFUNCTION("""COMPUTED_VALUE"""),"Good")</f>
        <v>Good</v>
      </c>
      <c r="T249" t="str">
        <f ca="1">IFERROR(__xludf.DUMMYFUNCTION("""COMPUTED_VALUE"""),"Good")</f>
        <v>Good</v>
      </c>
      <c r="U249" t="str">
        <f ca="1">IFERROR(__xludf.DUMMYFUNCTION("""COMPUTED_VALUE"""),"Good")</f>
        <v>Good</v>
      </c>
      <c r="V249" t="str">
        <f ca="1">IFERROR(__xludf.DUMMYFUNCTION("""COMPUTED_VALUE"""),"Good")</f>
        <v>Good</v>
      </c>
      <c r="W249" t="str">
        <f ca="1">IFERROR(__xludf.DUMMYFUNCTION("""COMPUTED_VALUE"""),"Good")</f>
        <v>Good</v>
      </c>
      <c r="X249" t="str">
        <f ca="1">IFERROR(__xludf.DUMMYFUNCTION("""COMPUTED_VALUE"""),"Good")</f>
        <v>Good</v>
      </c>
      <c r="Y249" t="str">
        <f ca="1">IFERROR(__xludf.DUMMYFUNCTION("""COMPUTED_VALUE"""),"Good")</f>
        <v>Good</v>
      </c>
      <c r="Z249" t="str">
        <f ca="1">IFERROR(__xludf.DUMMYFUNCTION("""COMPUTED_VALUE"""),"Good")</f>
        <v>Good</v>
      </c>
      <c r="AA249" t="str">
        <f ca="1">IFERROR(__xludf.DUMMYFUNCTION("""COMPUTED_VALUE"""),"Good")</f>
        <v>Good</v>
      </c>
      <c r="AB249" t="str">
        <f ca="1">IFERROR(__xludf.DUMMYFUNCTION("""COMPUTED_VALUE"""),"Good")</f>
        <v>Good</v>
      </c>
      <c r="AC249" t="str">
        <f ca="1">IFERROR(__xludf.DUMMYFUNCTION("""COMPUTED_VALUE"""),"Good")</f>
        <v>Good</v>
      </c>
      <c r="AE249" s="11"/>
      <c r="AF249" t="str">
        <v>Nikki.Dix@floridadep.gov</v>
      </c>
      <c r="AG249" s="17" t="s">
        <v>17</v>
      </c>
      <c r="AH249" s="12">
        <v>1020</v>
      </c>
      <c r="AI249" s="12" t="s">
        <v>691</v>
      </c>
      <c r="AJ249" s="19" t="s">
        <v>692</v>
      </c>
      <c r="AK249" s="20" t="str">
        <f>HYPERLINK("https://docs.google.com/document/d/1bAeE-YdJ3DaWyl_d93o31dCFP2fpmOBW8VVlRCpTtr8/edit?usp=drivesdk","Silas Tanner - 2/13/2019 9:45 AM")</f>
        <v>Silas Tanner - 2/13/2019 9:45 AM</v>
      </c>
      <c r="AL249" s="12" t="s">
        <v>693</v>
      </c>
    </row>
    <row r="250" spans="1:38" ht="12.75">
      <c r="A250" s="10">
        <f ca="1">IFERROR(__xludf.DUMMYFUNCTION("""COMPUTED_VALUE"""),43510.369321875)</f>
        <v>43510.369321874998</v>
      </c>
      <c r="B250" s="11" t="str">
        <f ca="1">IFERROR(__xludf.DUMMYFUNCTION("""COMPUTED_VALUE"""),"Silas Tanner")</f>
        <v>Silas Tanner</v>
      </c>
      <c r="C250" t="str">
        <f ca="1">IFERROR(__xludf.DUMMYFUNCTION("""COMPUTED_VALUE"""),"silas.tanner@floridadep.gov")</f>
        <v>silas.tanner@floridadep.gov</v>
      </c>
      <c r="D250" t="str">
        <f ca="1">IFERROR(__xludf.DUMMYFUNCTION("""COMPUTED_VALUE"""),"Research/Nikki")</f>
        <v>Research/Nikki</v>
      </c>
      <c r="E250" t="str">
        <f ca="1">IFERROR(__xludf.DUMMYFUNCTION("""COMPUTED_VALUE"""),"Palm Valley")</f>
        <v>Palm Valley</v>
      </c>
      <c r="F250" s="13">
        <f ca="1">IFERROR(__xludf.DUMMYFUNCTION("""COMPUTED_VALUE"""),0.385416666667879)</f>
        <v>0.38541666666787899</v>
      </c>
      <c r="G250" s="14">
        <f ca="1">IFERROR(__xludf.DUMMYFUNCTION("""COMPUTED_VALUE"""),43510)</f>
        <v>43510</v>
      </c>
      <c r="H250" t="str">
        <f ca="1">IFERROR(__xludf.DUMMYFUNCTION("""COMPUTED_VALUE"""),"ICW Pine Island marsh monitoring platforms")</f>
        <v>ICW Pine Island marsh monitoring platforms</v>
      </c>
      <c r="I250" s="15">
        <f ca="1">IFERROR(__xludf.DUMMYFUNCTION("""COMPUTED_VALUE"""),0.625)</f>
        <v>0.625</v>
      </c>
      <c r="J250" s="16">
        <f ca="1">IFERROR(__xludf.DUMMYFUNCTION("""COMPUTED_VALUE"""),43510.6354166666)</f>
        <v>43510.635416666599</v>
      </c>
      <c r="K250" t="str">
        <f ca="1">IFERROR(__xludf.DUMMYFUNCTION("""COMPUTED_VALUE"""),"F 20ft Sea Ark (Easy 200) FL8534PY DEP21451")</f>
        <v>F 20ft Sea Ark (Easy 200) FL8534PY DEP21451</v>
      </c>
      <c r="M250" t="str">
        <f ca="1">IFERROR(__xludf.DUMMYFUNCTION("""COMPUTED_VALUE"""),"Ford F250 2017 (Moby Dix) - DEP0021578")</f>
        <v>Ford F250 2017 (Moby Dix) - DEP0021578</v>
      </c>
      <c r="N250" t="str">
        <f ca="1">IFERROR(__xludf.DUMMYFUNCTION("""COMPUTED_VALUE"""),"Silas Tanner, (904) 483-8423, Ben Mowbray, (407) 962-8782")</f>
        <v>Silas Tanner, (904) 483-8423, Ben Mowbray, (407) 962-8782</v>
      </c>
      <c r="P250" t="str">
        <f ca="1">IFERROR(__xludf.DUMMYFUNCTION("""COMPUTED_VALUE"""),"Tanner")</f>
        <v>Tanner</v>
      </c>
      <c r="Q250" t="str">
        <f ca="1">IFERROR(__xludf.DUMMYFUNCTION("""COMPUTED_VALUE"""),"Good")</f>
        <v>Good</v>
      </c>
      <c r="R250" t="str">
        <f ca="1">IFERROR(__xludf.DUMMYFUNCTION("""COMPUTED_VALUE"""),"Good")</f>
        <v>Good</v>
      </c>
      <c r="S250" t="str">
        <f ca="1">IFERROR(__xludf.DUMMYFUNCTION("""COMPUTED_VALUE"""),"Good")</f>
        <v>Good</v>
      </c>
      <c r="T250" t="str">
        <f ca="1">IFERROR(__xludf.DUMMYFUNCTION("""COMPUTED_VALUE"""),"Good")</f>
        <v>Good</v>
      </c>
      <c r="U250" t="str">
        <f ca="1">IFERROR(__xludf.DUMMYFUNCTION("""COMPUTED_VALUE"""),"Good")</f>
        <v>Good</v>
      </c>
      <c r="V250" t="str">
        <f ca="1">IFERROR(__xludf.DUMMYFUNCTION("""COMPUTED_VALUE"""),"Good")</f>
        <v>Good</v>
      </c>
      <c r="W250" t="str">
        <f ca="1">IFERROR(__xludf.DUMMYFUNCTION("""COMPUTED_VALUE"""),"Good")</f>
        <v>Good</v>
      </c>
      <c r="X250" t="str">
        <f ca="1">IFERROR(__xludf.DUMMYFUNCTION("""COMPUTED_VALUE"""),"Good")</f>
        <v>Good</v>
      </c>
      <c r="Y250" t="str">
        <f ca="1">IFERROR(__xludf.DUMMYFUNCTION("""COMPUTED_VALUE"""),"Good")</f>
        <v>Good</v>
      </c>
      <c r="Z250" t="str">
        <f ca="1">IFERROR(__xludf.DUMMYFUNCTION("""COMPUTED_VALUE"""),"Good")</f>
        <v>Good</v>
      </c>
      <c r="AA250" t="str">
        <f ca="1">IFERROR(__xludf.DUMMYFUNCTION("""COMPUTED_VALUE"""),"Good")</f>
        <v>Good</v>
      </c>
      <c r="AB250" t="str">
        <f ca="1">IFERROR(__xludf.DUMMYFUNCTION("""COMPUTED_VALUE"""),"Good")</f>
        <v>Good</v>
      </c>
      <c r="AC250" t="str">
        <f ca="1">IFERROR(__xludf.DUMMYFUNCTION("""COMPUTED_VALUE"""),"Good")</f>
        <v>Good</v>
      </c>
      <c r="AE250" s="11"/>
      <c r="AF250" t="str">
        <v>Nikki.Dix@floridadep.gov</v>
      </c>
      <c r="AG250" s="17" t="s">
        <v>17</v>
      </c>
      <c r="AH250" s="12">
        <v>1145</v>
      </c>
      <c r="AI250" s="12" t="s">
        <v>694</v>
      </c>
      <c r="AJ250" s="19" t="s">
        <v>695</v>
      </c>
      <c r="AK250" s="20" t="str">
        <f>HYPERLINK("https://docs.google.com/document/d/1f2_RdO7f651I6OZS4bfi5p2XdGlREoePCDX_MNDvHz0/edit?usp=drivesdk","Silas Tanner - 2/14/2019 9:15 AM")</f>
        <v>Silas Tanner - 2/14/2019 9:15 AM</v>
      </c>
      <c r="AL250" s="12" t="s">
        <v>696</v>
      </c>
    </row>
    <row r="251" spans="1:38" ht="12.75">
      <c r="A251" s="10">
        <f ca="1">IFERROR(__xludf.DUMMYFUNCTION("""COMPUTED_VALUE"""),43511.4302810185)</f>
        <v>43511.430281018504</v>
      </c>
      <c r="B251" s="11" t="str">
        <f ca="1">IFERROR(__xludf.DUMMYFUNCTION("""COMPUTED_VALUE"""),"Silas Tanner")</f>
        <v>Silas Tanner</v>
      </c>
      <c r="C251" t="str">
        <f ca="1">IFERROR(__xludf.DUMMYFUNCTION("""COMPUTED_VALUE"""),"silas.tanner@floridadep.gov")</f>
        <v>silas.tanner@floridadep.gov</v>
      </c>
      <c r="D251" t="str">
        <f ca="1">IFERROR(__xludf.DUMMYFUNCTION("""COMPUTED_VALUE"""),"Research/Shannon")</f>
        <v>Research/Shannon</v>
      </c>
      <c r="E251" t="str">
        <f ca="1">IFERROR(__xludf.DUMMYFUNCTION("""COMPUTED_VALUE"""),"Aunt Kate's")</f>
        <v>Aunt Kate's</v>
      </c>
      <c r="F251" s="13">
        <f ca="1">IFERROR(__xludf.DUMMYFUNCTION("""COMPUTED_VALUE"""),0.447916666667879)</f>
        <v>0.44791666666787899</v>
      </c>
      <c r="G251" s="14">
        <f ca="1">IFERROR(__xludf.DUMMYFUNCTION("""COMPUTED_VALUE"""),43511)</f>
        <v>43511</v>
      </c>
      <c r="H251" t="str">
        <f ca="1">IFERROR(__xludf.DUMMYFUNCTION("""COMPUTED_VALUE"""),"ICW Sombrero Creek - Hat Island SWMP platforms")</f>
        <v>ICW Sombrero Creek - Hat Island SWMP platforms</v>
      </c>
      <c r="I251" s="15">
        <f ca="1">IFERROR(__xludf.DUMMYFUNCTION("""COMPUTED_VALUE"""),0.64583333333212)</f>
        <v>0.64583333333212001</v>
      </c>
      <c r="J251" s="16">
        <f ca="1">IFERROR(__xludf.DUMMYFUNCTION("""COMPUTED_VALUE"""),43511.65625)</f>
        <v>43511.65625</v>
      </c>
      <c r="K251" t="str">
        <f ca="1">IFERROR(__xludf.DUMMYFUNCTION("""COMPUTED_VALUE"""),"23ft Skiff (Bertha) FL7972LJ DEP07613")</f>
        <v>23ft Skiff (Bertha) FL7972LJ DEP07613</v>
      </c>
      <c r="M251" t="str">
        <f ca="1">IFERROR(__xludf.DUMMYFUNCTION("""COMPUTED_VALUE"""),"Ford F150 2008 - DEP18041 (SWMP Thing)")</f>
        <v>Ford F150 2008 - DEP18041 (SWMP Thing)</v>
      </c>
      <c r="N251" t="str">
        <f ca="1">IFERROR(__xludf.DUMMYFUNCTION("""COMPUTED_VALUE"""),"Silas Tanner, (904) 483-8423, Ben Mowbray, (407) 962-8782")</f>
        <v>Silas Tanner, (904) 483-8423, Ben Mowbray, (407) 962-8782</v>
      </c>
      <c r="O251" t="str">
        <f ca="1">IFERROR(__xludf.DUMMYFUNCTION("""COMPUTED_VALUE"""),"Jessica Lee")</f>
        <v>Jessica Lee</v>
      </c>
      <c r="P251" t="str">
        <f ca="1">IFERROR(__xludf.DUMMYFUNCTION("""COMPUTED_VALUE"""),"S. Tanner")</f>
        <v>S. Tanner</v>
      </c>
      <c r="Q251" t="str">
        <f ca="1">IFERROR(__xludf.DUMMYFUNCTION("""COMPUTED_VALUE"""),"Good")</f>
        <v>Good</v>
      </c>
      <c r="R251" t="str">
        <f ca="1">IFERROR(__xludf.DUMMYFUNCTION("""COMPUTED_VALUE"""),"Good")</f>
        <v>Good</v>
      </c>
      <c r="S251" t="str">
        <f ca="1">IFERROR(__xludf.DUMMYFUNCTION("""COMPUTED_VALUE"""),"Good")</f>
        <v>Good</v>
      </c>
      <c r="T251" t="str">
        <f ca="1">IFERROR(__xludf.DUMMYFUNCTION("""COMPUTED_VALUE"""),"Good")</f>
        <v>Good</v>
      </c>
      <c r="U251" t="str">
        <f ca="1">IFERROR(__xludf.DUMMYFUNCTION("""COMPUTED_VALUE"""),"Good")</f>
        <v>Good</v>
      </c>
      <c r="V251" t="str">
        <f ca="1">IFERROR(__xludf.DUMMYFUNCTION("""COMPUTED_VALUE"""),"Good")</f>
        <v>Good</v>
      </c>
      <c r="W251" t="str">
        <f ca="1">IFERROR(__xludf.DUMMYFUNCTION("""COMPUTED_VALUE"""),"Good")</f>
        <v>Good</v>
      </c>
      <c r="X251" t="str">
        <f ca="1">IFERROR(__xludf.DUMMYFUNCTION("""COMPUTED_VALUE"""),"Good")</f>
        <v>Good</v>
      </c>
      <c r="Y251" t="str">
        <f ca="1">IFERROR(__xludf.DUMMYFUNCTION("""COMPUTED_VALUE"""),"Good")</f>
        <v>Good</v>
      </c>
      <c r="Z251" t="str">
        <f ca="1">IFERROR(__xludf.DUMMYFUNCTION("""COMPUTED_VALUE"""),"Good")</f>
        <v>Good</v>
      </c>
      <c r="AA251" t="str">
        <f ca="1">IFERROR(__xludf.DUMMYFUNCTION("""COMPUTED_VALUE"""),"Good")</f>
        <v>Good</v>
      </c>
      <c r="AB251" t="str">
        <f ca="1">IFERROR(__xludf.DUMMYFUNCTION("""COMPUTED_VALUE"""),"Good")</f>
        <v>Good</v>
      </c>
      <c r="AC251" t="str">
        <f ca="1">IFERROR(__xludf.DUMMYFUNCTION("""COMPUTED_VALUE"""),"Good")</f>
        <v>Good</v>
      </c>
      <c r="AE251" s="11"/>
      <c r="AF251" t="str">
        <v>Shannon.Dunnigan@floridadep.gov</v>
      </c>
      <c r="AG251" s="17" t="s">
        <v>507</v>
      </c>
      <c r="AH251" s="12">
        <v>1346</v>
      </c>
      <c r="AI251" s="12" t="s">
        <v>697</v>
      </c>
      <c r="AJ251" s="19" t="s">
        <v>698</v>
      </c>
      <c r="AK251" s="20" t="str">
        <f>HYPERLINK("https://docs.google.com/document/d/1vjgkI4Lfj1nbvK_7qvSxeRdAub1lhBKrshH59fnzSM4/edit?usp=drivesdk","Silas Tanner - 2/15/2019 10:45 AM")</f>
        <v>Silas Tanner - 2/15/2019 10:45 AM</v>
      </c>
      <c r="AL251" s="12" t="s">
        <v>699</v>
      </c>
    </row>
    <row r="252" spans="1:38" ht="12.75">
      <c r="A252" s="10">
        <f ca="1">IFERROR(__xludf.DUMMYFUNCTION("""COMPUTED_VALUE"""),43514.4281043055)</f>
        <v>43514.428104305502</v>
      </c>
      <c r="B252" s="11" t="str">
        <f ca="1">IFERROR(__xludf.DUMMYFUNCTION("""COMPUTED_VALUE"""),"Pamela Marcum")</f>
        <v>Pamela Marcum</v>
      </c>
      <c r="C252" t="str">
        <f ca="1">IFERROR(__xludf.DUMMYFUNCTION("""COMPUTED_VALUE"""),"Pamela.Marcum@dep.state.fl.us")</f>
        <v>Pamela.Marcum@dep.state.fl.us</v>
      </c>
      <c r="D252" t="str">
        <f ca="1">IFERROR(__xludf.DUMMYFUNCTION("""COMPUTED_VALUE"""),"Research/Nikki")</f>
        <v>Research/Nikki</v>
      </c>
      <c r="E252" t="str">
        <f ca="1">IFERROR(__xludf.DUMMYFUNCTION("""COMPUTED_VALUE"""),"Aunt Kate's")</f>
        <v>Aunt Kate's</v>
      </c>
      <c r="F252" s="13">
        <f ca="1">IFERROR(__xludf.DUMMYFUNCTION("""COMPUTED_VALUE"""),0.4375)</f>
        <v>0.4375</v>
      </c>
      <c r="G252" s="14">
        <f ca="1">IFERROR(__xludf.DUMMYFUNCTION("""COMPUTED_VALUE"""),43514)</f>
        <v>43514</v>
      </c>
      <c r="H252" t="str">
        <f ca="1">IFERROR(__xludf.DUMMYFUNCTION("""COMPUTED_VALUE"""),"Tolomato River")</f>
        <v>Tolomato River</v>
      </c>
      <c r="I252" s="15">
        <f ca="1">IFERROR(__xludf.DUMMYFUNCTION("""COMPUTED_VALUE"""),0.70833333333212)</f>
        <v>0.70833333333212001</v>
      </c>
      <c r="J252" s="16">
        <f ca="1">IFERROR(__xludf.DUMMYFUNCTION("""COMPUTED_VALUE"""),43514.7291666666)</f>
        <v>43514.729166666599</v>
      </c>
      <c r="K252" t="str">
        <f ca="1">IFERROR(__xludf.DUMMYFUNCTION("""COMPUTED_VALUE"""),"23ft Skiff (Bertha) FL7972LJ DEP07613")</f>
        <v>23ft Skiff (Bertha) FL7972LJ DEP07613</v>
      </c>
      <c r="M252" t="str">
        <f ca="1">IFERROR(__xludf.DUMMYFUNCTION("""COMPUTED_VALUE"""),"Ford F150 2008 - DEP18041 (SWMP Thing)")</f>
        <v>Ford F150 2008 - DEP18041 (SWMP Thing)</v>
      </c>
      <c r="N252" t="str">
        <f ca="1">IFERROR(__xludf.DUMMYFUNCTION("""COMPUTED_VALUE"""),"Pam Marcum, (480) 332-5414")</f>
        <v>Pam Marcum, (480) 332-5414</v>
      </c>
      <c r="O252" t="str">
        <f ca="1">IFERROR(__xludf.DUMMYFUNCTION("""COMPUTED_VALUE"""),"Jeff Finnan, Mary Finnan")</f>
        <v>Jeff Finnan, Mary Finnan</v>
      </c>
      <c r="P252" t="str">
        <f ca="1">IFERROR(__xludf.DUMMYFUNCTION("""COMPUTED_VALUE"""),"Pam")</f>
        <v>Pam</v>
      </c>
      <c r="Q252" t="str">
        <f ca="1">IFERROR(__xludf.DUMMYFUNCTION("""COMPUTED_VALUE"""),"Good")</f>
        <v>Good</v>
      </c>
      <c r="R252" t="str">
        <f ca="1">IFERROR(__xludf.DUMMYFUNCTION("""COMPUTED_VALUE"""),"Good")</f>
        <v>Good</v>
      </c>
      <c r="S252" t="str">
        <f ca="1">IFERROR(__xludf.DUMMYFUNCTION("""COMPUTED_VALUE"""),"Good")</f>
        <v>Good</v>
      </c>
      <c r="T252" t="str">
        <f ca="1">IFERROR(__xludf.DUMMYFUNCTION("""COMPUTED_VALUE"""),"Good")</f>
        <v>Good</v>
      </c>
      <c r="U252" t="str">
        <f ca="1">IFERROR(__xludf.DUMMYFUNCTION("""COMPUTED_VALUE"""),"Good")</f>
        <v>Good</v>
      </c>
      <c r="V252" t="str">
        <f ca="1">IFERROR(__xludf.DUMMYFUNCTION("""COMPUTED_VALUE"""),"Good")</f>
        <v>Good</v>
      </c>
      <c r="W252" t="str">
        <f ca="1">IFERROR(__xludf.DUMMYFUNCTION("""COMPUTED_VALUE"""),"Good")</f>
        <v>Good</v>
      </c>
      <c r="X252" t="str">
        <f ca="1">IFERROR(__xludf.DUMMYFUNCTION("""COMPUTED_VALUE"""),"Good")</f>
        <v>Good</v>
      </c>
      <c r="Y252" t="str">
        <f ca="1">IFERROR(__xludf.DUMMYFUNCTION("""COMPUTED_VALUE"""),"Good")</f>
        <v>Good</v>
      </c>
      <c r="Z252" t="str">
        <f ca="1">IFERROR(__xludf.DUMMYFUNCTION("""COMPUTED_VALUE"""),"Good")</f>
        <v>Good</v>
      </c>
      <c r="AA252" t="str">
        <f ca="1">IFERROR(__xludf.DUMMYFUNCTION("""COMPUTED_VALUE"""),"Good")</f>
        <v>Good</v>
      </c>
      <c r="AB252" t="str">
        <f ca="1">IFERROR(__xludf.DUMMYFUNCTION("""COMPUTED_VALUE"""),"Good")</f>
        <v>Good</v>
      </c>
      <c r="AC252" t="str">
        <f ca="1">IFERROR(__xludf.DUMMYFUNCTION("""COMPUTED_VALUE"""),"Good")</f>
        <v>Good</v>
      </c>
      <c r="AE252" s="11"/>
      <c r="AF252" t="str">
        <v>Nikki.Dix@floridadep.gov</v>
      </c>
      <c r="AG252" s="17" t="s">
        <v>58</v>
      </c>
      <c r="AH252" s="12">
        <v>1512</v>
      </c>
      <c r="AI252" s="12" t="s">
        <v>700</v>
      </c>
      <c r="AJ252" s="19" t="s">
        <v>701</v>
      </c>
      <c r="AK252" s="20" t="str">
        <f>HYPERLINK("https://docs.google.com/document/d/1Yt2HD3iejFIbR5_nzxBX4oSXL467Y0dEFPeCK--9RKY/edit?usp=drivesdk","Pamela Marcum - 2/18/2019 10:30 AM")</f>
        <v>Pamela Marcum - 2/18/2019 10:30 AM</v>
      </c>
      <c r="AL252" s="12" t="s">
        <v>702</v>
      </c>
    </row>
    <row r="253" spans="1:38" ht="12.75">
      <c r="A253" s="10">
        <f ca="1">IFERROR(__xludf.DUMMYFUNCTION("""COMPUTED_VALUE"""),43516.4013573495)</f>
        <v>43516.401357349503</v>
      </c>
      <c r="B253" s="11" t="str">
        <f ca="1">IFERROR(__xludf.DUMMYFUNCTION("""COMPUTED_VALUE"""),"Silas Tanner")</f>
        <v>Silas Tanner</v>
      </c>
      <c r="C253" t="str">
        <f ca="1">IFERROR(__xludf.DUMMYFUNCTION("""COMPUTED_VALUE"""),"silas.tanner@floridadep.gov")</f>
        <v>silas.tanner@floridadep.gov</v>
      </c>
      <c r="D253" t="str">
        <f ca="1">IFERROR(__xludf.DUMMYFUNCTION("""COMPUTED_VALUE"""),"Research/Nikki")</f>
        <v>Research/Nikki</v>
      </c>
      <c r="E253" t="str">
        <f ca="1">IFERROR(__xludf.DUMMYFUNCTION("""COMPUTED_VALUE"""),"Vilano Landing")</f>
        <v>Vilano Landing</v>
      </c>
      <c r="F253" s="13">
        <f ca="1">IFERROR(__xludf.DUMMYFUNCTION("""COMPUTED_VALUE"""),0.447916666667879)</f>
        <v>0.44791666666787899</v>
      </c>
      <c r="G253" s="14">
        <f ca="1">IFERROR(__xludf.DUMMYFUNCTION("""COMPUTED_VALUE"""),43516)</f>
        <v>43516</v>
      </c>
      <c r="H253" t="str">
        <f ca="1">IFERROR(__xludf.DUMMYFUNCTION("""COMPUTED_VALUE"""),"ICW SWMP sites")</f>
        <v>ICW SWMP sites</v>
      </c>
      <c r="I253" s="15">
        <f ca="1">IFERROR(__xludf.DUMMYFUNCTION("""COMPUTED_VALUE"""),0.625)</f>
        <v>0.625</v>
      </c>
      <c r="J253" s="16">
        <f ca="1">IFERROR(__xludf.DUMMYFUNCTION("""COMPUTED_VALUE"""),43516.6354166666)</f>
        <v>43516.635416666599</v>
      </c>
      <c r="K253" t="str">
        <f ca="1">IFERROR(__xludf.DUMMYFUNCTION("""COMPUTED_VALUE"""),"23ft Skiff (Bertha) FL7972LJ DEP07613")</f>
        <v>23ft Skiff (Bertha) FL7972LJ DEP07613</v>
      </c>
      <c r="M253" t="str">
        <f ca="1">IFERROR(__xludf.DUMMYFUNCTION("""COMPUTED_VALUE"""),"Ford F250 2017 (Moby Dix) - DEP0021578")</f>
        <v>Ford F250 2017 (Moby Dix) - DEP0021578</v>
      </c>
      <c r="N253" t="str">
        <f ca="1">IFERROR(__xludf.DUMMYFUNCTION("""COMPUTED_VALUE"""),"Shannon Dunnigan, (803) 727-5734, Silas Tanner, (904) 483-8423")</f>
        <v>Shannon Dunnigan, (803) 727-5734, Silas Tanner, (904) 483-8423</v>
      </c>
      <c r="P253" t="str">
        <f ca="1">IFERROR(__xludf.DUMMYFUNCTION("""COMPUTED_VALUE"""),"Dunnigan")</f>
        <v>Dunnigan</v>
      </c>
      <c r="Q253" t="str">
        <f ca="1">IFERROR(__xludf.DUMMYFUNCTION("""COMPUTED_VALUE"""),"Good")</f>
        <v>Good</v>
      </c>
      <c r="R253" t="str">
        <f ca="1">IFERROR(__xludf.DUMMYFUNCTION("""COMPUTED_VALUE"""),"Good")</f>
        <v>Good</v>
      </c>
      <c r="S253" t="str">
        <f ca="1">IFERROR(__xludf.DUMMYFUNCTION("""COMPUTED_VALUE"""),"Good")</f>
        <v>Good</v>
      </c>
      <c r="T253" t="str">
        <f ca="1">IFERROR(__xludf.DUMMYFUNCTION("""COMPUTED_VALUE"""),"Good")</f>
        <v>Good</v>
      </c>
      <c r="U253" t="str">
        <f ca="1">IFERROR(__xludf.DUMMYFUNCTION("""COMPUTED_VALUE"""),"Good")</f>
        <v>Good</v>
      </c>
      <c r="V253" t="str">
        <f ca="1">IFERROR(__xludf.DUMMYFUNCTION("""COMPUTED_VALUE"""),"Good")</f>
        <v>Good</v>
      </c>
      <c r="W253" t="str">
        <f ca="1">IFERROR(__xludf.DUMMYFUNCTION("""COMPUTED_VALUE"""),"Good")</f>
        <v>Good</v>
      </c>
      <c r="X253" t="str">
        <f ca="1">IFERROR(__xludf.DUMMYFUNCTION("""COMPUTED_VALUE"""),"Good")</f>
        <v>Good</v>
      </c>
      <c r="Y253" t="str">
        <f ca="1">IFERROR(__xludf.DUMMYFUNCTION("""COMPUTED_VALUE"""),"Good")</f>
        <v>Good</v>
      </c>
      <c r="Z253" t="str">
        <f ca="1">IFERROR(__xludf.DUMMYFUNCTION("""COMPUTED_VALUE"""),"Good")</f>
        <v>Good</v>
      </c>
      <c r="AA253" t="str">
        <f ca="1">IFERROR(__xludf.DUMMYFUNCTION("""COMPUTED_VALUE"""),"Good")</f>
        <v>Good</v>
      </c>
      <c r="AB253" t="str">
        <f ca="1">IFERROR(__xludf.DUMMYFUNCTION("""COMPUTED_VALUE"""),"Good")</f>
        <v>Good</v>
      </c>
      <c r="AC253" t="str">
        <f ca="1">IFERROR(__xludf.DUMMYFUNCTION("""COMPUTED_VALUE"""),"Good")</f>
        <v>Good</v>
      </c>
      <c r="AE253" s="11"/>
      <c r="AF253" t="str">
        <v>Nikki.Dix@floridadep.gov</v>
      </c>
      <c r="AG253" s="17" t="s">
        <v>17</v>
      </c>
      <c r="AH253" s="12">
        <v>1522</v>
      </c>
      <c r="AI253" s="12" t="s">
        <v>703</v>
      </c>
      <c r="AJ253" s="19" t="s">
        <v>704</v>
      </c>
      <c r="AK253" s="20" t="str">
        <f>HYPERLINK("https://docs.google.com/document/d/1eml75LLBrnwv1nCwBu_-OJNxHvJ3ubC1U_W3NBu9nRM/edit?usp=drivesdk","Silas Tanner - 2/20/2019 10:45 AM")</f>
        <v>Silas Tanner - 2/20/2019 10:45 AM</v>
      </c>
      <c r="AL253" s="12" t="s">
        <v>705</v>
      </c>
    </row>
    <row r="254" spans="1:38" ht="12.75">
      <c r="A254" s="10">
        <f ca="1">IFERROR(__xludf.DUMMYFUNCTION("""COMPUTED_VALUE"""),43516.5361986226)</f>
        <v>43516.536198622598</v>
      </c>
      <c r="B254" s="11" t="str">
        <f ca="1">IFERROR(__xludf.DUMMYFUNCTION("""COMPUTED_VALUE"""),"Pamela Marcum")</f>
        <v>Pamela Marcum</v>
      </c>
      <c r="C254" t="str">
        <f ca="1">IFERROR(__xludf.DUMMYFUNCTION("""COMPUTED_VALUE"""),"pamela.marcum@floridadep.gov")</f>
        <v>pamela.marcum@floridadep.gov</v>
      </c>
      <c r="D254" t="str">
        <f ca="1">IFERROR(__xludf.DUMMYFUNCTION("""COMPUTED_VALUE"""),"Research/Nikki")</f>
        <v>Research/Nikki</v>
      </c>
      <c r="E254" t="str">
        <f ca="1">IFERROR(__xludf.DUMMYFUNCTION("""COMPUTED_VALUE"""),"Shore drive crane park")</f>
        <v>Shore drive crane park</v>
      </c>
      <c r="F254" s="13">
        <f ca="1">IFERROR(__xludf.DUMMYFUNCTION("""COMPUTED_VALUE"""),0.52083333333212)</f>
        <v>0.52083333333212001</v>
      </c>
      <c r="G254" s="14">
        <f ca="1">IFERROR(__xludf.DUMMYFUNCTION("""COMPUTED_VALUE"""),43516)</f>
        <v>43516</v>
      </c>
      <c r="H254" t="str">
        <f ca="1">IFERROR(__xludf.DUMMYFUNCTION("""COMPUTED_VALUE"""),"Matanzas River ")</f>
        <v xml:space="preserve">Matanzas River </v>
      </c>
      <c r="I254" s="15">
        <f ca="1">IFERROR(__xludf.DUMMYFUNCTION("""COMPUTED_VALUE"""),0.666666666667879)</f>
        <v>0.66666666666787899</v>
      </c>
      <c r="J254" s="16">
        <f ca="1">IFERROR(__xludf.DUMMYFUNCTION("""COMPUTED_VALUE"""),43516.6875)</f>
        <v>43516.6875</v>
      </c>
      <c r="K254" t="str">
        <f ca="1">IFERROR(__xludf.DUMMYFUNCTION("""COMPUTED_VALUE"""),"F 20ft Sea Ark (Easy 200) FL8534PY DEP21451")</f>
        <v>F 20ft Sea Ark (Easy 200) FL8534PY DEP21451</v>
      </c>
      <c r="M254" t="str">
        <f ca="1">IFERROR(__xludf.DUMMYFUNCTION("""COMPUTED_VALUE"""),"Ford F150 2008 - DEP18041 (SWMP Thing)")</f>
        <v>Ford F150 2008 - DEP18041 (SWMP Thing)</v>
      </c>
      <c r="N254" t="str">
        <f ca="1">IFERROR(__xludf.DUMMYFUNCTION("""COMPUTED_VALUE"""),"Pam Marcum, (480) 332-5414, Ben Mowbray, (407) 962-8782")</f>
        <v>Pam Marcum, (480) 332-5414, Ben Mowbray, (407) 962-8782</v>
      </c>
      <c r="O254" t="str">
        <f ca="1">IFERROR(__xludf.DUMMYFUNCTION("""COMPUTED_VALUE"""),"Marti,  Cathy")</f>
        <v>Marti,  Cathy</v>
      </c>
      <c r="P254" t="str">
        <f ca="1">IFERROR(__xludf.DUMMYFUNCTION("""COMPUTED_VALUE"""),"Ben")</f>
        <v>Ben</v>
      </c>
      <c r="Q254" t="str">
        <f ca="1">IFERROR(__xludf.DUMMYFUNCTION("""COMPUTED_VALUE"""),"Good")</f>
        <v>Good</v>
      </c>
      <c r="R254" t="str">
        <f ca="1">IFERROR(__xludf.DUMMYFUNCTION("""COMPUTED_VALUE"""),"Good")</f>
        <v>Good</v>
      </c>
      <c r="S254" t="str">
        <f ca="1">IFERROR(__xludf.DUMMYFUNCTION("""COMPUTED_VALUE"""),"Good")</f>
        <v>Good</v>
      </c>
      <c r="T254" t="str">
        <f ca="1">IFERROR(__xludf.DUMMYFUNCTION("""COMPUTED_VALUE"""),"Good")</f>
        <v>Good</v>
      </c>
      <c r="U254" t="str">
        <f ca="1">IFERROR(__xludf.DUMMYFUNCTION("""COMPUTED_VALUE"""),"Good")</f>
        <v>Good</v>
      </c>
      <c r="V254" t="str">
        <f ca="1">IFERROR(__xludf.DUMMYFUNCTION("""COMPUTED_VALUE"""),"Good")</f>
        <v>Good</v>
      </c>
      <c r="W254" t="str">
        <f ca="1">IFERROR(__xludf.DUMMYFUNCTION("""COMPUTED_VALUE"""),"Good")</f>
        <v>Good</v>
      </c>
      <c r="X254" t="str">
        <f ca="1">IFERROR(__xludf.DUMMYFUNCTION("""COMPUTED_VALUE"""),"Good")</f>
        <v>Good</v>
      </c>
      <c r="Y254" t="str">
        <f ca="1">IFERROR(__xludf.DUMMYFUNCTION("""COMPUTED_VALUE"""),"Good")</f>
        <v>Good</v>
      </c>
      <c r="Z254" t="str">
        <f ca="1">IFERROR(__xludf.DUMMYFUNCTION("""COMPUTED_VALUE"""),"Good")</f>
        <v>Good</v>
      </c>
      <c r="AA254" t="str">
        <f ca="1">IFERROR(__xludf.DUMMYFUNCTION("""COMPUTED_VALUE"""),"Good")</f>
        <v>Good</v>
      </c>
      <c r="AB254" t="str">
        <f ca="1">IFERROR(__xludf.DUMMYFUNCTION("""COMPUTED_VALUE"""),"Good")</f>
        <v>Good</v>
      </c>
      <c r="AC254" t="str">
        <f ca="1">IFERROR(__xludf.DUMMYFUNCTION("""COMPUTED_VALUE"""),"Good")</f>
        <v>Good</v>
      </c>
      <c r="AE254" s="11"/>
      <c r="AF254" t="str">
        <v>Nikki.Dix@floridadep.gov</v>
      </c>
      <c r="AG254" s="17" t="s">
        <v>41</v>
      </c>
      <c r="AH254" s="12">
        <v>1745</v>
      </c>
      <c r="AI254" s="12" t="s">
        <v>706</v>
      </c>
      <c r="AJ254" s="19" t="s">
        <v>707</v>
      </c>
      <c r="AK254" s="20" t="str">
        <f>HYPERLINK("https://docs.google.com/document/d/1vmmHbbEKOlfRp-_iKH2vKvCl0CVCLNAqtyyG8zrDGGo/edit?usp=drivesdk","Pamela Marcum - 2/20/2019 12:30 PM")</f>
        <v>Pamela Marcum - 2/20/2019 12:30 PM</v>
      </c>
      <c r="AL254" s="12" t="s">
        <v>708</v>
      </c>
    </row>
    <row r="255" spans="1:38" ht="12.75">
      <c r="A255" s="10">
        <f ca="1">IFERROR(__xludf.DUMMYFUNCTION("""COMPUTED_VALUE"""),43516.5778326273)</f>
        <v>43516.577832627299</v>
      </c>
      <c r="B255" s="11" t="str">
        <f ca="1">IFERROR(__xludf.DUMMYFUNCTION("""COMPUTED_VALUE"""),"james tomazinis")</f>
        <v>james tomazinis</v>
      </c>
      <c r="C255" t="str">
        <f ca="1">IFERROR(__xludf.DUMMYFUNCTION("""COMPUTED_VALUE"""),"james.tomazinis@floridadep.gov")</f>
        <v>james.tomazinis@floridadep.gov</v>
      </c>
      <c r="D255" t="str">
        <f ca="1">IFERROR(__xludf.DUMMYFUNCTION("""COMPUTED_VALUE"""),"Stewardship (Aquatic)")</f>
        <v>Stewardship (Aquatic)</v>
      </c>
      <c r="E255" t="str">
        <f ca="1">IFERROR(__xludf.DUMMYFUNCTION("""COMPUTED_VALUE"""),"Vilano")</f>
        <v>Vilano</v>
      </c>
      <c r="F255" s="13">
        <f ca="1">IFERROR(__xludf.DUMMYFUNCTION("""COMPUTED_VALUE"""),0.354166666667879)</f>
        <v>0.35416666666787899</v>
      </c>
      <c r="G255" s="14">
        <f ca="1">IFERROR(__xludf.DUMMYFUNCTION("""COMPUTED_VALUE"""),43517)</f>
        <v>43517</v>
      </c>
      <c r="H255" t="str">
        <f ca="1">IFERROR(__xludf.DUMMYFUNCTION("""COMPUTED_VALUE"""),"Matanzas River nekton sites")</f>
        <v>Matanzas River nekton sites</v>
      </c>
      <c r="I255" s="15">
        <f ca="1">IFERROR(__xludf.DUMMYFUNCTION("""COMPUTED_VALUE"""),0.541666666667879)</f>
        <v>0.54166666666787899</v>
      </c>
      <c r="J255" s="16"/>
      <c r="K255" t="str">
        <f ca="1">IFERROR(__xludf.DUMMYFUNCTION("""COMPUTED_VALUE"""),"23ft Skiff (Bertha) FL7972LJ DEP07613")</f>
        <v>23ft Skiff (Bertha) FL7972LJ DEP07613</v>
      </c>
      <c r="M255" t="str">
        <f ca="1">IFERROR(__xludf.DUMMYFUNCTION("""COMPUTED_VALUE"""),"Ford F250 2017 (Moby Dix) - DEP0021578")</f>
        <v>Ford F250 2017 (Moby Dix) - DEP0021578</v>
      </c>
      <c r="N255" t="str">
        <f ca="1">IFERROR(__xludf.DUMMYFUNCTION("""COMPUTED_VALUE"""),"Jimmy Tomazinis, (904) 547-0094")</f>
        <v>Jimmy Tomazinis, (904) 547-0094</v>
      </c>
      <c r="O255" t="str">
        <f ca="1">IFERROR(__xludf.DUMMYFUNCTION("""COMPUTED_VALUE"""),"Ed Mcginley + students")</f>
        <v>Ed Mcginley + students</v>
      </c>
      <c r="P255" t="str">
        <f ca="1">IFERROR(__xludf.DUMMYFUNCTION("""COMPUTED_VALUE"""),"Jimmy")</f>
        <v>Jimmy</v>
      </c>
      <c r="Q255" t="str">
        <f ca="1">IFERROR(__xludf.DUMMYFUNCTION("""COMPUTED_VALUE"""),"Good")</f>
        <v>Good</v>
      </c>
      <c r="R255" t="str">
        <f ca="1">IFERROR(__xludf.DUMMYFUNCTION("""COMPUTED_VALUE"""),"Good")</f>
        <v>Good</v>
      </c>
      <c r="S255" t="str">
        <f ca="1">IFERROR(__xludf.DUMMYFUNCTION("""COMPUTED_VALUE"""),"Good")</f>
        <v>Good</v>
      </c>
      <c r="T255" t="str">
        <f ca="1">IFERROR(__xludf.DUMMYFUNCTION("""COMPUTED_VALUE"""),"Good")</f>
        <v>Good</v>
      </c>
      <c r="U255" t="str">
        <f ca="1">IFERROR(__xludf.DUMMYFUNCTION("""COMPUTED_VALUE"""),"Good")</f>
        <v>Good</v>
      </c>
      <c r="V255" t="str">
        <f ca="1">IFERROR(__xludf.DUMMYFUNCTION("""COMPUTED_VALUE"""),"Good")</f>
        <v>Good</v>
      </c>
      <c r="W255" t="str">
        <f ca="1">IFERROR(__xludf.DUMMYFUNCTION("""COMPUTED_VALUE"""),"Good")</f>
        <v>Good</v>
      </c>
      <c r="X255" t="str">
        <f ca="1">IFERROR(__xludf.DUMMYFUNCTION("""COMPUTED_VALUE"""),"Good")</f>
        <v>Good</v>
      </c>
      <c r="Y255" t="str">
        <f ca="1">IFERROR(__xludf.DUMMYFUNCTION("""COMPUTED_VALUE"""),"Good")</f>
        <v>Good</v>
      </c>
      <c r="Z255" t="str">
        <f ca="1">IFERROR(__xludf.DUMMYFUNCTION("""COMPUTED_VALUE"""),"Good")</f>
        <v>Good</v>
      </c>
      <c r="AA255" t="str">
        <f ca="1">IFERROR(__xludf.DUMMYFUNCTION("""COMPUTED_VALUE"""),"Good")</f>
        <v>Good</v>
      </c>
      <c r="AB255" t="str">
        <f ca="1">IFERROR(__xludf.DUMMYFUNCTION("""COMPUTED_VALUE"""),"Good")</f>
        <v>Good</v>
      </c>
      <c r="AC255" t="str">
        <f ca="1">IFERROR(__xludf.DUMMYFUNCTION("""COMPUTED_VALUE"""),"Good")</f>
        <v>Good</v>
      </c>
      <c r="AE255" s="11"/>
      <c r="AF255" t="str">
        <v>Scott.Eastman@floridadep.gov</v>
      </c>
      <c r="AG255" s="17" t="s">
        <v>709</v>
      </c>
      <c r="AH255" s="12">
        <v>1320</v>
      </c>
      <c r="AI255" s="12" t="s">
        <v>710</v>
      </c>
      <c r="AJ255" s="19" t="s">
        <v>711</v>
      </c>
      <c r="AK255" s="20" t="str">
        <f>HYPERLINK("https://docs.google.com/document/d/14pAUYwsaSmzX3501xXPXCLv9Bc9CBsp_aTg69Fj2q_c/edit?usp=drivesdk","james tomazinis - 2/21/2019 8:30 AM")</f>
        <v>james tomazinis - 2/21/2019 8:30 AM</v>
      </c>
      <c r="AL255" s="12" t="s">
        <v>712</v>
      </c>
    </row>
    <row r="256" spans="1:38" ht="12.75">
      <c r="A256" s="10">
        <f ca="1">IFERROR(__xludf.DUMMYFUNCTION("""COMPUTED_VALUE"""),43518.5207091088)</f>
        <v>43518.520709108801</v>
      </c>
      <c r="B256" s="11" t="str">
        <f ca="1">IFERROR(__xludf.DUMMYFUNCTION("""COMPUTED_VALUE"""),"Pamela Marcum")</f>
        <v>Pamela Marcum</v>
      </c>
      <c r="C256" t="str">
        <f ca="1">IFERROR(__xludf.DUMMYFUNCTION("""COMPUTED_VALUE"""),"Pamela.Marcum@floridadep.gov")</f>
        <v>Pamela.Marcum@floridadep.gov</v>
      </c>
      <c r="D256" t="str">
        <f ca="1">IFERROR(__xludf.DUMMYFUNCTION("""COMPUTED_VALUE"""),"Research/Nikki")</f>
        <v>Research/Nikki</v>
      </c>
      <c r="E256" t="str">
        <f ca="1">IFERROR(__xludf.DUMMYFUNCTION("""COMPUTED_VALUE"""),"Lighthouse")</f>
        <v>Lighthouse</v>
      </c>
      <c r="F256" s="13">
        <f ca="1">IFERROR(__xludf.DUMMYFUNCTION("""COMPUTED_VALUE"""),0.541666666667879)</f>
        <v>0.54166666666787899</v>
      </c>
      <c r="G256" s="14">
        <f ca="1">IFERROR(__xludf.DUMMYFUNCTION("""COMPUTED_VALUE"""),43518)</f>
        <v>43518</v>
      </c>
      <c r="H256" t="str">
        <f ca="1">IFERROR(__xludf.DUMMYFUNCTION("""COMPUTED_VALUE"""),"Salt Run/St. Aug Inlet")</f>
        <v>Salt Run/St. Aug Inlet</v>
      </c>
      <c r="I256" s="15">
        <f ca="1">IFERROR(__xludf.DUMMYFUNCTION("""COMPUTED_VALUE"""),0.666666666667879)</f>
        <v>0.66666666666787899</v>
      </c>
      <c r="J256" s="16">
        <f ca="1">IFERROR(__xludf.DUMMYFUNCTION("""COMPUTED_VALUE"""),43518.6875)</f>
        <v>43518.6875</v>
      </c>
      <c r="K256" t="str">
        <f ca="1">IFERROR(__xludf.DUMMYFUNCTION("""COMPUTED_VALUE"""),"F 20ft Sea Ark (Easy 200) FL8534PY DEP21451")</f>
        <v>F 20ft Sea Ark (Easy 200) FL8534PY DEP21451</v>
      </c>
      <c r="M256" t="str">
        <f ca="1">IFERROR(__xludf.DUMMYFUNCTION("""COMPUTED_VALUE"""),"Ford F150 2008 - DEP18041 (SWMP Thing)")</f>
        <v>Ford F150 2008 - DEP18041 (SWMP Thing)</v>
      </c>
      <c r="N256" t="str">
        <f ca="1">IFERROR(__xludf.DUMMYFUNCTION("""COMPUTED_VALUE"""),"Pam Marcum, (480) 332-5414")</f>
        <v>Pam Marcum, (480) 332-5414</v>
      </c>
      <c r="O256" t="str">
        <f ca="1">IFERROR(__xludf.DUMMYFUNCTION("""COMPUTED_VALUE"""),"Jeff Finnan, Mike Darragh")</f>
        <v>Jeff Finnan, Mike Darragh</v>
      </c>
      <c r="P256" t="str">
        <f ca="1">IFERROR(__xludf.DUMMYFUNCTION("""COMPUTED_VALUE"""),"Pam")</f>
        <v>Pam</v>
      </c>
      <c r="Q256" t="str">
        <f ca="1">IFERROR(__xludf.DUMMYFUNCTION("""COMPUTED_VALUE"""),"Good")</f>
        <v>Good</v>
      </c>
      <c r="R256" t="str">
        <f ca="1">IFERROR(__xludf.DUMMYFUNCTION("""COMPUTED_VALUE"""),"Good")</f>
        <v>Good</v>
      </c>
      <c r="S256" t="str">
        <f ca="1">IFERROR(__xludf.DUMMYFUNCTION("""COMPUTED_VALUE"""),"Good")</f>
        <v>Good</v>
      </c>
      <c r="T256" t="str">
        <f ca="1">IFERROR(__xludf.DUMMYFUNCTION("""COMPUTED_VALUE"""),"Good")</f>
        <v>Good</v>
      </c>
      <c r="U256" t="str">
        <f ca="1">IFERROR(__xludf.DUMMYFUNCTION("""COMPUTED_VALUE"""),"Good")</f>
        <v>Good</v>
      </c>
      <c r="V256" t="str">
        <f ca="1">IFERROR(__xludf.DUMMYFUNCTION("""COMPUTED_VALUE"""),"Good")</f>
        <v>Good</v>
      </c>
      <c r="W256" t="str">
        <f ca="1">IFERROR(__xludf.DUMMYFUNCTION("""COMPUTED_VALUE"""),"Good")</f>
        <v>Good</v>
      </c>
      <c r="X256" t="str">
        <f ca="1">IFERROR(__xludf.DUMMYFUNCTION("""COMPUTED_VALUE"""),"Good")</f>
        <v>Good</v>
      </c>
      <c r="Y256" t="str">
        <f ca="1">IFERROR(__xludf.DUMMYFUNCTION("""COMPUTED_VALUE"""),"Good")</f>
        <v>Good</v>
      </c>
      <c r="Z256" t="str">
        <f ca="1">IFERROR(__xludf.DUMMYFUNCTION("""COMPUTED_VALUE"""),"Good")</f>
        <v>Good</v>
      </c>
      <c r="AA256" t="str">
        <f ca="1">IFERROR(__xludf.DUMMYFUNCTION("""COMPUTED_VALUE"""),"Good")</f>
        <v>Good</v>
      </c>
      <c r="AB256" t="str">
        <f ca="1">IFERROR(__xludf.DUMMYFUNCTION("""COMPUTED_VALUE"""),"Good")</f>
        <v>Good</v>
      </c>
      <c r="AC256" t="str">
        <f ca="1">IFERROR(__xludf.DUMMYFUNCTION("""COMPUTED_VALUE"""),"Good")</f>
        <v>Good</v>
      </c>
      <c r="AE256" s="11"/>
      <c r="AF256" t="str">
        <v>Nikki.Dix@floridadep.gov</v>
      </c>
      <c r="AG256" s="17" t="s">
        <v>41</v>
      </c>
      <c r="AH256" s="12">
        <v>1650</v>
      </c>
      <c r="AI256" s="12" t="s">
        <v>713</v>
      </c>
      <c r="AJ256" s="19" t="s">
        <v>714</v>
      </c>
      <c r="AK256" s="20" t="str">
        <f>HYPERLINK("https://docs.google.com/document/d/1Wg9Zp0UHwlUm4go4IGLILI0V5u0WvC2wzcoeNBDzINg/edit?usp=drivesdk","Pamela Marcum - 2/22/2019 1:00 PM")</f>
        <v>Pamela Marcum - 2/22/2019 1:00 PM</v>
      </c>
      <c r="AL256" s="12" t="s">
        <v>715</v>
      </c>
    </row>
    <row r="257" spans="1:38" ht="12.75">
      <c r="A257" s="10">
        <f ca="1">IFERROR(__xludf.DUMMYFUNCTION("""COMPUTED_VALUE"""),43523.3009717245)</f>
        <v>43523.3009717245</v>
      </c>
      <c r="B257" s="11" t="str">
        <f ca="1">IFERROR(__xludf.DUMMYFUNCTION("""COMPUTED_VALUE"""),"Pamela Marcum")</f>
        <v>Pamela Marcum</v>
      </c>
      <c r="C257" t="str">
        <f ca="1">IFERROR(__xludf.DUMMYFUNCTION("""COMPUTED_VALUE"""),"Pamela.Marcum@dep.state.fl.us")</f>
        <v>Pamela.Marcum@dep.state.fl.us</v>
      </c>
      <c r="D257" t="str">
        <f ca="1">IFERROR(__xludf.DUMMYFUNCTION("""COMPUTED_VALUE"""),"Research/Nikki")</f>
        <v>Research/Nikki</v>
      </c>
      <c r="E257" t="str">
        <f ca="1">IFERROR(__xludf.DUMMYFUNCTION("""COMPUTED_VALUE"""),"Usina/Aunt Kate's")</f>
        <v>Usina/Aunt Kate's</v>
      </c>
      <c r="F257" s="13">
        <f ca="1">IFERROR(__xludf.DUMMYFUNCTION("""COMPUTED_VALUE"""),0.354166666667879)</f>
        <v>0.35416666666787899</v>
      </c>
      <c r="G257" s="14">
        <f ca="1">IFERROR(__xludf.DUMMYFUNCTION("""COMPUTED_VALUE"""),43523)</f>
        <v>43523</v>
      </c>
      <c r="H257" t="str">
        <f ca="1">IFERROR(__xludf.DUMMYFUNCTION("""COMPUTED_VALUE"""),"Tolomato River - Across from Wright's Landing")</f>
        <v>Tolomato River - Across from Wright's Landing</v>
      </c>
      <c r="I257" s="15">
        <f ca="1">IFERROR(__xludf.DUMMYFUNCTION("""COMPUTED_VALUE"""),0.479166666667879)</f>
        <v>0.47916666666787899</v>
      </c>
      <c r="J257" s="16">
        <f ca="1">IFERROR(__xludf.DUMMYFUNCTION("""COMPUTED_VALUE"""),43523.5)</f>
        <v>43523.5</v>
      </c>
      <c r="K257" t="str">
        <f ca="1">IFERROR(__xludf.DUMMYFUNCTION("""COMPUTED_VALUE"""),"20ft Sea Ark FL5351SJ UNF 2015")</f>
        <v>20ft Sea Ark FL5351SJ UNF 2015</v>
      </c>
      <c r="M257" t="str">
        <f ca="1">IFERROR(__xludf.DUMMYFUNCTION("""COMPUTED_VALUE"""),"Ford F150 2015 (White) - DEP21448")</f>
        <v>Ford F150 2015 (White) - DEP21448</v>
      </c>
      <c r="N257" t="str">
        <f ca="1">IFERROR(__xludf.DUMMYFUNCTION("""COMPUTED_VALUE"""),"Pam Marcum, (480) 332-5414")</f>
        <v>Pam Marcum, (480) 332-5414</v>
      </c>
      <c r="O257" t="str">
        <f ca="1">IFERROR(__xludf.DUMMYFUNCTION("""COMPUTED_VALUE"""),"Jeff Finnan, Jim Cedarburg")</f>
        <v>Jeff Finnan, Jim Cedarburg</v>
      </c>
      <c r="P257" t="str">
        <f ca="1">IFERROR(__xludf.DUMMYFUNCTION("""COMPUTED_VALUE"""),"Pam")</f>
        <v>Pam</v>
      </c>
      <c r="Q257" t="str">
        <f ca="1">IFERROR(__xludf.DUMMYFUNCTION("""COMPUTED_VALUE"""),"Good")</f>
        <v>Good</v>
      </c>
      <c r="R257" t="str">
        <f ca="1">IFERROR(__xludf.DUMMYFUNCTION("""COMPUTED_VALUE"""),"Good")</f>
        <v>Good</v>
      </c>
      <c r="S257" t="str">
        <f ca="1">IFERROR(__xludf.DUMMYFUNCTION("""COMPUTED_VALUE"""),"Good")</f>
        <v>Good</v>
      </c>
      <c r="T257" t="str">
        <f ca="1">IFERROR(__xludf.DUMMYFUNCTION("""COMPUTED_VALUE"""),"Good")</f>
        <v>Good</v>
      </c>
      <c r="U257" t="str">
        <f ca="1">IFERROR(__xludf.DUMMYFUNCTION("""COMPUTED_VALUE"""),"Good")</f>
        <v>Good</v>
      </c>
      <c r="V257" t="str">
        <f ca="1">IFERROR(__xludf.DUMMYFUNCTION("""COMPUTED_VALUE"""),"Good")</f>
        <v>Good</v>
      </c>
      <c r="W257" t="str">
        <f ca="1">IFERROR(__xludf.DUMMYFUNCTION("""COMPUTED_VALUE"""),"Good")</f>
        <v>Good</v>
      </c>
      <c r="X257" t="str">
        <f ca="1">IFERROR(__xludf.DUMMYFUNCTION("""COMPUTED_VALUE"""),"Good")</f>
        <v>Good</v>
      </c>
      <c r="Y257" t="str">
        <f ca="1">IFERROR(__xludf.DUMMYFUNCTION("""COMPUTED_VALUE"""),"Good")</f>
        <v>Good</v>
      </c>
      <c r="Z257" t="str">
        <f ca="1">IFERROR(__xludf.DUMMYFUNCTION("""COMPUTED_VALUE"""),"Good")</f>
        <v>Good</v>
      </c>
      <c r="AA257" t="str">
        <f ca="1">IFERROR(__xludf.DUMMYFUNCTION("""COMPUTED_VALUE"""),"Good")</f>
        <v>Good</v>
      </c>
      <c r="AB257" t="str">
        <f ca="1">IFERROR(__xludf.DUMMYFUNCTION("""COMPUTED_VALUE"""),"Good")</f>
        <v>Good</v>
      </c>
      <c r="AC257" t="str">
        <f ca="1">IFERROR(__xludf.DUMMYFUNCTION("""COMPUTED_VALUE"""),"Good")</f>
        <v>Good</v>
      </c>
      <c r="AE257" s="11"/>
      <c r="AF257" t="str">
        <v>Nikki.Dix@floridadep.gov</v>
      </c>
      <c r="AG257" s="17" t="s">
        <v>41</v>
      </c>
      <c r="AH257" s="12">
        <v>1125</v>
      </c>
      <c r="AI257" s="12" t="s">
        <v>716</v>
      </c>
      <c r="AJ257" s="19" t="s">
        <v>717</v>
      </c>
      <c r="AK257" s="20" t="str">
        <f>HYPERLINK("https://docs.google.com/document/d/1sDmDyYMJ_Z6YauBF7BJ7lbIu9r7ZI3aH4vnfTBeQ-Is/edit?usp=drivesdk","Pamela Marcum - 2/27/2019 8:30 AM")</f>
        <v>Pamela Marcum - 2/27/2019 8:30 AM</v>
      </c>
      <c r="AL257" s="12" t="s">
        <v>718</v>
      </c>
    </row>
    <row r="258" spans="1:38" ht="12.75">
      <c r="A258" s="10">
        <f ca="1">IFERROR(__xludf.DUMMYFUNCTION("""COMPUTED_VALUE"""),43523.665582118)</f>
        <v>43523.665582118003</v>
      </c>
      <c r="B258" s="11" t="str">
        <f ca="1">IFERROR(__xludf.DUMMYFUNCTION("""COMPUTED_VALUE"""),"James Tomazinis")</f>
        <v>James Tomazinis</v>
      </c>
      <c r="C258" t="str">
        <f ca="1">IFERROR(__xludf.DUMMYFUNCTION("""COMPUTED_VALUE"""),"james.tomazinis@floridadep.gov")</f>
        <v>james.tomazinis@floridadep.gov</v>
      </c>
      <c r="D258" t="str">
        <f ca="1">IFERROR(__xludf.DUMMYFUNCTION("""COMPUTED_VALUE"""),"Stewardship (Aquatic)")</f>
        <v>Stewardship (Aquatic)</v>
      </c>
      <c r="E258" t="str">
        <f ca="1">IFERROR(__xludf.DUMMYFUNCTION("""COMPUTED_VALUE"""),"Vilano")</f>
        <v>Vilano</v>
      </c>
      <c r="F258" s="13">
        <f ca="1">IFERROR(__xludf.DUMMYFUNCTION("""COMPUTED_VALUE"""),0.354166666667879)</f>
        <v>0.35416666666787899</v>
      </c>
      <c r="G258" s="14">
        <f ca="1">IFERROR(__xludf.DUMMYFUNCTION("""COMPUTED_VALUE"""),43524)</f>
        <v>43524</v>
      </c>
      <c r="H258" t="str">
        <f ca="1">IFERROR(__xludf.DUMMYFUNCTION("""COMPUTED_VALUE"""),"Matanzas River Nekton sites")</f>
        <v>Matanzas River Nekton sites</v>
      </c>
      <c r="I258" s="15">
        <f ca="1">IFERROR(__xludf.DUMMYFUNCTION("""COMPUTED_VALUE"""),0.5625)</f>
        <v>0.5625</v>
      </c>
      <c r="J258" s="16"/>
      <c r="K258" t="str">
        <f ca="1">IFERROR(__xludf.DUMMYFUNCTION("""COMPUTED_VALUE"""),"23ft Skiff (Bertha) FL7972LJ DEP07613")</f>
        <v>23ft Skiff (Bertha) FL7972LJ DEP07613</v>
      </c>
      <c r="M258" t="str">
        <f ca="1">IFERROR(__xludf.DUMMYFUNCTION("""COMPUTED_VALUE"""),"Ford F250 2017 (Moby Dix) - DEP0021578")</f>
        <v>Ford F250 2017 (Moby Dix) - DEP0021578</v>
      </c>
      <c r="N258" t="str">
        <f ca="1">IFERROR(__xludf.DUMMYFUNCTION("""COMPUTED_VALUE"""),"Jimmy Tomazinis, (904) 547-0094")</f>
        <v>Jimmy Tomazinis, (904) 547-0094</v>
      </c>
      <c r="O258" t="str">
        <f ca="1">IFERROR(__xludf.DUMMYFUNCTION("""COMPUTED_VALUE"""),"Jeff Finnan, Rueben Allen, Ed McGinley, students")</f>
        <v>Jeff Finnan, Rueben Allen, Ed McGinley, students</v>
      </c>
      <c r="P258" t="str">
        <f ca="1">IFERROR(__xludf.DUMMYFUNCTION("""COMPUTED_VALUE"""),"Jimmy")</f>
        <v>Jimmy</v>
      </c>
      <c r="Q258" t="str">
        <f ca="1">IFERROR(__xludf.DUMMYFUNCTION("""COMPUTED_VALUE"""),"Good")</f>
        <v>Good</v>
      </c>
      <c r="R258" t="str">
        <f ca="1">IFERROR(__xludf.DUMMYFUNCTION("""COMPUTED_VALUE"""),"Good")</f>
        <v>Good</v>
      </c>
      <c r="S258" t="str">
        <f ca="1">IFERROR(__xludf.DUMMYFUNCTION("""COMPUTED_VALUE"""),"Good")</f>
        <v>Good</v>
      </c>
      <c r="T258" t="str">
        <f ca="1">IFERROR(__xludf.DUMMYFUNCTION("""COMPUTED_VALUE"""),"Good")</f>
        <v>Good</v>
      </c>
      <c r="U258" t="str">
        <f ca="1">IFERROR(__xludf.DUMMYFUNCTION("""COMPUTED_VALUE"""),"Good")</f>
        <v>Good</v>
      </c>
      <c r="V258" t="str">
        <f ca="1">IFERROR(__xludf.DUMMYFUNCTION("""COMPUTED_VALUE"""),"Good")</f>
        <v>Good</v>
      </c>
      <c r="W258" t="str">
        <f ca="1">IFERROR(__xludf.DUMMYFUNCTION("""COMPUTED_VALUE"""),"Good")</f>
        <v>Good</v>
      </c>
      <c r="X258" t="str">
        <f ca="1">IFERROR(__xludf.DUMMYFUNCTION("""COMPUTED_VALUE"""),"Good")</f>
        <v>Good</v>
      </c>
      <c r="Y258" t="str">
        <f ca="1">IFERROR(__xludf.DUMMYFUNCTION("""COMPUTED_VALUE"""),"Good")</f>
        <v>Good</v>
      </c>
      <c r="Z258" t="str">
        <f ca="1">IFERROR(__xludf.DUMMYFUNCTION("""COMPUTED_VALUE"""),"Good")</f>
        <v>Good</v>
      </c>
      <c r="AA258" t="str">
        <f ca="1">IFERROR(__xludf.DUMMYFUNCTION("""COMPUTED_VALUE"""),"Good")</f>
        <v>Good</v>
      </c>
      <c r="AB258" t="str">
        <f ca="1">IFERROR(__xludf.DUMMYFUNCTION("""COMPUTED_VALUE"""),"Good")</f>
        <v>Good</v>
      </c>
      <c r="AC258" t="str">
        <f ca="1">IFERROR(__xludf.DUMMYFUNCTION("""COMPUTED_VALUE"""),"Good")</f>
        <v>Good</v>
      </c>
      <c r="AE258" s="11"/>
      <c r="AF258" t="str">
        <v>Scott.Eastman@floridadep.gov</v>
      </c>
      <c r="AG258" s="17" t="s">
        <v>17</v>
      </c>
      <c r="AH258" s="12">
        <v>1320</v>
      </c>
      <c r="AI258" s="12" t="s">
        <v>719</v>
      </c>
      <c r="AJ258" s="19" t="s">
        <v>720</v>
      </c>
      <c r="AK258" s="20" t="str">
        <f>HYPERLINK("https://docs.google.com/document/d/1MF4XTFcMuFaeeAGZvcZGTrRDTufu4yqULGm4wOzvNHk/edit?usp=drivesdk","James Tomazinis - 2/28/2019 8:30 AM")</f>
        <v>James Tomazinis - 2/28/2019 8:30 AM</v>
      </c>
      <c r="AL258" s="12" t="s">
        <v>721</v>
      </c>
    </row>
    <row r="259" spans="1:38" ht="12.75">
      <c r="A259" s="10">
        <f ca="1">IFERROR(__xludf.DUMMYFUNCTION("""COMPUTED_VALUE"""),43524.3611302314)</f>
        <v>43524.361130231402</v>
      </c>
      <c r="B259" s="11" t="str">
        <f ca="1">IFERROR(__xludf.DUMMYFUNCTION("""COMPUTED_VALUE"""),"Pamela Marcum")</f>
        <v>Pamela Marcum</v>
      </c>
      <c r="C259" t="str">
        <f ca="1">IFERROR(__xludf.DUMMYFUNCTION("""COMPUTED_VALUE"""),"Pamela.Marcum@floridadep.gov")</f>
        <v>Pamela.Marcum@floridadep.gov</v>
      </c>
      <c r="D259" t="str">
        <f ca="1">IFERROR(__xludf.DUMMYFUNCTION("""COMPUTED_VALUE"""),"Research/Nikki")</f>
        <v>Research/Nikki</v>
      </c>
      <c r="E259" t="str">
        <f ca="1">IFERROR(__xludf.DUMMYFUNCTION("""COMPUTED_VALUE"""),"Lighthouse 9:15, Green Rd 11a, Whitney Lab, 12:30p")</f>
        <v>Lighthouse 9:15, Green Rd 11a, Whitney Lab, 12:30p</v>
      </c>
      <c r="F259" s="13">
        <f ca="1">IFERROR(__xludf.DUMMYFUNCTION("""COMPUTED_VALUE"""),0.375)</f>
        <v>0.375</v>
      </c>
      <c r="G259" s="14">
        <f ca="1">IFERROR(__xludf.DUMMYFUNCTION("""COMPUTED_VALUE"""),43524)</f>
        <v>43524</v>
      </c>
      <c r="H259" t="str">
        <f ca="1">IFERROR(__xludf.DUMMYFUNCTION("""COMPUTED_VALUE"""),"Salt Run, Devil's Elbow, Pellicer Flats")</f>
        <v>Salt Run, Devil's Elbow, Pellicer Flats</v>
      </c>
      <c r="I259" s="15">
        <f ca="1">IFERROR(__xludf.DUMMYFUNCTION("""COMPUTED_VALUE"""),0.5625)</f>
        <v>0.5625</v>
      </c>
      <c r="J259" s="16">
        <f ca="1">IFERROR(__xludf.DUMMYFUNCTION("""COMPUTED_VALUE"""),43524.6041666666)</f>
        <v>43524.604166666599</v>
      </c>
      <c r="K259" t="str">
        <f ca="1">IFERROR(__xludf.DUMMYFUNCTION("""COMPUTED_VALUE"""),"20ft Sea Ark FL5351SJ UNF 2015")</f>
        <v>20ft Sea Ark FL5351SJ UNF 2015</v>
      </c>
      <c r="M259" t="str">
        <f ca="1">IFERROR(__xludf.DUMMYFUNCTION("""COMPUTED_VALUE"""),"Ford F150 2015 (White) - DEP21448")</f>
        <v>Ford F150 2015 (White) - DEP21448</v>
      </c>
      <c r="N259" t="str">
        <f ca="1">IFERROR(__xludf.DUMMYFUNCTION("""COMPUTED_VALUE"""),"Pam Marcum, (480) 332-5414")</f>
        <v>Pam Marcum, (480) 332-5414</v>
      </c>
      <c r="O259" t="str">
        <f ca="1">IFERROR(__xludf.DUMMYFUNCTION("""COMPUTED_VALUE"""),"Kala Neighbor")</f>
        <v>Kala Neighbor</v>
      </c>
      <c r="P259" t="str">
        <f ca="1">IFERROR(__xludf.DUMMYFUNCTION("""COMPUTED_VALUE"""),"Pam")</f>
        <v>Pam</v>
      </c>
      <c r="Q259" t="str">
        <f ca="1">IFERROR(__xludf.DUMMYFUNCTION("""COMPUTED_VALUE"""),"Good")</f>
        <v>Good</v>
      </c>
      <c r="R259" t="str">
        <f ca="1">IFERROR(__xludf.DUMMYFUNCTION("""COMPUTED_VALUE"""),"Good")</f>
        <v>Good</v>
      </c>
      <c r="S259" t="str">
        <f ca="1">IFERROR(__xludf.DUMMYFUNCTION("""COMPUTED_VALUE"""),"Good")</f>
        <v>Good</v>
      </c>
      <c r="T259" t="str">
        <f ca="1">IFERROR(__xludf.DUMMYFUNCTION("""COMPUTED_VALUE"""),"Good")</f>
        <v>Good</v>
      </c>
      <c r="U259" t="str">
        <f ca="1">IFERROR(__xludf.DUMMYFUNCTION("""COMPUTED_VALUE"""),"Good")</f>
        <v>Good</v>
      </c>
      <c r="V259" t="str">
        <f ca="1">IFERROR(__xludf.DUMMYFUNCTION("""COMPUTED_VALUE"""),"Good")</f>
        <v>Good</v>
      </c>
      <c r="W259" t="str">
        <f ca="1">IFERROR(__xludf.DUMMYFUNCTION("""COMPUTED_VALUE"""),"Good")</f>
        <v>Good</v>
      </c>
      <c r="X259" t="str">
        <f ca="1">IFERROR(__xludf.DUMMYFUNCTION("""COMPUTED_VALUE"""),"Good")</f>
        <v>Good</v>
      </c>
      <c r="Y259" t="str">
        <f ca="1">IFERROR(__xludf.DUMMYFUNCTION("""COMPUTED_VALUE"""),"Good")</f>
        <v>Good</v>
      </c>
      <c r="Z259" t="str">
        <f ca="1">IFERROR(__xludf.DUMMYFUNCTION("""COMPUTED_VALUE"""),"Good")</f>
        <v>Good</v>
      </c>
      <c r="AA259" t="str">
        <f ca="1">IFERROR(__xludf.DUMMYFUNCTION("""COMPUTED_VALUE"""),"Good")</f>
        <v>Good</v>
      </c>
      <c r="AB259" t="str">
        <f ca="1">IFERROR(__xludf.DUMMYFUNCTION("""COMPUTED_VALUE"""),"Good")</f>
        <v>Good</v>
      </c>
      <c r="AC259" t="str">
        <f ca="1">IFERROR(__xludf.DUMMYFUNCTION("""COMPUTED_VALUE"""),"Good")</f>
        <v>Good</v>
      </c>
      <c r="AE259" s="11"/>
      <c r="AF259" t="str">
        <v>Nikki.Dix@floridadep.gov</v>
      </c>
      <c r="AG259" s="17" t="s">
        <v>17</v>
      </c>
      <c r="AH259" s="12">
        <v>1315</v>
      </c>
      <c r="AI259" s="12" t="s">
        <v>722</v>
      </c>
      <c r="AJ259" s="19" t="s">
        <v>723</v>
      </c>
      <c r="AK259" s="20" t="str">
        <f>HYPERLINK("https://docs.google.com/document/d/1SSjQWnl-mwCpqOXHeWdGBalJD7IGHDPVfgJa0kDIzdE/edit?usp=drivesdk","Pamela Marcum - 2/28/2019 9:00 AM")</f>
        <v>Pamela Marcum - 2/28/2019 9:00 AM</v>
      </c>
      <c r="AL259" s="12" t="s">
        <v>724</v>
      </c>
    </row>
    <row r="260" spans="1:38" ht="12.75">
      <c r="A260" s="10">
        <f ca="1">IFERROR(__xludf.DUMMYFUNCTION("""COMPUTED_VALUE"""),43525.3521901157)</f>
        <v>43525.3521901157</v>
      </c>
      <c r="B260" s="11" t="str">
        <f ca="1">IFERROR(__xludf.DUMMYFUNCTION("""COMPUTED_VALUE"""),"Pamela Marcum")</f>
        <v>Pamela Marcum</v>
      </c>
      <c r="C260" t="str">
        <f ca="1">IFERROR(__xludf.DUMMYFUNCTION("""COMPUTED_VALUE"""),"Pamela.Marcum@floridadep.gov")</f>
        <v>Pamela.Marcum@floridadep.gov</v>
      </c>
      <c r="D260" t="str">
        <f ca="1">IFERROR(__xludf.DUMMYFUNCTION("""COMPUTED_VALUE"""),"Research/Nikki")</f>
        <v>Research/Nikki</v>
      </c>
      <c r="E260" t="str">
        <f ca="1">IFERROR(__xludf.DUMMYFUNCTION("""COMPUTED_VALUE"""),"Aunt Kate's")</f>
        <v>Aunt Kate's</v>
      </c>
      <c r="F260" s="13">
        <f ca="1">IFERROR(__xludf.DUMMYFUNCTION("""COMPUTED_VALUE"""),0.39583333333212)</f>
        <v>0.39583333333212001</v>
      </c>
      <c r="G260" s="14">
        <f ca="1">IFERROR(__xludf.DUMMYFUNCTION("""COMPUTED_VALUE"""),43525)</f>
        <v>43525</v>
      </c>
      <c r="H260" t="str">
        <f ca="1">IFERROR(__xludf.DUMMYFUNCTION("""COMPUTED_VALUE"""),"St Aug, GR, TR spat trees")</f>
        <v>St Aug, GR, TR spat trees</v>
      </c>
      <c r="I260" s="15">
        <f ca="1">IFERROR(__xludf.DUMMYFUNCTION("""COMPUTED_VALUE"""),0.666666666667879)</f>
        <v>0.66666666666787899</v>
      </c>
      <c r="J260" s="16">
        <f ca="1">IFERROR(__xludf.DUMMYFUNCTION("""COMPUTED_VALUE"""),43525.6875)</f>
        <v>43525.6875</v>
      </c>
      <c r="K260" t="str">
        <f ca="1">IFERROR(__xludf.DUMMYFUNCTION("""COMPUTED_VALUE"""),"20ft Sea Ark FL5351SJ UNF 2015")</f>
        <v>20ft Sea Ark FL5351SJ UNF 2015</v>
      </c>
      <c r="M260" t="str">
        <f ca="1">IFERROR(__xludf.DUMMYFUNCTION("""COMPUTED_VALUE"""),"Ford F150 2015 (White) - DEP21448")</f>
        <v>Ford F150 2015 (White) - DEP21448</v>
      </c>
      <c r="N260" t="str">
        <f ca="1">IFERROR(__xludf.DUMMYFUNCTION("""COMPUTED_VALUE"""),"Pam Marcum, (480) 332-5414")</f>
        <v>Pam Marcum, (480) 332-5414</v>
      </c>
      <c r="O260" t="str">
        <f ca="1">IFERROR(__xludf.DUMMYFUNCTION("""COMPUTED_VALUE"""),"Nicole Peckham, Adrienne Breef-Pilz")</f>
        <v>Nicole Peckham, Adrienne Breef-Pilz</v>
      </c>
      <c r="P260" t="str">
        <f ca="1">IFERROR(__xludf.DUMMYFUNCTION("""COMPUTED_VALUE"""),"Pam")</f>
        <v>Pam</v>
      </c>
      <c r="Q260" t="str">
        <f ca="1">IFERROR(__xludf.DUMMYFUNCTION("""COMPUTED_VALUE"""),"Good")</f>
        <v>Good</v>
      </c>
      <c r="R260" t="str">
        <f ca="1">IFERROR(__xludf.DUMMYFUNCTION("""COMPUTED_VALUE"""),"Good")</f>
        <v>Good</v>
      </c>
      <c r="S260" t="str">
        <f ca="1">IFERROR(__xludf.DUMMYFUNCTION("""COMPUTED_VALUE"""),"Good")</f>
        <v>Good</v>
      </c>
      <c r="T260" t="str">
        <f ca="1">IFERROR(__xludf.DUMMYFUNCTION("""COMPUTED_VALUE"""),"Good")</f>
        <v>Good</v>
      </c>
      <c r="U260" t="str">
        <f ca="1">IFERROR(__xludf.DUMMYFUNCTION("""COMPUTED_VALUE"""),"Good")</f>
        <v>Good</v>
      </c>
      <c r="V260" t="str">
        <f ca="1">IFERROR(__xludf.DUMMYFUNCTION("""COMPUTED_VALUE"""),"Good")</f>
        <v>Good</v>
      </c>
      <c r="W260" t="str">
        <f ca="1">IFERROR(__xludf.DUMMYFUNCTION("""COMPUTED_VALUE"""),"Good")</f>
        <v>Good</v>
      </c>
      <c r="X260" t="str">
        <f ca="1">IFERROR(__xludf.DUMMYFUNCTION("""COMPUTED_VALUE"""),"Good")</f>
        <v>Good</v>
      </c>
      <c r="Y260" t="str">
        <f ca="1">IFERROR(__xludf.DUMMYFUNCTION("""COMPUTED_VALUE"""),"Good")</f>
        <v>Good</v>
      </c>
      <c r="Z260" t="str">
        <f ca="1">IFERROR(__xludf.DUMMYFUNCTION("""COMPUTED_VALUE"""),"Good")</f>
        <v>Good</v>
      </c>
      <c r="AA260" t="str">
        <f ca="1">IFERROR(__xludf.DUMMYFUNCTION("""COMPUTED_VALUE"""),"Good")</f>
        <v>Good</v>
      </c>
      <c r="AB260" t="str">
        <f ca="1">IFERROR(__xludf.DUMMYFUNCTION("""COMPUTED_VALUE"""),"Good")</f>
        <v>Good</v>
      </c>
      <c r="AC260" t="str">
        <f ca="1">IFERROR(__xludf.DUMMYFUNCTION("""COMPUTED_VALUE"""),"Good")</f>
        <v>Good</v>
      </c>
      <c r="AE260" s="11"/>
      <c r="AF260" t="str">
        <v>Nikki.Dix@floridadep.gov</v>
      </c>
      <c r="AG260" s="17" t="s">
        <v>126</v>
      </c>
      <c r="AH260" s="12">
        <v>1400</v>
      </c>
      <c r="AI260" s="12" t="s">
        <v>725</v>
      </c>
      <c r="AJ260" s="19" t="s">
        <v>726</v>
      </c>
      <c r="AK260" s="20" t="str">
        <f>HYPERLINK("https://docs.google.com/document/d/13swHtX7gKJbnmI4FTAIM1Ytz2fAZaljKFxQgPpMXl7w/edit?usp=drivesdk","Pamela Marcum - 3/1/2019 9:30 AM")</f>
        <v>Pamela Marcum - 3/1/2019 9:30 AM</v>
      </c>
      <c r="AL260" s="12" t="s">
        <v>727</v>
      </c>
    </row>
    <row r="261" spans="1:38" ht="12.75">
      <c r="A261" s="10">
        <f ca="1">IFERROR(__xludf.DUMMYFUNCTION("""COMPUTED_VALUE"""),43525.6014320833)</f>
        <v>43525.601432083298</v>
      </c>
      <c r="B261" s="11" t="str">
        <f ca="1">IFERROR(__xludf.DUMMYFUNCTION("""COMPUTED_VALUE"""),"Pam Marcum")</f>
        <v>Pam Marcum</v>
      </c>
      <c r="C261" t="str">
        <f ca="1">IFERROR(__xludf.DUMMYFUNCTION("""COMPUTED_VALUE"""),"Pamela.Marcum@floridadep.gov")</f>
        <v>Pamela.Marcum@floridadep.gov</v>
      </c>
      <c r="D261" t="str">
        <f ca="1">IFERROR(__xludf.DUMMYFUNCTION("""COMPUTED_VALUE"""),"Research/Nikki")</f>
        <v>Research/Nikki</v>
      </c>
      <c r="E261" t="str">
        <f ca="1">IFERROR(__xludf.DUMMYFUNCTION("""COMPUTED_VALUE"""),"Shore Dr")</f>
        <v>Shore Dr</v>
      </c>
      <c r="F261" s="13">
        <f ca="1">IFERROR(__xludf.DUMMYFUNCTION("""COMPUTED_VALUE"""),0.64583333333212)</f>
        <v>0.64583333333212001</v>
      </c>
      <c r="G261" s="14">
        <f ca="1">IFERROR(__xludf.DUMMYFUNCTION("""COMPUTED_VALUE"""),43525)</f>
        <v>43525</v>
      </c>
      <c r="H261" t="str">
        <f ca="1">IFERROR(__xludf.DUMMYFUNCTION("""COMPUTED_VALUE"""),"San Sebastian/Matanzas River SA Spat trees")</f>
        <v>San Sebastian/Matanzas River SA Spat trees</v>
      </c>
      <c r="I261" s="15">
        <f ca="1">IFERROR(__xludf.DUMMYFUNCTION("""COMPUTED_VALUE"""),0.70833333333212)</f>
        <v>0.70833333333212001</v>
      </c>
      <c r="J261" s="16">
        <f ca="1">IFERROR(__xludf.DUMMYFUNCTION("""COMPUTED_VALUE"""),43525.7291666666)</f>
        <v>43525.729166666599</v>
      </c>
      <c r="K261" t="str">
        <f ca="1">IFERROR(__xludf.DUMMYFUNCTION("""COMPUTED_VALUE"""),"20ft Sea Ark FL5351SJ UNF 2015")</f>
        <v>20ft Sea Ark FL5351SJ UNF 2015</v>
      </c>
      <c r="M261" t="str">
        <f ca="1">IFERROR(__xludf.DUMMYFUNCTION("""COMPUTED_VALUE"""),"Ford F150 2015 (White) - DEP21448")</f>
        <v>Ford F150 2015 (White) - DEP21448</v>
      </c>
      <c r="N261" t="str">
        <f ca="1">IFERROR(__xludf.DUMMYFUNCTION("""COMPUTED_VALUE"""),"Pam Marcum, (480) 332-5414")</f>
        <v>Pam Marcum, (480) 332-5414</v>
      </c>
      <c r="O261" t="str">
        <f ca="1">IFERROR(__xludf.DUMMYFUNCTION("""COMPUTED_VALUE"""),"Joseph Turvey")</f>
        <v>Joseph Turvey</v>
      </c>
      <c r="P261" t="str">
        <f ca="1">IFERROR(__xludf.DUMMYFUNCTION("""COMPUTED_VALUE"""),"Pam")</f>
        <v>Pam</v>
      </c>
      <c r="Q261" t="str">
        <f ca="1">IFERROR(__xludf.DUMMYFUNCTION("""COMPUTED_VALUE"""),"Good")</f>
        <v>Good</v>
      </c>
      <c r="R261" t="str">
        <f ca="1">IFERROR(__xludf.DUMMYFUNCTION("""COMPUTED_VALUE"""),"Good")</f>
        <v>Good</v>
      </c>
      <c r="S261" t="str">
        <f ca="1">IFERROR(__xludf.DUMMYFUNCTION("""COMPUTED_VALUE"""),"Good")</f>
        <v>Good</v>
      </c>
      <c r="T261" t="str">
        <f ca="1">IFERROR(__xludf.DUMMYFUNCTION("""COMPUTED_VALUE"""),"Good")</f>
        <v>Good</v>
      </c>
      <c r="U261" t="str">
        <f ca="1">IFERROR(__xludf.DUMMYFUNCTION("""COMPUTED_VALUE"""),"Good")</f>
        <v>Good</v>
      </c>
      <c r="V261" t="str">
        <f ca="1">IFERROR(__xludf.DUMMYFUNCTION("""COMPUTED_VALUE"""),"Good")</f>
        <v>Good</v>
      </c>
      <c r="W261" t="str">
        <f ca="1">IFERROR(__xludf.DUMMYFUNCTION("""COMPUTED_VALUE"""),"Good")</f>
        <v>Good</v>
      </c>
      <c r="X261" t="str">
        <f ca="1">IFERROR(__xludf.DUMMYFUNCTION("""COMPUTED_VALUE"""),"Good")</f>
        <v>Good</v>
      </c>
      <c r="Y261" t="str">
        <f ca="1">IFERROR(__xludf.DUMMYFUNCTION("""COMPUTED_VALUE"""),"Good")</f>
        <v>Good</v>
      </c>
      <c r="Z261" t="str">
        <f ca="1">IFERROR(__xludf.DUMMYFUNCTION("""COMPUTED_VALUE"""),"Good")</f>
        <v>Good</v>
      </c>
      <c r="AA261" t="str">
        <f ca="1">IFERROR(__xludf.DUMMYFUNCTION("""COMPUTED_VALUE"""),"Good")</f>
        <v>Good</v>
      </c>
      <c r="AB261" t="str">
        <f ca="1">IFERROR(__xludf.DUMMYFUNCTION("""COMPUTED_VALUE"""),"Good")</f>
        <v>Good</v>
      </c>
      <c r="AC261" t="str">
        <f ca="1">IFERROR(__xludf.DUMMYFUNCTION("""COMPUTED_VALUE"""),"Good")</f>
        <v>Good</v>
      </c>
      <c r="AE261" s="11"/>
      <c r="AF261" t="str">
        <v>Nikki.Dix@floridadep.gov</v>
      </c>
      <c r="AG261" s="17" t="s">
        <v>41</v>
      </c>
      <c r="AH261" s="12">
        <v>1600</v>
      </c>
      <c r="AI261" s="12" t="s">
        <v>728</v>
      </c>
      <c r="AJ261" s="19" t="s">
        <v>729</v>
      </c>
      <c r="AK261" s="20" t="str">
        <f>HYPERLINK("https://docs.google.com/document/d/1iJsN9moJpH-rG7n8WmHd_EvVphFOsQgH3l5bndDInzo/edit?usp=drivesdk","Pam Marcum - 3/1/2019 3:30 PM")</f>
        <v>Pam Marcum - 3/1/2019 3:30 PM</v>
      </c>
      <c r="AL261" s="12" t="s">
        <v>730</v>
      </c>
    </row>
    <row r="262" spans="1:38" ht="12.75">
      <c r="A262" s="10">
        <f ca="1">IFERROR(__xludf.DUMMYFUNCTION("""COMPUTED_VALUE"""),43528.3234341087)</f>
        <v>43528.323434108701</v>
      </c>
      <c r="B262" s="11" t="str">
        <f ca="1">IFERROR(__xludf.DUMMYFUNCTION("""COMPUTED_VALUE"""),"Jimmy")</f>
        <v>Jimmy</v>
      </c>
      <c r="C262" t="str">
        <f ca="1">IFERROR(__xludf.DUMMYFUNCTION("""COMPUTED_VALUE"""),"james.tomazinis@dep.state.fl.us")</f>
        <v>james.tomazinis@dep.state.fl.us</v>
      </c>
      <c r="D262" t="str">
        <f ca="1">IFERROR(__xludf.DUMMYFUNCTION("""COMPUTED_VALUE"""),"Stewardship (Aquatic)")</f>
        <v>Stewardship (Aquatic)</v>
      </c>
      <c r="E262" t="str">
        <f ca="1">IFERROR(__xludf.DUMMYFUNCTION("""COMPUTED_VALUE"""),"Guana Dam")</f>
        <v>Guana Dam</v>
      </c>
      <c r="F262" s="13">
        <f ca="1">IFERROR(__xludf.DUMMYFUNCTION("""COMPUTED_VALUE"""),0.34375)</f>
        <v>0.34375</v>
      </c>
      <c r="G262" s="14">
        <f ca="1">IFERROR(__xludf.DUMMYFUNCTION("""COMPUTED_VALUE"""),43528)</f>
        <v>43528</v>
      </c>
      <c r="H262" t="str">
        <f ca="1">IFERROR(__xludf.DUMMYFUNCTION("""COMPUTED_VALUE"""),"Guana River WQ sites")</f>
        <v>Guana River WQ sites</v>
      </c>
      <c r="I262" s="15">
        <f ca="1">IFERROR(__xludf.DUMMYFUNCTION("""COMPUTED_VALUE"""),0.40625)</f>
        <v>0.40625</v>
      </c>
      <c r="J262" s="16"/>
      <c r="K262" t="str">
        <f ca="1">IFERROR(__xludf.DUMMYFUNCTION("""COMPUTED_VALUE"""),"Jon Boat FL0484NP DEP06819")</f>
        <v>Jon Boat FL0484NP DEP06819</v>
      </c>
      <c r="M262" t="str">
        <f ca="1">IFERROR(__xludf.DUMMYFUNCTION("""COMPUTED_VALUE"""),"Ford F150 2015 (White) - DEP21448")</f>
        <v>Ford F150 2015 (White) - DEP21448</v>
      </c>
      <c r="N262" t="str">
        <f ca="1">IFERROR(__xludf.DUMMYFUNCTION("""COMPUTED_VALUE"""),"Jimmy Tomazinis, (904) 547-0094")</f>
        <v>Jimmy Tomazinis, (904) 547-0094</v>
      </c>
      <c r="O262" t="str">
        <f ca="1">IFERROR(__xludf.DUMMYFUNCTION("""COMPUTED_VALUE"""),"Mike Darragh")</f>
        <v>Mike Darragh</v>
      </c>
      <c r="P262" t="str">
        <f ca="1">IFERROR(__xludf.DUMMYFUNCTION("""COMPUTED_VALUE"""),"Jimmy")</f>
        <v>Jimmy</v>
      </c>
      <c r="Q262" t="str">
        <f ca="1">IFERROR(__xludf.DUMMYFUNCTION("""COMPUTED_VALUE"""),"Good")</f>
        <v>Good</v>
      </c>
      <c r="R262" t="str">
        <f ca="1">IFERROR(__xludf.DUMMYFUNCTION("""COMPUTED_VALUE"""),"Good")</f>
        <v>Good</v>
      </c>
      <c r="S262" t="str">
        <f ca="1">IFERROR(__xludf.DUMMYFUNCTION("""COMPUTED_VALUE"""),"Good")</f>
        <v>Good</v>
      </c>
      <c r="T262" t="str">
        <f ca="1">IFERROR(__xludf.DUMMYFUNCTION("""COMPUTED_VALUE"""),"Good")</f>
        <v>Good</v>
      </c>
      <c r="U262" t="str">
        <f ca="1">IFERROR(__xludf.DUMMYFUNCTION("""COMPUTED_VALUE"""),"Good")</f>
        <v>Good</v>
      </c>
      <c r="V262" t="str">
        <f ca="1">IFERROR(__xludf.DUMMYFUNCTION("""COMPUTED_VALUE"""),"Good")</f>
        <v>Good</v>
      </c>
      <c r="W262" t="str">
        <f ca="1">IFERROR(__xludf.DUMMYFUNCTION("""COMPUTED_VALUE"""),"Good")</f>
        <v>Good</v>
      </c>
      <c r="X262" t="str">
        <f ca="1">IFERROR(__xludf.DUMMYFUNCTION("""COMPUTED_VALUE"""),"Good")</f>
        <v>Good</v>
      </c>
      <c r="Y262" t="str">
        <f ca="1">IFERROR(__xludf.DUMMYFUNCTION("""COMPUTED_VALUE"""),"Good")</f>
        <v>Good</v>
      </c>
      <c r="Z262" t="str">
        <f ca="1">IFERROR(__xludf.DUMMYFUNCTION("""COMPUTED_VALUE"""),"Good")</f>
        <v>Good</v>
      </c>
      <c r="AA262" t="str">
        <f ca="1">IFERROR(__xludf.DUMMYFUNCTION("""COMPUTED_VALUE"""),"Good")</f>
        <v>Good</v>
      </c>
      <c r="AB262" t="str">
        <f ca="1">IFERROR(__xludf.DUMMYFUNCTION("""COMPUTED_VALUE"""),"Good")</f>
        <v>Good</v>
      </c>
      <c r="AC262" t="str">
        <f ca="1">IFERROR(__xludf.DUMMYFUNCTION("""COMPUTED_VALUE"""),"Good")</f>
        <v>Good</v>
      </c>
      <c r="AE262" s="11"/>
      <c r="AF262" t="str">
        <v>Scott.Eastman@floridadep.gov</v>
      </c>
      <c r="AG262" s="17" t="s">
        <v>17</v>
      </c>
      <c r="AH262" s="12">
        <v>1000</v>
      </c>
      <c r="AI262" s="12" t="s">
        <v>731</v>
      </c>
      <c r="AJ262" s="19" t="s">
        <v>732</v>
      </c>
      <c r="AK262" s="20" t="str">
        <f>HYPERLINK("https://docs.google.com/document/d/1THJY9npUUObsa_EIxEJih_JhyMtxohl0xQnwoTdyRVE/edit?usp=drivesdk","Jimmy - 3/4/2019 8:15 AM")</f>
        <v>Jimmy - 3/4/2019 8:15 AM</v>
      </c>
      <c r="AL262" s="12" t="s">
        <v>733</v>
      </c>
    </row>
    <row r="263" spans="1:38" ht="12.75">
      <c r="A263" s="10">
        <f ca="1">IFERROR(__xludf.DUMMYFUNCTION("""COMPUTED_VALUE"""),43528.6599596412)</f>
        <v>43528.659959641198</v>
      </c>
      <c r="B263" s="11" t="str">
        <f ca="1">IFERROR(__xludf.DUMMYFUNCTION("""COMPUTED_VALUE"""),"Silas Tanner")</f>
        <v>Silas Tanner</v>
      </c>
      <c r="C263" t="str">
        <f ca="1">IFERROR(__xludf.DUMMYFUNCTION("""COMPUTED_VALUE"""),"silas.tanner@floridadep.gov")</f>
        <v>silas.tanner@floridadep.gov</v>
      </c>
      <c r="D263" t="str">
        <f ca="1">IFERROR(__xludf.DUMMYFUNCTION("""COMPUTED_VALUE"""),"Research/Nikki")</f>
        <v>Research/Nikki</v>
      </c>
      <c r="E263" t="str">
        <f ca="1">IFERROR(__xludf.DUMMYFUNCTION("""COMPUTED_VALUE"""),"Vilano Landing")</f>
        <v>Vilano Landing</v>
      </c>
      <c r="F263" s="13">
        <f ca="1">IFERROR(__xludf.DUMMYFUNCTION("""COMPUTED_VALUE"""),0.322916666667879)</f>
        <v>0.32291666666787899</v>
      </c>
      <c r="G263" s="14">
        <f ca="1">IFERROR(__xludf.DUMMYFUNCTION("""COMPUTED_VALUE"""),43528)</f>
        <v>43528</v>
      </c>
      <c r="H263" t="str">
        <f ca="1">IFERROR(__xludf.DUMMYFUNCTION("""COMPUTED_VALUE"""),"ICW SWMP Sites")</f>
        <v>ICW SWMP Sites</v>
      </c>
      <c r="I263" s="15">
        <f ca="1">IFERROR(__xludf.DUMMYFUNCTION("""COMPUTED_VALUE"""),0.572916666667879)</f>
        <v>0.57291666666787899</v>
      </c>
      <c r="J263" s="16">
        <f ca="1">IFERROR(__xludf.DUMMYFUNCTION("""COMPUTED_VALUE"""),43528.5833333333)</f>
        <v>43528.583333333299</v>
      </c>
      <c r="K263" t="str">
        <f ca="1">IFERROR(__xludf.DUMMYFUNCTION("""COMPUTED_VALUE"""),"23ft Skiff (Bertha) FL7972LJ DEP07613")</f>
        <v>23ft Skiff (Bertha) FL7972LJ DEP07613</v>
      </c>
      <c r="M263" t="str">
        <f ca="1">IFERROR(__xludf.DUMMYFUNCTION("""COMPUTED_VALUE"""),"Ford F250 2017 (Moby Dix) - DEP0021578")</f>
        <v>Ford F250 2017 (Moby Dix) - DEP0021578</v>
      </c>
      <c r="N263" t="str">
        <f ca="1">IFERROR(__xludf.DUMMYFUNCTION("""COMPUTED_VALUE"""),"Silas Tanner, (904) 483-8423, Jimmy Tomazinis, (904) 547-0094")</f>
        <v>Silas Tanner, (904) 483-8423, Jimmy Tomazinis, (904) 547-0094</v>
      </c>
      <c r="O263" t="str">
        <f ca="1">IFERROR(__xludf.DUMMYFUNCTION("""COMPUTED_VALUE"""),"Casey McClure")</f>
        <v>Casey McClure</v>
      </c>
      <c r="P263" t="str">
        <f ca="1">IFERROR(__xludf.DUMMYFUNCTION("""COMPUTED_VALUE"""),"S. Tanner")</f>
        <v>S. Tanner</v>
      </c>
      <c r="Q263" t="str">
        <f ca="1">IFERROR(__xludf.DUMMYFUNCTION("""COMPUTED_VALUE"""),"Good")</f>
        <v>Good</v>
      </c>
      <c r="R263" t="str">
        <f ca="1">IFERROR(__xludf.DUMMYFUNCTION("""COMPUTED_VALUE"""),"Good")</f>
        <v>Good</v>
      </c>
      <c r="S263" t="str">
        <f ca="1">IFERROR(__xludf.DUMMYFUNCTION("""COMPUTED_VALUE"""),"Good")</f>
        <v>Good</v>
      </c>
      <c r="T263" t="str">
        <f ca="1">IFERROR(__xludf.DUMMYFUNCTION("""COMPUTED_VALUE"""),"Good")</f>
        <v>Good</v>
      </c>
      <c r="U263" t="str">
        <f ca="1">IFERROR(__xludf.DUMMYFUNCTION("""COMPUTED_VALUE"""),"Good")</f>
        <v>Good</v>
      </c>
      <c r="V263" t="str">
        <f ca="1">IFERROR(__xludf.DUMMYFUNCTION("""COMPUTED_VALUE"""),"Good")</f>
        <v>Good</v>
      </c>
      <c r="W263" t="str">
        <f ca="1">IFERROR(__xludf.DUMMYFUNCTION("""COMPUTED_VALUE"""),"Good")</f>
        <v>Good</v>
      </c>
      <c r="X263" t="str">
        <f ca="1">IFERROR(__xludf.DUMMYFUNCTION("""COMPUTED_VALUE"""),"Good")</f>
        <v>Good</v>
      </c>
      <c r="Y263" t="str">
        <f ca="1">IFERROR(__xludf.DUMMYFUNCTION("""COMPUTED_VALUE"""),"Good")</f>
        <v>Good</v>
      </c>
      <c r="Z263" t="str">
        <f ca="1">IFERROR(__xludf.DUMMYFUNCTION("""COMPUTED_VALUE"""),"Good")</f>
        <v>Good</v>
      </c>
      <c r="AA263" t="str">
        <f ca="1">IFERROR(__xludf.DUMMYFUNCTION("""COMPUTED_VALUE"""),"Good")</f>
        <v>Good</v>
      </c>
      <c r="AB263" t="str">
        <f ca="1">IFERROR(__xludf.DUMMYFUNCTION("""COMPUTED_VALUE"""),"Good")</f>
        <v>Good</v>
      </c>
      <c r="AC263" t="str">
        <f ca="1">IFERROR(__xludf.DUMMYFUNCTION("""COMPUTED_VALUE"""),"Good")</f>
        <v>Good</v>
      </c>
      <c r="AE263" s="11"/>
      <c r="AF263" t="str">
        <v>Nikki.Dix@floridadep.gov</v>
      </c>
      <c r="AG263" s="17" t="s">
        <v>17</v>
      </c>
      <c r="AH263" s="12">
        <v>1310</v>
      </c>
      <c r="AI263" s="12" t="s">
        <v>734</v>
      </c>
      <c r="AJ263" s="19" t="s">
        <v>735</v>
      </c>
      <c r="AK263" s="20" t="str">
        <f>HYPERLINK("https://docs.google.com/document/d/1TJtSa6lbULLrc9i4aU81PsSx6hsWL8HJ2uszk5W7kv8/edit?usp=drivesdk","Silas Tanner - 3/4/2019 7:45 AM")</f>
        <v>Silas Tanner - 3/4/2019 7:45 AM</v>
      </c>
      <c r="AL263" s="12" t="s">
        <v>736</v>
      </c>
    </row>
    <row r="264" spans="1:38" ht="12.75">
      <c r="A264" s="10">
        <f ca="1">IFERROR(__xludf.DUMMYFUNCTION("""COMPUTED_VALUE"""),43535.4415698842)</f>
        <v>43535.441569884199</v>
      </c>
      <c r="B264" s="11" t="str">
        <f ca="1">IFERROR(__xludf.DUMMYFUNCTION("""COMPUTED_VALUE"""),"James Tomazinis")</f>
        <v>James Tomazinis</v>
      </c>
      <c r="C264" t="str">
        <f ca="1">IFERROR(__xludf.DUMMYFUNCTION("""COMPUTED_VALUE"""),"james.tomazinis@floridadep.gov")</f>
        <v>james.tomazinis@floridadep.gov</v>
      </c>
      <c r="D264" t="str">
        <f ca="1">IFERROR(__xludf.DUMMYFUNCTION("""COMPUTED_VALUE"""),"Stewardship (Aquatic)")</f>
        <v>Stewardship (Aquatic)</v>
      </c>
      <c r="E264" t="str">
        <f ca="1">IFERROR(__xludf.DUMMYFUNCTION("""COMPUTED_VALUE"""),"Vilano")</f>
        <v>Vilano</v>
      </c>
      <c r="F264" s="13">
        <f ca="1">IFERROR(__xludf.DUMMYFUNCTION("""COMPUTED_VALUE"""),0.385416666667879)</f>
        <v>0.38541666666787899</v>
      </c>
      <c r="G264" s="14">
        <f ca="1">IFERROR(__xludf.DUMMYFUNCTION("""COMPUTED_VALUE"""),43536)</f>
        <v>43536</v>
      </c>
      <c r="H264" t="str">
        <f ca="1">IFERROR(__xludf.DUMMYFUNCTION("""COMPUTED_VALUE"""),"Tolomato Nekton sites")</f>
        <v>Tolomato Nekton sites</v>
      </c>
      <c r="I264" s="15">
        <f ca="1">IFERROR(__xludf.DUMMYFUNCTION("""COMPUTED_VALUE"""),0.6875)</f>
        <v>0.6875</v>
      </c>
      <c r="J264" s="16"/>
      <c r="K264" t="str">
        <f ca="1">IFERROR(__xludf.DUMMYFUNCTION("""COMPUTED_VALUE"""),"23ft Skiff (Bertha) FL7972LJ DEP07613")</f>
        <v>23ft Skiff (Bertha) FL7972LJ DEP07613</v>
      </c>
      <c r="M264" t="str">
        <f ca="1">IFERROR(__xludf.DUMMYFUNCTION("""COMPUTED_VALUE"""),"Ford F150 2015 (White) - DEP21448")</f>
        <v>Ford F150 2015 (White) - DEP21448</v>
      </c>
      <c r="N264" t="str">
        <f ca="1">IFERROR(__xludf.DUMMYFUNCTION("""COMPUTED_VALUE"""),"Jimmy Tomazinis, (904) 547-0094")</f>
        <v>Jimmy Tomazinis, (904) 547-0094</v>
      </c>
      <c r="O264" t="str">
        <f ca="1">IFERROR(__xludf.DUMMYFUNCTION("""COMPUTED_VALUE"""),"Mike Dickson, Chris Kurtz, Maddie Paris")</f>
        <v>Mike Dickson, Chris Kurtz, Maddie Paris</v>
      </c>
      <c r="P264" t="str">
        <f ca="1">IFERROR(__xludf.DUMMYFUNCTION("""COMPUTED_VALUE"""),"Jimmy")</f>
        <v>Jimmy</v>
      </c>
      <c r="Q264" t="str">
        <f ca="1">IFERROR(__xludf.DUMMYFUNCTION("""COMPUTED_VALUE"""),"Good")</f>
        <v>Good</v>
      </c>
      <c r="R264" t="str">
        <f ca="1">IFERROR(__xludf.DUMMYFUNCTION("""COMPUTED_VALUE"""),"Good")</f>
        <v>Good</v>
      </c>
      <c r="S264" t="str">
        <f ca="1">IFERROR(__xludf.DUMMYFUNCTION("""COMPUTED_VALUE"""),"Good")</f>
        <v>Good</v>
      </c>
      <c r="T264" t="str">
        <f ca="1">IFERROR(__xludf.DUMMYFUNCTION("""COMPUTED_VALUE"""),"Good")</f>
        <v>Good</v>
      </c>
      <c r="U264" t="str">
        <f ca="1">IFERROR(__xludf.DUMMYFUNCTION("""COMPUTED_VALUE"""),"Good")</f>
        <v>Good</v>
      </c>
      <c r="V264" t="str">
        <f ca="1">IFERROR(__xludf.DUMMYFUNCTION("""COMPUTED_VALUE"""),"Good")</f>
        <v>Good</v>
      </c>
      <c r="W264" t="str">
        <f ca="1">IFERROR(__xludf.DUMMYFUNCTION("""COMPUTED_VALUE"""),"Good")</f>
        <v>Good</v>
      </c>
      <c r="X264" t="str">
        <f ca="1">IFERROR(__xludf.DUMMYFUNCTION("""COMPUTED_VALUE"""),"Good")</f>
        <v>Good</v>
      </c>
      <c r="Y264" t="str">
        <f ca="1">IFERROR(__xludf.DUMMYFUNCTION("""COMPUTED_VALUE"""),"Good")</f>
        <v>Good</v>
      </c>
      <c r="Z264" t="str">
        <f ca="1">IFERROR(__xludf.DUMMYFUNCTION("""COMPUTED_VALUE"""),"Good")</f>
        <v>Good</v>
      </c>
      <c r="AA264" t="str">
        <f ca="1">IFERROR(__xludf.DUMMYFUNCTION("""COMPUTED_VALUE"""),"Good")</f>
        <v>Good</v>
      </c>
      <c r="AB264" t="str">
        <f ca="1">IFERROR(__xludf.DUMMYFUNCTION("""COMPUTED_VALUE"""),"Good")</f>
        <v>Good</v>
      </c>
      <c r="AC264" t="str">
        <f ca="1">IFERROR(__xludf.DUMMYFUNCTION("""COMPUTED_VALUE"""),"Good")</f>
        <v>Good</v>
      </c>
      <c r="AE264" s="11"/>
      <c r="AF264" t="str">
        <v>Scott.Eastman@floridadep.gov</v>
      </c>
      <c r="AG264" s="17" t="s">
        <v>17</v>
      </c>
      <c r="AH264" s="12">
        <v>1625</v>
      </c>
      <c r="AI264" s="12" t="s">
        <v>737</v>
      </c>
      <c r="AJ264" s="19" t="s">
        <v>738</v>
      </c>
      <c r="AK264" s="20" t="str">
        <f>HYPERLINK("https://docs.google.com/document/d/16vjClCoqC7m3akVttcJyh9s3Hbn-CzZ-MyVW-Lji67g/edit?usp=drivesdk","James Tomazinis - 3/12/2019 9:15 AM")</f>
        <v>James Tomazinis - 3/12/2019 9:15 AM</v>
      </c>
      <c r="AL264" s="12" t="s">
        <v>739</v>
      </c>
    </row>
    <row r="265" spans="1:38" ht="12.75">
      <c r="A265" s="10">
        <f ca="1">IFERROR(__xludf.DUMMYFUNCTION("""COMPUTED_VALUE"""),43536.7133686921)</f>
        <v>43536.713368692101</v>
      </c>
      <c r="B265" s="11" t="str">
        <f ca="1">IFERROR(__xludf.DUMMYFUNCTION("""COMPUTED_VALUE"""),"James Tomazinis")</f>
        <v>James Tomazinis</v>
      </c>
      <c r="C265" t="str">
        <f ca="1">IFERROR(__xludf.DUMMYFUNCTION("""COMPUTED_VALUE"""),"james.tomazinis@floridadep.gov")</f>
        <v>james.tomazinis@floridadep.gov</v>
      </c>
      <c r="D265" t="str">
        <f ca="1">IFERROR(__xludf.DUMMYFUNCTION("""COMPUTED_VALUE"""),"Stewardship (Aquatic)")</f>
        <v>Stewardship (Aquatic)</v>
      </c>
      <c r="E265" t="str">
        <f ca="1">IFERROR(__xludf.DUMMYFUNCTION("""COMPUTED_VALUE"""),"Vilano")</f>
        <v>Vilano</v>
      </c>
      <c r="F265" s="13">
        <f ca="1">IFERROR(__xludf.DUMMYFUNCTION("""COMPUTED_VALUE"""),0.385416666667879)</f>
        <v>0.38541666666787899</v>
      </c>
      <c r="G265" s="14">
        <f ca="1">IFERROR(__xludf.DUMMYFUNCTION("""COMPUTED_VALUE"""),43537)</f>
        <v>43537</v>
      </c>
      <c r="H265" t="str">
        <f ca="1">IFERROR(__xludf.DUMMYFUNCTION("""COMPUTED_VALUE"""),"Matanzas River Nekton Sites")</f>
        <v>Matanzas River Nekton Sites</v>
      </c>
      <c r="I265" s="15">
        <f ca="1">IFERROR(__xludf.DUMMYFUNCTION("""COMPUTED_VALUE"""),0.6875)</f>
        <v>0.6875</v>
      </c>
      <c r="J265" s="16"/>
      <c r="K265" t="str">
        <f ca="1">IFERROR(__xludf.DUMMYFUNCTION("""COMPUTED_VALUE"""),"23ft Skiff (Bertha) FL7972LJ DEP07613")</f>
        <v>23ft Skiff (Bertha) FL7972LJ DEP07613</v>
      </c>
      <c r="M265" t="str">
        <f ca="1">IFERROR(__xludf.DUMMYFUNCTION("""COMPUTED_VALUE"""),"Ford F150 2015 (White) - DEP21448")</f>
        <v>Ford F150 2015 (White) - DEP21448</v>
      </c>
      <c r="N265" t="str">
        <f ca="1">IFERROR(__xludf.DUMMYFUNCTION("""COMPUTED_VALUE"""),"Jimmy Tomazinis, (904) 547-0094")</f>
        <v>Jimmy Tomazinis, (904) 547-0094</v>
      </c>
      <c r="O265" t="str">
        <f ca="1">IFERROR(__xludf.DUMMYFUNCTION("""COMPUTED_VALUE"""),"Mike Dickson, Amy Brownfield, Jeff Finnan")</f>
        <v>Mike Dickson, Amy Brownfield, Jeff Finnan</v>
      </c>
      <c r="P265" t="str">
        <f ca="1">IFERROR(__xludf.DUMMYFUNCTION("""COMPUTED_VALUE"""),"Jimmy")</f>
        <v>Jimmy</v>
      </c>
      <c r="Q265" t="str">
        <f ca="1">IFERROR(__xludf.DUMMYFUNCTION("""COMPUTED_VALUE"""),"Good")</f>
        <v>Good</v>
      </c>
      <c r="R265" t="str">
        <f ca="1">IFERROR(__xludf.DUMMYFUNCTION("""COMPUTED_VALUE"""),"Good")</f>
        <v>Good</v>
      </c>
      <c r="S265" t="str">
        <f ca="1">IFERROR(__xludf.DUMMYFUNCTION("""COMPUTED_VALUE"""),"Good")</f>
        <v>Good</v>
      </c>
      <c r="T265" t="str">
        <f ca="1">IFERROR(__xludf.DUMMYFUNCTION("""COMPUTED_VALUE"""),"Good")</f>
        <v>Good</v>
      </c>
      <c r="U265" t="str">
        <f ca="1">IFERROR(__xludf.DUMMYFUNCTION("""COMPUTED_VALUE"""),"Good")</f>
        <v>Good</v>
      </c>
      <c r="V265" t="str">
        <f ca="1">IFERROR(__xludf.DUMMYFUNCTION("""COMPUTED_VALUE"""),"Good")</f>
        <v>Good</v>
      </c>
      <c r="W265" t="str">
        <f ca="1">IFERROR(__xludf.DUMMYFUNCTION("""COMPUTED_VALUE"""),"Good")</f>
        <v>Good</v>
      </c>
      <c r="X265" t="str">
        <f ca="1">IFERROR(__xludf.DUMMYFUNCTION("""COMPUTED_VALUE"""),"Good")</f>
        <v>Good</v>
      </c>
      <c r="Y265" t="str">
        <f ca="1">IFERROR(__xludf.DUMMYFUNCTION("""COMPUTED_VALUE"""),"Good")</f>
        <v>Good</v>
      </c>
      <c r="Z265" t="str">
        <f ca="1">IFERROR(__xludf.DUMMYFUNCTION("""COMPUTED_VALUE"""),"Good")</f>
        <v>Good</v>
      </c>
      <c r="AA265" t="str">
        <f ca="1">IFERROR(__xludf.DUMMYFUNCTION("""COMPUTED_VALUE"""),"Good")</f>
        <v>Good</v>
      </c>
      <c r="AB265" t="str">
        <f ca="1">IFERROR(__xludf.DUMMYFUNCTION("""COMPUTED_VALUE"""),"Good")</f>
        <v>Good</v>
      </c>
      <c r="AC265" t="str">
        <f ca="1">IFERROR(__xludf.DUMMYFUNCTION("""COMPUTED_VALUE"""),"Good")</f>
        <v>Good</v>
      </c>
      <c r="AE265" s="11"/>
      <c r="AF265" t="str">
        <v>Scott.Eastman@floridadep.gov</v>
      </c>
      <c r="AG265" s="17" t="s">
        <v>17</v>
      </c>
      <c r="AH265" s="12">
        <v>165</v>
      </c>
      <c r="AI265" s="12" t="s">
        <v>740</v>
      </c>
      <c r="AJ265" s="19" t="s">
        <v>741</v>
      </c>
      <c r="AK265" s="20" t="str">
        <f>HYPERLINK("https://docs.google.com/document/d/1odhTpTLuy9rmKb4m7VExrlFUjNvK50mcGTUs0hW18L8/edit?usp=drivesdk","James Tomazinis - 3/13/2019 9:15 AM")</f>
        <v>James Tomazinis - 3/13/2019 9:15 AM</v>
      </c>
      <c r="AL265" s="12" t="s">
        <v>742</v>
      </c>
    </row>
    <row r="266" spans="1:38" ht="12.75">
      <c r="A266" s="10">
        <f ca="1">IFERROR(__xludf.DUMMYFUNCTION("""COMPUTED_VALUE"""),43537.7423846527)</f>
        <v>43537.742384652702</v>
      </c>
      <c r="B266" s="11" t="str">
        <f ca="1">IFERROR(__xludf.DUMMYFUNCTION("""COMPUTED_VALUE"""),"James Tomazinis")</f>
        <v>James Tomazinis</v>
      </c>
      <c r="C266" t="str">
        <f ca="1">IFERROR(__xludf.DUMMYFUNCTION("""COMPUTED_VALUE"""),"james.tomazinis@floridadep.gov")</f>
        <v>james.tomazinis@floridadep.gov</v>
      </c>
      <c r="D266" t="str">
        <f ca="1">IFERROR(__xludf.DUMMYFUNCTION("""COMPUTED_VALUE"""),"Stewardship (Aquatic)")</f>
        <v>Stewardship (Aquatic)</v>
      </c>
      <c r="E266" t="str">
        <f ca="1">IFERROR(__xludf.DUMMYFUNCTION("""COMPUTED_VALUE"""),"Bings")</f>
        <v>Bings</v>
      </c>
      <c r="F266" s="13">
        <f ca="1">IFERROR(__xludf.DUMMYFUNCTION("""COMPUTED_VALUE"""),0.42708333333212)</f>
        <v>0.42708333333212001</v>
      </c>
      <c r="G266" s="14">
        <f ca="1">IFERROR(__xludf.DUMMYFUNCTION("""COMPUTED_VALUE"""),43538)</f>
        <v>43538</v>
      </c>
      <c r="H266" t="str">
        <f ca="1">IFERROR(__xludf.DUMMYFUNCTION("""COMPUTED_VALUE"""),"Nekton sites 18,19,20")</f>
        <v>Nekton sites 18,19,20</v>
      </c>
      <c r="I266" s="15">
        <f ca="1">IFERROR(__xludf.DUMMYFUNCTION("""COMPUTED_VALUE"""),0.5)</f>
        <v>0.5</v>
      </c>
      <c r="J266" s="16"/>
      <c r="K266" t="str">
        <f ca="1">IFERROR(__xludf.DUMMYFUNCTION("""COMPUTED_VALUE"""),"23ft Skiff (Bertha) FL7972LJ DEP07613")</f>
        <v>23ft Skiff (Bertha) FL7972LJ DEP07613</v>
      </c>
      <c r="M266" t="str">
        <f ca="1">IFERROR(__xludf.DUMMYFUNCTION("""COMPUTED_VALUE"""),"Ford F150 2015 (White) - DEP21448")</f>
        <v>Ford F150 2015 (White) - DEP21448</v>
      </c>
      <c r="N266" t="str">
        <f ca="1">IFERROR(__xludf.DUMMYFUNCTION("""COMPUTED_VALUE"""),"Jimmy Tomazinis, (904) 547-0094")</f>
        <v>Jimmy Tomazinis, (904) 547-0094</v>
      </c>
      <c r="O266" t="str">
        <f ca="1">IFERROR(__xludf.DUMMYFUNCTION("""COMPUTED_VALUE"""),"Jeff Finnan, Mike Dickson, Flagler students")</f>
        <v>Jeff Finnan, Mike Dickson, Flagler students</v>
      </c>
      <c r="P266" t="str">
        <f ca="1">IFERROR(__xludf.DUMMYFUNCTION("""COMPUTED_VALUE"""),"Jimmy")</f>
        <v>Jimmy</v>
      </c>
      <c r="Q266" t="str">
        <f ca="1">IFERROR(__xludf.DUMMYFUNCTION("""COMPUTED_VALUE"""),"Good")</f>
        <v>Good</v>
      </c>
      <c r="R266" t="str">
        <f ca="1">IFERROR(__xludf.DUMMYFUNCTION("""COMPUTED_VALUE"""),"Good")</f>
        <v>Good</v>
      </c>
      <c r="S266" t="str">
        <f ca="1">IFERROR(__xludf.DUMMYFUNCTION("""COMPUTED_VALUE"""),"Good")</f>
        <v>Good</v>
      </c>
      <c r="T266" t="str">
        <f ca="1">IFERROR(__xludf.DUMMYFUNCTION("""COMPUTED_VALUE"""),"Good")</f>
        <v>Good</v>
      </c>
      <c r="U266" t="str">
        <f ca="1">IFERROR(__xludf.DUMMYFUNCTION("""COMPUTED_VALUE"""),"Good")</f>
        <v>Good</v>
      </c>
      <c r="V266" t="str">
        <f ca="1">IFERROR(__xludf.DUMMYFUNCTION("""COMPUTED_VALUE"""),"Good")</f>
        <v>Good</v>
      </c>
      <c r="W266" t="str">
        <f ca="1">IFERROR(__xludf.DUMMYFUNCTION("""COMPUTED_VALUE"""),"Good")</f>
        <v>Good</v>
      </c>
      <c r="X266" t="str">
        <f ca="1">IFERROR(__xludf.DUMMYFUNCTION("""COMPUTED_VALUE"""),"Good")</f>
        <v>Good</v>
      </c>
      <c r="Y266" t="str">
        <f ca="1">IFERROR(__xludf.DUMMYFUNCTION("""COMPUTED_VALUE"""),"Good")</f>
        <v>Good</v>
      </c>
      <c r="Z266" t="str">
        <f ca="1">IFERROR(__xludf.DUMMYFUNCTION("""COMPUTED_VALUE"""),"Good")</f>
        <v>Good</v>
      </c>
      <c r="AA266" t="str">
        <f ca="1">IFERROR(__xludf.DUMMYFUNCTION("""COMPUTED_VALUE"""),"Good")</f>
        <v>Good</v>
      </c>
      <c r="AB266" t="str">
        <f ca="1">IFERROR(__xludf.DUMMYFUNCTION("""COMPUTED_VALUE"""),"Good")</f>
        <v>Good</v>
      </c>
      <c r="AC266" t="str">
        <f ca="1">IFERROR(__xludf.DUMMYFUNCTION("""COMPUTED_VALUE"""),"Good")</f>
        <v>Good</v>
      </c>
      <c r="AE266" s="11"/>
      <c r="AF266" t="str">
        <v>Scott.Eastman@floridadep.gov</v>
      </c>
      <c r="AG266" s="17" t="s">
        <v>17</v>
      </c>
      <c r="AH266" s="12">
        <v>1235</v>
      </c>
      <c r="AI266" s="12" t="s">
        <v>743</v>
      </c>
      <c r="AJ266" s="19" t="s">
        <v>744</v>
      </c>
      <c r="AK266" s="20" t="str">
        <f>HYPERLINK("https://docs.google.com/document/d/1CE7RpdJaTh2JD6fLOPYtoqWGdMGQ2c8KX9dL8l5pYSk/edit?usp=drivesdk","James Tomazinis - 3/14/2019 10:15 AM")</f>
        <v>James Tomazinis - 3/14/2019 10:15 AM</v>
      </c>
      <c r="AL266" s="12" t="s">
        <v>745</v>
      </c>
    </row>
    <row r="267" spans="1:38" ht="12.75">
      <c r="A267" s="10">
        <f ca="1">IFERROR(__xludf.DUMMYFUNCTION("""COMPUTED_VALUE"""),43539.330928125)</f>
        <v>43539.330928124997</v>
      </c>
      <c r="B267" s="11" t="str">
        <f ca="1">IFERROR(__xludf.DUMMYFUNCTION("""COMPUTED_VALUE"""),"Pam Marcum")</f>
        <v>Pam Marcum</v>
      </c>
      <c r="C267" t="str">
        <f ca="1">IFERROR(__xludf.DUMMYFUNCTION("""COMPUTED_VALUE"""),"Pamela.Marcum@dep.state.fl.us")</f>
        <v>Pamela.Marcum@dep.state.fl.us</v>
      </c>
      <c r="D267" t="str">
        <f ca="1">IFERROR(__xludf.DUMMYFUNCTION("""COMPUTED_VALUE"""),"Research/Nikki")</f>
        <v>Research/Nikki</v>
      </c>
      <c r="E267" t="str">
        <f ca="1">IFERROR(__xludf.DUMMYFUNCTION("""COMPUTED_VALUE"""),"Palm Valley")</f>
        <v>Palm Valley</v>
      </c>
      <c r="F267" s="13">
        <f ca="1">IFERROR(__xludf.DUMMYFUNCTION("""COMPUTED_VALUE"""),0.354166666667879)</f>
        <v>0.35416666666787899</v>
      </c>
      <c r="G267" s="14">
        <f ca="1">IFERROR(__xludf.DUMMYFUNCTION("""COMPUTED_VALUE"""),43539)</f>
        <v>43539</v>
      </c>
      <c r="H267" t="str">
        <f ca="1">IFERROR(__xludf.DUMMYFUNCTION("""COMPUTED_VALUE"""),"Tolomato River - Angelini Sites")</f>
        <v>Tolomato River - Angelini Sites</v>
      </c>
      <c r="I267" s="15">
        <f ca="1">IFERROR(__xludf.DUMMYFUNCTION("""COMPUTED_VALUE"""),0.625)</f>
        <v>0.625</v>
      </c>
      <c r="J267" s="16">
        <f ca="1">IFERROR(__xludf.DUMMYFUNCTION("""COMPUTED_VALUE"""),43539.6458333333)</f>
        <v>43539.645833333299</v>
      </c>
      <c r="K267" t="str">
        <f ca="1">IFERROR(__xludf.DUMMYFUNCTION("""COMPUTED_VALUE"""),"23ft Skiff (Bertha) FL7972LJ DEP07613")</f>
        <v>23ft Skiff (Bertha) FL7972LJ DEP07613</v>
      </c>
      <c r="M267" t="str">
        <f ca="1">IFERROR(__xludf.DUMMYFUNCTION("""COMPUTED_VALUE"""),"Ford F150 2015 (White) - DEP21448")</f>
        <v>Ford F150 2015 (White) - DEP21448</v>
      </c>
      <c r="N267" t="str">
        <f ca="1">IFERROR(__xludf.DUMMYFUNCTION("""COMPUTED_VALUE"""),"Pam Marcum, (480) 332-5414")</f>
        <v>Pam Marcum, (480) 332-5414</v>
      </c>
      <c r="O267" t="str">
        <f ca="1">IFERROR(__xludf.DUMMYFUNCTION("""COMPUTED_VALUE"""),"Patrick Norby")</f>
        <v>Patrick Norby</v>
      </c>
      <c r="P267" t="str">
        <f ca="1">IFERROR(__xludf.DUMMYFUNCTION("""COMPUTED_VALUE"""),"Pam")</f>
        <v>Pam</v>
      </c>
      <c r="Q267" t="str">
        <f ca="1">IFERROR(__xludf.DUMMYFUNCTION("""COMPUTED_VALUE"""),"Good")</f>
        <v>Good</v>
      </c>
      <c r="R267" t="str">
        <f ca="1">IFERROR(__xludf.DUMMYFUNCTION("""COMPUTED_VALUE"""),"Good")</f>
        <v>Good</v>
      </c>
      <c r="S267" t="str">
        <f ca="1">IFERROR(__xludf.DUMMYFUNCTION("""COMPUTED_VALUE"""),"Good")</f>
        <v>Good</v>
      </c>
      <c r="T267" t="str">
        <f ca="1">IFERROR(__xludf.DUMMYFUNCTION("""COMPUTED_VALUE"""),"Good")</f>
        <v>Good</v>
      </c>
      <c r="U267" t="str">
        <f ca="1">IFERROR(__xludf.DUMMYFUNCTION("""COMPUTED_VALUE"""),"Good")</f>
        <v>Good</v>
      </c>
      <c r="V267" t="str">
        <f ca="1">IFERROR(__xludf.DUMMYFUNCTION("""COMPUTED_VALUE"""),"Good")</f>
        <v>Good</v>
      </c>
      <c r="W267" t="str">
        <f ca="1">IFERROR(__xludf.DUMMYFUNCTION("""COMPUTED_VALUE"""),"Good")</f>
        <v>Good</v>
      </c>
      <c r="X267" t="str">
        <f ca="1">IFERROR(__xludf.DUMMYFUNCTION("""COMPUTED_VALUE"""),"Good")</f>
        <v>Good</v>
      </c>
      <c r="Y267" t="str">
        <f ca="1">IFERROR(__xludf.DUMMYFUNCTION("""COMPUTED_VALUE"""),"Good")</f>
        <v>Good</v>
      </c>
      <c r="Z267" t="str">
        <f ca="1">IFERROR(__xludf.DUMMYFUNCTION("""COMPUTED_VALUE"""),"Good")</f>
        <v>Good</v>
      </c>
      <c r="AA267" t="str">
        <f ca="1">IFERROR(__xludf.DUMMYFUNCTION("""COMPUTED_VALUE"""),"Good")</f>
        <v>Good</v>
      </c>
      <c r="AB267" t="str">
        <f ca="1">IFERROR(__xludf.DUMMYFUNCTION("""COMPUTED_VALUE"""),"Good")</f>
        <v>Good</v>
      </c>
      <c r="AC267" t="str">
        <f ca="1">IFERROR(__xludf.DUMMYFUNCTION("""COMPUTED_VALUE"""),"Good")</f>
        <v>Good</v>
      </c>
      <c r="AE267" s="11"/>
      <c r="AF267" t="str">
        <v>Nikki.Dix@floridadep.gov</v>
      </c>
      <c r="AG267" s="17" t="s">
        <v>17</v>
      </c>
      <c r="AH267" s="12">
        <v>1515</v>
      </c>
      <c r="AI267" s="12" t="s">
        <v>746</v>
      </c>
      <c r="AJ267" s="19" t="s">
        <v>747</v>
      </c>
      <c r="AK267" s="20" t="str">
        <f>HYPERLINK("https://docs.google.com/document/d/1jnJsXS29HDOhrHeQq8n7gliU6CgrEEMc5ofm0gMZrKk/edit?usp=drivesdk","Pam Marcum - 3/15/2019 8:30 AM")</f>
        <v>Pam Marcum - 3/15/2019 8:30 AM</v>
      </c>
      <c r="AL267" s="12" t="s">
        <v>748</v>
      </c>
    </row>
    <row r="268" spans="1:38" ht="12.75">
      <c r="A268" s="10">
        <f ca="1">IFERROR(__xludf.DUMMYFUNCTION("""COMPUTED_VALUE"""),43543.3087345486)</f>
        <v>43543.308734548598</v>
      </c>
      <c r="B268" s="11" t="str">
        <f ca="1">IFERROR(__xludf.DUMMYFUNCTION("""COMPUTED_VALUE"""),"Silas Tanner")</f>
        <v>Silas Tanner</v>
      </c>
      <c r="C268" t="str">
        <f ca="1">IFERROR(__xludf.DUMMYFUNCTION("""COMPUTED_VALUE"""),"silas.tanner@floridadep.gov")</f>
        <v>silas.tanner@floridadep.gov</v>
      </c>
      <c r="D268" t="str">
        <f ca="1">IFERROR(__xludf.DUMMYFUNCTION("""COMPUTED_VALUE"""),"Research/Shannon")</f>
        <v>Research/Shannon</v>
      </c>
      <c r="E268" t="str">
        <f ca="1">IFERROR(__xludf.DUMMYFUNCTION("""COMPUTED_VALUE"""),"Vilano Landing")</f>
        <v>Vilano Landing</v>
      </c>
      <c r="F268" s="13">
        <f ca="1">IFERROR(__xludf.DUMMYFUNCTION("""COMPUTED_VALUE"""),0.322916666667879)</f>
        <v>0.32291666666787899</v>
      </c>
      <c r="G268" s="14">
        <f ca="1">IFERROR(__xludf.DUMMYFUNCTION("""COMPUTED_VALUE"""),43543)</f>
        <v>43543</v>
      </c>
      <c r="H268" t="str">
        <f ca="1">IFERROR(__xludf.DUMMYFUNCTION("""COMPUTED_VALUE"""),"ICW SWMP sites")</f>
        <v>ICW SWMP sites</v>
      </c>
      <c r="I268" s="15">
        <f ca="1">IFERROR(__xludf.DUMMYFUNCTION("""COMPUTED_VALUE"""),0.541666666667879)</f>
        <v>0.54166666666787899</v>
      </c>
      <c r="J268" s="16">
        <f ca="1">IFERROR(__xludf.DUMMYFUNCTION("""COMPUTED_VALUE"""),43543.5520833333)</f>
        <v>43543.552083333299</v>
      </c>
      <c r="K268" t="str">
        <f ca="1">IFERROR(__xludf.DUMMYFUNCTION("""COMPUTED_VALUE"""),"20ft Sea Ark FL5351SJ UNF 2015")</f>
        <v>20ft Sea Ark FL5351SJ UNF 2015</v>
      </c>
      <c r="M268" t="str">
        <f ca="1">IFERROR(__xludf.DUMMYFUNCTION("""COMPUTED_VALUE"""),"Ford F250 2017 (Moby Dix) - DEP0021578")</f>
        <v>Ford F250 2017 (Moby Dix) - DEP0021578</v>
      </c>
      <c r="N268" t="str">
        <f ca="1">IFERROR(__xludf.DUMMYFUNCTION("""COMPUTED_VALUE"""),"Silas Tanner, (904) 483-8423")</f>
        <v>Silas Tanner, (904) 483-8423</v>
      </c>
      <c r="O268" t="str">
        <f ca="1">IFERROR(__xludf.DUMMYFUNCTION("""COMPUTED_VALUE"""),"Remo Mondazzi")</f>
        <v>Remo Mondazzi</v>
      </c>
      <c r="P268" t="str">
        <f ca="1">IFERROR(__xludf.DUMMYFUNCTION("""COMPUTED_VALUE"""),"S. Tanner")</f>
        <v>S. Tanner</v>
      </c>
      <c r="Q268" t="str">
        <f ca="1">IFERROR(__xludf.DUMMYFUNCTION("""COMPUTED_VALUE"""),"Good")</f>
        <v>Good</v>
      </c>
      <c r="R268" t="str">
        <f ca="1">IFERROR(__xludf.DUMMYFUNCTION("""COMPUTED_VALUE"""),"Good")</f>
        <v>Good</v>
      </c>
      <c r="S268" t="str">
        <f ca="1">IFERROR(__xludf.DUMMYFUNCTION("""COMPUTED_VALUE"""),"Good")</f>
        <v>Good</v>
      </c>
      <c r="T268" t="str">
        <f ca="1">IFERROR(__xludf.DUMMYFUNCTION("""COMPUTED_VALUE"""),"Good")</f>
        <v>Good</v>
      </c>
      <c r="U268" t="str">
        <f ca="1">IFERROR(__xludf.DUMMYFUNCTION("""COMPUTED_VALUE"""),"Good")</f>
        <v>Good</v>
      </c>
      <c r="V268" t="str">
        <f ca="1">IFERROR(__xludf.DUMMYFUNCTION("""COMPUTED_VALUE"""),"Good")</f>
        <v>Good</v>
      </c>
      <c r="W268" t="str">
        <f ca="1">IFERROR(__xludf.DUMMYFUNCTION("""COMPUTED_VALUE"""),"Good")</f>
        <v>Good</v>
      </c>
      <c r="X268" t="str">
        <f ca="1">IFERROR(__xludf.DUMMYFUNCTION("""COMPUTED_VALUE"""),"Good")</f>
        <v>Good</v>
      </c>
      <c r="Y268" t="str">
        <f ca="1">IFERROR(__xludf.DUMMYFUNCTION("""COMPUTED_VALUE"""),"Good")</f>
        <v>Good</v>
      </c>
      <c r="Z268" t="str">
        <f ca="1">IFERROR(__xludf.DUMMYFUNCTION("""COMPUTED_VALUE"""),"Good")</f>
        <v>Good</v>
      </c>
      <c r="AA268" t="str">
        <f ca="1">IFERROR(__xludf.DUMMYFUNCTION("""COMPUTED_VALUE"""),"Good")</f>
        <v>Good</v>
      </c>
      <c r="AB268" t="str">
        <f ca="1">IFERROR(__xludf.DUMMYFUNCTION("""COMPUTED_VALUE"""),"Good")</f>
        <v>Good</v>
      </c>
      <c r="AC268" t="str">
        <f ca="1">IFERROR(__xludf.DUMMYFUNCTION("""COMPUTED_VALUE"""),"Good")</f>
        <v>Good</v>
      </c>
      <c r="AE268" s="11"/>
      <c r="AF268" t="str">
        <v>Shannon.Dunnigan@floridadep.gov</v>
      </c>
      <c r="AG268" s="17" t="s">
        <v>17</v>
      </c>
      <c r="AH268" s="12">
        <v>1215</v>
      </c>
      <c r="AI268" s="12" t="s">
        <v>749</v>
      </c>
      <c r="AJ268" s="19" t="s">
        <v>750</v>
      </c>
      <c r="AK268" s="20" t="str">
        <f>HYPERLINK("https://docs.google.com/document/d/1VtQ18zcO7flR4xUlRI4xlQwk7HLbxifr5GREZNqxXeE/edit?usp=drivesdk","Silas Tanner - 3/19/2019 7:45 AM")</f>
        <v>Silas Tanner - 3/19/2019 7:45 AM</v>
      </c>
      <c r="AL268" s="12" t="s">
        <v>751</v>
      </c>
    </row>
    <row r="269" spans="1:38" ht="12.75">
      <c r="A269" s="10">
        <f ca="1">IFERROR(__xludf.DUMMYFUNCTION("""COMPUTED_VALUE"""),43553.3755268402)</f>
        <v>43553.375526840202</v>
      </c>
      <c r="B269" s="11" t="str">
        <f ca="1">IFERROR(__xludf.DUMMYFUNCTION("""COMPUTED_VALUE"""),"Pam Marcum")</f>
        <v>Pam Marcum</v>
      </c>
      <c r="C269" t="str">
        <f ca="1">IFERROR(__xludf.DUMMYFUNCTION("""COMPUTED_VALUE"""),"Pamela.Marcum@dep.state.fl.us")</f>
        <v>Pamela.Marcum@dep.state.fl.us</v>
      </c>
      <c r="D269" t="str">
        <f ca="1">IFERROR(__xludf.DUMMYFUNCTION("""COMPUTED_VALUE"""),"Research/Nikki")</f>
        <v>Research/Nikki</v>
      </c>
      <c r="E269" t="str">
        <f ca="1">IFERROR(__xludf.DUMMYFUNCTION("""COMPUTED_VALUE"""),"Green Rd")</f>
        <v>Green Rd</v>
      </c>
      <c r="F269" s="13">
        <f ca="1">IFERROR(__xludf.DUMMYFUNCTION("""COMPUTED_VALUE"""),0.416666666667879)</f>
        <v>0.41666666666787899</v>
      </c>
      <c r="G269" s="14">
        <f ca="1">IFERROR(__xludf.DUMMYFUNCTION("""COMPUTED_VALUE"""),43553)</f>
        <v>43553</v>
      </c>
      <c r="H269" t="str">
        <f ca="1">IFERROR(__xludf.DUMMYFUNCTION("""COMPUTED_VALUE"""),"Moses Creek Platforms")</f>
        <v>Moses Creek Platforms</v>
      </c>
      <c r="I269" s="15">
        <f ca="1">IFERROR(__xludf.DUMMYFUNCTION("""COMPUTED_VALUE"""),0.666666666667879)</f>
        <v>0.66666666666787899</v>
      </c>
      <c r="J269" s="16">
        <f ca="1">IFERROR(__xludf.DUMMYFUNCTION("""COMPUTED_VALUE"""),43553.6979166666)</f>
        <v>43553.697916666599</v>
      </c>
      <c r="K269" t="str">
        <f ca="1">IFERROR(__xludf.DUMMYFUNCTION("""COMPUTED_VALUE"""),"23ft Skiff (Bertha) FL7972LJ DEP07613")</f>
        <v>23ft Skiff (Bertha) FL7972LJ DEP07613</v>
      </c>
      <c r="M269" t="str">
        <f ca="1">IFERROR(__xludf.DUMMYFUNCTION("""COMPUTED_VALUE"""),"Ford F150 2008 - DEP18041 (SWMP Thing)")</f>
        <v>Ford F150 2008 - DEP18041 (SWMP Thing)</v>
      </c>
      <c r="N269" t="str">
        <f ca="1">IFERROR(__xludf.DUMMYFUNCTION("""COMPUTED_VALUE"""),"Pam Marcum, (480) 332-5414")</f>
        <v>Pam Marcum, (480) 332-5414</v>
      </c>
      <c r="O269" t="str">
        <f ca="1">IFERROR(__xludf.DUMMYFUNCTION("""COMPUTED_VALUE"""),"Jessica Lee")</f>
        <v>Jessica Lee</v>
      </c>
      <c r="P269" t="str">
        <f ca="1">IFERROR(__xludf.DUMMYFUNCTION("""COMPUTED_VALUE"""),"Pam")</f>
        <v>Pam</v>
      </c>
      <c r="Q269" t="str">
        <f ca="1">IFERROR(__xludf.DUMMYFUNCTION("""COMPUTED_VALUE"""),"Good")</f>
        <v>Good</v>
      </c>
      <c r="R269" t="str">
        <f ca="1">IFERROR(__xludf.DUMMYFUNCTION("""COMPUTED_VALUE"""),"Good")</f>
        <v>Good</v>
      </c>
      <c r="S269" t="str">
        <f ca="1">IFERROR(__xludf.DUMMYFUNCTION("""COMPUTED_VALUE"""),"Good")</f>
        <v>Good</v>
      </c>
      <c r="T269" t="str">
        <f ca="1">IFERROR(__xludf.DUMMYFUNCTION("""COMPUTED_VALUE"""),"Good")</f>
        <v>Good</v>
      </c>
      <c r="U269" t="str">
        <f ca="1">IFERROR(__xludf.DUMMYFUNCTION("""COMPUTED_VALUE"""),"Good")</f>
        <v>Good</v>
      </c>
      <c r="V269" t="str">
        <f ca="1">IFERROR(__xludf.DUMMYFUNCTION("""COMPUTED_VALUE"""),"Good")</f>
        <v>Good</v>
      </c>
      <c r="W269" t="str">
        <f ca="1">IFERROR(__xludf.DUMMYFUNCTION("""COMPUTED_VALUE"""),"Good")</f>
        <v>Good</v>
      </c>
      <c r="X269" t="str">
        <f ca="1">IFERROR(__xludf.DUMMYFUNCTION("""COMPUTED_VALUE"""),"Good")</f>
        <v>Good</v>
      </c>
      <c r="Y269" t="str">
        <f ca="1">IFERROR(__xludf.DUMMYFUNCTION("""COMPUTED_VALUE"""),"Good")</f>
        <v>Good</v>
      </c>
      <c r="Z269" t="str">
        <f ca="1">IFERROR(__xludf.DUMMYFUNCTION("""COMPUTED_VALUE"""),"Good")</f>
        <v>Good</v>
      </c>
      <c r="AA269" t="str">
        <f ca="1">IFERROR(__xludf.DUMMYFUNCTION("""COMPUTED_VALUE"""),"Good")</f>
        <v>Good</v>
      </c>
      <c r="AB269" t="str">
        <f ca="1">IFERROR(__xludf.DUMMYFUNCTION("""COMPUTED_VALUE"""),"Good")</f>
        <v>Good</v>
      </c>
      <c r="AC269" t="str">
        <f ca="1">IFERROR(__xludf.DUMMYFUNCTION("""COMPUTED_VALUE"""),"Good")</f>
        <v>Good</v>
      </c>
      <c r="AE269" s="11"/>
      <c r="AF269" t="str">
        <v>Nikki.Dix@floridadep.gov</v>
      </c>
      <c r="AG269" s="17" t="s">
        <v>113</v>
      </c>
      <c r="AH269" s="12">
        <v>1540</v>
      </c>
      <c r="AI269" s="12" t="s">
        <v>752</v>
      </c>
      <c r="AJ269" s="19" t="s">
        <v>753</v>
      </c>
      <c r="AK269" s="20" t="str">
        <f>HYPERLINK("https://docs.google.com/document/d/1L1BhSBkasbBc33FaIlGEUy1QJoKlaM_Jtc_EQeyB6rE/edit?usp=drivesdk","Pam Marcum - 3/29/2019 10:00 AM")</f>
        <v>Pam Marcum - 3/29/2019 10:00 AM</v>
      </c>
      <c r="AL269" s="12" t="s">
        <v>754</v>
      </c>
    </row>
    <row r="270" spans="1:38" ht="12.75">
      <c r="A270" s="10">
        <f ca="1">IFERROR(__xludf.DUMMYFUNCTION("""COMPUTED_VALUE"""),43555.4290140046)</f>
        <v>43555.4290140046</v>
      </c>
      <c r="B270" s="11" t="str">
        <f ca="1">IFERROR(__xludf.DUMMYFUNCTION("""COMPUTED_VALUE"""),"Pam Marcum")</f>
        <v>Pam Marcum</v>
      </c>
      <c r="C270" t="str">
        <f ca="1">IFERROR(__xludf.DUMMYFUNCTION("""COMPUTED_VALUE"""),"Pamela.Marcum@floridadep.gov")</f>
        <v>Pamela.Marcum@floridadep.gov</v>
      </c>
      <c r="D270" t="str">
        <f ca="1">IFERROR(__xludf.DUMMYFUNCTION("""COMPUTED_VALUE"""),"Research/Nikki")</f>
        <v>Research/Nikki</v>
      </c>
      <c r="E270" t="str">
        <f ca="1">IFERROR(__xludf.DUMMYFUNCTION("""COMPUTED_VALUE"""),"Shore, green, bings, lighthouse")</f>
        <v>Shore, green, bings, lighthouse</v>
      </c>
      <c r="F270" s="13">
        <f ca="1">IFERROR(__xludf.DUMMYFUNCTION("""COMPUTED_VALUE"""),0.42708333333212)</f>
        <v>0.42708333333212001</v>
      </c>
      <c r="G270" s="14">
        <f ca="1">IFERROR(__xludf.DUMMYFUNCTION("""COMPUTED_VALUE"""),43555)</f>
        <v>43555</v>
      </c>
      <c r="H270" t="str">
        <f ca="1">IFERROR(__xludf.DUMMYFUNCTION("""COMPUTED_VALUE"""),"Spat trees")</f>
        <v>Spat trees</v>
      </c>
      <c r="I270" s="15">
        <f ca="1">IFERROR(__xludf.DUMMYFUNCTION("""COMPUTED_VALUE"""),0.70833333333212)</f>
        <v>0.70833333333212001</v>
      </c>
      <c r="J270" s="16">
        <f ca="1">IFERROR(__xludf.DUMMYFUNCTION("""COMPUTED_VALUE"""),43555.71875)</f>
        <v>43555.71875</v>
      </c>
      <c r="K270" t="str">
        <f ca="1">IFERROR(__xludf.DUMMYFUNCTION("""COMPUTED_VALUE"""),"20ft Sea Ark FL5351SJ UNF 2015")</f>
        <v>20ft Sea Ark FL5351SJ UNF 2015</v>
      </c>
      <c r="M270" t="str">
        <f ca="1">IFERROR(__xludf.DUMMYFUNCTION("""COMPUTED_VALUE"""),"Ford F150 2008 - DEP18041 (SWMP Thing)")</f>
        <v>Ford F150 2008 - DEP18041 (SWMP Thing)</v>
      </c>
      <c r="N270" t="str">
        <f ca="1">IFERROR(__xludf.DUMMYFUNCTION("""COMPUTED_VALUE"""),"Joseph Burgess, (904) 599-2723")</f>
        <v>Joseph Burgess, (904) 599-2723</v>
      </c>
      <c r="O270" t="str">
        <f ca="1">IFERROR(__xludf.DUMMYFUNCTION("""COMPUTED_VALUE"""),"Nicole Peckham, Joey Turvey")</f>
        <v>Nicole Peckham, Joey Turvey</v>
      </c>
      <c r="P270" t="str">
        <f ca="1">IFERROR(__xludf.DUMMYFUNCTION("""COMPUTED_VALUE"""),"Pam")</f>
        <v>Pam</v>
      </c>
      <c r="Q270" t="str">
        <f ca="1">IFERROR(__xludf.DUMMYFUNCTION("""COMPUTED_VALUE"""),"Good")</f>
        <v>Good</v>
      </c>
      <c r="R270" t="str">
        <f ca="1">IFERROR(__xludf.DUMMYFUNCTION("""COMPUTED_VALUE"""),"Good")</f>
        <v>Good</v>
      </c>
      <c r="S270" t="str">
        <f ca="1">IFERROR(__xludf.DUMMYFUNCTION("""COMPUTED_VALUE"""),"Good")</f>
        <v>Good</v>
      </c>
      <c r="T270" t="str">
        <f ca="1">IFERROR(__xludf.DUMMYFUNCTION("""COMPUTED_VALUE"""),"Good")</f>
        <v>Good</v>
      </c>
      <c r="U270" t="str">
        <f ca="1">IFERROR(__xludf.DUMMYFUNCTION("""COMPUTED_VALUE"""),"Good")</f>
        <v>Good</v>
      </c>
      <c r="V270" t="str">
        <f ca="1">IFERROR(__xludf.DUMMYFUNCTION("""COMPUTED_VALUE"""),"Good")</f>
        <v>Good</v>
      </c>
      <c r="W270" t="str">
        <f ca="1">IFERROR(__xludf.DUMMYFUNCTION("""COMPUTED_VALUE"""),"Good")</f>
        <v>Good</v>
      </c>
      <c r="X270" t="str">
        <f ca="1">IFERROR(__xludf.DUMMYFUNCTION("""COMPUTED_VALUE"""),"Good")</f>
        <v>Good</v>
      </c>
      <c r="Y270" t="str">
        <f ca="1">IFERROR(__xludf.DUMMYFUNCTION("""COMPUTED_VALUE"""),"Good")</f>
        <v>Good</v>
      </c>
      <c r="Z270" t="str">
        <f ca="1">IFERROR(__xludf.DUMMYFUNCTION("""COMPUTED_VALUE"""),"Good")</f>
        <v>Good</v>
      </c>
      <c r="AA270" t="str">
        <f ca="1">IFERROR(__xludf.DUMMYFUNCTION("""COMPUTED_VALUE"""),"Good")</f>
        <v>Good</v>
      </c>
      <c r="AB270" t="str">
        <f ca="1">IFERROR(__xludf.DUMMYFUNCTION("""COMPUTED_VALUE"""),"Good")</f>
        <v>Good</v>
      </c>
      <c r="AC270" t="str">
        <f ca="1">IFERROR(__xludf.DUMMYFUNCTION("""COMPUTED_VALUE"""),"Good")</f>
        <v>Good</v>
      </c>
      <c r="AE270" s="11"/>
      <c r="AF270" t="str">
        <v>Nikki.Dix@floridadep.gov</v>
      </c>
      <c r="AG270" s="17" t="s">
        <v>41</v>
      </c>
      <c r="AH270" s="12">
        <v>1545</v>
      </c>
      <c r="AI270" s="12" t="s">
        <v>755</v>
      </c>
      <c r="AJ270" s="19" t="s">
        <v>756</v>
      </c>
      <c r="AK270" s="20" t="str">
        <f>HYPERLINK("https://docs.google.com/document/d/1Dzim86Y4YGT_YVul2rHTGacthfweWnqj2ROmmM8TFk0/edit?usp=drivesdk","Pam Marcum - 3/31/2019 10:15 AM")</f>
        <v>Pam Marcum - 3/31/2019 10:15 AM</v>
      </c>
      <c r="AL270" s="12" t="s">
        <v>757</v>
      </c>
    </row>
    <row r="271" spans="1:38" ht="12.75">
      <c r="A271" s="10">
        <f ca="1">IFERROR(__xludf.DUMMYFUNCTION("""COMPUTED_VALUE"""),43556.4109893402)</f>
        <v>43556.410989340198</v>
      </c>
      <c r="B271" s="11" t="str">
        <f ca="1">IFERROR(__xludf.DUMMYFUNCTION("""COMPUTED_VALUE"""),"Pamela Marcum")</f>
        <v>Pamela Marcum</v>
      </c>
      <c r="C271" t="str">
        <f ca="1">IFERROR(__xludf.DUMMYFUNCTION("""COMPUTED_VALUE"""),"Pamela.Marcum@dep.state.fl.us")</f>
        <v>Pamela.Marcum@dep.state.fl.us</v>
      </c>
      <c r="D271" t="str">
        <f ca="1">IFERROR(__xludf.DUMMYFUNCTION("""COMPUTED_VALUE"""),"Research/Nikki")</f>
        <v>Research/Nikki</v>
      </c>
      <c r="E271" t="str">
        <f ca="1">IFERROR(__xludf.DUMMYFUNCTION("""COMPUTED_VALUE"""),"Aunt Kates")</f>
        <v>Aunt Kates</v>
      </c>
      <c r="F271" s="13">
        <f ca="1">IFERROR(__xludf.DUMMYFUNCTION("""COMPUTED_VALUE"""),0.5)</f>
        <v>0.5</v>
      </c>
      <c r="G271" s="14">
        <f ca="1">IFERROR(__xludf.DUMMYFUNCTION("""COMPUTED_VALUE"""),43556)</f>
        <v>43556</v>
      </c>
      <c r="H271" t="str">
        <f ca="1">IFERROR(__xludf.DUMMYFUNCTION("""COMPUTED_VALUE"""),"Tolomato and Guana spat trees")</f>
        <v>Tolomato and Guana spat trees</v>
      </c>
      <c r="I271" s="15">
        <f ca="1">IFERROR(__xludf.DUMMYFUNCTION("""COMPUTED_VALUE"""),0.666666666667879)</f>
        <v>0.66666666666787899</v>
      </c>
      <c r="J271" s="16">
        <f ca="1">IFERROR(__xludf.DUMMYFUNCTION("""COMPUTED_VALUE"""),43556.6875)</f>
        <v>43556.6875</v>
      </c>
      <c r="K271" t="str">
        <f ca="1">IFERROR(__xludf.DUMMYFUNCTION("""COMPUTED_VALUE"""),"20ft Sea Ark FL5351SJ UNF 2015")</f>
        <v>20ft Sea Ark FL5351SJ UNF 2015</v>
      </c>
      <c r="M271" t="str">
        <f ca="1">IFERROR(__xludf.DUMMYFUNCTION("""COMPUTED_VALUE"""),"Ford F150 2008 - DEP18041 (SWMP Thing)")</f>
        <v>Ford F150 2008 - DEP18041 (SWMP Thing)</v>
      </c>
      <c r="N271" t="str">
        <f ca="1">IFERROR(__xludf.DUMMYFUNCTION("""COMPUTED_VALUE"""),"Pam Marcum, (480) 332-5414")</f>
        <v>Pam Marcum, (480) 332-5414</v>
      </c>
      <c r="O271" t="str">
        <f ca="1">IFERROR(__xludf.DUMMYFUNCTION("""COMPUTED_VALUE"""),"Adrienne Breef-Pilz, Nicole Peckham")</f>
        <v>Adrienne Breef-Pilz, Nicole Peckham</v>
      </c>
      <c r="P271" t="str">
        <f ca="1">IFERROR(__xludf.DUMMYFUNCTION("""COMPUTED_VALUE"""),"Pam")</f>
        <v>Pam</v>
      </c>
      <c r="Q271" t="str">
        <f ca="1">IFERROR(__xludf.DUMMYFUNCTION("""COMPUTED_VALUE"""),"Good")</f>
        <v>Good</v>
      </c>
      <c r="R271" t="str">
        <f ca="1">IFERROR(__xludf.DUMMYFUNCTION("""COMPUTED_VALUE"""),"Good")</f>
        <v>Good</v>
      </c>
      <c r="S271" t="str">
        <f ca="1">IFERROR(__xludf.DUMMYFUNCTION("""COMPUTED_VALUE"""),"Good")</f>
        <v>Good</v>
      </c>
      <c r="T271" t="str">
        <f ca="1">IFERROR(__xludf.DUMMYFUNCTION("""COMPUTED_VALUE"""),"Good")</f>
        <v>Good</v>
      </c>
      <c r="U271" t="str">
        <f ca="1">IFERROR(__xludf.DUMMYFUNCTION("""COMPUTED_VALUE"""),"Good")</f>
        <v>Good</v>
      </c>
      <c r="V271" t="str">
        <f ca="1">IFERROR(__xludf.DUMMYFUNCTION("""COMPUTED_VALUE"""),"Good")</f>
        <v>Good</v>
      </c>
      <c r="W271" t="str">
        <f ca="1">IFERROR(__xludf.DUMMYFUNCTION("""COMPUTED_VALUE"""),"Good")</f>
        <v>Good</v>
      </c>
      <c r="X271" t="str">
        <f ca="1">IFERROR(__xludf.DUMMYFUNCTION("""COMPUTED_VALUE"""),"Good")</f>
        <v>Good</v>
      </c>
      <c r="Y271" t="str">
        <f ca="1">IFERROR(__xludf.DUMMYFUNCTION("""COMPUTED_VALUE"""),"Good")</f>
        <v>Good</v>
      </c>
      <c r="Z271" t="str">
        <f ca="1">IFERROR(__xludf.DUMMYFUNCTION("""COMPUTED_VALUE"""),"Good")</f>
        <v>Good</v>
      </c>
      <c r="AA271" t="str">
        <f ca="1">IFERROR(__xludf.DUMMYFUNCTION("""COMPUTED_VALUE"""),"Good")</f>
        <v>Good</v>
      </c>
      <c r="AB271" t="str">
        <f ca="1">IFERROR(__xludf.DUMMYFUNCTION("""COMPUTED_VALUE"""),"Good")</f>
        <v>Good</v>
      </c>
      <c r="AC271" t="str">
        <f ca="1">IFERROR(__xludf.DUMMYFUNCTION("""COMPUTED_VALUE"""),"Good")</f>
        <v>Good</v>
      </c>
      <c r="AE271" s="11"/>
      <c r="AF271" t="str">
        <v>Nikki.Dix@floridadep.gov</v>
      </c>
      <c r="AG271" s="17" t="s">
        <v>41</v>
      </c>
      <c r="AH271" s="12">
        <v>1610</v>
      </c>
      <c r="AI271" s="12" t="s">
        <v>758</v>
      </c>
      <c r="AJ271" s="19" t="s">
        <v>759</v>
      </c>
      <c r="AK271" s="20" t="str">
        <f>HYPERLINK("https://docs.google.com/document/d/1mBCEfKk4M0GnmEfttHkg7DYLU8NC9VAAZ_0zCFxBuws/edit?usp=drivesdk","Pamela Marcum - 4/1/2019 12:00 PM")</f>
        <v>Pamela Marcum - 4/1/2019 12:00 PM</v>
      </c>
      <c r="AL271" s="12" t="s">
        <v>760</v>
      </c>
    </row>
    <row r="272" spans="1:38" ht="12.75">
      <c r="A272" s="10">
        <f ca="1">IFERROR(__xludf.DUMMYFUNCTION("""COMPUTED_VALUE"""),43556.7473718981)</f>
        <v>43556.747371898098</v>
      </c>
      <c r="B272" s="11" t="str">
        <f ca="1">IFERROR(__xludf.DUMMYFUNCTION("""COMPUTED_VALUE"""),"James Tomazinis")</f>
        <v>James Tomazinis</v>
      </c>
      <c r="C272" t="str">
        <f ca="1">IFERROR(__xludf.DUMMYFUNCTION("""COMPUTED_VALUE"""),"james.tomazinis@floridadep.gov")</f>
        <v>james.tomazinis@floridadep.gov</v>
      </c>
      <c r="D272" t="str">
        <f ca="1">IFERROR(__xludf.DUMMYFUNCTION("""COMPUTED_VALUE"""),"Stewardship (Aquatic)")</f>
        <v>Stewardship (Aquatic)</v>
      </c>
      <c r="E272" t="str">
        <f ca="1">IFERROR(__xludf.DUMMYFUNCTION("""COMPUTED_VALUE"""),"Guana Dam")</f>
        <v>Guana Dam</v>
      </c>
      <c r="F272" s="13">
        <f ca="1">IFERROR(__xludf.DUMMYFUNCTION("""COMPUTED_VALUE"""),0.375)</f>
        <v>0.375</v>
      </c>
      <c r="G272" s="14">
        <f ca="1">IFERROR(__xludf.DUMMYFUNCTION("""COMPUTED_VALUE"""),43557)</f>
        <v>43557</v>
      </c>
      <c r="H272" t="str">
        <f ca="1">IFERROR(__xludf.DUMMYFUNCTION("""COMPUTED_VALUE"""),"Guana River WQ sites")</f>
        <v>Guana River WQ sites</v>
      </c>
      <c r="I272" s="15">
        <f ca="1">IFERROR(__xludf.DUMMYFUNCTION("""COMPUTED_VALUE"""),0.4375)</f>
        <v>0.4375</v>
      </c>
      <c r="J272" s="16"/>
      <c r="K272" t="str">
        <f ca="1">IFERROR(__xludf.DUMMYFUNCTION("""COMPUTED_VALUE"""),"Jon Boat FL0484NP DEP06819")</f>
        <v>Jon Boat FL0484NP DEP06819</v>
      </c>
      <c r="M272" t="str">
        <f ca="1">IFERROR(__xludf.DUMMYFUNCTION("""COMPUTED_VALUE"""),"Ford F150 2015 (White) - DEP21448")</f>
        <v>Ford F150 2015 (White) - DEP21448</v>
      </c>
      <c r="N272" t="str">
        <f ca="1">IFERROR(__xludf.DUMMYFUNCTION("""COMPUTED_VALUE"""),"Jimmy Tomazinis, (904) 547-0094")</f>
        <v>Jimmy Tomazinis, (904) 547-0094</v>
      </c>
      <c r="O272" t="str">
        <f ca="1">IFERROR(__xludf.DUMMYFUNCTION("""COMPUTED_VALUE"""),"Mike Darragh")</f>
        <v>Mike Darragh</v>
      </c>
      <c r="P272" t="str">
        <f ca="1">IFERROR(__xludf.DUMMYFUNCTION("""COMPUTED_VALUE"""),"Jimmy")</f>
        <v>Jimmy</v>
      </c>
      <c r="Q272" t="str">
        <f ca="1">IFERROR(__xludf.DUMMYFUNCTION("""COMPUTED_VALUE"""),"Good")</f>
        <v>Good</v>
      </c>
      <c r="R272" t="str">
        <f ca="1">IFERROR(__xludf.DUMMYFUNCTION("""COMPUTED_VALUE"""),"Good")</f>
        <v>Good</v>
      </c>
      <c r="S272" t="str">
        <f ca="1">IFERROR(__xludf.DUMMYFUNCTION("""COMPUTED_VALUE"""),"Good")</f>
        <v>Good</v>
      </c>
      <c r="T272" t="str">
        <f ca="1">IFERROR(__xludf.DUMMYFUNCTION("""COMPUTED_VALUE"""),"Good")</f>
        <v>Good</v>
      </c>
      <c r="U272" t="str">
        <f ca="1">IFERROR(__xludf.DUMMYFUNCTION("""COMPUTED_VALUE"""),"Good")</f>
        <v>Good</v>
      </c>
      <c r="V272" t="str">
        <f ca="1">IFERROR(__xludf.DUMMYFUNCTION("""COMPUTED_VALUE"""),"Good")</f>
        <v>Good</v>
      </c>
      <c r="W272" t="str">
        <f ca="1">IFERROR(__xludf.DUMMYFUNCTION("""COMPUTED_VALUE"""),"Good")</f>
        <v>Good</v>
      </c>
      <c r="X272" t="str">
        <f ca="1">IFERROR(__xludf.DUMMYFUNCTION("""COMPUTED_VALUE"""),"Good")</f>
        <v>Good</v>
      </c>
      <c r="Y272" t="str">
        <f ca="1">IFERROR(__xludf.DUMMYFUNCTION("""COMPUTED_VALUE"""),"Good")</f>
        <v>Good</v>
      </c>
      <c r="Z272" t="str">
        <f ca="1">IFERROR(__xludf.DUMMYFUNCTION("""COMPUTED_VALUE"""),"Good")</f>
        <v>Good</v>
      </c>
      <c r="AA272" t="str">
        <f ca="1">IFERROR(__xludf.DUMMYFUNCTION("""COMPUTED_VALUE"""),"Good")</f>
        <v>Good</v>
      </c>
      <c r="AB272" t="str">
        <f ca="1">IFERROR(__xludf.DUMMYFUNCTION("""COMPUTED_VALUE"""),"Good")</f>
        <v>Good</v>
      </c>
      <c r="AC272" t="str">
        <f ca="1">IFERROR(__xludf.DUMMYFUNCTION("""COMPUTED_VALUE"""),"Good")</f>
        <v>Good</v>
      </c>
      <c r="AE272" s="11"/>
      <c r="AF272" t="str">
        <v>Scott.Eastman@floridadep.gov</v>
      </c>
      <c r="AG272" s="17" t="s">
        <v>17</v>
      </c>
      <c r="AH272" s="12">
        <v>1145</v>
      </c>
      <c r="AI272" s="12" t="s">
        <v>761</v>
      </c>
      <c r="AJ272" s="19" t="s">
        <v>762</v>
      </c>
      <c r="AK272" s="20" t="str">
        <f>HYPERLINK("https://docs.google.com/document/d/1hBWPvOMDWDX1__sfEInbaoUfl4W3yrdgE2duMe0b6N8/edit?usp=drivesdk","James Tomazinis - 4/2/2019 9:00 AM")</f>
        <v>James Tomazinis - 4/2/2019 9:00 AM</v>
      </c>
      <c r="AL272" s="12" t="s">
        <v>763</v>
      </c>
    </row>
    <row r="273" spans="1:38" ht="12.75">
      <c r="A273" s="10">
        <f ca="1">IFERROR(__xludf.DUMMYFUNCTION("""COMPUTED_VALUE"""),43558.3048768865)</f>
        <v>43558.304876886497</v>
      </c>
      <c r="B273" s="11" t="str">
        <f ca="1">IFERROR(__xludf.DUMMYFUNCTION("""COMPUTED_VALUE"""),"Silas Tanner")</f>
        <v>Silas Tanner</v>
      </c>
      <c r="C273" t="str">
        <f ca="1">IFERROR(__xludf.DUMMYFUNCTION("""COMPUTED_VALUE"""),"silas.tanner@floridadep.gov")</f>
        <v>silas.tanner@floridadep.gov</v>
      </c>
      <c r="D273" t="str">
        <f ca="1">IFERROR(__xludf.DUMMYFUNCTION("""COMPUTED_VALUE"""),"Research/Nikki")</f>
        <v>Research/Nikki</v>
      </c>
      <c r="E273" t="str">
        <f ca="1">IFERROR(__xludf.DUMMYFUNCTION("""COMPUTED_VALUE"""),"Vilano Landing")</f>
        <v>Vilano Landing</v>
      </c>
      <c r="F273" s="13">
        <f ca="1">IFERROR(__xludf.DUMMYFUNCTION("""COMPUTED_VALUE"""),0.3125)</f>
        <v>0.3125</v>
      </c>
      <c r="G273" s="14">
        <f ca="1">IFERROR(__xludf.DUMMYFUNCTION("""COMPUTED_VALUE"""),43558)</f>
        <v>43558</v>
      </c>
      <c r="H273" t="str">
        <f ca="1">IFERROR(__xludf.DUMMYFUNCTION("""COMPUTED_VALUE"""),"ICW SWMP sites")</f>
        <v>ICW SWMP sites</v>
      </c>
      <c r="I273" s="15">
        <f ca="1">IFERROR(__xludf.DUMMYFUNCTION("""COMPUTED_VALUE"""),0.52083333333212)</f>
        <v>0.52083333333212001</v>
      </c>
      <c r="J273" s="16">
        <f ca="1">IFERROR(__xludf.DUMMYFUNCTION("""COMPUTED_VALUE"""),43558.5416666666)</f>
        <v>43558.541666666599</v>
      </c>
      <c r="K273" t="str">
        <f ca="1">IFERROR(__xludf.DUMMYFUNCTION("""COMPUTED_VALUE"""),"20ft Sea Ark FL5351SJ UNF 2015")</f>
        <v>20ft Sea Ark FL5351SJ UNF 2015</v>
      </c>
      <c r="M273" t="str">
        <f ca="1">IFERROR(__xludf.DUMMYFUNCTION("""COMPUTED_VALUE"""),"Ford F150 2015 (White) - DEP21448")</f>
        <v>Ford F150 2015 (White) - DEP21448</v>
      </c>
      <c r="N273" t="str">
        <f ca="1">IFERROR(__xludf.DUMMYFUNCTION("""COMPUTED_VALUE"""),"Silas Tanner, (904) 483-8423, Jimmy Tomazinis, (904) 547-0094")</f>
        <v>Silas Tanner, (904) 483-8423, Jimmy Tomazinis, (904) 547-0094</v>
      </c>
      <c r="O273" t="str">
        <f ca="1">IFERROR(__xludf.DUMMYFUNCTION("""COMPUTED_VALUE"""),"Jeff Finnan")</f>
        <v>Jeff Finnan</v>
      </c>
      <c r="P273" t="str">
        <f ca="1">IFERROR(__xludf.DUMMYFUNCTION("""COMPUTED_VALUE"""),"S. Tanner")</f>
        <v>S. Tanner</v>
      </c>
      <c r="Q273" t="str">
        <f ca="1">IFERROR(__xludf.DUMMYFUNCTION("""COMPUTED_VALUE"""),"Good")</f>
        <v>Good</v>
      </c>
      <c r="R273" t="str">
        <f ca="1">IFERROR(__xludf.DUMMYFUNCTION("""COMPUTED_VALUE"""),"Good")</f>
        <v>Good</v>
      </c>
      <c r="S273" t="str">
        <f ca="1">IFERROR(__xludf.DUMMYFUNCTION("""COMPUTED_VALUE"""),"Good")</f>
        <v>Good</v>
      </c>
      <c r="T273" t="str">
        <f ca="1">IFERROR(__xludf.DUMMYFUNCTION("""COMPUTED_VALUE"""),"Good")</f>
        <v>Good</v>
      </c>
      <c r="U273" t="str">
        <f ca="1">IFERROR(__xludf.DUMMYFUNCTION("""COMPUTED_VALUE"""),"Good")</f>
        <v>Good</v>
      </c>
      <c r="V273" t="str">
        <f ca="1">IFERROR(__xludf.DUMMYFUNCTION("""COMPUTED_VALUE"""),"Good")</f>
        <v>Good</v>
      </c>
      <c r="W273" t="str">
        <f ca="1">IFERROR(__xludf.DUMMYFUNCTION("""COMPUTED_VALUE"""),"Good")</f>
        <v>Good</v>
      </c>
      <c r="X273" t="str">
        <f ca="1">IFERROR(__xludf.DUMMYFUNCTION("""COMPUTED_VALUE"""),"Good")</f>
        <v>Good</v>
      </c>
      <c r="Y273" t="str">
        <f ca="1">IFERROR(__xludf.DUMMYFUNCTION("""COMPUTED_VALUE"""),"Good")</f>
        <v>Good</v>
      </c>
      <c r="Z273" t="str">
        <f ca="1">IFERROR(__xludf.DUMMYFUNCTION("""COMPUTED_VALUE"""),"Good")</f>
        <v>Good</v>
      </c>
      <c r="AA273" t="str">
        <f ca="1">IFERROR(__xludf.DUMMYFUNCTION("""COMPUTED_VALUE"""),"Good")</f>
        <v>Good</v>
      </c>
      <c r="AB273" t="str">
        <f ca="1">IFERROR(__xludf.DUMMYFUNCTION("""COMPUTED_VALUE"""),"Good")</f>
        <v>Good</v>
      </c>
      <c r="AC273" t="str">
        <f ca="1">IFERROR(__xludf.DUMMYFUNCTION("""COMPUTED_VALUE"""),"Good")</f>
        <v>Good</v>
      </c>
      <c r="AE273" s="11"/>
      <c r="AF273" t="str">
        <v>Nikki.Dix@floridadep.gov</v>
      </c>
      <c r="AG273" s="17" t="s">
        <v>17</v>
      </c>
      <c r="AH273" s="12">
        <v>1215</v>
      </c>
      <c r="AI273" s="12" t="s">
        <v>764</v>
      </c>
      <c r="AJ273" s="19" t="s">
        <v>765</v>
      </c>
      <c r="AK273" s="20" t="str">
        <f>HYPERLINK("https://docs.google.com/document/d/1dGjXr-f0fBAgpju4CycNigpwZYO7y6akkSw-DyY80Hg/edit?usp=drivesdk","Silas Tanner - 4/3/2019 7:30 AM")</f>
        <v>Silas Tanner - 4/3/2019 7:30 AM</v>
      </c>
      <c r="AL273" s="12" t="s">
        <v>766</v>
      </c>
    </row>
    <row r="274" spans="1:38" ht="12.75">
      <c r="A274" s="10">
        <f ca="1">IFERROR(__xludf.DUMMYFUNCTION("""COMPUTED_VALUE"""),43563.2769337847)</f>
        <v>43563.276933784698</v>
      </c>
      <c r="B274" s="11" t="str">
        <f ca="1">IFERROR(__xludf.DUMMYFUNCTION("""COMPUTED_VALUE"""),"Silas Tanner")</f>
        <v>Silas Tanner</v>
      </c>
      <c r="C274" t="str">
        <f ca="1">IFERROR(__xludf.DUMMYFUNCTION("""COMPUTED_VALUE"""),"silas.tanner@floridadep.gov")</f>
        <v>silas.tanner@floridadep.gov</v>
      </c>
      <c r="D274" t="str">
        <f ca="1">IFERROR(__xludf.DUMMYFUNCTION("""COMPUTED_VALUE"""),"Research/Nikki")</f>
        <v>Research/Nikki</v>
      </c>
      <c r="E274" t="str">
        <f ca="1">IFERROR(__xludf.DUMMYFUNCTION("""COMPUTED_VALUE"""),"Moses Creek floating dock")</f>
        <v>Moses Creek floating dock</v>
      </c>
      <c r="F274" s="13">
        <f ca="1">IFERROR(__xludf.DUMMYFUNCTION("""COMPUTED_VALUE"""),0.354166666667879)</f>
        <v>0.35416666666787899</v>
      </c>
      <c r="G274" s="14">
        <f ca="1">IFERROR(__xludf.DUMMYFUNCTION("""COMPUTED_VALUE"""),43563)</f>
        <v>43563</v>
      </c>
      <c r="H274" t="str">
        <f ca="1">IFERROR(__xludf.DUMMYFUNCTION("""COMPUTED_VALUE"""),"Moses Creek SWMP platforms")</f>
        <v>Moses Creek SWMP platforms</v>
      </c>
      <c r="I274" s="15">
        <f ca="1">IFERROR(__xludf.DUMMYFUNCTION("""COMPUTED_VALUE"""),0.5625)</f>
        <v>0.5625</v>
      </c>
      <c r="J274" s="16">
        <f ca="1">IFERROR(__xludf.DUMMYFUNCTION("""COMPUTED_VALUE"""),43563.6041666666)</f>
        <v>43563.604166666599</v>
      </c>
      <c r="K274" t="str">
        <f ca="1">IFERROR(__xludf.DUMMYFUNCTION("""COMPUTED_VALUE"""),"Canoe(s)")</f>
        <v>Canoe(s)</v>
      </c>
      <c r="L274">
        <f ca="1">IFERROR(__xludf.DUMMYFUNCTION("""COMPUTED_VALUE"""),2)</f>
        <v>2</v>
      </c>
      <c r="M274" t="str">
        <f ca="1">IFERROR(__xludf.DUMMYFUNCTION("""COMPUTED_VALUE"""),"Ford F250 2017 (Moby Dix) - DEP0021578")</f>
        <v>Ford F250 2017 (Moby Dix) - DEP0021578</v>
      </c>
      <c r="N274" t="str">
        <f ca="1">IFERROR(__xludf.DUMMYFUNCTION("""COMPUTED_VALUE"""),"Pam Marcum, (480) 332-5414, Shannon Dunnigan, (803) 727-5734, Silas Tanner, (904) 483-8423")</f>
        <v>Pam Marcum, (480) 332-5414, Shannon Dunnigan, (803) 727-5734, Silas Tanner, (904) 483-8423</v>
      </c>
      <c r="P274" t="str">
        <f ca="1">IFERROR(__xludf.DUMMYFUNCTION("""COMPUTED_VALUE"""),"S. Tanner")</f>
        <v>S. Tanner</v>
      </c>
      <c r="Q274" t="str">
        <f ca="1">IFERROR(__xludf.DUMMYFUNCTION("""COMPUTED_VALUE"""),"Good")</f>
        <v>Good</v>
      </c>
      <c r="R274" t="str">
        <f ca="1">IFERROR(__xludf.DUMMYFUNCTION("""COMPUTED_VALUE"""),"Good")</f>
        <v>Good</v>
      </c>
      <c r="S274" t="str">
        <f ca="1">IFERROR(__xludf.DUMMYFUNCTION("""COMPUTED_VALUE"""),"Good")</f>
        <v>Good</v>
      </c>
      <c r="T274" t="str">
        <f ca="1">IFERROR(__xludf.DUMMYFUNCTION("""COMPUTED_VALUE"""),"Good")</f>
        <v>Good</v>
      </c>
      <c r="U274" t="str">
        <f ca="1">IFERROR(__xludf.DUMMYFUNCTION("""COMPUTED_VALUE"""),"Good")</f>
        <v>Good</v>
      </c>
      <c r="V274" t="str">
        <f ca="1">IFERROR(__xludf.DUMMYFUNCTION("""COMPUTED_VALUE"""),"Good")</f>
        <v>Good</v>
      </c>
      <c r="W274" t="str">
        <f ca="1">IFERROR(__xludf.DUMMYFUNCTION("""COMPUTED_VALUE"""),"Good")</f>
        <v>Good</v>
      </c>
      <c r="X274" t="str">
        <f ca="1">IFERROR(__xludf.DUMMYFUNCTION("""COMPUTED_VALUE"""),"Good")</f>
        <v>Good</v>
      </c>
      <c r="Y274" t="str">
        <f ca="1">IFERROR(__xludf.DUMMYFUNCTION("""COMPUTED_VALUE"""),"Good")</f>
        <v>Good</v>
      </c>
      <c r="Z274" t="str">
        <f ca="1">IFERROR(__xludf.DUMMYFUNCTION("""COMPUTED_VALUE"""),"Good")</f>
        <v>Good</v>
      </c>
      <c r="AA274" t="str">
        <f ca="1">IFERROR(__xludf.DUMMYFUNCTION("""COMPUTED_VALUE"""),"Good")</f>
        <v>Good</v>
      </c>
      <c r="AB274" t="str">
        <f ca="1">IFERROR(__xludf.DUMMYFUNCTION("""COMPUTED_VALUE"""),"Good")</f>
        <v>Good</v>
      </c>
      <c r="AC274" t="str">
        <f ca="1">IFERROR(__xludf.DUMMYFUNCTION("""COMPUTED_VALUE"""),"Good")</f>
        <v>Good</v>
      </c>
      <c r="AE274" s="11"/>
      <c r="AF274" t="str">
        <v>Nikki.Dix@floridadep.gov</v>
      </c>
      <c r="AG274" s="17" t="s">
        <v>58</v>
      </c>
      <c r="AH274" s="12">
        <v>1214</v>
      </c>
      <c r="AI274" s="12" t="s">
        <v>767</v>
      </c>
      <c r="AJ274" s="19" t="s">
        <v>768</v>
      </c>
      <c r="AK274" s="20" t="str">
        <f>HYPERLINK("https://docs.google.com/document/d/1zpiiQnRk_ny2eghst2yO43NK7mtn9wSbSuVWKqfFa1w/edit?usp=drivesdk","Silas Tanner - 4/8/2019 8:30 AM")</f>
        <v>Silas Tanner - 4/8/2019 8:30 AM</v>
      </c>
      <c r="AL274" s="12" t="s">
        <v>769</v>
      </c>
    </row>
    <row r="275" spans="1:38" ht="12.75">
      <c r="A275" s="10">
        <f ca="1">IFERROR(__xludf.DUMMYFUNCTION("""COMPUTED_VALUE"""),43563.6790628472)</f>
        <v>43563.679062847201</v>
      </c>
      <c r="B275" s="11" t="str">
        <f ca="1">IFERROR(__xludf.DUMMYFUNCTION("""COMPUTED_VALUE"""),"Pamela Marcum")</f>
        <v>Pamela Marcum</v>
      </c>
      <c r="C275" t="str">
        <f ca="1">IFERROR(__xludf.DUMMYFUNCTION("""COMPUTED_VALUE"""),"Pamela.Marcum@dep.state.fl.us")</f>
        <v>Pamela.Marcum@dep.state.fl.us</v>
      </c>
      <c r="D275" t="str">
        <f ca="1">IFERROR(__xludf.DUMMYFUNCTION("""COMPUTED_VALUE"""),"Research/Nikki")</f>
        <v>Research/Nikki</v>
      </c>
      <c r="E275" t="str">
        <f ca="1">IFERROR(__xludf.DUMMYFUNCTION("""COMPUTED_VALUE"""),"Aunt Kate's")</f>
        <v>Aunt Kate's</v>
      </c>
      <c r="F275" s="13">
        <f ca="1">IFERROR(__xludf.DUMMYFUNCTION("""COMPUTED_VALUE"""),0.729166666667879)</f>
        <v>0.72916666666787899</v>
      </c>
      <c r="G275" s="14">
        <f ca="1">IFERROR(__xludf.DUMMYFUNCTION("""COMPUTED_VALUE"""),43563)</f>
        <v>43563</v>
      </c>
      <c r="H275" t="str">
        <f ca="1">IFERROR(__xludf.DUMMYFUNCTION("""COMPUTED_VALUE"""),"Tolomato &amp; Guana Rivers")</f>
        <v>Tolomato &amp; Guana Rivers</v>
      </c>
      <c r="I275" s="15">
        <f ca="1">IFERROR(__xludf.DUMMYFUNCTION("""COMPUTED_VALUE"""),0.854166666667879)</f>
        <v>0.85416666666787899</v>
      </c>
      <c r="J275" s="16">
        <f ca="1">IFERROR(__xludf.DUMMYFUNCTION("""COMPUTED_VALUE"""),43563.8645833333)</f>
        <v>43563.864583333299</v>
      </c>
      <c r="K275" t="str">
        <f ca="1">IFERROR(__xludf.DUMMYFUNCTION("""COMPUTED_VALUE"""),"20ft Sea Ark FL5351SJ UNF 2015")</f>
        <v>20ft Sea Ark FL5351SJ UNF 2015</v>
      </c>
      <c r="M275" t="str">
        <f ca="1">IFERROR(__xludf.DUMMYFUNCTION("""COMPUTED_VALUE"""),"Ford F250 2017 (Moby Dix) - DEP0021578")</f>
        <v>Ford F250 2017 (Moby Dix) - DEP0021578</v>
      </c>
      <c r="N275" t="str">
        <f ca="1">IFERROR(__xludf.DUMMYFUNCTION("""COMPUTED_VALUE"""),"Pam Marcum, (480) 332-5414")</f>
        <v>Pam Marcum, (480) 332-5414</v>
      </c>
      <c r="O275" t="str">
        <f ca="1">IFERROR(__xludf.DUMMYFUNCTION("""COMPUTED_VALUE"""),"Nicole Peckham, Adrienne Breef-Pilz")</f>
        <v>Nicole Peckham, Adrienne Breef-Pilz</v>
      </c>
      <c r="P275" t="str">
        <f ca="1">IFERROR(__xludf.DUMMYFUNCTION("""COMPUTED_VALUE"""),"Pam")</f>
        <v>Pam</v>
      </c>
      <c r="Q275" t="str">
        <f ca="1">IFERROR(__xludf.DUMMYFUNCTION("""COMPUTED_VALUE"""),"Good")</f>
        <v>Good</v>
      </c>
      <c r="R275" t="str">
        <f ca="1">IFERROR(__xludf.DUMMYFUNCTION("""COMPUTED_VALUE"""),"Good")</f>
        <v>Good</v>
      </c>
      <c r="S275" t="str">
        <f ca="1">IFERROR(__xludf.DUMMYFUNCTION("""COMPUTED_VALUE"""),"Good")</f>
        <v>Good</v>
      </c>
      <c r="T275" t="str">
        <f ca="1">IFERROR(__xludf.DUMMYFUNCTION("""COMPUTED_VALUE"""),"Good")</f>
        <v>Good</v>
      </c>
      <c r="U275" t="str">
        <f ca="1">IFERROR(__xludf.DUMMYFUNCTION("""COMPUTED_VALUE"""),"Good")</f>
        <v>Good</v>
      </c>
      <c r="V275" t="str">
        <f ca="1">IFERROR(__xludf.DUMMYFUNCTION("""COMPUTED_VALUE"""),"Good")</f>
        <v>Good</v>
      </c>
      <c r="W275" t="str">
        <f ca="1">IFERROR(__xludf.DUMMYFUNCTION("""COMPUTED_VALUE"""),"Good")</f>
        <v>Good</v>
      </c>
      <c r="X275" t="str">
        <f ca="1">IFERROR(__xludf.DUMMYFUNCTION("""COMPUTED_VALUE"""),"Good")</f>
        <v>Good</v>
      </c>
      <c r="Y275" t="str">
        <f ca="1">IFERROR(__xludf.DUMMYFUNCTION("""COMPUTED_VALUE"""),"Good")</f>
        <v>Good</v>
      </c>
      <c r="Z275" t="str">
        <f ca="1">IFERROR(__xludf.DUMMYFUNCTION("""COMPUTED_VALUE"""),"Good")</f>
        <v>Good</v>
      </c>
      <c r="AA275" t="str">
        <f ca="1">IFERROR(__xludf.DUMMYFUNCTION("""COMPUTED_VALUE"""),"Good")</f>
        <v>Good</v>
      </c>
      <c r="AB275" t="str">
        <f ca="1">IFERROR(__xludf.DUMMYFUNCTION("""COMPUTED_VALUE"""),"Good")</f>
        <v>Good</v>
      </c>
      <c r="AC275" t="str">
        <f ca="1">IFERROR(__xludf.DUMMYFUNCTION("""COMPUTED_VALUE"""),"Good")</f>
        <v>Good</v>
      </c>
      <c r="AE275" s="11"/>
      <c r="AF275" t="str">
        <v>Nikki.Dix@floridadep.gov</v>
      </c>
      <c r="AG275" s="17" t="s">
        <v>770</v>
      </c>
      <c r="AH275" s="12" t="s">
        <v>278</v>
      </c>
      <c r="AI275" s="12" t="s">
        <v>771</v>
      </c>
      <c r="AJ275" s="19" t="s">
        <v>772</v>
      </c>
      <c r="AK275" s="20" t="str">
        <f>HYPERLINK("https://docs.google.com/document/d/1AfS58goBppKK1dhcQ15scXNHmkmINsEIlKN629Yv3FA/edit?usp=drivesdk","Pamela Marcum - 4/8/2019 5:30 PM")</f>
        <v>Pamela Marcum - 4/8/2019 5:30 PM</v>
      </c>
      <c r="AL275" s="12" t="s">
        <v>773</v>
      </c>
    </row>
    <row r="276" spans="1:38" ht="12.75">
      <c r="A276" s="10">
        <f ca="1">IFERROR(__xludf.DUMMYFUNCTION("""COMPUTED_VALUE"""),43564.364159537)</f>
        <v>43564.364159536999</v>
      </c>
      <c r="B276" s="11" t="str">
        <f ca="1">IFERROR(__xludf.DUMMYFUNCTION("""COMPUTED_VALUE"""),"james tomazinis")</f>
        <v>james tomazinis</v>
      </c>
      <c r="C276" t="str">
        <f ca="1">IFERROR(__xludf.DUMMYFUNCTION("""COMPUTED_VALUE"""),"james.tomazinis@floridadep.gov")</f>
        <v>james.tomazinis@floridadep.gov</v>
      </c>
      <c r="D276" t="str">
        <f ca="1">IFERROR(__xludf.DUMMYFUNCTION("""COMPUTED_VALUE"""),"Stewardship (Aquatic)")</f>
        <v>Stewardship (Aquatic)</v>
      </c>
      <c r="E276" t="str">
        <f ca="1">IFERROR(__xludf.DUMMYFUNCTION("""COMPUTED_VALUE"""),"Palm Valley")</f>
        <v>Palm Valley</v>
      </c>
      <c r="F276" s="13">
        <f ca="1">IFERROR(__xludf.DUMMYFUNCTION("""COMPUTED_VALUE"""),0.388888888890505)</f>
        <v>0.38888888889050499</v>
      </c>
      <c r="G276" s="14">
        <f ca="1">IFERROR(__xludf.DUMMYFUNCTION("""COMPUTED_VALUE"""),43564)</f>
        <v>43564</v>
      </c>
      <c r="H276" t="str">
        <f ca="1">IFERROR(__xludf.DUMMYFUNCTION("""COMPUTED_VALUE"""),"Tolomato Nekton sites")</f>
        <v>Tolomato Nekton sites</v>
      </c>
      <c r="I276" s="15">
        <f ca="1">IFERROR(__xludf.DUMMYFUNCTION("""COMPUTED_VALUE"""),0.666666666667879)</f>
        <v>0.66666666666787899</v>
      </c>
      <c r="J276" s="16"/>
      <c r="K276" t="str">
        <f ca="1">IFERROR(__xludf.DUMMYFUNCTION("""COMPUTED_VALUE"""),"23ft Skiff (Bertha) FL7972LJ DEP07613")</f>
        <v>23ft Skiff (Bertha) FL7972LJ DEP07613</v>
      </c>
      <c r="M276" t="str">
        <f ca="1">IFERROR(__xludf.DUMMYFUNCTION("""COMPUTED_VALUE"""),"Ford F150 2015 (White) - DEP21448")</f>
        <v>Ford F150 2015 (White) - DEP21448</v>
      </c>
      <c r="N276" t="str">
        <f ca="1">IFERROR(__xludf.DUMMYFUNCTION("""COMPUTED_VALUE"""),"Jimmy Tomazinis, (904) 547-0094")</f>
        <v>Jimmy Tomazinis, (904) 547-0094</v>
      </c>
      <c r="O276" t="str">
        <f ca="1">IFERROR(__xludf.DUMMYFUNCTION("""COMPUTED_VALUE"""),"Suzi, Dickson, Jeff Finnan, Chris Kurtz, Brittany Trawick")</f>
        <v>Suzi, Dickson, Jeff Finnan, Chris Kurtz, Brittany Trawick</v>
      </c>
      <c r="P276" t="str">
        <f ca="1">IFERROR(__xludf.DUMMYFUNCTION("""COMPUTED_VALUE"""),"Jimmy")</f>
        <v>Jimmy</v>
      </c>
      <c r="Q276" t="str">
        <f ca="1">IFERROR(__xludf.DUMMYFUNCTION("""COMPUTED_VALUE"""),"Good")</f>
        <v>Good</v>
      </c>
      <c r="R276" t="str">
        <f ca="1">IFERROR(__xludf.DUMMYFUNCTION("""COMPUTED_VALUE"""),"Good")</f>
        <v>Good</v>
      </c>
      <c r="S276" t="str">
        <f ca="1">IFERROR(__xludf.DUMMYFUNCTION("""COMPUTED_VALUE"""),"Good")</f>
        <v>Good</v>
      </c>
      <c r="T276" t="str">
        <f ca="1">IFERROR(__xludf.DUMMYFUNCTION("""COMPUTED_VALUE"""),"Good")</f>
        <v>Good</v>
      </c>
      <c r="U276" t="str">
        <f ca="1">IFERROR(__xludf.DUMMYFUNCTION("""COMPUTED_VALUE"""),"Good")</f>
        <v>Good</v>
      </c>
      <c r="V276" t="str">
        <f ca="1">IFERROR(__xludf.DUMMYFUNCTION("""COMPUTED_VALUE"""),"Good")</f>
        <v>Good</v>
      </c>
      <c r="W276" t="str">
        <f ca="1">IFERROR(__xludf.DUMMYFUNCTION("""COMPUTED_VALUE"""),"Good")</f>
        <v>Good</v>
      </c>
      <c r="X276" t="str">
        <f ca="1">IFERROR(__xludf.DUMMYFUNCTION("""COMPUTED_VALUE"""),"Good")</f>
        <v>Good</v>
      </c>
      <c r="Y276" t="str">
        <f ca="1">IFERROR(__xludf.DUMMYFUNCTION("""COMPUTED_VALUE"""),"Good")</f>
        <v>Good</v>
      </c>
      <c r="Z276" t="str">
        <f ca="1">IFERROR(__xludf.DUMMYFUNCTION("""COMPUTED_VALUE"""),"Good")</f>
        <v>Good</v>
      </c>
      <c r="AA276" t="str">
        <f ca="1">IFERROR(__xludf.DUMMYFUNCTION("""COMPUTED_VALUE"""),"Good")</f>
        <v>Good</v>
      </c>
      <c r="AB276" t="str">
        <f ca="1">IFERROR(__xludf.DUMMYFUNCTION("""COMPUTED_VALUE"""),"Good")</f>
        <v>Good</v>
      </c>
      <c r="AC276" t="str">
        <f ca="1">IFERROR(__xludf.DUMMYFUNCTION("""COMPUTED_VALUE"""),"Good")</f>
        <v>Good</v>
      </c>
      <c r="AE276" s="11"/>
      <c r="AF276" t="str">
        <v>Scott.Eastman@floridadep.gov</v>
      </c>
      <c r="AG276" s="17" t="s">
        <v>41</v>
      </c>
      <c r="AH276" s="12">
        <v>1225</v>
      </c>
      <c r="AI276" s="12" t="s">
        <v>774</v>
      </c>
      <c r="AJ276" s="19" t="s">
        <v>775</v>
      </c>
      <c r="AK276" s="20" t="str">
        <f>HYPERLINK("https://docs.google.com/document/d/1I5BcUrGICWQ1wd-pOkEzau0SJ4sOIRHp-C2jzuUxtbg/edit?usp=drivesdk","james tomazinis - 4/9/2019 9:20 AM")</f>
        <v>james tomazinis - 4/9/2019 9:20 AM</v>
      </c>
      <c r="AL276" s="12" t="s">
        <v>776</v>
      </c>
    </row>
    <row r="277" spans="1:38" ht="12.75">
      <c r="A277" s="10">
        <f ca="1">IFERROR(__xludf.DUMMYFUNCTION("""COMPUTED_VALUE"""),43564.6681781828)</f>
        <v>43564.668178182801</v>
      </c>
      <c r="B277" s="11" t="str">
        <f ca="1">IFERROR(__xludf.DUMMYFUNCTION("""COMPUTED_VALUE"""),"Jimmy")</f>
        <v>Jimmy</v>
      </c>
      <c r="C277" t="str">
        <f ca="1">IFERROR(__xludf.DUMMYFUNCTION("""COMPUTED_VALUE"""),"james.tomazinis@floridadep.gov")</f>
        <v>james.tomazinis@floridadep.gov</v>
      </c>
      <c r="D277" t="str">
        <f ca="1">IFERROR(__xludf.DUMMYFUNCTION("""COMPUTED_VALUE"""),"Stewardship (Aquatic)")</f>
        <v>Stewardship (Aquatic)</v>
      </c>
      <c r="E277" t="str">
        <f ca="1">IFERROR(__xludf.DUMMYFUNCTION("""COMPUTED_VALUE"""),"Vilano")</f>
        <v>Vilano</v>
      </c>
      <c r="F277" s="13">
        <f ca="1">IFERROR(__xludf.DUMMYFUNCTION("""COMPUTED_VALUE"""),0.388888888890505)</f>
        <v>0.38888888889050499</v>
      </c>
      <c r="G277" s="14">
        <f ca="1">IFERROR(__xludf.DUMMYFUNCTION("""COMPUTED_VALUE"""),43565)</f>
        <v>43565</v>
      </c>
      <c r="H277" t="str">
        <f ca="1">IFERROR(__xludf.DUMMYFUNCTION("""COMPUTED_VALUE"""),"Tolomato and matanzas Nekton sites")</f>
        <v>Tolomato and matanzas Nekton sites</v>
      </c>
      <c r="I277" s="15">
        <f ca="1">IFERROR(__xludf.DUMMYFUNCTION("""COMPUTED_VALUE"""),0.666666666667879)</f>
        <v>0.66666666666787899</v>
      </c>
      <c r="J277" s="16"/>
      <c r="K277" t="str">
        <f ca="1">IFERROR(__xludf.DUMMYFUNCTION("""COMPUTED_VALUE"""),"23ft Skiff (Bertha) FL7972LJ DEP07613")</f>
        <v>23ft Skiff (Bertha) FL7972LJ DEP07613</v>
      </c>
      <c r="M277" t="str">
        <f ca="1">IFERROR(__xludf.DUMMYFUNCTION("""COMPUTED_VALUE"""),"Ford F150 2015 (White) - DEP21448")</f>
        <v>Ford F150 2015 (White) - DEP21448</v>
      </c>
      <c r="N277" t="str">
        <f ca="1">IFERROR(__xludf.DUMMYFUNCTION("""COMPUTED_VALUE"""),"Jimmy Tomazinis, (904) 547-0094")</f>
        <v>Jimmy Tomazinis, (904) 547-0094</v>
      </c>
      <c r="O277" t="str">
        <f ca="1">IFERROR(__xludf.DUMMYFUNCTION("""COMPUTED_VALUE"""),"Suzi, Jeff Finnan, Dickson, Amy Brownfield, Flagler student")</f>
        <v>Suzi, Jeff Finnan, Dickson, Amy Brownfield, Flagler student</v>
      </c>
      <c r="P277" t="str">
        <f ca="1">IFERROR(__xludf.DUMMYFUNCTION("""COMPUTED_VALUE"""),"Jimmy")</f>
        <v>Jimmy</v>
      </c>
      <c r="Q277" t="str">
        <f ca="1">IFERROR(__xludf.DUMMYFUNCTION("""COMPUTED_VALUE"""),"Good")</f>
        <v>Good</v>
      </c>
      <c r="R277" t="str">
        <f ca="1">IFERROR(__xludf.DUMMYFUNCTION("""COMPUTED_VALUE"""),"Good")</f>
        <v>Good</v>
      </c>
      <c r="S277" t="str">
        <f ca="1">IFERROR(__xludf.DUMMYFUNCTION("""COMPUTED_VALUE"""),"Good")</f>
        <v>Good</v>
      </c>
      <c r="T277" t="str">
        <f ca="1">IFERROR(__xludf.DUMMYFUNCTION("""COMPUTED_VALUE"""),"Good")</f>
        <v>Good</v>
      </c>
      <c r="U277" t="str">
        <f ca="1">IFERROR(__xludf.DUMMYFUNCTION("""COMPUTED_VALUE"""),"Good")</f>
        <v>Good</v>
      </c>
      <c r="V277" t="str">
        <f ca="1">IFERROR(__xludf.DUMMYFUNCTION("""COMPUTED_VALUE"""),"Good")</f>
        <v>Good</v>
      </c>
      <c r="W277" t="str">
        <f ca="1">IFERROR(__xludf.DUMMYFUNCTION("""COMPUTED_VALUE"""),"Good")</f>
        <v>Good</v>
      </c>
      <c r="X277" t="str">
        <f ca="1">IFERROR(__xludf.DUMMYFUNCTION("""COMPUTED_VALUE"""),"Good")</f>
        <v>Good</v>
      </c>
      <c r="Y277" t="str">
        <f ca="1">IFERROR(__xludf.DUMMYFUNCTION("""COMPUTED_VALUE"""),"Good")</f>
        <v>Good</v>
      </c>
      <c r="Z277" t="str">
        <f ca="1">IFERROR(__xludf.DUMMYFUNCTION("""COMPUTED_VALUE"""),"Good")</f>
        <v>Good</v>
      </c>
      <c r="AA277" t="str">
        <f ca="1">IFERROR(__xludf.DUMMYFUNCTION("""COMPUTED_VALUE"""),"Good")</f>
        <v>Good</v>
      </c>
      <c r="AB277" t="str">
        <f ca="1">IFERROR(__xludf.DUMMYFUNCTION("""COMPUTED_VALUE"""),"Good")</f>
        <v>Good</v>
      </c>
      <c r="AC277" t="str">
        <f ca="1">IFERROR(__xludf.DUMMYFUNCTION("""COMPUTED_VALUE"""),"Good")</f>
        <v>Good</v>
      </c>
      <c r="AE277" s="11"/>
      <c r="AF277" t="str">
        <v>Scott.Eastman@floridadep.gov</v>
      </c>
      <c r="AG277" s="17" t="s">
        <v>17</v>
      </c>
      <c r="AH277" s="12">
        <v>1635</v>
      </c>
      <c r="AI277" s="12" t="s">
        <v>777</v>
      </c>
      <c r="AJ277" s="19" t="s">
        <v>778</v>
      </c>
      <c r="AK277" s="20" t="str">
        <f>HYPERLINK("https://docs.google.com/document/d/1Sn9bVL2GIklcZRZgPcVrs4YIzFCqYYDAXCMJVl9B1R0/edit?usp=drivesdk","Jimmy - 4/10/2019 9:20 AM")</f>
        <v>Jimmy - 4/10/2019 9:20 AM</v>
      </c>
      <c r="AL277" s="12" t="s">
        <v>779</v>
      </c>
    </row>
    <row r="278" spans="1:38" ht="12.75">
      <c r="A278" s="10">
        <f ca="1">IFERROR(__xludf.DUMMYFUNCTION("""COMPUTED_VALUE"""),43565.3065957175)</f>
        <v>43565.306595717499</v>
      </c>
      <c r="B278" s="11" t="str">
        <f ca="1">IFERROR(__xludf.DUMMYFUNCTION("""COMPUTED_VALUE"""),"Silas Tanner")</f>
        <v>Silas Tanner</v>
      </c>
      <c r="C278" t="str">
        <f ca="1">IFERROR(__xludf.DUMMYFUNCTION("""COMPUTED_VALUE"""),"silas.tanner@floridadep.gov")</f>
        <v>silas.tanner@floridadep.gov</v>
      </c>
      <c r="D278" t="str">
        <f ca="1">IFERROR(__xludf.DUMMYFUNCTION("""COMPUTED_VALUE"""),"Research/Nikki")</f>
        <v>Research/Nikki</v>
      </c>
      <c r="E278" t="str">
        <f ca="1">IFERROR(__xludf.DUMMYFUNCTION("""COMPUTED_VALUE"""),"Bing's")</f>
        <v>Bing's</v>
      </c>
      <c r="F278" s="13">
        <f ca="1">IFERROR(__xludf.DUMMYFUNCTION("""COMPUTED_VALUE"""),0.354166666667879)</f>
        <v>0.35416666666787899</v>
      </c>
      <c r="G278" s="14">
        <f ca="1">IFERROR(__xludf.DUMMYFUNCTION("""COMPUTED_VALUE"""),43565)</f>
        <v>43565</v>
      </c>
      <c r="H278" t="str">
        <f ca="1">IFERROR(__xludf.DUMMYFUNCTION("""COMPUTED_VALUE"""),"Washington Oaks SWMP platforms")</f>
        <v>Washington Oaks SWMP platforms</v>
      </c>
      <c r="I278" s="15">
        <f ca="1">IFERROR(__xludf.DUMMYFUNCTION("""COMPUTED_VALUE"""),0.5625)</f>
        <v>0.5625</v>
      </c>
      <c r="J278" s="16">
        <f ca="1">IFERROR(__xludf.DUMMYFUNCTION("""COMPUTED_VALUE"""),43565.625)</f>
        <v>43565.625</v>
      </c>
      <c r="K278" t="str">
        <f ca="1">IFERROR(__xludf.DUMMYFUNCTION("""COMPUTED_VALUE"""),"20ft Sea Ark FL5351SJ UNF 2015")</f>
        <v>20ft Sea Ark FL5351SJ UNF 2015</v>
      </c>
      <c r="M278" t="str">
        <f ca="1">IFERROR(__xludf.DUMMYFUNCTION("""COMPUTED_VALUE"""),"Ford F250 2017 (Moby Dix) - DEP0021578")</f>
        <v>Ford F250 2017 (Moby Dix) - DEP0021578</v>
      </c>
      <c r="N278" t="str">
        <f ca="1">IFERROR(__xludf.DUMMYFUNCTION("""COMPUTED_VALUE"""),"Shannon Dunnigan, (803) 727-5734, Silas Tanner, (904) 483-8423")</f>
        <v>Shannon Dunnigan, (803) 727-5734, Silas Tanner, (904) 483-8423</v>
      </c>
      <c r="P278" t="str">
        <f ca="1">IFERROR(__xludf.DUMMYFUNCTION("""COMPUTED_VALUE"""),"S. Dunnigan")</f>
        <v>S. Dunnigan</v>
      </c>
      <c r="Q278" t="str">
        <f ca="1">IFERROR(__xludf.DUMMYFUNCTION("""COMPUTED_VALUE"""),"Good")</f>
        <v>Good</v>
      </c>
      <c r="R278" t="str">
        <f ca="1">IFERROR(__xludf.DUMMYFUNCTION("""COMPUTED_VALUE"""),"Good")</f>
        <v>Good</v>
      </c>
      <c r="S278" t="str">
        <f ca="1">IFERROR(__xludf.DUMMYFUNCTION("""COMPUTED_VALUE"""),"Good")</f>
        <v>Good</v>
      </c>
      <c r="T278" t="str">
        <f ca="1">IFERROR(__xludf.DUMMYFUNCTION("""COMPUTED_VALUE"""),"Good")</f>
        <v>Good</v>
      </c>
      <c r="U278" t="str">
        <f ca="1">IFERROR(__xludf.DUMMYFUNCTION("""COMPUTED_VALUE"""),"Good")</f>
        <v>Good</v>
      </c>
      <c r="V278" t="str">
        <f ca="1">IFERROR(__xludf.DUMMYFUNCTION("""COMPUTED_VALUE"""),"Good")</f>
        <v>Good</v>
      </c>
      <c r="W278" t="str">
        <f ca="1">IFERROR(__xludf.DUMMYFUNCTION("""COMPUTED_VALUE"""),"Good")</f>
        <v>Good</v>
      </c>
      <c r="X278" t="str">
        <f ca="1">IFERROR(__xludf.DUMMYFUNCTION("""COMPUTED_VALUE"""),"Good")</f>
        <v>Good</v>
      </c>
      <c r="Y278" t="str">
        <f ca="1">IFERROR(__xludf.DUMMYFUNCTION("""COMPUTED_VALUE"""),"Good")</f>
        <v>Good</v>
      </c>
      <c r="Z278" t="str">
        <f ca="1">IFERROR(__xludf.DUMMYFUNCTION("""COMPUTED_VALUE"""),"Good")</f>
        <v>Good</v>
      </c>
      <c r="AA278" t="str">
        <f ca="1">IFERROR(__xludf.DUMMYFUNCTION("""COMPUTED_VALUE"""),"Good")</f>
        <v>Good</v>
      </c>
      <c r="AB278" t="str">
        <f ca="1">IFERROR(__xludf.DUMMYFUNCTION("""COMPUTED_VALUE"""),"Good")</f>
        <v>Good</v>
      </c>
      <c r="AC278" t="str">
        <f ca="1">IFERROR(__xludf.DUMMYFUNCTION("""COMPUTED_VALUE"""),"Good")</f>
        <v>Good</v>
      </c>
      <c r="AE278" s="11"/>
      <c r="AF278" t="str">
        <v>Nikki.Dix@floridadep.gov</v>
      </c>
      <c r="AG278" s="17" t="s">
        <v>17</v>
      </c>
      <c r="AH278" s="12">
        <v>1320</v>
      </c>
      <c r="AI278" s="12" t="s">
        <v>780</v>
      </c>
      <c r="AJ278" s="19" t="s">
        <v>781</v>
      </c>
      <c r="AK278" s="20" t="str">
        <f>HYPERLINK("https://docs.google.com/document/d/1hzl70eQJdCH-lpArjQbSGfHA1SGjOSraKKhyqg58B68/edit?usp=drivesdk","Silas Tanner - 4/10/2019 8:30 AM")</f>
        <v>Silas Tanner - 4/10/2019 8:30 AM</v>
      </c>
      <c r="AL278" s="12" t="s">
        <v>782</v>
      </c>
    </row>
    <row r="279" spans="1:38" ht="12.75">
      <c r="A279" s="10">
        <f ca="1">IFERROR(__xludf.DUMMYFUNCTION("""COMPUTED_VALUE"""),43565.7210653356)</f>
        <v>43565.721065335601</v>
      </c>
      <c r="B279" s="11" t="str">
        <f ca="1">IFERROR(__xludf.DUMMYFUNCTION("""COMPUTED_VALUE"""),"Jimmy")</f>
        <v>Jimmy</v>
      </c>
      <c r="C279" t="str">
        <f ca="1">IFERROR(__xludf.DUMMYFUNCTION("""COMPUTED_VALUE"""),"james.tomazinis@floridadep.gov")</f>
        <v>james.tomazinis@floridadep.gov</v>
      </c>
      <c r="D279" t="str">
        <f ca="1">IFERROR(__xludf.DUMMYFUNCTION("""COMPUTED_VALUE"""),"Stewardship (Aquatic)")</f>
        <v>Stewardship (Aquatic)</v>
      </c>
      <c r="E279" t="str">
        <f ca="1">IFERROR(__xludf.DUMMYFUNCTION("""COMPUTED_VALUE"""),"Bings")</f>
        <v>Bings</v>
      </c>
      <c r="F279" s="13">
        <f ca="1">IFERROR(__xludf.DUMMYFUNCTION("""COMPUTED_VALUE"""),0.416666666667879)</f>
        <v>0.41666666666787899</v>
      </c>
      <c r="G279" s="14">
        <f ca="1">IFERROR(__xludf.DUMMYFUNCTION("""COMPUTED_VALUE"""),43566)</f>
        <v>43566</v>
      </c>
      <c r="H279" t="str">
        <f ca="1">IFERROR(__xludf.DUMMYFUNCTION("""COMPUTED_VALUE"""),"Matanzas Nekton sites")</f>
        <v>Matanzas Nekton sites</v>
      </c>
      <c r="I279" s="15">
        <f ca="1">IFERROR(__xludf.DUMMYFUNCTION("""COMPUTED_VALUE"""),0.625)</f>
        <v>0.625</v>
      </c>
      <c r="J279" s="16"/>
      <c r="K279" t="str">
        <f ca="1">IFERROR(__xludf.DUMMYFUNCTION("""COMPUTED_VALUE"""),"23ft Skiff (Bertha) FL7972LJ DEP07613")</f>
        <v>23ft Skiff (Bertha) FL7972LJ DEP07613</v>
      </c>
      <c r="M279" t="str">
        <f ca="1">IFERROR(__xludf.DUMMYFUNCTION("""COMPUTED_VALUE"""),"Ford F150 2015 (White) - DEP21448")</f>
        <v>Ford F150 2015 (White) - DEP21448</v>
      </c>
      <c r="N279" t="str">
        <f ca="1">IFERROR(__xludf.DUMMYFUNCTION("""COMPUTED_VALUE"""),"Jimmy Tomazinis, (904) 547-0094")</f>
        <v>Jimmy Tomazinis, (904) 547-0094</v>
      </c>
      <c r="O279" t="str">
        <f ca="1">IFERROR(__xludf.DUMMYFUNCTION("""COMPUTED_VALUE"""),"Amy Brownfield, Dickson")</f>
        <v>Amy Brownfield, Dickson</v>
      </c>
      <c r="P279" t="str">
        <f ca="1">IFERROR(__xludf.DUMMYFUNCTION("""COMPUTED_VALUE"""),"Jimmy")</f>
        <v>Jimmy</v>
      </c>
      <c r="Q279" t="str">
        <f ca="1">IFERROR(__xludf.DUMMYFUNCTION("""COMPUTED_VALUE"""),"Good")</f>
        <v>Good</v>
      </c>
      <c r="R279" t="str">
        <f ca="1">IFERROR(__xludf.DUMMYFUNCTION("""COMPUTED_VALUE"""),"Good")</f>
        <v>Good</v>
      </c>
      <c r="S279" t="str">
        <f ca="1">IFERROR(__xludf.DUMMYFUNCTION("""COMPUTED_VALUE"""),"Good")</f>
        <v>Good</v>
      </c>
      <c r="T279" t="str">
        <f ca="1">IFERROR(__xludf.DUMMYFUNCTION("""COMPUTED_VALUE"""),"Good")</f>
        <v>Good</v>
      </c>
      <c r="U279" t="str">
        <f ca="1">IFERROR(__xludf.DUMMYFUNCTION("""COMPUTED_VALUE"""),"Good")</f>
        <v>Good</v>
      </c>
      <c r="V279" t="str">
        <f ca="1">IFERROR(__xludf.DUMMYFUNCTION("""COMPUTED_VALUE"""),"Good")</f>
        <v>Good</v>
      </c>
      <c r="W279" t="str">
        <f ca="1">IFERROR(__xludf.DUMMYFUNCTION("""COMPUTED_VALUE"""),"Good")</f>
        <v>Good</v>
      </c>
      <c r="X279" t="str">
        <f ca="1">IFERROR(__xludf.DUMMYFUNCTION("""COMPUTED_VALUE"""),"Good")</f>
        <v>Good</v>
      </c>
      <c r="Y279" t="str">
        <f ca="1">IFERROR(__xludf.DUMMYFUNCTION("""COMPUTED_VALUE"""),"Good")</f>
        <v>Good</v>
      </c>
      <c r="Z279" t="str">
        <f ca="1">IFERROR(__xludf.DUMMYFUNCTION("""COMPUTED_VALUE"""),"Good")</f>
        <v>Good</v>
      </c>
      <c r="AA279" t="str">
        <f ca="1">IFERROR(__xludf.DUMMYFUNCTION("""COMPUTED_VALUE"""),"Good")</f>
        <v>Good</v>
      </c>
      <c r="AB279" t="str">
        <f ca="1">IFERROR(__xludf.DUMMYFUNCTION("""COMPUTED_VALUE"""),"Good")</f>
        <v>Good</v>
      </c>
      <c r="AC279" t="str">
        <f ca="1">IFERROR(__xludf.DUMMYFUNCTION("""COMPUTED_VALUE"""),"Good")</f>
        <v>Good</v>
      </c>
      <c r="AE279" s="11"/>
      <c r="AF279" t="str">
        <v>Scott.Eastman@floridadep.gov</v>
      </c>
      <c r="AG279" s="17" t="s">
        <v>17</v>
      </c>
      <c r="AH279" s="12">
        <v>1433</v>
      </c>
      <c r="AI279" s="12" t="s">
        <v>783</v>
      </c>
      <c r="AJ279" s="19" t="s">
        <v>784</v>
      </c>
      <c r="AK279" s="20" t="str">
        <f>HYPERLINK("https://docs.google.com/document/d/1uCFtG0-wU4D5kQQg_2QZmZQcdgRoCiQDn3rZkEBvv04/edit?usp=drivesdk","Jimmy - 4/11/2019 10:00 AM")</f>
        <v>Jimmy - 4/11/2019 10:00 AM</v>
      </c>
      <c r="AL279" s="12" t="s">
        <v>785</v>
      </c>
    </row>
    <row r="280" spans="1:38" ht="12.75">
      <c r="A280" s="10">
        <f ca="1">IFERROR(__xludf.DUMMYFUNCTION("""COMPUTED_VALUE"""),43565.7299051504)</f>
        <v>43565.729905150401</v>
      </c>
      <c r="B280" s="11" t="str">
        <f ca="1">IFERROR(__xludf.DUMMYFUNCTION("""COMPUTED_VALUE"""),"Pamela Marcum")</f>
        <v>Pamela Marcum</v>
      </c>
      <c r="C280" t="str">
        <f ca="1">IFERROR(__xludf.DUMMYFUNCTION("""COMPUTED_VALUE"""),"Pamela.Marcum@Dep.state.fl.us")</f>
        <v>Pamela.Marcum@Dep.state.fl.us</v>
      </c>
      <c r="D280" t="str">
        <f ca="1">IFERROR(__xludf.DUMMYFUNCTION("""COMPUTED_VALUE"""),"Research/Nikki")</f>
        <v>Research/Nikki</v>
      </c>
      <c r="E280" t="str">
        <f ca="1">IFERROR(__xludf.DUMMYFUNCTION("""COMPUTED_VALUE"""),"Aunt Kate's")</f>
        <v>Aunt Kate's</v>
      </c>
      <c r="F280" s="13">
        <f ca="1">IFERROR(__xludf.DUMMYFUNCTION("""COMPUTED_VALUE"""),0.75)</f>
        <v>0.75</v>
      </c>
      <c r="G280" s="14">
        <f ca="1">IFERROR(__xludf.DUMMYFUNCTION("""COMPUTED_VALUE"""),43565)</f>
        <v>43565</v>
      </c>
      <c r="H280" t="str">
        <f ca="1">IFERROR(__xludf.DUMMYFUNCTION("""COMPUTED_VALUE"""),"Tolomato River - Airport to Pine Island")</f>
        <v>Tolomato River - Airport to Pine Island</v>
      </c>
      <c r="I280" s="15">
        <f ca="1">IFERROR(__xludf.DUMMYFUNCTION("""COMPUTED_VALUE"""),0.875)</f>
        <v>0.875</v>
      </c>
      <c r="J280" s="16">
        <f ca="1">IFERROR(__xludf.DUMMYFUNCTION("""COMPUTED_VALUE"""),43565.8958333333)</f>
        <v>43565.895833333299</v>
      </c>
      <c r="K280" t="str">
        <f ca="1">IFERROR(__xludf.DUMMYFUNCTION("""COMPUTED_VALUE"""),"F 20ft Sea Ark (Easy 200) FL8534PY DEP21451")</f>
        <v>F 20ft Sea Ark (Easy 200) FL8534PY DEP21451</v>
      </c>
      <c r="M280" t="str">
        <f ca="1">IFERROR(__xludf.DUMMYFUNCTION("""COMPUTED_VALUE"""),"Ford F150 2008 - DEP18041 (SWMP Thing)")</f>
        <v>Ford F150 2008 - DEP18041 (SWMP Thing)</v>
      </c>
      <c r="N280" t="str">
        <f ca="1">IFERROR(__xludf.DUMMYFUNCTION("""COMPUTED_VALUE"""),"Pam Marcum, (480) 332-5414")</f>
        <v>Pam Marcum, (480) 332-5414</v>
      </c>
      <c r="O280" t="str">
        <f ca="1">IFERROR(__xludf.DUMMYFUNCTION("""COMPUTED_VALUE"""),"Nicole Peckham, Adrienned Breef-Pilz")</f>
        <v>Nicole Peckham, Adrienned Breef-Pilz</v>
      </c>
      <c r="P280" t="str">
        <f ca="1">IFERROR(__xludf.DUMMYFUNCTION("""COMPUTED_VALUE"""),"Pam")</f>
        <v>Pam</v>
      </c>
      <c r="Q280" t="str">
        <f ca="1">IFERROR(__xludf.DUMMYFUNCTION("""COMPUTED_VALUE"""),"Good")</f>
        <v>Good</v>
      </c>
      <c r="R280" t="str">
        <f ca="1">IFERROR(__xludf.DUMMYFUNCTION("""COMPUTED_VALUE"""),"Good")</f>
        <v>Good</v>
      </c>
      <c r="S280" t="str">
        <f ca="1">IFERROR(__xludf.DUMMYFUNCTION("""COMPUTED_VALUE"""),"Good")</f>
        <v>Good</v>
      </c>
      <c r="T280" t="str">
        <f ca="1">IFERROR(__xludf.DUMMYFUNCTION("""COMPUTED_VALUE"""),"Good")</f>
        <v>Good</v>
      </c>
      <c r="U280" t="str">
        <f ca="1">IFERROR(__xludf.DUMMYFUNCTION("""COMPUTED_VALUE"""),"Good")</f>
        <v>Good</v>
      </c>
      <c r="V280" t="str">
        <f ca="1">IFERROR(__xludf.DUMMYFUNCTION("""COMPUTED_VALUE"""),"Good")</f>
        <v>Good</v>
      </c>
      <c r="W280" t="str">
        <f ca="1">IFERROR(__xludf.DUMMYFUNCTION("""COMPUTED_VALUE"""),"Good")</f>
        <v>Good</v>
      </c>
      <c r="X280" t="str">
        <f ca="1">IFERROR(__xludf.DUMMYFUNCTION("""COMPUTED_VALUE"""),"Good")</f>
        <v>Good</v>
      </c>
      <c r="Y280" t="str">
        <f ca="1">IFERROR(__xludf.DUMMYFUNCTION("""COMPUTED_VALUE"""),"Good")</f>
        <v>Good</v>
      </c>
      <c r="Z280" t="str">
        <f ca="1">IFERROR(__xludf.DUMMYFUNCTION("""COMPUTED_VALUE"""),"Good")</f>
        <v>Good</v>
      </c>
      <c r="AA280" t="str">
        <f ca="1">IFERROR(__xludf.DUMMYFUNCTION("""COMPUTED_VALUE"""),"Good")</f>
        <v>Good</v>
      </c>
      <c r="AB280" t="str">
        <f ca="1">IFERROR(__xludf.DUMMYFUNCTION("""COMPUTED_VALUE"""),"Good")</f>
        <v>Good</v>
      </c>
      <c r="AC280" t="str">
        <f ca="1">IFERROR(__xludf.DUMMYFUNCTION("""COMPUTED_VALUE"""),"Good")</f>
        <v>Good</v>
      </c>
      <c r="AE280" s="11"/>
      <c r="AF280" t="str">
        <v>Nikki.Dix@floridadep.gov</v>
      </c>
      <c r="AG280" s="17" t="s">
        <v>41</v>
      </c>
      <c r="AH280" s="12">
        <v>2000</v>
      </c>
      <c r="AI280" s="12" t="s">
        <v>786</v>
      </c>
      <c r="AJ280" s="19" t="s">
        <v>787</v>
      </c>
      <c r="AK280" s="20" t="str">
        <f>HYPERLINK("https://docs.google.com/document/d/1vdwGK0Z5I5-j4ULO9LCgVjXiYeUTqd_O3ikT0-SRIwA/edit?usp=drivesdk","Pamela Marcum - 4/10/2019 6:00 PM")</f>
        <v>Pamela Marcum - 4/10/2019 6:00 PM</v>
      </c>
      <c r="AL280" s="12" t="s">
        <v>788</v>
      </c>
    </row>
    <row r="281" spans="1:38" ht="12.75">
      <c r="A281" s="10">
        <f ca="1">IFERROR(__xludf.DUMMYFUNCTION("""COMPUTED_VALUE"""),43566.3004901388)</f>
        <v>43566.300490138798</v>
      </c>
      <c r="B281" s="11" t="str">
        <f ca="1">IFERROR(__xludf.DUMMYFUNCTION("""COMPUTED_VALUE"""),"S. Tanner")</f>
        <v>S. Tanner</v>
      </c>
      <c r="C281" t="str">
        <f ca="1">IFERROR(__xludf.DUMMYFUNCTION("""COMPUTED_VALUE"""),"silas.tanner@floridadep.gov")</f>
        <v>silas.tanner@floridadep.gov</v>
      </c>
      <c r="D281" t="str">
        <f ca="1">IFERROR(__xludf.DUMMYFUNCTION("""COMPUTED_VALUE"""),"Research/Nikki")</f>
        <v>Research/Nikki</v>
      </c>
      <c r="E281" t="str">
        <f ca="1">IFERROR(__xludf.DUMMYFUNCTION("""COMPUTED_VALUE"""),"Palm Valley Ramp")</f>
        <v>Palm Valley Ramp</v>
      </c>
      <c r="F281" s="13">
        <f ca="1">IFERROR(__xludf.DUMMYFUNCTION("""COMPUTED_VALUE"""),0.33333333333212)</f>
        <v>0.33333333333212001</v>
      </c>
      <c r="G281" s="14">
        <f ca="1">IFERROR(__xludf.DUMMYFUNCTION("""COMPUTED_VALUE"""),43566)</f>
        <v>43566</v>
      </c>
      <c r="H281" t="str">
        <f ca="1">IFERROR(__xludf.DUMMYFUNCTION("""COMPUTED_VALUE"""),"ICW Pine Island SWMP platforms")</f>
        <v>ICW Pine Island SWMP platforms</v>
      </c>
      <c r="I281" s="15">
        <f ca="1">IFERROR(__xludf.DUMMYFUNCTION("""COMPUTED_VALUE"""),0.604166666667879)</f>
        <v>0.60416666666787899</v>
      </c>
      <c r="J281" s="16">
        <f ca="1">IFERROR(__xludf.DUMMYFUNCTION("""COMPUTED_VALUE"""),43566.6180555555)</f>
        <v>43566.618055555497</v>
      </c>
      <c r="K281" t="str">
        <f ca="1">IFERROR(__xludf.DUMMYFUNCTION("""COMPUTED_VALUE"""),"20ft Sea Ark FL5351SJ UNF 2015")</f>
        <v>20ft Sea Ark FL5351SJ UNF 2015</v>
      </c>
      <c r="M281" t="str">
        <f ca="1">IFERROR(__xludf.DUMMYFUNCTION("""COMPUTED_VALUE"""),"Ford F250 2017 (Moby Dix) - DEP0021578")</f>
        <v>Ford F250 2017 (Moby Dix) - DEP0021578</v>
      </c>
      <c r="N281" t="str">
        <f ca="1">IFERROR(__xludf.DUMMYFUNCTION("""COMPUTED_VALUE"""),"Shannon Dunnigan, (803) 727-5734, Silas Tanner, (904) 483-8423")</f>
        <v>Shannon Dunnigan, (803) 727-5734, Silas Tanner, (904) 483-8423</v>
      </c>
      <c r="O281" t="str">
        <f ca="1">IFERROR(__xludf.DUMMYFUNCTION("""COMPUTED_VALUE"""),"Gabby Canas, Matt Sturchio")</f>
        <v>Gabby Canas, Matt Sturchio</v>
      </c>
      <c r="P281" t="str">
        <f ca="1">IFERROR(__xludf.DUMMYFUNCTION("""COMPUTED_VALUE"""),"S. Dunnigan")</f>
        <v>S. Dunnigan</v>
      </c>
      <c r="Q281" t="str">
        <f ca="1">IFERROR(__xludf.DUMMYFUNCTION("""COMPUTED_VALUE"""),"Good")</f>
        <v>Good</v>
      </c>
      <c r="R281" t="str">
        <f ca="1">IFERROR(__xludf.DUMMYFUNCTION("""COMPUTED_VALUE"""),"Good")</f>
        <v>Good</v>
      </c>
      <c r="S281" t="str">
        <f ca="1">IFERROR(__xludf.DUMMYFUNCTION("""COMPUTED_VALUE"""),"Good")</f>
        <v>Good</v>
      </c>
      <c r="T281" t="str">
        <f ca="1">IFERROR(__xludf.DUMMYFUNCTION("""COMPUTED_VALUE"""),"Good")</f>
        <v>Good</v>
      </c>
      <c r="U281" t="str">
        <f ca="1">IFERROR(__xludf.DUMMYFUNCTION("""COMPUTED_VALUE"""),"Good")</f>
        <v>Good</v>
      </c>
      <c r="V281" t="str">
        <f ca="1">IFERROR(__xludf.DUMMYFUNCTION("""COMPUTED_VALUE"""),"Good")</f>
        <v>Good</v>
      </c>
      <c r="W281" t="str">
        <f ca="1">IFERROR(__xludf.DUMMYFUNCTION("""COMPUTED_VALUE"""),"Good")</f>
        <v>Good</v>
      </c>
      <c r="X281" t="str">
        <f ca="1">IFERROR(__xludf.DUMMYFUNCTION("""COMPUTED_VALUE"""),"Good")</f>
        <v>Good</v>
      </c>
      <c r="Y281" t="str">
        <f ca="1">IFERROR(__xludf.DUMMYFUNCTION("""COMPUTED_VALUE"""),"Good")</f>
        <v>Good</v>
      </c>
      <c r="Z281" t="str">
        <f ca="1">IFERROR(__xludf.DUMMYFUNCTION("""COMPUTED_VALUE"""),"Good")</f>
        <v>Good</v>
      </c>
      <c r="AA281" t="str">
        <f ca="1">IFERROR(__xludf.DUMMYFUNCTION("""COMPUTED_VALUE"""),"Good")</f>
        <v>Good</v>
      </c>
      <c r="AB281" t="str">
        <f ca="1">IFERROR(__xludf.DUMMYFUNCTION("""COMPUTED_VALUE"""),"Good")</f>
        <v>Good</v>
      </c>
      <c r="AC281" t="str">
        <f ca="1">IFERROR(__xludf.DUMMYFUNCTION("""COMPUTED_VALUE"""),"Good")</f>
        <v>Good</v>
      </c>
      <c r="AE281" s="11"/>
      <c r="AF281" t="str">
        <v>Nikki.Dix@floridadep.gov</v>
      </c>
      <c r="AG281" s="17" t="s">
        <v>58</v>
      </c>
      <c r="AH281" s="12">
        <v>1300</v>
      </c>
      <c r="AI281" s="12" t="s">
        <v>789</v>
      </c>
      <c r="AJ281" s="19" t="s">
        <v>790</v>
      </c>
      <c r="AK281" s="20" t="str">
        <f>HYPERLINK("https://docs.google.com/document/d/1ukzotZXuW2ove_jHqRm504KzOsplPkmvul8G0QbKoMY/edit?usp=drivesdk","S. Tanner - 4/11/2019 8:00 AM")</f>
        <v>S. Tanner - 4/11/2019 8:00 AM</v>
      </c>
      <c r="AL281" s="12" t="s">
        <v>791</v>
      </c>
    </row>
    <row r="282" spans="1:38" ht="12.75">
      <c r="A282" s="10">
        <f ca="1">IFERROR(__xludf.DUMMYFUNCTION("""COMPUTED_VALUE"""),43566.3158184722)</f>
        <v>43566.315818472198</v>
      </c>
      <c r="B282" s="11" t="str">
        <f ca="1">IFERROR(__xludf.DUMMYFUNCTION("""COMPUTED_VALUE"""),"Pamela Marcum")</f>
        <v>Pamela Marcum</v>
      </c>
      <c r="C282" t="str">
        <f ca="1">IFERROR(__xludf.DUMMYFUNCTION("""COMPUTED_VALUE"""),"Pamela.Marcum@dep.state.fl.us")</f>
        <v>Pamela.Marcum@dep.state.fl.us</v>
      </c>
      <c r="D282" t="str">
        <f ca="1">IFERROR(__xludf.DUMMYFUNCTION("""COMPUTED_VALUE"""),"Research/Nikki")</f>
        <v>Research/Nikki</v>
      </c>
      <c r="E282" t="str">
        <f ca="1">IFERROR(__xludf.DUMMYFUNCTION("""COMPUTED_VALUE"""),"Aunt Kate's")</f>
        <v>Aunt Kate's</v>
      </c>
      <c r="F282" s="13">
        <f ca="1">IFERROR(__xludf.DUMMYFUNCTION("""COMPUTED_VALUE"""),0.33333333333212)</f>
        <v>0.33333333333212001</v>
      </c>
      <c r="G282" s="14">
        <f ca="1">IFERROR(__xludf.DUMMYFUNCTION("""COMPUTED_VALUE"""),43566)</f>
        <v>43566</v>
      </c>
      <c r="H282" t="str">
        <f ca="1">IFERROR(__xludf.DUMMYFUNCTION("""COMPUTED_VALUE"""),"Guana River")</f>
        <v>Guana River</v>
      </c>
      <c r="I282" s="15">
        <f ca="1">IFERROR(__xludf.DUMMYFUNCTION("""COMPUTED_VALUE"""),0.39583333333212)</f>
        <v>0.39583333333212001</v>
      </c>
      <c r="J282" s="16">
        <f ca="1">IFERROR(__xludf.DUMMYFUNCTION("""COMPUTED_VALUE"""),43566.4166666666)</f>
        <v>43566.416666666599</v>
      </c>
      <c r="K282" t="str">
        <f ca="1">IFERROR(__xludf.DUMMYFUNCTION("""COMPUTED_VALUE"""),"F 20ft Sea Ark (Easy 200) FL8534PY DEP21451")</f>
        <v>F 20ft Sea Ark (Easy 200) FL8534PY DEP21451</v>
      </c>
      <c r="M282" t="str">
        <f ca="1">IFERROR(__xludf.DUMMYFUNCTION("""COMPUTED_VALUE"""),"Ford F150 2008 - DEP18041 (SWMP Thing)")</f>
        <v>Ford F150 2008 - DEP18041 (SWMP Thing)</v>
      </c>
      <c r="N282" t="str">
        <f ca="1">IFERROR(__xludf.DUMMYFUNCTION("""COMPUTED_VALUE"""),"Pam Marcum, (480) 332-5414")</f>
        <v>Pam Marcum, (480) 332-5414</v>
      </c>
      <c r="O282" t="str">
        <f ca="1">IFERROR(__xludf.DUMMYFUNCTION("""COMPUTED_VALUE"""),"Nicole Peckham, Adrienne Breef-Pilz")</f>
        <v>Nicole Peckham, Adrienne Breef-Pilz</v>
      </c>
      <c r="P282" t="str">
        <f ca="1">IFERROR(__xludf.DUMMYFUNCTION("""COMPUTED_VALUE"""),"Pam")</f>
        <v>Pam</v>
      </c>
      <c r="Q282" t="str">
        <f ca="1">IFERROR(__xludf.DUMMYFUNCTION("""COMPUTED_VALUE"""),"Good")</f>
        <v>Good</v>
      </c>
      <c r="R282" t="str">
        <f ca="1">IFERROR(__xludf.DUMMYFUNCTION("""COMPUTED_VALUE"""),"Good")</f>
        <v>Good</v>
      </c>
      <c r="S282" t="str">
        <f ca="1">IFERROR(__xludf.DUMMYFUNCTION("""COMPUTED_VALUE"""),"Good")</f>
        <v>Good</v>
      </c>
      <c r="T282" t="str">
        <f ca="1">IFERROR(__xludf.DUMMYFUNCTION("""COMPUTED_VALUE"""),"Good")</f>
        <v>Good</v>
      </c>
      <c r="U282" t="str">
        <f ca="1">IFERROR(__xludf.DUMMYFUNCTION("""COMPUTED_VALUE"""),"Good")</f>
        <v>Good</v>
      </c>
      <c r="V282" t="str">
        <f ca="1">IFERROR(__xludf.DUMMYFUNCTION("""COMPUTED_VALUE"""),"Good")</f>
        <v>Good</v>
      </c>
      <c r="W282" t="str">
        <f ca="1">IFERROR(__xludf.DUMMYFUNCTION("""COMPUTED_VALUE"""),"Good")</f>
        <v>Good</v>
      </c>
      <c r="X282" t="str">
        <f ca="1">IFERROR(__xludf.DUMMYFUNCTION("""COMPUTED_VALUE"""),"Good")</f>
        <v>Good</v>
      </c>
      <c r="Y282" t="str">
        <f ca="1">IFERROR(__xludf.DUMMYFUNCTION("""COMPUTED_VALUE"""),"Good")</f>
        <v>Good</v>
      </c>
      <c r="Z282" t="str">
        <f ca="1">IFERROR(__xludf.DUMMYFUNCTION("""COMPUTED_VALUE"""),"Good")</f>
        <v>Good</v>
      </c>
      <c r="AA282" t="str">
        <f ca="1">IFERROR(__xludf.DUMMYFUNCTION("""COMPUTED_VALUE"""),"Good")</f>
        <v>Good</v>
      </c>
      <c r="AB282" t="str">
        <f ca="1">IFERROR(__xludf.DUMMYFUNCTION("""COMPUTED_VALUE"""),"Good")</f>
        <v>Good</v>
      </c>
      <c r="AC282" t="str">
        <f ca="1">IFERROR(__xludf.DUMMYFUNCTION("""COMPUTED_VALUE"""),"Good")</f>
        <v>Good</v>
      </c>
      <c r="AE282" s="11"/>
      <c r="AF282" t="str">
        <v>Nikki.Dix@floridadep.gov</v>
      </c>
      <c r="AG282" s="17" t="s">
        <v>58</v>
      </c>
      <c r="AH282" s="12">
        <v>935</v>
      </c>
      <c r="AI282" s="12" t="s">
        <v>792</v>
      </c>
      <c r="AJ282" s="19" t="s">
        <v>793</v>
      </c>
      <c r="AK282" s="20" t="str">
        <f>HYPERLINK("https://docs.google.com/document/d/1oHYrfxnlmihGFpWtZ-1v641ONBZilcpq2UIDfKsPFDs/edit?usp=drivesdk","Pamela Marcum - 4/11/2019 8:00 AM")</f>
        <v>Pamela Marcum - 4/11/2019 8:00 AM</v>
      </c>
      <c r="AL282" s="12" t="s">
        <v>794</v>
      </c>
    </row>
    <row r="283" spans="1:38" ht="12.75">
      <c r="A283" s="10">
        <f ca="1">IFERROR(__xludf.DUMMYFUNCTION("""COMPUTED_VALUE"""),43567.2832172221)</f>
        <v>43567.283217222197</v>
      </c>
      <c r="B283" s="11" t="str">
        <f ca="1">IFERROR(__xludf.DUMMYFUNCTION("""COMPUTED_VALUE"""),"Silas Tanner")</f>
        <v>Silas Tanner</v>
      </c>
      <c r="C283" t="str">
        <f ca="1">IFERROR(__xludf.DUMMYFUNCTION("""COMPUTED_VALUE"""),"silas.tanner@floridadep.gov")</f>
        <v>silas.tanner@floridadep.gov</v>
      </c>
      <c r="D283" t="str">
        <f ca="1">IFERROR(__xludf.DUMMYFUNCTION("""COMPUTED_VALUE"""),"Research/Nikki")</f>
        <v>Research/Nikki</v>
      </c>
      <c r="E283" t="str">
        <f ca="1">IFERROR(__xludf.DUMMYFUNCTION("""COMPUTED_VALUE"""),"Douglas Crane SJC ramp")</f>
        <v>Douglas Crane SJC ramp</v>
      </c>
      <c r="F283" s="13">
        <f ca="1">IFERROR(__xludf.DUMMYFUNCTION("""COMPUTED_VALUE"""),0.3125)</f>
        <v>0.3125</v>
      </c>
      <c r="G283" s="14">
        <f ca="1">IFERROR(__xludf.DUMMYFUNCTION("""COMPUTED_VALUE"""),43567)</f>
        <v>43567</v>
      </c>
      <c r="H283" t="str">
        <f ca="1">IFERROR(__xludf.DUMMYFUNCTION("""COMPUTED_VALUE"""),"ICW ""Jason's Creek"" SWMP platforms (site 22)")</f>
        <v>ICW "Jason's Creek" SWMP platforms (site 22)</v>
      </c>
      <c r="I283" s="15">
        <f ca="1">IFERROR(__xludf.DUMMYFUNCTION("""COMPUTED_VALUE"""),0.604166666667879)</f>
        <v>0.60416666666787899</v>
      </c>
      <c r="J283" s="16">
        <f ca="1">IFERROR(__xludf.DUMMYFUNCTION("""COMPUTED_VALUE"""),43567.625)</f>
        <v>43567.625</v>
      </c>
      <c r="K283" t="str">
        <f ca="1">IFERROR(__xludf.DUMMYFUNCTION("""COMPUTED_VALUE"""),"20ft Sea Ark FL5351SJ UNF 2015")</f>
        <v>20ft Sea Ark FL5351SJ UNF 2015</v>
      </c>
      <c r="M283" t="str">
        <f ca="1">IFERROR(__xludf.DUMMYFUNCTION("""COMPUTED_VALUE"""),"Ford F250 2017 (Moby Dix) - DEP0021578")</f>
        <v>Ford F250 2017 (Moby Dix) - DEP0021578</v>
      </c>
      <c r="N283" t="str">
        <f ca="1">IFERROR(__xludf.DUMMYFUNCTION("""COMPUTED_VALUE"""),"Shannon Dunnigan, (803) 727-5734, Silas Tanner, (904) 483-8423")</f>
        <v>Shannon Dunnigan, (803) 727-5734, Silas Tanner, (904) 483-8423</v>
      </c>
      <c r="O283" t="str">
        <f ca="1">IFERROR(__xludf.DUMMYFUNCTION("""COMPUTED_VALUE"""),"Jessica Lee, Remo Mondazi")</f>
        <v>Jessica Lee, Remo Mondazi</v>
      </c>
      <c r="P283" t="str">
        <f ca="1">IFERROR(__xludf.DUMMYFUNCTION("""COMPUTED_VALUE"""),"S. Dunnigan")</f>
        <v>S. Dunnigan</v>
      </c>
      <c r="Q283" t="str">
        <f ca="1">IFERROR(__xludf.DUMMYFUNCTION("""COMPUTED_VALUE"""),"Good")</f>
        <v>Good</v>
      </c>
      <c r="R283" t="str">
        <f ca="1">IFERROR(__xludf.DUMMYFUNCTION("""COMPUTED_VALUE"""),"Good")</f>
        <v>Good</v>
      </c>
      <c r="S283" t="str">
        <f ca="1">IFERROR(__xludf.DUMMYFUNCTION("""COMPUTED_VALUE"""),"Good")</f>
        <v>Good</v>
      </c>
      <c r="T283" t="str">
        <f ca="1">IFERROR(__xludf.DUMMYFUNCTION("""COMPUTED_VALUE"""),"Good")</f>
        <v>Good</v>
      </c>
      <c r="U283" t="str">
        <f ca="1">IFERROR(__xludf.DUMMYFUNCTION("""COMPUTED_VALUE"""),"Good")</f>
        <v>Good</v>
      </c>
      <c r="V283" t="str">
        <f ca="1">IFERROR(__xludf.DUMMYFUNCTION("""COMPUTED_VALUE"""),"Good")</f>
        <v>Good</v>
      </c>
      <c r="W283" t="str">
        <f ca="1">IFERROR(__xludf.DUMMYFUNCTION("""COMPUTED_VALUE"""),"Good")</f>
        <v>Good</v>
      </c>
      <c r="X283" t="str">
        <f ca="1">IFERROR(__xludf.DUMMYFUNCTION("""COMPUTED_VALUE"""),"Good")</f>
        <v>Good</v>
      </c>
      <c r="Y283" t="str">
        <f ca="1">IFERROR(__xludf.DUMMYFUNCTION("""COMPUTED_VALUE"""),"Good")</f>
        <v>Good</v>
      </c>
      <c r="Z283" t="str">
        <f ca="1">IFERROR(__xludf.DUMMYFUNCTION("""COMPUTED_VALUE"""),"Good")</f>
        <v>Good</v>
      </c>
      <c r="AA283" t="str">
        <f ca="1">IFERROR(__xludf.DUMMYFUNCTION("""COMPUTED_VALUE"""),"Good")</f>
        <v>Good</v>
      </c>
      <c r="AB283" t="str">
        <f ca="1">IFERROR(__xludf.DUMMYFUNCTION("""COMPUTED_VALUE"""),"Good")</f>
        <v>Good</v>
      </c>
      <c r="AC283" t="str">
        <f ca="1">IFERROR(__xludf.DUMMYFUNCTION("""COMPUTED_VALUE"""),"Good")</f>
        <v>Good</v>
      </c>
      <c r="AE283" s="11"/>
      <c r="AF283" t="str">
        <v>Nikki.Dix@floridadep.gov</v>
      </c>
      <c r="AG283" s="17" t="s">
        <v>126</v>
      </c>
      <c r="AH283" s="12">
        <v>1104</v>
      </c>
      <c r="AI283" s="12" t="s">
        <v>795</v>
      </c>
      <c r="AJ283" s="19" t="s">
        <v>796</v>
      </c>
      <c r="AK283" s="20" t="str">
        <f>HYPERLINK("https://docs.google.com/document/d/1j4CjBxVsEV7eiXaAaDkQ54i3LKlo5QbAlHvFo8FQYLI/edit?usp=drivesdk","Silas Tanner - 4/12/2019 7:30 AM")</f>
        <v>Silas Tanner - 4/12/2019 7:30 AM</v>
      </c>
      <c r="AL283" s="12" t="s">
        <v>797</v>
      </c>
    </row>
    <row r="284" spans="1:38" ht="12.75">
      <c r="A284" s="10">
        <f ca="1">IFERROR(__xludf.DUMMYFUNCTION("""COMPUTED_VALUE"""),43570.3339776851)</f>
        <v>43570.333977685099</v>
      </c>
      <c r="B284" s="11" t="str">
        <f ca="1">IFERROR(__xludf.DUMMYFUNCTION("""COMPUTED_VALUE"""),"S. Tanner")</f>
        <v>S. Tanner</v>
      </c>
      <c r="C284" t="str">
        <f ca="1">IFERROR(__xludf.DUMMYFUNCTION("""COMPUTED_VALUE"""),"silas.tanner@floridadep.gov")</f>
        <v>silas.tanner@floridadep.gov</v>
      </c>
      <c r="D284" t="str">
        <f ca="1">IFERROR(__xludf.DUMMYFUNCTION("""COMPUTED_VALUE"""),"Research/Pam")</f>
        <v>Research/Pam</v>
      </c>
      <c r="E284" t="str">
        <f ca="1">IFERROR(__xludf.DUMMYFUNCTION("""COMPUTED_VALUE"""),"Usina County Ramp")</f>
        <v>Usina County Ramp</v>
      </c>
      <c r="F284" s="13">
        <f ca="1">IFERROR(__xludf.DUMMYFUNCTION("""COMPUTED_VALUE"""),0.354166666667879)</f>
        <v>0.35416666666787899</v>
      </c>
      <c r="G284" s="14">
        <f ca="1">IFERROR(__xludf.DUMMYFUNCTION("""COMPUTED_VALUE"""),43570)</f>
        <v>43570</v>
      </c>
      <c r="H284" t="str">
        <f ca="1">IFERROR(__xludf.DUMMYFUNCTION("""COMPUTED_VALUE"""),"ICW - North River: Hat Island SWMP platforms")</f>
        <v>ICW - North River: Hat Island SWMP platforms</v>
      </c>
      <c r="I284" s="15">
        <f ca="1">IFERROR(__xludf.DUMMYFUNCTION("""COMPUTED_VALUE"""),0.5625)</f>
        <v>0.5625</v>
      </c>
      <c r="J284" s="16">
        <f ca="1">IFERROR(__xludf.DUMMYFUNCTION("""COMPUTED_VALUE"""),43570.5833333333)</f>
        <v>43570.583333333299</v>
      </c>
      <c r="K284" t="str">
        <f ca="1">IFERROR(__xludf.DUMMYFUNCTION("""COMPUTED_VALUE"""),"20ft Sea Ark FL5351SJ UNF 2015")</f>
        <v>20ft Sea Ark FL5351SJ UNF 2015</v>
      </c>
      <c r="M284" t="str">
        <f ca="1">IFERROR(__xludf.DUMMYFUNCTION("""COMPUTED_VALUE"""),"Ford F250 2017 (Moby Dix) - DEP0021578")</f>
        <v>Ford F250 2017 (Moby Dix) - DEP0021578</v>
      </c>
      <c r="N284" t="str">
        <f ca="1">IFERROR(__xludf.DUMMYFUNCTION("""COMPUTED_VALUE"""),"Shannon Dunnigan, (803) 727-5734, Silas Tanner, (904) 483-8423")</f>
        <v>Shannon Dunnigan, (803) 727-5734, Silas Tanner, (904) 483-8423</v>
      </c>
      <c r="O284" t="str">
        <f ca="1">IFERROR(__xludf.DUMMYFUNCTION("""COMPUTED_VALUE"""),"Jeff Finnan")</f>
        <v>Jeff Finnan</v>
      </c>
      <c r="P284" t="str">
        <f ca="1">IFERROR(__xludf.DUMMYFUNCTION("""COMPUTED_VALUE"""),"S. Dunnigan")</f>
        <v>S. Dunnigan</v>
      </c>
      <c r="Q284" t="str">
        <f ca="1">IFERROR(__xludf.DUMMYFUNCTION("""COMPUTED_VALUE"""),"Good")</f>
        <v>Good</v>
      </c>
      <c r="R284" t="str">
        <f ca="1">IFERROR(__xludf.DUMMYFUNCTION("""COMPUTED_VALUE"""),"Good")</f>
        <v>Good</v>
      </c>
      <c r="S284" t="str">
        <f ca="1">IFERROR(__xludf.DUMMYFUNCTION("""COMPUTED_VALUE"""),"Good")</f>
        <v>Good</v>
      </c>
      <c r="T284" t="str">
        <f ca="1">IFERROR(__xludf.DUMMYFUNCTION("""COMPUTED_VALUE"""),"Good")</f>
        <v>Good</v>
      </c>
      <c r="U284" t="str">
        <f ca="1">IFERROR(__xludf.DUMMYFUNCTION("""COMPUTED_VALUE"""),"Good")</f>
        <v>Good</v>
      </c>
      <c r="V284" t="str">
        <f ca="1">IFERROR(__xludf.DUMMYFUNCTION("""COMPUTED_VALUE"""),"Good")</f>
        <v>Good</v>
      </c>
      <c r="W284" t="str">
        <f ca="1">IFERROR(__xludf.DUMMYFUNCTION("""COMPUTED_VALUE"""),"Good")</f>
        <v>Good</v>
      </c>
      <c r="X284" t="str">
        <f ca="1">IFERROR(__xludf.DUMMYFUNCTION("""COMPUTED_VALUE"""),"Good")</f>
        <v>Good</v>
      </c>
      <c r="Y284" t="str">
        <f ca="1">IFERROR(__xludf.DUMMYFUNCTION("""COMPUTED_VALUE"""),"Good")</f>
        <v>Good</v>
      </c>
      <c r="Z284" t="str">
        <f ca="1">IFERROR(__xludf.DUMMYFUNCTION("""COMPUTED_VALUE"""),"Good")</f>
        <v>Good</v>
      </c>
      <c r="AA284" t="str">
        <f ca="1">IFERROR(__xludf.DUMMYFUNCTION("""COMPUTED_VALUE"""),"Good")</f>
        <v>Good</v>
      </c>
      <c r="AB284" t="str">
        <f ca="1">IFERROR(__xludf.DUMMYFUNCTION("""COMPUTED_VALUE"""),"Good")</f>
        <v>Good</v>
      </c>
      <c r="AC284" t="str">
        <f ca="1">IFERROR(__xludf.DUMMYFUNCTION("""COMPUTED_VALUE"""),"Good")</f>
        <v>Good</v>
      </c>
      <c r="AE284" s="11"/>
      <c r="AF284" t="str">
        <v>Pamela.Marcum@floridadep.gov</v>
      </c>
      <c r="AG284" s="17" t="s">
        <v>17</v>
      </c>
      <c r="AH284" s="12">
        <v>1430</v>
      </c>
      <c r="AI284" s="12" t="s">
        <v>798</v>
      </c>
      <c r="AJ284" s="19" t="s">
        <v>799</v>
      </c>
      <c r="AK284" s="20" t="str">
        <f>HYPERLINK("https://docs.google.com/document/d/1TyLRb51S5K0bKOXgD50rIy_6EfG9cLwNzFQtV53qkSg/edit?usp=drivesdk","S. Tanner - 4/15/2019 8:30 AM")</f>
        <v>S. Tanner - 4/15/2019 8:30 AM</v>
      </c>
      <c r="AL284" s="12" t="s">
        <v>800</v>
      </c>
    </row>
    <row r="285" spans="1:38" ht="12.75">
      <c r="A285" s="10">
        <f ca="1">IFERROR(__xludf.DUMMYFUNCTION("""COMPUTED_VALUE"""),43572.606552743)</f>
        <v>43572.606552742996</v>
      </c>
      <c r="B285" s="11" t="str">
        <f ca="1">IFERROR(__xludf.DUMMYFUNCTION("""COMPUTED_VALUE"""),"Silas Tanner")</f>
        <v>Silas Tanner</v>
      </c>
      <c r="C285" t="str">
        <f ca="1">IFERROR(__xludf.DUMMYFUNCTION("""COMPUTED_VALUE"""),"silas.tanner@floridadep.gov")</f>
        <v>silas.tanner@floridadep.gov</v>
      </c>
      <c r="D285" t="str">
        <f ca="1">IFERROR(__xludf.DUMMYFUNCTION("""COMPUTED_VALUE"""),"Research/Nikki")</f>
        <v>Research/Nikki</v>
      </c>
      <c r="E285" t="str">
        <f ca="1">IFERROR(__xludf.DUMMYFUNCTION("""COMPUTED_VALUE"""),"Vilano Landing")</f>
        <v>Vilano Landing</v>
      </c>
      <c r="F285" s="13">
        <f ca="1">IFERROR(__xludf.DUMMYFUNCTION("""COMPUTED_VALUE"""),0.34375)</f>
        <v>0.34375</v>
      </c>
      <c r="G285" s="14">
        <f ca="1">IFERROR(__xludf.DUMMYFUNCTION("""COMPUTED_VALUE"""),43573)</f>
        <v>43573</v>
      </c>
      <c r="H285" t="str">
        <f ca="1">IFERROR(__xludf.DUMMYFUNCTION("""COMPUTED_VALUE"""),"ICW - SWMP sites")</f>
        <v>ICW - SWMP sites</v>
      </c>
      <c r="I285" s="15">
        <f ca="1">IFERROR(__xludf.DUMMYFUNCTION("""COMPUTED_VALUE"""),0.55208333333212)</f>
        <v>0.55208333333212001</v>
      </c>
      <c r="J285" s="16">
        <f ca="1">IFERROR(__xludf.DUMMYFUNCTION("""COMPUTED_VALUE"""),43573.5625)</f>
        <v>43573.5625</v>
      </c>
      <c r="K285" t="str">
        <f ca="1">IFERROR(__xludf.DUMMYFUNCTION("""COMPUTED_VALUE"""),"20ft Sea Ark FL5351SJ UNF 2015")</f>
        <v>20ft Sea Ark FL5351SJ UNF 2015</v>
      </c>
      <c r="M285" t="str">
        <f ca="1">IFERROR(__xludf.DUMMYFUNCTION("""COMPUTED_VALUE"""),"Ford F150 2015 (White) - DEP21448")</f>
        <v>Ford F150 2015 (White) - DEP21448</v>
      </c>
      <c r="N285" t="str">
        <f ca="1">IFERROR(__xludf.DUMMYFUNCTION("""COMPUTED_VALUE"""),"Silas Tanner, (904) 483-8423")</f>
        <v>Silas Tanner, (904) 483-8423</v>
      </c>
      <c r="O285" t="str">
        <f ca="1">IFERROR(__xludf.DUMMYFUNCTION("""COMPUTED_VALUE"""),"Jeff Finnan")</f>
        <v>Jeff Finnan</v>
      </c>
      <c r="P285" t="str">
        <f ca="1">IFERROR(__xludf.DUMMYFUNCTION("""COMPUTED_VALUE"""),"Tanner")</f>
        <v>Tanner</v>
      </c>
      <c r="Q285" t="str">
        <f ca="1">IFERROR(__xludf.DUMMYFUNCTION("""COMPUTED_VALUE"""),"Good")</f>
        <v>Good</v>
      </c>
      <c r="R285" t="str">
        <f ca="1">IFERROR(__xludf.DUMMYFUNCTION("""COMPUTED_VALUE"""),"Good")</f>
        <v>Good</v>
      </c>
      <c r="S285" t="str">
        <f ca="1">IFERROR(__xludf.DUMMYFUNCTION("""COMPUTED_VALUE"""),"Good")</f>
        <v>Good</v>
      </c>
      <c r="T285" t="str">
        <f ca="1">IFERROR(__xludf.DUMMYFUNCTION("""COMPUTED_VALUE"""),"Good")</f>
        <v>Good</v>
      </c>
      <c r="U285" t="str">
        <f ca="1">IFERROR(__xludf.DUMMYFUNCTION("""COMPUTED_VALUE"""),"Good")</f>
        <v>Good</v>
      </c>
      <c r="V285" t="str">
        <f ca="1">IFERROR(__xludf.DUMMYFUNCTION("""COMPUTED_VALUE"""),"Good")</f>
        <v>Good</v>
      </c>
      <c r="W285" t="str">
        <f ca="1">IFERROR(__xludf.DUMMYFUNCTION("""COMPUTED_VALUE"""),"Good")</f>
        <v>Good</v>
      </c>
      <c r="X285" t="str">
        <f ca="1">IFERROR(__xludf.DUMMYFUNCTION("""COMPUTED_VALUE"""),"Good")</f>
        <v>Good</v>
      </c>
      <c r="Y285" t="str">
        <f ca="1">IFERROR(__xludf.DUMMYFUNCTION("""COMPUTED_VALUE"""),"Good")</f>
        <v>Good</v>
      </c>
      <c r="Z285" t="str">
        <f ca="1">IFERROR(__xludf.DUMMYFUNCTION("""COMPUTED_VALUE"""),"Good")</f>
        <v>Good</v>
      </c>
      <c r="AA285" t="str">
        <f ca="1">IFERROR(__xludf.DUMMYFUNCTION("""COMPUTED_VALUE"""),"Good")</f>
        <v>Good</v>
      </c>
      <c r="AB285" t="str">
        <f ca="1">IFERROR(__xludf.DUMMYFUNCTION("""COMPUTED_VALUE"""),"Good")</f>
        <v>Good</v>
      </c>
      <c r="AC285" t="str">
        <f ca="1">IFERROR(__xludf.DUMMYFUNCTION("""COMPUTED_VALUE"""),"Good")</f>
        <v>Good</v>
      </c>
      <c r="AE285" s="11"/>
      <c r="AF285" t="str">
        <v>Nikki.Dix@floridadep.gov</v>
      </c>
      <c r="AG285" s="17" t="s">
        <v>58</v>
      </c>
      <c r="AH285" s="12">
        <v>1255</v>
      </c>
      <c r="AI285" s="12" t="s">
        <v>801</v>
      </c>
      <c r="AJ285" s="19" t="s">
        <v>802</v>
      </c>
      <c r="AK285" s="20" t="str">
        <f>HYPERLINK("https://docs.google.com/document/d/1Jwwqnazwww9YKvWyHVkc7djKCR6FkjdvBevqEEgTxgc/edit?usp=drivesdk","Silas Tanner - 4/18/2019 8:15 AM")</f>
        <v>Silas Tanner - 4/18/2019 8:15 AM</v>
      </c>
      <c r="AL285" s="12" t="s">
        <v>803</v>
      </c>
    </row>
    <row r="286" spans="1:38" ht="12.75">
      <c r="A286" s="10">
        <f ca="1">IFERROR(__xludf.DUMMYFUNCTION("""COMPUTED_VALUE"""),43581.5491609259)</f>
        <v>43581.549160925897</v>
      </c>
      <c r="B286" s="11" t="str">
        <f ca="1">IFERROR(__xludf.DUMMYFUNCTION("""COMPUTED_VALUE"""),"Pamela Marcum")</f>
        <v>Pamela Marcum</v>
      </c>
      <c r="C286" t="str">
        <f ca="1">IFERROR(__xludf.DUMMYFUNCTION("""COMPUTED_VALUE"""),"Pamela.Marcum@dep.state.fl.us")</f>
        <v>Pamela.Marcum@dep.state.fl.us</v>
      </c>
      <c r="D286" t="str">
        <f ca="1">IFERROR(__xludf.DUMMYFUNCTION("""COMPUTED_VALUE"""),"Research/Nikki")</f>
        <v>Research/Nikki</v>
      </c>
      <c r="E286" t="str">
        <f ca="1">IFERROR(__xludf.DUMMYFUNCTION("""COMPUTED_VALUE"""),"Shore Dr")</f>
        <v>Shore Dr</v>
      </c>
      <c r="F286" s="13">
        <f ca="1">IFERROR(__xludf.DUMMYFUNCTION("""COMPUTED_VALUE"""),0.58333333333212)</f>
        <v>0.58333333333212001</v>
      </c>
      <c r="G286" s="14">
        <f ca="1">IFERROR(__xludf.DUMMYFUNCTION("""COMPUTED_VALUE"""),43581)</f>
        <v>43581</v>
      </c>
      <c r="H286" t="str">
        <f ca="1">IFERROR(__xludf.DUMMYFUNCTION("""COMPUTED_VALUE"""),"Gabbys Creek - WETFEET site")</f>
        <v>Gabbys Creek - WETFEET site</v>
      </c>
      <c r="I286" s="15">
        <f ca="1">IFERROR(__xludf.DUMMYFUNCTION("""COMPUTED_VALUE"""),0.729166666667879)</f>
        <v>0.72916666666787899</v>
      </c>
      <c r="J286" s="16">
        <f ca="1">IFERROR(__xludf.DUMMYFUNCTION("""COMPUTED_VALUE"""),43581.75)</f>
        <v>43581.75</v>
      </c>
      <c r="K286" t="str">
        <f ca="1">IFERROR(__xludf.DUMMYFUNCTION("""COMPUTED_VALUE"""),"20ft Sea Ark FL5351SJ UNF 2015")</f>
        <v>20ft Sea Ark FL5351SJ UNF 2015</v>
      </c>
      <c r="M286" t="str">
        <f ca="1">IFERROR(__xludf.DUMMYFUNCTION("""COMPUTED_VALUE"""),"Ford F150 2008 - DEP18041 (SWMP Thing)")</f>
        <v>Ford F150 2008 - DEP18041 (SWMP Thing)</v>
      </c>
      <c r="N286" t="str">
        <f ca="1">IFERROR(__xludf.DUMMYFUNCTION("""COMPUTED_VALUE"""),"Pam Marcum, (480) 332-5414")</f>
        <v>Pam Marcum, (480) 332-5414</v>
      </c>
      <c r="O286" t="str">
        <f ca="1">IFERROR(__xludf.DUMMYFUNCTION("""COMPUTED_VALUE"""),"Gabriela Canas, (904) 891-9743")</f>
        <v>Gabriela Canas, (904) 891-9743</v>
      </c>
      <c r="P286" t="str">
        <f ca="1">IFERROR(__xludf.DUMMYFUNCTION("""COMPUTED_VALUE"""),"Pam")</f>
        <v>Pam</v>
      </c>
      <c r="Q286" t="str">
        <f ca="1">IFERROR(__xludf.DUMMYFUNCTION("""COMPUTED_VALUE"""),"Good")</f>
        <v>Good</v>
      </c>
      <c r="R286" t="str">
        <f ca="1">IFERROR(__xludf.DUMMYFUNCTION("""COMPUTED_VALUE"""),"Good")</f>
        <v>Good</v>
      </c>
      <c r="S286" t="str">
        <f ca="1">IFERROR(__xludf.DUMMYFUNCTION("""COMPUTED_VALUE"""),"Good")</f>
        <v>Good</v>
      </c>
      <c r="T286" t="str">
        <f ca="1">IFERROR(__xludf.DUMMYFUNCTION("""COMPUTED_VALUE"""),"Good")</f>
        <v>Good</v>
      </c>
      <c r="U286" t="str">
        <f ca="1">IFERROR(__xludf.DUMMYFUNCTION("""COMPUTED_VALUE"""),"Good")</f>
        <v>Good</v>
      </c>
      <c r="V286" t="str">
        <f ca="1">IFERROR(__xludf.DUMMYFUNCTION("""COMPUTED_VALUE"""),"Good")</f>
        <v>Good</v>
      </c>
      <c r="W286" t="str">
        <f ca="1">IFERROR(__xludf.DUMMYFUNCTION("""COMPUTED_VALUE"""),"Good")</f>
        <v>Good</v>
      </c>
      <c r="X286" t="str">
        <f ca="1">IFERROR(__xludf.DUMMYFUNCTION("""COMPUTED_VALUE"""),"Good")</f>
        <v>Good</v>
      </c>
      <c r="Y286" t="str">
        <f ca="1">IFERROR(__xludf.DUMMYFUNCTION("""COMPUTED_VALUE"""),"Good")</f>
        <v>Good</v>
      </c>
      <c r="Z286" t="str">
        <f ca="1">IFERROR(__xludf.DUMMYFUNCTION("""COMPUTED_VALUE"""),"Good")</f>
        <v>Good</v>
      </c>
      <c r="AA286" t="str">
        <f ca="1">IFERROR(__xludf.DUMMYFUNCTION("""COMPUTED_VALUE"""),"Good")</f>
        <v>Good</v>
      </c>
      <c r="AB286" t="str">
        <f ca="1">IFERROR(__xludf.DUMMYFUNCTION("""COMPUTED_VALUE"""),"Good")</f>
        <v>Good</v>
      </c>
      <c r="AC286" t="str">
        <f ca="1">IFERROR(__xludf.DUMMYFUNCTION("""COMPUTED_VALUE"""),"Good")</f>
        <v>Good</v>
      </c>
      <c r="AE286" s="11"/>
      <c r="AF286" t="str">
        <v>Nikki.Dix@floridadep.gov</v>
      </c>
      <c r="AG286" s="17" t="s">
        <v>41</v>
      </c>
      <c r="AH286" s="12">
        <v>1615</v>
      </c>
      <c r="AI286" s="12" t="s">
        <v>804</v>
      </c>
      <c r="AJ286" s="19" t="s">
        <v>805</v>
      </c>
      <c r="AK286" s="20" t="str">
        <f>HYPERLINK("https://docs.google.com/document/d/1u7s5sF6N4c08VUpD9QaNfb9XH2JWFuYc9n9uv0nmrXs/edit?usp=drivesdk","Pamela Marcum - 4/26/2019 2:00 PM")</f>
        <v>Pamela Marcum - 4/26/2019 2:00 PM</v>
      </c>
      <c r="AL286" s="12" t="s">
        <v>806</v>
      </c>
    </row>
    <row r="287" spans="1:38" ht="12.75">
      <c r="A287" s="10">
        <f ca="1">IFERROR(__xludf.DUMMYFUNCTION("""COMPUTED_VALUE"""),43585.3731357986)</f>
        <v>43585.373135798603</v>
      </c>
      <c r="B287" s="11" t="str">
        <f ca="1">IFERROR(__xludf.DUMMYFUNCTION("""COMPUTED_VALUE"""),"Silas Tanner")</f>
        <v>Silas Tanner</v>
      </c>
      <c r="D287" t="str">
        <f ca="1">IFERROR(__xludf.DUMMYFUNCTION("""COMPUTED_VALUE"""),"Research/Nikki")</f>
        <v>Research/Nikki</v>
      </c>
      <c r="E287" t="str">
        <f ca="1">IFERROR(__xludf.DUMMYFUNCTION("""COMPUTED_VALUE"""),"Vilano Landing")</f>
        <v>Vilano Landing</v>
      </c>
      <c r="F287" s="13">
        <f ca="1">IFERROR(__xludf.DUMMYFUNCTION("""COMPUTED_VALUE"""),0.30208333333212)</f>
        <v>0.30208333333212001</v>
      </c>
      <c r="G287" s="14">
        <f ca="1">IFERROR(__xludf.DUMMYFUNCTION("""COMPUTED_VALUE"""),43586)</f>
        <v>43586</v>
      </c>
      <c r="H287" t="str">
        <f ca="1">IFERROR(__xludf.DUMMYFUNCTION("""COMPUTED_VALUE"""),"ICW SWMP sites")</f>
        <v>ICW SWMP sites</v>
      </c>
      <c r="I287" s="15">
        <f ca="1">IFERROR(__xludf.DUMMYFUNCTION("""COMPUTED_VALUE"""),0.510416666667879)</f>
        <v>0.51041666666787899</v>
      </c>
      <c r="J287" s="16">
        <f ca="1">IFERROR(__xludf.DUMMYFUNCTION("""COMPUTED_VALUE"""),43586.5208333333)</f>
        <v>43586.520833333299</v>
      </c>
      <c r="K287" t="str">
        <f ca="1">IFERROR(__xludf.DUMMYFUNCTION("""COMPUTED_VALUE"""),"F 20ft Sea Ark (Easy 200) FL8534PY DEP21451")</f>
        <v>F 20ft Sea Ark (Easy 200) FL8534PY DEP21451</v>
      </c>
      <c r="M287" t="str">
        <f ca="1">IFERROR(__xludf.DUMMYFUNCTION("""COMPUTED_VALUE"""),"Ford F250 2017 (Moby Dix) - DEP0021578")</f>
        <v>Ford F250 2017 (Moby Dix) - DEP0021578</v>
      </c>
      <c r="N287" t="str">
        <f ca="1">IFERROR(__xludf.DUMMYFUNCTION("""COMPUTED_VALUE"""),"Silas Tanner, (904) 483-8423, Jimmy Tomazinis, (904) 547-0094")</f>
        <v>Silas Tanner, (904) 483-8423, Jimmy Tomazinis, (904) 547-0094</v>
      </c>
      <c r="O287" t="str">
        <f ca="1">IFERROR(__xludf.DUMMYFUNCTION("""COMPUTED_VALUE"""),"Bella Kitzis")</f>
        <v>Bella Kitzis</v>
      </c>
      <c r="P287" t="str">
        <f ca="1">IFERROR(__xludf.DUMMYFUNCTION("""COMPUTED_VALUE"""),"J. Tomazinis")</f>
        <v>J. Tomazinis</v>
      </c>
      <c r="Q287" t="str">
        <f ca="1">IFERROR(__xludf.DUMMYFUNCTION("""COMPUTED_VALUE"""),"Good")</f>
        <v>Good</v>
      </c>
      <c r="R287" t="str">
        <f ca="1">IFERROR(__xludf.DUMMYFUNCTION("""COMPUTED_VALUE"""),"Good")</f>
        <v>Good</v>
      </c>
      <c r="S287" t="str">
        <f ca="1">IFERROR(__xludf.DUMMYFUNCTION("""COMPUTED_VALUE"""),"Good")</f>
        <v>Good</v>
      </c>
      <c r="T287" t="str">
        <f ca="1">IFERROR(__xludf.DUMMYFUNCTION("""COMPUTED_VALUE"""),"Good")</f>
        <v>Good</v>
      </c>
      <c r="U287" t="str">
        <f ca="1">IFERROR(__xludf.DUMMYFUNCTION("""COMPUTED_VALUE"""),"Good")</f>
        <v>Good</v>
      </c>
      <c r="V287" t="str">
        <f ca="1">IFERROR(__xludf.DUMMYFUNCTION("""COMPUTED_VALUE"""),"Good")</f>
        <v>Good</v>
      </c>
      <c r="W287" t="str">
        <f ca="1">IFERROR(__xludf.DUMMYFUNCTION("""COMPUTED_VALUE"""),"Good")</f>
        <v>Good</v>
      </c>
      <c r="X287" t="str">
        <f ca="1">IFERROR(__xludf.DUMMYFUNCTION("""COMPUTED_VALUE"""),"Good")</f>
        <v>Good</v>
      </c>
      <c r="Y287" t="str">
        <f ca="1">IFERROR(__xludf.DUMMYFUNCTION("""COMPUTED_VALUE"""),"Good")</f>
        <v>Good</v>
      </c>
      <c r="Z287" t="str">
        <f ca="1">IFERROR(__xludf.DUMMYFUNCTION("""COMPUTED_VALUE"""),"Good")</f>
        <v>Good</v>
      </c>
      <c r="AA287" t="str">
        <f ca="1">IFERROR(__xludf.DUMMYFUNCTION("""COMPUTED_VALUE"""),"Good")</f>
        <v>Good</v>
      </c>
      <c r="AB287" t="str">
        <f ca="1">IFERROR(__xludf.DUMMYFUNCTION("""COMPUTED_VALUE"""),"Good")</f>
        <v>Good</v>
      </c>
      <c r="AC287" t="str">
        <f ca="1">IFERROR(__xludf.DUMMYFUNCTION("""COMPUTED_VALUE"""),"Good")</f>
        <v>Good</v>
      </c>
      <c r="AE287" s="11"/>
      <c r="AF287" t="str">
        <v>Nikki.Dix@floridadep.gov</v>
      </c>
      <c r="AG287" s="17" t="s">
        <v>17</v>
      </c>
      <c r="AH287" s="12">
        <v>1135</v>
      </c>
      <c r="AI287" s="12" t="s">
        <v>807</v>
      </c>
      <c r="AJ287" s="19" t="s">
        <v>808</v>
      </c>
      <c r="AK287" s="20" t="str">
        <f>HYPERLINK("https://docs.google.com/document/d/1yVYWUcznor89rZKLN7JNHkOJi-hKAXwvKPawozANPrs/edit?usp=drivesdk","Silas Tanner - 5/1/2019 7:15 AM")</f>
        <v>Silas Tanner - 5/1/2019 7:15 AM</v>
      </c>
      <c r="AL287" s="12" t="s">
        <v>809</v>
      </c>
    </row>
    <row r="288" spans="1:38" ht="12.75">
      <c r="A288" s="10">
        <f ca="1">IFERROR(__xludf.DUMMYFUNCTION("""COMPUTED_VALUE"""),43586.3676894097)</f>
        <v>43586.367689409701</v>
      </c>
      <c r="B288" s="11" t="str">
        <f ca="1">IFERROR(__xludf.DUMMYFUNCTION("""COMPUTED_VALUE"""),"Pamela Marcum")</f>
        <v>Pamela Marcum</v>
      </c>
      <c r="C288" t="str">
        <f ca="1">IFERROR(__xludf.DUMMYFUNCTION("""COMPUTED_VALUE"""),"Pamela.Marcum@dep.state.fl.us")</f>
        <v>Pamela.Marcum@dep.state.fl.us</v>
      </c>
      <c r="D288" t="str">
        <f ca="1">IFERROR(__xludf.DUMMYFUNCTION("""COMPUTED_VALUE"""),"Research/Nikki")</f>
        <v>Research/Nikki</v>
      </c>
      <c r="E288" t="str">
        <f ca="1">IFERROR(__xludf.DUMMYFUNCTION("""COMPUTED_VALUE"""),"Vilano")</f>
        <v>Vilano</v>
      </c>
      <c r="F288" s="13">
        <f ca="1">IFERROR(__xludf.DUMMYFUNCTION("""COMPUTED_VALUE"""),0.45833333333212)</f>
        <v>0.45833333333212001</v>
      </c>
      <c r="G288" s="14">
        <f ca="1">IFERROR(__xludf.DUMMYFUNCTION("""COMPUTED_VALUE"""),43586)</f>
        <v>43586</v>
      </c>
      <c r="H288" t="str">
        <f ca="1">IFERROR(__xludf.DUMMYFUNCTION("""COMPUTED_VALUE"""),"Salt Run, St Augustine, Matanzas River Spat Trees")</f>
        <v>Salt Run, St Augustine, Matanzas River Spat Trees</v>
      </c>
      <c r="I288" s="15">
        <f ca="1">IFERROR(__xludf.DUMMYFUNCTION("""COMPUTED_VALUE"""),0.6875)</f>
        <v>0.6875</v>
      </c>
      <c r="J288" s="16">
        <f ca="1">IFERROR(__xludf.DUMMYFUNCTION("""COMPUTED_VALUE"""),43586.7083333333)</f>
        <v>43586.708333333299</v>
      </c>
      <c r="K288" t="str">
        <f ca="1">IFERROR(__xludf.DUMMYFUNCTION("""COMPUTED_VALUE"""),"20ft Sea Ark FL5351SJ UNF 2015")</f>
        <v>20ft Sea Ark FL5351SJ UNF 2015</v>
      </c>
      <c r="M288" t="str">
        <f ca="1">IFERROR(__xludf.DUMMYFUNCTION("""COMPUTED_VALUE"""),"Ford F150 2008 - DEP18041 (SWMP Thing)")</f>
        <v>Ford F150 2008 - DEP18041 (SWMP Thing)</v>
      </c>
      <c r="N288" t="str">
        <f ca="1">IFERROR(__xludf.DUMMYFUNCTION("""COMPUTED_VALUE"""),"Pam Marcum, (480) 332-5414")</f>
        <v>Pam Marcum, (480) 332-5414</v>
      </c>
      <c r="O288" t="str">
        <f ca="1">IFERROR(__xludf.DUMMYFUNCTION("""COMPUTED_VALUE"""),"Terri Calleson")</f>
        <v>Terri Calleson</v>
      </c>
      <c r="P288" t="str">
        <f ca="1">IFERROR(__xludf.DUMMYFUNCTION("""COMPUTED_VALUE"""),"Pam")</f>
        <v>Pam</v>
      </c>
      <c r="Q288" t="str">
        <f ca="1">IFERROR(__xludf.DUMMYFUNCTION("""COMPUTED_VALUE"""),"Good")</f>
        <v>Good</v>
      </c>
      <c r="R288" t="str">
        <f ca="1">IFERROR(__xludf.DUMMYFUNCTION("""COMPUTED_VALUE"""),"Good")</f>
        <v>Good</v>
      </c>
      <c r="S288" t="str">
        <f ca="1">IFERROR(__xludf.DUMMYFUNCTION("""COMPUTED_VALUE"""),"Good")</f>
        <v>Good</v>
      </c>
      <c r="T288" t="str">
        <f ca="1">IFERROR(__xludf.DUMMYFUNCTION("""COMPUTED_VALUE"""),"Good")</f>
        <v>Good</v>
      </c>
      <c r="U288" t="str">
        <f ca="1">IFERROR(__xludf.DUMMYFUNCTION("""COMPUTED_VALUE"""),"Good")</f>
        <v>Good</v>
      </c>
      <c r="V288" t="str">
        <f ca="1">IFERROR(__xludf.DUMMYFUNCTION("""COMPUTED_VALUE"""),"Good")</f>
        <v>Good</v>
      </c>
      <c r="W288" t="str">
        <f ca="1">IFERROR(__xludf.DUMMYFUNCTION("""COMPUTED_VALUE"""),"Good")</f>
        <v>Good</v>
      </c>
      <c r="X288" t="str">
        <f ca="1">IFERROR(__xludf.DUMMYFUNCTION("""COMPUTED_VALUE"""),"Good")</f>
        <v>Good</v>
      </c>
      <c r="Y288" t="str">
        <f ca="1">IFERROR(__xludf.DUMMYFUNCTION("""COMPUTED_VALUE"""),"Good")</f>
        <v>Good</v>
      </c>
      <c r="Z288" t="str">
        <f ca="1">IFERROR(__xludf.DUMMYFUNCTION("""COMPUTED_VALUE"""),"Good")</f>
        <v>Good</v>
      </c>
      <c r="AA288" t="str">
        <f ca="1">IFERROR(__xludf.DUMMYFUNCTION("""COMPUTED_VALUE"""),"Good")</f>
        <v>Good</v>
      </c>
      <c r="AB288" t="str">
        <f ca="1">IFERROR(__xludf.DUMMYFUNCTION("""COMPUTED_VALUE"""),"Good")</f>
        <v>Good</v>
      </c>
      <c r="AC288" t="str">
        <f ca="1">IFERROR(__xludf.DUMMYFUNCTION("""COMPUTED_VALUE"""),"Good")</f>
        <v>Good</v>
      </c>
      <c r="AE288" s="11"/>
      <c r="AF288" t="str">
        <v>Nikki.Dix@floridadep.gov</v>
      </c>
      <c r="AG288" s="17" t="s">
        <v>41</v>
      </c>
      <c r="AH288" s="12">
        <v>1645</v>
      </c>
      <c r="AI288" s="12" t="s">
        <v>810</v>
      </c>
      <c r="AJ288" s="19" t="s">
        <v>811</v>
      </c>
      <c r="AK288" s="20" t="str">
        <f>HYPERLINK("https://docs.google.com/document/d/1eXlcmMIv9zUf7k-HL1ZFahKVKf9u1qFeaJAyflX6R20/edit?usp=drivesdk","Pamela Marcum - 5/1/2019 11:00 AM")</f>
        <v>Pamela Marcum - 5/1/2019 11:00 AM</v>
      </c>
      <c r="AL288" s="12" t="s">
        <v>812</v>
      </c>
    </row>
    <row r="289" spans="1:38" ht="12.75">
      <c r="A289" s="10">
        <f ca="1">IFERROR(__xludf.DUMMYFUNCTION("""COMPUTED_VALUE"""),43586.679285868)</f>
        <v>43586.679285867998</v>
      </c>
      <c r="B289" s="11" t="str">
        <f ca="1">IFERROR(__xludf.DUMMYFUNCTION("""COMPUTED_VALUE"""),"James Tomazinis")</f>
        <v>James Tomazinis</v>
      </c>
      <c r="C289" t="str">
        <f ca="1">IFERROR(__xludf.DUMMYFUNCTION("""COMPUTED_VALUE"""),"james.tomazinis@floridadep.gov")</f>
        <v>james.tomazinis@floridadep.gov</v>
      </c>
      <c r="D289" t="str">
        <f ca="1">IFERROR(__xludf.DUMMYFUNCTION("""COMPUTED_VALUE"""),"Stewardship (Aquatic)")</f>
        <v>Stewardship (Aquatic)</v>
      </c>
      <c r="E289" t="str">
        <f ca="1">IFERROR(__xludf.DUMMYFUNCTION("""COMPUTED_VALUE"""),"Guana Dam")</f>
        <v>Guana Dam</v>
      </c>
      <c r="F289" s="13">
        <f ca="1">IFERROR(__xludf.DUMMYFUNCTION("""COMPUTED_VALUE"""),0.354166666667879)</f>
        <v>0.35416666666787899</v>
      </c>
      <c r="G289" s="14">
        <f ca="1">IFERROR(__xludf.DUMMYFUNCTION("""COMPUTED_VALUE"""),43587)</f>
        <v>43587</v>
      </c>
      <c r="H289" t="str">
        <f ca="1">IFERROR(__xludf.DUMMYFUNCTION("""COMPUTED_VALUE"""),"Guana River WQ sites")</f>
        <v>Guana River WQ sites</v>
      </c>
      <c r="I289" s="15">
        <f ca="1">IFERROR(__xludf.DUMMYFUNCTION("""COMPUTED_VALUE"""),0.4375)</f>
        <v>0.4375</v>
      </c>
      <c r="J289" s="16"/>
      <c r="K289" t="str">
        <f ca="1">IFERROR(__xludf.DUMMYFUNCTION("""COMPUTED_VALUE"""),"Jon Boat FL0484NP DEP06819")</f>
        <v>Jon Boat FL0484NP DEP06819</v>
      </c>
      <c r="M289" t="str">
        <f ca="1">IFERROR(__xludf.DUMMYFUNCTION("""COMPUTED_VALUE"""),"Ford F150 2015 (White) - DEP21448")</f>
        <v>Ford F150 2015 (White) - DEP21448</v>
      </c>
      <c r="N289" t="str">
        <f ca="1">IFERROR(__xludf.DUMMYFUNCTION("""COMPUTED_VALUE"""),"Jimmy Tomazinis, (904) 547-0094")</f>
        <v>Jimmy Tomazinis, (904) 547-0094</v>
      </c>
      <c r="O289" t="str">
        <f ca="1">IFERROR(__xludf.DUMMYFUNCTION("""COMPUTED_VALUE"""),"Jessica Lee")</f>
        <v>Jessica Lee</v>
      </c>
      <c r="P289" t="str">
        <f ca="1">IFERROR(__xludf.DUMMYFUNCTION("""COMPUTED_VALUE"""),"Jimmy")</f>
        <v>Jimmy</v>
      </c>
      <c r="Q289" t="str">
        <f ca="1">IFERROR(__xludf.DUMMYFUNCTION("""COMPUTED_VALUE"""),"Good")</f>
        <v>Good</v>
      </c>
      <c r="R289" t="str">
        <f ca="1">IFERROR(__xludf.DUMMYFUNCTION("""COMPUTED_VALUE"""),"Good")</f>
        <v>Good</v>
      </c>
      <c r="S289" t="str">
        <f ca="1">IFERROR(__xludf.DUMMYFUNCTION("""COMPUTED_VALUE"""),"Good")</f>
        <v>Good</v>
      </c>
      <c r="T289" t="str">
        <f ca="1">IFERROR(__xludf.DUMMYFUNCTION("""COMPUTED_VALUE"""),"Good")</f>
        <v>Good</v>
      </c>
      <c r="U289" t="str">
        <f ca="1">IFERROR(__xludf.DUMMYFUNCTION("""COMPUTED_VALUE"""),"Good")</f>
        <v>Good</v>
      </c>
      <c r="V289" t="str">
        <f ca="1">IFERROR(__xludf.DUMMYFUNCTION("""COMPUTED_VALUE"""),"Good")</f>
        <v>Good</v>
      </c>
      <c r="W289" t="str">
        <f ca="1">IFERROR(__xludf.DUMMYFUNCTION("""COMPUTED_VALUE"""),"Good")</f>
        <v>Good</v>
      </c>
      <c r="X289" t="str">
        <f ca="1">IFERROR(__xludf.DUMMYFUNCTION("""COMPUTED_VALUE"""),"Good")</f>
        <v>Good</v>
      </c>
      <c r="Y289" t="str">
        <f ca="1">IFERROR(__xludf.DUMMYFUNCTION("""COMPUTED_VALUE"""),"Good")</f>
        <v>Good</v>
      </c>
      <c r="Z289" t="str">
        <f ca="1">IFERROR(__xludf.DUMMYFUNCTION("""COMPUTED_VALUE"""),"Good")</f>
        <v>Good</v>
      </c>
      <c r="AA289" t="str">
        <f ca="1">IFERROR(__xludf.DUMMYFUNCTION("""COMPUTED_VALUE"""),"Good")</f>
        <v>Good</v>
      </c>
      <c r="AB289" t="str">
        <f ca="1">IFERROR(__xludf.DUMMYFUNCTION("""COMPUTED_VALUE"""),"Good")</f>
        <v>Good</v>
      </c>
      <c r="AC289" t="str">
        <f ca="1">IFERROR(__xludf.DUMMYFUNCTION("""COMPUTED_VALUE"""),"Good")</f>
        <v>Good</v>
      </c>
      <c r="AE289" s="11"/>
      <c r="AF289" t="str">
        <v>Scott.Eastman@floridadep.gov</v>
      </c>
      <c r="AG289" s="17" t="s">
        <v>17</v>
      </c>
      <c r="AH289" s="12">
        <v>1030</v>
      </c>
      <c r="AI289" s="12" t="s">
        <v>813</v>
      </c>
      <c r="AJ289" s="19" t="s">
        <v>814</v>
      </c>
      <c r="AK289" s="20" t="str">
        <f>HYPERLINK("https://docs.google.com/document/d/1Si4U5YmHvfX7oP5-r6Jt3hFsP-8Kn9NMVMWY0BZp7kU/edit?usp=drivesdk","James Tomazinis - 5/2/2019 8:30 AM")</f>
        <v>James Tomazinis - 5/2/2019 8:30 AM</v>
      </c>
      <c r="AL289" s="12" t="s">
        <v>815</v>
      </c>
    </row>
    <row r="290" spans="1:38" ht="12.75">
      <c r="A290" s="10">
        <f ca="1">IFERROR(__xludf.DUMMYFUNCTION("""COMPUTED_VALUE"""),43587.3981818865)</f>
        <v>43587.3981818865</v>
      </c>
      <c r="B290" s="11" t="str">
        <f ca="1">IFERROR(__xludf.DUMMYFUNCTION("""COMPUTED_VALUE"""),"Pamela Marcum")</f>
        <v>Pamela Marcum</v>
      </c>
      <c r="C290" t="str">
        <f ca="1">IFERROR(__xludf.DUMMYFUNCTION("""COMPUTED_VALUE"""),"Pamela.Marcum@dep.state.fl.us")</f>
        <v>Pamela.Marcum@dep.state.fl.us</v>
      </c>
      <c r="D290" t="str">
        <f ca="1">IFERROR(__xludf.DUMMYFUNCTION("""COMPUTED_VALUE"""),"Research/Nikki")</f>
        <v>Research/Nikki</v>
      </c>
      <c r="E290" t="str">
        <f ca="1">IFERROR(__xludf.DUMMYFUNCTION("""COMPUTED_VALUE"""),"Aunt Kate's")</f>
        <v>Aunt Kate's</v>
      </c>
      <c r="F290" s="13">
        <f ca="1">IFERROR(__xludf.DUMMYFUNCTION("""COMPUTED_VALUE"""),0.479166666667879)</f>
        <v>0.47916666666787899</v>
      </c>
      <c r="G290" s="14">
        <f ca="1">IFERROR(__xludf.DUMMYFUNCTION("""COMPUTED_VALUE"""),43587)</f>
        <v>43587</v>
      </c>
      <c r="H290" t="str">
        <f ca="1">IFERROR(__xludf.DUMMYFUNCTION("""COMPUTED_VALUE"""),"Guana/Tolomato Rivers")</f>
        <v>Guana/Tolomato Rivers</v>
      </c>
      <c r="I290" s="15">
        <f ca="1">IFERROR(__xludf.DUMMYFUNCTION("""COMPUTED_VALUE"""),0.666666666667879)</f>
        <v>0.66666666666787899</v>
      </c>
      <c r="J290" s="16">
        <f ca="1">IFERROR(__xludf.DUMMYFUNCTION("""COMPUTED_VALUE"""),43587.6875)</f>
        <v>43587.6875</v>
      </c>
      <c r="K290" t="str">
        <f ca="1">IFERROR(__xludf.DUMMYFUNCTION("""COMPUTED_VALUE"""),"20ft Sea Ark FL5351SJ UNF 2015")</f>
        <v>20ft Sea Ark FL5351SJ UNF 2015</v>
      </c>
      <c r="M290" t="str">
        <f ca="1">IFERROR(__xludf.DUMMYFUNCTION("""COMPUTED_VALUE"""),"Ford F150 2008 - DEP18041 (SWMP Thing)")</f>
        <v>Ford F150 2008 - DEP18041 (SWMP Thing)</v>
      </c>
      <c r="N290" t="str">
        <f ca="1">IFERROR(__xludf.DUMMYFUNCTION("""COMPUTED_VALUE"""),"Pam Marcum, (480) 332-5414")</f>
        <v>Pam Marcum, (480) 332-5414</v>
      </c>
      <c r="O290" t="str">
        <f ca="1">IFERROR(__xludf.DUMMYFUNCTION("""COMPUTED_VALUE"""),"Nicole Peckham, Adrienne Breef-Pilz")</f>
        <v>Nicole Peckham, Adrienne Breef-Pilz</v>
      </c>
      <c r="P290" t="str">
        <f ca="1">IFERROR(__xludf.DUMMYFUNCTION("""COMPUTED_VALUE"""),"Pam")</f>
        <v>Pam</v>
      </c>
      <c r="Q290" t="str">
        <f ca="1">IFERROR(__xludf.DUMMYFUNCTION("""COMPUTED_VALUE"""),"Good")</f>
        <v>Good</v>
      </c>
      <c r="R290" t="str">
        <f ca="1">IFERROR(__xludf.DUMMYFUNCTION("""COMPUTED_VALUE"""),"Good")</f>
        <v>Good</v>
      </c>
      <c r="S290" t="str">
        <f ca="1">IFERROR(__xludf.DUMMYFUNCTION("""COMPUTED_VALUE"""),"Good")</f>
        <v>Good</v>
      </c>
      <c r="T290" t="str">
        <f ca="1">IFERROR(__xludf.DUMMYFUNCTION("""COMPUTED_VALUE"""),"Good")</f>
        <v>Good</v>
      </c>
      <c r="U290" t="str">
        <f ca="1">IFERROR(__xludf.DUMMYFUNCTION("""COMPUTED_VALUE"""),"Good")</f>
        <v>Good</v>
      </c>
      <c r="V290" t="str">
        <f ca="1">IFERROR(__xludf.DUMMYFUNCTION("""COMPUTED_VALUE"""),"Good")</f>
        <v>Good</v>
      </c>
      <c r="W290" t="str">
        <f ca="1">IFERROR(__xludf.DUMMYFUNCTION("""COMPUTED_VALUE"""),"Good")</f>
        <v>Good</v>
      </c>
      <c r="X290" t="str">
        <f ca="1">IFERROR(__xludf.DUMMYFUNCTION("""COMPUTED_VALUE"""),"Good")</f>
        <v>Good</v>
      </c>
      <c r="Y290" t="str">
        <f ca="1">IFERROR(__xludf.DUMMYFUNCTION("""COMPUTED_VALUE"""),"Good")</f>
        <v>Good</v>
      </c>
      <c r="Z290" t="str">
        <f ca="1">IFERROR(__xludf.DUMMYFUNCTION("""COMPUTED_VALUE"""),"Good")</f>
        <v>Good</v>
      </c>
      <c r="AA290" t="str">
        <f ca="1">IFERROR(__xludf.DUMMYFUNCTION("""COMPUTED_VALUE"""),"Good")</f>
        <v>Good</v>
      </c>
      <c r="AB290" t="str">
        <f ca="1">IFERROR(__xludf.DUMMYFUNCTION("""COMPUTED_VALUE"""),"Good")</f>
        <v>Good</v>
      </c>
      <c r="AC290" t="str">
        <f ca="1">IFERROR(__xludf.DUMMYFUNCTION("""COMPUTED_VALUE"""),"Good")</f>
        <v>Good</v>
      </c>
      <c r="AE290" s="11"/>
      <c r="AF290" t="str">
        <v>Nikki.Dix@floridadep.gov</v>
      </c>
      <c r="AG290" s="17" t="s">
        <v>17</v>
      </c>
      <c r="AH290" s="12">
        <v>1515</v>
      </c>
      <c r="AI290" s="12" t="s">
        <v>816</v>
      </c>
      <c r="AJ290" s="19" t="s">
        <v>817</v>
      </c>
      <c r="AK290" s="20" t="str">
        <f>HYPERLINK("https://docs.google.com/document/d/1Q9ML7tL-eCbAh36Z_OcvQHcpvugY7Asf2P4_F6COnTE/edit?usp=drivesdk","Pamela Marcum - 5/2/2019 11:30 AM")</f>
        <v>Pamela Marcum - 5/2/2019 11:30 AM</v>
      </c>
      <c r="AL290" s="12" t="s">
        <v>818</v>
      </c>
    </row>
    <row r="291" spans="1:38" ht="12.75">
      <c r="A291" s="10">
        <f ca="1">IFERROR(__xludf.DUMMYFUNCTION("""COMPUTED_VALUE"""),43591.5981642592)</f>
        <v>43591.598164259201</v>
      </c>
      <c r="B291" s="11" t="str">
        <f ca="1">IFERROR(__xludf.DUMMYFUNCTION("""COMPUTED_VALUE"""),"Pamela Marcum")</f>
        <v>Pamela Marcum</v>
      </c>
      <c r="C291" t="str">
        <f ca="1">IFERROR(__xludf.DUMMYFUNCTION("""COMPUTED_VALUE"""),"Pamela.Marcum@dep.state.fl.us")</f>
        <v>Pamela.Marcum@dep.state.fl.us</v>
      </c>
      <c r="D291" t="str">
        <f ca="1">IFERROR(__xludf.DUMMYFUNCTION("""COMPUTED_VALUE"""),"Research/Nikki")</f>
        <v>Research/Nikki</v>
      </c>
      <c r="E291" t="str">
        <f ca="1">IFERROR(__xludf.DUMMYFUNCTION("""COMPUTED_VALUE"""),"Aunt Kates")</f>
        <v>Aunt Kates</v>
      </c>
      <c r="F291" s="13">
        <f ca="1">IFERROR(__xludf.DUMMYFUNCTION("""COMPUTED_VALUE"""),0.61458333333212)</f>
        <v>0.61458333333212001</v>
      </c>
      <c r="G291" s="14">
        <f ca="1">IFERROR(__xludf.DUMMYFUNCTION("""COMPUTED_VALUE"""),43591)</f>
        <v>43591</v>
      </c>
      <c r="H291" t="str">
        <f ca="1">IFERROR(__xludf.DUMMYFUNCTION("""COMPUTED_VALUE"""),"Tolomato River")</f>
        <v>Tolomato River</v>
      </c>
      <c r="I291" s="15">
        <f ca="1">IFERROR(__xludf.DUMMYFUNCTION("""COMPUTED_VALUE"""),0.8125)</f>
        <v>0.8125</v>
      </c>
      <c r="J291" s="16">
        <f ca="1">IFERROR(__xludf.DUMMYFUNCTION("""COMPUTED_VALUE"""),43591.8333333333)</f>
        <v>43591.833333333299</v>
      </c>
      <c r="K291" t="str">
        <f ca="1">IFERROR(__xludf.DUMMYFUNCTION("""COMPUTED_VALUE"""),"20ft Sea Ark FL5351SJ UNF 2015")</f>
        <v>20ft Sea Ark FL5351SJ UNF 2015</v>
      </c>
      <c r="M291" t="str">
        <f ca="1">IFERROR(__xludf.DUMMYFUNCTION("""COMPUTED_VALUE"""),"Ford F150 2015 (White) - DEP21448")</f>
        <v>Ford F150 2015 (White) - DEP21448</v>
      </c>
      <c r="N291" t="str">
        <f ca="1">IFERROR(__xludf.DUMMYFUNCTION("""COMPUTED_VALUE"""),"Pam Marcum, (480) 332-5414")</f>
        <v>Pam Marcum, (480) 332-5414</v>
      </c>
      <c r="O291" t="str">
        <f ca="1">IFERROR(__xludf.DUMMYFUNCTION("""COMPUTED_VALUE"""),"Adrienne Breef-Pilz, Nicole Peckham")</f>
        <v>Adrienne Breef-Pilz, Nicole Peckham</v>
      </c>
      <c r="P291" t="str">
        <f ca="1">IFERROR(__xludf.DUMMYFUNCTION("""COMPUTED_VALUE"""),"Pam")</f>
        <v>Pam</v>
      </c>
      <c r="Q291" t="str">
        <f ca="1">IFERROR(__xludf.DUMMYFUNCTION("""COMPUTED_VALUE"""),"Good")</f>
        <v>Good</v>
      </c>
      <c r="R291" t="str">
        <f ca="1">IFERROR(__xludf.DUMMYFUNCTION("""COMPUTED_VALUE"""),"Good")</f>
        <v>Good</v>
      </c>
      <c r="S291" t="str">
        <f ca="1">IFERROR(__xludf.DUMMYFUNCTION("""COMPUTED_VALUE"""),"Good")</f>
        <v>Good</v>
      </c>
      <c r="T291" t="str">
        <f ca="1">IFERROR(__xludf.DUMMYFUNCTION("""COMPUTED_VALUE"""),"Good")</f>
        <v>Good</v>
      </c>
      <c r="U291" t="str">
        <f ca="1">IFERROR(__xludf.DUMMYFUNCTION("""COMPUTED_VALUE"""),"Good")</f>
        <v>Good</v>
      </c>
      <c r="V291" t="str">
        <f ca="1">IFERROR(__xludf.DUMMYFUNCTION("""COMPUTED_VALUE"""),"Good")</f>
        <v>Good</v>
      </c>
      <c r="W291" t="str">
        <f ca="1">IFERROR(__xludf.DUMMYFUNCTION("""COMPUTED_VALUE"""),"Good")</f>
        <v>Good</v>
      </c>
      <c r="X291" t="str">
        <f ca="1">IFERROR(__xludf.DUMMYFUNCTION("""COMPUTED_VALUE"""),"Good")</f>
        <v>Good</v>
      </c>
      <c r="Y291" t="str">
        <f ca="1">IFERROR(__xludf.DUMMYFUNCTION("""COMPUTED_VALUE"""),"Good")</f>
        <v>Good</v>
      </c>
      <c r="Z291" t="str">
        <f ca="1">IFERROR(__xludf.DUMMYFUNCTION("""COMPUTED_VALUE"""),"Good")</f>
        <v>Good</v>
      </c>
      <c r="AA291" t="str">
        <f ca="1">IFERROR(__xludf.DUMMYFUNCTION("""COMPUTED_VALUE"""),"Good")</f>
        <v>Good</v>
      </c>
      <c r="AB291" t="str">
        <f ca="1">IFERROR(__xludf.DUMMYFUNCTION("""COMPUTED_VALUE"""),"Good")</f>
        <v>Good</v>
      </c>
      <c r="AC291" t="str">
        <f ca="1">IFERROR(__xludf.DUMMYFUNCTION("""COMPUTED_VALUE"""),"Good")</f>
        <v>Good</v>
      </c>
      <c r="AE291" s="11"/>
      <c r="AF291" t="str">
        <v>Nikki.Dix@floridadep.gov</v>
      </c>
      <c r="AG291" s="17" t="s">
        <v>41</v>
      </c>
      <c r="AH291" s="12">
        <v>1933</v>
      </c>
      <c r="AI291" s="12" t="s">
        <v>819</v>
      </c>
      <c r="AJ291" s="19" t="s">
        <v>820</v>
      </c>
      <c r="AK291" s="20" t="str">
        <f>HYPERLINK("https://docs.google.com/document/d/1T405mthEps_AdPOWw3Iy-nbrUnZ7A60jSwUoncMXVKg/edit?usp=drivesdk","Pamela Marcum - 5/6/2019 2:45 PM")</f>
        <v>Pamela Marcum - 5/6/2019 2:45 PM</v>
      </c>
      <c r="AL291" s="12" t="s">
        <v>821</v>
      </c>
    </row>
    <row r="292" spans="1:38" ht="12.75">
      <c r="A292" s="10">
        <f ca="1">IFERROR(__xludf.DUMMYFUNCTION("""COMPUTED_VALUE"""),43592.2622104398)</f>
        <v>43592.262210439803</v>
      </c>
      <c r="B292" s="11" t="str">
        <f ca="1">IFERROR(__xludf.DUMMYFUNCTION("""COMPUTED_VALUE"""),"Pamela Marcum")</f>
        <v>Pamela Marcum</v>
      </c>
      <c r="C292" t="str">
        <f ca="1">IFERROR(__xludf.DUMMYFUNCTION("""COMPUTED_VALUE"""),"Pamela.Marcum@dep.state.fl.us")</f>
        <v>Pamela.Marcum@dep.state.fl.us</v>
      </c>
      <c r="D292" t="str">
        <f ca="1">IFERROR(__xludf.DUMMYFUNCTION("""COMPUTED_VALUE"""),"Research/Nikki")</f>
        <v>Research/Nikki</v>
      </c>
      <c r="E292" t="str">
        <f ca="1">IFERROR(__xludf.DUMMYFUNCTION("""COMPUTED_VALUE"""),"Aunt Kate's ")</f>
        <v xml:space="preserve">Aunt Kate's </v>
      </c>
      <c r="F292" s="13">
        <f ca="1">IFERROR(__xludf.DUMMYFUNCTION("""COMPUTED_VALUE"""),0.28125)</f>
        <v>0.28125</v>
      </c>
      <c r="G292" s="14">
        <f ca="1">IFERROR(__xludf.DUMMYFUNCTION("""COMPUTED_VALUE"""),43592)</f>
        <v>43592</v>
      </c>
      <c r="H292" t="str">
        <f ca="1">IFERROR(__xludf.DUMMYFUNCTION("""COMPUTED_VALUE"""),"Pine Island")</f>
        <v>Pine Island</v>
      </c>
      <c r="I292" s="15">
        <f ca="1">IFERROR(__xludf.DUMMYFUNCTION("""COMPUTED_VALUE"""),0.375)</f>
        <v>0.375</v>
      </c>
      <c r="J292" s="16">
        <f ca="1">IFERROR(__xludf.DUMMYFUNCTION("""COMPUTED_VALUE"""),43592.3958333333)</f>
        <v>43592.395833333299</v>
      </c>
      <c r="K292" t="str">
        <f ca="1">IFERROR(__xludf.DUMMYFUNCTION("""COMPUTED_VALUE"""),"20ft Sea Ark FL5351SJ UNF 2015")</f>
        <v>20ft Sea Ark FL5351SJ UNF 2015</v>
      </c>
      <c r="M292" t="str">
        <f ca="1">IFERROR(__xludf.DUMMYFUNCTION("""COMPUTED_VALUE"""),"Ford F150 2015 (White) - DEP21448")</f>
        <v>Ford F150 2015 (White) - DEP21448</v>
      </c>
      <c r="N292" t="str">
        <f ca="1">IFERROR(__xludf.DUMMYFUNCTION("""COMPUTED_VALUE"""),"Pam Marcum, (480) 332-5414")</f>
        <v>Pam Marcum, (480) 332-5414</v>
      </c>
      <c r="O292" t="str">
        <f ca="1">IFERROR(__xludf.DUMMYFUNCTION("""COMPUTED_VALUE"""),"Nicole Peckham, Adrienne Breef-Pilz")</f>
        <v>Nicole Peckham, Adrienne Breef-Pilz</v>
      </c>
      <c r="P292" t="str">
        <f ca="1">IFERROR(__xludf.DUMMYFUNCTION("""COMPUTED_VALUE"""),"Pam")</f>
        <v>Pam</v>
      </c>
      <c r="Q292" t="str">
        <f ca="1">IFERROR(__xludf.DUMMYFUNCTION("""COMPUTED_VALUE"""),"Good")</f>
        <v>Good</v>
      </c>
      <c r="R292" t="str">
        <f ca="1">IFERROR(__xludf.DUMMYFUNCTION("""COMPUTED_VALUE"""),"Good")</f>
        <v>Good</v>
      </c>
      <c r="S292" t="str">
        <f ca="1">IFERROR(__xludf.DUMMYFUNCTION("""COMPUTED_VALUE"""),"Good")</f>
        <v>Good</v>
      </c>
      <c r="T292" t="str">
        <f ca="1">IFERROR(__xludf.DUMMYFUNCTION("""COMPUTED_VALUE"""),"Good")</f>
        <v>Good</v>
      </c>
      <c r="U292" t="str">
        <f ca="1">IFERROR(__xludf.DUMMYFUNCTION("""COMPUTED_VALUE"""),"Good")</f>
        <v>Good</v>
      </c>
      <c r="V292" t="str">
        <f ca="1">IFERROR(__xludf.DUMMYFUNCTION("""COMPUTED_VALUE"""),"Good")</f>
        <v>Good</v>
      </c>
      <c r="W292" t="str">
        <f ca="1">IFERROR(__xludf.DUMMYFUNCTION("""COMPUTED_VALUE"""),"Good")</f>
        <v>Good</v>
      </c>
      <c r="X292" t="str">
        <f ca="1">IFERROR(__xludf.DUMMYFUNCTION("""COMPUTED_VALUE"""),"Good")</f>
        <v>Good</v>
      </c>
      <c r="Y292" t="str">
        <f ca="1">IFERROR(__xludf.DUMMYFUNCTION("""COMPUTED_VALUE"""),"Good")</f>
        <v>Good</v>
      </c>
      <c r="Z292" t="str">
        <f ca="1">IFERROR(__xludf.DUMMYFUNCTION("""COMPUTED_VALUE"""),"Good")</f>
        <v>Good</v>
      </c>
      <c r="AA292" t="str">
        <f ca="1">IFERROR(__xludf.DUMMYFUNCTION("""COMPUTED_VALUE"""),"Good")</f>
        <v>Good</v>
      </c>
      <c r="AB292" t="str">
        <f ca="1">IFERROR(__xludf.DUMMYFUNCTION("""COMPUTED_VALUE"""),"Good")</f>
        <v>Good</v>
      </c>
      <c r="AC292" t="str">
        <f ca="1">IFERROR(__xludf.DUMMYFUNCTION("""COMPUTED_VALUE"""),"Good")</f>
        <v>Good</v>
      </c>
      <c r="AE292" s="11"/>
      <c r="AF292" t="str">
        <v>Nikki.Dix@floridadep.gov</v>
      </c>
      <c r="AG292" s="17" t="s">
        <v>17</v>
      </c>
      <c r="AH292" s="12">
        <v>815</v>
      </c>
      <c r="AI292" s="12" t="s">
        <v>822</v>
      </c>
      <c r="AJ292" s="19" t="s">
        <v>823</v>
      </c>
      <c r="AK292" s="20" t="str">
        <f>HYPERLINK("https://docs.google.com/document/d/1g4e1jL6_o4Bnaqlw071EP28KdZfsft1fTcxM7y5K3hY/edit?usp=drivesdk","Pamela Marcum - 5/7/2019 6:45 AM")</f>
        <v>Pamela Marcum - 5/7/2019 6:45 AM</v>
      </c>
      <c r="AL292" s="12" t="s">
        <v>824</v>
      </c>
    </row>
    <row r="293" spans="1:38" ht="12.75">
      <c r="A293" s="10">
        <f ca="1">IFERROR(__xludf.DUMMYFUNCTION("""COMPUTED_VALUE"""),43592.3308966898)</f>
        <v>43592.330896689797</v>
      </c>
      <c r="B293" s="11" t="str">
        <f ca="1">IFERROR(__xludf.DUMMYFUNCTION("""COMPUTED_VALUE"""),"Silas Tanner")</f>
        <v>Silas Tanner</v>
      </c>
      <c r="C293" t="str">
        <f ca="1">IFERROR(__xludf.DUMMYFUNCTION("""COMPUTED_VALUE"""),"silas.tanner@floridadep.gov")</f>
        <v>silas.tanner@floridadep.gov</v>
      </c>
      <c r="D293" t="str">
        <f ca="1">IFERROR(__xludf.DUMMYFUNCTION("""COMPUTED_VALUE"""),"Research/Nikki")</f>
        <v>Research/Nikki</v>
      </c>
      <c r="E293" t="str">
        <f ca="1">IFERROR(__xludf.DUMMYFUNCTION("""COMPUTED_VALUE"""),"GTM Guana River launch")</f>
        <v>GTM Guana River launch</v>
      </c>
      <c r="F293" s="13">
        <f ca="1">IFERROR(__xludf.DUMMYFUNCTION("""COMPUTED_VALUE"""),0.39583333333212)</f>
        <v>0.39583333333212001</v>
      </c>
      <c r="G293" s="14">
        <f ca="1">IFERROR(__xludf.DUMMYFUNCTION("""COMPUTED_VALUE"""),43592)</f>
        <v>43592</v>
      </c>
      <c r="H293" t="str">
        <f ca="1">IFERROR(__xludf.DUMMYFUNCTION("""COMPUTED_VALUE"""),"Guana River")</f>
        <v>Guana River</v>
      </c>
      <c r="I293" s="15">
        <f ca="1">IFERROR(__xludf.DUMMYFUNCTION("""COMPUTED_VALUE"""),0.5625)</f>
        <v>0.5625</v>
      </c>
      <c r="J293" s="16">
        <f ca="1">IFERROR(__xludf.DUMMYFUNCTION("""COMPUTED_VALUE"""),43592.5659722222)</f>
        <v>43592.565972222197</v>
      </c>
      <c r="K293" t="str">
        <f ca="1">IFERROR(__xludf.DUMMYFUNCTION("""COMPUTED_VALUE"""),"Jon Boat FL0484NP DEP06819")</f>
        <v>Jon Boat FL0484NP DEP06819</v>
      </c>
      <c r="M293" t="str">
        <f ca="1">IFERROR(__xludf.DUMMYFUNCTION("""COMPUTED_VALUE"""),"Ford F250 2017 (Moby Dix) - DEP0021578")</f>
        <v>Ford F250 2017 (Moby Dix) - DEP0021578</v>
      </c>
      <c r="N293" t="str">
        <f ca="1">IFERROR(__xludf.DUMMYFUNCTION("""COMPUTED_VALUE"""),"Silas Tanner, (904) 483-8423")</f>
        <v>Silas Tanner, (904) 483-8423</v>
      </c>
      <c r="O293" t="str">
        <f ca="1">IFERROR(__xludf.DUMMYFUNCTION("""COMPUTED_VALUE"""),"Jessica Lee")</f>
        <v>Jessica Lee</v>
      </c>
      <c r="P293" t="str">
        <f ca="1">IFERROR(__xludf.DUMMYFUNCTION("""COMPUTED_VALUE"""),"S. Tanner")</f>
        <v>S. Tanner</v>
      </c>
      <c r="Q293" t="str">
        <f ca="1">IFERROR(__xludf.DUMMYFUNCTION("""COMPUTED_VALUE"""),"Good")</f>
        <v>Good</v>
      </c>
      <c r="R293" t="str">
        <f ca="1">IFERROR(__xludf.DUMMYFUNCTION("""COMPUTED_VALUE"""),"Good")</f>
        <v>Good</v>
      </c>
      <c r="S293" t="str">
        <f ca="1">IFERROR(__xludf.DUMMYFUNCTION("""COMPUTED_VALUE"""),"Good")</f>
        <v>Good</v>
      </c>
      <c r="T293" t="str">
        <f ca="1">IFERROR(__xludf.DUMMYFUNCTION("""COMPUTED_VALUE"""),"Good")</f>
        <v>Good</v>
      </c>
      <c r="U293" t="str">
        <f ca="1">IFERROR(__xludf.DUMMYFUNCTION("""COMPUTED_VALUE"""),"Good")</f>
        <v>Good</v>
      </c>
      <c r="V293" t="str">
        <f ca="1">IFERROR(__xludf.DUMMYFUNCTION("""COMPUTED_VALUE"""),"Good")</f>
        <v>Good</v>
      </c>
      <c r="W293" t="str">
        <f ca="1">IFERROR(__xludf.DUMMYFUNCTION("""COMPUTED_VALUE"""),"Good")</f>
        <v>Good</v>
      </c>
      <c r="X293" t="str">
        <f ca="1">IFERROR(__xludf.DUMMYFUNCTION("""COMPUTED_VALUE"""),"Good")</f>
        <v>Good</v>
      </c>
      <c r="Y293" t="str">
        <f ca="1">IFERROR(__xludf.DUMMYFUNCTION("""COMPUTED_VALUE"""),"Good")</f>
        <v>Good</v>
      </c>
      <c r="Z293" t="str">
        <f ca="1">IFERROR(__xludf.DUMMYFUNCTION("""COMPUTED_VALUE"""),"Good")</f>
        <v>Good</v>
      </c>
      <c r="AA293" t="str">
        <f ca="1">IFERROR(__xludf.DUMMYFUNCTION("""COMPUTED_VALUE"""),"Good")</f>
        <v>Good</v>
      </c>
      <c r="AB293" t="str">
        <f ca="1">IFERROR(__xludf.DUMMYFUNCTION("""COMPUTED_VALUE"""),"Good")</f>
        <v>Good</v>
      </c>
      <c r="AC293" t="str">
        <f ca="1">IFERROR(__xludf.DUMMYFUNCTION("""COMPUTED_VALUE"""),"Good")</f>
        <v>Good</v>
      </c>
      <c r="AE293" s="11"/>
      <c r="AF293" t="str">
        <v>Nikki.Dix@floridadep.gov</v>
      </c>
      <c r="AG293" s="17" t="s">
        <v>17</v>
      </c>
      <c r="AH293" s="12">
        <v>1315</v>
      </c>
      <c r="AI293" s="12" t="s">
        <v>825</v>
      </c>
      <c r="AJ293" s="19" t="s">
        <v>826</v>
      </c>
      <c r="AK293" s="20" t="str">
        <f>HYPERLINK("https://docs.google.com/document/d/1vkQaUeNfFpD_o02fHgg_xTiGVFe9jSGR2yTxiIOVFIE/edit?usp=drivesdk","Silas Tanner - 5/7/2019 9:30 AM")</f>
        <v>Silas Tanner - 5/7/2019 9:30 AM</v>
      </c>
      <c r="AL293" s="12" t="s">
        <v>827</v>
      </c>
    </row>
    <row r="294" spans="1:38" ht="12.75">
      <c r="A294" s="10">
        <f ca="1">IFERROR(__xludf.DUMMYFUNCTION("""COMPUTED_VALUE"""),43592.6111217476)</f>
        <v>43592.611121747599</v>
      </c>
      <c r="B294" s="11" t="str">
        <f ca="1">IFERROR(__xludf.DUMMYFUNCTION("""COMPUTED_VALUE"""),"Pamela Marcum")</f>
        <v>Pamela Marcum</v>
      </c>
      <c r="C294" t="str">
        <f ca="1">IFERROR(__xludf.DUMMYFUNCTION("""COMPUTED_VALUE"""),"Pamela.Marcum@dep.state.fl.us")</f>
        <v>Pamela.Marcum@dep.state.fl.us</v>
      </c>
      <c r="D294" t="str">
        <f ca="1">IFERROR(__xludf.DUMMYFUNCTION("""COMPUTED_VALUE"""),"Research/Nikki")</f>
        <v>Research/Nikki</v>
      </c>
      <c r="E294" t="str">
        <f ca="1">IFERROR(__xludf.DUMMYFUNCTION("""COMPUTED_VALUE"""),"Aunt Kate's")</f>
        <v>Aunt Kate's</v>
      </c>
      <c r="F294" s="13">
        <f ca="1">IFERROR(__xludf.DUMMYFUNCTION("""COMPUTED_VALUE"""),0.635416666667879)</f>
        <v>0.63541666666787899</v>
      </c>
      <c r="G294" s="14">
        <f ca="1">IFERROR(__xludf.DUMMYFUNCTION("""COMPUTED_VALUE"""),43592)</f>
        <v>43592</v>
      </c>
      <c r="H294" t="str">
        <f ca="1">IFERROR(__xludf.DUMMYFUNCTION("""COMPUTED_VALUE"""),"Guana River")</f>
        <v>Guana River</v>
      </c>
      <c r="I294" s="15">
        <f ca="1">IFERROR(__xludf.DUMMYFUNCTION("""COMPUTED_VALUE"""),0.791666666667879)</f>
        <v>0.79166666666787899</v>
      </c>
      <c r="J294" s="16">
        <f ca="1">IFERROR(__xludf.DUMMYFUNCTION("""COMPUTED_VALUE"""),43592.8125)</f>
        <v>43592.8125</v>
      </c>
      <c r="K294" t="str">
        <f ca="1">IFERROR(__xludf.DUMMYFUNCTION("""COMPUTED_VALUE"""),"20ft Sea Ark FL5351SJ UNF 2015")</f>
        <v>20ft Sea Ark FL5351SJ UNF 2015</v>
      </c>
      <c r="M294" t="str">
        <f ca="1">IFERROR(__xludf.DUMMYFUNCTION("""COMPUTED_VALUE"""),"Ford F150 2015 (White) - DEP21448")</f>
        <v>Ford F150 2015 (White) - DEP21448</v>
      </c>
      <c r="N294" t="str">
        <f ca="1">IFERROR(__xludf.DUMMYFUNCTION("""COMPUTED_VALUE"""),"Pam Marcum, (480) 332-5414")</f>
        <v>Pam Marcum, (480) 332-5414</v>
      </c>
      <c r="O294" t="str">
        <f ca="1">IFERROR(__xludf.DUMMYFUNCTION("""COMPUTED_VALUE"""),"Nicole Peckham, Adrienne Breef-Pilz")</f>
        <v>Nicole Peckham, Adrienne Breef-Pilz</v>
      </c>
      <c r="P294" t="str">
        <f ca="1">IFERROR(__xludf.DUMMYFUNCTION("""COMPUTED_VALUE"""),"Pam")</f>
        <v>Pam</v>
      </c>
      <c r="Q294" t="str">
        <f ca="1">IFERROR(__xludf.DUMMYFUNCTION("""COMPUTED_VALUE"""),"Good")</f>
        <v>Good</v>
      </c>
      <c r="R294" t="str">
        <f ca="1">IFERROR(__xludf.DUMMYFUNCTION("""COMPUTED_VALUE"""),"Good")</f>
        <v>Good</v>
      </c>
      <c r="S294" t="str">
        <f ca="1">IFERROR(__xludf.DUMMYFUNCTION("""COMPUTED_VALUE"""),"Good")</f>
        <v>Good</v>
      </c>
      <c r="T294" t="str">
        <f ca="1">IFERROR(__xludf.DUMMYFUNCTION("""COMPUTED_VALUE"""),"Good")</f>
        <v>Good</v>
      </c>
      <c r="U294" t="str">
        <f ca="1">IFERROR(__xludf.DUMMYFUNCTION("""COMPUTED_VALUE"""),"Good")</f>
        <v>Good</v>
      </c>
      <c r="V294" t="str">
        <f ca="1">IFERROR(__xludf.DUMMYFUNCTION("""COMPUTED_VALUE"""),"Good")</f>
        <v>Good</v>
      </c>
      <c r="W294" t="str">
        <f ca="1">IFERROR(__xludf.DUMMYFUNCTION("""COMPUTED_VALUE"""),"Good")</f>
        <v>Good</v>
      </c>
      <c r="X294" t="str">
        <f ca="1">IFERROR(__xludf.DUMMYFUNCTION("""COMPUTED_VALUE"""),"Good")</f>
        <v>Good</v>
      </c>
      <c r="Y294" t="str">
        <f ca="1">IFERROR(__xludf.DUMMYFUNCTION("""COMPUTED_VALUE"""),"Good")</f>
        <v>Good</v>
      </c>
      <c r="Z294" t="str">
        <f ca="1">IFERROR(__xludf.DUMMYFUNCTION("""COMPUTED_VALUE"""),"Good")</f>
        <v>Good</v>
      </c>
      <c r="AA294" t="str">
        <f ca="1">IFERROR(__xludf.DUMMYFUNCTION("""COMPUTED_VALUE"""),"Good")</f>
        <v>Good</v>
      </c>
      <c r="AB294" t="str">
        <f ca="1">IFERROR(__xludf.DUMMYFUNCTION("""COMPUTED_VALUE"""),"Good")</f>
        <v>Good</v>
      </c>
      <c r="AC294" t="str">
        <f ca="1">IFERROR(__xludf.DUMMYFUNCTION("""COMPUTED_VALUE"""),"Good")</f>
        <v>Good</v>
      </c>
      <c r="AE294" s="11"/>
      <c r="AF294" t="str">
        <v>Nikki.Dix@floridadep.gov</v>
      </c>
      <c r="AG294" s="17" t="s">
        <v>41</v>
      </c>
      <c r="AH294" s="12">
        <v>1825</v>
      </c>
      <c r="AI294" s="12" t="s">
        <v>828</v>
      </c>
      <c r="AJ294" s="19" t="s">
        <v>829</v>
      </c>
      <c r="AK294" s="20" t="str">
        <f>HYPERLINK("https://docs.google.com/document/d/1gYNhicIovTf1c9Zf3C3aODQwJQQizjlNU7MM4uM7Cq8/edit?usp=drivesdk","Pamela Marcum - 5/7/2019 3:15 PM")</f>
        <v>Pamela Marcum - 5/7/2019 3:15 PM</v>
      </c>
      <c r="AL294" s="12" t="s">
        <v>830</v>
      </c>
    </row>
    <row r="295" spans="1:38" ht="12.75">
      <c r="A295" s="10">
        <f ca="1">IFERROR(__xludf.DUMMYFUNCTION("""COMPUTED_VALUE"""),43593.2551379861)</f>
        <v>43593.255137986103</v>
      </c>
      <c r="B295" s="11" t="str">
        <f ca="1">IFERROR(__xludf.DUMMYFUNCTION("""COMPUTED_VALUE"""),"Pamela Marcum")</f>
        <v>Pamela Marcum</v>
      </c>
      <c r="C295" t="str">
        <f ca="1">IFERROR(__xludf.DUMMYFUNCTION("""COMPUTED_VALUE"""),"Pamela.Marcum@dep.state.fl.us")</f>
        <v>Pamela.Marcum@dep.state.fl.us</v>
      </c>
      <c r="D295" t="str">
        <f ca="1">IFERROR(__xludf.DUMMYFUNCTION("""COMPUTED_VALUE"""),"Research/Nikki")</f>
        <v>Research/Nikki</v>
      </c>
      <c r="E295" t="str">
        <f ca="1">IFERROR(__xludf.DUMMYFUNCTION("""COMPUTED_VALUE"""),"Aunt Kate's")</f>
        <v>Aunt Kate's</v>
      </c>
      <c r="F295" s="13">
        <f ca="1">IFERROR(__xludf.DUMMYFUNCTION("""COMPUTED_VALUE"""),0.27083333333212)</f>
        <v>0.27083333333212001</v>
      </c>
      <c r="G295" s="14">
        <f ca="1">IFERROR(__xludf.DUMMYFUNCTION("""COMPUTED_VALUE"""),43593)</f>
        <v>43593</v>
      </c>
      <c r="H295" t="str">
        <f ca="1">IFERROR(__xludf.DUMMYFUNCTION("""COMPUTED_VALUE"""),"Guana &amp; Tolomato Rivers")</f>
        <v>Guana &amp; Tolomato Rivers</v>
      </c>
      <c r="I295" s="15">
        <f ca="1">IFERROR(__xludf.DUMMYFUNCTION("""COMPUTED_VALUE"""),0.4375)</f>
        <v>0.4375</v>
      </c>
      <c r="J295" s="16">
        <f ca="1">IFERROR(__xludf.DUMMYFUNCTION("""COMPUTED_VALUE"""),43593.4583333333)</f>
        <v>43593.458333333299</v>
      </c>
      <c r="K295" t="str">
        <f ca="1">IFERROR(__xludf.DUMMYFUNCTION("""COMPUTED_VALUE"""),"20ft Sea Ark FL5351SJ UNF 2015")</f>
        <v>20ft Sea Ark FL5351SJ UNF 2015</v>
      </c>
      <c r="M295" t="str">
        <f ca="1">IFERROR(__xludf.DUMMYFUNCTION("""COMPUTED_VALUE"""),"Ford F150 2015 (White) - DEP21448")</f>
        <v>Ford F150 2015 (White) - DEP21448</v>
      </c>
      <c r="N295" t="str">
        <f ca="1">IFERROR(__xludf.DUMMYFUNCTION("""COMPUTED_VALUE"""),"Pam Marcum, (480) 332-5414")</f>
        <v>Pam Marcum, (480) 332-5414</v>
      </c>
      <c r="O295" t="str">
        <f ca="1">IFERROR(__xludf.DUMMYFUNCTION("""COMPUTED_VALUE"""),"Nicole Peckham, Adrienne Breef-Pilz, David Kimbro")</f>
        <v>Nicole Peckham, Adrienne Breef-Pilz, David Kimbro</v>
      </c>
      <c r="P295" t="str">
        <f ca="1">IFERROR(__xludf.DUMMYFUNCTION("""COMPUTED_VALUE"""),"Pam")</f>
        <v>Pam</v>
      </c>
      <c r="Q295" t="str">
        <f ca="1">IFERROR(__xludf.DUMMYFUNCTION("""COMPUTED_VALUE"""),"Good")</f>
        <v>Good</v>
      </c>
      <c r="R295" t="str">
        <f ca="1">IFERROR(__xludf.DUMMYFUNCTION("""COMPUTED_VALUE"""),"Good")</f>
        <v>Good</v>
      </c>
      <c r="S295" t="str">
        <f ca="1">IFERROR(__xludf.DUMMYFUNCTION("""COMPUTED_VALUE"""),"Good")</f>
        <v>Good</v>
      </c>
      <c r="T295" t="str">
        <f ca="1">IFERROR(__xludf.DUMMYFUNCTION("""COMPUTED_VALUE"""),"Good")</f>
        <v>Good</v>
      </c>
      <c r="U295" t="str">
        <f ca="1">IFERROR(__xludf.DUMMYFUNCTION("""COMPUTED_VALUE"""),"Good")</f>
        <v>Good</v>
      </c>
      <c r="V295" t="str">
        <f ca="1">IFERROR(__xludf.DUMMYFUNCTION("""COMPUTED_VALUE"""),"Good")</f>
        <v>Good</v>
      </c>
      <c r="W295" t="str">
        <f ca="1">IFERROR(__xludf.DUMMYFUNCTION("""COMPUTED_VALUE"""),"Good")</f>
        <v>Good</v>
      </c>
      <c r="X295" t="str">
        <f ca="1">IFERROR(__xludf.DUMMYFUNCTION("""COMPUTED_VALUE"""),"Good")</f>
        <v>Good</v>
      </c>
      <c r="Y295" t="str">
        <f ca="1">IFERROR(__xludf.DUMMYFUNCTION("""COMPUTED_VALUE"""),"Good")</f>
        <v>Good</v>
      </c>
      <c r="Z295" t="str">
        <f ca="1">IFERROR(__xludf.DUMMYFUNCTION("""COMPUTED_VALUE"""),"Good")</f>
        <v>Good</v>
      </c>
      <c r="AA295" t="str">
        <f ca="1">IFERROR(__xludf.DUMMYFUNCTION("""COMPUTED_VALUE"""),"Good")</f>
        <v>Good</v>
      </c>
      <c r="AB295" t="str">
        <f ca="1">IFERROR(__xludf.DUMMYFUNCTION("""COMPUTED_VALUE"""),"Good")</f>
        <v>Good</v>
      </c>
      <c r="AC295" t="str">
        <f ca="1">IFERROR(__xludf.DUMMYFUNCTION("""COMPUTED_VALUE"""),"Good")</f>
        <v>Good</v>
      </c>
      <c r="AE295" s="11"/>
      <c r="AF295" t="str">
        <v>Nikki.Dix@floridadep.gov</v>
      </c>
      <c r="AG295" s="17" t="s">
        <v>17</v>
      </c>
      <c r="AH295" s="12">
        <v>930</v>
      </c>
      <c r="AI295" s="12" t="s">
        <v>831</v>
      </c>
      <c r="AJ295" s="19" t="s">
        <v>832</v>
      </c>
      <c r="AK295" s="20" t="str">
        <f>HYPERLINK("https://docs.google.com/document/d/1zlJ_Fo8-K64oCgIGfP5Aj5buqM1dyZx_BJk8QFySHVc/edit?usp=drivesdk","Pamela Marcum - 5/8/2019 6:30 AM")</f>
        <v>Pamela Marcum - 5/8/2019 6:30 AM</v>
      </c>
      <c r="AL295" s="12" t="s">
        <v>833</v>
      </c>
    </row>
    <row r="296" spans="1:38" ht="12.75">
      <c r="A296" s="10">
        <f ca="1">IFERROR(__xludf.DUMMYFUNCTION("""COMPUTED_VALUE"""),43594.2664657291)</f>
        <v>43594.266465729102</v>
      </c>
      <c r="B296" s="11" t="str">
        <f ca="1">IFERROR(__xludf.DUMMYFUNCTION("""COMPUTED_VALUE"""),"Pamela Marcum")</f>
        <v>Pamela Marcum</v>
      </c>
      <c r="C296" t="str">
        <f ca="1">IFERROR(__xludf.DUMMYFUNCTION("""COMPUTED_VALUE"""),"Pamela.Marcum@dep.state.fl.us")</f>
        <v>Pamela.Marcum@dep.state.fl.us</v>
      </c>
      <c r="D296" t="str">
        <f ca="1">IFERROR(__xludf.DUMMYFUNCTION("""COMPUTED_VALUE"""),"Research/Nikki")</f>
        <v>Research/Nikki</v>
      </c>
      <c r="E296" t="str">
        <f ca="1">IFERROR(__xludf.DUMMYFUNCTION("""COMPUTED_VALUE"""),"Aunt Kate's")</f>
        <v>Aunt Kate's</v>
      </c>
      <c r="F296" s="13">
        <f ca="1">IFERROR(__xludf.DUMMYFUNCTION("""COMPUTED_VALUE"""),0.28125)</f>
        <v>0.28125</v>
      </c>
      <c r="G296" s="14">
        <f ca="1">IFERROR(__xludf.DUMMYFUNCTION("""COMPUTED_VALUE"""),43594)</f>
        <v>43594</v>
      </c>
      <c r="H296" t="str">
        <f ca="1">IFERROR(__xludf.DUMMYFUNCTION("""COMPUTED_VALUE"""),"Pine Island/Guana River")</f>
        <v>Pine Island/Guana River</v>
      </c>
      <c r="I296" s="15">
        <f ca="1">IFERROR(__xludf.DUMMYFUNCTION("""COMPUTED_VALUE"""),0.416666666667879)</f>
        <v>0.41666666666787899</v>
      </c>
      <c r="J296" s="16">
        <f ca="1">IFERROR(__xludf.DUMMYFUNCTION("""COMPUTED_VALUE"""),43594.4375)</f>
        <v>43594.4375</v>
      </c>
      <c r="K296" t="str">
        <f ca="1">IFERROR(__xludf.DUMMYFUNCTION("""COMPUTED_VALUE"""),"20ft Sea Ark FL5351SJ UNF 2015")</f>
        <v>20ft Sea Ark FL5351SJ UNF 2015</v>
      </c>
      <c r="M296" t="str">
        <f ca="1">IFERROR(__xludf.DUMMYFUNCTION("""COMPUTED_VALUE"""),"Ford F150 2015 (White) - DEP21448")</f>
        <v>Ford F150 2015 (White) - DEP21448</v>
      </c>
      <c r="N296" t="str">
        <f ca="1">IFERROR(__xludf.DUMMYFUNCTION("""COMPUTED_VALUE"""),"Pam Marcum, (480) 332-5414")</f>
        <v>Pam Marcum, (480) 332-5414</v>
      </c>
      <c r="O296" t="str">
        <f ca="1">IFERROR(__xludf.DUMMYFUNCTION("""COMPUTED_VALUE"""),"David Kimbro, Nicole Peckham, Adrienne Breef-Pilz")</f>
        <v>David Kimbro, Nicole Peckham, Adrienne Breef-Pilz</v>
      </c>
      <c r="P296" t="str">
        <f ca="1">IFERROR(__xludf.DUMMYFUNCTION("""COMPUTED_VALUE"""),"Pam")</f>
        <v>Pam</v>
      </c>
      <c r="Q296" t="str">
        <f ca="1">IFERROR(__xludf.DUMMYFUNCTION("""COMPUTED_VALUE"""),"Good")</f>
        <v>Good</v>
      </c>
      <c r="R296" t="str">
        <f ca="1">IFERROR(__xludf.DUMMYFUNCTION("""COMPUTED_VALUE"""),"Good")</f>
        <v>Good</v>
      </c>
      <c r="S296" t="str">
        <f ca="1">IFERROR(__xludf.DUMMYFUNCTION("""COMPUTED_VALUE"""),"Good")</f>
        <v>Good</v>
      </c>
      <c r="T296" t="str">
        <f ca="1">IFERROR(__xludf.DUMMYFUNCTION("""COMPUTED_VALUE"""),"Good")</f>
        <v>Good</v>
      </c>
      <c r="U296" t="str">
        <f ca="1">IFERROR(__xludf.DUMMYFUNCTION("""COMPUTED_VALUE"""),"Good")</f>
        <v>Good</v>
      </c>
      <c r="V296" t="str">
        <f ca="1">IFERROR(__xludf.DUMMYFUNCTION("""COMPUTED_VALUE"""),"Good")</f>
        <v>Good</v>
      </c>
      <c r="W296" t="str">
        <f ca="1">IFERROR(__xludf.DUMMYFUNCTION("""COMPUTED_VALUE"""),"Good")</f>
        <v>Good</v>
      </c>
      <c r="X296" t="str">
        <f ca="1">IFERROR(__xludf.DUMMYFUNCTION("""COMPUTED_VALUE"""),"Good")</f>
        <v>Good</v>
      </c>
      <c r="Y296" t="str">
        <f ca="1">IFERROR(__xludf.DUMMYFUNCTION("""COMPUTED_VALUE"""),"Good")</f>
        <v>Good</v>
      </c>
      <c r="Z296" t="str">
        <f ca="1">IFERROR(__xludf.DUMMYFUNCTION("""COMPUTED_VALUE"""),"Good")</f>
        <v>Good</v>
      </c>
      <c r="AA296" t="str">
        <f ca="1">IFERROR(__xludf.DUMMYFUNCTION("""COMPUTED_VALUE"""),"Good")</f>
        <v>Good</v>
      </c>
      <c r="AB296" t="str">
        <f ca="1">IFERROR(__xludf.DUMMYFUNCTION("""COMPUTED_VALUE"""),"Good")</f>
        <v>Good</v>
      </c>
      <c r="AC296" t="str">
        <f ca="1">IFERROR(__xludf.DUMMYFUNCTION("""COMPUTED_VALUE"""),"Good")</f>
        <v>Good</v>
      </c>
      <c r="AE296" s="11"/>
      <c r="AF296" t="str">
        <v>Nikki.Dix@floridadep.gov</v>
      </c>
      <c r="AG296" s="17" t="s">
        <v>113</v>
      </c>
      <c r="AH296" s="12">
        <v>1000</v>
      </c>
      <c r="AI296" s="12" t="s">
        <v>834</v>
      </c>
      <c r="AJ296" s="19" t="s">
        <v>835</v>
      </c>
      <c r="AK296" s="20" t="str">
        <f>HYPERLINK("https://docs.google.com/document/d/190TNo4ZUiEWHJnPN5QI9eTlWaIaeW3i_-JNB6ri0AA4/edit?usp=drivesdk","Pamela Marcum - 5/9/2019 6:45 AM")</f>
        <v>Pamela Marcum - 5/9/2019 6:45 AM</v>
      </c>
      <c r="AL296" s="12" t="s">
        <v>836</v>
      </c>
    </row>
    <row r="297" spans="1:38" ht="12.75">
      <c r="A297" s="10">
        <f ca="1">IFERROR(__xludf.DUMMYFUNCTION("""COMPUTED_VALUE"""),43595.2650581597)</f>
        <v>43595.265058159697</v>
      </c>
      <c r="B297" s="11" t="str">
        <f ca="1">IFERROR(__xludf.DUMMYFUNCTION("""COMPUTED_VALUE"""),"Pamela Marcu")</f>
        <v>Pamela Marcu</v>
      </c>
      <c r="C297" t="str">
        <f ca="1">IFERROR(__xludf.DUMMYFUNCTION("""COMPUTED_VALUE"""),"Pamela.Marcum@dep.state.fl.us")</f>
        <v>Pamela.Marcum@dep.state.fl.us</v>
      </c>
      <c r="D297" t="str">
        <f ca="1">IFERROR(__xludf.DUMMYFUNCTION("""COMPUTED_VALUE"""),"Research/Nikki")</f>
        <v>Research/Nikki</v>
      </c>
      <c r="E297" t="str">
        <f ca="1">IFERROR(__xludf.DUMMYFUNCTION("""COMPUTED_VALUE"""),"Aunt Kate's")</f>
        <v>Aunt Kate's</v>
      </c>
      <c r="F297" s="13">
        <f ca="1">IFERROR(__xludf.DUMMYFUNCTION("""COMPUTED_VALUE"""),0.27083333333212)</f>
        <v>0.27083333333212001</v>
      </c>
      <c r="G297" s="14">
        <f ca="1">IFERROR(__xludf.DUMMYFUNCTION("""COMPUTED_VALUE"""),43595)</f>
        <v>43595</v>
      </c>
      <c r="H297" t="str">
        <f ca="1">IFERROR(__xludf.DUMMYFUNCTION("""COMPUTED_VALUE"""),"Guana River")</f>
        <v>Guana River</v>
      </c>
      <c r="I297" s="15">
        <f ca="1">IFERROR(__xludf.DUMMYFUNCTION("""COMPUTED_VALUE"""),0.45833333333212)</f>
        <v>0.45833333333212001</v>
      </c>
      <c r="J297" s="16">
        <f ca="1">IFERROR(__xludf.DUMMYFUNCTION("""COMPUTED_VALUE"""),43595.4791666666)</f>
        <v>43595.479166666599</v>
      </c>
      <c r="K297" t="str">
        <f ca="1">IFERROR(__xludf.DUMMYFUNCTION("""COMPUTED_VALUE"""),"20ft Sea Ark FL5351SJ UNF 2015")</f>
        <v>20ft Sea Ark FL5351SJ UNF 2015</v>
      </c>
      <c r="M297" t="str">
        <f ca="1">IFERROR(__xludf.DUMMYFUNCTION("""COMPUTED_VALUE"""),"Ford F150 2015 (White) - DEP21448")</f>
        <v>Ford F150 2015 (White) - DEP21448</v>
      </c>
      <c r="N297" t="str">
        <f ca="1">IFERROR(__xludf.DUMMYFUNCTION("""COMPUTED_VALUE"""),"Pam Marcum, (480) 332-5414")</f>
        <v>Pam Marcum, (480) 332-5414</v>
      </c>
      <c r="O297" t="str">
        <f ca="1">IFERROR(__xludf.DUMMYFUNCTION("""COMPUTED_VALUE"""),"Nicole Peckham, Adrienne Breef-Pilz, David Kimbro")</f>
        <v>Nicole Peckham, Adrienne Breef-Pilz, David Kimbro</v>
      </c>
      <c r="P297" t="str">
        <f ca="1">IFERROR(__xludf.DUMMYFUNCTION("""COMPUTED_VALUE"""),"Pam")</f>
        <v>Pam</v>
      </c>
      <c r="Q297" t="str">
        <f ca="1">IFERROR(__xludf.DUMMYFUNCTION("""COMPUTED_VALUE"""),"Good")</f>
        <v>Good</v>
      </c>
      <c r="R297" t="str">
        <f ca="1">IFERROR(__xludf.DUMMYFUNCTION("""COMPUTED_VALUE"""),"Good")</f>
        <v>Good</v>
      </c>
      <c r="S297" t="str">
        <f ca="1">IFERROR(__xludf.DUMMYFUNCTION("""COMPUTED_VALUE"""),"Good")</f>
        <v>Good</v>
      </c>
      <c r="T297" t="str">
        <f ca="1">IFERROR(__xludf.DUMMYFUNCTION("""COMPUTED_VALUE"""),"Good")</f>
        <v>Good</v>
      </c>
      <c r="U297" t="str">
        <f ca="1">IFERROR(__xludf.DUMMYFUNCTION("""COMPUTED_VALUE"""),"Good")</f>
        <v>Good</v>
      </c>
      <c r="V297" t="str">
        <f ca="1">IFERROR(__xludf.DUMMYFUNCTION("""COMPUTED_VALUE"""),"Good")</f>
        <v>Good</v>
      </c>
      <c r="W297" t="str">
        <f ca="1">IFERROR(__xludf.DUMMYFUNCTION("""COMPUTED_VALUE"""),"Good")</f>
        <v>Good</v>
      </c>
      <c r="X297" t="str">
        <f ca="1">IFERROR(__xludf.DUMMYFUNCTION("""COMPUTED_VALUE"""),"Good")</f>
        <v>Good</v>
      </c>
      <c r="Y297" t="str">
        <f ca="1">IFERROR(__xludf.DUMMYFUNCTION("""COMPUTED_VALUE"""),"Good")</f>
        <v>Good</v>
      </c>
      <c r="Z297" t="str">
        <f ca="1">IFERROR(__xludf.DUMMYFUNCTION("""COMPUTED_VALUE"""),"Good")</f>
        <v>Good</v>
      </c>
      <c r="AA297" t="str">
        <f ca="1">IFERROR(__xludf.DUMMYFUNCTION("""COMPUTED_VALUE"""),"Good")</f>
        <v>Good</v>
      </c>
      <c r="AB297" t="str">
        <f ca="1">IFERROR(__xludf.DUMMYFUNCTION("""COMPUTED_VALUE"""),"Good")</f>
        <v>Good</v>
      </c>
      <c r="AC297" t="str">
        <f ca="1">IFERROR(__xludf.DUMMYFUNCTION("""COMPUTED_VALUE"""),"Good")</f>
        <v>Good</v>
      </c>
      <c r="AE297" s="11"/>
      <c r="AF297" t="str">
        <v>Nikki.Dix@floridadep.gov</v>
      </c>
      <c r="AG297" s="17" t="s">
        <v>17</v>
      </c>
      <c r="AH297" s="12">
        <v>1030</v>
      </c>
      <c r="AI297" s="12" t="s">
        <v>837</v>
      </c>
      <c r="AJ297" s="19" t="s">
        <v>838</v>
      </c>
      <c r="AK297" s="20" t="str">
        <f>HYPERLINK("https://docs.google.com/document/d/1_V2iYWUNuyPpcY9McAiWWBOBaQ-9nnGnLE3AXu3Ways/edit?usp=drivesdk","Pamela Marcu - 5/10/2019 6:30 AM")</f>
        <v>Pamela Marcu - 5/10/2019 6:30 AM</v>
      </c>
      <c r="AL297" s="12" t="s">
        <v>839</v>
      </c>
    </row>
    <row r="298" spans="1:38" ht="12.75">
      <c r="A298" s="10">
        <f ca="1">IFERROR(__xludf.DUMMYFUNCTION("""COMPUTED_VALUE"""),43599.3433637962)</f>
        <v>43599.343363796201</v>
      </c>
      <c r="B298" s="11" t="str">
        <f ca="1">IFERROR(__xludf.DUMMYFUNCTION("""COMPUTED_VALUE"""),"James Tomazinis")</f>
        <v>James Tomazinis</v>
      </c>
      <c r="C298" t="str">
        <f ca="1">IFERROR(__xludf.DUMMYFUNCTION("""COMPUTED_VALUE"""),"james.tomazinis@floridadep.gov")</f>
        <v>james.tomazinis@floridadep.gov</v>
      </c>
      <c r="D298" t="str">
        <f ca="1">IFERROR(__xludf.DUMMYFUNCTION("""COMPUTED_VALUE"""),"Stewardship (Aquatic)")</f>
        <v>Stewardship (Aquatic)</v>
      </c>
      <c r="E298" t="str">
        <f ca="1">IFERROR(__xludf.DUMMYFUNCTION("""COMPUTED_VALUE"""),"Vilano")</f>
        <v>Vilano</v>
      </c>
      <c r="F298" s="13">
        <f ca="1">IFERROR(__xludf.DUMMYFUNCTION("""COMPUTED_VALUE"""),0.385416666667879)</f>
        <v>0.38541666666787899</v>
      </c>
      <c r="G298" s="14">
        <f ca="1">IFERROR(__xludf.DUMMYFUNCTION("""COMPUTED_VALUE"""),43599)</f>
        <v>43599</v>
      </c>
      <c r="H298" t="str">
        <f ca="1">IFERROR(__xludf.DUMMYFUNCTION("""COMPUTED_VALUE"""),"Tolomato Nekton Sites")</f>
        <v>Tolomato Nekton Sites</v>
      </c>
      <c r="I298" s="15">
        <f ca="1">IFERROR(__xludf.DUMMYFUNCTION("""COMPUTED_VALUE"""),0.6875)</f>
        <v>0.6875</v>
      </c>
      <c r="J298" s="16"/>
      <c r="K298" t="str">
        <f ca="1">IFERROR(__xludf.DUMMYFUNCTION("""COMPUTED_VALUE"""),"23ft Skiff (Bertha) FL7972LJ DEP07613")</f>
        <v>23ft Skiff (Bertha) FL7972LJ DEP07613</v>
      </c>
      <c r="M298" t="str">
        <f ca="1">IFERROR(__xludf.DUMMYFUNCTION("""COMPUTED_VALUE"""),"Ford F150 2015 (White) - DEP21448")</f>
        <v>Ford F150 2015 (White) - DEP21448</v>
      </c>
      <c r="N298" t="str">
        <f ca="1">IFERROR(__xludf.DUMMYFUNCTION("""COMPUTED_VALUE"""),"Jimmy Tomazinis, (904) 547-0094")</f>
        <v>Jimmy Tomazinis, (904) 547-0094</v>
      </c>
      <c r="O298" t="str">
        <f ca="1">IFERROR(__xludf.DUMMYFUNCTION("""COMPUTED_VALUE"""),"Amy Brownfield, Chris Kurtz, Ed Mahon")</f>
        <v>Amy Brownfield, Chris Kurtz, Ed Mahon</v>
      </c>
      <c r="P298" t="str">
        <f ca="1">IFERROR(__xludf.DUMMYFUNCTION("""COMPUTED_VALUE"""),"Jimmy")</f>
        <v>Jimmy</v>
      </c>
      <c r="Q298" t="str">
        <f ca="1">IFERROR(__xludf.DUMMYFUNCTION("""COMPUTED_VALUE"""),"Good")</f>
        <v>Good</v>
      </c>
      <c r="R298" t="str">
        <f ca="1">IFERROR(__xludf.DUMMYFUNCTION("""COMPUTED_VALUE"""),"Good")</f>
        <v>Good</v>
      </c>
      <c r="S298" t="str">
        <f ca="1">IFERROR(__xludf.DUMMYFUNCTION("""COMPUTED_VALUE"""),"Good")</f>
        <v>Good</v>
      </c>
      <c r="T298" t="str">
        <f ca="1">IFERROR(__xludf.DUMMYFUNCTION("""COMPUTED_VALUE"""),"Good")</f>
        <v>Good</v>
      </c>
      <c r="U298" t="str">
        <f ca="1">IFERROR(__xludf.DUMMYFUNCTION("""COMPUTED_VALUE"""),"Good")</f>
        <v>Good</v>
      </c>
      <c r="V298" t="str">
        <f ca="1">IFERROR(__xludf.DUMMYFUNCTION("""COMPUTED_VALUE"""),"Good")</f>
        <v>Good</v>
      </c>
      <c r="W298" t="str">
        <f ca="1">IFERROR(__xludf.DUMMYFUNCTION("""COMPUTED_VALUE"""),"Good")</f>
        <v>Good</v>
      </c>
      <c r="X298" t="str">
        <f ca="1">IFERROR(__xludf.DUMMYFUNCTION("""COMPUTED_VALUE"""),"Good")</f>
        <v>Good</v>
      </c>
      <c r="Y298" t="str">
        <f ca="1">IFERROR(__xludf.DUMMYFUNCTION("""COMPUTED_VALUE"""),"Good")</f>
        <v>Good</v>
      </c>
      <c r="Z298" t="str">
        <f ca="1">IFERROR(__xludf.DUMMYFUNCTION("""COMPUTED_VALUE"""),"Good")</f>
        <v>Good</v>
      </c>
      <c r="AA298" t="str">
        <f ca="1">IFERROR(__xludf.DUMMYFUNCTION("""COMPUTED_VALUE"""),"Good")</f>
        <v>Good</v>
      </c>
      <c r="AB298" t="str">
        <f ca="1">IFERROR(__xludf.DUMMYFUNCTION("""COMPUTED_VALUE"""),"Good")</f>
        <v>Good</v>
      </c>
      <c r="AC298" t="str">
        <f ca="1">IFERROR(__xludf.DUMMYFUNCTION("""COMPUTED_VALUE"""),"Good")</f>
        <v>Good</v>
      </c>
      <c r="AE298" s="11"/>
      <c r="AF298" t="str">
        <v>Scott.Eastman@floridadep.gov</v>
      </c>
      <c r="AG298" s="17" t="s">
        <v>17</v>
      </c>
      <c r="AH298" s="12">
        <v>1640</v>
      </c>
      <c r="AI298" s="12" t="s">
        <v>840</v>
      </c>
      <c r="AJ298" s="19" t="s">
        <v>841</v>
      </c>
      <c r="AK298" s="20" t="str">
        <f>HYPERLINK("https://docs.google.com/document/d/1LBsjMCrOKskybnaVJZ8DrnF0haojvF7rUr38aeeaaBQ/edit?usp=drivesdk","James Tomazinis - 5/14/2019 9:15 AM")</f>
        <v>James Tomazinis - 5/14/2019 9:15 AM</v>
      </c>
      <c r="AL298" s="12" t="s">
        <v>842</v>
      </c>
    </row>
    <row r="299" spans="1:38" ht="12.75">
      <c r="A299" s="10">
        <f ca="1">IFERROR(__xludf.DUMMYFUNCTION("""COMPUTED_VALUE"""),43599.4286683449)</f>
        <v>43599.428668344903</v>
      </c>
      <c r="B299" s="11" t="str">
        <f ca="1">IFERROR(__xludf.DUMMYFUNCTION("""COMPUTED_VALUE"""),"Pamela Marcum")</f>
        <v>Pamela Marcum</v>
      </c>
      <c r="C299" t="str">
        <f ca="1">IFERROR(__xludf.DUMMYFUNCTION("""COMPUTED_VALUE"""),"pamela.marcum@dep.state.fl.us")</f>
        <v>pamela.marcum@dep.state.fl.us</v>
      </c>
      <c r="D299" t="str">
        <f ca="1">IFERROR(__xludf.DUMMYFUNCTION("""COMPUTED_VALUE"""),"Research/Nikki")</f>
        <v>Research/Nikki</v>
      </c>
      <c r="E299" t="str">
        <f ca="1">IFERROR(__xludf.DUMMYFUNCTION("""COMPUTED_VALUE"""),"Green Rd")</f>
        <v>Green Rd</v>
      </c>
      <c r="F299" s="13">
        <f ca="1">IFERROR(__xludf.DUMMYFUNCTION("""COMPUTED_VALUE"""),0.4375)</f>
        <v>0.4375</v>
      </c>
      <c r="G299" s="14">
        <f ca="1">IFERROR(__xludf.DUMMYFUNCTION("""COMPUTED_VALUE"""),43599)</f>
        <v>43599</v>
      </c>
      <c r="H299" t="str">
        <f ca="1">IFERROR(__xludf.DUMMYFUNCTION("""COMPUTED_VALUE"""),"Devils Elbow")</f>
        <v>Devils Elbow</v>
      </c>
      <c r="I299" s="15">
        <f ca="1">IFERROR(__xludf.DUMMYFUNCTION("""COMPUTED_VALUE"""),0.666666666667879)</f>
        <v>0.66666666666787899</v>
      </c>
      <c r="J299" s="16">
        <f ca="1">IFERROR(__xludf.DUMMYFUNCTION("""COMPUTED_VALUE"""),43599.6875)</f>
        <v>43599.6875</v>
      </c>
      <c r="K299" t="str">
        <f ca="1">IFERROR(__xludf.DUMMYFUNCTION("""COMPUTED_VALUE"""),"17ft Skill FL0642GW DEP07239")</f>
        <v>17ft Skill FL0642GW DEP07239</v>
      </c>
      <c r="M299" t="str">
        <f ca="1">IFERROR(__xludf.DUMMYFUNCTION("""COMPUTED_VALUE"""),"Ford F150 2008 - DEP18041 (SWMP Thing)")</f>
        <v>Ford F150 2008 - DEP18041 (SWMP Thing)</v>
      </c>
      <c r="N299" t="str">
        <f ca="1">IFERROR(__xludf.DUMMYFUNCTION("""COMPUTED_VALUE"""),"Pam Marcum, (480) 332-5414")</f>
        <v>Pam Marcum, (480) 332-5414</v>
      </c>
      <c r="O299" t="str">
        <f ca="1">IFERROR(__xludf.DUMMYFUNCTION("""COMPUTED_VALUE"""),"Nicole Peckham, Adrienne Breef-Pilz")</f>
        <v>Nicole Peckham, Adrienne Breef-Pilz</v>
      </c>
      <c r="P299" t="str">
        <f ca="1">IFERROR(__xludf.DUMMYFUNCTION("""COMPUTED_VALUE"""),"Pam")</f>
        <v>Pam</v>
      </c>
      <c r="Q299" t="str">
        <f ca="1">IFERROR(__xludf.DUMMYFUNCTION("""COMPUTED_VALUE"""),"Good")</f>
        <v>Good</v>
      </c>
      <c r="R299" t="str">
        <f ca="1">IFERROR(__xludf.DUMMYFUNCTION("""COMPUTED_VALUE"""),"Good")</f>
        <v>Good</v>
      </c>
      <c r="S299" t="str">
        <f ca="1">IFERROR(__xludf.DUMMYFUNCTION("""COMPUTED_VALUE"""),"Good")</f>
        <v>Good</v>
      </c>
      <c r="T299" t="str">
        <f ca="1">IFERROR(__xludf.DUMMYFUNCTION("""COMPUTED_VALUE"""),"Good")</f>
        <v>Good</v>
      </c>
      <c r="U299" t="str">
        <f ca="1">IFERROR(__xludf.DUMMYFUNCTION("""COMPUTED_VALUE"""),"Good")</f>
        <v>Good</v>
      </c>
      <c r="V299" t="str">
        <f ca="1">IFERROR(__xludf.DUMMYFUNCTION("""COMPUTED_VALUE"""),"Good")</f>
        <v>Good</v>
      </c>
      <c r="W299" t="str">
        <f ca="1">IFERROR(__xludf.DUMMYFUNCTION("""COMPUTED_VALUE"""),"Good")</f>
        <v>Good</v>
      </c>
      <c r="X299" t="str">
        <f ca="1">IFERROR(__xludf.DUMMYFUNCTION("""COMPUTED_VALUE"""),"Good")</f>
        <v>Good</v>
      </c>
      <c r="Y299" t="str">
        <f ca="1">IFERROR(__xludf.DUMMYFUNCTION("""COMPUTED_VALUE"""),"Good")</f>
        <v>Good</v>
      </c>
      <c r="Z299" t="str">
        <f ca="1">IFERROR(__xludf.DUMMYFUNCTION("""COMPUTED_VALUE"""),"Good")</f>
        <v>Good</v>
      </c>
      <c r="AA299" t="str">
        <f ca="1">IFERROR(__xludf.DUMMYFUNCTION("""COMPUTED_VALUE"""),"Good")</f>
        <v>Good</v>
      </c>
      <c r="AB299" t="str">
        <f ca="1">IFERROR(__xludf.DUMMYFUNCTION("""COMPUTED_VALUE"""),"Good")</f>
        <v>Good</v>
      </c>
      <c r="AC299" t="str">
        <f ca="1">IFERROR(__xludf.DUMMYFUNCTION("""COMPUTED_VALUE"""),"Good")</f>
        <v>Good</v>
      </c>
      <c r="AE299" s="11"/>
      <c r="AF299" t="str">
        <v>Nikki.Dix@floridadep.gov</v>
      </c>
      <c r="AG299" s="17" t="s">
        <v>17</v>
      </c>
      <c r="AH299" s="12">
        <v>1445</v>
      </c>
      <c r="AI299" s="12" t="s">
        <v>843</v>
      </c>
      <c r="AJ299" s="19" t="s">
        <v>844</v>
      </c>
      <c r="AK299" s="20" t="str">
        <f>HYPERLINK("https://docs.google.com/document/d/1UEl-2dca8hhWbxoBq3pZJzZcixkeZmJLnspPZQ9oT-Q/edit?usp=drivesdk","Pamela Marcum - 5/14/2019 10:30 AM")</f>
        <v>Pamela Marcum - 5/14/2019 10:30 AM</v>
      </c>
      <c r="AL299" s="12" t="s">
        <v>845</v>
      </c>
    </row>
    <row r="300" spans="1:38" ht="12.75">
      <c r="A300" s="10">
        <f ca="1">IFERROR(__xludf.DUMMYFUNCTION("""COMPUTED_VALUE"""),43600.3583160995)</f>
        <v>43600.358316099497</v>
      </c>
      <c r="B300" s="11" t="str">
        <f ca="1">IFERROR(__xludf.DUMMYFUNCTION("""COMPUTED_VALUE"""),"James Tomazinis")</f>
        <v>James Tomazinis</v>
      </c>
      <c r="C300" t="str">
        <f ca="1">IFERROR(__xludf.DUMMYFUNCTION("""COMPUTED_VALUE"""),"james.tomazinis@floridadep.gov")</f>
        <v>james.tomazinis@floridadep.gov</v>
      </c>
      <c r="D300" t="str">
        <f ca="1">IFERROR(__xludf.DUMMYFUNCTION("""COMPUTED_VALUE"""),"Stewardship (Aquatic)")</f>
        <v>Stewardship (Aquatic)</v>
      </c>
      <c r="E300" t="str">
        <f ca="1">IFERROR(__xludf.DUMMYFUNCTION("""COMPUTED_VALUE"""),"Vilano")</f>
        <v>Vilano</v>
      </c>
      <c r="F300" s="13">
        <f ca="1">IFERROR(__xludf.DUMMYFUNCTION("""COMPUTED_VALUE"""),0.385416666667879)</f>
        <v>0.38541666666787899</v>
      </c>
      <c r="G300" s="14">
        <f ca="1">IFERROR(__xludf.DUMMYFUNCTION("""COMPUTED_VALUE"""),43600)</f>
        <v>43600</v>
      </c>
      <c r="H300" t="str">
        <f ca="1">IFERROR(__xludf.DUMMYFUNCTION("""COMPUTED_VALUE"""),"Matanzas Nekton sites")</f>
        <v>Matanzas Nekton sites</v>
      </c>
      <c r="I300" s="15">
        <f ca="1">IFERROR(__xludf.DUMMYFUNCTION("""COMPUTED_VALUE"""),0.6875)</f>
        <v>0.6875</v>
      </c>
      <c r="J300" s="16"/>
      <c r="K300" t="str">
        <f ca="1">IFERROR(__xludf.DUMMYFUNCTION("""COMPUTED_VALUE"""),"23ft Skiff (Bertha) FL7972LJ DEP07613")</f>
        <v>23ft Skiff (Bertha) FL7972LJ DEP07613</v>
      </c>
      <c r="M300" t="str">
        <f ca="1">IFERROR(__xludf.DUMMYFUNCTION("""COMPUTED_VALUE"""),"Ford F150 2015 (White) - DEP21448")</f>
        <v>Ford F150 2015 (White) - DEP21448</v>
      </c>
      <c r="N300" t="str">
        <f ca="1">IFERROR(__xludf.DUMMYFUNCTION("""COMPUTED_VALUE"""),"Jimmy Tomazinis, (904) 547-0094")</f>
        <v>Jimmy Tomazinis, (904) 547-0094</v>
      </c>
      <c r="O300" t="str">
        <f ca="1">IFERROR(__xludf.DUMMYFUNCTION("""COMPUTED_VALUE"""),"Suzi Porterfield, Amy Brownfield, Vincent Mclure")</f>
        <v>Suzi Porterfield, Amy Brownfield, Vincent Mclure</v>
      </c>
      <c r="P300" t="str">
        <f ca="1">IFERROR(__xludf.DUMMYFUNCTION("""COMPUTED_VALUE"""),"Jimmy")</f>
        <v>Jimmy</v>
      </c>
      <c r="Q300" t="str">
        <f ca="1">IFERROR(__xludf.DUMMYFUNCTION("""COMPUTED_VALUE"""),"Good")</f>
        <v>Good</v>
      </c>
      <c r="R300" t="str">
        <f ca="1">IFERROR(__xludf.DUMMYFUNCTION("""COMPUTED_VALUE"""),"Good")</f>
        <v>Good</v>
      </c>
      <c r="S300" t="str">
        <f ca="1">IFERROR(__xludf.DUMMYFUNCTION("""COMPUTED_VALUE"""),"Good")</f>
        <v>Good</v>
      </c>
      <c r="T300" t="str">
        <f ca="1">IFERROR(__xludf.DUMMYFUNCTION("""COMPUTED_VALUE"""),"Good")</f>
        <v>Good</v>
      </c>
      <c r="U300" t="str">
        <f ca="1">IFERROR(__xludf.DUMMYFUNCTION("""COMPUTED_VALUE"""),"Good")</f>
        <v>Good</v>
      </c>
      <c r="V300" t="str">
        <f ca="1">IFERROR(__xludf.DUMMYFUNCTION("""COMPUTED_VALUE"""),"Good")</f>
        <v>Good</v>
      </c>
      <c r="W300" t="str">
        <f ca="1">IFERROR(__xludf.DUMMYFUNCTION("""COMPUTED_VALUE"""),"Good")</f>
        <v>Good</v>
      </c>
      <c r="X300" t="str">
        <f ca="1">IFERROR(__xludf.DUMMYFUNCTION("""COMPUTED_VALUE"""),"Good")</f>
        <v>Good</v>
      </c>
      <c r="Y300" t="str">
        <f ca="1">IFERROR(__xludf.DUMMYFUNCTION("""COMPUTED_VALUE"""),"Good")</f>
        <v>Good</v>
      </c>
      <c r="Z300" t="str">
        <f ca="1">IFERROR(__xludf.DUMMYFUNCTION("""COMPUTED_VALUE"""),"Good")</f>
        <v>Good</v>
      </c>
      <c r="AA300" t="str">
        <f ca="1">IFERROR(__xludf.DUMMYFUNCTION("""COMPUTED_VALUE"""),"Good")</f>
        <v>Good</v>
      </c>
      <c r="AB300" t="str">
        <f ca="1">IFERROR(__xludf.DUMMYFUNCTION("""COMPUTED_VALUE"""),"Good")</f>
        <v>Good</v>
      </c>
      <c r="AC300" t="str">
        <f ca="1">IFERROR(__xludf.DUMMYFUNCTION("""COMPUTED_VALUE"""),"Good")</f>
        <v>Good</v>
      </c>
      <c r="AE300" s="11"/>
      <c r="AF300" t="str">
        <v>Scott.Eastman@floridadep.gov</v>
      </c>
      <c r="AG300" s="17" t="s">
        <v>846</v>
      </c>
      <c r="AH300" s="12">
        <v>1600</v>
      </c>
      <c r="AI300" s="12" t="s">
        <v>847</v>
      </c>
      <c r="AJ300" s="19" t="s">
        <v>848</v>
      </c>
      <c r="AK300" s="20" t="str">
        <f>HYPERLINK("https://docs.google.com/document/d/1tRygHe_g-Mb2L8SiXS2htKn66bxuHvsx3mLZX6RrvRw/edit?usp=drivesdk","James Tomazinis - 5/15/2019 9:15 AM")</f>
        <v>James Tomazinis - 5/15/2019 9:15 AM</v>
      </c>
      <c r="AL300" s="12" t="s">
        <v>849</v>
      </c>
    </row>
    <row r="301" spans="1:38" ht="12.75">
      <c r="A301" s="10">
        <f ca="1">IFERROR(__xludf.DUMMYFUNCTION("""COMPUTED_VALUE"""),43600.4984945254)</f>
        <v>43600.498494525396</v>
      </c>
      <c r="B301" s="11" t="str">
        <f ca="1">IFERROR(__xludf.DUMMYFUNCTION("""COMPUTED_VALUE"""),"Silas Tanner")</f>
        <v>Silas Tanner</v>
      </c>
      <c r="C301" t="str">
        <f ca="1">IFERROR(__xludf.DUMMYFUNCTION("""COMPUTED_VALUE"""),"silas.tanner@floridadep.gov")</f>
        <v>silas.tanner@floridadep.gov</v>
      </c>
      <c r="D301" t="str">
        <f ca="1">IFERROR(__xludf.DUMMYFUNCTION("""COMPUTED_VALUE"""),"Research/Nikki")</f>
        <v>Research/Nikki</v>
      </c>
      <c r="E301" t="str">
        <f ca="1">IFERROR(__xludf.DUMMYFUNCTION("""COMPUTED_VALUE"""),"Vilano Landing")</f>
        <v>Vilano Landing</v>
      </c>
      <c r="F301" s="13">
        <f ca="1">IFERROR(__xludf.DUMMYFUNCTION("""COMPUTED_VALUE"""),0.322916666667879)</f>
        <v>0.32291666666787899</v>
      </c>
      <c r="G301" s="14">
        <f ca="1">IFERROR(__xludf.DUMMYFUNCTION("""COMPUTED_VALUE"""),43601)</f>
        <v>43601</v>
      </c>
      <c r="H301" t="str">
        <f ca="1">IFERROR(__xludf.DUMMYFUNCTION("""COMPUTED_VALUE"""),"ICW SWMP sites")</f>
        <v>ICW SWMP sites</v>
      </c>
      <c r="I301" s="15">
        <f ca="1">IFERROR(__xludf.DUMMYFUNCTION("""COMPUTED_VALUE"""),0.53125)</f>
        <v>0.53125</v>
      </c>
      <c r="J301" s="16">
        <f ca="1">IFERROR(__xludf.DUMMYFUNCTION("""COMPUTED_VALUE"""),43601.5416666666)</f>
        <v>43601.541666666599</v>
      </c>
      <c r="K301" t="str">
        <f ca="1">IFERROR(__xludf.DUMMYFUNCTION("""COMPUTED_VALUE"""),"20ft Sea Ark FL5351SJ UNF 2015")</f>
        <v>20ft Sea Ark FL5351SJ UNF 2015</v>
      </c>
      <c r="M301" t="str">
        <f ca="1">IFERROR(__xludf.DUMMYFUNCTION("""COMPUTED_VALUE"""),"Ford F250 2017 (Moby Dix) - DEP0021578")</f>
        <v>Ford F250 2017 (Moby Dix) - DEP0021578</v>
      </c>
      <c r="N301" t="str">
        <f ca="1">IFERROR(__xludf.DUMMYFUNCTION("""COMPUTED_VALUE"""),"Silas Tanner, (904) 483-8423")</f>
        <v>Silas Tanner, (904) 483-8423</v>
      </c>
      <c r="O301" t="str">
        <f ca="1">IFERROR(__xludf.DUMMYFUNCTION("""COMPUTED_VALUE"""),"Charles Snavely")</f>
        <v>Charles Snavely</v>
      </c>
      <c r="P301" t="str">
        <f ca="1">IFERROR(__xludf.DUMMYFUNCTION("""COMPUTED_VALUE"""),"S. Tanner")</f>
        <v>S. Tanner</v>
      </c>
      <c r="Q301" t="str">
        <f ca="1">IFERROR(__xludf.DUMMYFUNCTION("""COMPUTED_VALUE"""),"Good")</f>
        <v>Good</v>
      </c>
      <c r="R301" t="str">
        <f ca="1">IFERROR(__xludf.DUMMYFUNCTION("""COMPUTED_VALUE"""),"Good")</f>
        <v>Good</v>
      </c>
      <c r="S301" t="str">
        <f ca="1">IFERROR(__xludf.DUMMYFUNCTION("""COMPUTED_VALUE"""),"Good")</f>
        <v>Good</v>
      </c>
      <c r="T301" t="str">
        <f ca="1">IFERROR(__xludf.DUMMYFUNCTION("""COMPUTED_VALUE"""),"Good")</f>
        <v>Good</v>
      </c>
      <c r="U301" t="str">
        <f ca="1">IFERROR(__xludf.DUMMYFUNCTION("""COMPUTED_VALUE"""),"Good")</f>
        <v>Good</v>
      </c>
      <c r="V301" t="str">
        <f ca="1">IFERROR(__xludf.DUMMYFUNCTION("""COMPUTED_VALUE"""),"Good")</f>
        <v>Good</v>
      </c>
      <c r="W301" t="str">
        <f ca="1">IFERROR(__xludf.DUMMYFUNCTION("""COMPUTED_VALUE"""),"Good")</f>
        <v>Good</v>
      </c>
      <c r="X301" t="str">
        <f ca="1">IFERROR(__xludf.DUMMYFUNCTION("""COMPUTED_VALUE"""),"Good")</f>
        <v>Good</v>
      </c>
      <c r="Y301" t="str">
        <f ca="1">IFERROR(__xludf.DUMMYFUNCTION("""COMPUTED_VALUE"""),"Good")</f>
        <v>Good</v>
      </c>
      <c r="Z301" t="str">
        <f ca="1">IFERROR(__xludf.DUMMYFUNCTION("""COMPUTED_VALUE"""),"Good")</f>
        <v>Good</v>
      </c>
      <c r="AA301" t="str">
        <f ca="1">IFERROR(__xludf.DUMMYFUNCTION("""COMPUTED_VALUE"""),"Good")</f>
        <v>Good</v>
      </c>
      <c r="AB301" t="str">
        <f ca="1">IFERROR(__xludf.DUMMYFUNCTION("""COMPUTED_VALUE"""),"Good")</f>
        <v>Good</v>
      </c>
      <c r="AC301" t="str">
        <f ca="1">IFERROR(__xludf.DUMMYFUNCTION("""COMPUTED_VALUE"""),"Good")</f>
        <v>Good</v>
      </c>
      <c r="AE301" s="11"/>
      <c r="AF301" t="str">
        <v>Nikki.Dix@floridadep.gov</v>
      </c>
      <c r="AG301" s="17" t="s">
        <v>126</v>
      </c>
      <c r="AH301" s="12">
        <v>1135</v>
      </c>
      <c r="AI301" s="12" t="s">
        <v>850</v>
      </c>
      <c r="AJ301" s="19" t="s">
        <v>851</v>
      </c>
      <c r="AK301" s="20" t="str">
        <f>HYPERLINK("https://docs.google.com/document/d/1pqnHvRBe93jYVA63NlfI2hkZWWO8LEXrZ0jP21_TsIw/edit?usp=drivesdk","Silas Tanner - 5/16/2019 7:45 AM")</f>
        <v>Silas Tanner - 5/16/2019 7:45 AM</v>
      </c>
      <c r="AL301" s="12" t="s">
        <v>852</v>
      </c>
    </row>
    <row r="302" spans="1:38" ht="12.75">
      <c r="A302" s="10">
        <f ca="1">IFERROR(__xludf.DUMMYFUNCTION("""COMPUTED_VALUE"""),43600.7283903819)</f>
        <v>43600.728390381897</v>
      </c>
      <c r="B302" s="11" t="str">
        <f ca="1">IFERROR(__xludf.DUMMYFUNCTION("""COMPUTED_VALUE"""),"James Tomazinis")</f>
        <v>James Tomazinis</v>
      </c>
      <c r="C302" t="str">
        <f ca="1">IFERROR(__xludf.DUMMYFUNCTION("""COMPUTED_VALUE"""),"james.tomazinis@floridadep.gov")</f>
        <v>james.tomazinis@floridadep.gov</v>
      </c>
      <c r="D302" t="str">
        <f ca="1">IFERROR(__xludf.DUMMYFUNCTION("""COMPUTED_VALUE"""),"Stewardship (Aquatic)")</f>
        <v>Stewardship (Aquatic)</v>
      </c>
      <c r="E302" t="str">
        <f ca="1">IFERROR(__xludf.DUMMYFUNCTION("""COMPUTED_VALUE"""),"Bings")</f>
        <v>Bings</v>
      </c>
      <c r="F302" s="13">
        <f ca="1">IFERROR(__xludf.DUMMYFUNCTION("""COMPUTED_VALUE"""),0.416666666667879)</f>
        <v>0.41666666666787899</v>
      </c>
      <c r="G302" s="14">
        <f ca="1">IFERROR(__xludf.DUMMYFUNCTION("""COMPUTED_VALUE"""),43601)</f>
        <v>43601</v>
      </c>
      <c r="H302" t="str">
        <f ca="1">IFERROR(__xludf.DUMMYFUNCTION("""COMPUTED_VALUE"""),"Netkon sites 17,18,19,20")</f>
        <v>Netkon sites 17,18,19,20</v>
      </c>
      <c r="I302" s="15">
        <f ca="1">IFERROR(__xludf.DUMMYFUNCTION("""COMPUTED_VALUE"""),0.58333333333212)</f>
        <v>0.58333333333212001</v>
      </c>
      <c r="J302" s="16"/>
      <c r="K302" t="str">
        <f ca="1">IFERROR(__xludf.DUMMYFUNCTION("""COMPUTED_VALUE"""),"23ft Skiff (Bertha) FL7972LJ DEP07613")</f>
        <v>23ft Skiff (Bertha) FL7972LJ DEP07613</v>
      </c>
      <c r="M302" t="str">
        <f ca="1">IFERROR(__xludf.DUMMYFUNCTION("""COMPUTED_VALUE"""),"Ford F150 2015 (White) - DEP21448")</f>
        <v>Ford F150 2015 (White) - DEP21448</v>
      </c>
      <c r="N302" t="str">
        <f ca="1">IFERROR(__xludf.DUMMYFUNCTION("""COMPUTED_VALUE"""),"Jimmy Tomazinis, (904) 547-0094, Mike Dickson")</f>
        <v>Jimmy Tomazinis, (904) 547-0094, Mike Dickson</v>
      </c>
      <c r="O302" t="str">
        <f ca="1">IFERROR(__xludf.DUMMYFUNCTION("""COMPUTED_VALUE"""),"Chris Kurtz, Suzi Porterfield")</f>
        <v>Chris Kurtz, Suzi Porterfield</v>
      </c>
      <c r="P302" t="str">
        <f ca="1">IFERROR(__xludf.DUMMYFUNCTION("""COMPUTED_VALUE"""),"Jimmy")</f>
        <v>Jimmy</v>
      </c>
      <c r="Q302" t="str">
        <f ca="1">IFERROR(__xludf.DUMMYFUNCTION("""COMPUTED_VALUE"""),"Good")</f>
        <v>Good</v>
      </c>
      <c r="R302" t="str">
        <f ca="1">IFERROR(__xludf.DUMMYFUNCTION("""COMPUTED_VALUE"""),"Good")</f>
        <v>Good</v>
      </c>
      <c r="S302" t="str">
        <f ca="1">IFERROR(__xludf.DUMMYFUNCTION("""COMPUTED_VALUE"""),"Good")</f>
        <v>Good</v>
      </c>
      <c r="T302" t="str">
        <f ca="1">IFERROR(__xludf.DUMMYFUNCTION("""COMPUTED_VALUE"""),"Good")</f>
        <v>Good</v>
      </c>
      <c r="U302" t="str">
        <f ca="1">IFERROR(__xludf.DUMMYFUNCTION("""COMPUTED_VALUE"""),"Good")</f>
        <v>Good</v>
      </c>
      <c r="V302" t="str">
        <f ca="1">IFERROR(__xludf.DUMMYFUNCTION("""COMPUTED_VALUE"""),"Good")</f>
        <v>Good</v>
      </c>
      <c r="W302" t="str">
        <f ca="1">IFERROR(__xludf.DUMMYFUNCTION("""COMPUTED_VALUE"""),"Good")</f>
        <v>Good</v>
      </c>
      <c r="X302" t="str">
        <f ca="1">IFERROR(__xludf.DUMMYFUNCTION("""COMPUTED_VALUE"""),"Good")</f>
        <v>Good</v>
      </c>
      <c r="Y302" t="str">
        <f ca="1">IFERROR(__xludf.DUMMYFUNCTION("""COMPUTED_VALUE"""),"Good")</f>
        <v>Good</v>
      </c>
      <c r="Z302" t="str">
        <f ca="1">IFERROR(__xludf.DUMMYFUNCTION("""COMPUTED_VALUE"""),"Good")</f>
        <v>Good</v>
      </c>
      <c r="AA302" t="str">
        <f ca="1">IFERROR(__xludf.DUMMYFUNCTION("""COMPUTED_VALUE"""),"Good")</f>
        <v>Good</v>
      </c>
      <c r="AB302" t="str">
        <f ca="1">IFERROR(__xludf.DUMMYFUNCTION("""COMPUTED_VALUE"""),"Good")</f>
        <v>Good</v>
      </c>
      <c r="AC302" t="str">
        <f ca="1">IFERROR(__xludf.DUMMYFUNCTION("""COMPUTED_VALUE"""),"Good")</f>
        <v>Good</v>
      </c>
      <c r="AE302" s="11"/>
      <c r="AF302" t="str">
        <v>Scott.Eastman@floridadep.gov</v>
      </c>
      <c r="AG302" s="17" t="s">
        <v>126</v>
      </c>
      <c r="AH302" s="12">
        <v>1430</v>
      </c>
      <c r="AI302" s="12" t="s">
        <v>853</v>
      </c>
      <c r="AJ302" s="19" t="s">
        <v>854</v>
      </c>
      <c r="AK302" s="20" t="str">
        <f>HYPERLINK("https://docs.google.com/document/d/1hNWRIRHrwQ2y_KjvuP6GF3lI-qpLwHP1zU8ba6Th2A8/edit?usp=drivesdk","James Tomazinis - 5/16/2019 10:00 AM")</f>
        <v>James Tomazinis - 5/16/2019 10:00 AM</v>
      </c>
      <c r="AL302" s="12" t="s">
        <v>855</v>
      </c>
    </row>
    <row r="303" spans="1:38" ht="12.75">
      <c r="A303" s="10">
        <f ca="1">IFERROR(__xludf.DUMMYFUNCTION("""COMPUTED_VALUE"""),43601.5255482407)</f>
        <v>43601.525548240701</v>
      </c>
      <c r="B303" s="11" t="str">
        <f ca="1">IFERROR(__xludf.DUMMYFUNCTION("""COMPUTED_VALUE"""),"Pamela Marcum")</f>
        <v>Pamela Marcum</v>
      </c>
      <c r="C303" t="str">
        <f ca="1">IFERROR(__xludf.DUMMYFUNCTION("""COMPUTED_VALUE"""),"Pamela.Marcum@dep.state.fl.us")</f>
        <v>Pamela.Marcum@dep.state.fl.us</v>
      </c>
      <c r="D303" t="str">
        <f ca="1">IFERROR(__xludf.DUMMYFUNCTION("""COMPUTED_VALUE"""),"Research/Nikki")</f>
        <v>Research/Nikki</v>
      </c>
      <c r="E303" t="str">
        <f ca="1">IFERROR(__xludf.DUMMYFUNCTION("""COMPUTED_VALUE"""),"Green Rd")</f>
        <v>Green Rd</v>
      </c>
      <c r="F303" s="13">
        <f ca="1">IFERROR(__xludf.DUMMYFUNCTION("""COMPUTED_VALUE"""),0.59375)</f>
        <v>0.59375</v>
      </c>
      <c r="G303" s="14">
        <f ca="1">IFERROR(__xludf.DUMMYFUNCTION("""COMPUTED_VALUE"""),43601)</f>
        <v>43601</v>
      </c>
      <c r="H303" t="str">
        <f ca="1">IFERROR(__xludf.DUMMYFUNCTION("""COMPUTED_VALUE"""),"Matanzas River - Butler area")</f>
        <v>Matanzas River - Butler area</v>
      </c>
      <c r="I303" s="15">
        <f ca="1">IFERROR(__xludf.DUMMYFUNCTION("""COMPUTED_VALUE"""),0.77083333333212)</f>
        <v>0.77083333333212001</v>
      </c>
      <c r="J303" s="16">
        <f ca="1">IFERROR(__xludf.DUMMYFUNCTION("""COMPUTED_VALUE"""),43601.7916666666)</f>
        <v>43601.791666666599</v>
      </c>
      <c r="K303" t="str">
        <f ca="1">IFERROR(__xludf.DUMMYFUNCTION("""COMPUTED_VALUE"""),"17ft Skill FL0642GW DEP07239")</f>
        <v>17ft Skill FL0642GW DEP07239</v>
      </c>
      <c r="M303" t="str">
        <f ca="1">IFERROR(__xludf.DUMMYFUNCTION("""COMPUTED_VALUE"""),"Ford F150 2008 - DEP18041 (SWMP Thing)")</f>
        <v>Ford F150 2008 - DEP18041 (SWMP Thing)</v>
      </c>
      <c r="N303" t="str">
        <f ca="1">IFERROR(__xludf.DUMMYFUNCTION("""COMPUTED_VALUE"""),"Pam Marcum, (480) 332-5414")</f>
        <v>Pam Marcum, (480) 332-5414</v>
      </c>
      <c r="O303" t="str">
        <f ca="1">IFERROR(__xludf.DUMMYFUNCTION("""COMPUTED_VALUE"""),"Nicole Peckham, Adrienne Breef-Pilz")</f>
        <v>Nicole Peckham, Adrienne Breef-Pilz</v>
      </c>
      <c r="P303" t="str">
        <f ca="1">IFERROR(__xludf.DUMMYFUNCTION("""COMPUTED_VALUE"""),"Pam")</f>
        <v>Pam</v>
      </c>
      <c r="Q303" t="str">
        <f ca="1">IFERROR(__xludf.DUMMYFUNCTION("""COMPUTED_VALUE"""),"Good")</f>
        <v>Good</v>
      </c>
      <c r="R303" t="str">
        <f ca="1">IFERROR(__xludf.DUMMYFUNCTION("""COMPUTED_VALUE"""),"Good")</f>
        <v>Good</v>
      </c>
      <c r="S303" t="str">
        <f ca="1">IFERROR(__xludf.DUMMYFUNCTION("""COMPUTED_VALUE"""),"Good")</f>
        <v>Good</v>
      </c>
      <c r="T303" t="str">
        <f ca="1">IFERROR(__xludf.DUMMYFUNCTION("""COMPUTED_VALUE"""),"Good")</f>
        <v>Good</v>
      </c>
      <c r="U303" t="str">
        <f ca="1">IFERROR(__xludf.DUMMYFUNCTION("""COMPUTED_VALUE"""),"Good")</f>
        <v>Good</v>
      </c>
      <c r="V303" t="str">
        <f ca="1">IFERROR(__xludf.DUMMYFUNCTION("""COMPUTED_VALUE"""),"Good")</f>
        <v>Good</v>
      </c>
      <c r="W303" t="str">
        <f ca="1">IFERROR(__xludf.DUMMYFUNCTION("""COMPUTED_VALUE"""),"Good")</f>
        <v>Good</v>
      </c>
      <c r="X303" t="str">
        <f ca="1">IFERROR(__xludf.DUMMYFUNCTION("""COMPUTED_VALUE"""),"Good")</f>
        <v>Good</v>
      </c>
      <c r="Y303" t="str">
        <f ca="1">IFERROR(__xludf.DUMMYFUNCTION("""COMPUTED_VALUE"""),"Good")</f>
        <v>Good</v>
      </c>
      <c r="Z303" t="str">
        <f ca="1">IFERROR(__xludf.DUMMYFUNCTION("""COMPUTED_VALUE"""),"Good")</f>
        <v>Good</v>
      </c>
      <c r="AA303" t="str">
        <f ca="1">IFERROR(__xludf.DUMMYFUNCTION("""COMPUTED_VALUE"""),"Good")</f>
        <v>Good</v>
      </c>
      <c r="AB303" t="str">
        <f ca="1">IFERROR(__xludf.DUMMYFUNCTION("""COMPUTED_VALUE"""),"Good")</f>
        <v>Good</v>
      </c>
      <c r="AC303" t="str">
        <f ca="1">IFERROR(__xludf.DUMMYFUNCTION("""COMPUTED_VALUE"""),"Good")</f>
        <v>Good</v>
      </c>
      <c r="AE303" s="11"/>
      <c r="AF303" t="str">
        <v>Nikki.Dix@floridadep.gov</v>
      </c>
      <c r="AG303" s="17" t="s">
        <v>41</v>
      </c>
      <c r="AH303" s="12">
        <v>1610</v>
      </c>
      <c r="AI303" s="12" t="s">
        <v>856</v>
      </c>
      <c r="AJ303" s="19" t="s">
        <v>857</v>
      </c>
      <c r="AK303" s="20" t="str">
        <f>HYPERLINK("https://docs.google.com/document/d/1jQmJ2nmws9NbG4unV8L7tknjhGikOp5Wp60WoX0r9SU/edit?usp=drivesdk","Pamela Marcum - 5/16/2019 2:15 PM")</f>
        <v>Pamela Marcum - 5/16/2019 2:15 PM</v>
      </c>
      <c r="AL303" s="12" t="s">
        <v>858</v>
      </c>
    </row>
    <row r="304" spans="1:38" ht="12.75">
      <c r="A304" s="10">
        <f ca="1">IFERROR(__xludf.DUMMYFUNCTION("""COMPUTED_VALUE"""),43602.5887956944)</f>
        <v>43602.588795694399</v>
      </c>
      <c r="B304" s="11" t="str">
        <f ca="1">IFERROR(__xludf.DUMMYFUNCTION("""COMPUTED_VALUE"""),"Pam Marcum")</f>
        <v>Pam Marcum</v>
      </c>
      <c r="C304" t="str">
        <f ca="1">IFERROR(__xludf.DUMMYFUNCTION("""COMPUTED_VALUE"""),"Pamela.Marcum@dep.state.fl.us")</f>
        <v>Pamela.Marcum@dep.state.fl.us</v>
      </c>
      <c r="D304" t="str">
        <f ca="1">IFERROR(__xludf.DUMMYFUNCTION("""COMPUTED_VALUE"""),"Research/Nikki")</f>
        <v>Research/Nikki</v>
      </c>
      <c r="E304" t="str">
        <f ca="1">IFERROR(__xludf.DUMMYFUNCTION("""COMPUTED_VALUE"""),"Green Rd")</f>
        <v>Green Rd</v>
      </c>
      <c r="F304" s="13">
        <f ca="1">IFERROR(__xludf.DUMMYFUNCTION("""COMPUTED_VALUE"""),0.58333333333212)</f>
        <v>0.58333333333212001</v>
      </c>
      <c r="G304" s="14">
        <f ca="1">IFERROR(__xludf.DUMMYFUNCTION("""COMPUTED_VALUE"""),43602)</f>
        <v>43602</v>
      </c>
      <c r="H304" t="str">
        <f ca="1">IFERROR(__xludf.DUMMYFUNCTION("""COMPUTED_VALUE"""),"Moses Flats")</f>
        <v>Moses Flats</v>
      </c>
      <c r="I304" s="15">
        <f ca="1">IFERROR(__xludf.DUMMYFUNCTION("""COMPUTED_VALUE"""),0.70833333333212)</f>
        <v>0.70833333333212001</v>
      </c>
      <c r="J304" s="16">
        <f ca="1">IFERROR(__xludf.DUMMYFUNCTION("""COMPUTED_VALUE"""),43602.7291666666)</f>
        <v>43602.729166666599</v>
      </c>
      <c r="K304" t="str">
        <f ca="1">IFERROR(__xludf.DUMMYFUNCTION("""COMPUTED_VALUE"""),"17ft Skill FL0642GW DEP07239")</f>
        <v>17ft Skill FL0642GW DEP07239</v>
      </c>
      <c r="M304" t="str">
        <f ca="1">IFERROR(__xludf.DUMMYFUNCTION("""COMPUTED_VALUE"""),"2018 F150 AP")</f>
        <v>2018 F150 AP</v>
      </c>
      <c r="N304" t="str">
        <f ca="1">IFERROR(__xludf.DUMMYFUNCTION("""COMPUTED_VALUE"""),"Pam Marcum, (480) 332-5414")</f>
        <v>Pam Marcum, (480) 332-5414</v>
      </c>
      <c r="O304" t="str">
        <f ca="1">IFERROR(__xludf.DUMMYFUNCTION("""COMPUTED_VALUE"""),"Nicole Peckham, Adrienne Breef-Pilz")</f>
        <v>Nicole Peckham, Adrienne Breef-Pilz</v>
      </c>
      <c r="P304" t="str">
        <f ca="1">IFERROR(__xludf.DUMMYFUNCTION("""COMPUTED_VALUE"""),"Pam")</f>
        <v>Pam</v>
      </c>
      <c r="Q304" t="str">
        <f ca="1">IFERROR(__xludf.DUMMYFUNCTION("""COMPUTED_VALUE"""),"Good")</f>
        <v>Good</v>
      </c>
      <c r="R304" t="str">
        <f ca="1">IFERROR(__xludf.DUMMYFUNCTION("""COMPUTED_VALUE"""),"Good")</f>
        <v>Good</v>
      </c>
      <c r="S304" t="str">
        <f ca="1">IFERROR(__xludf.DUMMYFUNCTION("""COMPUTED_VALUE"""),"Good")</f>
        <v>Good</v>
      </c>
      <c r="T304" t="str">
        <f ca="1">IFERROR(__xludf.DUMMYFUNCTION("""COMPUTED_VALUE"""),"Good")</f>
        <v>Good</v>
      </c>
      <c r="U304" t="str">
        <f ca="1">IFERROR(__xludf.DUMMYFUNCTION("""COMPUTED_VALUE"""),"Good")</f>
        <v>Good</v>
      </c>
      <c r="V304" t="str">
        <f ca="1">IFERROR(__xludf.DUMMYFUNCTION("""COMPUTED_VALUE"""),"Good")</f>
        <v>Good</v>
      </c>
      <c r="W304" t="str">
        <f ca="1">IFERROR(__xludf.DUMMYFUNCTION("""COMPUTED_VALUE"""),"Good")</f>
        <v>Good</v>
      </c>
      <c r="X304" t="str">
        <f ca="1">IFERROR(__xludf.DUMMYFUNCTION("""COMPUTED_VALUE"""),"Good")</f>
        <v>Good</v>
      </c>
      <c r="Y304" t="str">
        <f ca="1">IFERROR(__xludf.DUMMYFUNCTION("""COMPUTED_VALUE"""),"Good")</f>
        <v>Good</v>
      </c>
      <c r="Z304" t="str">
        <f ca="1">IFERROR(__xludf.DUMMYFUNCTION("""COMPUTED_VALUE"""),"Good")</f>
        <v>Good</v>
      </c>
      <c r="AA304" t="str">
        <f ca="1">IFERROR(__xludf.DUMMYFUNCTION("""COMPUTED_VALUE"""),"Good")</f>
        <v>Good</v>
      </c>
      <c r="AB304" t="str">
        <f ca="1">IFERROR(__xludf.DUMMYFUNCTION("""COMPUTED_VALUE"""),"Good")</f>
        <v>Good</v>
      </c>
      <c r="AC304" t="str">
        <f ca="1">IFERROR(__xludf.DUMMYFUNCTION("""COMPUTED_VALUE"""),"Good")</f>
        <v>Good</v>
      </c>
      <c r="AE304" s="11"/>
      <c r="AF304" t="str">
        <v>Nikki.Dix@floridadep.gov</v>
      </c>
      <c r="AG304" s="17" t="s">
        <v>41</v>
      </c>
      <c r="AH304" s="12">
        <v>1715</v>
      </c>
      <c r="AI304" s="12" t="s">
        <v>859</v>
      </c>
      <c r="AJ304" s="19" t="s">
        <v>860</v>
      </c>
      <c r="AK304" s="20" t="str">
        <f>HYPERLINK("https://docs.google.com/document/d/1nwRxq9QzMWOE6F4rVgHmRuocKZ9SkDOahsobebfl3uQ/edit?usp=drivesdk","Pam Marcum - 5/17/2019 2:00 PM")</f>
        <v>Pam Marcum - 5/17/2019 2:00 PM</v>
      </c>
      <c r="AL304" s="12" t="s">
        <v>861</v>
      </c>
    </row>
    <row r="305" spans="1:38" ht="12.75">
      <c r="A305" s="10">
        <f ca="1">IFERROR(__xludf.DUMMYFUNCTION("""COMPUTED_VALUE"""),43602.7053125578)</f>
        <v>43602.705312557802</v>
      </c>
      <c r="B305" s="11" t="str">
        <f ca="1">IFERROR(__xludf.DUMMYFUNCTION("""COMPUTED_VALUE"""),"James Tomazinis")</f>
        <v>James Tomazinis</v>
      </c>
      <c r="C305" t="str">
        <f ca="1">IFERROR(__xludf.DUMMYFUNCTION("""COMPUTED_VALUE"""),"james.tomazinis@floridadep.gov")</f>
        <v>james.tomazinis@floridadep.gov</v>
      </c>
      <c r="D305" t="str">
        <f ca="1">IFERROR(__xludf.DUMMYFUNCTION("""COMPUTED_VALUE"""),"Stewardship (Aquatic)")</f>
        <v>Stewardship (Aquatic)</v>
      </c>
      <c r="E305" t="str">
        <f ca="1">IFERROR(__xludf.DUMMYFUNCTION("""COMPUTED_VALUE"""),"Aunt Kates")</f>
        <v>Aunt Kates</v>
      </c>
      <c r="F305" s="13">
        <f ca="1">IFERROR(__xludf.DUMMYFUNCTION("""COMPUTED_VALUE"""),0.385416666667879)</f>
        <v>0.38541666666787899</v>
      </c>
      <c r="G305" s="14">
        <f ca="1">IFERROR(__xludf.DUMMYFUNCTION("""COMPUTED_VALUE"""),43603)</f>
        <v>43603</v>
      </c>
      <c r="H305" t="str">
        <f ca="1">IFERROR(__xludf.DUMMYFUNCTION("""COMPUTED_VALUE"""),"Tolomato River/Guana")</f>
        <v>Tolomato River/Guana</v>
      </c>
      <c r="I305" s="15">
        <f ca="1">IFERROR(__xludf.DUMMYFUNCTION("""COMPUTED_VALUE"""),0.58333333333212)</f>
        <v>0.58333333333212001</v>
      </c>
      <c r="J305" s="16"/>
      <c r="K305" t="str">
        <f ca="1">IFERROR(__xludf.DUMMYFUNCTION("""COMPUTED_VALUE"""),"23ft Skiff (Bertha) FL7972LJ DEP07613")</f>
        <v>23ft Skiff (Bertha) FL7972LJ DEP07613</v>
      </c>
      <c r="M305" t="str">
        <f ca="1">IFERROR(__xludf.DUMMYFUNCTION("""COMPUTED_VALUE"""),"Ford F150 2015 (White) - DEP21448")</f>
        <v>Ford F150 2015 (White) - DEP21448</v>
      </c>
      <c r="N305" t="str">
        <f ca="1">IFERROR(__xludf.DUMMYFUNCTION("""COMPUTED_VALUE"""),"Jimmy Tomazinis, (904) 547-0094")</f>
        <v>Jimmy Tomazinis, (904) 547-0094</v>
      </c>
      <c r="O305" t="str">
        <f ca="1">IFERROR(__xludf.DUMMYFUNCTION("""COMPUTED_VALUE"""),"Joe McCoy and students")</f>
        <v>Joe McCoy and students</v>
      </c>
      <c r="P305" t="str">
        <f ca="1">IFERROR(__xludf.DUMMYFUNCTION("""COMPUTED_VALUE"""),"Jimmy")</f>
        <v>Jimmy</v>
      </c>
      <c r="Q305" t="str">
        <f ca="1">IFERROR(__xludf.DUMMYFUNCTION("""COMPUTED_VALUE"""),"Good")</f>
        <v>Good</v>
      </c>
      <c r="R305" t="str">
        <f ca="1">IFERROR(__xludf.DUMMYFUNCTION("""COMPUTED_VALUE"""),"Good")</f>
        <v>Good</v>
      </c>
      <c r="S305" t="str">
        <f ca="1">IFERROR(__xludf.DUMMYFUNCTION("""COMPUTED_VALUE"""),"Good")</f>
        <v>Good</v>
      </c>
      <c r="T305" t="str">
        <f ca="1">IFERROR(__xludf.DUMMYFUNCTION("""COMPUTED_VALUE"""),"Good")</f>
        <v>Good</v>
      </c>
      <c r="U305" t="str">
        <f ca="1">IFERROR(__xludf.DUMMYFUNCTION("""COMPUTED_VALUE"""),"Good")</f>
        <v>Good</v>
      </c>
      <c r="V305" t="str">
        <f ca="1">IFERROR(__xludf.DUMMYFUNCTION("""COMPUTED_VALUE"""),"Good")</f>
        <v>Good</v>
      </c>
      <c r="W305" t="str">
        <f ca="1">IFERROR(__xludf.DUMMYFUNCTION("""COMPUTED_VALUE"""),"Good")</f>
        <v>Good</v>
      </c>
      <c r="X305" t="str">
        <f ca="1">IFERROR(__xludf.DUMMYFUNCTION("""COMPUTED_VALUE"""),"Good")</f>
        <v>Good</v>
      </c>
      <c r="Y305" t="str">
        <f ca="1">IFERROR(__xludf.DUMMYFUNCTION("""COMPUTED_VALUE"""),"Good")</f>
        <v>Good</v>
      </c>
      <c r="Z305" t="str">
        <f ca="1">IFERROR(__xludf.DUMMYFUNCTION("""COMPUTED_VALUE"""),"Good")</f>
        <v>Good</v>
      </c>
      <c r="AA305" t="str">
        <f ca="1">IFERROR(__xludf.DUMMYFUNCTION("""COMPUTED_VALUE"""),"Good")</f>
        <v>Good</v>
      </c>
      <c r="AB305" t="str">
        <f ca="1">IFERROR(__xludf.DUMMYFUNCTION("""COMPUTED_VALUE"""),"Good")</f>
        <v>Good</v>
      </c>
      <c r="AC305" t="str">
        <f ca="1">IFERROR(__xludf.DUMMYFUNCTION("""COMPUTED_VALUE"""),"Good")</f>
        <v>Good</v>
      </c>
      <c r="AE305" s="11"/>
      <c r="AF305" t="str">
        <v>Scott.Eastman@floridadep.gov</v>
      </c>
      <c r="AG305" s="17" t="s">
        <v>17</v>
      </c>
      <c r="AH305" s="12">
        <v>1430</v>
      </c>
      <c r="AI305" s="12" t="s">
        <v>862</v>
      </c>
      <c r="AJ305" s="19" t="s">
        <v>863</v>
      </c>
      <c r="AK305" s="20" t="str">
        <f>HYPERLINK("https://docs.google.com/document/d/1QBSxmJEW8haI9t5gOvOxhfJQdjnU8UExtzvNGSdRJeU/edit?usp=drivesdk","James Tomazinis - 5/18/2019 9:15 AM")</f>
        <v>James Tomazinis - 5/18/2019 9:15 AM</v>
      </c>
      <c r="AL305" s="12" t="s">
        <v>864</v>
      </c>
    </row>
    <row r="306" spans="1:38" ht="12.75">
      <c r="A306" s="10">
        <f ca="1">IFERROR(__xludf.DUMMYFUNCTION("""COMPUTED_VALUE"""),43605.3270063078)</f>
        <v>43605.327006307802</v>
      </c>
      <c r="B306" s="11" t="str">
        <f ca="1">IFERROR(__xludf.DUMMYFUNCTION("""COMPUTED_VALUE"""),"Silas Tanner")</f>
        <v>Silas Tanner</v>
      </c>
      <c r="C306" t="str">
        <f ca="1">IFERROR(__xludf.DUMMYFUNCTION("""COMPUTED_VALUE"""),"silas.tanner@dep.state.fl")</f>
        <v>silas.tanner@dep.state.fl</v>
      </c>
      <c r="D306" t="str">
        <f ca="1">IFERROR(__xludf.DUMMYFUNCTION("""COMPUTED_VALUE"""),"Research/Nikki")</f>
        <v>Research/Nikki</v>
      </c>
      <c r="E306" t="str">
        <f ca="1">IFERROR(__xludf.DUMMYFUNCTION("""COMPUTED_VALUE"""),"Vilano Landing")</f>
        <v>Vilano Landing</v>
      </c>
      <c r="F306" s="13">
        <f ca="1">IFERROR(__xludf.DUMMYFUNCTION("""COMPUTED_VALUE"""),0.416666666667879)</f>
        <v>0.41666666666787899</v>
      </c>
      <c r="G306" s="14">
        <f ca="1">IFERROR(__xludf.DUMMYFUNCTION("""COMPUTED_VALUE"""),43605)</f>
        <v>43605</v>
      </c>
      <c r="H306" t="str">
        <f ca="1">IFERROR(__xludf.DUMMYFUNCTION("""COMPUTED_VALUE"""),"ICW Hat Island platforms, Castillo, Salt Run")</f>
        <v>ICW Hat Island platforms, Castillo, Salt Run</v>
      </c>
      <c r="I306" s="15">
        <f ca="1">IFERROR(__xludf.DUMMYFUNCTION("""COMPUTED_VALUE"""),0.52083333333212)</f>
        <v>0.52083333333212001</v>
      </c>
      <c r="J306" s="16">
        <f ca="1">IFERROR(__xludf.DUMMYFUNCTION("""COMPUTED_VALUE"""),43605.53125)</f>
        <v>43605.53125</v>
      </c>
      <c r="K306" t="str">
        <f ca="1">IFERROR(__xludf.DUMMYFUNCTION("""COMPUTED_VALUE"""),"23ft Skiff (Bertha) FL7972LJ DEP07613")</f>
        <v>23ft Skiff (Bertha) FL7972LJ DEP07613</v>
      </c>
      <c r="M306" t="str">
        <f ca="1">IFERROR(__xludf.DUMMYFUNCTION("""COMPUTED_VALUE"""),"Ford F150 2015 (White) - DEP21448")</f>
        <v>Ford F150 2015 (White) - DEP21448</v>
      </c>
      <c r="N306" t="str">
        <f ca="1">IFERROR(__xludf.DUMMYFUNCTION("""COMPUTED_VALUE"""),"Shannon Dunnigan, (803) 727-5734, Silas Tanner, (904) 483-8423")</f>
        <v>Shannon Dunnigan, (803) 727-5734, Silas Tanner, (904) 483-8423</v>
      </c>
      <c r="O306" t="str">
        <f ca="1">IFERROR(__xludf.DUMMYFUNCTION("""COMPUTED_VALUE"""),"Maddy Paris, Molly Dent, Chris Kurtz, Cameron Rumsey")</f>
        <v>Maddy Paris, Molly Dent, Chris Kurtz, Cameron Rumsey</v>
      </c>
      <c r="P306" t="str">
        <f ca="1">IFERROR(__xludf.DUMMYFUNCTION("""COMPUTED_VALUE"""),"S. Dunnigan")</f>
        <v>S. Dunnigan</v>
      </c>
      <c r="Q306" t="str">
        <f ca="1">IFERROR(__xludf.DUMMYFUNCTION("""COMPUTED_VALUE"""),"Good")</f>
        <v>Good</v>
      </c>
      <c r="R306" t="str">
        <f ca="1">IFERROR(__xludf.DUMMYFUNCTION("""COMPUTED_VALUE"""),"Good")</f>
        <v>Good</v>
      </c>
      <c r="S306" t="str">
        <f ca="1">IFERROR(__xludf.DUMMYFUNCTION("""COMPUTED_VALUE"""),"Good")</f>
        <v>Good</v>
      </c>
      <c r="T306" t="str">
        <f ca="1">IFERROR(__xludf.DUMMYFUNCTION("""COMPUTED_VALUE"""),"Good")</f>
        <v>Good</v>
      </c>
      <c r="U306" t="str">
        <f ca="1">IFERROR(__xludf.DUMMYFUNCTION("""COMPUTED_VALUE"""),"Good")</f>
        <v>Good</v>
      </c>
      <c r="V306" t="str">
        <f ca="1">IFERROR(__xludf.DUMMYFUNCTION("""COMPUTED_VALUE"""),"Good")</f>
        <v>Good</v>
      </c>
      <c r="W306" t="str">
        <f ca="1">IFERROR(__xludf.DUMMYFUNCTION("""COMPUTED_VALUE"""),"Good")</f>
        <v>Good</v>
      </c>
      <c r="X306" t="str">
        <f ca="1">IFERROR(__xludf.DUMMYFUNCTION("""COMPUTED_VALUE"""),"Good")</f>
        <v>Good</v>
      </c>
      <c r="Y306" t="str">
        <f ca="1">IFERROR(__xludf.DUMMYFUNCTION("""COMPUTED_VALUE"""),"Good")</f>
        <v>Good</v>
      </c>
      <c r="Z306" t="str">
        <f ca="1">IFERROR(__xludf.DUMMYFUNCTION("""COMPUTED_VALUE"""),"Good")</f>
        <v>Good</v>
      </c>
      <c r="AA306" t="str">
        <f ca="1">IFERROR(__xludf.DUMMYFUNCTION("""COMPUTED_VALUE"""),"Good")</f>
        <v>Good</v>
      </c>
      <c r="AB306" t="str">
        <f ca="1">IFERROR(__xludf.DUMMYFUNCTION("""COMPUTED_VALUE"""),"Good")</f>
        <v>Good</v>
      </c>
      <c r="AC306" t="str">
        <f ca="1">IFERROR(__xludf.DUMMYFUNCTION("""COMPUTED_VALUE"""),"Good")</f>
        <v>Good</v>
      </c>
      <c r="AE306" s="11"/>
      <c r="AF306" t="str">
        <v>Nikki.Dix@floridadep.gov</v>
      </c>
      <c r="AG306" s="17" t="s">
        <v>17</v>
      </c>
      <c r="AH306" s="12">
        <v>1210</v>
      </c>
      <c r="AI306" s="12" t="s">
        <v>865</v>
      </c>
      <c r="AJ306" s="19" t="s">
        <v>866</v>
      </c>
      <c r="AK306" s="20" t="str">
        <f>HYPERLINK("https://docs.google.com/document/d/1QxaRdHvDAJbUR2d5Aif51DAoEGlkAzlCnhkf3ioW5X8/edit?usp=drivesdk","Silas Tanner - 5/20/2019 10:00 AM")</f>
        <v>Silas Tanner - 5/20/2019 10:00 AM</v>
      </c>
      <c r="AL306" s="12" t="s">
        <v>867</v>
      </c>
    </row>
    <row r="307" spans="1:38" ht="12.75">
      <c r="A307" s="10">
        <f ca="1">IFERROR(__xludf.DUMMYFUNCTION("""COMPUTED_VALUE"""),43605.3617204166)</f>
        <v>43605.3617204166</v>
      </c>
      <c r="B307" s="11" t="str">
        <f ca="1">IFERROR(__xludf.DUMMYFUNCTION("""COMPUTED_VALUE"""),"Jimmy Tomazinis")</f>
        <v>Jimmy Tomazinis</v>
      </c>
      <c r="C307" t="str">
        <f ca="1">IFERROR(__xludf.DUMMYFUNCTION("""COMPUTED_VALUE"""),"james.tomazinis@floridadep.gov")</f>
        <v>james.tomazinis@floridadep.gov</v>
      </c>
      <c r="D307" t="str">
        <f ca="1">IFERROR(__xludf.DUMMYFUNCTION("""COMPUTED_VALUE"""),"Stewardship (Aquatic)")</f>
        <v>Stewardship (Aquatic)</v>
      </c>
      <c r="E307" t="str">
        <f ca="1">IFERROR(__xludf.DUMMYFUNCTION("""COMPUTED_VALUE"""),"Palms Fish Camp, Nassauville")</f>
        <v>Palms Fish Camp, Nassauville</v>
      </c>
      <c r="F307" s="13">
        <f ca="1">IFERROR(__xludf.DUMMYFUNCTION("""COMPUTED_VALUE"""),0.4375)</f>
        <v>0.4375</v>
      </c>
      <c r="G307" s="14">
        <f ca="1">IFERROR(__xludf.DUMMYFUNCTION("""COMPUTED_VALUE"""),43605)</f>
        <v>43605</v>
      </c>
      <c r="H307" t="str">
        <f ca="1">IFERROR(__xludf.DUMMYFUNCTION("""COMPUTED_VALUE"""),"NEWQ sites")</f>
        <v>NEWQ sites</v>
      </c>
      <c r="I307" s="15">
        <f ca="1">IFERROR(__xludf.DUMMYFUNCTION("""COMPUTED_VALUE"""),0.70833333333212)</f>
        <v>0.70833333333212001</v>
      </c>
      <c r="J307" s="16"/>
      <c r="K307" t="str">
        <f ca="1">IFERROR(__xludf.DUMMYFUNCTION("""COMPUTED_VALUE"""),"17ft Skill FL0642GW DEP07239")</f>
        <v>17ft Skill FL0642GW DEP07239</v>
      </c>
      <c r="M307" t="str">
        <f ca="1">IFERROR(__xludf.DUMMYFUNCTION("""COMPUTED_VALUE"""),"Ford F150 2008 - DEP18041 (SWMP Thing)")</f>
        <v>Ford F150 2008 - DEP18041 (SWMP Thing)</v>
      </c>
      <c r="N307" t="str">
        <f ca="1">IFERROR(__xludf.DUMMYFUNCTION("""COMPUTED_VALUE"""),"Jimmy Tomazinis, (904) 547-0094, Scott Eastman")</f>
        <v>Jimmy Tomazinis, (904) 547-0094, Scott Eastman</v>
      </c>
      <c r="P307" t="str">
        <f ca="1">IFERROR(__xludf.DUMMYFUNCTION("""COMPUTED_VALUE"""),"Jimmy")</f>
        <v>Jimmy</v>
      </c>
      <c r="Q307" t="str">
        <f ca="1">IFERROR(__xludf.DUMMYFUNCTION("""COMPUTED_VALUE"""),"Good")</f>
        <v>Good</v>
      </c>
      <c r="R307" t="str">
        <f ca="1">IFERROR(__xludf.DUMMYFUNCTION("""COMPUTED_VALUE"""),"Good")</f>
        <v>Good</v>
      </c>
      <c r="S307" t="str">
        <f ca="1">IFERROR(__xludf.DUMMYFUNCTION("""COMPUTED_VALUE"""),"Good")</f>
        <v>Good</v>
      </c>
      <c r="T307" t="str">
        <f ca="1">IFERROR(__xludf.DUMMYFUNCTION("""COMPUTED_VALUE"""),"Good")</f>
        <v>Good</v>
      </c>
      <c r="U307" t="str">
        <f ca="1">IFERROR(__xludf.DUMMYFUNCTION("""COMPUTED_VALUE"""),"Good")</f>
        <v>Good</v>
      </c>
      <c r="V307" t="str">
        <f ca="1">IFERROR(__xludf.DUMMYFUNCTION("""COMPUTED_VALUE"""),"Good")</f>
        <v>Good</v>
      </c>
      <c r="W307" t="str">
        <f ca="1">IFERROR(__xludf.DUMMYFUNCTION("""COMPUTED_VALUE"""),"Good")</f>
        <v>Good</v>
      </c>
      <c r="X307" t="str">
        <f ca="1">IFERROR(__xludf.DUMMYFUNCTION("""COMPUTED_VALUE"""),"Good")</f>
        <v>Good</v>
      </c>
      <c r="Y307" t="str">
        <f ca="1">IFERROR(__xludf.DUMMYFUNCTION("""COMPUTED_VALUE"""),"Good")</f>
        <v>Good</v>
      </c>
      <c r="Z307" t="str">
        <f ca="1">IFERROR(__xludf.DUMMYFUNCTION("""COMPUTED_VALUE"""),"Good")</f>
        <v>Good</v>
      </c>
      <c r="AA307" t="str">
        <f ca="1">IFERROR(__xludf.DUMMYFUNCTION("""COMPUTED_VALUE"""),"Good")</f>
        <v>Good</v>
      </c>
      <c r="AB307" t="str">
        <f ca="1">IFERROR(__xludf.DUMMYFUNCTION("""COMPUTED_VALUE"""),"Good")</f>
        <v>Good</v>
      </c>
      <c r="AC307" t="str">
        <f ca="1">IFERROR(__xludf.DUMMYFUNCTION("""COMPUTED_VALUE"""),"Good")</f>
        <v>Good</v>
      </c>
      <c r="AE307" s="11"/>
      <c r="AF307" t="str">
        <v>Scott.Eastman@floridadep.gov</v>
      </c>
      <c r="AG307" s="17" t="s">
        <v>17</v>
      </c>
      <c r="AH307" s="12">
        <v>1620</v>
      </c>
      <c r="AI307" s="12" t="s">
        <v>868</v>
      </c>
      <c r="AJ307" s="19" t="s">
        <v>869</v>
      </c>
      <c r="AK307" s="20" t="str">
        <f>HYPERLINK("https://docs.google.com/document/d/10yd_QWoX4-uGTi1hSALQIVk7-NQdFiPnAMvkiRZydsQ/edit?usp=drivesdk","Jimmy Tomazinis - 5/20/2019 10:30 AM")</f>
        <v>Jimmy Tomazinis - 5/20/2019 10:30 AM</v>
      </c>
      <c r="AL307" s="12" t="s">
        <v>870</v>
      </c>
    </row>
    <row r="308" spans="1:38" ht="12.75">
      <c r="A308" s="10">
        <f ca="1">IFERROR(__xludf.DUMMYFUNCTION("""COMPUTED_VALUE"""),43606.344595625)</f>
        <v>43606.344595625</v>
      </c>
      <c r="B308" s="11" t="str">
        <f ca="1">IFERROR(__xludf.DUMMYFUNCTION("""COMPUTED_VALUE"""),"Pam Marcum")</f>
        <v>Pam Marcum</v>
      </c>
      <c r="C308" t="str">
        <f ca="1">IFERROR(__xludf.DUMMYFUNCTION("""COMPUTED_VALUE"""),"pamela.marcum@dep.state.fl.us")</f>
        <v>pamela.marcum@dep.state.fl.us</v>
      </c>
      <c r="D308" t="str">
        <f ca="1">IFERROR(__xludf.DUMMYFUNCTION("""COMPUTED_VALUE"""),"Research/Nikki")</f>
        <v>Research/Nikki</v>
      </c>
      <c r="E308" t="str">
        <f ca="1">IFERROR(__xludf.DUMMYFUNCTION("""COMPUTED_VALUE"""),"Shore")</f>
        <v>Shore</v>
      </c>
      <c r="F308" s="13">
        <f ca="1">IFERROR(__xludf.DUMMYFUNCTION("""COMPUTED_VALUE"""),0.34375)</f>
        <v>0.34375</v>
      </c>
      <c r="G308" s="14">
        <f ca="1">IFERROR(__xludf.DUMMYFUNCTION("""COMPUTED_VALUE"""),43606)</f>
        <v>43606</v>
      </c>
      <c r="H308" t="str">
        <f ca="1">IFERROR(__xludf.DUMMYFUNCTION("""COMPUTED_VALUE"""),"Gabbys Creek")</f>
        <v>Gabbys Creek</v>
      </c>
      <c r="I308" s="15">
        <f ca="1">IFERROR(__xludf.DUMMYFUNCTION("""COMPUTED_VALUE"""),0.70833333333212)</f>
        <v>0.70833333333212001</v>
      </c>
      <c r="J308" s="16">
        <f ca="1">IFERROR(__xludf.DUMMYFUNCTION("""COMPUTED_VALUE"""),43606.75)</f>
        <v>43606.75</v>
      </c>
      <c r="K308" t="str">
        <f ca="1">IFERROR(__xludf.DUMMYFUNCTION("""COMPUTED_VALUE"""),"20ft Sea Ark FL5351SJ UNF 2015")</f>
        <v>20ft Sea Ark FL5351SJ UNF 2015</v>
      </c>
      <c r="M308" t="str">
        <f ca="1">IFERROR(__xludf.DUMMYFUNCTION("""COMPUTED_VALUE"""),"Ford F150 2008 - DEP18041 (SWMP Thing)")</f>
        <v>Ford F150 2008 - DEP18041 (SWMP Thing)</v>
      </c>
      <c r="N308" t="str">
        <f ca="1">IFERROR(__xludf.DUMMYFUNCTION("""COMPUTED_VALUE"""),"Pam Marcum, (480) 332-5414, Matt Hayes")</f>
        <v>Pam Marcum, (480) 332-5414, Matt Hayes</v>
      </c>
      <c r="O308" t="str">
        <f ca="1">IFERROR(__xludf.DUMMYFUNCTION("""COMPUTED_VALUE"""),"Sam, Candy, Emily")</f>
        <v>Sam, Candy, Emily</v>
      </c>
      <c r="P308" t="str">
        <f ca="1">IFERROR(__xludf.DUMMYFUNCTION("""COMPUTED_VALUE"""),"Pam")</f>
        <v>Pam</v>
      </c>
      <c r="Q308" t="str">
        <f ca="1">IFERROR(__xludf.DUMMYFUNCTION("""COMPUTED_VALUE"""),"Good")</f>
        <v>Good</v>
      </c>
      <c r="R308" t="str">
        <f ca="1">IFERROR(__xludf.DUMMYFUNCTION("""COMPUTED_VALUE"""),"Good")</f>
        <v>Good</v>
      </c>
      <c r="S308" t="str">
        <f ca="1">IFERROR(__xludf.DUMMYFUNCTION("""COMPUTED_VALUE"""),"Good")</f>
        <v>Good</v>
      </c>
      <c r="T308" t="str">
        <f ca="1">IFERROR(__xludf.DUMMYFUNCTION("""COMPUTED_VALUE"""),"Good")</f>
        <v>Good</v>
      </c>
      <c r="U308" t="str">
        <f ca="1">IFERROR(__xludf.DUMMYFUNCTION("""COMPUTED_VALUE"""),"Good")</f>
        <v>Good</v>
      </c>
      <c r="V308" t="str">
        <f ca="1">IFERROR(__xludf.DUMMYFUNCTION("""COMPUTED_VALUE"""),"Good")</f>
        <v>Good</v>
      </c>
      <c r="W308" t="str">
        <f ca="1">IFERROR(__xludf.DUMMYFUNCTION("""COMPUTED_VALUE"""),"Good")</f>
        <v>Good</v>
      </c>
      <c r="X308" t="str">
        <f ca="1">IFERROR(__xludf.DUMMYFUNCTION("""COMPUTED_VALUE"""),"Good")</f>
        <v>Good</v>
      </c>
      <c r="Y308" t="str">
        <f ca="1">IFERROR(__xludf.DUMMYFUNCTION("""COMPUTED_VALUE"""),"Good")</f>
        <v>Good</v>
      </c>
      <c r="Z308" t="str">
        <f ca="1">IFERROR(__xludf.DUMMYFUNCTION("""COMPUTED_VALUE"""),"Good")</f>
        <v>Good</v>
      </c>
      <c r="AA308" t="str">
        <f ca="1">IFERROR(__xludf.DUMMYFUNCTION("""COMPUTED_VALUE"""),"Good")</f>
        <v>Good</v>
      </c>
      <c r="AB308" t="str">
        <f ca="1">IFERROR(__xludf.DUMMYFUNCTION("""COMPUTED_VALUE"""),"Good")</f>
        <v>Good</v>
      </c>
      <c r="AC308" t="str">
        <f ca="1">IFERROR(__xludf.DUMMYFUNCTION("""COMPUTED_VALUE"""),"Good")</f>
        <v>Good</v>
      </c>
      <c r="AE308" s="11"/>
      <c r="AF308" t="str">
        <v>Nikki.Dix@floridadep.gov</v>
      </c>
      <c r="AG308" s="17" t="s">
        <v>17</v>
      </c>
      <c r="AH308" s="12">
        <v>1300</v>
      </c>
      <c r="AI308" s="12" t="s">
        <v>871</v>
      </c>
      <c r="AJ308" s="19" t="s">
        <v>872</v>
      </c>
      <c r="AK308" s="20" t="str">
        <f>HYPERLINK("https://docs.google.com/document/d/1oALdN25ww9lJ48fXJMH1m20lIQx2AKySaSRbjgF26Cc/edit?usp=drivesdk","Pam Marcum - 5/21/2019 8:15 AM")</f>
        <v>Pam Marcum - 5/21/2019 8:15 AM</v>
      </c>
      <c r="AL308" s="12" t="s">
        <v>873</v>
      </c>
    </row>
    <row r="309" spans="1:38" ht="12.75">
      <c r="A309" s="10">
        <f ca="1">IFERROR(__xludf.DUMMYFUNCTION("""COMPUTED_VALUE"""),43606.347828287)</f>
        <v>43606.347828286998</v>
      </c>
      <c r="B309" s="11" t="str">
        <f ca="1">IFERROR(__xludf.DUMMYFUNCTION("""COMPUTED_VALUE"""),"Gabby Canas")</f>
        <v>Gabby Canas</v>
      </c>
      <c r="C309" t="str">
        <f ca="1">IFERROR(__xludf.DUMMYFUNCTION("""COMPUTED_VALUE"""),"Gabby.Canas@dep.state.fl.us")</f>
        <v>Gabby.Canas@dep.state.fl.us</v>
      </c>
      <c r="D309" t="str">
        <f ca="1">IFERROR(__xludf.DUMMYFUNCTION("""COMPUTED_VALUE"""),"Research/Nikki")</f>
        <v>Research/Nikki</v>
      </c>
      <c r="E309" t="str">
        <f ca="1">IFERROR(__xludf.DUMMYFUNCTION("""COMPUTED_VALUE"""),"Shore")</f>
        <v>Shore</v>
      </c>
      <c r="F309" s="13">
        <f ca="1">IFERROR(__xludf.DUMMYFUNCTION("""COMPUTED_VALUE"""),0.36458333333212)</f>
        <v>0.36458333333212001</v>
      </c>
      <c r="G309" s="14">
        <f ca="1">IFERROR(__xludf.DUMMYFUNCTION("""COMPUTED_VALUE"""),43606)</f>
        <v>43606</v>
      </c>
      <c r="H309" t="str">
        <f ca="1">IFERROR(__xludf.DUMMYFUNCTION("""COMPUTED_VALUE"""),"Gabbys Creek")</f>
        <v>Gabbys Creek</v>
      </c>
      <c r="I309" s="15">
        <f ca="1">IFERROR(__xludf.DUMMYFUNCTION("""COMPUTED_VALUE"""),0.70833333333212)</f>
        <v>0.70833333333212001</v>
      </c>
      <c r="J309" s="16">
        <f ca="1">IFERROR(__xludf.DUMMYFUNCTION("""COMPUTED_VALUE"""),43606.75)</f>
        <v>43606.75</v>
      </c>
      <c r="K309" t="str">
        <f ca="1">IFERROR(__xludf.DUMMYFUNCTION("""COMPUTED_VALUE"""),"23ft Skiff (Bertha) FL7972LJ DEP07613")</f>
        <v>23ft Skiff (Bertha) FL7972LJ DEP07613</v>
      </c>
      <c r="M309" t="str">
        <f ca="1">IFERROR(__xludf.DUMMYFUNCTION("""COMPUTED_VALUE"""),"Ford F150 2015 (White) - DEP21448")</f>
        <v>Ford F150 2015 (White) - DEP21448</v>
      </c>
      <c r="N309" t="str">
        <f ca="1">IFERROR(__xludf.DUMMYFUNCTION("""COMPUTED_VALUE"""),"Ches Vervake")</f>
        <v>Ches Vervake</v>
      </c>
      <c r="O309" t="str">
        <f ca="1">IFERROR(__xludf.DUMMYFUNCTION("""COMPUTED_VALUE"""),"Gabriela Canas, (904) 891-9743, Harris, Mark, Alex, Adam")</f>
        <v>Gabriela Canas, (904) 891-9743, Harris, Mark, Alex, Adam</v>
      </c>
      <c r="P309" t="str">
        <f ca="1">IFERROR(__xludf.DUMMYFUNCTION("""COMPUTED_VALUE"""),"Ches")</f>
        <v>Ches</v>
      </c>
      <c r="Q309" t="str">
        <f ca="1">IFERROR(__xludf.DUMMYFUNCTION("""COMPUTED_VALUE"""),"Good")</f>
        <v>Good</v>
      </c>
      <c r="R309" t="str">
        <f ca="1">IFERROR(__xludf.DUMMYFUNCTION("""COMPUTED_VALUE"""),"Good")</f>
        <v>Good</v>
      </c>
      <c r="S309" t="str">
        <f ca="1">IFERROR(__xludf.DUMMYFUNCTION("""COMPUTED_VALUE"""),"Good")</f>
        <v>Good</v>
      </c>
      <c r="T309" t="str">
        <f ca="1">IFERROR(__xludf.DUMMYFUNCTION("""COMPUTED_VALUE"""),"Good")</f>
        <v>Good</v>
      </c>
      <c r="U309" t="str">
        <f ca="1">IFERROR(__xludf.DUMMYFUNCTION("""COMPUTED_VALUE"""),"Good")</f>
        <v>Good</v>
      </c>
      <c r="V309" t="str">
        <f ca="1">IFERROR(__xludf.DUMMYFUNCTION("""COMPUTED_VALUE"""),"Good")</f>
        <v>Good</v>
      </c>
      <c r="W309" t="str">
        <f ca="1">IFERROR(__xludf.DUMMYFUNCTION("""COMPUTED_VALUE"""),"Good")</f>
        <v>Good</v>
      </c>
      <c r="X309" t="str">
        <f ca="1">IFERROR(__xludf.DUMMYFUNCTION("""COMPUTED_VALUE"""),"Good")</f>
        <v>Good</v>
      </c>
      <c r="Y309" t="str">
        <f ca="1">IFERROR(__xludf.DUMMYFUNCTION("""COMPUTED_VALUE"""),"Good")</f>
        <v>Good</v>
      </c>
      <c r="Z309" t="str">
        <f ca="1">IFERROR(__xludf.DUMMYFUNCTION("""COMPUTED_VALUE"""),"Good")</f>
        <v>Good</v>
      </c>
      <c r="AA309" t="str">
        <f ca="1">IFERROR(__xludf.DUMMYFUNCTION("""COMPUTED_VALUE"""),"Good")</f>
        <v>Good</v>
      </c>
      <c r="AB309" t="str">
        <f ca="1">IFERROR(__xludf.DUMMYFUNCTION("""COMPUTED_VALUE"""),"Good")</f>
        <v>Good</v>
      </c>
      <c r="AC309" t="str">
        <f ca="1">IFERROR(__xludf.DUMMYFUNCTION("""COMPUTED_VALUE"""),"Good")</f>
        <v>Good</v>
      </c>
      <c r="AE309" s="11"/>
      <c r="AF309" t="str">
        <v>Nikki.Dix@floridadep.gov</v>
      </c>
      <c r="AG309" s="17" t="s">
        <v>41</v>
      </c>
      <c r="AH309" s="12">
        <v>1613</v>
      </c>
      <c r="AI309" s="12" t="s">
        <v>874</v>
      </c>
      <c r="AJ309" s="19" t="s">
        <v>875</v>
      </c>
      <c r="AK309" s="20" t="str">
        <f>HYPERLINK("https://docs.google.com/document/d/1TGJKwqK7tl-baAbH_IHsAK1BxN4w_NGJpCrIFFEFTWI/edit?usp=drivesdk","Gabby Canas - 5/21/2019 8:45 AM")</f>
        <v>Gabby Canas - 5/21/2019 8:45 AM</v>
      </c>
      <c r="AL309" s="12" t="s">
        <v>876</v>
      </c>
    </row>
    <row r="310" spans="1:38" ht="12.75">
      <c r="A310" s="10">
        <f ca="1">IFERROR(__xludf.DUMMYFUNCTION("""COMPUTED_VALUE"""),43608.3005553819)</f>
        <v>43608.300555381902</v>
      </c>
      <c r="B310" s="11" t="str">
        <f ca="1">IFERROR(__xludf.DUMMYFUNCTION("""COMPUTED_VALUE"""),"Gabriela Canas")</f>
        <v>Gabriela Canas</v>
      </c>
      <c r="C310" t="str">
        <f ca="1">IFERROR(__xludf.DUMMYFUNCTION("""COMPUTED_VALUE"""),"gabriela.canas@dep.state.fl.us")</f>
        <v>gabriela.canas@dep.state.fl.us</v>
      </c>
      <c r="D310" t="str">
        <f ca="1">IFERROR(__xludf.DUMMYFUNCTION("""COMPUTED_VALUE"""),"Research/Nikki")</f>
        <v>Research/Nikki</v>
      </c>
      <c r="E310" t="str">
        <f ca="1">IFERROR(__xludf.DUMMYFUNCTION("""COMPUTED_VALUE"""),"Douglas crane")</f>
        <v>Douglas crane</v>
      </c>
      <c r="F310" s="13">
        <f ca="1">IFERROR(__xludf.DUMMYFUNCTION("""COMPUTED_VALUE"""),0.3125)</f>
        <v>0.3125</v>
      </c>
      <c r="G310" s="14">
        <f ca="1">IFERROR(__xludf.DUMMYFUNCTION("""COMPUTED_VALUE"""),43608)</f>
        <v>43608</v>
      </c>
      <c r="H310" t="str">
        <f ca="1">IFERROR(__xludf.DUMMYFUNCTION("""COMPUTED_VALUE"""),"Gabby creek")</f>
        <v>Gabby creek</v>
      </c>
      <c r="I310" s="15">
        <f ca="1">IFERROR(__xludf.DUMMYFUNCTION("""COMPUTED_VALUE"""),0.604166666667879)</f>
        <v>0.60416666666787899</v>
      </c>
      <c r="J310" s="16">
        <f ca="1">IFERROR(__xludf.DUMMYFUNCTION("""COMPUTED_VALUE"""),43608.6354166666)</f>
        <v>43608.635416666599</v>
      </c>
      <c r="K310" t="str">
        <f ca="1">IFERROR(__xludf.DUMMYFUNCTION("""COMPUTED_VALUE"""),"23ft Skiff (Bertha) FL7972LJ DEP07613")</f>
        <v>23ft Skiff (Bertha) FL7972LJ DEP07613</v>
      </c>
      <c r="M310" t="str">
        <f ca="1">IFERROR(__xludf.DUMMYFUNCTION("""COMPUTED_VALUE"""),"Ford F150 2015 (White) - DEP21448")</f>
        <v>Ford F150 2015 (White) - DEP21448</v>
      </c>
      <c r="N310" t="str">
        <f ca="1">IFERROR(__xludf.DUMMYFUNCTION("""COMPUTED_VALUE"""),"Matt Hayes")</f>
        <v>Matt Hayes</v>
      </c>
      <c r="O310" t="str">
        <f ca="1">IFERROR(__xludf.DUMMYFUNCTION("""COMPUTED_VALUE"""),"Gabriela Canas, (904) 891-9743")</f>
        <v>Gabriela Canas, (904) 891-9743</v>
      </c>
      <c r="P310" t="str">
        <f ca="1">IFERROR(__xludf.DUMMYFUNCTION("""COMPUTED_VALUE"""),"Matt Hayes")</f>
        <v>Matt Hayes</v>
      </c>
      <c r="Q310" t="str">
        <f ca="1">IFERROR(__xludf.DUMMYFUNCTION("""COMPUTED_VALUE"""),"Good")</f>
        <v>Good</v>
      </c>
      <c r="R310" t="str">
        <f ca="1">IFERROR(__xludf.DUMMYFUNCTION("""COMPUTED_VALUE"""),"Good")</f>
        <v>Good</v>
      </c>
      <c r="S310" t="str">
        <f ca="1">IFERROR(__xludf.DUMMYFUNCTION("""COMPUTED_VALUE"""),"Good")</f>
        <v>Good</v>
      </c>
      <c r="T310" t="str">
        <f ca="1">IFERROR(__xludf.DUMMYFUNCTION("""COMPUTED_VALUE"""),"Good")</f>
        <v>Good</v>
      </c>
      <c r="U310" t="str">
        <f ca="1">IFERROR(__xludf.DUMMYFUNCTION("""COMPUTED_VALUE"""),"Good")</f>
        <v>Good</v>
      </c>
      <c r="V310" t="str">
        <f ca="1">IFERROR(__xludf.DUMMYFUNCTION("""COMPUTED_VALUE"""),"Good")</f>
        <v>Good</v>
      </c>
      <c r="W310" t="str">
        <f ca="1">IFERROR(__xludf.DUMMYFUNCTION("""COMPUTED_VALUE"""),"Good")</f>
        <v>Good</v>
      </c>
      <c r="X310" t="str">
        <f ca="1">IFERROR(__xludf.DUMMYFUNCTION("""COMPUTED_VALUE"""),"Good")</f>
        <v>Good</v>
      </c>
      <c r="Y310" t="str">
        <f ca="1">IFERROR(__xludf.DUMMYFUNCTION("""COMPUTED_VALUE"""),"Good")</f>
        <v>Good</v>
      </c>
      <c r="Z310" t="str">
        <f ca="1">IFERROR(__xludf.DUMMYFUNCTION("""COMPUTED_VALUE"""),"Good")</f>
        <v>Good</v>
      </c>
      <c r="AA310" t="str">
        <f ca="1">IFERROR(__xludf.DUMMYFUNCTION("""COMPUTED_VALUE"""),"Good")</f>
        <v>Good</v>
      </c>
      <c r="AB310" t="str">
        <f ca="1">IFERROR(__xludf.DUMMYFUNCTION("""COMPUTED_VALUE"""),"Good")</f>
        <v>Good</v>
      </c>
      <c r="AC310" t="str">
        <f ca="1">IFERROR(__xludf.DUMMYFUNCTION("""COMPUTED_VALUE"""),"Good")</f>
        <v>Good</v>
      </c>
      <c r="AD310" t="str">
        <f ca="1">IFERROR(__xludf.DUMMYFUNCTION("""COMPUTED_VALUE"""),"Goos")</f>
        <v>Goos</v>
      </c>
      <c r="AE310" s="11" t="str">
        <f ca="1">IFERROR(__xludf.DUMMYFUNCTION("""COMPUTED_VALUE"""),"Good")</f>
        <v>Good</v>
      </c>
      <c r="AF310" t="str">
        <v>Nikki.Dix@floridadep.gov</v>
      </c>
      <c r="AG310" s="17" t="s">
        <v>58</v>
      </c>
      <c r="AH310" s="12">
        <v>1334</v>
      </c>
      <c r="AI310" s="12" t="s">
        <v>877</v>
      </c>
      <c r="AJ310" s="19" t="s">
        <v>878</v>
      </c>
      <c r="AK310" s="20" t="str">
        <f>HYPERLINK("https://docs.google.com/document/d/1AE-X1g5JwYwKIewk8HKwamVWj8F3gqOdlwE6ACEbgo8/edit?usp=drivesdk","Gabriela Canas - 5/23/2019 7:30 AM")</f>
        <v>Gabriela Canas - 5/23/2019 7:30 AM</v>
      </c>
      <c r="AL310" s="12" t="s">
        <v>879</v>
      </c>
    </row>
    <row r="311" spans="1:38" ht="12.75">
      <c r="A311" s="10">
        <f ca="1">IFERROR(__xludf.DUMMYFUNCTION("""COMPUTED_VALUE"""),43615.6975249884)</f>
        <v>43615.697524988398</v>
      </c>
      <c r="B311" s="11" t="str">
        <f ca="1">IFERROR(__xludf.DUMMYFUNCTION("""COMPUTED_VALUE"""),"Jimmy")</f>
        <v>Jimmy</v>
      </c>
      <c r="C311" t="str">
        <f ca="1">IFERROR(__xludf.DUMMYFUNCTION("""COMPUTED_VALUE"""),"james.tomazinis@floridadep.gov")</f>
        <v>james.tomazinis@floridadep.gov</v>
      </c>
      <c r="D311" t="str">
        <f ca="1">IFERROR(__xludf.DUMMYFUNCTION("""COMPUTED_VALUE"""),"Stewardship (Aquatic)")</f>
        <v>Stewardship (Aquatic)</v>
      </c>
      <c r="E311" t="str">
        <f ca="1">IFERROR(__xludf.DUMMYFUNCTION("""COMPUTED_VALUE"""),"Beach Blvd")</f>
        <v>Beach Blvd</v>
      </c>
      <c r="F311" s="13">
        <f ca="1">IFERROR(__xludf.DUMMYFUNCTION("""COMPUTED_VALUE"""),0.5625)</f>
        <v>0.5625</v>
      </c>
      <c r="G311" s="14">
        <f ca="1">IFERROR(__xludf.DUMMYFUNCTION("""COMPUTED_VALUE"""),43616)</f>
        <v>43616</v>
      </c>
      <c r="H311" t="str">
        <f ca="1">IFERROR(__xludf.DUMMYFUNCTION("""COMPUTED_VALUE"""),"Pablo and Sisters Creek")</f>
        <v>Pablo and Sisters Creek</v>
      </c>
      <c r="I311" s="15">
        <f ca="1">IFERROR(__xludf.DUMMYFUNCTION("""COMPUTED_VALUE"""),0.75)</f>
        <v>0.75</v>
      </c>
      <c r="J311" s="16"/>
      <c r="K311" t="str">
        <f ca="1">IFERROR(__xludf.DUMMYFUNCTION("""COMPUTED_VALUE"""),"23ft Skiff (Bertha) FL7972LJ DEP07613")</f>
        <v>23ft Skiff (Bertha) FL7972LJ DEP07613</v>
      </c>
      <c r="M311" t="str">
        <f ca="1">IFERROR(__xludf.DUMMYFUNCTION("""COMPUTED_VALUE"""),"Ford F250 2017 (Moby Dix) - DEP0021578")</f>
        <v>Ford F250 2017 (Moby Dix) - DEP0021578</v>
      </c>
      <c r="N311" t="str">
        <f ca="1">IFERROR(__xludf.DUMMYFUNCTION("""COMPUTED_VALUE"""),"Jimmy Tomazinis, (904) 547-0094")</f>
        <v>Jimmy Tomazinis, (904) 547-0094</v>
      </c>
      <c r="O311" t="str">
        <f ca="1">IFERROR(__xludf.DUMMYFUNCTION("""COMPUTED_VALUE"""),"Kelly Smith, Craig Hargis, Chris Kurtz")</f>
        <v>Kelly Smith, Craig Hargis, Chris Kurtz</v>
      </c>
      <c r="P311" t="str">
        <f ca="1">IFERROR(__xludf.DUMMYFUNCTION("""COMPUTED_VALUE"""),"Jimmy")</f>
        <v>Jimmy</v>
      </c>
      <c r="Q311" t="str">
        <f ca="1">IFERROR(__xludf.DUMMYFUNCTION("""COMPUTED_VALUE"""),"Good")</f>
        <v>Good</v>
      </c>
      <c r="R311" t="str">
        <f ca="1">IFERROR(__xludf.DUMMYFUNCTION("""COMPUTED_VALUE"""),"Good")</f>
        <v>Good</v>
      </c>
      <c r="S311" t="str">
        <f ca="1">IFERROR(__xludf.DUMMYFUNCTION("""COMPUTED_VALUE"""),"Good")</f>
        <v>Good</v>
      </c>
      <c r="T311" t="str">
        <f ca="1">IFERROR(__xludf.DUMMYFUNCTION("""COMPUTED_VALUE"""),"Good")</f>
        <v>Good</v>
      </c>
      <c r="U311" t="str">
        <f ca="1">IFERROR(__xludf.DUMMYFUNCTION("""COMPUTED_VALUE"""),"Good")</f>
        <v>Good</v>
      </c>
      <c r="V311" t="str">
        <f ca="1">IFERROR(__xludf.DUMMYFUNCTION("""COMPUTED_VALUE"""),"Good")</f>
        <v>Good</v>
      </c>
      <c r="W311" t="str">
        <f ca="1">IFERROR(__xludf.DUMMYFUNCTION("""COMPUTED_VALUE"""),"Good")</f>
        <v>Good</v>
      </c>
      <c r="X311" t="str">
        <f ca="1">IFERROR(__xludf.DUMMYFUNCTION("""COMPUTED_VALUE"""),"Good")</f>
        <v>Good</v>
      </c>
      <c r="Y311" t="str">
        <f ca="1">IFERROR(__xludf.DUMMYFUNCTION("""COMPUTED_VALUE"""),"Good")</f>
        <v>Good</v>
      </c>
      <c r="Z311" t="str">
        <f ca="1">IFERROR(__xludf.DUMMYFUNCTION("""COMPUTED_VALUE"""),"Good")</f>
        <v>Good</v>
      </c>
      <c r="AA311" t="str">
        <f ca="1">IFERROR(__xludf.DUMMYFUNCTION("""COMPUTED_VALUE"""),"Good")</f>
        <v>Good</v>
      </c>
      <c r="AB311" t="str">
        <f ca="1">IFERROR(__xludf.DUMMYFUNCTION("""COMPUTED_VALUE"""),"Good")</f>
        <v>Good</v>
      </c>
      <c r="AC311" t="str">
        <f ca="1">IFERROR(__xludf.DUMMYFUNCTION("""COMPUTED_VALUE"""),"Good")</f>
        <v>Good</v>
      </c>
      <c r="AE311" s="11"/>
      <c r="AF311" t="str">
        <v>Scott.Eastman@floridadep.gov</v>
      </c>
      <c r="AG311" s="17" t="s">
        <v>846</v>
      </c>
      <c r="AH311" s="12">
        <v>1800</v>
      </c>
      <c r="AI311" s="12" t="s">
        <v>880</v>
      </c>
      <c r="AJ311" s="19" t="s">
        <v>881</v>
      </c>
      <c r="AK311" s="20" t="str">
        <f>HYPERLINK("https://docs.google.com/document/d/1dCEu2hsgN4CNpOXcvJv99aq_Gid7YoqeBDIpSpkQ4nU/edit?usp=drivesdk","Jimmy - 5/31/2019 1:30 PM")</f>
        <v>Jimmy - 5/31/2019 1:30 PM</v>
      </c>
      <c r="AL311" s="12" t="s">
        <v>882</v>
      </c>
    </row>
    <row r="312" spans="1:38" ht="12.75">
      <c r="A312" s="10">
        <f ca="1">IFERROR(__xludf.DUMMYFUNCTION("""COMPUTED_VALUE"""),43616.3781636921)</f>
        <v>43616.378163692098</v>
      </c>
      <c r="B312" s="11" t="str">
        <f ca="1">IFERROR(__xludf.DUMMYFUNCTION("""COMPUTED_VALUE"""),"Pamela Marcum")</f>
        <v>Pamela Marcum</v>
      </c>
      <c r="C312" t="str">
        <f ca="1">IFERROR(__xludf.DUMMYFUNCTION("""COMPUTED_VALUE"""),"Pamela.Marcum@dep.state.fl.us")</f>
        <v>Pamela.Marcum@dep.state.fl.us</v>
      </c>
      <c r="D312" t="str">
        <f ca="1">IFERROR(__xludf.DUMMYFUNCTION("""COMPUTED_VALUE"""),"Research/Nikki")</f>
        <v>Research/Nikki</v>
      </c>
      <c r="E312" t="str">
        <f ca="1">IFERROR(__xludf.DUMMYFUNCTION("""COMPUTED_VALUE"""),"Lighthouse, Shore Dr, Green Rd")</f>
        <v>Lighthouse, Shore Dr, Green Rd</v>
      </c>
      <c r="F312" s="13">
        <f ca="1">IFERROR(__xludf.DUMMYFUNCTION("""COMPUTED_VALUE"""),0.416666666667879)</f>
        <v>0.41666666666787899</v>
      </c>
      <c r="G312" s="14">
        <f ca="1">IFERROR(__xludf.DUMMYFUNCTION("""COMPUTED_VALUE"""),43616)</f>
        <v>43616</v>
      </c>
      <c r="H312" t="str">
        <f ca="1">IFERROR(__xludf.DUMMYFUNCTION("""COMPUTED_VALUE"""),"Spat Trees")</f>
        <v>Spat Trees</v>
      </c>
      <c r="I312" s="15">
        <f ca="1">IFERROR(__xludf.DUMMYFUNCTION("""COMPUTED_VALUE"""),0.541666666667879)</f>
        <v>0.54166666666787899</v>
      </c>
      <c r="J312" s="16">
        <f ca="1">IFERROR(__xludf.DUMMYFUNCTION("""COMPUTED_VALUE"""),43616.7083333333)</f>
        <v>43616.708333333299</v>
      </c>
      <c r="K312" t="str">
        <f ca="1">IFERROR(__xludf.DUMMYFUNCTION("""COMPUTED_VALUE"""),"20ft Sea Ark FL5351SJ UNF 2015")</f>
        <v>20ft Sea Ark FL5351SJ UNF 2015</v>
      </c>
      <c r="M312" t="str">
        <f ca="1">IFERROR(__xludf.DUMMYFUNCTION("""COMPUTED_VALUE"""),"Ford F150 2008 - DEP18041 (SWMP Thing)")</f>
        <v>Ford F150 2008 - DEP18041 (SWMP Thing)</v>
      </c>
      <c r="N312" t="str">
        <f ca="1">IFERROR(__xludf.DUMMYFUNCTION("""COMPUTED_VALUE"""),"Pam Marcum, (480) 332-5414")</f>
        <v>Pam Marcum, (480) 332-5414</v>
      </c>
      <c r="O312" t="str">
        <f ca="1">IFERROR(__xludf.DUMMYFUNCTION("""COMPUTED_VALUE"""),"Alee Knoell")</f>
        <v>Alee Knoell</v>
      </c>
      <c r="P312" t="str">
        <f ca="1">IFERROR(__xludf.DUMMYFUNCTION("""COMPUTED_VALUE"""),"Pam")</f>
        <v>Pam</v>
      </c>
      <c r="Q312" t="str">
        <f ca="1">IFERROR(__xludf.DUMMYFUNCTION("""COMPUTED_VALUE"""),"Good")</f>
        <v>Good</v>
      </c>
      <c r="R312" t="str">
        <f ca="1">IFERROR(__xludf.DUMMYFUNCTION("""COMPUTED_VALUE"""),"Good")</f>
        <v>Good</v>
      </c>
      <c r="S312" t="str">
        <f ca="1">IFERROR(__xludf.DUMMYFUNCTION("""COMPUTED_VALUE"""),"Good")</f>
        <v>Good</v>
      </c>
      <c r="T312" t="str">
        <f ca="1">IFERROR(__xludf.DUMMYFUNCTION("""COMPUTED_VALUE"""),"Good")</f>
        <v>Good</v>
      </c>
      <c r="U312" t="str">
        <f ca="1">IFERROR(__xludf.DUMMYFUNCTION("""COMPUTED_VALUE"""),"Good")</f>
        <v>Good</v>
      </c>
      <c r="V312" t="str">
        <f ca="1">IFERROR(__xludf.DUMMYFUNCTION("""COMPUTED_VALUE"""),"Good")</f>
        <v>Good</v>
      </c>
      <c r="W312" t="str">
        <f ca="1">IFERROR(__xludf.DUMMYFUNCTION("""COMPUTED_VALUE"""),"Good")</f>
        <v>Good</v>
      </c>
      <c r="X312" t="str">
        <f ca="1">IFERROR(__xludf.DUMMYFUNCTION("""COMPUTED_VALUE"""),"Good")</f>
        <v>Good</v>
      </c>
      <c r="Y312" t="str">
        <f ca="1">IFERROR(__xludf.DUMMYFUNCTION("""COMPUTED_VALUE"""),"Good")</f>
        <v>Good</v>
      </c>
      <c r="Z312" t="str">
        <f ca="1">IFERROR(__xludf.DUMMYFUNCTION("""COMPUTED_VALUE"""),"Good")</f>
        <v>Good</v>
      </c>
      <c r="AA312" t="str">
        <f ca="1">IFERROR(__xludf.DUMMYFUNCTION("""COMPUTED_VALUE"""),"Good")</f>
        <v>Good</v>
      </c>
      <c r="AB312" t="str">
        <f ca="1">IFERROR(__xludf.DUMMYFUNCTION("""COMPUTED_VALUE"""),"Good")</f>
        <v>Good</v>
      </c>
      <c r="AC312" t="str">
        <f ca="1">IFERROR(__xludf.DUMMYFUNCTION("""COMPUTED_VALUE"""),"Good")</f>
        <v>Good</v>
      </c>
      <c r="AE312" s="11"/>
      <c r="AF312" t="str">
        <v>Nikki.Dix@floridadep.gov</v>
      </c>
      <c r="AG312" s="17" t="s">
        <v>58</v>
      </c>
      <c r="AH312" s="12">
        <v>1409</v>
      </c>
      <c r="AI312" s="12" t="s">
        <v>883</v>
      </c>
      <c r="AJ312" s="19" t="s">
        <v>884</v>
      </c>
      <c r="AK312" s="20" t="str">
        <f>HYPERLINK("https://docs.google.com/document/d/1Nk9n5eyGbsbIoXNmGFa0tJ56gRlGDnbkMU66Pzi_7zQ/edit?usp=drivesdk","Pamela Marcum - 5/31/2019 10:00 AM")</f>
        <v>Pamela Marcum - 5/31/2019 10:00 AM</v>
      </c>
      <c r="AL312" s="12" t="s">
        <v>885</v>
      </c>
    </row>
    <row r="313" spans="1:38" ht="12.75">
      <c r="A313" s="10">
        <f ca="1">IFERROR(__xludf.DUMMYFUNCTION("""COMPUTED_VALUE"""),43616.3794494907)</f>
        <v>43616.379449490698</v>
      </c>
      <c r="B313" s="11" t="str">
        <f ca="1">IFERROR(__xludf.DUMMYFUNCTION("""COMPUTED_VALUE"""),"Pamela Marcum")</f>
        <v>Pamela Marcum</v>
      </c>
      <c r="C313" t="str">
        <f ca="1">IFERROR(__xludf.DUMMYFUNCTION("""COMPUTED_VALUE"""),"Pamela.Marcum@dep.state.fl.us")</f>
        <v>Pamela.Marcum@dep.state.fl.us</v>
      </c>
      <c r="D313" t="str">
        <f ca="1">IFERROR(__xludf.DUMMYFUNCTION("""COMPUTED_VALUE"""),"Research/Nikki")</f>
        <v>Research/Nikki</v>
      </c>
      <c r="E313" t="str">
        <f ca="1">IFERROR(__xludf.DUMMYFUNCTION("""COMPUTED_VALUE"""),"Aunt Kate's")</f>
        <v>Aunt Kate's</v>
      </c>
      <c r="F313" s="13">
        <f ca="1">IFERROR(__xludf.DUMMYFUNCTION("""COMPUTED_VALUE"""),0.58333333333212)</f>
        <v>0.58333333333212001</v>
      </c>
      <c r="G313" s="14">
        <f ca="1">IFERROR(__xludf.DUMMYFUNCTION("""COMPUTED_VALUE"""),43616)</f>
        <v>43616</v>
      </c>
      <c r="H313" t="str">
        <f ca="1">IFERROR(__xludf.DUMMYFUNCTION("""COMPUTED_VALUE"""),"Guana/Tolomato")</f>
        <v>Guana/Tolomato</v>
      </c>
      <c r="I313" s="15">
        <f ca="1">IFERROR(__xludf.DUMMYFUNCTION("""COMPUTED_VALUE"""),0.70833333333212)</f>
        <v>0.70833333333212001</v>
      </c>
      <c r="J313" s="16">
        <f ca="1">IFERROR(__xludf.DUMMYFUNCTION("""COMPUTED_VALUE"""),43616.7291666666)</f>
        <v>43616.729166666599</v>
      </c>
      <c r="K313" t="str">
        <f ca="1">IFERROR(__xludf.DUMMYFUNCTION("""COMPUTED_VALUE"""),"20ft Sea Ark FL5351SJ UNF 2015")</f>
        <v>20ft Sea Ark FL5351SJ UNF 2015</v>
      </c>
      <c r="M313" t="str">
        <f ca="1">IFERROR(__xludf.DUMMYFUNCTION("""COMPUTED_VALUE"""),"Ford F150 2008 - DEP18041 (SWMP Thing)")</f>
        <v>Ford F150 2008 - DEP18041 (SWMP Thing)</v>
      </c>
      <c r="N313" t="str">
        <f ca="1">IFERROR(__xludf.DUMMYFUNCTION("""COMPUTED_VALUE"""),"Pam Marcum, (480) 332-5414")</f>
        <v>Pam Marcum, (480) 332-5414</v>
      </c>
      <c r="O313" t="str">
        <f ca="1">IFERROR(__xludf.DUMMYFUNCTION("""COMPUTED_VALUE"""),"Alee Knoell, Adrienne Breef-Pilz, Allison Noble")</f>
        <v>Alee Knoell, Adrienne Breef-Pilz, Allison Noble</v>
      </c>
      <c r="P313" t="str">
        <f ca="1">IFERROR(__xludf.DUMMYFUNCTION("""COMPUTED_VALUE"""),"Pam")</f>
        <v>Pam</v>
      </c>
      <c r="Q313" t="str">
        <f ca="1">IFERROR(__xludf.DUMMYFUNCTION("""COMPUTED_VALUE"""),"Good")</f>
        <v>Good</v>
      </c>
      <c r="R313" t="str">
        <f ca="1">IFERROR(__xludf.DUMMYFUNCTION("""COMPUTED_VALUE"""),"Good")</f>
        <v>Good</v>
      </c>
      <c r="S313" t="str">
        <f ca="1">IFERROR(__xludf.DUMMYFUNCTION("""COMPUTED_VALUE"""),"Good")</f>
        <v>Good</v>
      </c>
      <c r="T313" t="str">
        <f ca="1">IFERROR(__xludf.DUMMYFUNCTION("""COMPUTED_VALUE"""),"Good")</f>
        <v>Good</v>
      </c>
      <c r="U313" t="str">
        <f ca="1">IFERROR(__xludf.DUMMYFUNCTION("""COMPUTED_VALUE"""),"Good")</f>
        <v>Good</v>
      </c>
      <c r="V313" t="str">
        <f ca="1">IFERROR(__xludf.DUMMYFUNCTION("""COMPUTED_VALUE"""),"Good")</f>
        <v>Good</v>
      </c>
      <c r="W313" t="str">
        <f ca="1">IFERROR(__xludf.DUMMYFUNCTION("""COMPUTED_VALUE"""),"Good")</f>
        <v>Good</v>
      </c>
      <c r="X313" t="str">
        <f ca="1">IFERROR(__xludf.DUMMYFUNCTION("""COMPUTED_VALUE"""),"Good")</f>
        <v>Good</v>
      </c>
      <c r="Y313" t="str">
        <f ca="1">IFERROR(__xludf.DUMMYFUNCTION("""COMPUTED_VALUE"""),"Good")</f>
        <v>Good</v>
      </c>
      <c r="Z313" t="str">
        <f ca="1">IFERROR(__xludf.DUMMYFUNCTION("""COMPUTED_VALUE"""),"Good")</f>
        <v>Good</v>
      </c>
      <c r="AA313" t="str">
        <f ca="1">IFERROR(__xludf.DUMMYFUNCTION("""COMPUTED_VALUE"""),"Good")</f>
        <v>Good</v>
      </c>
      <c r="AB313" t="str">
        <f ca="1">IFERROR(__xludf.DUMMYFUNCTION("""COMPUTED_VALUE"""),"Good")</f>
        <v>Good</v>
      </c>
      <c r="AC313" t="str">
        <f ca="1">IFERROR(__xludf.DUMMYFUNCTION("""COMPUTED_VALUE"""),"Good")</f>
        <v>Good</v>
      </c>
      <c r="AE313" s="11"/>
      <c r="AF313" t="str">
        <v>Nikki.Dix@floridadep.gov</v>
      </c>
      <c r="AG313" s="17" t="s">
        <v>41</v>
      </c>
      <c r="AH313" s="12">
        <v>1736</v>
      </c>
      <c r="AI313" s="12" t="s">
        <v>886</v>
      </c>
      <c r="AJ313" s="19" t="s">
        <v>887</v>
      </c>
      <c r="AK313" s="20" t="str">
        <f>HYPERLINK("https://docs.google.com/document/d/1pj9crTN-CZHYzkL4JhT9dLlzLTPl3Fqv8RKEmTo6R1g/edit?usp=drivesdk","Pamela Marcum - 5/31/2019 2:00 PM")</f>
        <v>Pamela Marcum - 5/31/2019 2:00 PM</v>
      </c>
      <c r="AL313" s="12" t="s">
        <v>888</v>
      </c>
    </row>
    <row r="314" spans="1:38" ht="12.75">
      <c r="A314" s="10">
        <f ca="1">IFERROR(__xludf.DUMMYFUNCTION("""COMPUTED_VALUE"""),43619.3785992824)</f>
        <v>43619.378599282398</v>
      </c>
      <c r="B314" s="11" t="str">
        <f ca="1">IFERROR(__xludf.DUMMYFUNCTION("""COMPUTED_VALUE"""),"Jimmy")</f>
        <v>Jimmy</v>
      </c>
      <c r="C314" t="str">
        <f ca="1">IFERROR(__xludf.DUMMYFUNCTION("""COMPUTED_VALUE"""),"james.tomazinis@floridadep.gov")</f>
        <v>james.tomazinis@floridadep.gov</v>
      </c>
      <c r="D314" t="str">
        <f ca="1">IFERROR(__xludf.DUMMYFUNCTION("""COMPUTED_VALUE"""),"Stewardship (Aquatic)")</f>
        <v>Stewardship (Aquatic)</v>
      </c>
      <c r="E314" t="str">
        <f ca="1">IFERROR(__xludf.DUMMYFUNCTION("""COMPUTED_VALUE"""),"Guana Dam")</f>
        <v>Guana Dam</v>
      </c>
      <c r="F314" s="13">
        <f ca="1">IFERROR(__xludf.DUMMYFUNCTION("""COMPUTED_VALUE"""),0.42708333333212)</f>
        <v>0.42708333333212001</v>
      </c>
      <c r="G314" s="14">
        <f ca="1">IFERROR(__xludf.DUMMYFUNCTION("""COMPUTED_VALUE"""),43619)</f>
        <v>43619</v>
      </c>
      <c r="H314" t="str">
        <f ca="1">IFERROR(__xludf.DUMMYFUNCTION("""COMPUTED_VALUE"""),"Guana River WQ sites")</f>
        <v>Guana River WQ sites</v>
      </c>
      <c r="I314" s="15">
        <f ca="1">IFERROR(__xludf.DUMMYFUNCTION("""COMPUTED_VALUE"""),0.479166666667879)</f>
        <v>0.47916666666787899</v>
      </c>
      <c r="J314" s="16"/>
      <c r="K314" t="str">
        <f ca="1">IFERROR(__xludf.DUMMYFUNCTION("""COMPUTED_VALUE"""),"Jon Boat FL0484NP DEP06819")</f>
        <v>Jon Boat FL0484NP DEP06819</v>
      </c>
      <c r="M314" t="str">
        <f ca="1">IFERROR(__xludf.DUMMYFUNCTION("""COMPUTED_VALUE"""),"Ford F150 2015 (White) - DEP21448")</f>
        <v>Ford F150 2015 (White) - DEP21448</v>
      </c>
      <c r="N314" t="str">
        <f ca="1">IFERROR(__xludf.DUMMYFUNCTION("""COMPUTED_VALUE"""),"Jimmy Tomazinis, (904) 547-0094")</f>
        <v>Jimmy Tomazinis, (904) 547-0094</v>
      </c>
      <c r="O314" t="str">
        <f ca="1">IFERROR(__xludf.DUMMYFUNCTION("""COMPUTED_VALUE"""),"Chris Kurtz")</f>
        <v>Chris Kurtz</v>
      </c>
      <c r="P314" t="str">
        <f ca="1">IFERROR(__xludf.DUMMYFUNCTION("""COMPUTED_VALUE"""),"Jimmy")</f>
        <v>Jimmy</v>
      </c>
      <c r="Q314" t="str">
        <f ca="1">IFERROR(__xludf.DUMMYFUNCTION("""COMPUTED_VALUE"""),"Good")</f>
        <v>Good</v>
      </c>
      <c r="R314" t="str">
        <f ca="1">IFERROR(__xludf.DUMMYFUNCTION("""COMPUTED_VALUE"""),"Good")</f>
        <v>Good</v>
      </c>
      <c r="S314" t="str">
        <f ca="1">IFERROR(__xludf.DUMMYFUNCTION("""COMPUTED_VALUE"""),"Good")</f>
        <v>Good</v>
      </c>
      <c r="T314" t="str">
        <f ca="1">IFERROR(__xludf.DUMMYFUNCTION("""COMPUTED_VALUE"""),"Good")</f>
        <v>Good</v>
      </c>
      <c r="U314" t="str">
        <f ca="1">IFERROR(__xludf.DUMMYFUNCTION("""COMPUTED_VALUE"""),"Good")</f>
        <v>Good</v>
      </c>
      <c r="V314" t="str">
        <f ca="1">IFERROR(__xludf.DUMMYFUNCTION("""COMPUTED_VALUE"""),"Good")</f>
        <v>Good</v>
      </c>
      <c r="W314" t="str">
        <f ca="1">IFERROR(__xludf.DUMMYFUNCTION("""COMPUTED_VALUE"""),"Good")</f>
        <v>Good</v>
      </c>
      <c r="X314" t="str">
        <f ca="1">IFERROR(__xludf.DUMMYFUNCTION("""COMPUTED_VALUE"""),"Good")</f>
        <v>Good</v>
      </c>
      <c r="Y314" t="str">
        <f ca="1">IFERROR(__xludf.DUMMYFUNCTION("""COMPUTED_VALUE"""),"Good")</f>
        <v>Good</v>
      </c>
      <c r="Z314" t="str">
        <f ca="1">IFERROR(__xludf.DUMMYFUNCTION("""COMPUTED_VALUE"""),"Good")</f>
        <v>Good</v>
      </c>
      <c r="AA314" t="str">
        <f ca="1">IFERROR(__xludf.DUMMYFUNCTION("""COMPUTED_VALUE"""),"Good")</f>
        <v>Good</v>
      </c>
      <c r="AB314" t="str">
        <f ca="1">IFERROR(__xludf.DUMMYFUNCTION("""COMPUTED_VALUE"""),"Good")</f>
        <v>Good</v>
      </c>
      <c r="AC314" t="str">
        <f ca="1">IFERROR(__xludf.DUMMYFUNCTION("""COMPUTED_VALUE"""),"Good")</f>
        <v>Good</v>
      </c>
      <c r="AE314" s="11"/>
      <c r="AF314" t="str">
        <v>Scott.Eastman@floridadep.gov</v>
      </c>
      <c r="AG314" s="18"/>
      <c r="AI314" s="12" t="s">
        <v>889</v>
      </c>
      <c r="AJ314" s="19" t="s">
        <v>890</v>
      </c>
      <c r="AK314" s="20" t="str">
        <f>HYPERLINK("https://docs.google.com/document/d/14h26rC8fooKg2LUPrRqgDafgqZqTt7bXcBEoYTV6AwQ/edit?usp=drivesdk","Jimmy - 6/3/2019 10:15 AM")</f>
        <v>Jimmy - 6/3/2019 10:15 AM</v>
      </c>
      <c r="AL314" s="12" t="s">
        <v>891</v>
      </c>
    </row>
    <row r="315" spans="1:38" ht="12.75">
      <c r="A315" s="10">
        <f ca="1">IFERROR(__xludf.DUMMYFUNCTION("""COMPUTED_VALUE"""),43620.3746903819)</f>
        <v>43620.374690381897</v>
      </c>
      <c r="B315" s="11" t="str">
        <f ca="1">IFERROR(__xludf.DUMMYFUNCTION("""COMPUTED_VALUE"""),"Silas Tanner")</f>
        <v>Silas Tanner</v>
      </c>
      <c r="C315" t="str">
        <f ca="1">IFERROR(__xludf.DUMMYFUNCTION("""COMPUTED_VALUE"""),"silas.tanner@floridadep.gov")</f>
        <v>silas.tanner@floridadep.gov</v>
      </c>
      <c r="D315" t="str">
        <f ca="1">IFERROR(__xludf.DUMMYFUNCTION("""COMPUTED_VALUE"""),"Research/Nikki")</f>
        <v>Research/Nikki</v>
      </c>
      <c r="E315" t="str">
        <f ca="1">IFERROR(__xludf.DUMMYFUNCTION("""COMPUTED_VALUE"""),"Vilano Landing")</f>
        <v>Vilano Landing</v>
      </c>
      <c r="F315" s="13">
        <f ca="1">IFERROR(__xludf.DUMMYFUNCTION("""COMPUTED_VALUE"""),0.39583333333212)</f>
        <v>0.39583333333212001</v>
      </c>
      <c r="G315" s="14">
        <f ca="1">IFERROR(__xludf.DUMMYFUNCTION("""COMPUTED_VALUE"""),43620)</f>
        <v>43620</v>
      </c>
      <c r="H315" t="str">
        <f ca="1">IFERROR(__xludf.DUMMYFUNCTION("""COMPUTED_VALUE"""),"ICW SWMP sites")</f>
        <v>ICW SWMP sites</v>
      </c>
      <c r="I315" s="15">
        <f ca="1">IFERROR(__xludf.DUMMYFUNCTION("""COMPUTED_VALUE"""),0.604166666667879)</f>
        <v>0.60416666666787899</v>
      </c>
      <c r="J315" s="16">
        <f ca="1">IFERROR(__xludf.DUMMYFUNCTION("""COMPUTED_VALUE"""),43620.1145833333)</f>
        <v>43620.114583333299</v>
      </c>
      <c r="K315" t="str">
        <f ca="1">IFERROR(__xludf.DUMMYFUNCTION("""COMPUTED_VALUE"""),"23ft Skiff (Bertha) FL7972LJ DEP07613")</f>
        <v>23ft Skiff (Bertha) FL7972LJ DEP07613</v>
      </c>
      <c r="M315" t="str">
        <f ca="1">IFERROR(__xludf.DUMMYFUNCTION("""COMPUTED_VALUE"""),"Ford F150 2015 (White) - DEP21448")</f>
        <v>Ford F150 2015 (White) - DEP21448</v>
      </c>
      <c r="N315" t="str">
        <f ca="1">IFERROR(__xludf.DUMMYFUNCTION("""COMPUTED_VALUE"""),"Silas Tanner, (904) 483-8423")</f>
        <v>Silas Tanner, (904) 483-8423</v>
      </c>
      <c r="O315" t="str">
        <f ca="1">IFERROR(__xludf.DUMMYFUNCTION("""COMPUTED_VALUE"""),"Molly Dent, Chris Kirk, Alie Knolles")</f>
        <v>Molly Dent, Chris Kirk, Alie Knolles</v>
      </c>
      <c r="P315" t="str">
        <f ca="1">IFERROR(__xludf.DUMMYFUNCTION("""COMPUTED_VALUE"""),"S. Tanner")</f>
        <v>S. Tanner</v>
      </c>
      <c r="Q315" t="str">
        <f ca="1">IFERROR(__xludf.DUMMYFUNCTION("""COMPUTED_VALUE"""),"Good")</f>
        <v>Good</v>
      </c>
      <c r="R315" t="str">
        <f ca="1">IFERROR(__xludf.DUMMYFUNCTION("""COMPUTED_VALUE"""),"Good")</f>
        <v>Good</v>
      </c>
      <c r="S315" t="str">
        <f ca="1">IFERROR(__xludf.DUMMYFUNCTION("""COMPUTED_VALUE"""),"Good")</f>
        <v>Good</v>
      </c>
      <c r="T315" t="str">
        <f ca="1">IFERROR(__xludf.DUMMYFUNCTION("""COMPUTED_VALUE"""),"Good")</f>
        <v>Good</v>
      </c>
      <c r="U315" t="str">
        <f ca="1">IFERROR(__xludf.DUMMYFUNCTION("""COMPUTED_VALUE"""),"Good")</f>
        <v>Good</v>
      </c>
      <c r="V315" t="str">
        <f ca="1">IFERROR(__xludf.DUMMYFUNCTION("""COMPUTED_VALUE"""),"Good")</f>
        <v>Good</v>
      </c>
      <c r="W315" t="str">
        <f ca="1">IFERROR(__xludf.DUMMYFUNCTION("""COMPUTED_VALUE"""),"Good")</f>
        <v>Good</v>
      </c>
      <c r="X315" t="str">
        <f ca="1">IFERROR(__xludf.DUMMYFUNCTION("""COMPUTED_VALUE"""),"Good")</f>
        <v>Good</v>
      </c>
      <c r="Y315" t="str">
        <f ca="1">IFERROR(__xludf.DUMMYFUNCTION("""COMPUTED_VALUE"""),"Good")</f>
        <v>Good</v>
      </c>
      <c r="Z315" t="str">
        <f ca="1">IFERROR(__xludf.DUMMYFUNCTION("""COMPUTED_VALUE"""),"Good")</f>
        <v>Good</v>
      </c>
      <c r="AA315" t="str">
        <f ca="1">IFERROR(__xludf.DUMMYFUNCTION("""COMPUTED_VALUE"""),"Good")</f>
        <v>Good</v>
      </c>
      <c r="AB315" t="str">
        <f ca="1">IFERROR(__xludf.DUMMYFUNCTION("""COMPUTED_VALUE"""),"Good")</f>
        <v>Good</v>
      </c>
      <c r="AC315" t="str">
        <f ca="1">IFERROR(__xludf.DUMMYFUNCTION("""COMPUTED_VALUE"""),"Good")</f>
        <v>Good</v>
      </c>
      <c r="AE315" s="11"/>
      <c r="AF315" t="str">
        <v>Nikki.Dix@floridadep.gov</v>
      </c>
      <c r="AG315" s="17" t="s">
        <v>58</v>
      </c>
      <c r="AH315" s="12">
        <v>1425</v>
      </c>
      <c r="AI315" s="12" t="s">
        <v>892</v>
      </c>
      <c r="AJ315" s="19" t="s">
        <v>893</v>
      </c>
      <c r="AK315" s="20" t="str">
        <f>HYPERLINK("https://docs.google.com/document/d/1vYPfTu_pYzTS1kX81IUb2Yn5ePGYoFRClmcO458xK2w/edit?usp=drivesdk","Silas Tanner - 6/4/2019 9:30 AM")</f>
        <v>Silas Tanner - 6/4/2019 9:30 AM</v>
      </c>
      <c r="AL315" s="12" t="s">
        <v>894</v>
      </c>
    </row>
    <row r="316" spans="1:38" ht="12.75">
      <c r="A316" s="10">
        <f ca="1">IFERROR(__xludf.DUMMYFUNCTION("""COMPUTED_VALUE"""),43621.6039351851)</f>
        <v>43621.6039351851</v>
      </c>
      <c r="B316" s="11" t="str">
        <f ca="1">IFERROR(__xludf.DUMMYFUNCTION("""COMPUTED_VALUE"""),"Pam Marcum")</f>
        <v>Pam Marcum</v>
      </c>
      <c r="C316" t="str">
        <f ca="1">IFERROR(__xludf.DUMMYFUNCTION("""COMPUTED_VALUE"""),"Pamela.Marcum@Dep.state.fl.us")</f>
        <v>Pamela.Marcum@Dep.state.fl.us</v>
      </c>
      <c r="D316" t="str">
        <f ca="1">IFERROR(__xludf.DUMMYFUNCTION("""COMPUTED_VALUE"""),"Research/Nikki")</f>
        <v>Research/Nikki</v>
      </c>
      <c r="E316" t="str">
        <f ca="1">IFERROR(__xludf.DUMMYFUNCTION("""COMPUTED_VALUE"""),"Aunt Kate's")</f>
        <v>Aunt Kate's</v>
      </c>
      <c r="F316" s="13">
        <f ca="1">IFERROR(__xludf.DUMMYFUNCTION("""COMPUTED_VALUE"""),0.625)</f>
        <v>0.625</v>
      </c>
      <c r="G316" s="14">
        <f ca="1">IFERROR(__xludf.DUMMYFUNCTION("""COMPUTED_VALUE"""),43621)</f>
        <v>43621</v>
      </c>
      <c r="H316" t="str">
        <f ca="1">IFERROR(__xludf.DUMMYFUNCTION("""COMPUTED_VALUE"""),"Guana River and Pine Island")</f>
        <v>Guana River and Pine Island</v>
      </c>
      <c r="I316" s="15">
        <f ca="1">IFERROR(__xludf.DUMMYFUNCTION("""COMPUTED_VALUE"""),0.791666666667879)</f>
        <v>0.79166666666787899</v>
      </c>
      <c r="J316" s="16">
        <f ca="1">IFERROR(__xludf.DUMMYFUNCTION("""COMPUTED_VALUE"""),43621.8125)</f>
        <v>43621.8125</v>
      </c>
      <c r="K316" t="str">
        <f ca="1">IFERROR(__xludf.DUMMYFUNCTION("""COMPUTED_VALUE"""),"20ft Sea Ark FL5351SJ UNF 2015")</f>
        <v>20ft Sea Ark FL5351SJ UNF 2015</v>
      </c>
      <c r="M316" t="str">
        <f ca="1">IFERROR(__xludf.DUMMYFUNCTION("""COMPUTED_VALUE"""),"Ford F150 2008 - DEP18041 (SWMP Thing)")</f>
        <v>Ford F150 2008 - DEP18041 (SWMP Thing)</v>
      </c>
      <c r="N316" t="str">
        <f ca="1">IFERROR(__xludf.DUMMYFUNCTION("""COMPUTED_VALUE"""),"Pam Marcum, (480) 332-5414")</f>
        <v>Pam Marcum, (480) 332-5414</v>
      </c>
      <c r="O316" t="str">
        <f ca="1">IFERROR(__xludf.DUMMYFUNCTION("""COMPUTED_VALUE"""),"Adrienne Breek-Pilz, Nicole Peckham, Allison Noble")</f>
        <v>Adrienne Breek-Pilz, Nicole Peckham, Allison Noble</v>
      </c>
      <c r="P316" t="str">
        <f ca="1">IFERROR(__xludf.DUMMYFUNCTION("""COMPUTED_VALUE"""),"Pam")</f>
        <v>Pam</v>
      </c>
      <c r="Q316" t="str">
        <f ca="1">IFERROR(__xludf.DUMMYFUNCTION("""COMPUTED_VALUE"""),"Good")</f>
        <v>Good</v>
      </c>
      <c r="R316" t="str">
        <f ca="1">IFERROR(__xludf.DUMMYFUNCTION("""COMPUTED_VALUE"""),"Good")</f>
        <v>Good</v>
      </c>
      <c r="S316" t="str">
        <f ca="1">IFERROR(__xludf.DUMMYFUNCTION("""COMPUTED_VALUE"""),"Good")</f>
        <v>Good</v>
      </c>
      <c r="T316" t="str">
        <f ca="1">IFERROR(__xludf.DUMMYFUNCTION("""COMPUTED_VALUE"""),"Good")</f>
        <v>Good</v>
      </c>
      <c r="U316" t="str">
        <f ca="1">IFERROR(__xludf.DUMMYFUNCTION("""COMPUTED_VALUE"""),"Good")</f>
        <v>Good</v>
      </c>
      <c r="V316" t="str">
        <f ca="1">IFERROR(__xludf.DUMMYFUNCTION("""COMPUTED_VALUE"""),"Good")</f>
        <v>Good</v>
      </c>
      <c r="W316" t="str">
        <f ca="1">IFERROR(__xludf.DUMMYFUNCTION("""COMPUTED_VALUE"""),"Good")</f>
        <v>Good</v>
      </c>
      <c r="X316" t="str">
        <f ca="1">IFERROR(__xludf.DUMMYFUNCTION("""COMPUTED_VALUE"""),"Good")</f>
        <v>Good</v>
      </c>
      <c r="Y316" t="str">
        <f ca="1">IFERROR(__xludf.DUMMYFUNCTION("""COMPUTED_VALUE"""),"Good")</f>
        <v>Good</v>
      </c>
      <c r="Z316" t="str">
        <f ca="1">IFERROR(__xludf.DUMMYFUNCTION("""COMPUTED_VALUE"""),"Good")</f>
        <v>Good</v>
      </c>
      <c r="AA316" t="str">
        <f ca="1">IFERROR(__xludf.DUMMYFUNCTION("""COMPUTED_VALUE"""),"Good")</f>
        <v>Good</v>
      </c>
      <c r="AB316" t="str">
        <f ca="1">IFERROR(__xludf.DUMMYFUNCTION("""COMPUTED_VALUE"""),"Good")</f>
        <v>Good</v>
      </c>
      <c r="AC316" t="str">
        <f ca="1">IFERROR(__xludf.DUMMYFUNCTION("""COMPUTED_VALUE"""),"Good")</f>
        <v>Good</v>
      </c>
      <c r="AE316" s="11"/>
      <c r="AF316" t="str">
        <v>Nikki.Dix@floridadep.gov</v>
      </c>
      <c r="AG316" s="17" t="s">
        <v>41</v>
      </c>
      <c r="AH316" s="12">
        <v>1933</v>
      </c>
      <c r="AI316" s="12" t="s">
        <v>895</v>
      </c>
      <c r="AJ316" s="19" t="s">
        <v>896</v>
      </c>
      <c r="AK316" s="20" t="str">
        <f>HYPERLINK("https://docs.google.com/document/d/1qA0BXQylOFUw2Hvi7IhmXc7q1Hw-adob7CuuwLH6Z1g/edit?usp=drivesdk","Pam Marcum - 6/5/2019 3:00 PM")</f>
        <v>Pam Marcum - 6/5/2019 3:00 PM</v>
      </c>
      <c r="AL316" s="12" t="s">
        <v>897</v>
      </c>
    </row>
    <row r="317" spans="1:38" ht="12.75">
      <c r="A317" s="10">
        <f ca="1">IFERROR(__xludf.DUMMYFUNCTION("""COMPUTED_VALUE"""),43626.27949103)</f>
        <v>43626.27949103</v>
      </c>
      <c r="B317" s="11" t="str">
        <f ca="1">IFERROR(__xludf.DUMMYFUNCTION("""COMPUTED_VALUE"""),"Pam Marcum")</f>
        <v>Pam Marcum</v>
      </c>
      <c r="C317" t="str">
        <f ca="1">IFERROR(__xludf.DUMMYFUNCTION("""COMPUTED_VALUE"""),"Pamela.Marcum@dep.state.fl.us")</f>
        <v>Pamela.Marcum@dep.state.fl.us</v>
      </c>
      <c r="D317" t="str">
        <f ca="1">IFERROR(__xludf.DUMMYFUNCTION("""COMPUTED_VALUE"""),"Research/Nikki")</f>
        <v>Research/Nikki</v>
      </c>
      <c r="E317" t="str">
        <f ca="1">IFERROR(__xludf.DUMMYFUNCTION("""COMPUTED_VALUE"""),"Aunt Kate's")</f>
        <v>Aunt Kate's</v>
      </c>
      <c r="F317" s="13">
        <f ca="1">IFERROR(__xludf.DUMMYFUNCTION("""COMPUTED_VALUE"""),0.291666666667879)</f>
        <v>0.29166666666787899</v>
      </c>
      <c r="G317" s="14">
        <f ca="1">IFERROR(__xludf.DUMMYFUNCTION("""COMPUTED_VALUE"""),43626)</f>
        <v>43626</v>
      </c>
      <c r="H317" t="str">
        <f ca="1">IFERROR(__xludf.DUMMYFUNCTION("""COMPUTED_VALUE"""),"Pine Island")</f>
        <v>Pine Island</v>
      </c>
      <c r="I317" s="15">
        <f ca="1">IFERROR(__xludf.DUMMYFUNCTION("""COMPUTED_VALUE"""),0.58333333333212)</f>
        <v>0.58333333333212001</v>
      </c>
      <c r="J317" s="16">
        <f ca="1">IFERROR(__xludf.DUMMYFUNCTION("""COMPUTED_VALUE"""),43626.6041666666)</f>
        <v>43626.604166666599</v>
      </c>
      <c r="K317" t="str">
        <f ca="1">IFERROR(__xludf.DUMMYFUNCTION("""COMPUTED_VALUE"""),"F 20ft Sea Ark (Easy 200) FL8534PY DEP21451")</f>
        <v>F 20ft Sea Ark (Easy 200) FL8534PY DEP21451</v>
      </c>
      <c r="M317" t="str">
        <f ca="1">IFERROR(__xludf.DUMMYFUNCTION("""COMPUTED_VALUE"""),"Ford F250 2017 (Moby Dix) - DEP0021578")</f>
        <v>Ford F250 2017 (Moby Dix) - DEP0021578</v>
      </c>
      <c r="N317" t="str">
        <f ca="1">IFERROR(__xludf.DUMMYFUNCTION("""COMPUTED_VALUE"""),"Pam Marcum, (480) 332-5414, Mike Dickson")</f>
        <v>Pam Marcum, (480) 332-5414, Mike Dickson</v>
      </c>
      <c r="O317" t="str">
        <f ca="1">IFERROR(__xludf.DUMMYFUNCTION("""COMPUTED_VALUE"""),"Christine Angelini, Ray Grizzle, Patrick Norby, Molly Dent")</f>
        <v>Christine Angelini, Ray Grizzle, Patrick Norby, Molly Dent</v>
      </c>
      <c r="P317" t="str">
        <f ca="1">IFERROR(__xludf.DUMMYFUNCTION("""COMPUTED_VALUE"""),"Pam")</f>
        <v>Pam</v>
      </c>
      <c r="Q317" t="str">
        <f ca="1">IFERROR(__xludf.DUMMYFUNCTION("""COMPUTED_VALUE"""),"Good")</f>
        <v>Good</v>
      </c>
      <c r="R317" t="str">
        <f ca="1">IFERROR(__xludf.DUMMYFUNCTION("""COMPUTED_VALUE"""),"Good")</f>
        <v>Good</v>
      </c>
      <c r="S317" t="str">
        <f ca="1">IFERROR(__xludf.DUMMYFUNCTION("""COMPUTED_VALUE"""),"Good")</f>
        <v>Good</v>
      </c>
      <c r="T317" t="str">
        <f ca="1">IFERROR(__xludf.DUMMYFUNCTION("""COMPUTED_VALUE"""),"Good")</f>
        <v>Good</v>
      </c>
      <c r="U317" t="str">
        <f ca="1">IFERROR(__xludf.DUMMYFUNCTION("""COMPUTED_VALUE"""),"Good")</f>
        <v>Good</v>
      </c>
      <c r="V317" t="str">
        <f ca="1">IFERROR(__xludf.DUMMYFUNCTION("""COMPUTED_VALUE"""),"Good")</f>
        <v>Good</v>
      </c>
      <c r="W317" t="str">
        <f ca="1">IFERROR(__xludf.DUMMYFUNCTION("""COMPUTED_VALUE"""),"Good")</f>
        <v>Good</v>
      </c>
      <c r="X317" t="str">
        <f ca="1">IFERROR(__xludf.DUMMYFUNCTION("""COMPUTED_VALUE"""),"Good")</f>
        <v>Good</v>
      </c>
      <c r="Y317" t="str">
        <f ca="1">IFERROR(__xludf.DUMMYFUNCTION("""COMPUTED_VALUE"""),"Good")</f>
        <v>Good</v>
      </c>
      <c r="Z317" t="str">
        <f ca="1">IFERROR(__xludf.DUMMYFUNCTION("""COMPUTED_VALUE"""),"Good")</f>
        <v>Good</v>
      </c>
      <c r="AA317" t="str">
        <f ca="1">IFERROR(__xludf.DUMMYFUNCTION("""COMPUTED_VALUE"""),"Good")</f>
        <v>Good</v>
      </c>
      <c r="AB317" t="str">
        <f ca="1">IFERROR(__xludf.DUMMYFUNCTION("""COMPUTED_VALUE"""),"Good")</f>
        <v>Good</v>
      </c>
      <c r="AC317" t="str">
        <f ca="1">IFERROR(__xludf.DUMMYFUNCTION("""COMPUTED_VALUE"""),"Good")</f>
        <v>Good</v>
      </c>
      <c r="AE317" s="11"/>
      <c r="AF317" t="str">
        <v>Nikki.Dix@floridadep.gov</v>
      </c>
      <c r="AG317" s="17" t="s">
        <v>41</v>
      </c>
      <c r="AH317" s="12">
        <v>1408</v>
      </c>
      <c r="AI317" s="12" t="s">
        <v>898</v>
      </c>
      <c r="AJ317" s="19" t="s">
        <v>899</v>
      </c>
      <c r="AK317" s="20" t="str">
        <f>HYPERLINK("https://docs.google.com/document/d/15x4EVSZ10MXuaxM4ij4M29WzWjxQAM3oj70GOLrnxF0/edit?usp=drivesdk","Pam Marcum - 6/10/2019 7:00 AM")</f>
        <v>Pam Marcum - 6/10/2019 7:00 AM</v>
      </c>
      <c r="AL317" s="12" t="s">
        <v>900</v>
      </c>
    </row>
    <row r="318" spans="1:38" ht="12.75">
      <c r="A318" s="10">
        <f ca="1">IFERROR(__xludf.DUMMYFUNCTION("""COMPUTED_VALUE"""),43627.2833449421)</f>
        <v>43627.283344942101</v>
      </c>
      <c r="B318" s="11" t="str">
        <f ca="1">IFERROR(__xludf.DUMMYFUNCTION("""COMPUTED_VALUE"""),"Pamela Marcum")</f>
        <v>Pamela Marcum</v>
      </c>
      <c r="C318" t="str">
        <f ca="1">IFERROR(__xludf.DUMMYFUNCTION("""COMPUTED_VALUE"""),"Pamela.Marcum@dep.state.fl.us")</f>
        <v>Pamela.Marcum@dep.state.fl.us</v>
      </c>
      <c r="D318" t="str">
        <f ca="1">IFERROR(__xludf.DUMMYFUNCTION("""COMPUTED_VALUE"""),"Research/Nikki")</f>
        <v>Research/Nikki</v>
      </c>
      <c r="E318" t="str">
        <f ca="1">IFERROR(__xludf.DUMMYFUNCTION("""COMPUTED_VALUE"""),"Palm Valley")</f>
        <v>Palm Valley</v>
      </c>
      <c r="F318" s="13">
        <f ca="1">IFERROR(__xludf.DUMMYFUNCTION("""COMPUTED_VALUE"""),0.322916666667879)</f>
        <v>0.32291666666787899</v>
      </c>
      <c r="G318" s="14">
        <f ca="1">IFERROR(__xludf.DUMMYFUNCTION("""COMPUTED_VALUE"""),43627)</f>
        <v>43627</v>
      </c>
      <c r="H318" t="str">
        <f ca="1">IFERROR(__xludf.DUMMYFUNCTION("""COMPUTED_VALUE"""),"Pine Island")</f>
        <v>Pine Island</v>
      </c>
      <c r="I318" s="15">
        <f ca="1">IFERROR(__xludf.DUMMYFUNCTION("""COMPUTED_VALUE"""),0.58333333333212)</f>
        <v>0.58333333333212001</v>
      </c>
      <c r="J318" s="16">
        <f ca="1">IFERROR(__xludf.DUMMYFUNCTION("""COMPUTED_VALUE"""),43627.6041666666)</f>
        <v>43627.604166666599</v>
      </c>
      <c r="K318" t="str">
        <f ca="1">IFERROR(__xludf.DUMMYFUNCTION("""COMPUTED_VALUE"""),"F 20ft Sea Ark (Easy 200) FL8534PY DEP21451")</f>
        <v>F 20ft Sea Ark (Easy 200) FL8534PY DEP21451</v>
      </c>
      <c r="M318" t="str">
        <f ca="1">IFERROR(__xludf.DUMMYFUNCTION("""COMPUTED_VALUE"""),"Ford F250 2017 (Moby Dix) - DEP0021578")</f>
        <v>Ford F250 2017 (Moby Dix) - DEP0021578</v>
      </c>
      <c r="N318" t="str">
        <f ca="1">IFERROR(__xludf.DUMMYFUNCTION("""COMPUTED_VALUE"""),"Pam Marcum, (480) 332-5414, Mike Dickson")</f>
        <v>Pam Marcum, (480) 332-5414, Mike Dickson</v>
      </c>
      <c r="O318" t="str">
        <f ca="1">IFERROR(__xludf.DUMMYFUNCTION("""COMPUTED_VALUE"""),"Molly Dent, Pantrick Norby, Ray Grizzle")</f>
        <v>Molly Dent, Pantrick Norby, Ray Grizzle</v>
      </c>
      <c r="P318" t="str">
        <f ca="1">IFERROR(__xludf.DUMMYFUNCTION("""COMPUTED_VALUE"""),"Pam")</f>
        <v>Pam</v>
      </c>
      <c r="Q318" t="str">
        <f ca="1">IFERROR(__xludf.DUMMYFUNCTION("""COMPUTED_VALUE"""),"Good")</f>
        <v>Good</v>
      </c>
      <c r="R318" t="str">
        <f ca="1">IFERROR(__xludf.DUMMYFUNCTION("""COMPUTED_VALUE"""),"Good")</f>
        <v>Good</v>
      </c>
      <c r="S318" t="str">
        <f ca="1">IFERROR(__xludf.DUMMYFUNCTION("""COMPUTED_VALUE"""),"Good")</f>
        <v>Good</v>
      </c>
      <c r="T318" t="str">
        <f ca="1">IFERROR(__xludf.DUMMYFUNCTION("""COMPUTED_VALUE"""),"Good")</f>
        <v>Good</v>
      </c>
      <c r="U318" t="str">
        <f ca="1">IFERROR(__xludf.DUMMYFUNCTION("""COMPUTED_VALUE"""),"Good")</f>
        <v>Good</v>
      </c>
      <c r="V318" t="str">
        <f ca="1">IFERROR(__xludf.DUMMYFUNCTION("""COMPUTED_VALUE"""),"Good")</f>
        <v>Good</v>
      </c>
      <c r="W318" t="str">
        <f ca="1">IFERROR(__xludf.DUMMYFUNCTION("""COMPUTED_VALUE"""),"Good")</f>
        <v>Good</v>
      </c>
      <c r="X318" t="str">
        <f ca="1">IFERROR(__xludf.DUMMYFUNCTION("""COMPUTED_VALUE"""),"Good")</f>
        <v>Good</v>
      </c>
      <c r="Y318" t="str">
        <f ca="1">IFERROR(__xludf.DUMMYFUNCTION("""COMPUTED_VALUE"""),"Good")</f>
        <v>Good</v>
      </c>
      <c r="Z318" t="str">
        <f ca="1">IFERROR(__xludf.DUMMYFUNCTION("""COMPUTED_VALUE"""),"Good")</f>
        <v>Good</v>
      </c>
      <c r="AA318" t="str">
        <f ca="1">IFERROR(__xludf.DUMMYFUNCTION("""COMPUTED_VALUE"""),"Good")</f>
        <v>Good</v>
      </c>
      <c r="AB318" t="str">
        <f ca="1">IFERROR(__xludf.DUMMYFUNCTION("""COMPUTED_VALUE"""),"Good")</f>
        <v>Good</v>
      </c>
      <c r="AC318" t="str">
        <f ca="1">IFERROR(__xludf.DUMMYFUNCTION("""COMPUTED_VALUE"""),"Good")</f>
        <v>Good</v>
      </c>
      <c r="AE318" s="11"/>
      <c r="AF318" t="str">
        <v>Nikki.Dix@floridadep.gov</v>
      </c>
      <c r="AG318" s="17" t="s">
        <v>17</v>
      </c>
      <c r="AH318" s="12">
        <v>1430</v>
      </c>
      <c r="AI318" s="12" t="s">
        <v>901</v>
      </c>
      <c r="AJ318" s="19" t="s">
        <v>902</v>
      </c>
      <c r="AK318" s="20" t="str">
        <f>HYPERLINK("https://docs.google.com/document/d/1EYWgKjtFQfT6Aj2PtcKOQtTPMo2fy52Im86yup5t7eA/edit?usp=drivesdk","Pamela Marcum - 6/11/2019 7:45 AM")</f>
        <v>Pamela Marcum - 6/11/2019 7:45 AM</v>
      </c>
      <c r="AL318" s="12" t="s">
        <v>903</v>
      </c>
    </row>
    <row r="319" spans="1:38" ht="12.75">
      <c r="A319" s="10">
        <f ca="1">IFERROR(__xludf.DUMMYFUNCTION("""COMPUTED_VALUE"""),43628.3530285532)</f>
        <v>43628.353028553203</v>
      </c>
      <c r="B319" s="11" t="str">
        <f ca="1">IFERROR(__xludf.DUMMYFUNCTION("""COMPUTED_VALUE"""),"Jimmy")</f>
        <v>Jimmy</v>
      </c>
      <c r="C319" t="str">
        <f ca="1">IFERROR(__xludf.DUMMYFUNCTION("""COMPUTED_VALUE"""),"james.tomazinis@floridadep.gov")</f>
        <v>james.tomazinis@floridadep.gov</v>
      </c>
      <c r="D319" t="str">
        <f ca="1">IFERROR(__xludf.DUMMYFUNCTION("""COMPUTED_VALUE"""),"Stewardship (Aquatic)")</f>
        <v>Stewardship (Aquatic)</v>
      </c>
      <c r="E319" t="str">
        <f ca="1">IFERROR(__xludf.DUMMYFUNCTION("""COMPUTED_VALUE"""),"Vilano")</f>
        <v>Vilano</v>
      </c>
      <c r="F319" s="13">
        <f ca="1">IFERROR(__xludf.DUMMYFUNCTION("""COMPUTED_VALUE"""),0.385416666667879)</f>
        <v>0.38541666666787899</v>
      </c>
      <c r="G319" s="14">
        <f ca="1">IFERROR(__xludf.DUMMYFUNCTION("""COMPUTED_VALUE"""),43628)</f>
        <v>43628</v>
      </c>
      <c r="H319" t="str">
        <f ca="1">IFERROR(__xludf.DUMMYFUNCTION("""COMPUTED_VALUE"""),"Tolomato Nekton sites")</f>
        <v>Tolomato Nekton sites</v>
      </c>
      <c r="I319" s="15">
        <f ca="1">IFERROR(__xludf.DUMMYFUNCTION("""COMPUTED_VALUE"""),0.666666666667879)</f>
        <v>0.66666666666787899</v>
      </c>
      <c r="J319" s="16"/>
      <c r="K319" t="str">
        <f ca="1">IFERROR(__xludf.DUMMYFUNCTION("""COMPUTED_VALUE"""),"23ft Skiff (Bertha) FL7972LJ DEP07613")</f>
        <v>23ft Skiff (Bertha) FL7972LJ DEP07613</v>
      </c>
      <c r="M319" t="str">
        <f ca="1">IFERROR(__xludf.DUMMYFUNCTION("""COMPUTED_VALUE"""),"Ford F150 2015 (White) - DEP21448")</f>
        <v>Ford F150 2015 (White) - DEP21448</v>
      </c>
      <c r="N319" t="str">
        <f ca="1">IFERROR(__xludf.DUMMYFUNCTION("""COMPUTED_VALUE"""),"Jimmy Tomazinis, (904) 547-0094")</f>
        <v>Jimmy Tomazinis, (904) 547-0094</v>
      </c>
      <c r="O319" t="str">
        <f ca="1">IFERROR(__xludf.DUMMYFUNCTION("""COMPUTED_VALUE"""),"Jeff Finnan, Mary and Henry Mullin, Becky and Flagler student")</f>
        <v>Jeff Finnan, Mary and Henry Mullin, Becky and Flagler student</v>
      </c>
      <c r="P319" t="str">
        <f ca="1">IFERROR(__xludf.DUMMYFUNCTION("""COMPUTED_VALUE"""),"Jimmy")</f>
        <v>Jimmy</v>
      </c>
      <c r="Q319" t="str">
        <f ca="1">IFERROR(__xludf.DUMMYFUNCTION("""COMPUTED_VALUE"""),"Good")</f>
        <v>Good</v>
      </c>
      <c r="R319" t="str">
        <f ca="1">IFERROR(__xludf.DUMMYFUNCTION("""COMPUTED_VALUE"""),"Good")</f>
        <v>Good</v>
      </c>
      <c r="S319" t="str">
        <f ca="1">IFERROR(__xludf.DUMMYFUNCTION("""COMPUTED_VALUE"""),"Good")</f>
        <v>Good</v>
      </c>
      <c r="T319" t="str">
        <f ca="1">IFERROR(__xludf.DUMMYFUNCTION("""COMPUTED_VALUE"""),"Good")</f>
        <v>Good</v>
      </c>
      <c r="U319" t="str">
        <f ca="1">IFERROR(__xludf.DUMMYFUNCTION("""COMPUTED_VALUE"""),"Good")</f>
        <v>Good</v>
      </c>
      <c r="V319" t="str">
        <f ca="1">IFERROR(__xludf.DUMMYFUNCTION("""COMPUTED_VALUE"""),"Good")</f>
        <v>Good</v>
      </c>
      <c r="W319" t="str">
        <f ca="1">IFERROR(__xludf.DUMMYFUNCTION("""COMPUTED_VALUE"""),"Good")</f>
        <v>Good</v>
      </c>
      <c r="X319" t="str">
        <f ca="1">IFERROR(__xludf.DUMMYFUNCTION("""COMPUTED_VALUE"""),"Good")</f>
        <v>Good</v>
      </c>
      <c r="Y319" t="str">
        <f ca="1">IFERROR(__xludf.DUMMYFUNCTION("""COMPUTED_VALUE"""),"Good")</f>
        <v>Good</v>
      </c>
      <c r="Z319" t="str">
        <f ca="1">IFERROR(__xludf.DUMMYFUNCTION("""COMPUTED_VALUE"""),"Good")</f>
        <v>Good</v>
      </c>
      <c r="AA319" t="str">
        <f ca="1">IFERROR(__xludf.DUMMYFUNCTION("""COMPUTED_VALUE"""),"Good")</f>
        <v>Good</v>
      </c>
      <c r="AB319" t="str">
        <f ca="1">IFERROR(__xludf.DUMMYFUNCTION("""COMPUTED_VALUE"""),"Good")</f>
        <v>Good</v>
      </c>
      <c r="AC319" t="str">
        <f ca="1">IFERROR(__xludf.DUMMYFUNCTION("""COMPUTED_VALUE"""),"Good")</f>
        <v>Good</v>
      </c>
      <c r="AE319" s="11"/>
      <c r="AF319" t="str">
        <v>Scott.Eastman@floridadep.gov</v>
      </c>
      <c r="AG319" s="17" t="s">
        <v>17</v>
      </c>
      <c r="AH319" s="12">
        <v>1600</v>
      </c>
      <c r="AI319" s="12" t="s">
        <v>904</v>
      </c>
      <c r="AJ319" s="19" t="s">
        <v>905</v>
      </c>
      <c r="AK319" s="20" t="str">
        <f>HYPERLINK("https://docs.google.com/document/d/1nBWzBiDSsyiR3ju6LhrlU1ZVjn_PV5JBs4--S8E4a3Q/edit?usp=drivesdk","Jimmy - 6/12/2019 9:15 AM")</f>
        <v>Jimmy - 6/12/2019 9:15 AM</v>
      </c>
      <c r="AL319" s="12" t="s">
        <v>906</v>
      </c>
    </row>
    <row r="320" spans="1:38" ht="12.75">
      <c r="A320" s="10">
        <f ca="1">IFERROR(__xludf.DUMMYFUNCTION("""COMPUTED_VALUE"""),43629.4159146296)</f>
        <v>43629.415914629601</v>
      </c>
      <c r="B320" s="11" t="str">
        <f ca="1">IFERROR(__xludf.DUMMYFUNCTION("""COMPUTED_VALUE"""),"Jimmy")</f>
        <v>Jimmy</v>
      </c>
      <c r="C320" t="str">
        <f ca="1">IFERROR(__xludf.DUMMYFUNCTION("""COMPUTED_VALUE"""),"james.tomazinis@floridadep.gov")</f>
        <v>james.tomazinis@floridadep.gov</v>
      </c>
      <c r="D320" t="str">
        <f ca="1">IFERROR(__xludf.DUMMYFUNCTION("""COMPUTED_VALUE"""),"Stewardship (Aquatic)")</f>
        <v>Stewardship (Aquatic)</v>
      </c>
      <c r="E320" t="str">
        <f ca="1">IFERROR(__xludf.DUMMYFUNCTION("""COMPUTED_VALUE"""),"Vilano")</f>
        <v>Vilano</v>
      </c>
      <c r="F320" s="13">
        <f ca="1">IFERROR(__xludf.DUMMYFUNCTION("""COMPUTED_VALUE"""),0.4375)</f>
        <v>0.4375</v>
      </c>
      <c r="G320" s="14">
        <f ca="1">IFERROR(__xludf.DUMMYFUNCTION("""COMPUTED_VALUE"""),43629)</f>
        <v>43629</v>
      </c>
      <c r="H320" t="str">
        <f ca="1">IFERROR(__xludf.DUMMYFUNCTION("""COMPUTED_VALUE"""),"Tolomato Nekton sites")</f>
        <v>Tolomato Nekton sites</v>
      </c>
      <c r="I320" s="15">
        <f ca="1">IFERROR(__xludf.DUMMYFUNCTION("""COMPUTED_VALUE"""),0.6875)</f>
        <v>0.6875</v>
      </c>
      <c r="J320" s="16"/>
      <c r="K320" t="str">
        <f ca="1">IFERROR(__xludf.DUMMYFUNCTION("""COMPUTED_VALUE"""),"23ft Skiff (Bertha) FL7972LJ DEP07613")</f>
        <v>23ft Skiff (Bertha) FL7972LJ DEP07613</v>
      </c>
      <c r="M320" t="str">
        <f ca="1">IFERROR(__xludf.DUMMYFUNCTION("""COMPUTED_VALUE"""),"Ford F150 2015 (White) - DEP21448")</f>
        <v>Ford F150 2015 (White) - DEP21448</v>
      </c>
      <c r="N320" t="str">
        <f ca="1">IFERROR(__xludf.DUMMYFUNCTION("""COMPUTED_VALUE"""),"Jimmy Tomazinis, (904) 547-0094")</f>
        <v>Jimmy Tomazinis, (904) 547-0094</v>
      </c>
      <c r="O320" t="str">
        <f ca="1">IFERROR(__xludf.DUMMYFUNCTION("""COMPUTED_VALUE"""),"Chris Kurtz, Trevor, Henry, Liv, Dickson")</f>
        <v>Chris Kurtz, Trevor, Henry, Liv, Dickson</v>
      </c>
      <c r="P320" t="str">
        <f ca="1">IFERROR(__xludf.DUMMYFUNCTION("""COMPUTED_VALUE"""),"Jimmy")</f>
        <v>Jimmy</v>
      </c>
      <c r="Q320" t="str">
        <f ca="1">IFERROR(__xludf.DUMMYFUNCTION("""COMPUTED_VALUE"""),"Good")</f>
        <v>Good</v>
      </c>
      <c r="R320" t="str">
        <f ca="1">IFERROR(__xludf.DUMMYFUNCTION("""COMPUTED_VALUE"""),"Good")</f>
        <v>Good</v>
      </c>
      <c r="S320" t="str">
        <f ca="1">IFERROR(__xludf.DUMMYFUNCTION("""COMPUTED_VALUE"""),"Good")</f>
        <v>Good</v>
      </c>
      <c r="U320" t="str">
        <f ca="1">IFERROR(__xludf.DUMMYFUNCTION("""COMPUTED_VALUE"""),"Good")</f>
        <v>Good</v>
      </c>
      <c r="V320" t="str">
        <f ca="1">IFERROR(__xludf.DUMMYFUNCTION("""COMPUTED_VALUE"""),"Good")</f>
        <v>Good</v>
      </c>
      <c r="W320" t="str">
        <f ca="1">IFERROR(__xludf.DUMMYFUNCTION("""COMPUTED_VALUE"""),"Good")</f>
        <v>Good</v>
      </c>
      <c r="X320" t="str">
        <f ca="1">IFERROR(__xludf.DUMMYFUNCTION("""COMPUTED_VALUE"""),"Good")</f>
        <v>Good</v>
      </c>
      <c r="Y320" t="str">
        <f ca="1">IFERROR(__xludf.DUMMYFUNCTION("""COMPUTED_VALUE"""),"Good")</f>
        <v>Good</v>
      </c>
      <c r="Z320" t="str">
        <f ca="1">IFERROR(__xludf.DUMMYFUNCTION("""COMPUTED_VALUE"""),"Good")</f>
        <v>Good</v>
      </c>
      <c r="AA320" t="str">
        <f ca="1">IFERROR(__xludf.DUMMYFUNCTION("""COMPUTED_VALUE"""),"Good")</f>
        <v>Good</v>
      </c>
      <c r="AB320" t="str">
        <f ca="1">IFERROR(__xludf.DUMMYFUNCTION("""COMPUTED_VALUE"""),"Good")</f>
        <v>Good</v>
      </c>
      <c r="AC320" t="str">
        <f ca="1">IFERROR(__xludf.DUMMYFUNCTION("""COMPUTED_VALUE"""),"Good")</f>
        <v>Good</v>
      </c>
      <c r="AE320" s="11"/>
      <c r="AF320" t="str">
        <v>Scott.Eastman@floridadep.gov</v>
      </c>
      <c r="AG320" s="17" t="s">
        <v>21</v>
      </c>
      <c r="AI320" s="12" t="s">
        <v>907</v>
      </c>
      <c r="AJ320" s="19" t="s">
        <v>908</v>
      </c>
      <c r="AK320" s="20" t="str">
        <f>HYPERLINK("https://docs.google.com/document/d/164X_Qm-57KZWpDwSlzujouQd4VaB5hOiv035HofNRW4/edit?usp=drivesdk","Jimmy - 6/13/2019 10:30 AM")</f>
        <v>Jimmy - 6/13/2019 10:30 AM</v>
      </c>
      <c r="AL320" s="12" t="s">
        <v>909</v>
      </c>
    </row>
    <row r="321" spans="1:38" ht="12.75">
      <c r="A321" s="10">
        <f ca="1">IFERROR(__xludf.DUMMYFUNCTION("""COMPUTED_VALUE"""),43630.3589197916)</f>
        <v>43630.358919791601</v>
      </c>
      <c r="B321" s="11" t="str">
        <f ca="1">IFERROR(__xludf.DUMMYFUNCTION("""COMPUTED_VALUE"""),"Jimmy")</f>
        <v>Jimmy</v>
      </c>
      <c r="C321" t="str">
        <f ca="1">IFERROR(__xludf.DUMMYFUNCTION("""COMPUTED_VALUE"""),"james.tomazinis@floridadep.gov")</f>
        <v>james.tomazinis@floridadep.gov</v>
      </c>
      <c r="D321" t="str">
        <f ca="1">IFERROR(__xludf.DUMMYFUNCTION("""COMPUTED_VALUE"""),"Stewardship (Aquatic)")</f>
        <v>Stewardship (Aquatic)</v>
      </c>
      <c r="E321" t="str">
        <f ca="1">IFERROR(__xludf.DUMMYFUNCTION("""COMPUTED_VALUE"""),"Vilano")</f>
        <v>Vilano</v>
      </c>
      <c r="F321" s="13">
        <f ca="1">IFERROR(__xludf.DUMMYFUNCTION("""COMPUTED_VALUE"""),0.385416666667879)</f>
        <v>0.38541666666787899</v>
      </c>
      <c r="G321" s="14">
        <f ca="1">IFERROR(__xludf.DUMMYFUNCTION("""COMPUTED_VALUE"""),43630)</f>
        <v>43630</v>
      </c>
      <c r="H321" t="str">
        <f ca="1">IFERROR(__xludf.DUMMYFUNCTION("""COMPUTED_VALUE"""),"Matanzas Nekton sites")</f>
        <v>Matanzas Nekton sites</v>
      </c>
      <c r="I321" s="15">
        <f ca="1">IFERROR(__xludf.DUMMYFUNCTION("""COMPUTED_VALUE"""),0.6875)</f>
        <v>0.6875</v>
      </c>
      <c r="J321" s="16"/>
      <c r="K321" t="str">
        <f ca="1">IFERROR(__xludf.DUMMYFUNCTION("""COMPUTED_VALUE"""),"23ft Skiff (Bertha) FL7972LJ DEP07613")</f>
        <v>23ft Skiff (Bertha) FL7972LJ DEP07613</v>
      </c>
      <c r="M321" t="str">
        <f ca="1">IFERROR(__xludf.DUMMYFUNCTION("""COMPUTED_VALUE"""),"Ford F150 2015 (White) - DEP21448")</f>
        <v>Ford F150 2015 (White) - DEP21448</v>
      </c>
      <c r="N321" t="str">
        <f ca="1">IFERROR(__xludf.DUMMYFUNCTION("""COMPUTED_VALUE"""),"Jimmy Tomazinis, (904) 547-0094")</f>
        <v>Jimmy Tomazinis, (904) 547-0094</v>
      </c>
      <c r="O321" t="str">
        <f ca="1">IFERROR(__xludf.DUMMYFUNCTION("""COMPUTED_VALUE"""),"Jeff Finnan, Chris Kurtz, Trevor, Andy, Steve")</f>
        <v>Jeff Finnan, Chris Kurtz, Trevor, Andy, Steve</v>
      </c>
      <c r="P321" t="str">
        <f ca="1">IFERROR(__xludf.DUMMYFUNCTION("""COMPUTED_VALUE"""),"Jimmy")</f>
        <v>Jimmy</v>
      </c>
      <c r="Q321" t="str">
        <f ca="1">IFERROR(__xludf.DUMMYFUNCTION("""COMPUTED_VALUE"""),"Good")</f>
        <v>Good</v>
      </c>
      <c r="R321" t="str">
        <f ca="1">IFERROR(__xludf.DUMMYFUNCTION("""COMPUTED_VALUE"""),"Good")</f>
        <v>Good</v>
      </c>
      <c r="S321" t="str">
        <f ca="1">IFERROR(__xludf.DUMMYFUNCTION("""COMPUTED_VALUE"""),"Good")</f>
        <v>Good</v>
      </c>
      <c r="T321" t="str">
        <f ca="1">IFERROR(__xludf.DUMMYFUNCTION("""COMPUTED_VALUE"""),"Good")</f>
        <v>Good</v>
      </c>
      <c r="U321" t="str">
        <f ca="1">IFERROR(__xludf.DUMMYFUNCTION("""COMPUTED_VALUE"""),"Good")</f>
        <v>Good</v>
      </c>
      <c r="V321" t="str">
        <f ca="1">IFERROR(__xludf.DUMMYFUNCTION("""COMPUTED_VALUE"""),"Good")</f>
        <v>Good</v>
      </c>
      <c r="W321" t="str">
        <f ca="1">IFERROR(__xludf.DUMMYFUNCTION("""COMPUTED_VALUE"""),"Good")</f>
        <v>Good</v>
      </c>
      <c r="X321" t="str">
        <f ca="1">IFERROR(__xludf.DUMMYFUNCTION("""COMPUTED_VALUE"""),"Good")</f>
        <v>Good</v>
      </c>
      <c r="Y321" t="str">
        <f ca="1">IFERROR(__xludf.DUMMYFUNCTION("""COMPUTED_VALUE"""),"Good")</f>
        <v>Good</v>
      </c>
      <c r="Z321" t="str">
        <f ca="1">IFERROR(__xludf.DUMMYFUNCTION("""COMPUTED_VALUE"""),"Good")</f>
        <v>Good</v>
      </c>
      <c r="AA321" t="str">
        <f ca="1">IFERROR(__xludf.DUMMYFUNCTION("""COMPUTED_VALUE"""),"Good")</f>
        <v>Good</v>
      </c>
      <c r="AB321" t="str">
        <f ca="1">IFERROR(__xludf.DUMMYFUNCTION("""COMPUTED_VALUE"""),"Good")</f>
        <v>Good</v>
      </c>
      <c r="AC321" t="str">
        <f ca="1">IFERROR(__xludf.DUMMYFUNCTION("""COMPUTED_VALUE"""),"Good")</f>
        <v>Good</v>
      </c>
      <c r="AE321" s="11"/>
      <c r="AF321" t="str">
        <v>Scott.Eastman@floridadep.gov</v>
      </c>
      <c r="AG321" s="17" t="s">
        <v>21</v>
      </c>
      <c r="AI321" s="12" t="s">
        <v>910</v>
      </c>
      <c r="AJ321" s="19" t="s">
        <v>911</v>
      </c>
      <c r="AK321" s="20" t="str">
        <f>HYPERLINK("https://docs.google.com/document/d/1vh9SYwexF7o-MJsnwZb4b3TupfyrNa39KjhqGok5m9c/edit?usp=drivesdk","Jimmy - 6/14/2019 9:15 AM")</f>
        <v>Jimmy - 6/14/2019 9:15 AM</v>
      </c>
      <c r="AL321" s="12" t="s">
        <v>912</v>
      </c>
    </row>
    <row r="322" spans="1:38" ht="12.75">
      <c r="A322" s="10">
        <f ca="1">IFERROR(__xludf.DUMMYFUNCTION("""COMPUTED_VALUE"""),43633.7295344328)</f>
        <v>43633.729534432801</v>
      </c>
      <c r="B322" s="11" t="str">
        <f ca="1">IFERROR(__xludf.DUMMYFUNCTION("""COMPUTED_VALUE"""),"Silas Tanner")</f>
        <v>Silas Tanner</v>
      </c>
      <c r="C322" t="str">
        <f ca="1">IFERROR(__xludf.DUMMYFUNCTION("""COMPUTED_VALUE"""),"silas.tanner@floridadep.gov")</f>
        <v>silas.tanner@floridadep.gov</v>
      </c>
      <c r="D322" t="str">
        <f ca="1">IFERROR(__xludf.DUMMYFUNCTION("""COMPUTED_VALUE"""),"Research/Nikki")</f>
        <v>Research/Nikki</v>
      </c>
      <c r="E322" t="str">
        <f ca="1">IFERROR(__xludf.DUMMYFUNCTION("""COMPUTED_VALUE"""),"Douglas Crane boat ramp")</f>
        <v>Douglas Crane boat ramp</v>
      </c>
      <c r="F322" s="13">
        <f ca="1">IFERROR(__xludf.DUMMYFUNCTION("""COMPUTED_VALUE"""),0.354166666667879)</f>
        <v>0.35416666666787899</v>
      </c>
      <c r="G322" s="14">
        <f ca="1">IFERROR(__xludf.DUMMYFUNCTION("""COMPUTED_VALUE"""),43634)</f>
        <v>43634</v>
      </c>
      <c r="H322" t="str">
        <f ca="1">IFERROR(__xludf.DUMMYFUNCTION("""COMPUTED_VALUE"""),"ICW SWMP sites")</f>
        <v>ICW SWMP sites</v>
      </c>
      <c r="I322" s="15">
        <f ca="1">IFERROR(__xludf.DUMMYFUNCTION("""COMPUTED_VALUE"""),0.58333333333212)</f>
        <v>0.58333333333212001</v>
      </c>
      <c r="J322" s="16">
        <f ca="1">IFERROR(__xludf.DUMMYFUNCTION("""COMPUTED_VALUE"""),43633.6041666666)</f>
        <v>43633.604166666599</v>
      </c>
      <c r="K322" t="str">
        <f ca="1">IFERROR(__xludf.DUMMYFUNCTION("""COMPUTED_VALUE"""),"23ft Skiff (Bertha) FL7972LJ DEP07613")</f>
        <v>23ft Skiff (Bertha) FL7972LJ DEP07613</v>
      </c>
      <c r="M322" t="str">
        <f ca="1">IFERROR(__xludf.DUMMYFUNCTION("""COMPUTED_VALUE"""),"Ford F250 2017 (Moby Dix) - DEP0021578")</f>
        <v>Ford F250 2017 (Moby Dix) - DEP0021578</v>
      </c>
      <c r="N322" t="str">
        <f ca="1">IFERROR(__xludf.DUMMYFUNCTION("""COMPUTED_VALUE"""),"Silas Tanner, (904) 483-8423")</f>
        <v>Silas Tanner, (904) 483-8423</v>
      </c>
      <c r="O322" t="str">
        <f ca="1">IFERROR(__xludf.DUMMYFUNCTION("""COMPUTED_VALUE"""),"Remo Mondazi, Molly Dent")</f>
        <v>Remo Mondazi, Molly Dent</v>
      </c>
      <c r="P322" t="str">
        <f ca="1">IFERROR(__xludf.DUMMYFUNCTION("""COMPUTED_VALUE"""),"Silas Tanner")</f>
        <v>Silas Tanner</v>
      </c>
      <c r="Q322" t="str">
        <f ca="1">IFERROR(__xludf.DUMMYFUNCTION("""COMPUTED_VALUE"""),"Good")</f>
        <v>Good</v>
      </c>
      <c r="R322" t="str">
        <f ca="1">IFERROR(__xludf.DUMMYFUNCTION("""COMPUTED_VALUE"""),"Good")</f>
        <v>Good</v>
      </c>
      <c r="S322" t="str">
        <f ca="1">IFERROR(__xludf.DUMMYFUNCTION("""COMPUTED_VALUE"""),"Good")</f>
        <v>Good</v>
      </c>
      <c r="T322" t="str">
        <f ca="1">IFERROR(__xludf.DUMMYFUNCTION("""COMPUTED_VALUE"""),"Good")</f>
        <v>Good</v>
      </c>
      <c r="U322" t="str">
        <f ca="1">IFERROR(__xludf.DUMMYFUNCTION("""COMPUTED_VALUE"""),"Good")</f>
        <v>Good</v>
      </c>
      <c r="V322" t="str">
        <f ca="1">IFERROR(__xludf.DUMMYFUNCTION("""COMPUTED_VALUE"""),"Good")</f>
        <v>Good</v>
      </c>
      <c r="W322" t="str">
        <f ca="1">IFERROR(__xludf.DUMMYFUNCTION("""COMPUTED_VALUE"""),"Good")</f>
        <v>Good</v>
      </c>
      <c r="X322" t="str">
        <f ca="1">IFERROR(__xludf.DUMMYFUNCTION("""COMPUTED_VALUE"""),"Good")</f>
        <v>Good</v>
      </c>
      <c r="Y322" t="str">
        <f ca="1">IFERROR(__xludf.DUMMYFUNCTION("""COMPUTED_VALUE"""),"Good")</f>
        <v>Good</v>
      </c>
      <c r="Z322" t="str">
        <f ca="1">IFERROR(__xludf.DUMMYFUNCTION("""COMPUTED_VALUE"""),"Good")</f>
        <v>Good</v>
      </c>
      <c r="AA322" t="str">
        <f ca="1">IFERROR(__xludf.DUMMYFUNCTION("""COMPUTED_VALUE"""),"Good")</f>
        <v>Good</v>
      </c>
      <c r="AB322" t="str">
        <f ca="1">IFERROR(__xludf.DUMMYFUNCTION("""COMPUTED_VALUE"""),"Good")</f>
        <v>Good</v>
      </c>
      <c r="AC322" t="str">
        <f ca="1">IFERROR(__xludf.DUMMYFUNCTION("""COMPUTED_VALUE"""),"Good")</f>
        <v>Good</v>
      </c>
      <c r="AE322" s="11"/>
      <c r="AF322" t="str">
        <v>Nikki.Dix@floridadep.gov</v>
      </c>
      <c r="AG322" s="17" t="s">
        <v>113</v>
      </c>
      <c r="AH322" s="12">
        <v>1220</v>
      </c>
      <c r="AI322" s="12" t="s">
        <v>913</v>
      </c>
      <c r="AJ322" s="19" t="s">
        <v>914</v>
      </c>
      <c r="AK322" s="20" t="str">
        <f>HYPERLINK("https://docs.google.com/document/d/1qfUcmR9cqqC24YrVwYMSNWmDE13w6gaXtQiKLuEI16A/edit?usp=drivesdk","Silas Tanner - 6/18/2019 8:30 AM")</f>
        <v>Silas Tanner - 6/18/2019 8:30 AM</v>
      </c>
      <c r="AL322" s="12" t="s">
        <v>915</v>
      </c>
    </row>
    <row r="323" spans="1:38" ht="12.75">
      <c r="A323" s="10">
        <f ca="1">IFERROR(__xludf.DUMMYFUNCTION("""COMPUTED_VALUE"""),43634.3669941203)</f>
        <v>43634.366994120297</v>
      </c>
      <c r="B323" s="11" t="str">
        <f ca="1">IFERROR(__xludf.DUMMYFUNCTION("""COMPUTED_VALUE"""),"Jimmy")</f>
        <v>Jimmy</v>
      </c>
      <c r="C323" t="str">
        <f ca="1">IFERROR(__xludf.DUMMYFUNCTION("""COMPUTED_VALUE"""),"james.tomazinis@floridadep.gov")</f>
        <v>james.tomazinis@floridadep.gov</v>
      </c>
      <c r="D323" t="str">
        <f ca="1">IFERROR(__xludf.DUMMYFUNCTION("""COMPUTED_VALUE"""),"Stewardship (Aquatic)")</f>
        <v>Stewardship (Aquatic)</v>
      </c>
      <c r="E323" t="str">
        <f ca="1">IFERROR(__xludf.DUMMYFUNCTION("""COMPUTED_VALUE"""),"Whitney")</f>
        <v>Whitney</v>
      </c>
      <c r="F323" s="13">
        <f ca="1">IFERROR(__xludf.DUMMYFUNCTION("""COMPUTED_VALUE"""),0.416666666667879)</f>
        <v>0.41666666666787899</v>
      </c>
      <c r="G323" s="14">
        <f ca="1">IFERROR(__xludf.DUMMYFUNCTION("""COMPUTED_VALUE"""),43634)</f>
        <v>43634</v>
      </c>
      <c r="H323" t="str">
        <f ca="1">IFERROR(__xludf.DUMMYFUNCTION("""COMPUTED_VALUE"""),"Summerhaven")</f>
        <v>Summerhaven</v>
      </c>
      <c r="I323" s="15">
        <f ca="1">IFERROR(__xludf.DUMMYFUNCTION("""COMPUTED_VALUE"""),0.5625)</f>
        <v>0.5625</v>
      </c>
      <c r="J323" s="16"/>
      <c r="K323" t="str">
        <f ca="1">IFERROR(__xludf.DUMMYFUNCTION("""COMPUTED_VALUE"""),"Kayak(s), Canoe/Kayak Trailer DEP06086")</f>
        <v>Kayak(s), Canoe/Kayak Trailer DEP06086</v>
      </c>
      <c r="L323">
        <f ca="1">IFERROR(__xludf.DUMMYFUNCTION("""COMPUTED_VALUE"""),4)</f>
        <v>4</v>
      </c>
      <c r="M323" t="str">
        <f ca="1">IFERROR(__xludf.DUMMYFUNCTION("""COMPUTED_VALUE"""),"Ford F150 2015 (White) - DEP21448")</f>
        <v>Ford F150 2015 (White) - DEP21448</v>
      </c>
      <c r="N323" t="str">
        <f ca="1">IFERROR(__xludf.DUMMYFUNCTION("""COMPUTED_VALUE"""),"Jimmy Tomazinis, (904) 547-0094")</f>
        <v>Jimmy Tomazinis, (904) 547-0094</v>
      </c>
      <c r="O323" t="str">
        <f ca="1">IFERROR(__xludf.DUMMYFUNCTION("""COMPUTED_VALUE"""),"Pam Marcum, (480) 332-5414, Shannon Dunnigan, (803) 727-5734, Jessica Lee, Alee Knoell")</f>
        <v>Pam Marcum, (480) 332-5414, Shannon Dunnigan, (803) 727-5734, Jessica Lee, Alee Knoell</v>
      </c>
      <c r="P323" t="str">
        <f ca="1">IFERROR(__xludf.DUMMYFUNCTION("""COMPUTED_VALUE"""),"Jimmy")</f>
        <v>Jimmy</v>
      </c>
      <c r="Q323" t="str">
        <f ca="1">IFERROR(__xludf.DUMMYFUNCTION("""COMPUTED_VALUE"""),"Good")</f>
        <v>Good</v>
      </c>
      <c r="R323" t="str">
        <f ca="1">IFERROR(__xludf.DUMMYFUNCTION("""COMPUTED_VALUE"""),"Good")</f>
        <v>Good</v>
      </c>
      <c r="S323" t="str">
        <f ca="1">IFERROR(__xludf.DUMMYFUNCTION("""COMPUTED_VALUE"""),"Good")</f>
        <v>Good</v>
      </c>
      <c r="T323" t="str">
        <f ca="1">IFERROR(__xludf.DUMMYFUNCTION("""COMPUTED_VALUE"""),"Good")</f>
        <v>Good</v>
      </c>
      <c r="U323" t="str">
        <f ca="1">IFERROR(__xludf.DUMMYFUNCTION("""COMPUTED_VALUE"""),"Good")</f>
        <v>Good</v>
      </c>
      <c r="V323" t="str">
        <f ca="1">IFERROR(__xludf.DUMMYFUNCTION("""COMPUTED_VALUE"""),"Good")</f>
        <v>Good</v>
      </c>
      <c r="W323" t="str">
        <f ca="1">IFERROR(__xludf.DUMMYFUNCTION("""COMPUTED_VALUE"""),"Good")</f>
        <v>Good</v>
      </c>
      <c r="X323" t="str">
        <f ca="1">IFERROR(__xludf.DUMMYFUNCTION("""COMPUTED_VALUE"""),"Good")</f>
        <v>Good</v>
      </c>
      <c r="Y323" t="str">
        <f ca="1">IFERROR(__xludf.DUMMYFUNCTION("""COMPUTED_VALUE"""),"Good")</f>
        <v>Good</v>
      </c>
      <c r="Z323" t="str">
        <f ca="1">IFERROR(__xludf.DUMMYFUNCTION("""COMPUTED_VALUE"""),"Good")</f>
        <v>Good</v>
      </c>
      <c r="AA323" t="str">
        <f ca="1">IFERROR(__xludf.DUMMYFUNCTION("""COMPUTED_VALUE"""),"Good")</f>
        <v>Good</v>
      </c>
      <c r="AB323" t="str">
        <f ca="1">IFERROR(__xludf.DUMMYFUNCTION("""COMPUTED_VALUE"""),"Good")</f>
        <v>Good</v>
      </c>
      <c r="AC323" t="str">
        <f ca="1">IFERROR(__xludf.DUMMYFUNCTION("""COMPUTED_VALUE"""),"Good")</f>
        <v>Good</v>
      </c>
      <c r="AE323" s="11"/>
      <c r="AF323" t="str">
        <v>Scott.Eastman@floridadep.gov</v>
      </c>
      <c r="AG323" s="17" t="s">
        <v>113</v>
      </c>
      <c r="AH323" s="12">
        <v>1230</v>
      </c>
      <c r="AI323" s="12" t="s">
        <v>916</v>
      </c>
      <c r="AJ323" s="19" t="s">
        <v>917</v>
      </c>
      <c r="AK323" s="20" t="str">
        <f>HYPERLINK("https://docs.google.com/document/d/1YLWiNhI8NozGXmYo5gZ2IVUl2kOr9Ek5uLEd8Mb9Y4s/edit?usp=drivesdk","Jimmy - 6/18/2019 10:00 AM")</f>
        <v>Jimmy - 6/18/2019 10:00 AM</v>
      </c>
      <c r="AL323" s="12" t="s">
        <v>918</v>
      </c>
    </row>
    <row r="324" spans="1:38" ht="12.75">
      <c r="A324" s="10">
        <f ca="1">IFERROR(__xludf.DUMMYFUNCTION("""COMPUTED_VALUE"""),43634.6849399189)</f>
        <v>43634.684939918901</v>
      </c>
      <c r="B324" s="11" t="str">
        <f ca="1">IFERROR(__xludf.DUMMYFUNCTION("""COMPUTED_VALUE"""),"Jimmy")</f>
        <v>Jimmy</v>
      </c>
      <c r="C324" t="str">
        <f ca="1">IFERROR(__xludf.DUMMYFUNCTION("""COMPUTED_VALUE"""),"james.tomazinis@floridadep.gov")</f>
        <v>james.tomazinis@floridadep.gov</v>
      </c>
      <c r="D324" t="str">
        <f ca="1">IFERROR(__xludf.DUMMYFUNCTION("""COMPUTED_VALUE"""),"Stewardship (Aquatic)")</f>
        <v>Stewardship (Aquatic)</v>
      </c>
      <c r="E324" t="str">
        <f ca="1">IFERROR(__xludf.DUMMYFUNCTION("""COMPUTED_VALUE"""),"Whitney")</f>
        <v>Whitney</v>
      </c>
      <c r="F324" s="13">
        <f ca="1">IFERROR(__xludf.DUMMYFUNCTION("""COMPUTED_VALUE"""),0.385416666667879)</f>
        <v>0.38541666666787899</v>
      </c>
      <c r="G324" s="14">
        <f ca="1">IFERROR(__xludf.DUMMYFUNCTION("""COMPUTED_VALUE"""),43635)</f>
        <v>43635</v>
      </c>
      <c r="H324" t="str">
        <f ca="1">IFERROR(__xludf.DUMMYFUNCTION("""COMPUTED_VALUE"""),"Summerhaven")</f>
        <v>Summerhaven</v>
      </c>
      <c r="I324" s="15">
        <f ca="1">IFERROR(__xludf.DUMMYFUNCTION("""COMPUTED_VALUE"""),0.510416666667879)</f>
        <v>0.51041666666787899</v>
      </c>
      <c r="J324" s="16"/>
      <c r="K324" t="str">
        <f ca="1">IFERROR(__xludf.DUMMYFUNCTION("""COMPUTED_VALUE"""),"Kayak(s)")</f>
        <v>Kayak(s)</v>
      </c>
      <c r="L324">
        <f ca="1">IFERROR(__xludf.DUMMYFUNCTION("""COMPUTED_VALUE"""),2)</f>
        <v>2</v>
      </c>
      <c r="M324" t="str">
        <f ca="1">IFERROR(__xludf.DUMMYFUNCTION("""COMPUTED_VALUE"""),"Ford F150 2015 (White) - DEP21448")</f>
        <v>Ford F150 2015 (White) - DEP21448</v>
      </c>
      <c r="N324" t="str">
        <f ca="1">IFERROR(__xludf.DUMMYFUNCTION("""COMPUTED_VALUE"""),"Jimmy Tomazinis, (904) 547-0094")</f>
        <v>Jimmy Tomazinis, (904) 547-0094</v>
      </c>
      <c r="O324" t="str">
        <f ca="1">IFERROR(__xludf.DUMMYFUNCTION("""COMPUTED_VALUE"""),"Ashley Konon")</f>
        <v>Ashley Konon</v>
      </c>
      <c r="P324" t="str">
        <f ca="1">IFERROR(__xludf.DUMMYFUNCTION("""COMPUTED_VALUE"""),"Jimmy")</f>
        <v>Jimmy</v>
      </c>
      <c r="Q324" t="str">
        <f ca="1">IFERROR(__xludf.DUMMYFUNCTION("""COMPUTED_VALUE"""),"Good")</f>
        <v>Good</v>
      </c>
      <c r="R324" t="str">
        <f ca="1">IFERROR(__xludf.DUMMYFUNCTION("""COMPUTED_VALUE"""),"Good")</f>
        <v>Good</v>
      </c>
      <c r="S324" t="str">
        <f ca="1">IFERROR(__xludf.DUMMYFUNCTION("""COMPUTED_VALUE"""),"Good")</f>
        <v>Good</v>
      </c>
      <c r="T324" t="str">
        <f ca="1">IFERROR(__xludf.DUMMYFUNCTION("""COMPUTED_VALUE"""),"Good")</f>
        <v>Good</v>
      </c>
      <c r="U324" t="str">
        <f ca="1">IFERROR(__xludf.DUMMYFUNCTION("""COMPUTED_VALUE"""),"Good")</f>
        <v>Good</v>
      </c>
      <c r="V324" t="str">
        <f ca="1">IFERROR(__xludf.DUMMYFUNCTION("""COMPUTED_VALUE"""),"Good")</f>
        <v>Good</v>
      </c>
      <c r="W324" t="str">
        <f ca="1">IFERROR(__xludf.DUMMYFUNCTION("""COMPUTED_VALUE"""),"Good")</f>
        <v>Good</v>
      </c>
      <c r="X324" t="str">
        <f ca="1">IFERROR(__xludf.DUMMYFUNCTION("""COMPUTED_VALUE"""),"Good")</f>
        <v>Good</v>
      </c>
      <c r="Y324" t="str">
        <f ca="1">IFERROR(__xludf.DUMMYFUNCTION("""COMPUTED_VALUE"""),"Good")</f>
        <v>Good</v>
      </c>
      <c r="Z324" t="str">
        <f ca="1">IFERROR(__xludf.DUMMYFUNCTION("""COMPUTED_VALUE"""),"Good")</f>
        <v>Good</v>
      </c>
      <c r="AA324" t="str">
        <f ca="1">IFERROR(__xludf.DUMMYFUNCTION("""COMPUTED_VALUE"""),"Good")</f>
        <v>Good</v>
      </c>
      <c r="AB324" t="str">
        <f ca="1">IFERROR(__xludf.DUMMYFUNCTION("""COMPUTED_VALUE"""),"Good")</f>
        <v>Good</v>
      </c>
      <c r="AC324" t="str">
        <f ca="1">IFERROR(__xludf.DUMMYFUNCTION("""COMPUTED_VALUE"""),"Good")</f>
        <v>Good</v>
      </c>
      <c r="AE324" s="11"/>
      <c r="AF324" t="str">
        <v>Scott.Eastman@floridadep.gov</v>
      </c>
      <c r="AG324" s="17" t="s">
        <v>126</v>
      </c>
      <c r="AH324" s="12">
        <v>1150</v>
      </c>
      <c r="AI324" s="12" t="s">
        <v>919</v>
      </c>
      <c r="AJ324" s="19" t="s">
        <v>920</v>
      </c>
      <c r="AK324" s="20" t="str">
        <f>HYPERLINK("https://docs.google.com/document/d/1VJnXPJs-V6D3x8ovy_Zxak_KhMiACK6sxW9bc_Tpvk4/edit?usp=drivesdk","Jimmy - 6/19/2019 9:15 AM")</f>
        <v>Jimmy - 6/19/2019 9:15 AM</v>
      </c>
      <c r="AL324" s="12" t="s">
        <v>921</v>
      </c>
    </row>
    <row r="325" spans="1:38" ht="12.75">
      <c r="A325" s="10">
        <f ca="1">IFERROR(__xludf.DUMMYFUNCTION("""COMPUTED_VALUE"""),43635.7319902314)</f>
        <v>43635.731990231398</v>
      </c>
      <c r="B325" s="11" t="str">
        <f ca="1">IFERROR(__xludf.DUMMYFUNCTION("""COMPUTED_VALUE"""),"Jimmy")</f>
        <v>Jimmy</v>
      </c>
      <c r="C325" t="str">
        <f ca="1">IFERROR(__xludf.DUMMYFUNCTION("""COMPUTED_VALUE"""),"james.tomazinis@floridadep.gov")</f>
        <v>james.tomazinis@floridadep.gov</v>
      </c>
      <c r="D325" t="str">
        <f ca="1">IFERROR(__xludf.DUMMYFUNCTION("""COMPUTED_VALUE"""),"Stewardship (Aquatic)")</f>
        <v>Stewardship (Aquatic)</v>
      </c>
      <c r="E325" t="str">
        <f ca="1">IFERROR(__xludf.DUMMYFUNCTION("""COMPUTED_VALUE"""),"TBD")</f>
        <v>TBD</v>
      </c>
      <c r="F325" s="13">
        <f ca="1">IFERROR(__xludf.DUMMYFUNCTION("""COMPUTED_VALUE"""),0.416666666667879)</f>
        <v>0.41666666666787899</v>
      </c>
      <c r="G325" s="14">
        <f ca="1">IFERROR(__xludf.DUMMYFUNCTION("""COMPUTED_VALUE"""),43636)</f>
        <v>43636</v>
      </c>
      <c r="H325" t="str">
        <f ca="1">IFERROR(__xludf.DUMMYFUNCTION("""COMPUTED_VALUE"""),"Stetson row course")</f>
        <v>Stetson row course</v>
      </c>
      <c r="I325" s="15">
        <f ca="1">IFERROR(__xludf.DUMMYFUNCTION("""COMPUTED_VALUE"""),0.70833333333212)</f>
        <v>0.70833333333212001</v>
      </c>
      <c r="J325" s="16"/>
      <c r="N325" t="str">
        <f ca="1">IFERROR(__xludf.DUMMYFUNCTION("""COMPUTED_VALUE"""),"Jimmy Tomazinis, (904) 547-0094")</f>
        <v>Jimmy Tomazinis, (904) 547-0094</v>
      </c>
      <c r="O325" t="str">
        <f ca="1">IFERROR(__xludf.DUMMYFUNCTION("""COMPUTED_VALUE"""),"Ashley Konon")</f>
        <v>Ashley Konon</v>
      </c>
      <c r="P325" t="str">
        <f ca="1">IFERROR(__xludf.DUMMYFUNCTION("""COMPUTED_VALUE"""),"Jimmy")</f>
        <v>Jimmy</v>
      </c>
      <c r="Q325" t="str">
        <f ca="1">IFERROR(__xludf.DUMMYFUNCTION("""COMPUTED_VALUE"""),"Good")</f>
        <v>Good</v>
      </c>
      <c r="R325" t="str">
        <f ca="1">IFERROR(__xludf.DUMMYFUNCTION("""COMPUTED_VALUE"""),"Good")</f>
        <v>Good</v>
      </c>
      <c r="S325" t="str">
        <f ca="1">IFERROR(__xludf.DUMMYFUNCTION("""COMPUTED_VALUE"""),"Good")</f>
        <v>Good</v>
      </c>
      <c r="T325" t="str">
        <f ca="1">IFERROR(__xludf.DUMMYFUNCTION("""COMPUTED_VALUE"""),"Good")</f>
        <v>Good</v>
      </c>
      <c r="U325" t="str">
        <f ca="1">IFERROR(__xludf.DUMMYFUNCTION("""COMPUTED_VALUE"""),"Good")</f>
        <v>Good</v>
      </c>
      <c r="V325" t="str">
        <f ca="1">IFERROR(__xludf.DUMMYFUNCTION("""COMPUTED_VALUE"""),"Good")</f>
        <v>Good</v>
      </c>
      <c r="W325" t="str">
        <f ca="1">IFERROR(__xludf.DUMMYFUNCTION("""COMPUTED_VALUE"""),"Good")</f>
        <v>Good</v>
      </c>
      <c r="X325" t="str">
        <f ca="1">IFERROR(__xludf.DUMMYFUNCTION("""COMPUTED_VALUE"""),"Good")</f>
        <v>Good</v>
      </c>
      <c r="Y325" t="str">
        <f ca="1">IFERROR(__xludf.DUMMYFUNCTION("""COMPUTED_VALUE"""),"Good")</f>
        <v>Good</v>
      </c>
      <c r="Z325" t="str">
        <f ca="1">IFERROR(__xludf.DUMMYFUNCTION("""COMPUTED_VALUE"""),"Good")</f>
        <v>Good</v>
      </c>
      <c r="AA325" t="str">
        <f ca="1">IFERROR(__xludf.DUMMYFUNCTION("""COMPUTED_VALUE"""),"Good")</f>
        <v>Good</v>
      </c>
      <c r="AB325" t="str">
        <f ca="1">IFERROR(__xludf.DUMMYFUNCTION("""COMPUTED_VALUE"""),"Good")</f>
        <v>Good</v>
      </c>
      <c r="AC325" t="str">
        <f ca="1">IFERROR(__xludf.DUMMYFUNCTION("""COMPUTED_VALUE"""),"Good")</f>
        <v>Good</v>
      </c>
      <c r="AE325" s="11"/>
      <c r="AF325" t="str">
        <v>Scott.Eastman@floridadep.gov</v>
      </c>
      <c r="AG325" s="17" t="s">
        <v>444</v>
      </c>
      <c r="AH325" s="12">
        <v>1500</v>
      </c>
      <c r="AI325" s="12" t="s">
        <v>922</v>
      </c>
      <c r="AJ325" s="19" t="s">
        <v>923</v>
      </c>
      <c r="AK325" s="20" t="str">
        <f>HYPERLINK("https://docs.google.com/document/d/1LBlWKL2pKmxOCG6VVr5KzjV_Qs6EWYJnMRPZXBuCHyY/edit?usp=drivesdk","Jimmy - 6/20/2019 10:00 AM")</f>
        <v>Jimmy - 6/20/2019 10:00 AM</v>
      </c>
      <c r="AL325" s="12" t="s">
        <v>924</v>
      </c>
    </row>
    <row r="326" spans="1:38" ht="12.75">
      <c r="A326" s="10">
        <f ca="1">IFERROR(__xludf.DUMMYFUNCTION("""COMPUTED_VALUE"""),43642.3539188657)</f>
        <v>43642.353918865701</v>
      </c>
      <c r="B326" s="11" t="str">
        <f ca="1">IFERROR(__xludf.DUMMYFUNCTION("""COMPUTED_VALUE"""),"Silas Tanner")</f>
        <v>Silas Tanner</v>
      </c>
      <c r="C326" t="str">
        <f ca="1">IFERROR(__xludf.DUMMYFUNCTION("""COMPUTED_VALUE"""),"silas.tanner@floridadep.gov")</f>
        <v>silas.tanner@floridadep.gov</v>
      </c>
      <c r="D326" t="str">
        <f ca="1">IFERROR(__xludf.DUMMYFUNCTION("""COMPUTED_VALUE"""),"Research/Nikki")</f>
        <v>Research/Nikki</v>
      </c>
      <c r="E326" t="str">
        <f ca="1">IFERROR(__xludf.DUMMYFUNCTION("""COMPUTED_VALUE"""),"Crane ramp")</f>
        <v>Crane ramp</v>
      </c>
      <c r="F326" s="13">
        <f ca="1">IFERROR(__xludf.DUMMYFUNCTION("""COMPUTED_VALUE"""),0.39583333333212)</f>
        <v>0.39583333333212001</v>
      </c>
      <c r="G326" s="14">
        <f ca="1">IFERROR(__xludf.DUMMYFUNCTION("""COMPUTED_VALUE"""),43642)</f>
        <v>43642</v>
      </c>
      <c r="H326" t="str">
        <f ca="1">IFERROR(__xludf.DUMMYFUNCTION("""COMPUTED_VALUE"""),"ICW b/w Crane Ramp and Guana river")</f>
        <v>ICW b/w Crane Ramp and Guana river</v>
      </c>
      <c r="I326" s="15">
        <f ca="1">IFERROR(__xludf.DUMMYFUNCTION("""COMPUTED_VALUE"""),0.5)</f>
        <v>0.5</v>
      </c>
      <c r="J326" s="16">
        <f ca="1">IFERROR(__xludf.DUMMYFUNCTION("""COMPUTED_VALUE"""),43642.5208333333)</f>
        <v>43642.520833333299</v>
      </c>
      <c r="K326" t="str">
        <f ca="1">IFERROR(__xludf.DUMMYFUNCTION("""COMPUTED_VALUE"""),"20ft Sea Ark FL5351SJ UNF 2015")</f>
        <v>20ft Sea Ark FL5351SJ UNF 2015</v>
      </c>
      <c r="M326" t="str">
        <f ca="1">IFERROR(__xludf.DUMMYFUNCTION("""COMPUTED_VALUE"""),"Ford F250 2017 (Moby Dix) - DEP0021578")</f>
        <v>Ford F250 2017 (Moby Dix) - DEP0021578</v>
      </c>
      <c r="N326" t="str">
        <f ca="1">IFERROR(__xludf.DUMMYFUNCTION("""COMPUTED_VALUE"""),"Silas Tanner, (904) 483-8423")</f>
        <v>Silas Tanner, (904) 483-8423</v>
      </c>
      <c r="O326" t="str">
        <f ca="1">IFERROR(__xludf.DUMMYFUNCTION("""COMPUTED_VALUE"""),"Shane Pangle")</f>
        <v>Shane Pangle</v>
      </c>
      <c r="P326" t="str">
        <f ca="1">IFERROR(__xludf.DUMMYFUNCTION("""COMPUTED_VALUE"""),"S. Tanner")</f>
        <v>S. Tanner</v>
      </c>
      <c r="Q326" t="str">
        <f ca="1">IFERROR(__xludf.DUMMYFUNCTION("""COMPUTED_VALUE"""),"Good")</f>
        <v>Good</v>
      </c>
      <c r="R326" t="str">
        <f ca="1">IFERROR(__xludf.DUMMYFUNCTION("""COMPUTED_VALUE"""),"Good")</f>
        <v>Good</v>
      </c>
      <c r="S326" t="str">
        <f ca="1">IFERROR(__xludf.DUMMYFUNCTION("""COMPUTED_VALUE"""),"Good")</f>
        <v>Good</v>
      </c>
      <c r="T326" t="str">
        <f ca="1">IFERROR(__xludf.DUMMYFUNCTION("""COMPUTED_VALUE"""),"Good")</f>
        <v>Good</v>
      </c>
      <c r="U326" t="str">
        <f ca="1">IFERROR(__xludf.DUMMYFUNCTION("""COMPUTED_VALUE"""),"Good")</f>
        <v>Good</v>
      </c>
      <c r="V326" t="str">
        <f ca="1">IFERROR(__xludf.DUMMYFUNCTION("""COMPUTED_VALUE"""),"Good")</f>
        <v>Good</v>
      </c>
      <c r="W326" t="str">
        <f ca="1">IFERROR(__xludf.DUMMYFUNCTION("""COMPUTED_VALUE"""),"Good")</f>
        <v>Good</v>
      </c>
      <c r="X326" t="str">
        <f ca="1">IFERROR(__xludf.DUMMYFUNCTION("""COMPUTED_VALUE"""),"Good")</f>
        <v>Good</v>
      </c>
      <c r="Y326" t="str">
        <f ca="1">IFERROR(__xludf.DUMMYFUNCTION("""COMPUTED_VALUE"""),"Good")</f>
        <v>Good</v>
      </c>
      <c r="Z326" t="str">
        <f ca="1">IFERROR(__xludf.DUMMYFUNCTION("""COMPUTED_VALUE"""),"Good")</f>
        <v>Good</v>
      </c>
      <c r="AA326" t="str">
        <f ca="1">IFERROR(__xludf.DUMMYFUNCTION("""COMPUTED_VALUE"""),"Good")</f>
        <v>Good</v>
      </c>
      <c r="AB326" t="str">
        <f ca="1">IFERROR(__xludf.DUMMYFUNCTION("""COMPUTED_VALUE"""),"Good")</f>
        <v>Good</v>
      </c>
      <c r="AC326" t="str">
        <f ca="1">IFERROR(__xludf.DUMMYFUNCTION("""COMPUTED_VALUE"""),"Good")</f>
        <v>Good</v>
      </c>
      <c r="AE326" s="11"/>
      <c r="AF326" t="str">
        <v>Nikki.Dix@floridadep.gov</v>
      </c>
      <c r="AG326" s="17" t="s">
        <v>41</v>
      </c>
      <c r="AH326" s="12">
        <v>1157</v>
      </c>
      <c r="AI326" s="12" t="s">
        <v>925</v>
      </c>
      <c r="AJ326" s="19" t="s">
        <v>926</v>
      </c>
      <c r="AK326" s="20" t="str">
        <f>HYPERLINK("https://docs.google.com/document/d/1oFfq4LU7d1zTf_pe0yQ81_jHV2i5KQRSdELtjM6PJvU/edit?usp=drivesdk","Silas Tanner - 6/26/2019 9:30 AM")</f>
        <v>Silas Tanner - 6/26/2019 9:30 AM</v>
      </c>
      <c r="AL326" s="12" t="s">
        <v>927</v>
      </c>
    </row>
    <row r="327" spans="1:38" ht="12.75">
      <c r="A327" s="10">
        <f ca="1">IFERROR(__xludf.DUMMYFUNCTION("""COMPUTED_VALUE"""),43644.3969282523)</f>
        <v>43644.396928252303</v>
      </c>
      <c r="B327" s="11" t="str">
        <f ca="1">IFERROR(__xludf.DUMMYFUNCTION("""COMPUTED_VALUE"""),"Pam  Marcum")</f>
        <v>Pam  Marcum</v>
      </c>
      <c r="C327" t="str">
        <f ca="1">IFERROR(__xludf.DUMMYFUNCTION("""COMPUTED_VALUE"""),"pamela.marcum@dep.state.fl.us")</f>
        <v>pamela.marcum@dep.state.fl.us</v>
      </c>
      <c r="D327" t="str">
        <f ca="1">IFERROR(__xludf.DUMMYFUNCTION("""COMPUTED_VALUE"""),"Research/Nikki")</f>
        <v>Research/Nikki</v>
      </c>
      <c r="E327" t="str">
        <f ca="1">IFERROR(__xludf.DUMMYFUNCTION("""COMPUTED_VALUE"""),"Shore drive crane park")</f>
        <v>Shore drive crane park</v>
      </c>
      <c r="F327" s="13">
        <f ca="1">IFERROR(__xludf.DUMMYFUNCTION("""COMPUTED_VALUE"""),0.375)</f>
        <v>0.375</v>
      </c>
      <c r="G327" s="14">
        <f ca="1">IFERROR(__xludf.DUMMYFUNCTION("""COMPUTED_VALUE"""),43644)</f>
        <v>43644</v>
      </c>
      <c r="H327" t="str">
        <f ca="1">IFERROR(__xludf.DUMMYFUNCTION("""COMPUTED_VALUE"""),"Marsh Creek")</f>
        <v>Marsh Creek</v>
      </c>
      <c r="I327" s="15">
        <f ca="1">IFERROR(__xludf.DUMMYFUNCTION("""COMPUTED_VALUE"""),0.58333333333212)</f>
        <v>0.58333333333212001</v>
      </c>
      <c r="J327" s="16">
        <f ca="1">IFERROR(__xludf.DUMMYFUNCTION("""COMPUTED_VALUE"""),43644.625)</f>
        <v>43644.625</v>
      </c>
      <c r="K327" t="str">
        <f ca="1">IFERROR(__xludf.DUMMYFUNCTION("""COMPUTED_VALUE"""),"20ft Sea Ark FL5351SJ UNF 2015")</f>
        <v>20ft Sea Ark FL5351SJ UNF 2015</v>
      </c>
      <c r="M327" t="str">
        <f ca="1">IFERROR(__xludf.DUMMYFUNCTION("""COMPUTED_VALUE"""),"Ford F150 2015 (White) - DEP21448")</f>
        <v>Ford F150 2015 (White) - DEP21448</v>
      </c>
      <c r="N327" t="str">
        <f ca="1">IFERROR(__xludf.DUMMYFUNCTION("""COMPUTED_VALUE"""),"Pam Marcum, (480) 332-5414")</f>
        <v>Pam Marcum, (480) 332-5414</v>
      </c>
      <c r="O327" t="str">
        <f ca="1">IFERROR(__xludf.DUMMYFUNCTION("""COMPUTED_VALUE"""),"Gabby Canas, Alee Knoell")</f>
        <v>Gabby Canas, Alee Knoell</v>
      </c>
      <c r="P327" t="str">
        <f ca="1">IFERROR(__xludf.DUMMYFUNCTION("""COMPUTED_VALUE"""),"Pam &amp;  Gabby")</f>
        <v>Pam &amp;  Gabby</v>
      </c>
      <c r="Q327" t="str">
        <f ca="1">IFERROR(__xludf.DUMMYFUNCTION("""COMPUTED_VALUE"""),"Good")</f>
        <v>Good</v>
      </c>
      <c r="R327" t="str">
        <f ca="1">IFERROR(__xludf.DUMMYFUNCTION("""COMPUTED_VALUE"""),"Good")</f>
        <v>Good</v>
      </c>
      <c r="S327" t="str">
        <f ca="1">IFERROR(__xludf.DUMMYFUNCTION("""COMPUTED_VALUE"""),"Good")</f>
        <v>Good</v>
      </c>
      <c r="T327" t="str">
        <f ca="1">IFERROR(__xludf.DUMMYFUNCTION("""COMPUTED_VALUE"""),"Good")</f>
        <v>Good</v>
      </c>
      <c r="U327" t="str">
        <f ca="1">IFERROR(__xludf.DUMMYFUNCTION("""COMPUTED_VALUE"""),"Good")</f>
        <v>Good</v>
      </c>
      <c r="V327" t="str">
        <f ca="1">IFERROR(__xludf.DUMMYFUNCTION("""COMPUTED_VALUE"""),"Good")</f>
        <v>Good</v>
      </c>
      <c r="W327" t="str">
        <f ca="1">IFERROR(__xludf.DUMMYFUNCTION("""COMPUTED_VALUE"""),"Good")</f>
        <v>Good</v>
      </c>
      <c r="X327" t="str">
        <f ca="1">IFERROR(__xludf.DUMMYFUNCTION("""COMPUTED_VALUE"""),"Good")</f>
        <v>Good</v>
      </c>
      <c r="Y327" t="str">
        <f ca="1">IFERROR(__xludf.DUMMYFUNCTION("""COMPUTED_VALUE"""),"Good")</f>
        <v>Good</v>
      </c>
      <c r="Z327" t="str">
        <f ca="1">IFERROR(__xludf.DUMMYFUNCTION("""COMPUTED_VALUE"""),"Good")</f>
        <v>Good</v>
      </c>
      <c r="AA327" t="str">
        <f ca="1">IFERROR(__xludf.DUMMYFUNCTION("""COMPUTED_VALUE"""),"Good")</f>
        <v>Good</v>
      </c>
      <c r="AB327" t="str">
        <f ca="1">IFERROR(__xludf.DUMMYFUNCTION("""COMPUTED_VALUE"""),"Good")</f>
        <v>Good</v>
      </c>
      <c r="AC327" t="str">
        <f ca="1">IFERROR(__xludf.DUMMYFUNCTION("""COMPUTED_VALUE"""),"Good")</f>
        <v>Good</v>
      </c>
      <c r="AE327" s="11"/>
      <c r="AF327" t="str">
        <v>Nikki.Dix@floridadep.gov</v>
      </c>
      <c r="AG327" s="17" t="s">
        <v>113</v>
      </c>
      <c r="AH327" s="12">
        <v>1410</v>
      </c>
      <c r="AI327" s="12" t="s">
        <v>928</v>
      </c>
      <c r="AJ327" s="19" t="s">
        <v>929</v>
      </c>
      <c r="AK327" s="20" t="str">
        <f>HYPERLINK("https://docs.google.com/document/d/1KgtsJJKzhgVyGWsX20RlzbAQfyhax9XMYyQYU7_jT3Q/edit?usp=drivesdk","Pam  Marcum - 6/28/2019 9:00 AM")</f>
        <v>Pam  Marcum - 6/28/2019 9:00 AM</v>
      </c>
      <c r="AL327" s="12" t="s">
        <v>930</v>
      </c>
    </row>
    <row r="328" spans="1:38" ht="12.75">
      <c r="A328" s="10">
        <f ca="1">IFERROR(__xludf.DUMMYFUNCTION("""COMPUTED_VALUE"""),43647.5154639583)</f>
        <v>43647.515463958298</v>
      </c>
      <c r="B328" s="11" t="str">
        <f ca="1">IFERROR(__xludf.DUMMYFUNCTION("""COMPUTED_VALUE"""),"Pamela Marcum")</f>
        <v>Pamela Marcum</v>
      </c>
      <c r="C328" t="str">
        <f ca="1">IFERROR(__xludf.DUMMYFUNCTION("""COMPUTED_VALUE"""),"Pamela.Marcum@dep.state.fl.us")</f>
        <v>Pamela.Marcum@dep.state.fl.us</v>
      </c>
      <c r="D328" t="str">
        <f ca="1">IFERROR(__xludf.DUMMYFUNCTION("""COMPUTED_VALUE"""),"Research/Nikki")</f>
        <v>Research/Nikki</v>
      </c>
      <c r="E328" t="str">
        <f ca="1">IFERROR(__xludf.DUMMYFUNCTION("""COMPUTED_VALUE"""),"Aunt Kate's")</f>
        <v>Aunt Kate's</v>
      </c>
      <c r="F328" s="13">
        <f ca="1">IFERROR(__xludf.DUMMYFUNCTION("""COMPUTED_VALUE"""),0.541666666667879)</f>
        <v>0.54166666666787899</v>
      </c>
      <c r="G328" s="14">
        <f ca="1">IFERROR(__xludf.DUMMYFUNCTION("""COMPUTED_VALUE"""),43647)</f>
        <v>43647</v>
      </c>
      <c r="H328" t="str">
        <f ca="1">IFERROR(__xludf.DUMMYFUNCTION("""COMPUTED_VALUE"""),"Tolomato &amp; Guana Rivers")</f>
        <v>Tolomato &amp; Guana Rivers</v>
      </c>
      <c r="I328" s="15">
        <f ca="1">IFERROR(__xludf.DUMMYFUNCTION("""COMPUTED_VALUE"""),0.75)</f>
        <v>0.75</v>
      </c>
      <c r="J328" s="16">
        <f ca="1">IFERROR(__xludf.DUMMYFUNCTION("""COMPUTED_VALUE"""),43647.7708333333)</f>
        <v>43647.770833333299</v>
      </c>
      <c r="K328" t="str">
        <f ca="1">IFERROR(__xludf.DUMMYFUNCTION("""COMPUTED_VALUE"""),"20ft Sea Ark FL5351SJ UNF 2015")</f>
        <v>20ft Sea Ark FL5351SJ UNF 2015</v>
      </c>
      <c r="M328" t="str">
        <f ca="1">IFERROR(__xludf.DUMMYFUNCTION("""COMPUTED_VALUE"""),"Ford F150 2015 (White) - DEP21448")</f>
        <v>Ford F150 2015 (White) - DEP21448</v>
      </c>
      <c r="N328" t="str">
        <f ca="1">IFERROR(__xludf.DUMMYFUNCTION("""COMPUTED_VALUE"""),"Pam Marcum, (480) 332-5414")</f>
        <v>Pam Marcum, (480) 332-5414</v>
      </c>
      <c r="O328" t="str">
        <f ca="1">IFERROR(__xludf.DUMMYFUNCTION("""COMPUTED_VALUE"""),"Nicole Peckham, Adrienne Breef-Pilz")</f>
        <v>Nicole Peckham, Adrienne Breef-Pilz</v>
      </c>
      <c r="P328" t="str">
        <f ca="1">IFERROR(__xludf.DUMMYFUNCTION("""COMPUTED_VALUE"""),"Pam")</f>
        <v>Pam</v>
      </c>
      <c r="Q328" t="str">
        <f ca="1">IFERROR(__xludf.DUMMYFUNCTION("""COMPUTED_VALUE"""),"Good")</f>
        <v>Good</v>
      </c>
      <c r="R328" t="str">
        <f ca="1">IFERROR(__xludf.DUMMYFUNCTION("""COMPUTED_VALUE"""),"Good")</f>
        <v>Good</v>
      </c>
      <c r="S328" t="str">
        <f ca="1">IFERROR(__xludf.DUMMYFUNCTION("""COMPUTED_VALUE"""),"Good")</f>
        <v>Good</v>
      </c>
      <c r="T328" t="str">
        <f ca="1">IFERROR(__xludf.DUMMYFUNCTION("""COMPUTED_VALUE"""),"Good")</f>
        <v>Good</v>
      </c>
      <c r="U328" t="str">
        <f ca="1">IFERROR(__xludf.DUMMYFUNCTION("""COMPUTED_VALUE"""),"Good")</f>
        <v>Good</v>
      </c>
      <c r="V328" t="str">
        <f ca="1">IFERROR(__xludf.DUMMYFUNCTION("""COMPUTED_VALUE"""),"Good")</f>
        <v>Good</v>
      </c>
      <c r="W328" t="str">
        <f ca="1">IFERROR(__xludf.DUMMYFUNCTION("""COMPUTED_VALUE"""),"Good")</f>
        <v>Good</v>
      </c>
      <c r="X328" t="str">
        <f ca="1">IFERROR(__xludf.DUMMYFUNCTION("""COMPUTED_VALUE"""),"Good")</f>
        <v>Good</v>
      </c>
      <c r="Y328" t="str">
        <f ca="1">IFERROR(__xludf.DUMMYFUNCTION("""COMPUTED_VALUE"""),"Good")</f>
        <v>Good</v>
      </c>
      <c r="Z328" t="str">
        <f ca="1">IFERROR(__xludf.DUMMYFUNCTION("""COMPUTED_VALUE"""),"Good")</f>
        <v>Good</v>
      </c>
      <c r="AA328" t="str">
        <f ca="1">IFERROR(__xludf.DUMMYFUNCTION("""COMPUTED_VALUE"""),"Good")</f>
        <v>Good</v>
      </c>
      <c r="AB328" t="str">
        <f ca="1">IFERROR(__xludf.DUMMYFUNCTION("""COMPUTED_VALUE"""),"Good")</f>
        <v>Good</v>
      </c>
      <c r="AC328" t="str">
        <f ca="1">IFERROR(__xludf.DUMMYFUNCTION("""COMPUTED_VALUE"""),"Good")</f>
        <v>Good</v>
      </c>
      <c r="AE328" s="11"/>
      <c r="AF328" t="str">
        <v>Nikki.Dix@floridadep.gov</v>
      </c>
      <c r="AG328" s="17" t="s">
        <v>58</v>
      </c>
      <c r="AH328" s="12">
        <v>1815</v>
      </c>
      <c r="AI328" s="12" t="s">
        <v>931</v>
      </c>
      <c r="AJ328" s="19" t="s">
        <v>932</v>
      </c>
      <c r="AK328" s="20" t="str">
        <f>HYPERLINK("https://docs.google.com/document/d/1d2XWI0EjkYtmDxCVNlEHb93pARhb9WKgiaWv_9QPQ1I/edit?usp=drivesdk","Pamela Marcum - 7/1/2019 1:00 PM")</f>
        <v>Pamela Marcum - 7/1/2019 1:00 PM</v>
      </c>
      <c r="AL328" s="12" t="s">
        <v>933</v>
      </c>
    </row>
    <row r="329" spans="1:38" ht="12.75">
      <c r="A329" s="10">
        <f ca="1">IFERROR(__xludf.DUMMYFUNCTION("""COMPUTED_VALUE"""),43647.6634034722)</f>
        <v>43647.663403472201</v>
      </c>
      <c r="B329" s="11" t="str">
        <f ca="1">IFERROR(__xludf.DUMMYFUNCTION("""COMPUTED_VALUE"""),"S. Tanner")</f>
        <v>S. Tanner</v>
      </c>
      <c r="C329" t="str">
        <f ca="1">IFERROR(__xludf.DUMMYFUNCTION("""COMPUTED_VALUE"""),"silas.tanner@floridadep.gov")</f>
        <v>silas.tanner@floridadep.gov</v>
      </c>
      <c r="D329" t="str">
        <f ca="1">IFERROR(__xludf.DUMMYFUNCTION("""COMPUTED_VALUE"""),"Research/Shannon")</f>
        <v>Research/Shannon</v>
      </c>
      <c r="E329" t="str">
        <f ca="1">IFERROR(__xludf.DUMMYFUNCTION("""COMPUTED_VALUE"""),"Vilano Landing")</f>
        <v>Vilano Landing</v>
      </c>
      <c r="F329" s="13">
        <f ca="1">IFERROR(__xludf.DUMMYFUNCTION("""COMPUTED_VALUE"""),0.354166666667879)</f>
        <v>0.35416666666787899</v>
      </c>
      <c r="G329" s="14">
        <f ca="1">IFERROR(__xludf.DUMMYFUNCTION("""COMPUTED_VALUE"""),43648)</f>
        <v>43648</v>
      </c>
      <c r="H329" t="str">
        <f ca="1">IFERROR(__xludf.DUMMYFUNCTION("""COMPUTED_VALUE"""),"ICW - SWMP sites")</f>
        <v>ICW - SWMP sites</v>
      </c>
      <c r="I329" s="15">
        <f ca="1">IFERROR(__xludf.DUMMYFUNCTION("""COMPUTED_VALUE"""),0.52083333333212)</f>
        <v>0.52083333333212001</v>
      </c>
      <c r="J329" s="16">
        <f ca="1">IFERROR(__xludf.DUMMYFUNCTION("""COMPUTED_VALUE"""),43648.5416666666)</f>
        <v>43648.541666666599</v>
      </c>
      <c r="K329" t="str">
        <f ca="1">IFERROR(__xludf.DUMMYFUNCTION("""COMPUTED_VALUE"""),"20ft Sea Ark FL5351SJ UNF 2015")</f>
        <v>20ft Sea Ark FL5351SJ UNF 2015</v>
      </c>
      <c r="M329" t="str">
        <f ca="1">IFERROR(__xludf.DUMMYFUNCTION("""COMPUTED_VALUE"""),"Ford F150 2015 (White) - DEP21448")</f>
        <v>Ford F150 2015 (White) - DEP21448</v>
      </c>
      <c r="N329" t="str">
        <f ca="1">IFERROR(__xludf.DUMMYFUNCTION("""COMPUTED_VALUE"""),"Silas Tanner, (904) 483-8423, Remo Mondazzi")</f>
        <v>Silas Tanner, (904) 483-8423, Remo Mondazzi</v>
      </c>
      <c r="O329" t="str">
        <f ca="1">IFERROR(__xludf.DUMMYFUNCTION("""COMPUTED_VALUE"""),"Molly Dent")</f>
        <v>Molly Dent</v>
      </c>
      <c r="P329" t="str">
        <f ca="1">IFERROR(__xludf.DUMMYFUNCTION("""COMPUTED_VALUE"""),"S. Tanner")</f>
        <v>S. Tanner</v>
      </c>
      <c r="Q329" t="str">
        <f ca="1">IFERROR(__xludf.DUMMYFUNCTION("""COMPUTED_VALUE"""),"Good")</f>
        <v>Good</v>
      </c>
      <c r="R329" t="str">
        <f ca="1">IFERROR(__xludf.DUMMYFUNCTION("""COMPUTED_VALUE"""),"Good")</f>
        <v>Good</v>
      </c>
      <c r="S329" t="str">
        <f ca="1">IFERROR(__xludf.DUMMYFUNCTION("""COMPUTED_VALUE"""),"Good")</f>
        <v>Good</v>
      </c>
      <c r="T329" t="str">
        <f ca="1">IFERROR(__xludf.DUMMYFUNCTION("""COMPUTED_VALUE"""),"Good")</f>
        <v>Good</v>
      </c>
      <c r="U329" t="str">
        <f ca="1">IFERROR(__xludf.DUMMYFUNCTION("""COMPUTED_VALUE"""),"Good")</f>
        <v>Good</v>
      </c>
      <c r="V329" t="str">
        <f ca="1">IFERROR(__xludf.DUMMYFUNCTION("""COMPUTED_VALUE"""),"Good")</f>
        <v>Good</v>
      </c>
      <c r="W329" t="str">
        <f ca="1">IFERROR(__xludf.DUMMYFUNCTION("""COMPUTED_VALUE"""),"Good")</f>
        <v>Good</v>
      </c>
      <c r="X329" t="str">
        <f ca="1">IFERROR(__xludf.DUMMYFUNCTION("""COMPUTED_VALUE"""),"Good")</f>
        <v>Good</v>
      </c>
      <c r="Y329" t="str">
        <f ca="1">IFERROR(__xludf.DUMMYFUNCTION("""COMPUTED_VALUE"""),"Good")</f>
        <v>Good</v>
      </c>
      <c r="Z329" t="str">
        <f ca="1">IFERROR(__xludf.DUMMYFUNCTION("""COMPUTED_VALUE"""),"Good")</f>
        <v>Good</v>
      </c>
      <c r="AA329" t="str">
        <f ca="1">IFERROR(__xludf.DUMMYFUNCTION("""COMPUTED_VALUE"""),"Good")</f>
        <v>Good</v>
      </c>
      <c r="AB329" t="str">
        <f ca="1">IFERROR(__xludf.DUMMYFUNCTION("""COMPUTED_VALUE"""),"Good")</f>
        <v>Good</v>
      </c>
      <c r="AC329" t="str">
        <f ca="1">IFERROR(__xludf.DUMMYFUNCTION("""COMPUTED_VALUE"""),"Good")</f>
        <v>Good</v>
      </c>
      <c r="AE329" s="11"/>
      <c r="AF329" t="str">
        <v>Shannon.Dunnigan@floridadep.gov</v>
      </c>
      <c r="AG329" s="17" t="s">
        <v>507</v>
      </c>
      <c r="AH329" s="12">
        <v>1615</v>
      </c>
      <c r="AI329" s="12" t="s">
        <v>934</v>
      </c>
      <c r="AJ329" s="19" t="s">
        <v>935</v>
      </c>
      <c r="AK329" s="20" t="str">
        <f>HYPERLINK("https://docs.google.com/document/d/1O2axMQA5xDTQpskdWm80p09JuUPVL5tfWcrGdGzBO5k/edit?usp=drivesdk","S. Tanner - 7/2/2019 8:30 AM")</f>
        <v>S. Tanner - 7/2/2019 8:30 AM</v>
      </c>
      <c r="AL329" s="12" t="s">
        <v>936</v>
      </c>
    </row>
    <row r="330" spans="1:38" ht="12.75">
      <c r="A330" s="10">
        <f ca="1">IFERROR(__xludf.DUMMYFUNCTION("""COMPUTED_VALUE"""),43648.6842251967)</f>
        <v>43648.684225196703</v>
      </c>
      <c r="B330" s="11" t="str">
        <f ca="1">IFERROR(__xludf.DUMMYFUNCTION("""COMPUTED_VALUE"""),"Ruben Allen")</f>
        <v>Ruben Allen</v>
      </c>
      <c r="C330" t="str">
        <f ca="1">IFERROR(__xludf.DUMMYFUNCTION("""COMPUTED_VALUE"""),"Rubeall57@gmail.com")</f>
        <v>Rubeall57@gmail.com</v>
      </c>
      <c r="D330" t="str">
        <f ca="1">IFERROR(__xludf.DUMMYFUNCTION("""COMPUTED_VALUE"""),"Research/Pam")</f>
        <v>Research/Pam</v>
      </c>
      <c r="E330" t="str">
        <f ca="1">IFERROR(__xludf.DUMMYFUNCTION("""COMPUTED_VALUE"""),"St Augustine")</f>
        <v>St Augustine</v>
      </c>
      <c r="F330" s="13">
        <f ca="1">IFERROR(__xludf.DUMMYFUNCTION("""COMPUTED_VALUE"""),0.354166666667879)</f>
        <v>0.35416666666787899</v>
      </c>
      <c r="G330" s="14">
        <f ca="1">IFERROR(__xludf.DUMMYFUNCTION("""COMPUTED_VALUE"""),43649)</f>
        <v>43649</v>
      </c>
      <c r="H330" t="str">
        <f ca="1">IFERROR(__xludf.DUMMYFUNCTION("""COMPUTED_VALUE"""),"Intercoastal WW Pine Island and reutrn")</f>
        <v>Intercoastal WW Pine Island and reutrn</v>
      </c>
      <c r="I330" s="15">
        <f ca="1">IFERROR(__xludf.DUMMYFUNCTION("""COMPUTED_VALUE"""),0.479166666667879)</f>
        <v>0.47916666666787899</v>
      </c>
      <c r="J330" s="16">
        <f ca="1">IFERROR(__xludf.DUMMYFUNCTION("""COMPUTED_VALUE"""),43649.5)</f>
        <v>43649.5</v>
      </c>
      <c r="K330" t="str">
        <f ca="1">IFERROR(__xludf.DUMMYFUNCTION("""COMPUTED_VALUE"""),"20ft Sea Ark FL5351SJ UNF 2015")</f>
        <v>20ft Sea Ark FL5351SJ UNF 2015</v>
      </c>
      <c r="M330" t="str">
        <f ca="1">IFERROR(__xludf.DUMMYFUNCTION("""COMPUTED_VALUE"""),"Ford F150 2015 (White) - DEP21448")</f>
        <v>Ford F150 2015 (White) - DEP21448</v>
      </c>
      <c r="N330" t="str">
        <f ca="1">IFERROR(__xludf.DUMMYFUNCTION("""COMPUTED_VALUE"""),"Ruben Allen  (904) 860-0083")</f>
        <v>Ruben Allen  (904) 860-0083</v>
      </c>
      <c r="O330" t="str">
        <f ca="1">IFERROR(__xludf.DUMMYFUNCTION("""COMPUTED_VALUE"""),"Alee Knoell")</f>
        <v>Alee Knoell</v>
      </c>
      <c r="P330" t="str">
        <f ca="1">IFERROR(__xludf.DUMMYFUNCTION("""COMPUTED_VALUE"""),"Ruben Allen")</f>
        <v>Ruben Allen</v>
      </c>
      <c r="Q330" t="str">
        <f ca="1">IFERROR(__xludf.DUMMYFUNCTION("""COMPUTED_VALUE"""),"Good")</f>
        <v>Good</v>
      </c>
      <c r="R330" t="str">
        <f ca="1">IFERROR(__xludf.DUMMYFUNCTION("""COMPUTED_VALUE"""),"Good")</f>
        <v>Good</v>
      </c>
      <c r="S330" t="str">
        <f ca="1">IFERROR(__xludf.DUMMYFUNCTION("""COMPUTED_VALUE"""),"Good")</f>
        <v>Good</v>
      </c>
      <c r="T330" t="str">
        <f ca="1">IFERROR(__xludf.DUMMYFUNCTION("""COMPUTED_VALUE"""),"Good")</f>
        <v>Good</v>
      </c>
      <c r="U330" t="str">
        <f ca="1">IFERROR(__xludf.DUMMYFUNCTION("""COMPUTED_VALUE"""),"Good")</f>
        <v>Good</v>
      </c>
      <c r="V330" t="str">
        <f ca="1">IFERROR(__xludf.DUMMYFUNCTION("""COMPUTED_VALUE"""),"Good")</f>
        <v>Good</v>
      </c>
      <c r="W330" t="str">
        <f ca="1">IFERROR(__xludf.DUMMYFUNCTION("""COMPUTED_VALUE"""),"Good")</f>
        <v>Good</v>
      </c>
      <c r="X330" t="str">
        <f ca="1">IFERROR(__xludf.DUMMYFUNCTION("""COMPUTED_VALUE"""),"Good")</f>
        <v>Good</v>
      </c>
      <c r="Y330" t="str">
        <f ca="1">IFERROR(__xludf.DUMMYFUNCTION("""COMPUTED_VALUE"""),"Good")</f>
        <v>Good</v>
      </c>
      <c r="Z330" t="str">
        <f ca="1">IFERROR(__xludf.DUMMYFUNCTION("""COMPUTED_VALUE"""),"Good")</f>
        <v>Good</v>
      </c>
      <c r="AA330" t="str">
        <f ca="1">IFERROR(__xludf.DUMMYFUNCTION("""COMPUTED_VALUE"""),"Good")</f>
        <v>Good</v>
      </c>
      <c r="AB330" t="str">
        <f ca="1">IFERROR(__xludf.DUMMYFUNCTION("""COMPUTED_VALUE"""),"Good")</f>
        <v>Good</v>
      </c>
      <c r="AC330" t="str">
        <f ca="1">IFERROR(__xludf.DUMMYFUNCTION("""COMPUTED_VALUE"""),"Good")</f>
        <v>Good</v>
      </c>
      <c r="AD330" t="str">
        <f ca="1">IFERROR(__xludf.DUMMYFUNCTION("""COMPUTED_VALUE"""),"Yes")</f>
        <v>Yes</v>
      </c>
      <c r="AE330" s="11" t="str">
        <f ca="1">IFERROR(__xludf.DUMMYFUNCTION("""COMPUTED_VALUE"""),"Yes")</f>
        <v>Yes</v>
      </c>
      <c r="AF330" t="str">
        <v>Pamela.Marcum@floridadep.gov</v>
      </c>
      <c r="AG330" s="17" t="s">
        <v>507</v>
      </c>
      <c r="AH330" s="12">
        <v>1133</v>
      </c>
      <c r="AI330" s="12" t="s">
        <v>937</v>
      </c>
      <c r="AJ330" s="19" t="s">
        <v>938</v>
      </c>
      <c r="AK330" s="20" t="str">
        <f>HYPERLINK("https://docs.google.com/document/d/1Lj3Corcrdfv8NhADDnB5MnFLc80Lp1cbT2jtyOaAzZg/edit?usp=drivesdk","Ruben Allen - 7/3/2019 8:30 AM")</f>
        <v>Ruben Allen - 7/3/2019 8:30 AM</v>
      </c>
      <c r="AL330" s="12" t="s">
        <v>939</v>
      </c>
    </row>
    <row r="331" spans="1:38" ht="12.75">
      <c r="A331" s="10">
        <f ca="1">IFERROR(__xludf.DUMMYFUNCTION("""COMPUTED_VALUE"""),43649.5967778935)</f>
        <v>43649.596777893501</v>
      </c>
      <c r="B331" s="11" t="str">
        <f ca="1">IFERROR(__xludf.DUMMYFUNCTION("""COMPUTED_VALUE"""),"TEST")</f>
        <v>TEST</v>
      </c>
      <c r="C331" t="str">
        <f ca="1">IFERROR(__xludf.DUMMYFUNCTION("""COMPUTED_VALUE"""),"josephine.spearman@FloridaDEP.org")</f>
        <v>josephine.spearman@FloridaDEP.org</v>
      </c>
      <c r="D331" t="str">
        <f ca="1">IFERROR(__xludf.DUMMYFUNCTION("""COMPUTED_VALUE"""),"Education")</f>
        <v>Education</v>
      </c>
      <c r="E331" t="str">
        <f ca="1">IFERROR(__xludf.DUMMYFUNCTION("""COMPUTED_VALUE"""),"TEST")</f>
        <v>TEST</v>
      </c>
      <c r="F331" s="13">
        <f ca="1">IFERROR(__xludf.DUMMYFUNCTION("""COMPUTED_VALUE"""),0.625)</f>
        <v>0.625</v>
      </c>
      <c r="G331" s="14">
        <f ca="1">IFERROR(__xludf.DUMMYFUNCTION("""COMPUTED_VALUE"""),43649)</f>
        <v>43649</v>
      </c>
      <c r="H331" t="str">
        <f ca="1">IFERROR(__xludf.DUMMYFUNCTION("""COMPUTED_VALUE"""),"TEST")</f>
        <v>TEST</v>
      </c>
      <c r="I331" s="15">
        <f ca="1">IFERROR(__xludf.DUMMYFUNCTION("""COMPUTED_VALUE"""),0.64583333333212)</f>
        <v>0.64583333333212001</v>
      </c>
      <c r="J331" s="16">
        <f ca="1">IFERROR(__xludf.DUMMYFUNCTION("""COMPUTED_VALUE"""),43649.75)</f>
        <v>43649.75</v>
      </c>
      <c r="K331" t="str">
        <f ca="1">IFERROR(__xludf.DUMMYFUNCTION("""COMPUTED_VALUE"""),"Canoe(s)")</f>
        <v>Canoe(s)</v>
      </c>
      <c r="L331">
        <f ca="1">IFERROR(__xludf.DUMMYFUNCTION("""COMPUTED_VALUE"""),1)</f>
        <v>1</v>
      </c>
      <c r="M331" t="str">
        <f ca="1">IFERROR(__xludf.DUMMYFUNCTION("""COMPUTED_VALUE"""),"Ford F150 2008 - DEP18041 (SWMP Thing)")</f>
        <v>Ford F150 2008 - DEP18041 (SWMP Thing)</v>
      </c>
      <c r="N331" t="str">
        <f ca="1">IFERROR(__xludf.DUMMYFUNCTION("""COMPUTED_VALUE"""),"TEST")</f>
        <v>TEST</v>
      </c>
      <c r="O331" t="str">
        <f ca="1">IFERROR(__xludf.DUMMYFUNCTION("""COMPUTED_VALUE"""),"Josie Spearman, (386) 627-0816")</f>
        <v>Josie Spearman, (386) 627-0816</v>
      </c>
      <c r="P331" t="str">
        <f ca="1">IFERROR(__xludf.DUMMYFUNCTION("""COMPUTED_VALUE"""),"TEST")</f>
        <v>TEST</v>
      </c>
      <c r="Q331" t="str">
        <f ca="1">IFERROR(__xludf.DUMMYFUNCTION("""COMPUTED_VALUE"""),"Good")</f>
        <v>Good</v>
      </c>
      <c r="R331" t="str">
        <f ca="1">IFERROR(__xludf.DUMMYFUNCTION("""COMPUTED_VALUE"""),"Good")</f>
        <v>Good</v>
      </c>
      <c r="S331" t="str">
        <f ca="1">IFERROR(__xludf.DUMMYFUNCTION("""COMPUTED_VALUE"""),"Good")</f>
        <v>Good</v>
      </c>
      <c r="T331" t="str">
        <f ca="1">IFERROR(__xludf.DUMMYFUNCTION("""COMPUTED_VALUE"""),"Good")</f>
        <v>Good</v>
      </c>
      <c r="U331" t="str">
        <f ca="1">IFERROR(__xludf.DUMMYFUNCTION("""COMPUTED_VALUE"""),"Good")</f>
        <v>Good</v>
      </c>
      <c r="V331" t="str">
        <f ca="1">IFERROR(__xludf.DUMMYFUNCTION("""COMPUTED_VALUE"""),"Good")</f>
        <v>Good</v>
      </c>
      <c r="W331" t="str">
        <f ca="1">IFERROR(__xludf.DUMMYFUNCTION("""COMPUTED_VALUE"""),"Good")</f>
        <v>Good</v>
      </c>
      <c r="X331" t="str">
        <f ca="1">IFERROR(__xludf.DUMMYFUNCTION("""COMPUTED_VALUE"""),"Good")</f>
        <v>Good</v>
      </c>
      <c r="Y331" t="str">
        <f ca="1">IFERROR(__xludf.DUMMYFUNCTION("""COMPUTED_VALUE"""),"Good")</f>
        <v>Good</v>
      </c>
      <c r="Z331" t="str">
        <f ca="1">IFERROR(__xludf.DUMMYFUNCTION("""COMPUTED_VALUE"""),"Good")</f>
        <v>Good</v>
      </c>
      <c r="AA331" t="str">
        <f ca="1">IFERROR(__xludf.DUMMYFUNCTION("""COMPUTED_VALUE"""),"Good")</f>
        <v>Good</v>
      </c>
      <c r="AB331" t="str">
        <f ca="1">IFERROR(__xludf.DUMMYFUNCTION("""COMPUTED_VALUE"""),"Good")</f>
        <v>Good</v>
      </c>
      <c r="AC331" t="str">
        <f ca="1">IFERROR(__xludf.DUMMYFUNCTION("""COMPUTED_VALUE"""),"Good")</f>
        <v>Good</v>
      </c>
      <c r="AE331" s="11"/>
      <c r="AF331" t="str">
        <v>Kenneth.Rainer@floridadep.gov</v>
      </c>
      <c r="AG331" s="17"/>
      <c r="AI331" s="12" t="s">
        <v>940</v>
      </c>
      <c r="AJ331" s="19" t="s">
        <v>941</v>
      </c>
      <c r="AK331" s="20" t="str">
        <f>HYPERLINK("https://docs.google.com/document/d/1qXtK3oH7DmcQDkV7PcKHYbDz7zDrjKI0qG6ostGLO4o/edit?usp=drivesdk","TEST - 7/3/2019 3:00 PM")</f>
        <v>TEST - 7/3/2019 3:00 PM</v>
      </c>
      <c r="AL331" s="12" t="s">
        <v>942</v>
      </c>
    </row>
    <row r="332" spans="1:38" ht="12.75">
      <c r="A332" s="10">
        <f ca="1">IFERROR(__xludf.DUMMYFUNCTION("""COMPUTED_VALUE"""),43654.2844826851)</f>
        <v>43654.2844826851</v>
      </c>
      <c r="B332" s="11" t="str">
        <f ca="1">IFERROR(__xludf.DUMMYFUNCTION("""COMPUTED_VALUE"""),"Silas Tanner")</f>
        <v>Silas Tanner</v>
      </c>
      <c r="C332" t="str">
        <f ca="1">IFERROR(__xludf.DUMMYFUNCTION("""COMPUTED_VALUE"""),"silas.tanner@dep.state.fl")</f>
        <v>silas.tanner@dep.state.fl</v>
      </c>
      <c r="D332" t="str">
        <f ca="1">IFERROR(__xludf.DUMMYFUNCTION("""COMPUTED_VALUE"""),"Research/Nikki")</f>
        <v>Research/Nikki</v>
      </c>
      <c r="E332" t="str">
        <f ca="1">IFERROR(__xludf.DUMMYFUNCTION("""COMPUTED_VALUE"""),"Usina")</f>
        <v>Usina</v>
      </c>
      <c r="F332" s="13">
        <f ca="1">IFERROR(__xludf.DUMMYFUNCTION("""COMPUTED_VALUE"""),0.291666666667879)</f>
        <v>0.29166666666787899</v>
      </c>
      <c r="G332" s="14">
        <f ca="1">IFERROR(__xludf.DUMMYFUNCTION("""COMPUTED_VALUE"""),43654)</f>
        <v>43654</v>
      </c>
      <c r="H332" t="str">
        <f ca="1">IFERROR(__xludf.DUMMYFUNCTION("""COMPUTED_VALUE"""),"ICW Pine Island")</f>
        <v>ICW Pine Island</v>
      </c>
      <c r="I332" s="15">
        <f ca="1">IFERROR(__xludf.DUMMYFUNCTION("""COMPUTED_VALUE"""),0.625)</f>
        <v>0.625</v>
      </c>
      <c r="J332" s="16">
        <f ca="1">IFERROR(__xludf.DUMMYFUNCTION("""COMPUTED_VALUE"""),43654.6354166666)</f>
        <v>43654.635416666599</v>
      </c>
      <c r="K332" t="str">
        <f ca="1">IFERROR(__xludf.DUMMYFUNCTION("""COMPUTED_VALUE"""),"20ft Sea Ark FL5351SJ UNF 2015")</f>
        <v>20ft Sea Ark FL5351SJ UNF 2015</v>
      </c>
      <c r="M332" t="str">
        <f ca="1">IFERROR(__xludf.DUMMYFUNCTION("""COMPUTED_VALUE"""),"Ford F150 2015 (White) - DEP21448")</f>
        <v>Ford F150 2015 (White) - DEP21448</v>
      </c>
      <c r="N332" t="str">
        <f ca="1">IFERROR(__xludf.DUMMYFUNCTION("""COMPUTED_VALUE"""),"Silas Tanner, (904) 483-8423")</f>
        <v>Silas Tanner, (904) 483-8423</v>
      </c>
      <c r="O332" t="str">
        <f ca="1">IFERROR(__xludf.DUMMYFUNCTION("""COMPUTED_VALUE"""),"Gabriela Canas, (904) 891-9743, Melissa Southwell, Tyler Cooper-Kolb")</f>
        <v>Gabriela Canas, (904) 891-9743, Melissa Southwell, Tyler Cooper-Kolb</v>
      </c>
      <c r="P332" t="str">
        <f ca="1">IFERROR(__xludf.DUMMYFUNCTION("""COMPUTED_VALUE"""),"S. Tanner")</f>
        <v>S. Tanner</v>
      </c>
      <c r="Q332" t="str">
        <f ca="1">IFERROR(__xludf.DUMMYFUNCTION("""COMPUTED_VALUE"""),"Good")</f>
        <v>Good</v>
      </c>
      <c r="R332" t="str">
        <f ca="1">IFERROR(__xludf.DUMMYFUNCTION("""COMPUTED_VALUE"""),"Good")</f>
        <v>Good</v>
      </c>
      <c r="S332" t="str">
        <f ca="1">IFERROR(__xludf.DUMMYFUNCTION("""COMPUTED_VALUE"""),"Good")</f>
        <v>Good</v>
      </c>
      <c r="T332" t="str">
        <f ca="1">IFERROR(__xludf.DUMMYFUNCTION("""COMPUTED_VALUE"""),"Good")</f>
        <v>Good</v>
      </c>
      <c r="U332" t="str">
        <f ca="1">IFERROR(__xludf.DUMMYFUNCTION("""COMPUTED_VALUE"""),"Good")</f>
        <v>Good</v>
      </c>
      <c r="V332" t="str">
        <f ca="1">IFERROR(__xludf.DUMMYFUNCTION("""COMPUTED_VALUE"""),"Good")</f>
        <v>Good</v>
      </c>
      <c r="W332" t="str">
        <f ca="1">IFERROR(__xludf.DUMMYFUNCTION("""COMPUTED_VALUE"""),"Good")</f>
        <v>Good</v>
      </c>
      <c r="X332" t="str">
        <f ca="1">IFERROR(__xludf.DUMMYFUNCTION("""COMPUTED_VALUE"""),"Good")</f>
        <v>Good</v>
      </c>
      <c r="Y332" t="str">
        <f ca="1">IFERROR(__xludf.DUMMYFUNCTION("""COMPUTED_VALUE"""),"Good")</f>
        <v>Good</v>
      </c>
      <c r="Z332" t="str">
        <f ca="1">IFERROR(__xludf.DUMMYFUNCTION("""COMPUTED_VALUE"""),"Good")</f>
        <v>Good</v>
      </c>
      <c r="AA332" t="str">
        <f ca="1">IFERROR(__xludf.DUMMYFUNCTION("""COMPUTED_VALUE"""),"Good")</f>
        <v>Good</v>
      </c>
      <c r="AB332" t="str">
        <f ca="1">IFERROR(__xludf.DUMMYFUNCTION("""COMPUTED_VALUE"""),"Good")</f>
        <v>Good</v>
      </c>
      <c r="AC332" t="str">
        <f ca="1">IFERROR(__xludf.DUMMYFUNCTION("""COMPUTED_VALUE"""),"Good")</f>
        <v>Good</v>
      </c>
      <c r="AE332" s="11"/>
      <c r="AF332" t="str">
        <v>Nikki.Dix@floridadep.gov</v>
      </c>
      <c r="AG332" s="17" t="s">
        <v>41</v>
      </c>
      <c r="AH332" s="12">
        <v>920</v>
      </c>
      <c r="AI332" s="12" t="s">
        <v>943</v>
      </c>
      <c r="AJ332" s="19" t="s">
        <v>944</v>
      </c>
      <c r="AK332" s="20" t="str">
        <f>HYPERLINK("https://docs.google.com/document/d/1Obn3valZ5ZFWEdYba74PwGZ9qtkhWraIPZUu6aHGrnU/edit?usp=drivesdk","Silas Tanner - 7/8/2019 7:00 AM")</f>
        <v>Silas Tanner - 7/8/2019 7:00 AM</v>
      </c>
      <c r="AL332" s="12" t="s">
        <v>945</v>
      </c>
    </row>
    <row r="333" spans="1:38" ht="12.75">
      <c r="A333" s="10">
        <f ca="1">IFERROR(__xludf.DUMMYFUNCTION("""COMPUTED_VALUE"""),43655.461362118)</f>
        <v>43655.461362118003</v>
      </c>
      <c r="B333" s="11" t="str">
        <f ca="1">IFERROR(__xludf.DUMMYFUNCTION("""COMPUTED_VALUE"""),"Silas Tanner")</f>
        <v>Silas Tanner</v>
      </c>
      <c r="C333" t="str">
        <f ca="1">IFERROR(__xludf.DUMMYFUNCTION("""COMPUTED_VALUE"""),"silas.tanner@dep.state.fl")</f>
        <v>silas.tanner@dep.state.fl</v>
      </c>
      <c r="D333" t="str">
        <f ca="1">IFERROR(__xludf.DUMMYFUNCTION("""COMPUTED_VALUE"""),"Research/Nikki")</f>
        <v>Research/Nikki</v>
      </c>
      <c r="E333" t="str">
        <f ca="1">IFERROR(__xludf.DUMMYFUNCTION("""COMPUTED_VALUE"""),"Vilano landing")</f>
        <v>Vilano landing</v>
      </c>
      <c r="F333" s="13">
        <f ca="1">IFERROR(__xludf.DUMMYFUNCTION("""COMPUTED_VALUE"""),0.465277777777373)</f>
        <v>0.465277777777373</v>
      </c>
      <c r="G333" s="14">
        <f ca="1">IFERROR(__xludf.DUMMYFUNCTION("""COMPUTED_VALUE"""),43655)</f>
        <v>43655</v>
      </c>
      <c r="H333" t="str">
        <f ca="1">IFERROR(__xludf.DUMMYFUNCTION("""COMPUTED_VALUE"""),"ICW San Sebastian")</f>
        <v>ICW San Sebastian</v>
      </c>
      <c r="I333" s="15">
        <f ca="1">IFERROR(__xludf.DUMMYFUNCTION("""COMPUTED_VALUE"""),0.5625)</f>
        <v>0.5625</v>
      </c>
      <c r="J333" s="16">
        <f ca="1">IFERROR(__xludf.DUMMYFUNCTION("""COMPUTED_VALUE"""),43655.6041666666)</f>
        <v>43655.604166666599</v>
      </c>
      <c r="K333" t="str">
        <f ca="1">IFERROR(__xludf.DUMMYFUNCTION("""COMPUTED_VALUE"""),"20ft Sea Ark FL5351SJ UNF 2015")</f>
        <v>20ft Sea Ark FL5351SJ UNF 2015</v>
      </c>
      <c r="M333" t="str">
        <f ca="1">IFERROR(__xludf.DUMMYFUNCTION("""COMPUTED_VALUE"""),"Ford F150 2015 (White) - DEP21448")</f>
        <v>Ford F150 2015 (White) - DEP21448</v>
      </c>
      <c r="N333" t="str">
        <f ca="1">IFERROR(__xludf.DUMMYFUNCTION("""COMPUTED_VALUE"""),"Shannon Dunnigan, (803) 727-5734, Silas Tanner, (904) 483-8423")</f>
        <v>Shannon Dunnigan, (803) 727-5734, Silas Tanner, (904) 483-8423</v>
      </c>
      <c r="O333" t="str">
        <f ca="1">IFERROR(__xludf.DUMMYFUNCTION("""COMPUTED_VALUE"""),"Jessica Lee")</f>
        <v>Jessica Lee</v>
      </c>
      <c r="P333" t="str">
        <f ca="1">IFERROR(__xludf.DUMMYFUNCTION("""COMPUTED_VALUE"""),"S. Dunnigan")</f>
        <v>S. Dunnigan</v>
      </c>
      <c r="Q333" t="str">
        <f ca="1">IFERROR(__xludf.DUMMYFUNCTION("""COMPUTED_VALUE"""),"Good")</f>
        <v>Good</v>
      </c>
      <c r="R333" t="str">
        <f ca="1">IFERROR(__xludf.DUMMYFUNCTION("""COMPUTED_VALUE"""),"Good")</f>
        <v>Good</v>
      </c>
      <c r="S333" t="str">
        <f ca="1">IFERROR(__xludf.DUMMYFUNCTION("""COMPUTED_VALUE"""),"Good")</f>
        <v>Good</v>
      </c>
      <c r="T333" t="str">
        <f ca="1">IFERROR(__xludf.DUMMYFUNCTION("""COMPUTED_VALUE"""),"Good")</f>
        <v>Good</v>
      </c>
      <c r="U333" t="str">
        <f ca="1">IFERROR(__xludf.DUMMYFUNCTION("""COMPUTED_VALUE"""),"Good")</f>
        <v>Good</v>
      </c>
      <c r="V333" t="str">
        <f ca="1">IFERROR(__xludf.DUMMYFUNCTION("""COMPUTED_VALUE"""),"Good")</f>
        <v>Good</v>
      </c>
      <c r="W333" t="str">
        <f ca="1">IFERROR(__xludf.DUMMYFUNCTION("""COMPUTED_VALUE"""),"Good")</f>
        <v>Good</v>
      </c>
      <c r="X333" t="str">
        <f ca="1">IFERROR(__xludf.DUMMYFUNCTION("""COMPUTED_VALUE"""),"Good")</f>
        <v>Good</v>
      </c>
      <c r="Y333" t="str">
        <f ca="1">IFERROR(__xludf.DUMMYFUNCTION("""COMPUTED_VALUE"""),"Good")</f>
        <v>Good</v>
      </c>
      <c r="Z333" t="str">
        <f ca="1">IFERROR(__xludf.DUMMYFUNCTION("""COMPUTED_VALUE"""),"Good")</f>
        <v>Good</v>
      </c>
      <c r="AA333" t="str">
        <f ca="1">IFERROR(__xludf.DUMMYFUNCTION("""COMPUTED_VALUE"""),"Good")</f>
        <v>Good</v>
      </c>
      <c r="AB333" t="str">
        <f ca="1">IFERROR(__xludf.DUMMYFUNCTION("""COMPUTED_VALUE"""),"Good")</f>
        <v>Good</v>
      </c>
      <c r="AC333" t="str">
        <f ca="1">IFERROR(__xludf.DUMMYFUNCTION("""COMPUTED_VALUE"""),"Good")</f>
        <v>Good</v>
      </c>
      <c r="AE333" s="11"/>
      <c r="AF333" t="str">
        <v>Nikki.Dix@floridadep.gov</v>
      </c>
      <c r="AG333" s="17" t="s">
        <v>41</v>
      </c>
      <c r="AH333" s="12">
        <v>1215</v>
      </c>
      <c r="AI333" s="12" t="s">
        <v>946</v>
      </c>
      <c r="AJ333" s="19" t="s">
        <v>947</v>
      </c>
      <c r="AK333" s="20" t="str">
        <f>HYPERLINK("https://docs.google.com/document/d/1uTQ3cRptrbH2rU6bifYJQOp03goG-mR9xEJElr8rAvw/edit?usp=drivesdk","Silas Tanner - 7/9/2019 11:10 AM")</f>
        <v>Silas Tanner - 7/9/2019 11:10 AM</v>
      </c>
      <c r="AL333" s="12" t="s">
        <v>948</v>
      </c>
    </row>
    <row r="334" spans="1:38" ht="12.75">
      <c r="A334" s="10">
        <f ca="1">IFERROR(__xludf.DUMMYFUNCTION("""COMPUTED_VALUE"""),43657.3462833912)</f>
        <v>43657.346283391198</v>
      </c>
      <c r="B334" s="11" t="str">
        <f ca="1">IFERROR(__xludf.DUMMYFUNCTION("""COMPUTED_VALUE"""),"Jimmy")</f>
        <v>Jimmy</v>
      </c>
      <c r="C334" t="str">
        <f ca="1">IFERROR(__xludf.DUMMYFUNCTION("""COMPUTED_VALUE"""),"james.tomazinis@floridadep.gov")</f>
        <v>james.tomazinis@floridadep.gov</v>
      </c>
      <c r="D334" t="str">
        <f ca="1">IFERROR(__xludf.DUMMYFUNCTION("""COMPUTED_VALUE"""),"Stewardship (Aquatic)")</f>
        <v>Stewardship (Aquatic)</v>
      </c>
      <c r="E334" t="str">
        <f ca="1">IFERROR(__xludf.DUMMYFUNCTION("""COMPUTED_VALUE"""),"Vilano")</f>
        <v>Vilano</v>
      </c>
      <c r="F334" s="13">
        <f ca="1">IFERROR(__xludf.DUMMYFUNCTION("""COMPUTED_VALUE"""),0.385416666667879)</f>
        <v>0.38541666666787899</v>
      </c>
      <c r="G334" s="14">
        <f ca="1">IFERROR(__xludf.DUMMYFUNCTION("""COMPUTED_VALUE"""),43657)</f>
        <v>43657</v>
      </c>
      <c r="H334" t="str">
        <f ca="1">IFERROR(__xludf.DUMMYFUNCTION("""COMPUTED_VALUE"""),"Tolomato Nekton Sites")</f>
        <v>Tolomato Nekton Sites</v>
      </c>
      <c r="I334" s="15">
        <f ca="1">IFERROR(__xludf.DUMMYFUNCTION("""COMPUTED_VALUE"""),0.6875)</f>
        <v>0.6875</v>
      </c>
      <c r="J334" s="16"/>
      <c r="K334" t="str">
        <f ca="1">IFERROR(__xludf.DUMMYFUNCTION("""COMPUTED_VALUE"""),"23ft Skiff (Bertha) FL7972LJ DEP07613")</f>
        <v>23ft Skiff (Bertha) FL7972LJ DEP07613</v>
      </c>
      <c r="M334" t="str">
        <f ca="1">IFERROR(__xludf.DUMMYFUNCTION("""COMPUTED_VALUE"""),"Ford F150 2015 (White) - DEP21448")</f>
        <v>Ford F150 2015 (White) - DEP21448</v>
      </c>
      <c r="N334" t="str">
        <f ca="1">IFERROR(__xludf.DUMMYFUNCTION("""COMPUTED_VALUE"""),"Jimmy Tomazinis, (904) 547-0094")</f>
        <v>Jimmy Tomazinis, (904) 547-0094</v>
      </c>
      <c r="O334" t="str">
        <f ca="1">IFERROR(__xludf.DUMMYFUNCTION("""COMPUTED_VALUE"""),"Dickson, Amy, Jeff, Raymond")</f>
        <v>Dickson, Amy, Jeff, Raymond</v>
      </c>
      <c r="P334" t="str">
        <f ca="1">IFERROR(__xludf.DUMMYFUNCTION("""COMPUTED_VALUE"""),"Jimmy")</f>
        <v>Jimmy</v>
      </c>
      <c r="Q334" t="str">
        <f ca="1">IFERROR(__xludf.DUMMYFUNCTION("""COMPUTED_VALUE"""),"Good")</f>
        <v>Good</v>
      </c>
      <c r="R334" t="str">
        <f ca="1">IFERROR(__xludf.DUMMYFUNCTION("""COMPUTED_VALUE"""),"Good")</f>
        <v>Good</v>
      </c>
      <c r="S334" t="str">
        <f ca="1">IFERROR(__xludf.DUMMYFUNCTION("""COMPUTED_VALUE"""),"Good")</f>
        <v>Good</v>
      </c>
      <c r="T334" t="str">
        <f ca="1">IFERROR(__xludf.DUMMYFUNCTION("""COMPUTED_VALUE"""),"Good")</f>
        <v>Good</v>
      </c>
      <c r="U334" t="str">
        <f ca="1">IFERROR(__xludf.DUMMYFUNCTION("""COMPUTED_VALUE"""),"Good")</f>
        <v>Good</v>
      </c>
      <c r="V334" t="str">
        <f ca="1">IFERROR(__xludf.DUMMYFUNCTION("""COMPUTED_VALUE"""),"Good")</f>
        <v>Good</v>
      </c>
      <c r="W334" t="str">
        <f ca="1">IFERROR(__xludf.DUMMYFUNCTION("""COMPUTED_VALUE"""),"Good")</f>
        <v>Good</v>
      </c>
      <c r="X334" t="str">
        <f ca="1">IFERROR(__xludf.DUMMYFUNCTION("""COMPUTED_VALUE"""),"Good")</f>
        <v>Good</v>
      </c>
      <c r="Y334" t="str">
        <f ca="1">IFERROR(__xludf.DUMMYFUNCTION("""COMPUTED_VALUE"""),"Good")</f>
        <v>Good</v>
      </c>
      <c r="Z334" t="str">
        <f ca="1">IFERROR(__xludf.DUMMYFUNCTION("""COMPUTED_VALUE"""),"Good")</f>
        <v>Good</v>
      </c>
      <c r="AA334" t="str">
        <f ca="1">IFERROR(__xludf.DUMMYFUNCTION("""COMPUTED_VALUE"""),"Good")</f>
        <v>Good</v>
      </c>
      <c r="AB334" t="str">
        <f ca="1">IFERROR(__xludf.DUMMYFUNCTION("""COMPUTED_VALUE"""),"Good")</f>
        <v>Good</v>
      </c>
      <c r="AC334" t="str">
        <f ca="1">IFERROR(__xludf.DUMMYFUNCTION("""COMPUTED_VALUE"""),"Good")</f>
        <v>Good</v>
      </c>
      <c r="AE334" s="11"/>
      <c r="AF334" t="str">
        <v>Scott.Eastman@floridadep.gov</v>
      </c>
      <c r="AG334" s="17" t="s">
        <v>17</v>
      </c>
      <c r="AH334" s="12">
        <v>1550</v>
      </c>
      <c r="AI334" s="12" t="s">
        <v>949</v>
      </c>
      <c r="AJ334" s="19" t="s">
        <v>950</v>
      </c>
      <c r="AK334" s="20" t="str">
        <f>HYPERLINK("https://docs.google.com/document/d/1aBGvsEHCirIyyRknTERtRhpAFTNHS0JnXUlFaT1v4cE/edit?usp=drivesdk","Jimmy - 7/11/2019 9:15 AM")</f>
        <v>Jimmy - 7/11/2019 9:15 AM</v>
      </c>
      <c r="AL334" s="12" t="s">
        <v>951</v>
      </c>
    </row>
    <row r="335" spans="1:38" ht="12.75">
      <c r="A335" s="10">
        <f ca="1">IFERROR(__xludf.DUMMYFUNCTION("""COMPUTED_VALUE"""),43657.4189447916)</f>
        <v>43657.4189447916</v>
      </c>
      <c r="B335" s="11" t="str">
        <f ca="1">IFERROR(__xludf.DUMMYFUNCTION("""COMPUTED_VALUE"""),"Pam Marcum")</f>
        <v>Pam Marcum</v>
      </c>
      <c r="C335" t="str">
        <f ca="1">IFERROR(__xludf.DUMMYFUNCTION("""COMPUTED_VALUE"""),"Pamela.Marcum@dep.state.fl.us")</f>
        <v>Pamela.Marcum@dep.state.fl.us</v>
      </c>
      <c r="D335" t="str">
        <f ca="1">IFERROR(__xludf.DUMMYFUNCTION("""COMPUTED_VALUE"""),"Research/Nikki")</f>
        <v>Research/Nikki</v>
      </c>
      <c r="E335" t="str">
        <f ca="1">IFERROR(__xludf.DUMMYFUNCTION("""COMPUTED_VALUE"""),"Green Rd")</f>
        <v>Green Rd</v>
      </c>
      <c r="F335" s="13">
        <f ca="1">IFERROR(__xludf.DUMMYFUNCTION("""COMPUTED_VALUE"""),0.416666666667879)</f>
        <v>0.41666666666787899</v>
      </c>
      <c r="G335" s="14">
        <f ca="1">IFERROR(__xludf.DUMMYFUNCTION("""COMPUTED_VALUE"""),43657)</f>
        <v>43657</v>
      </c>
      <c r="H335" t="str">
        <f ca="1">IFERROR(__xludf.DUMMYFUNCTION("""COMPUTED_VALUE"""),"Devil's Elbow")</f>
        <v>Devil's Elbow</v>
      </c>
      <c r="I335" s="15">
        <f ca="1">IFERROR(__xludf.DUMMYFUNCTION("""COMPUTED_VALUE"""),0.58333333333212)</f>
        <v>0.58333333333212001</v>
      </c>
      <c r="J335" s="16">
        <f ca="1">IFERROR(__xludf.DUMMYFUNCTION("""COMPUTED_VALUE"""),43657.6041666666)</f>
        <v>43657.604166666599</v>
      </c>
      <c r="K335" t="str">
        <f ca="1">IFERROR(__xludf.DUMMYFUNCTION("""COMPUTED_VALUE"""),"17ft Skill FL0642GW DEP07239")</f>
        <v>17ft Skill FL0642GW DEP07239</v>
      </c>
      <c r="M335" t="str">
        <f ca="1">IFERROR(__xludf.DUMMYFUNCTION("""COMPUTED_VALUE"""),"2018 F150 AP truck")</f>
        <v>2018 F150 AP truck</v>
      </c>
      <c r="N335" t="str">
        <f ca="1">IFERROR(__xludf.DUMMYFUNCTION("""COMPUTED_VALUE"""),"Pam Marcum, (480) 332-5414")</f>
        <v>Pam Marcum, (480) 332-5414</v>
      </c>
      <c r="O335" t="str">
        <f ca="1">IFERROR(__xludf.DUMMYFUNCTION("""COMPUTED_VALUE"""),"Adrienne Breef-Pilz, Nicole Peckham, David Kimbro")</f>
        <v>Adrienne Breef-Pilz, Nicole Peckham, David Kimbro</v>
      </c>
      <c r="P335" t="str">
        <f ca="1">IFERROR(__xludf.DUMMYFUNCTION("""COMPUTED_VALUE"""),"Pam")</f>
        <v>Pam</v>
      </c>
      <c r="Q335" t="str">
        <f ca="1">IFERROR(__xludf.DUMMYFUNCTION("""COMPUTED_VALUE"""),"Good")</f>
        <v>Good</v>
      </c>
      <c r="R335" t="str">
        <f ca="1">IFERROR(__xludf.DUMMYFUNCTION("""COMPUTED_VALUE"""),"Good")</f>
        <v>Good</v>
      </c>
      <c r="S335" t="str">
        <f ca="1">IFERROR(__xludf.DUMMYFUNCTION("""COMPUTED_VALUE"""),"Good")</f>
        <v>Good</v>
      </c>
      <c r="T335" t="str">
        <f ca="1">IFERROR(__xludf.DUMMYFUNCTION("""COMPUTED_VALUE"""),"Good")</f>
        <v>Good</v>
      </c>
      <c r="U335" t="str">
        <f ca="1">IFERROR(__xludf.DUMMYFUNCTION("""COMPUTED_VALUE"""),"Good")</f>
        <v>Good</v>
      </c>
      <c r="V335" t="str">
        <f ca="1">IFERROR(__xludf.DUMMYFUNCTION("""COMPUTED_VALUE"""),"Good")</f>
        <v>Good</v>
      </c>
      <c r="W335" t="str">
        <f ca="1">IFERROR(__xludf.DUMMYFUNCTION("""COMPUTED_VALUE"""),"Good")</f>
        <v>Good</v>
      </c>
      <c r="X335" t="str">
        <f ca="1">IFERROR(__xludf.DUMMYFUNCTION("""COMPUTED_VALUE"""),"Good")</f>
        <v>Good</v>
      </c>
      <c r="Y335" t="str">
        <f ca="1">IFERROR(__xludf.DUMMYFUNCTION("""COMPUTED_VALUE"""),"Good")</f>
        <v>Good</v>
      </c>
      <c r="Z335" t="str">
        <f ca="1">IFERROR(__xludf.DUMMYFUNCTION("""COMPUTED_VALUE"""),"Good")</f>
        <v>Good</v>
      </c>
      <c r="AA335" t="str">
        <f ca="1">IFERROR(__xludf.DUMMYFUNCTION("""COMPUTED_VALUE"""),"Good")</f>
        <v>Good</v>
      </c>
      <c r="AB335" t="str">
        <f ca="1">IFERROR(__xludf.DUMMYFUNCTION("""COMPUTED_VALUE"""),"Good")</f>
        <v>Good</v>
      </c>
      <c r="AC335" t="str">
        <f ca="1">IFERROR(__xludf.DUMMYFUNCTION("""COMPUTED_VALUE"""),"Good")</f>
        <v>Good</v>
      </c>
      <c r="AE335" s="11"/>
      <c r="AF335" t="str">
        <v>Nikki.Dix@floridadep.gov</v>
      </c>
      <c r="AG335" s="17" t="s">
        <v>126</v>
      </c>
      <c r="AH335" s="12">
        <v>1450</v>
      </c>
      <c r="AI335" s="12" t="s">
        <v>952</v>
      </c>
      <c r="AJ335" s="19" t="s">
        <v>953</v>
      </c>
      <c r="AK335" s="20" t="str">
        <f>HYPERLINK("https://docs.google.com/document/d/1i930KaeCQlWUDAixF0akElGqD6KN0UM1R3AMA3CzBgU/edit?usp=drivesdk","Pam Marcum - 7/11/2019 10:00 AM")</f>
        <v>Pam Marcum - 7/11/2019 10:00 AM</v>
      </c>
      <c r="AL335" s="12" t="s">
        <v>954</v>
      </c>
    </row>
    <row r="336" spans="1:38" ht="12.75">
      <c r="A336" s="10">
        <f ca="1">IFERROR(__xludf.DUMMYFUNCTION("""COMPUTED_VALUE"""),43658.4197889814)</f>
        <v>43658.419788981402</v>
      </c>
      <c r="B336" s="11" t="str">
        <f ca="1">IFERROR(__xludf.DUMMYFUNCTION("""COMPUTED_VALUE"""),"Pamela Marcum")</f>
        <v>Pamela Marcum</v>
      </c>
      <c r="C336" t="str">
        <f ca="1">IFERROR(__xludf.DUMMYFUNCTION("""COMPUTED_VALUE"""),"pamela.marcum@Floridadep.gov")</f>
        <v>pamela.marcum@Floridadep.gov</v>
      </c>
      <c r="D336" t="str">
        <f ca="1">IFERROR(__xludf.DUMMYFUNCTION("""COMPUTED_VALUE"""),"Research/Nikki")</f>
        <v>Research/Nikki</v>
      </c>
      <c r="E336" t="str">
        <f ca="1">IFERROR(__xludf.DUMMYFUNCTION("""COMPUTED_VALUE"""),"Green rd")</f>
        <v>Green rd</v>
      </c>
      <c r="F336" s="13">
        <f ca="1">IFERROR(__xludf.DUMMYFUNCTION("""COMPUTED_VALUE"""),0.416666666667879)</f>
        <v>0.41666666666787899</v>
      </c>
      <c r="G336" s="14">
        <f ca="1">IFERROR(__xludf.DUMMYFUNCTION("""COMPUTED_VALUE"""),43658)</f>
        <v>43658</v>
      </c>
      <c r="H336" t="str">
        <f ca="1">IFERROR(__xludf.DUMMYFUNCTION("""COMPUTED_VALUE"""),"Moses flats")</f>
        <v>Moses flats</v>
      </c>
      <c r="I336" s="15">
        <f ca="1">IFERROR(__xludf.DUMMYFUNCTION("""COMPUTED_VALUE"""),0.666666666667879)</f>
        <v>0.66666666666787899</v>
      </c>
      <c r="J336" s="16">
        <f ca="1">IFERROR(__xludf.DUMMYFUNCTION("""COMPUTED_VALUE"""),43658.6875)</f>
        <v>43658.6875</v>
      </c>
      <c r="K336" t="str">
        <f ca="1">IFERROR(__xludf.DUMMYFUNCTION("""COMPUTED_VALUE"""),"17ft Skill FL0642GW DEP07239")</f>
        <v>17ft Skill FL0642GW DEP07239</v>
      </c>
      <c r="M336" t="str">
        <f ca="1">IFERROR(__xludf.DUMMYFUNCTION("""COMPUTED_VALUE"""),"2018 f150 AP")</f>
        <v>2018 f150 AP</v>
      </c>
      <c r="N336" t="str">
        <f ca="1">IFERROR(__xludf.DUMMYFUNCTION("""COMPUTED_VALUE"""),"Pam Marcum, (480) 332-5414")</f>
        <v>Pam Marcum, (480) 332-5414</v>
      </c>
      <c r="O336" t="str">
        <f ca="1">IFERROR(__xludf.DUMMYFUNCTION("""COMPUTED_VALUE"""),"Nicole Peckham, Adrienne Breef-Pilz, David Kimbro, Allison Noble")</f>
        <v>Nicole Peckham, Adrienne Breef-Pilz, David Kimbro, Allison Noble</v>
      </c>
      <c r="P336" t="str">
        <f ca="1">IFERROR(__xludf.DUMMYFUNCTION("""COMPUTED_VALUE"""),"Pam")</f>
        <v>Pam</v>
      </c>
      <c r="Q336" t="str">
        <f ca="1">IFERROR(__xludf.DUMMYFUNCTION("""COMPUTED_VALUE"""),"Good")</f>
        <v>Good</v>
      </c>
      <c r="R336" t="str">
        <f ca="1">IFERROR(__xludf.DUMMYFUNCTION("""COMPUTED_VALUE"""),"Good")</f>
        <v>Good</v>
      </c>
      <c r="S336" t="str">
        <f ca="1">IFERROR(__xludf.DUMMYFUNCTION("""COMPUTED_VALUE"""),"Good")</f>
        <v>Good</v>
      </c>
      <c r="T336" t="str">
        <f ca="1">IFERROR(__xludf.DUMMYFUNCTION("""COMPUTED_VALUE"""),"Good")</f>
        <v>Good</v>
      </c>
      <c r="U336" t="str">
        <f ca="1">IFERROR(__xludf.DUMMYFUNCTION("""COMPUTED_VALUE"""),"Good")</f>
        <v>Good</v>
      </c>
      <c r="V336" t="str">
        <f ca="1">IFERROR(__xludf.DUMMYFUNCTION("""COMPUTED_VALUE"""),"Good")</f>
        <v>Good</v>
      </c>
      <c r="W336" t="str">
        <f ca="1">IFERROR(__xludf.DUMMYFUNCTION("""COMPUTED_VALUE"""),"Good")</f>
        <v>Good</v>
      </c>
      <c r="X336" t="str">
        <f ca="1">IFERROR(__xludf.DUMMYFUNCTION("""COMPUTED_VALUE"""),"Good")</f>
        <v>Good</v>
      </c>
      <c r="Y336" t="str">
        <f ca="1">IFERROR(__xludf.DUMMYFUNCTION("""COMPUTED_VALUE"""),"Good")</f>
        <v>Good</v>
      </c>
      <c r="Z336" t="str">
        <f ca="1">IFERROR(__xludf.DUMMYFUNCTION("""COMPUTED_VALUE"""),"Good")</f>
        <v>Good</v>
      </c>
      <c r="AA336" t="str">
        <f ca="1">IFERROR(__xludf.DUMMYFUNCTION("""COMPUTED_VALUE"""),"Good")</f>
        <v>Good</v>
      </c>
      <c r="AB336" t="str">
        <f ca="1">IFERROR(__xludf.DUMMYFUNCTION("""COMPUTED_VALUE"""),"Good")</f>
        <v>Good</v>
      </c>
      <c r="AC336" t="str">
        <f ca="1">IFERROR(__xludf.DUMMYFUNCTION("""COMPUTED_VALUE"""),"Good")</f>
        <v>Good</v>
      </c>
      <c r="AE336" s="11"/>
      <c r="AF336" t="str">
        <v>Nikki.Dix@floridadep.gov</v>
      </c>
      <c r="AG336" s="17" t="s">
        <v>126</v>
      </c>
      <c r="AH336" s="12">
        <v>1435</v>
      </c>
      <c r="AI336" s="12" t="s">
        <v>955</v>
      </c>
      <c r="AJ336" s="19" t="s">
        <v>956</v>
      </c>
      <c r="AK336" s="20" t="str">
        <f>HYPERLINK("https://docs.google.com/document/d/1fsp2VE6J3eq1qlBaOs9_c3VwCKjWu0Kv5nHjHXrgkIw/edit?usp=drivesdk","Pamela Marcum - 7/12/2019 10:00 AM")</f>
        <v>Pamela Marcum - 7/12/2019 10:00 AM</v>
      </c>
      <c r="AL336" s="12" t="s">
        <v>957</v>
      </c>
    </row>
    <row r="337" spans="1:38" ht="12.75">
      <c r="A337" s="10">
        <f ca="1">IFERROR(__xludf.DUMMYFUNCTION("""COMPUTED_VALUE"""),43661.3104943749)</f>
        <v>43661.310494374899</v>
      </c>
      <c r="B337" s="11" t="str">
        <f ca="1">IFERROR(__xludf.DUMMYFUNCTION("""COMPUTED_VALUE"""),"S. Tanner")</f>
        <v>S. Tanner</v>
      </c>
      <c r="C337" t="str">
        <f ca="1">IFERROR(__xludf.DUMMYFUNCTION("""COMPUTED_VALUE"""),"silas.tanner@floridadep.gov")</f>
        <v>silas.tanner@floridadep.gov</v>
      </c>
      <c r="D337" t="str">
        <f ca="1">IFERROR(__xludf.DUMMYFUNCTION("""COMPUTED_VALUE"""),"Research/Nikki")</f>
        <v>Research/Nikki</v>
      </c>
      <c r="E337" t="str">
        <f ca="1">IFERROR(__xludf.DUMMYFUNCTION("""COMPUTED_VALUE"""),"Vilano landing")</f>
        <v>Vilano landing</v>
      </c>
      <c r="F337" s="13">
        <f ca="1">IFERROR(__xludf.DUMMYFUNCTION("""COMPUTED_VALUE"""),0.329861111109494)</f>
        <v>0.32986111110949401</v>
      </c>
      <c r="G337" s="14">
        <f ca="1">IFERROR(__xludf.DUMMYFUNCTION("""COMPUTED_VALUE"""),43661)</f>
        <v>43661</v>
      </c>
      <c r="H337" t="str">
        <f ca="1">IFERROR(__xludf.DUMMYFUNCTION("""COMPUTED_VALUE"""),"ICW SWMP sites")</f>
        <v>ICW SWMP sites</v>
      </c>
      <c r="I337" s="15">
        <f ca="1">IFERROR(__xludf.DUMMYFUNCTION("""COMPUTED_VALUE"""),0.541666666667879)</f>
        <v>0.54166666666787899</v>
      </c>
      <c r="J337" s="16">
        <f ca="1">IFERROR(__xludf.DUMMYFUNCTION("""COMPUTED_VALUE"""),43661.5625)</f>
        <v>43661.5625</v>
      </c>
      <c r="K337" t="str">
        <f ca="1">IFERROR(__xludf.DUMMYFUNCTION("""COMPUTED_VALUE"""),"23ft Skiff (Bertha) FL7972LJ DEP07613")</f>
        <v>23ft Skiff (Bertha) FL7972LJ DEP07613</v>
      </c>
      <c r="M337" t="str">
        <f ca="1">IFERROR(__xludf.DUMMYFUNCTION("""COMPUTED_VALUE"""),"Ford F150 2015 (White) - DEP21448")</f>
        <v>Ford F150 2015 (White) - DEP21448</v>
      </c>
      <c r="N337" t="str">
        <f ca="1">IFERROR(__xludf.DUMMYFUNCTION("""COMPUTED_VALUE"""),"Silas Tanner, (904) 483-8423")</f>
        <v>Silas Tanner, (904) 483-8423</v>
      </c>
      <c r="O337" t="str">
        <f ca="1">IFERROR(__xludf.DUMMYFUNCTION("""COMPUTED_VALUE"""),"Alee Kneoll, Jeff Finnan")</f>
        <v>Alee Kneoll, Jeff Finnan</v>
      </c>
      <c r="P337" t="str">
        <f ca="1">IFERROR(__xludf.DUMMYFUNCTION("""COMPUTED_VALUE"""),"S. Tanner")</f>
        <v>S. Tanner</v>
      </c>
      <c r="Q337" t="str">
        <f ca="1">IFERROR(__xludf.DUMMYFUNCTION("""COMPUTED_VALUE"""),"Good")</f>
        <v>Good</v>
      </c>
      <c r="R337" t="str">
        <f ca="1">IFERROR(__xludf.DUMMYFUNCTION("""COMPUTED_VALUE"""),"Good")</f>
        <v>Good</v>
      </c>
      <c r="S337" t="str">
        <f ca="1">IFERROR(__xludf.DUMMYFUNCTION("""COMPUTED_VALUE"""),"Good")</f>
        <v>Good</v>
      </c>
      <c r="T337" t="str">
        <f ca="1">IFERROR(__xludf.DUMMYFUNCTION("""COMPUTED_VALUE"""),"Good")</f>
        <v>Good</v>
      </c>
      <c r="U337" t="str">
        <f ca="1">IFERROR(__xludf.DUMMYFUNCTION("""COMPUTED_VALUE"""),"Good")</f>
        <v>Good</v>
      </c>
      <c r="V337" t="str">
        <f ca="1">IFERROR(__xludf.DUMMYFUNCTION("""COMPUTED_VALUE"""),"Good")</f>
        <v>Good</v>
      </c>
      <c r="W337" t="str">
        <f ca="1">IFERROR(__xludf.DUMMYFUNCTION("""COMPUTED_VALUE"""),"Good")</f>
        <v>Good</v>
      </c>
      <c r="X337" t="str">
        <f ca="1">IFERROR(__xludf.DUMMYFUNCTION("""COMPUTED_VALUE"""),"Good")</f>
        <v>Good</v>
      </c>
      <c r="Y337" t="str">
        <f ca="1">IFERROR(__xludf.DUMMYFUNCTION("""COMPUTED_VALUE"""),"Good")</f>
        <v>Good</v>
      </c>
      <c r="Z337" t="str">
        <f ca="1">IFERROR(__xludf.DUMMYFUNCTION("""COMPUTED_VALUE"""),"Good")</f>
        <v>Good</v>
      </c>
      <c r="AA337" t="str">
        <f ca="1">IFERROR(__xludf.DUMMYFUNCTION("""COMPUTED_VALUE"""),"Good")</f>
        <v>Good</v>
      </c>
      <c r="AB337" t="str">
        <f ca="1">IFERROR(__xludf.DUMMYFUNCTION("""COMPUTED_VALUE"""),"Good")</f>
        <v>Good</v>
      </c>
      <c r="AC337" t="str">
        <f ca="1">IFERROR(__xludf.DUMMYFUNCTION("""COMPUTED_VALUE"""),"Good")</f>
        <v>Good</v>
      </c>
      <c r="AE337" s="11"/>
      <c r="AF337" t="str">
        <v>Nikki.Dix@floridadep.gov</v>
      </c>
      <c r="AG337" s="17" t="s">
        <v>17</v>
      </c>
      <c r="AH337" s="12">
        <v>1230</v>
      </c>
      <c r="AI337" s="12" t="s">
        <v>958</v>
      </c>
      <c r="AJ337" s="19" t="s">
        <v>959</v>
      </c>
      <c r="AK337" s="20" t="str">
        <f>HYPERLINK("https://docs.google.com/document/d/1qfBh_O_GEYX9iCz3WJwlITP89zxKCd3VjFTCB8EEAZE/edit?usp=drivesdk","S. Tanner - 7/15/2019 7:55 AM")</f>
        <v>S. Tanner - 7/15/2019 7:55 AM</v>
      </c>
      <c r="AL337" s="12" t="s">
        <v>960</v>
      </c>
    </row>
    <row r="338" spans="1:38" ht="12.75">
      <c r="A338" s="10">
        <f ca="1">IFERROR(__xludf.DUMMYFUNCTION("""COMPUTED_VALUE"""),43662.6128608333)</f>
        <v>43662.612860833302</v>
      </c>
      <c r="B338" s="11" t="str">
        <f ca="1">IFERROR(__xludf.DUMMYFUNCTION("""COMPUTED_VALUE"""),"Jimmy")</f>
        <v>Jimmy</v>
      </c>
      <c r="C338" t="str">
        <f ca="1">IFERROR(__xludf.DUMMYFUNCTION("""COMPUTED_VALUE"""),"james.tomazinis@floridadep.gov")</f>
        <v>james.tomazinis@floridadep.gov</v>
      </c>
      <c r="D338" t="str">
        <f ca="1">IFERROR(__xludf.DUMMYFUNCTION("""COMPUTED_VALUE"""),"Stewardship (Aquatic)")</f>
        <v>Stewardship (Aquatic)</v>
      </c>
      <c r="E338" t="str">
        <f ca="1">IFERROR(__xludf.DUMMYFUNCTION("""COMPUTED_VALUE"""),"Goffinsville and Dee Dee Bartels")</f>
        <v>Goffinsville and Dee Dee Bartels</v>
      </c>
      <c r="F338" s="13">
        <f ca="1">IFERROR(__xludf.DUMMYFUNCTION("""COMPUTED_VALUE"""),0.40625)</f>
        <v>0.40625</v>
      </c>
      <c r="G338" s="14">
        <f ca="1">IFERROR(__xludf.DUMMYFUNCTION("""COMPUTED_VALUE"""),43662)</f>
        <v>43662</v>
      </c>
      <c r="H338" t="str">
        <f ca="1">IFERROR(__xludf.DUMMYFUNCTION("""COMPUTED_VALUE"""),"NEAP WQ sites")</f>
        <v>NEAP WQ sites</v>
      </c>
      <c r="I338" s="15">
        <f ca="1">IFERROR(__xludf.DUMMYFUNCTION("""COMPUTED_VALUE"""),0.666666666667879)</f>
        <v>0.66666666666787899</v>
      </c>
      <c r="J338" s="16"/>
      <c r="K338" t="str">
        <f ca="1">IFERROR(__xludf.DUMMYFUNCTION("""COMPUTED_VALUE"""),"23ft Skiff (Bertha) FL7972LJ DEP07613")</f>
        <v>23ft Skiff (Bertha) FL7972LJ DEP07613</v>
      </c>
      <c r="M338" t="str">
        <f ca="1">IFERROR(__xludf.DUMMYFUNCTION("""COMPUTED_VALUE"""),"Ford F150 2015 (White) - DEP21448")</f>
        <v>Ford F150 2015 (White) - DEP21448</v>
      </c>
      <c r="N338" t="str">
        <f ca="1">IFERROR(__xludf.DUMMYFUNCTION("""COMPUTED_VALUE"""),"Jimmy Tomazinis, (904) 547-0094")</f>
        <v>Jimmy Tomazinis, (904) 547-0094</v>
      </c>
      <c r="O338" t="str">
        <f ca="1">IFERROR(__xludf.DUMMYFUNCTION("""COMPUTED_VALUE"""),"Mike Darragh")</f>
        <v>Mike Darragh</v>
      </c>
      <c r="P338" t="str">
        <f ca="1">IFERROR(__xludf.DUMMYFUNCTION("""COMPUTED_VALUE"""),"Jimmy")</f>
        <v>Jimmy</v>
      </c>
      <c r="Q338" t="str">
        <f ca="1">IFERROR(__xludf.DUMMYFUNCTION("""COMPUTED_VALUE"""),"Good")</f>
        <v>Good</v>
      </c>
      <c r="R338" t="str">
        <f ca="1">IFERROR(__xludf.DUMMYFUNCTION("""COMPUTED_VALUE"""),"Good")</f>
        <v>Good</v>
      </c>
      <c r="S338" t="str">
        <f ca="1">IFERROR(__xludf.DUMMYFUNCTION("""COMPUTED_VALUE"""),"Good")</f>
        <v>Good</v>
      </c>
      <c r="T338" t="str">
        <f ca="1">IFERROR(__xludf.DUMMYFUNCTION("""COMPUTED_VALUE"""),"Good")</f>
        <v>Good</v>
      </c>
      <c r="U338" t="str">
        <f ca="1">IFERROR(__xludf.DUMMYFUNCTION("""COMPUTED_VALUE"""),"Good")</f>
        <v>Good</v>
      </c>
      <c r="V338" t="str">
        <f ca="1">IFERROR(__xludf.DUMMYFUNCTION("""COMPUTED_VALUE"""),"Good")</f>
        <v>Good</v>
      </c>
      <c r="W338" t="str">
        <f ca="1">IFERROR(__xludf.DUMMYFUNCTION("""COMPUTED_VALUE"""),"Good")</f>
        <v>Good</v>
      </c>
      <c r="X338" t="str">
        <f ca="1">IFERROR(__xludf.DUMMYFUNCTION("""COMPUTED_VALUE"""),"Good")</f>
        <v>Good</v>
      </c>
      <c r="Y338" t="str">
        <f ca="1">IFERROR(__xludf.DUMMYFUNCTION("""COMPUTED_VALUE"""),"Good")</f>
        <v>Good</v>
      </c>
      <c r="Z338" t="str">
        <f ca="1">IFERROR(__xludf.DUMMYFUNCTION("""COMPUTED_VALUE"""),"Good")</f>
        <v>Good</v>
      </c>
      <c r="AA338" t="str">
        <f ca="1">IFERROR(__xludf.DUMMYFUNCTION("""COMPUTED_VALUE"""),"Good")</f>
        <v>Good</v>
      </c>
      <c r="AB338" t="str">
        <f ca="1">IFERROR(__xludf.DUMMYFUNCTION("""COMPUTED_VALUE"""),"Good")</f>
        <v>Good</v>
      </c>
      <c r="AC338" t="str">
        <f ca="1">IFERROR(__xludf.DUMMYFUNCTION("""COMPUTED_VALUE"""),"Good")</f>
        <v>Good</v>
      </c>
      <c r="AE338" s="11"/>
      <c r="AF338" t="str">
        <v>Scott.Eastman@floridadep.gov</v>
      </c>
      <c r="AG338" s="18"/>
      <c r="AI338" s="12" t="s">
        <v>961</v>
      </c>
      <c r="AJ338" s="19" t="s">
        <v>962</v>
      </c>
      <c r="AK338" s="20" t="str">
        <f>HYPERLINK("https://docs.google.com/document/d/1ZCXGxgcM0SMf47GDz2P2nEKQwWPen_IopWAdo9gZUe8/edit?usp=drivesdk","Jimmy - 7/16/2019 9:45 AM")</f>
        <v>Jimmy - 7/16/2019 9:45 AM</v>
      </c>
      <c r="AL338" s="12" t="s">
        <v>963</v>
      </c>
    </row>
    <row r="339" spans="1:38" ht="12.75">
      <c r="A339" s="10">
        <f ca="1">IFERROR(__xludf.DUMMYFUNCTION("""COMPUTED_VALUE"""),43662.6170340162)</f>
        <v>43662.617034016199</v>
      </c>
      <c r="B339" s="11" t="str">
        <f ca="1">IFERROR(__xludf.DUMMYFUNCTION("""COMPUTED_VALUE"""),"Jimmy")</f>
        <v>Jimmy</v>
      </c>
      <c r="C339" t="str">
        <f ca="1">IFERROR(__xludf.DUMMYFUNCTION("""COMPUTED_VALUE"""),"james.tomazinis@floridadep.gov")</f>
        <v>james.tomazinis@floridadep.gov</v>
      </c>
      <c r="D339" t="str">
        <f ca="1">IFERROR(__xludf.DUMMYFUNCTION("""COMPUTED_VALUE"""),"Stewardship (Aquatic)")</f>
        <v>Stewardship (Aquatic)</v>
      </c>
      <c r="E339" t="str">
        <f ca="1">IFERROR(__xludf.DUMMYFUNCTION("""COMPUTED_VALUE"""),"Goffinsville and Dee Dee Bartels")</f>
        <v>Goffinsville and Dee Dee Bartels</v>
      </c>
      <c r="F339" s="13">
        <f ca="1">IFERROR(__xludf.DUMMYFUNCTION("""COMPUTED_VALUE"""),0.40625)</f>
        <v>0.40625</v>
      </c>
      <c r="G339" s="14">
        <f ca="1">IFERROR(__xludf.DUMMYFUNCTION("""COMPUTED_VALUE"""),43663)</f>
        <v>43663</v>
      </c>
      <c r="H339" t="str">
        <f ca="1">IFERROR(__xludf.DUMMYFUNCTION("""COMPUTED_VALUE"""),"NEAP WQ sites")</f>
        <v>NEAP WQ sites</v>
      </c>
      <c r="I339" s="15">
        <f ca="1">IFERROR(__xludf.DUMMYFUNCTION("""COMPUTED_VALUE"""),0.666666666667879)</f>
        <v>0.66666666666787899</v>
      </c>
      <c r="J339" s="16"/>
      <c r="K339" t="str">
        <f ca="1">IFERROR(__xludf.DUMMYFUNCTION("""COMPUTED_VALUE"""),"23ft Skiff (Bertha) FL7972LJ DEP07613")</f>
        <v>23ft Skiff (Bertha) FL7972LJ DEP07613</v>
      </c>
      <c r="M339" t="str">
        <f ca="1">IFERROR(__xludf.DUMMYFUNCTION("""COMPUTED_VALUE"""),"Ford F150 2015 (White) - DEP21448")</f>
        <v>Ford F150 2015 (White) - DEP21448</v>
      </c>
      <c r="N339" t="str">
        <f ca="1">IFERROR(__xludf.DUMMYFUNCTION("""COMPUTED_VALUE"""),"Jimmy Tomazinis, (904) 547-0094")</f>
        <v>Jimmy Tomazinis, (904) 547-0094</v>
      </c>
      <c r="O339" t="str">
        <f ca="1">IFERROR(__xludf.DUMMYFUNCTION("""COMPUTED_VALUE"""),"Mike Darragh")</f>
        <v>Mike Darragh</v>
      </c>
      <c r="P339" t="str">
        <f ca="1">IFERROR(__xludf.DUMMYFUNCTION("""COMPUTED_VALUE"""),"Jimmy")</f>
        <v>Jimmy</v>
      </c>
      <c r="Q339" t="str">
        <f ca="1">IFERROR(__xludf.DUMMYFUNCTION("""COMPUTED_VALUE"""),"Good")</f>
        <v>Good</v>
      </c>
      <c r="R339" t="str">
        <f ca="1">IFERROR(__xludf.DUMMYFUNCTION("""COMPUTED_VALUE"""),"Good")</f>
        <v>Good</v>
      </c>
      <c r="S339" t="str">
        <f ca="1">IFERROR(__xludf.DUMMYFUNCTION("""COMPUTED_VALUE"""),"Good")</f>
        <v>Good</v>
      </c>
      <c r="T339" t="str">
        <f ca="1">IFERROR(__xludf.DUMMYFUNCTION("""COMPUTED_VALUE"""),"Good")</f>
        <v>Good</v>
      </c>
      <c r="U339" t="str">
        <f ca="1">IFERROR(__xludf.DUMMYFUNCTION("""COMPUTED_VALUE"""),"Good")</f>
        <v>Good</v>
      </c>
      <c r="V339" t="str">
        <f ca="1">IFERROR(__xludf.DUMMYFUNCTION("""COMPUTED_VALUE"""),"Good")</f>
        <v>Good</v>
      </c>
      <c r="W339" t="str">
        <f ca="1">IFERROR(__xludf.DUMMYFUNCTION("""COMPUTED_VALUE"""),"Good")</f>
        <v>Good</v>
      </c>
      <c r="X339" t="str">
        <f ca="1">IFERROR(__xludf.DUMMYFUNCTION("""COMPUTED_VALUE"""),"Good")</f>
        <v>Good</v>
      </c>
      <c r="Y339" t="str">
        <f ca="1">IFERROR(__xludf.DUMMYFUNCTION("""COMPUTED_VALUE"""),"Good")</f>
        <v>Good</v>
      </c>
      <c r="Z339" t="str">
        <f ca="1">IFERROR(__xludf.DUMMYFUNCTION("""COMPUTED_VALUE"""),"Good")</f>
        <v>Good</v>
      </c>
      <c r="AA339" t="str">
        <f ca="1">IFERROR(__xludf.DUMMYFUNCTION("""COMPUTED_VALUE"""),"Good")</f>
        <v>Good</v>
      </c>
      <c r="AB339" t="str">
        <f ca="1">IFERROR(__xludf.DUMMYFUNCTION("""COMPUTED_VALUE"""),"Good")</f>
        <v>Good</v>
      </c>
      <c r="AC339" t="str">
        <f ca="1">IFERROR(__xludf.DUMMYFUNCTION("""COMPUTED_VALUE"""),"Good")</f>
        <v>Good</v>
      </c>
      <c r="AE339" s="11"/>
      <c r="AF339" t="str">
        <v>Scott.Eastman@floridadep.gov</v>
      </c>
      <c r="AG339" s="17" t="s">
        <v>17</v>
      </c>
      <c r="AH339" s="12">
        <v>1400</v>
      </c>
      <c r="AI339" s="12" t="s">
        <v>964</v>
      </c>
      <c r="AJ339" s="19" t="s">
        <v>965</v>
      </c>
      <c r="AK339" s="20" t="str">
        <f>HYPERLINK("https://docs.google.com/document/d/1fe-2hVqu4qRXiK7uZpdjNWbt09bbNO2CMjpLNLRqic4/edit?usp=drivesdk","Jimmy - 7/17/2019 9:45 AM")</f>
        <v>Jimmy - 7/17/2019 9:45 AM</v>
      </c>
      <c r="AL339" s="12" t="s">
        <v>966</v>
      </c>
    </row>
    <row r="340" spans="1:38" ht="12.75">
      <c r="A340" s="10">
        <f ca="1">IFERROR(__xludf.DUMMYFUNCTION("""COMPUTED_VALUE"""),43668.7308626273)</f>
        <v>43668.730862627301</v>
      </c>
      <c r="B340" s="11" t="str">
        <f ca="1">IFERROR(__xludf.DUMMYFUNCTION("""COMPUTED_VALUE"""),"Jimmy")</f>
        <v>Jimmy</v>
      </c>
      <c r="C340" t="str">
        <f ca="1">IFERROR(__xludf.DUMMYFUNCTION("""COMPUTED_VALUE"""),"james.tomazinis@floridadep.gov")</f>
        <v>james.tomazinis@floridadep.gov</v>
      </c>
      <c r="D340" t="str">
        <f ca="1">IFERROR(__xludf.DUMMYFUNCTION("""COMPUTED_VALUE"""),"Stewardship (Aquatic)")</f>
        <v>Stewardship (Aquatic)</v>
      </c>
      <c r="E340" t="str">
        <f ca="1">IFERROR(__xludf.DUMMYFUNCTION("""COMPUTED_VALUE"""),"Goffinsville Park")</f>
        <v>Goffinsville Park</v>
      </c>
      <c r="F340" s="13">
        <f ca="1">IFERROR(__xludf.DUMMYFUNCTION("""COMPUTED_VALUE"""),0.375)</f>
        <v>0.375</v>
      </c>
      <c r="G340" s="14">
        <f ca="1">IFERROR(__xludf.DUMMYFUNCTION("""COMPUTED_VALUE"""),43668)</f>
        <v>43668</v>
      </c>
      <c r="H340" t="str">
        <f ca="1">IFERROR(__xludf.DUMMYFUNCTION("""COMPUTED_VALUE"""),"Berg dock reef")</f>
        <v>Berg dock reef</v>
      </c>
      <c r="I340" s="15">
        <f ca="1">IFERROR(__xludf.DUMMYFUNCTION("""COMPUTED_VALUE"""),0.479166666667879)</f>
        <v>0.47916666666787899</v>
      </c>
      <c r="J340" s="16"/>
      <c r="K340" t="str">
        <f ca="1">IFERROR(__xludf.DUMMYFUNCTION("""COMPUTED_VALUE"""),"Jon Boat FL0484NP DEP06819")</f>
        <v>Jon Boat FL0484NP DEP06819</v>
      </c>
      <c r="M340" t="str">
        <f ca="1">IFERROR(__xludf.DUMMYFUNCTION("""COMPUTED_VALUE"""),"Ford F150 2015 (White) - DEP21448")</f>
        <v>Ford F150 2015 (White) - DEP21448</v>
      </c>
      <c r="N340" t="str">
        <f ca="1">IFERROR(__xludf.DUMMYFUNCTION("""COMPUTED_VALUE"""),"Jimmy Tomazinis, (904) 547-0094")</f>
        <v>Jimmy Tomazinis, (904) 547-0094</v>
      </c>
      <c r="O340" t="str">
        <f ca="1">IFERROR(__xludf.DUMMYFUNCTION("""COMPUTED_VALUE"""),"Cameron Ramsey")</f>
        <v>Cameron Ramsey</v>
      </c>
      <c r="P340" t="str">
        <f ca="1">IFERROR(__xludf.DUMMYFUNCTION("""COMPUTED_VALUE"""),"Jimmy")</f>
        <v>Jimmy</v>
      </c>
      <c r="Q340" t="str">
        <f ca="1">IFERROR(__xludf.DUMMYFUNCTION("""COMPUTED_VALUE"""),"Good")</f>
        <v>Good</v>
      </c>
      <c r="R340" t="str">
        <f ca="1">IFERROR(__xludf.DUMMYFUNCTION("""COMPUTED_VALUE"""),"Good")</f>
        <v>Good</v>
      </c>
      <c r="S340" t="str">
        <f ca="1">IFERROR(__xludf.DUMMYFUNCTION("""COMPUTED_VALUE"""),"Good")</f>
        <v>Good</v>
      </c>
      <c r="T340" t="str">
        <f ca="1">IFERROR(__xludf.DUMMYFUNCTION("""COMPUTED_VALUE"""),"Good")</f>
        <v>Good</v>
      </c>
      <c r="U340" t="str">
        <f ca="1">IFERROR(__xludf.DUMMYFUNCTION("""COMPUTED_VALUE"""),"Good")</f>
        <v>Good</v>
      </c>
      <c r="V340" t="str">
        <f ca="1">IFERROR(__xludf.DUMMYFUNCTION("""COMPUTED_VALUE"""),"Good")</f>
        <v>Good</v>
      </c>
      <c r="W340" t="str">
        <f ca="1">IFERROR(__xludf.DUMMYFUNCTION("""COMPUTED_VALUE"""),"Good")</f>
        <v>Good</v>
      </c>
      <c r="X340" t="str">
        <f ca="1">IFERROR(__xludf.DUMMYFUNCTION("""COMPUTED_VALUE"""),"Good")</f>
        <v>Good</v>
      </c>
      <c r="Y340" t="str">
        <f ca="1">IFERROR(__xludf.DUMMYFUNCTION("""COMPUTED_VALUE"""),"Good")</f>
        <v>Good</v>
      </c>
      <c r="Z340" t="str">
        <f ca="1">IFERROR(__xludf.DUMMYFUNCTION("""COMPUTED_VALUE"""),"Good")</f>
        <v>Good</v>
      </c>
      <c r="AA340" t="str">
        <f ca="1">IFERROR(__xludf.DUMMYFUNCTION("""COMPUTED_VALUE"""),"Good")</f>
        <v>Good</v>
      </c>
      <c r="AB340" t="str">
        <f ca="1">IFERROR(__xludf.DUMMYFUNCTION("""COMPUTED_VALUE"""),"Good")</f>
        <v>Good</v>
      </c>
      <c r="AC340" t="str">
        <f ca="1">IFERROR(__xludf.DUMMYFUNCTION("""COMPUTED_VALUE"""),"Good")</f>
        <v>Good</v>
      </c>
      <c r="AE340" s="11"/>
      <c r="AF340" t="str">
        <v>Scott.Eastman@floridadep.gov</v>
      </c>
      <c r="AG340" s="17" t="s">
        <v>17</v>
      </c>
      <c r="AH340" s="12">
        <v>1050</v>
      </c>
      <c r="AI340" s="12" t="s">
        <v>967</v>
      </c>
      <c r="AJ340" s="19" t="s">
        <v>968</v>
      </c>
      <c r="AK340" s="20" t="str">
        <f>HYPERLINK("https://docs.google.com/document/d/1MyR0KwbVK6DLOQXHSWopn30pPwPKufzUXd-DVwHJfoc/edit?usp=drivesdk","Jimmy - 7/22/2019 9:00 AM")</f>
        <v>Jimmy - 7/22/2019 9:00 AM</v>
      </c>
      <c r="AL340" s="12" t="s">
        <v>969</v>
      </c>
    </row>
    <row r="341" spans="1:38" ht="12.75">
      <c r="A341" s="10">
        <f ca="1">IFERROR(__xludf.DUMMYFUNCTION("""COMPUTED_VALUE"""),43670.2817512615)</f>
        <v>43670.2817512615</v>
      </c>
      <c r="B341" s="11" t="str">
        <f ca="1">IFERROR(__xludf.DUMMYFUNCTION("""COMPUTED_VALUE"""),"Pamela Marcum")</f>
        <v>Pamela Marcum</v>
      </c>
      <c r="C341" t="str">
        <f ca="1">IFERROR(__xludf.DUMMYFUNCTION("""COMPUTED_VALUE"""),"Pamela.Marcum@FloridaDEP.gov")</f>
        <v>Pamela.Marcum@FloridaDEP.gov</v>
      </c>
      <c r="D341" t="str">
        <f ca="1">IFERROR(__xludf.DUMMYFUNCTION("""COMPUTED_VALUE"""),"Research/Nikki")</f>
        <v>Research/Nikki</v>
      </c>
      <c r="E341" t="str">
        <f ca="1">IFERROR(__xludf.DUMMYFUNCTION("""COMPUTED_VALUE"""),"Aunt Kate's")</f>
        <v>Aunt Kate's</v>
      </c>
      <c r="F341" s="13">
        <f ca="1">IFERROR(__xludf.DUMMYFUNCTION("""COMPUTED_VALUE"""),0.291666666667879)</f>
        <v>0.29166666666787899</v>
      </c>
      <c r="G341" s="14">
        <f ca="1">IFERROR(__xludf.DUMMYFUNCTION("""COMPUTED_VALUE"""),43670)</f>
        <v>43670</v>
      </c>
      <c r="H341" t="str">
        <f ca="1">IFERROR(__xludf.DUMMYFUNCTION("""COMPUTED_VALUE"""),"Guana/Tolomato Rivers")</f>
        <v>Guana/Tolomato Rivers</v>
      </c>
      <c r="I341" s="15">
        <f ca="1">IFERROR(__xludf.DUMMYFUNCTION("""COMPUTED_VALUE"""),0.58333333333212)</f>
        <v>0.58333333333212001</v>
      </c>
      <c r="J341" s="16">
        <f ca="1">IFERROR(__xludf.DUMMYFUNCTION("""COMPUTED_VALUE"""),43670.6041666666)</f>
        <v>43670.604166666599</v>
      </c>
      <c r="K341" t="str">
        <f ca="1">IFERROR(__xludf.DUMMYFUNCTION("""COMPUTED_VALUE"""),"17ft Skill FL0642GW DEP07239")</f>
        <v>17ft Skill FL0642GW DEP07239</v>
      </c>
      <c r="M341" t="str">
        <f ca="1">IFERROR(__xludf.DUMMYFUNCTION("""COMPUTED_VALUE"""),"Ford F250 2017 (Moby Dix) - DEP0021578")</f>
        <v>Ford F250 2017 (Moby Dix) - DEP0021578</v>
      </c>
      <c r="N341" t="str">
        <f ca="1">IFERROR(__xludf.DUMMYFUNCTION("""COMPUTED_VALUE"""),"Pam Marcum, (480) 332-5414")</f>
        <v>Pam Marcum, (480) 332-5414</v>
      </c>
      <c r="O341" t="str">
        <f ca="1">IFERROR(__xludf.DUMMYFUNCTION("""COMPUTED_VALUE"""),"David Kimbro, Adrienne Breef-Pilz, Nicole Peckham, Allison Noble")</f>
        <v>David Kimbro, Adrienne Breef-Pilz, Nicole Peckham, Allison Noble</v>
      </c>
      <c r="P341" t="str">
        <f ca="1">IFERROR(__xludf.DUMMYFUNCTION("""COMPUTED_VALUE"""),"Pam")</f>
        <v>Pam</v>
      </c>
      <c r="Q341" t="str">
        <f ca="1">IFERROR(__xludf.DUMMYFUNCTION("""COMPUTED_VALUE"""),"Good")</f>
        <v>Good</v>
      </c>
      <c r="R341" t="str">
        <f ca="1">IFERROR(__xludf.DUMMYFUNCTION("""COMPUTED_VALUE"""),"Good")</f>
        <v>Good</v>
      </c>
      <c r="S341" t="str">
        <f ca="1">IFERROR(__xludf.DUMMYFUNCTION("""COMPUTED_VALUE"""),"Good")</f>
        <v>Good</v>
      </c>
      <c r="T341" t="str">
        <f ca="1">IFERROR(__xludf.DUMMYFUNCTION("""COMPUTED_VALUE"""),"Good")</f>
        <v>Good</v>
      </c>
      <c r="U341" t="str">
        <f ca="1">IFERROR(__xludf.DUMMYFUNCTION("""COMPUTED_VALUE"""),"Good")</f>
        <v>Good</v>
      </c>
      <c r="V341" t="str">
        <f ca="1">IFERROR(__xludf.DUMMYFUNCTION("""COMPUTED_VALUE"""),"Good")</f>
        <v>Good</v>
      </c>
      <c r="W341" t="str">
        <f ca="1">IFERROR(__xludf.DUMMYFUNCTION("""COMPUTED_VALUE"""),"Good")</f>
        <v>Good</v>
      </c>
      <c r="X341" t="str">
        <f ca="1">IFERROR(__xludf.DUMMYFUNCTION("""COMPUTED_VALUE"""),"Good")</f>
        <v>Good</v>
      </c>
      <c r="Y341" t="str">
        <f ca="1">IFERROR(__xludf.DUMMYFUNCTION("""COMPUTED_VALUE"""),"Good")</f>
        <v>Good</v>
      </c>
      <c r="Z341" t="str">
        <f ca="1">IFERROR(__xludf.DUMMYFUNCTION("""COMPUTED_VALUE"""),"Good")</f>
        <v>Good</v>
      </c>
      <c r="AA341" t="str">
        <f ca="1">IFERROR(__xludf.DUMMYFUNCTION("""COMPUTED_VALUE"""),"Good")</f>
        <v>Good</v>
      </c>
      <c r="AB341" t="str">
        <f ca="1">IFERROR(__xludf.DUMMYFUNCTION("""COMPUTED_VALUE"""),"Good")</f>
        <v>Good</v>
      </c>
      <c r="AC341" t="str">
        <f ca="1">IFERROR(__xludf.DUMMYFUNCTION("""COMPUTED_VALUE"""),"Good")</f>
        <v>Good</v>
      </c>
      <c r="AE341" s="11"/>
      <c r="AF341" t="str">
        <v>Nikki.Dix@floridadep.gov</v>
      </c>
      <c r="AG341" s="17" t="s">
        <v>17</v>
      </c>
      <c r="AH341" s="12">
        <v>1120</v>
      </c>
      <c r="AI341" s="12" t="s">
        <v>970</v>
      </c>
      <c r="AJ341" s="19" t="s">
        <v>971</v>
      </c>
      <c r="AK341" s="20" t="str">
        <f>HYPERLINK("https://docs.google.com/document/d/1DEEZagV5EBkLzROR_9oxeIWIQiNWeE6h9eGZvDKJGBc/edit?usp=drivesdk","Pamela Marcum - 7/24/2019 7:00 AM")</f>
        <v>Pamela Marcum - 7/24/2019 7:00 AM</v>
      </c>
      <c r="AL341" s="12" t="s">
        <v>972</v>
      </c>
    </row>
    <row r="342" spans="1:38" ht="12.75">
      <c r="A342" s="10">
        <f ca="1">IFERROR(__xludf.DUMMYFUNCTION("""COMPUTED_VALUE"""),43671.3202039236)</f>
        <v>43671.320203923598</v>
      </c>
      <c r="B342" s="11" t="str">
        <f ca="1">IFERROR(__xludf.DUMMYFUNCTION("""COMPUTED_VALUE"""),"Pamela Marcum")</f>
        <v>Pamela Marcum</v>
      </c>
      <c r="C342" t="str">
        <f ca="1">IFERROR(__xludf.DUMMYFUNCTION("""COMPUTED_VALUE"""),"Pamela.Marcum@FloridaDEP.gov")</f>
        <v>Pamela.Marcum@FloridaDEP.gov</v>
      </c>
      <c r="D342" t="str">
        <f ca="1">IFERROR(__xludf.DUMMYFUNCTION("""COMPUTED_VALUE"""),"Research/Nikki")</f>
        <v>Research/Nikki</v>
      </c>
      <c r="E342" t="str">
        <f ca="1">IFERROR(__xludf.DUMMYFUNCTION("""COMPUTED_VALUE"""),"Aunt Kate's")</f>
        <v>Aunt Kate's</v>
      </c>
      <c r="F342" s="13">
        <f ca="1">IFERROR(__xludf.DUMMYFUNCTION("""COMPUTED_VALUE"""),0.33333333333212)</f>
        <v>0.33333333333212001</v>
      </c>
      <c r="G342" s="14">
        <f ca="1">IFERROR(__xludf.DUMMYFUNCTION("""COMPUTED_VALUE"""),43671)</f>
        <v>43671</v>
      </c>
      <c r="H342" t="str">
        <f ca="1">IFERROR(__xludf.DUMMYFUNCTION("""COMPUTED_VALUE"""),"Guana River")</f>
        <v>Guana River</v>
      </c>
      <c r="I342" s="15">
        <f ca="1">IFERROR(__xludf.DUMMYFUNCTION("""COMPUTED_VALUE"""),0.541666666667879)</f>
        <v>0.54166666666787899</v>
      </c>
      <c r="J342" s="16">
        <f ca="1">IFERROR(__xludf.DUMMYFUNCTION("""COMPUTED_VALUE"""),43671.5625)</f>
        <v>43671.5625</v>
      </c>
      <c r="K342" t="str">
        <f ca="1">IFERROR(__xludf.DUMMYFUNCTION("""COMPUTED_VALUE"""),"17ft Skill FL0642GW DEP07239")</f>
        <v>17ft Skill FL0642GW DEP07239</v>
      </c>
      <c r="M342" t="str">
        <f ca="1">IFERROR(__xludf.DUMMYFUNCTION("""COMPUTED_VALUE"""),"Ford F250 2017 (Moby Dix) - DEP0021578")</f>
        <v>Ford F250 2017 (Moby Dix) - DEP0021578</v>
      </c>
      <c r="N342" t="str">
        <f ca="1">IFERROR(__xludf.DUMMYFUNCTION("""COMPUTED_VALUE"""),"Pam Marcum, (480) 332-5414")</f>
        <v>Pam Marcum, (480) 332-5414</v>
      </c>
      <c r="O342" t="str">
        <f ca="1">IFERROR(__xludf.DUMMYFUNCTION("""COMPUTED_VALUE"""),"David Kimbro, Nicole Peckham, Adrienne Breef-Pilz, Allison Noble")</f>
        <v>David Kimbro, Nicole Peckham, Adrienne Breef-Pilz, Allison Noble</v>
      </c>
      <c r="P342" t="str">
        <f ca="1">IFERROR(__xludf.DUMMYFUNCTION("""COMPUTED_VALUE"""),"Pam")</f>
        <v>Pam</v>
      </c>
      <c r="Q342" t="str">
        <f ca="1">IFERROR(__xludf.DUMMYFUNCTION("""COMPUTED_VALUE"""),"Good")</f>
        <v>Good</v>
      </c>
      <c r="R342" t="str">
        <f ca="1">IFERROR(__xludf.DUMMYFUNCTION("""COMPUTED_VALUE"""),"Good")</f>
        <v>Good</v>
      </c>
      <c r="S342" t="str">
        <f ca="1">IFERROR(__xludf.DUMMYFUNCTION("""COMPUTED_VALUE"""),"Good")</f>
        <v>Good</v>
      </c>
      <c r="T342" t="str">
        <f ca="1">IFERROR(__xludf.DUMMYFUNCTION("""COMPUTED_VALUE"""),"Good")</f>
        <v>Good</v>
      </c>
      <c r="U342" t="str">
        <f ca="1">IFERROR(__xludf.DUMMYFUNCTION("""COMPUTED_VALUE"""),"Good")</f>
        <v>Good</v>
      </c>
      <c r="V342" t="str">
        <f ca="1">IFERROR(__xludf.DUMMYFUNCTION("""COMPUTED_VALUE"""),"Good")</f>
        <v>Good</v>
      </c>
      <c r="W342" t="str">
        <f ca="1">IFERROR(__xludf.DUMMYFUNCTION("""COMPUTED_VALUE"""),"Good")</f>
        <v>Good</v>
      </c>
      <c r="X342" t="str">
        <f ca="1">IFERROR(__xludf.DUMMYFUNCTION("""COMPUTED_VALUE"""),"Good")</f>
        <v>Good</v>
      </c>
      <c r="Y342" t="str">
        <f ca="1">IFERROR(__xludf.DUMMYFUNCTION("""COMPUTED_VALUE"""),"Good")</f>
        <v>Good</v>
      </c>
      <c r="Z342" t="str">
        <f ca="1">IFERROR(__xludf.DUMMYFUNCTION("""COMPUTED_VALUE"""),"Good")</f>
        <v>Good</v>
      </c>
      <c r="AA342" t="str">
        <f ca="1">IFERROR(__xludf.DUMMYFUNCTION("""COMPUTED_VALUE"""),"Good")</f>
        <v>Good</v>
      </c>
      <c r="AB342" t="str">
        <f ca="1">IFERROR(__xludf.DUMMYFUNCTION("""COMPUTED_VALUE"""),"Good")</f>
        <v>Good</v>
      </c>
      <c r="AC342" t="str">
        <f ca="1">IFERROR(__xludf.DUMMYFUNCTION("""COMPUTED_VALUE"""),"Good")</f>
        <v>Good</v>
      </c>
      <c r="AE342" s="11"/>
      <c r="AF342" t="str">
        <v>Nikki.Dix@floridadep.gov</v>
      </c>
      <c r="AG342" s="17" t="s">
        <v>444</v>
      </c>
      <c r="AH342" s="12">
        <v>1145</v>
      </c>
      <c r="AI342" s="12" t="s">
        <v>973</v>
      </c>
      <c r="AJ342" s="19" t="s">
        <v>974</v>
      </c>
      <c r="AK342" s="20" t="str">
        <f>HYPERLINK("https://docs.google.com/document/d/1iIShRcHBMX9s2p9ixcmfD63N4BNpzZOhUMopEgZXVXU/edit?usp=drivesdk","Pamela Marcum - 7/25/2019 8:00 AM")</f>
        <v>Pamela Marcum - 7/25/2019 8:00 AM</v>
      </c>
      <c r="AL342" s="12" t="s">
        <v>975</v>
      </c>
    </row>
    <row r="343" spans="1:38" ht="12.75">
      <c r="A343" s="10">
        <f ca="1">IFERROR(__xludf.DUMMYFUNCTION("""COMPUTED_VALUE"""),43672.4374772916)</f>
        <v>43672.437477291598</v>
      </c>
      <c r="B343" s="11" t="str">
        <f ca="1">IFERROR(__xludf.DUMMYFUNCTION("""COMPUTED_VALUE"""),"Gabriela Canas")</f>
        <v>Gabriela Canas</v>
      </c>
      <c r="C343" t="str">
        <f ca="1">IFERROR(__xludf.DUMMYFUNCTION("""COMPUTED_VALUE"""),"gabriela.canas@dwp.state.fl.us")</f>
        <v>gabriela.canas@dwp.state.fl.us</v>
      </c>
      <c r="D343" t="str">
        <f ca="1">IFERROR(__xludf.DUMMYFUNCTION("""COMPUTED_VALUE"""),"Research/Nikki")</f>
        <v>Research/Nikki</v>
      </c>
      <c r="E343" t="str">
        <f ca="1">IFERROR(__xludf.DUMMYFUNCTION("""COMPUTED_VALUE"""),"Douglas crane")</f>
        <v>Douglas crane</v>
      </c>
      <c r="F343" s="13">
        <f ca="1">IFERROR(__xludf.DUMMYFUNCTION("""COMPUTED_VALUE"""),0.4375)</f>
        <v>0.4375</v>
      </c>
      <c r="G343" s="14">
        <f ca="1">IFERROR(__xludf.DUMMYFUNCTION("""COMPUTED_VALUE"""),43672)</f>
        <v>43672</v>
      </c>
      <c r="H343" t="str">
        <f ca="1">IFERROR(__xludf.DUMMYFUNCTION("""COMPUTED_VALUE"""),"Icw")</f>
        <v>Icw</v>
      </c>
      <c r="I343" s="15">
        <f ca="1">IFERROR(__xludf.DUMMYFUNCTION("""COMPUTED_VALUE"""),0.58333333333212)</f>
        <v>0.58333333333212001</v>
      </c>
      <c r="J343" s="16">
        <f ca="1">IFERROR(__xludf.DUMMYFUNCTION("""COMPUTED_VALUE"""),43672.125)</f>
        <v>43672.125</v>
      </c>
      <c r="K343" t="str">
        <f ca="1">IFERROR(__xludf.DUMMYFUNCTION("""COMPUTED_VALUE"""),"17ft Skill FL0642GW DEP07239")</f>
        <v>17ft Skill FL0642GW DEP07239</v>
      </c>
      <c r="M343" t="str">
        <f ca="1">IFERROR(__xludf.DUMMYFUNCTION("""COMPUTED_VALUE"""),"Ford F250 2017 (Moby Dix) - DEP0021578")</f>
        <v>Ford F250 2017 (Moby Dix) - DEP0021578</v>
      </c>
      <c r="N343" t="str">
        <f ca="1">IFERROR(__xludf.DUMMYFUNCTION("""COMPUTED_VALUE"""),"Pam Marcum, (480) 332-5414")</f>
        <v>Pam Marcum, (480) 332-5414</v>
      </c>
      <c r="O343" t="str">
        <f ca="1">IFERROR(__xludf.DUMMYFUNCTION("""COMPUTED_VALUE"""),"Gabriela Canas, (904) 891-9743, Alee knoell")</f>
        <v>Gabriela Canas, (904) 891-9743, Alee knoell</v>
      </c>
      <c r="P343" t="str">
        <f ca="1">IFERROR(__xludf.DUMMYFUNCTION("""COMPUTED_VALUE"""),"Pam marcum")</f>
        <v>Pam marcum</v>
      </c>
      <c r="Q343" t="str">
        <f ca="1">IFERROR(__xludf.DUMMYFUNCTION("""COMPUTED_VALUE"""),"Good")</f>
        <v>Good</v>
      </c>
      <c r="R343" t="str">
        <f ca="1">IFERROR(__xludf.DUMMYFUNCTION("""COMPUTED_VALUE"""),"Good")</f>
        <v>Good</v>
      </c>
      <c r="S343" t="str">
        <f ca="1">IFERROR(__xludf.DUMMYFUNCTION("""COMPUTED_VALUE"""),"Good")</f>
        <v>Good</v>
      </c>
      <c r="T343" t="str">
        <f ca="1">IFERROR(__xludf.DUMMYFUNCTION("""COMPUTED_VALUE"""),"Good")</f>
        <v>Good</v>
      </c>
      <c r="U343" t="str">
        <f ca="1">IFERROR(__xludf.DUMMYFUNCTION("""COMPUTED_VALUE"""),"Good")</f>
        <v>Good</v>
      </c>
      <c r="V343" t="str">
        <f ca="1">IFERROR(__xludf.DUMMYFUNCTION("""COMPUTED_VALUE"""),"Good")</f>
        <v>Good</v>
      </c>
      <c r="W343" t="str">
        <f ca="1">IFERROR(__xludf.DUMMYFUNCTION("""COMPUTED_VALUE"""),"Good")</f>
        <v>Good</v>
      </c>
      <c r="X343" t="str">
        <f ca="1">IFERROR(__xludf.DUMMYFUNCTION("""COMPUTED_VALUE"""),"Good")</f>
        <v>Good</v>
      </c>
      <c r="Y343" t="str">
        <f ca="1">IFERROR(__xludf.DUMMYFUNCTION("""COMPUTED_VALUE"""),"Good")</f>
        <v>Good</v>
      </c>
      <c r="Z343" t="str">
        <f ca="1">IFERROR(__xludf.DUMMYFUNCTION("""COMPUTED_VALUE"""),"Good")</f>
        <v>Good</v>
      </c>
      <c r="AA343" t="str">
        <f ca="1">IFERROR(__xludf.DUMMYFUNCTION("""COMPUTED_VALUE"""),"Good")</f>
        <v>Good</v>
      </c>
      <c r="AB343" t="str">
        <f ca="1">IFERROR(__xludf.DUMMYFUNCTION("""COMPUTED_VALUE"""),"Good")</f>
        <v>Good</v>
      </c>
      <c r="AC343" t="str">
        <f ca="1">IFERROR(__xludf.DUMMYFUNCTION("""COMPUTED_VALUE"""),"Good")</f>
        <v>Good</v>
      </c>
      <c r="AD343" t="str">
        <f ca="1">IFERROR(__xludf.DUMMYFUNCTION("""COMPUTED_VALUE"""),"Partly cloudy")</f>
        <v>Partly cloudy</v>
      </c>
      <c r="AE343" s="11" t="str">
        <f ca="1">IFERROR(__xludf.DUMMYFUNCTION("""COMPUTED_VALUE"""),"11:30low")</f>
        <v>11:30low</v>
      </c>
      <c r="AF343" t="str">
        <v>Nikki.Dix@floridadep.gov</v>
      </c>
      <c r="AG343" s="17" t="s">
        <v>54</v>
      </c>
      <c r="AH343" s="12" t="s">
        <v>976</v>
      </c>
      <c r="AI343" s="12" t="s">
        <v>977</v>
      </c>
      <c r="AJ343" s="19" t="s">
        <v>978</v>
      </c>
      <c r="AK343" s="20" t="str">
        <f>HYPERLINK("https://docs.google.com/document/d/19iCCJZ_O23GPhy55Pb4Tax0fp71UZC6HAdOjd8p_lds/edit?usp=drivesdk","Gabriela Canas - 7/26/2019 10:30 AM")</f>
        <v>Gabriela Canas - 7/26/2019 10:30 AM</v>
      </c>
      <c r="AL343" s="12" t="s">
        <v>979</v>
      </c>
    </row>
    <row r="344" spans="1:38" ht="12.75">
      <c r="A344" s="10">
        <f ca="1">IFERROR(__xludf.DUMMYFUNCTION("""COMPUTED_VALUE"""),43675.7244825925)</f>
        <v>43675.724482592501</v>
      </c>
      <c r="B344" s="11" t="str">
        <f ca="1">IFERROR(__xludf.DUMMYFUNCTION("""COMPUTED_VALUE"""),"Silas Tanner")</f>
        <v>Silas Tanner</v>
      </c>
      <c r="C344" t="str">
        <f ca="1">IFERROR(__xludf.DUMMYFUNCTION("""COMPUTED_VALUE"""),"silas.tanner@floridadep.gov")</f>
        <v>silas.tanner@floridadep.gov</v>
      </c>
      <c r="D344" t="str">
        <f ca="1">IFERROR(__xludf.DUMMYFUNCTION("""COMPUTED_VALUE"""),"Research/Nikki")</f>
        <v>Research/Nikki</v>
      </c>
      <c r="E344" t="str">
        <f ca="1">IFERROR(__xludf.DUMMYFUNCTION("""COMPUTED_VALUE"""),"Vilano landing")</f>
        <v>Vilano landing</v>
      </c>
      <c r="F344" s="13">
        <f ca="1">IFERROR(__xludf.DUMMYFUNCTION("""COMPUTED_VALUE"""),0.322916666667879)</f>
        <v>0.32291666666787899</v>
      </c>
      <c r="G344" s="14">
        <f ca="1">IFERROR(__xludf.DUMMYFUNCTION("""COMPUTED_VALUE"""),43676)</f>
        <v>43676</v>
      </c>
      <c r="H344" t="str">
        <f ca="1">IFERROR(__xludf.DUMMYFUNCTION("""COMPUTED_VALUE"""),"ICW SWMP sites &amp; spat oyster trees")</f>
        <v>ICW SWMP sites &amp; spat oyster trees</v>
      </c>
      <c r="I344" s="15">
        <f ca="1">IFERROR(__xludf.DUMMYFUNCTION("""COMPUTED_VALUE"""),0.697916666667879)</f>
        <v>0.69791666666787899</v>
      </c>
      <c r="J344" s="16">
        <f ca="1">IFERROR(__xludf.DUMMYFUNCTION("""COMPUTED_VALUE"""),43676.7083333333)</f>
        <v>43676.708333333299</v>
      </c>
      <c r="K344" t="str">
        <f ca="1">IFERROR(__xludf.DUMMYFUNCTION("""COMPUTED_VALUE"""),"23ft Skiff (Bertha) FL7972LJ DEP07613")</f>
        <v>23ft Skiff (Bertha) FL7972LJ DEP07613</v>
      </c>
      <c r="M344" t="str">
        <f ca="1">IFERROR(__xludf.DUMMYFUNCTION("""COMPUTED_VALUE"""),"Ford F250 2017 (Moby Dix) - DEP0021578")</f>
        <v>Ford F250 2017 (Moby Dix) - DEP0021578</v>
      </c>
      <c r="N344" t="str">
        <f ca="1">IFERROR(__xludf.DUMMYFUNCTION("""COMPUTED_VALUE"""),"Silas Tanner, (904) 483-8423")</f>
        <v>Silas Tanner, (904) 483-8423</v>
      </c>
      <c r="O344" t="str">
        <f ca="1">IFERROR(__xludf.DUMMYFUNCTION("""COMPUTED_VALUE"""),"Alee Knowles")</f>
        <v>Alee Knowles</v>
      </c>
      <c r="P344" t="str">
        <f ca="1">IFERROR(__xludf.DUMMYFUNCTION("""COMPUTED_VALUE"""),"S. Tanner")</f>
        <v>S. Tanner</v>
      </c>
      <c r="Q344" t="str">
        <f ca="1">IFERROR(__xludf.DUMMYFUNCTION("""COMPUTED_VALUE"""),"Good")</f>
        <v>Good</v>
      </c>
      <c r="R344" t="str">
        <f ca="1">IFERROR(__xludf.DUMMYFUNCTION("""COMPUTED_VALUE"""),"Good")</f>
        <v>Good</v>
      </c>
      <c r="S344" t="str">
        <f ca="1">IFERROR(__xludf.DUMMYFUNCTION("""COMPUTED_VALUE"""),"Good")</f>
        <v>Good</v>
      </c>
      <c r="T344" t="str">
        <f ca="1">IFERROR(__xludf.DUMMYFUNCTION("""COMPUTED_VALUE"""),"Good")</f>
        <v>Good</v>
      </c>
      <c r="U344" t="str">
        <f ca="1">IFERROR(__xludf.DUMMYFUNCTION("""COMPUTED_VALUE"""),"Good")</f>
        <v>Good</v>
      </c>
      <c r="V344" t="str">
        <f ca="1">IFERROR(__xludf.DUMMYFUNCTION("""COMPUTED_VALUE"""),"Good")</f>
        <v>Good</v>
      </c>
      <c r="W344" t="str">
        <f ca="1">IFERROR(__xludf.DUMMYFUNCTION("""COMPUTED_VALUE"""),"Good")</f>
        <v>Good</v>
      </c>
      <c r="X344" t="str">
        <f ca="1">IFERROR(__xludf.DUMMYFUNCTION("""COMPUTED_VALUE"""),"Good")</f>
        <v>Good</v>
      </c>
      <c r="Y344" t="str">
        <f ca="1">IFERROR(__xludf.DUMMYFUNCTION("""COMPUTED_VALUE"""),"Good")</f>
        <v>Good</v>
      </c>
      <c r="Z344" t="str">
        <f ca="1">IFERROR(__xludf.DUMMYFUNCTION("""COMPUTED_VALUE"""),"Good")</f>
        <v>Good</v>
      </c>
      <c r="AA344" t="str">
        <f ca="1">IFERROR(__xludf.DUMMYFUNCTION("""COMPUTED_VALUE"""),"Good")</f>
        <v>Good</v>
      </c>
      <c r="AB344" t="str">
        <f ca="1">IFERROR(__xludf.DUMMYFUNCTION("""COMPUTED_VALUE"""),"Good")</f>
        <v>Good</v>
      </c>
      <c r="AC344" t="str">
        <f ca="1">IFERROR(__xludf.DUMMYFUNCTION("""COMPUTED_VALUE"""),"Good")</f>
        <v>Good</v>
      </c>
      <c r="AE344" s="11"/>
      <c r="AF344" t="str">
        <v>Nikki.Dix@floridadep.gov</v>
      </c>
      <c r="AG344" s="17" t="s">
        <v>17</v>
      </c>
      <c r="AH344" s="12">
        <v>1530</v>
      </c>
      <c r="AI344" s="12" t="s">
        <v>980</v>
      </c>
      <c r="AJ344" s="19" t="s">
        <v>981</v>
      </c>
      <c r="AK344" s="20" t="str">
        <f>HYPERLINK("https://docs.google.com/document/d/1i6f7kHhOK6gs1CovzkHGRW2qcF_O4PSMw6GEfKJFoiI/edit?usp=drivesdk","Silas Tanner - 7/30/2019 7:45 AM")</f>
        <v>Silas Tanner - 7/30/2019 7:45 AM</v>
      </c>
      <c r="AL344" s="12" t="s">
        <v>982</v>
      </c>
    </row>
    <row r="345" spans="1:38" ht="12.75">
      <c r="A345" s="10">
        <f ca="1">IFERROR(__xludf.DUMMYFUNCTION("""COMPUTED_VALUE"""),43676.4616738657)</f>
        <v>43676.461673865699</v>
      </c>
      <c r="B345" s="11" t="str">
        <f ca="1">IFERROR(__xludf.DUMMYFUNCTION("""COMPUTED_VALUE"""),"Pamela Marcum")</f>
        <v>Pamela Marcum</v>
      </c>
      <c r="C345" t="str">
        <f ca="1">IFERROR(__xludf.DUMMYFUNCTION("""COMPUTED_VALUE"""),"pamela.marcum@floridadep.gov")</f>
        <v>pamela.marcum@floridadep.gov</v>
      </c>
      <c r="D345" t="str">
        <f ca="1">IFERROR(__xludf.DUMMYFUNCTION("""COMPUTED_VALUE"""),"Administration")</f>
        <v>Administration</v>
      </c>
      <c r="E345" t="str">
        <f ca="1">IFERROR(__xludf.DUMMYFUNCTION("""COMPUTED_VALUE"""),"Guana Dam")</f>
        <v>Guana Dam</v>
      </c>
      <c r="F345" s="13">
        <f ca="1">IFERROR(__xludf.DUMMYFUNCTION("""COMPUTED_VALUE"""),0.45833333333212)</f>
        <v>0.45833333333212001</v>
      </c>
      <c r="G345" s="14">
        <f ca="1">IFERROR(__xludf.DUMMYFUNCTION("""COMPUTED_VALUE"""),43676)</f>
        <v>43676</v>
      </c>
      <c r="H345" t="str">
        <f ca="1">IFERROR(__xludf.DUMMYFUNCTION("""COMPUTED_VALUE"""),"Guana tolomato rivers")</f>
        <v>Guana tolomato rivers</v>
      </c>
      <c r="I345" s="15">
        <f ca="1">IFERROR(__xludf.DUMMYFUNCTION("""COMPUTED_VALUE"""),0.58333333333212)</f>
        <v>0.58333333333212001</v>
      </c>
      <c r="J345" s="16">
        <f ca="1">IFERROR(__xludf.DUMMYFUNCTION("""COMPUTED_VALUE"""),43676.5833333333)</f>
        <v>43676.583333333299</v>
      </c>
      <c r="K345" t="str">
        <f ca="1">IFERROR(__xludf.DUMMYFUNCTION("""COMPUTED_VALUE"""),"Jon Boat FL0484NP DEP06819")</f>
        <v>Jon Boat FL0484NP DEP06819</v>
      </c>
      <c r="M345" t="str">
        <f ca="1">IFERROR(__xludf.DUMMYFUNCTION("""COMPUTED_VALUE"""),"Ford F150 2008 - DEP18041 (SWMP Thing)")</f>
        <v>Ford F150 2008 - DEP18041 (SWMP Thing)</v>
      </c>
      <c r="N345" t="str">
        <f ca="1">IFERROR(__xludf.DUMMYFUNCTION("""COMPUTED_VALUE"""),"Nikki Dix, (352) 219-4079, Pam Marcum, (480) 332-5414")</f>
        <v>Nikki Dix, (352) 219-4079, Pam Marcum, (480) 332-5414</v>
      </c>
      <c r="P345" t="str">
        <f ca="1">IFERROR(__xludf.DUMMYFUNCTION("""COMPUTED_VALUE"""),"Pam")</f>
        <v>Pam</v>
      </c>
      <c r="Q345" t="str">
        <f ca="1">IFERROR(__xludf.DUMMYFUNCTION("""COMPUTED_VALUE"""),"Good")</f>
        <v>Good</v>
      </c>
      <c r="R345" t="str">
        <f ca="1">IFERROR(__xludf.DUMMYFUNCTION("""COMPUTED_VALUE"""),"Good")</f>
        <v>Good</v>
      </c>
      <c r="S345" t="str">
        <f ca="1">IFERROR(__xludf.DUMMYFUNCTION("""COMPUTED_VALUE"""),"Good")</f>
        <v>Good</v>
      </c>
      <c r="T345" t="str">
        <f ca="1">IFERROR(__xludf.DUMMYFUNCTION("""COMPUTED_VALUE"""),"Good")</f>
        <v>Good</v>
      </c>
      <c r="U345" t="str">
        <f ca="1">IFERROR(__xludf.DUMMYFUNCTION("""COMPUTED_VALUE"""),"Good")</f>
        <v>Good</v>
      </c>
      <c r="V345" t="str">
        <f ca="1">IFERROR(__xludf.DUMMYFUNCTION("""COMPUTED_VALUE"""),"Good")</f>
        <v>Good</v>
      </c>
      <c r="W345" t="str">
        <f ca="1">IFERROR(__xludf.DUMMYFUNCTION("""COMPUTED_VALUE"""),"Good")</f>
        <v>Good</v>
      </c>
      <c r="X345" t="str">
        <f ca="1">IFERROR(__xludf.DUMMYFUNCTION("""COMPUTED_VALUE"""),"Good")</f>
        <v>Good</v>
      </c>
      <c r="Y345" t="str">
        <f ca="1">IFERROR(__xludf.DUMMYFUNCTION("""COMPUTED_VALUE"""),"Good")</f>
        <v>Good</v>
      </c>
      <c r="Z345" t="str">
        <f ca="1">IFERROR(__xludf.DUMMYFUNCTION("""COMPUTED_VALUE"""),"Good")</f>
        <v>Good</v>
      </c>
      <c r="AA345" t="str">
        <f ca="1">IFERROR(__xludf.DUMMYFUNCTION("""COMPUTED_VALUE"""),"Good")</f>
        <v>Good</v>
      </c>
      <c r="AB345" t="str">
        <f ca="1">IFERROR(__xludf.DUMMYFUNCTION("""COMPUTED_VALUE"""),"Good")</f>
        <v>Good</v>
      </c>
      <c r="AC345" t="str">
        <f ca="1">IFERROR(__xludf.DUMMYFUNCTION("""COMPUTED_VALUE"""),"Good")</f>
        <v>Good</v>
      </c>
      <c r="AE345" s="11"/>
      <c r="AF345" t="str">
        <v>Lia.Sansom@floridadep.gov</v>
      </c>
      <c r="AG345" s="17" t="s">
        <v>17</v>
      </c>
      <c r="AH345" s="12">
        <v>1300</v>
      </c>
      <c r="AI345" s="12" t="s">
        <v>983</v>
      </c>
      <c r="AJ345" s="19" t="s">
        <v>984</v>
      </c>
      <c r="AK345" s="20" t="str">
        <f>HYPERLINK("https://docs.google.com/document/d/1Id6Jld1KzxQlELFCsAZGsrQF5n3rtGtVgl9NJOHfP_4/edit?usp=drivesdk","Pamela Marcum - 7/30/2019 11:00 AM")</f>
        <v>Pamela Marcum - 7/30/2019 11:00 AM</v>
      </c>
      <c r="AL345" s="12" t="s">
        <v>985</v>
      </c>
    </row>
    <row r="346" spans="1:38" ht="12.75">
      <c r="A346" s="10">
        <f ca="1">IFERROR(__xludf.DUMMYFUNCTION("""COMPUTED_VALUE"""),43677.3534614004)</f>
        <v>43677.353461400402</v>
      </c>
      <c r="B346" s="11" t="str">
        <f ca="1">IFERROR(__xludf.DUMMYFUNCTION("""COMPUTED_VALUE"""),"James Tomazinis")</f>
        <v>James Tomazinis</v>
      </c>
      <c r="C346" t="str">
        <f ca="1">IFERROR(__xludf.DUMMYFUNCTION("""COMPUTED_VALUE"""),"james.tomazinis@floridadep.gov")</f>
        <v>james.tomazinis@floridadep.gov</v>
      </c>
      <c r="D346" t="str">
        <f ca="1">IFERROR(__xludf.DUMMYFUNCTION("""COMPUTED_VALUE"""),"Stewardship (Aquatic)")</f>
        <v>Stewardship (Aquatic)</v>
      </c>
      <c r="E346" t="str">
        <f ca="1">IFERROR(__xludf.DUMMYFUNCTION("""COMPUTED_VALUE"""),"Vilano")</f>
        <v>Vilano</v>
      </c>
      <c r="F346" s="13">
        <f ca="1">IFERROR(__xludf.DUMMYFUNCTION("""COMPUTED_VALUE"""),0.385416666667879)</f>
        <v>0.38541666666787899</v>
      </c>
      <c r="G346" s="14">
        <f ca="1">IFERROR(__xludf.DUMMYFUNCTION("""COMPUTED_VALUE"""),43677)</f>
        <v>43677</v>
      </c>
      <c r="H346" t="str">
        <f ca="1">IFERROR(__xludf.DUMMYFUNCTION("""COMPUTED_VALUE"""),"Matanzas nekton sites")</f>
        <v>Matanzas nekton sites</v>
      </c>
      <c r="I346" s="15">
        <f ca="1">IFERROR(__xludf.DUMMYFUNCTION("""COMPUTED_VALUE"""),0.70833333333212)</f>
        <v>0.70833333333212001</v>
      </c>
      <c r="J346" s="16"/>
      <c r="K346" t="str">
        <f ca="1">IFERROR(__xludf.DUMMYFUNCTION("""COMPUTED_VALUE"""),"23ft Skiff (Bertha) FL7972LJ DEP07613")</f>
        <v>23ft Skiff (Bertha) FL7972LJ DEP07613</v>
      </c>
      <c r="M346" t="str">
        <f ca="1">IFERROR(__xludf.DUMMYFUNCTION("""COMPUTED_VALUE"""),"Ford F250 2017 (Moby Dix) - DEP0021578")</f>
        <v>Ford F250 2017 (Moby Dix) - DEP0021578</v>
      </c>
      <c r="N346" t="str">
        <f ca="1">IFERROR(__xludf.DUMMYFUNCTION("""COMPUTED_VALUE"""),"Jimmy Tomazinis, (904) 547-0094")</f>
        <v>Jimmy Tomazinis, (904) 547-0094</v>
      </c>
      <c r="O346" t="str">
        <f ca="1">IFERROR(__xludf.DUMMYFUNCTION("""COMPUTED_VALUE"""),"Amy Brownfield, Alicia Bishop, Suzi Porterfield, Cameron Rumsey")</f>
        <v>Amy Brownfield, Alicia Bishop, Suzi Porterfield, Cameron Rumsey</v>
      </c>
      <c r="P346" t="str">
        <f ca="1">IFERROR(__xludf.DUMMYFUNCTION("""COMPUTED_VALUE"""),"Jimmy")</f>
        <v>Jimmy</v>
      </c>
      <c r="Q346" t="str">
        <f ca="1">IFERROR(__xludf.DUMMYFUNCTION("""COMPUTED_VALUE"""),"Good")</f>
        <v>Good</v>
      </c>
      <c r="R346" t="str">
        <f ca="1">IFERROR(__xludf.DUMMYFUNCTION("""COMPUTED_VALUE"""),"Good")</f>
        <v>Good</v>
      </c>
      <c r="S346" t="str">
        <f ca="1">IFERROR(__xludf.DUMMYFUNCTION("""COMPUTED_VALUE"""),"Good")</f>
        <v>Good</v>
      </c>
      <c r="T346" t="str">
        <f ca="1">IFERROR(__xludf.DUMMYFUNCTION("""COMPUTED_VALUE"""),"Good")</f>
        <v>Good</v>
      </c>
      <c r="U346" t="str">
        <f ca="1">IFERROR(__xludf.DUMMYFUNCTION("""COMPUTED_VALUE"""),"Good")</f>
        <v>Good</v>
      </c>
      <c r="V346" t="str">
        <f ca="1">IFERROR(__xludf.DUMMYFUNCTION("""COMPUTED_VALUE"""),"Good")</f>
        <v>Good</v>
      </c>
      <c r="W346" t="str">
        <f ca="1">IFERROR(__xludf.DUMMYFUNCTION("""COMPUTED_VALUE"""),"Good")</f>
        <v>Good</v>
      </c>
      <c r="X346" t="str">
        <f ca="1">IFERROR(__xludf.DUMMYFUNCTION("""COMPUTED_VALUE"""),"Good")</f>
        <v>Good</v>
      </c>
      <c r="Y346" t="str">
        <f ca="1">IFERROR(__xludf.DUMMYFUNCTION("""COMPUTED_VALUE"""),"Good")</f>
        <v>Good</v>
      </c>
      <c r="Z346" t="str">
        <f ca="1">IFERROR(__xludf.DUMMYFUNCTION("""COMPUTED_VALUE"""),"Good")</f>
        <v>Good</v>
      </c>
      <c r="AA346" t="str">
        <f ca="1">IFERROR(__xludf.DUMMYFUNCTION("""COMPUTED_VALUE"""),"Good")</f>
        <v>Good</v>
      </c>
      <c r="AB346" t="str">
        <f ca="1">IFERROR(__xludf.DUMMYFUNCTION("""COMPUTED_VALUE"""),"Good")</f>
        <v>Good</v>
      </c>
      <c r="AC346" t="str">
        <f ca="1">IFERROR(__xludf.DUMMYFUNCTION("""COMPUTED_VALUE"""),"Good")</f>
        <v>Good</v>
      </c>
      <c r="AE346" s="11"/>
      <c r="AF346" t="str">
        <v>Scott.Eastman@floridadep.gov</v>
      </c>
      <c r="AG346" s="17" t="s">
        <v>21</v>
      </c>
      <c r="AH346" s="12">
        <v>1800</v>
      </c>
      <c r="AI346" s="12" t="s">
        <v>986</v>
      </c>
      <c r="AJ346" s="19" t="s">
        <v>987</v>
      </c>
      <c r="AK346" s="20" t="str">
        <f>HYPERLINK("https://docs.google.com/document/d/1dcxw6xlXtPDlo4G3zVliHM7eYEMWU9U5ZU03DGzm4Y4/edit?usp=drivesdk","James Tomazinis - 7/31/2019 9:15 AM")</f>
        <v>James Tomazinis - 7/31/2019 9:15 AM</v>
      </c>
      <c r="AL346" s="12" t="s">
        <v>988</v>
      </c>
    </row>
    <row r="347" spans="1:38" ht="12.75">
      <c r="A347" s="10">
        <f ca="1">IFERROR(__xludf.DUMMYFUNCTION("""COMPUTED_VALUE"""),43678.598216192)</f>
        <v>43678.598216192098</v>
      </c>
      <c r="B347" s="11" t="str">
        <f ca="1">IFERROR(__xludf.DUMMYFUNCTION("""COMPUTED_VALUE"""),"Pam Marcum")</f>
        <v>Pam Marcum</v>
      </c>
      <c r="C347" t="str">
        <f ca="1">IFERROR(__xludf.DUMMYFUNCTION("""COMPUTED_VALUE"""),"Pamela.Marcum@floridadep.gov")</f>
        <v>Pamela.Marcum@floridadep.gov</v>
      </c>
      <c r="D347" t="str">
        <f ca="1">IFERROR(__xludf.DUMMYFUNCTION("""COMPUTED_VALUE"""),"Research/Nikki")</f>
        <v>Research/Nikki</v>
      </c>
      <c r="E347" t="str">
        <f ca="1">IFERROR(__xludf.DUMMYFUNCTION("""COMPUTED_VALUE"""),"Aunt Kate's")</f>
        <v>Aunt Kate's</v>
      </c>
      <c r="F347" s="13">
        <f ca="1">IFERROR(__xludf.DUMMYFUNCTION("""COMPUTED_VALUE"""),0.625)</f>
        <v>0.625</v>
      </c>
      <c r="G347" s="14">
        <f ca="1">IFERROR(__xludf.DUMMYFUNCTION("""COMPUTED_VALUE"""),43678)</f>
        <v>43678</v>
      </c>
      <c r="H347" t="str">
        <f ca="1">IFERROR(__xludf.DUMMYFUNCTION("""COMPUTED_VALUE"""),"Guana and Tolomato Rivers")</f>
        <v>Guana and Tolomato Rivers</v>
      </c>
      <c r="I347" s="15">
        <f ca="1">IFERROR(__xludf.DUMMYFUNCTION("""COMPUTED_VALUE"""),0.791666666667879)</f>
        <v>0.79166666666787899</v>
      </c>
      <c r="J347" s="16">
        <f ca="1">IFERROR(__xludf.DUMMYFUNCTION("""COMPUTED_VALUE"""),43678.8125)</f>
        <v>43678.8125</v>
      </c>
      <c r="K347" t="str">
        <f ca="1">IFERROR(__xludf.DUMMYFUNCTION("""COMPUTED_VALUE"""),"23ft Skiff (Bertha) FL7972LJ DEP07613")</f>
        <v>23ft Skiff (Bertha) FL7972LJ DEP07613</v>
      </c>
      <c r="M347" t="str">
        <f ca="1">IFERROR(__xludf.DUMMYFUNCTION("""COMPUTED_VALUE"""),"Ford F250 2017 (Moby Dix) - DEP0021578")</f>
        <v>Ford F250 2017 (Moby Dix) - DEP0021578</v>
      </c>
      <c r="N347" t="str">
        <f ca="1">IFERROR(__xludf.DUMMYFUNCTION("""COMPUTED_VALUE"""),"Pam Marcum, (480) 332-5414")</f>
        <v>Pam Marcum, (480) 332-5414</v>
      </c>
      <c r="O347" t="str">
        <f ca="1">IFERROR(__xludf.DUMMYFUNCTION("""COMPUTED_VALUE"""),"Adrienne Breef-Pilz, Nicole Peckham, Allison Noble")</f>
        <v>Adrienne Breef-Pilz, Nicole Peckham, Allison Noble</v>
      </c>
      <c r="P347" t="str">
        <f ca="1">IFERROR(__xludf.DUMMYFUNCTION("""COMPUTED_VALUE"""),"Pam")</f>
        <v>Pam</v>
      </c>
      <c r="Q347" t="str">
        <f ca="1">IFERROR(__xludf.DUMMYFUNCTION("""COMPUTED_VALUE"""),"Good")</f>
        <v>Good</v>
      </c>
      <c r="R347" t="str">
        <f ca="1">IFERROR(__xludf.DUMMYFUNCTION("""COMPUTED_VALUE"""),"Good")</f>
        <v>Good</v>
      </c>
      <c r="S347" t="str">
        <f ca="1">IFERROR(__xludf.DUMMYFUNCTION("""COMPUTED_VALUE"""),"Good")</f>
        <v>Good</v>
      </c>
      <c r="T347" t="str">
        <f ca="1">IFERROR(__xludf.DUMMYFUNCTION("""COMPUTED_VALUE"""),"Good")</f>
        <v>Good</v>
      </c>
      <c r="U347" t="str">
        <f ca="1">IFERROR(__xludf.DUMMYFUNCTION("""COMPUTED_VALUE"""),"Good")</f>
        <v>Good</v>
      </c>
      <c r="V347" t="str">
        <f ca="1">IFERROR(__xludf.DUMMYFUNCTION("""COMPUTED_VALUE"""),"Good")</f>
        <v>Good</v>
      </c>
      <c r="W347" t="str">
        <f ca="1">IFERROR(__xludf.DUMMYFUNCTION("""COMPUTED_VALUE"""),"Good")</f>
        <v>Good</v>
      </c>
      <c r="X347" t="str">
        <f ca="1">IFERROR(__xludf.DUMMYFUNCTION("""COMPUTED_VALUE"""),"Good")</f>
        <v>Good</v>
      </c>
      <c r="Y347" t="str">
        <f ca="1">IFERROR(__xludf.DUMMYFUNCTION("""COMPUTED_VALUE"""),"Good")</f>
        <v>Good</v>
      </c>
      <c r="Z347" t="str">
        <f ca="1">IFERROR(__xludf.DUMMYFUNCTION("""COMPUTED_VALUE"""),"Good")</f>
        <v>Good</v>
      </c>
      <c r="AA347" t="str">
        <f ca="1">IFERROR(__xludf.DUMMYFUNCTION("""COMPUTED_VALUE"""),"Good")</f>
        <v>Good</v>
      </c>
      <c r="AB347" t="str">
        <f ca="1">IFERROR(__xludf.DUMMYFUNCTION("""COMPUTED_VALUE"""),"Good")</f>
        <v>Good</v>
      </c>
      <c r="AC347" t="str">
        <f ca="1">IFERROR(__xludf.DUMMYFUNCTION("""COMPUTED_VALUE"""),"Good")</f>
        <v>Good</v>
      </c>
      <c r="AE347" s="11"/>
      <c r="AF347" t="str">
        <v>Nikki.Dix@floridadep.gov</v>
      </c>
      <c r="AG347" s="17" t="s">
        <v>41</v>
      </c>
      <c r="AH347" s="12">
        <v>1820</v>
      </c>
      <c r="AI347" s="12" t="s">
        <v>989</v>
      </c>
      <c r="AJ347" s="19" t="s">
        <v>990</v>
      </c>
      <c r="AK347" s="20" t="str">
        <f>HYPERLINK("https://docs.google.com/document/d/1jxJbOyJ-efuz4tHXDy8L3GTN2d42synPAf0a9KwhPj4/edit?usp=drivesdk","Pam Marcum - 8/1/2019 3:00 PM")</f>
        <v>Pam Marcum - 8/1/2019 3:00 PM</v>
      </c>
      <c r="AL347" s="12" t="s">
        <v>991</v>
      </c>
    </row>
    <row r="348" spans="1:38" ht="12.75">
      <c r="A348" s="10">
        <f ca="1">IFERROR(__xludf.DUMMYFUNCTION("""COMPUTED_VALUE"""),43682.5948932986)</f>
        <v>43682.594893298599</v>
      </c>
      <c r="B348" s="11" t="str">
        <f ca="1">IFERROR(__xludf.DUMMYFUNCTION("""COMPUTED_VALUE"""),"Jimmy")</f>
        <v>Jimmy</v>
      </c>
      <c r="C348" t="str">
        <f ca="1">IFERROR(__xludf.DUMMYFUNCTION("""COMPUTED_VALUE"""),"james.tomazinis@floridadep.gov")</f>
        <v>james.tomazinis@floridadep.gov</v>
      </c>
      <c r="D348" t="str">
        <f ca="1">IFERROR(__xludf.DUMMYFUNCTION("""COMPUTED_VALUE"""),"Stewardship (Aquatic)")</f>
        <v>Stewardship (Aquatic)</v>
      </c>
      <c r="E348" t="str">
        <f ca="1">IFERROR(__xludf.DUMMYFUNCTION("""COMPUTED_VALUE"""),"Vilano")</f>
        <v>Vilano</v>
      </c>
      <c r="F348" s="13">
        <f ca="1">IFERROR(__xludf.DUMMYFUNCTION("""COMPUTED_VALUE"""),0.375)</f>
        <v>0.375</v>
      </c>
      <c r="G348" s="14">
        <f ca="1">IFERROR(__xludf.DUMMYFUNCTION("""COMPUTED_VALUE"""),43683)</f>
        <v>43683</v>
      </c>
      <c r="H348" t="str">
        <f ca="1">IFERROR(__xludf.DUMMYFUNCTION("""COMPUTED_VALUE"""),"Tolomato Nekton sites")</f>
        <v>Tolomato Nekton sites</v>
      </c>
      <c r="I348" s="15">
        <f ca="1">IFERROR(__xludf.DUMMYFUNCTION("""COMPUTED_VALUE"""),0.666666666667879)</f>
        <v>0.66666666666787899</v>
      </c>
      <c r="J348" s="16"/>
      <c r="K348" t="str">
        <f ca="1">IFERROR(__xludf.DUMMYFUNCTION("""COMPUTED_VALUE"""),"23ft Skiff (Bertha) FL7972LJ DEP07613")</f>
        <v>23ft Skiff (Bertha) FL7972LJ DEP07613</v>
      </c>
      <c r="M348" t="str">
        <f ca="1">IFERROR(__xludf.DUMMYFUNCTION("""COMPUTED_VALUE"""),"Ford F150 2015 (White) - DEP21448")</f>
        <v>Ford F150 2015 (White) - DEP21448</v>
      </c>
      <c r="N348" t="str">
        <f ca="1">IFERROR(__xludf.DUMMYFUNCTION("""COMPUTED_VALUE"""),"Jimmy Tomazinis, (904) 547-0094")</f>
        <v>Jimmy Tomazinis, (904) 547-0094</v>
      </c>
      <c r="O348" t="str">
        <f ca="1">IFERROR(__xludf.DUMMYFUNCTION("""COMPUTED_VALUE"""),"Suzi, Matthew, Will, Andy, Molly, Cameron")</f>
        <v>Suzi, Matthew, Will, Andy, Molly, Cameron</v>
      </c>
      <c r="P348" t="str">
        <f ca="1">IFERROR(__xludf.DUMMYFUNCTION("""COMPUTED_VALUE"""),"Jimmy")</f>
        <v>Jimmy</v>
      </c>
      <c r="Q348" t="str">
        <f ca="1">IFERROR(__xludf.DUMMYFUNCTION("""COMPUTED_VALUE"""),"Good")</f>
        <v>Good</v>
      </c>
      <c r="R348" t="str">
        <f ca="1">IFERROR(__xludf.DUMMYFUNCTION("""COMPUTED_VALUE"""),"Good")</f>
        <v>Good</v>
      </c>
      <c r="S348" t="str">
        <f ca="1">IFERROR(__xludf.DUMMYFUNCTION("""COMPUTED_VALUE"""),"Good")</f>
        <v>Good</v>
      </c>
      <c r="T348" t="str">
        <f ca="1">IFERROR(__xludf.DUMMYFUNCTION("""COMPUTED_VALUE"""),"Good")</f>
        <v>Good</v>
      </c>
      <c r="U348" t="str">
        <f ca="1">IFERROR(__xludf.DUMMYFUNCTION("""COMPUTED_VALUE"""),"Good")</f>
        <v>Good</v>
      </c>
      <c r="V348" t="str">
        <f ca="1">IFERROR(__xludf.DUMMYFUNCTION("""COMPUTED_VALUE"""),"Good")</f>
        <v>Good</v>
      </c>
      <c r="W348" t="str">
        <f ca="1">IFERROR(__xludf.DUMMYFUNCTION("""COMPUTED_VALUE"""),"Good")</f>
        <v>Good</v>
      </c>
      <c r="X348" t="str">
        <f ca="1">IFERROR(__xludf.DUMMYFUNCTION("""COMPUTED_VALUE"""),"Good")</f>
        <v>Good</v>
      </c>
      <c r="Y348" t="str">
        <f ca="1">IFERROR(__xludf.DUMMYFUNCTION("""COMPUTED_VALUE"""),"Good")</f>
        <v>Good</v>
      </c>
      <c r="Z348" t="str">
        <f ca="1">IFERROR(__xludf.DUMMYFUNCTION("""COMPUTED_VALUE"""),"Good")</f>
        <v>Good</v>
      </c>
      <c r="AA348" t="str">
        <f ca="1">IFERROR(__xludf.DUMMYFUNCTION("""COMPUTED_VALUE"""),"Good")</f>
        <v>Good</v>
      </c>
      <c r="AB348" t="str">
        <f ca="1">IFERROR(__xludf.DUMMYFUNCTION("""COMPUTED_VALUE"""),"Good")</f>
        <v>Good</v>
      </c>
      <c r="AC348" t="str">
        <f ca="1">IFERROR(__xludf.DUMMYFUNCTION("""COMPUTED_VALUE"""),"Good")</f>
        <v>Good</v>
      </c>
      <c r="AE348" s="11"/>
      <c r="AF348" t="str">
        <v>Scott.Eastman@floridadep.gov</v>
      </c>
      <c r="AG348" s="18"/>
      <c r="AI348" s="12" t="s">
        <v>992</v>
      </c>
      <c r="AJ348" s="19" t="s">
        <v>993</v>
      </c>
      <c r="AK348" s="20" t="str">
        <f>HYPERLINK("https://docs.google.com/document/d/1E9aNIH6mCOOIwAQV51kZmcxa6B48JuJxjrm7UDpXd2w/edit?usp=drivesdk","Jimmy - 8/6/2019 9:00 AM")</f>
        <v>Jimmy - 8/6/2019 9:00 AM</v>
      </c>
      <c r="AL348" s="12" t="s">
        <v>994</v>
      </c>
    </row>
    <row r="349" spans="1:38" ht="12.75">
      <c r="A349" s="10">
        <f ca="1">IFERROR(__xludf.DUMMYFUNCTION("""COMPUTED_VALUE"""),43683.2852931481)</f>
        <v>43683.285293148103</v>
      </c>
      <c r="B349" s="11" t="str">
        <f ca="1">IFERROR(__xludf.DUMMYFUNCTION("""COMPUTED_VALUE"""),"Pam Marcum")</f>
        <v>Pam Marcum</v>
      </c>
      <c r="C349" t="str">
        <f ca="1">IFERROR(__xludf.DUMMYFUNCTION("""COMPUTED_VALUE"""),"Pamela.Marcum@floridadep.gov")</f>
        <v>Pamela.Marcum@floridadep.gov</v>
      </c>
      <c r="D349" t="str">
        <f ca="1">IFERROR(__xludf.DUMMYFUNCTION("""COMPUTED_VALUE"""),"Research/Nikki")</f>
        <v>Research/Nikki</v>
      </c>
      <c r="E349" t="str">
        <f ca="1">IFERROR(__xludf.DUMMYFUNCTION("""COMPUTED_VALUE"""),"Shore Dr")</f>
        <v>Shore Dr</v>
      </c>
      <c r="F349" s="13">
        <f ca="1">IFERROR(__xludf.DUMMYFUNCTION("""COMPUTED_VALUE"""),0.291666666667879)</f>
        <v>0.29166666666787899</v>
      </c>
      <c r="G349" s="14">
        <f ca="1">IFERROR(__xludf.DUMMYFUNCTION("""COMPUTED_VALUE"""),43683)</f>
        <v>43683</v>
      </c>
      <c r="H349" t="str">
        <f ca="1">IFERROR(__xludf.DUMMYFUNCTION("""COMPUTED_VALUE"""),"Gabby/marsh creek")</f>
        <v>Gabby/marsh creek</v>
      </c>
      <c r="I349" s="15">
        <f ca="1">IFERROR(__xludf.DUMMYFUNCTION("""COMPUTED_VALUE"""),0.58333333333212)</f>
        <v>0.58333333333212001</v>
      </c>
      <c r="J349" s="16">
        <f ca="1">IFERROR(__xludf.DUMMYFUNCTION("""COMPUTED_VALUE"""),43683.625)</f>
        <v>43683.625</v>
      </c>
      <c r="K349" t="str">
        <f ca="1">IFERROR(__xludf.DUMMYFUNCTION("""COMPUTED_VALUE"""),"17ft Skill FL0642GW DEP07239")</f>
        <v>17ft Skill FL0642GW DEP07239</v>
      </c>
      <c r="M349" t="str">
        <f ca="1">IFERROR(__xludf.DUMMYFUNCTION("""COMPUTED_VALUE"""),"Ford F250 2017 (Moby Dix) - DEP0021578")</f>
        <v>Ford F250 2017 (Moby Dix) - DEP0021578</v>
      </c>
      <c r="N349" t="str">
        <f ca="1">IFERROR(__xludf.DUMMYFUNCTION("""COMPUTED_VALUE"""),"Pam Marcum, (480) 332-5414")</f>
        <v>Pam Marcum, (480) 332-5414</v>
      </c>
      <c r="O349" t="str">
        <f ca="1">IFERROR(__xludf.DUMMYFUNCTION("""COMPUTED_VALUE"""),"Alee Knoell, Gabby Canas, Therese Adgie, Emily Geoghegan")</f>
        <v>Alee Knoell, Gabby Canas, Therese Adgie, Emily Geoghegan</v>
      </c>
      <c r="P349" t="str">
        <f ca="1">IFERROR(__xludf.DUMMYFUNCTION("""COMPUTED_VALUE"""),"Pam")</f>
        <v>Pam</v>
      </c>
      <c r="Q349" t="str">
        <f ca="1">IFERROR(__xludf.DUMMYFUNCTION("""COMPUTED_VALUE"""),"Good")</f>
        <v>Good</v>
      </c>
      <c r="R349" t="str">
        <f ca="1">IFERROR(__xludf.DUMMYFUNCTION("""COMPUTED_VALUE"""),"Good")</f>
        <v>Good</v>
      </c>
      <c r="S349" t="str">
        <f ca="1">IFERROR(__xludf.DUMMYFUNCTION("""COMPUTED_VALUE"""),"Good")</f>
        <v>Good</v>
      </c>
      <c r="T349" t="str">
        <f ca="1">IFERROR(__xludf.DUMMYFUNCTION("""COMPUTED_VALUE"""),"Good")</f>
        <v>Good</v>
      </c>
      <c r="U349" t="str">
        <f ca="1">IFERROR(__xludf.DUMMYFUNCTION("""COMPUTED_VALUE"""),"Good")</f>
        <v>Good</v>
      </c>
      <c r="V349" t="str">
        <f ca="1">IFERROR(__xludf.DUMMYFUNCTION("""COMPUTED_VALUE"""),"Good")</f>
        <v>Good</v>
      </c>
      <c r="W349" t="str">
        <f ca="1">IFERROR(__xludf.DUMMYFUNCTION("""COMPUTED_VALUE"""),"Good")</f>
        <v>Good</v>
      </c>
      <c r="X349" t="str">
        <f ca="1">IFERROR(__xludf.DUMMYFUNCTION("""COMPUTED_VALUE"""),"Good")</f>
        <v>Good</v>
      </c>
      <c r="Y349" t="str">
        <f ca="1">IFERROR(__xludf.DUMMYFUNCTION("""COMPUTED_VALUE"""),"Good")</f>
        <v>Good</v>
      </c>
      <c r="Z349" t="str">
        <f ca="1">IFERROR(__xludf.DUMMYFUNCTION("""COMPUTED_VALUE"""),"Good")</f>
        <v>Good</v>
      </c>
      <c r="AA349" t="str">
        <f ca="1">IFERROR(__xludf.DUMMYFUNCTION("""COMPUTED_VALUE"""),"Good")</f>
        <v>Good</v>
      </c>
      <c r="AB349" t="str">
        <f ca="1">IFERROR(__xludf.DUMMYFUNCTION("""COMPUTED_VALUE"""),"Good")</f>
        <v>Good</v>
      </c>
      <c r="AC349" t="str">
        <f ca="1">IFERROR(__xludf.DUMMYFUNCTION("""COMPUTED_VALUE"""),"Good")</f>
        <v>Good</v>
      </c>
      <c r="AE349" s="11"/>
      <c r="AF349" t="str">
        <v>Nikki.Dix@floridadep.gov</v>
      </c>
      <c r="AG349" s="17" t="s">
        <v>126</v>
      </c>
      <c r="AH349" s="12">
        <v>1358</v>
      </c>
      <c r="AI349" s="12" t="s">
        <v>995</v>
      </c>
      <c r="AJ349" s="19" t="s">
        <v>996</v>
      </c>
      <c r="AK349" s="20" t="str">
        <f>HYPERLINK("https://docs.google.com/document/d/1UHxq4c6sGkIXHA_Cj_Kx_dd2yABgFStnfCZ4va8AwCQ/edit?usp=drivesdk","Pam Marcum - 8/6/2019 7:00 AM")</f>
        <v>Pam Marcum - 8/6/2019 7:00 AM</v>
      </c>
      <c r="AL349" s="12" t="s">
        <v>997</v>
      </c>
    </row>
    <row r="350" spans="1:38" ht="12.75">
      <c r="A350" s="10">
        <f ca="1">IFERROR(__xludf.DUMMYFUNCTION("""COMPUTED_VALUE"""),43683.7021059606)</f>
        <v>43683.702105960598</v>
      </c>
      <c r="B350" s="11" t="str">
        <f ca="1">IFERROR(__xludf.DUMMYFUNCTION("""COMPUTED_VALUE"""),"Jimmy")</f>
        <v>Jimmy</v>
      </c>
      <c r="C350" t="str">
        <f ca="1">IFERROR(__xludf.DUMMYFUNCTION("""COMPUTED_VALUE"""),"james.tomazinis@floridadep.gov")</f>
        <v>james.tomazinis@floridadep.gov</v>
      </c>
      <c r="D350" t="str">
        <f ca="1">IFERROR(__xludf.DUMMYFUNCTION("""COMPUTED_VALUE"""),"Stewardship (Aquatic)")</f>
        <v>Stewardship (Aquatic)</v>
      </c>
      <c r="E350" t="str">
        <f ca="1">IFERROR(__xludf.DUMMYFUNCTION("""COMPUTED_VALUE"""),"Vilano")</f>
        <v>Vilano</v>
      </c>
      <c r="F350" s="13">
        <f ca="1">IFERROR(__xludf.DUMMYFUNCTION("""COMPUTED_VALUE"""),0.385416666667879)</f>
        <v>0.38541666666787899</v>
      </c>
      <c r="G350" s="14">
        <f ca="1">IFERROR(__xludf.DUMMYFUNCTION("""COMPUTED_VALUE"""),43684)</f>
        <v>43684</v>
      </c>
      <c r="H350" t="str">
        <f ca="1">IFERROR(__xludf.DUMMYFUNCTION("""COMPUTED_VALUE"""),"Tolomato and Matanzas Nekton Sites")</f>
        <v>Tolomato and Matanzas Nekton Sites</v>
      </c>
      <c r="I350" s="15">
        <f ca="1">IFERROR(__xludf.DUMMYFUNCTION("""COMPUTED_VALUE"""),0.666666666667879)</f>
        <v>0.66666666666787899</v>
      </c>
      <c r="J350" s="16"/>
      <c r="K350" t="str">
        <f ca="1">IFERROR(__xludf.DUMMYFUNCTION("""COMPUTED_VALUE"""),"23ft Skiff (Bertha) FL7972LJ DEP07613")</f>
        <v>23ft Skiff (Bertha) FL7972LJ DEP07613</v>
      </c>
      <c r="M350" t="str">
        <f ca="1">IFERROR(__xludf.DUMMYFUNCTION("""COMPUTED_VALUE"""),"Ford F150 2015 (White) - DEP21448")</f>
        <v>Ford F150 2015 (White) - DEP21448</v>
      </c>
      <c r="N350" t="str">
        <f ca="1">IFERROR(__xludf.DUMMYFUNCTION("""COMPUTED_VALUE"""),"Jimmy Tomazinis, (904) 547-0094")</f>
        <v>Jimmy Tomazinis, (904) 547-0094</v>
      </c>
      <c r="O350" t="str">
        <f ca="1">IFERROR(__xludf.DUMMYFUNCTION("""COMPUTED_VALUE"""),"Scott Eastman, (904) 501-9267, Suzi, Cameron, Zach, Jeff, Jim")</f>
        <v>Scott Eastman, (904) 501-9267, Suzi, Cameron, Zach, Jeff, Jim</v>
      </c>
      <c r="P350" t="str">
        <f ca="1">IFERROR(__xludf.DUMMYFUNCTION("""COMPUTED_VALUE"""),"Jimmy")</f>
        <v>Jimmy</v>
      </c>
      <c r="Q350" t="str">
        <f ca="1">IFERROR(__xludf.DUMMYFUNCTION("""COMPUTED_VALUE"""),"Good")</f>
        <v>Good</v>
      </c>
      <c r="R350" t="str">
        <f ca="1">IFERROR(__xludf.DUMMYFUNCTION("""COMPUTED_VALUE"""),"Good")</f>
        <v>Good</v>
      </c>
      <c r="S350" t="str">
        <f ca="1">IFERROR(__xludf.DUMMYFUNCTION("""COMPUTED_VALUE"""),"Good")</f>
        <v>Good</v>
      </c>
      <c r="T350" t="str">
        <f ca="1">IFERROR(__xludf.DUMMYFUNCTION("""COMPUTED_VALUE"""),"Good")</f>
        <v>Good</v>
      </c>
      <c r="U350" t="str">
        <f ca="1">IFERROR(__xludf.DUMMYFUNCTION("""COMPUTED_VALUE"""),"Good")</f>
        <v>Good</v>
      </c>
      <c r="V350" t="str">
        <f ca="1">IFERROR(__xludf.DUMMYFUNCTION("""COMPUTED_VALUE"""),"Good")</f>
        <v>Good</v>
      </c>
      <c r="W350" t="str">
        <f ca="1">IFERROR(__xludf.DUMMYFUNCTION("""COMPUTED_VALUE"""),"Good")</f>
        <v>Good</v>
      </c>
      <c r="X350" t="str">
        <f ca="1">IFERROR(__xludf.DUMMYFUNCTION("""COMPUTED_VALUE"""),"Good")</f>
        <v>Good</v>
      </c>
      <c r="Y350" t="str">
        <f ca="1">IFERROR(__xludf.DUMMYFUNCTION("""COMPUTED_VALUE"""),"Good")</f>
        <v>Good</v>
      </c>
      <c r="Z350" t="str">
        <f ca="1">IFERROR(__xludf.DUMMYFUNCTION("""COMPUTED_VALUE"""),"Good")</f>
        <v>Good</v>
      </c>
      <c r="AA350" t="str">
        <f ca="1">IFERROR(__xludf.DUMMYFUNCTION("""COMPUTED_VALUE"""),"Good")</f>
        <v>Good</v>
      </c>
      <c r="AB350" t="str">
        <f ca="1">IFERROR(__xludf.DUMMYFUNCTION("""COMPUTED_VALUE"""),"Good")</f>
        <v>Good</v>
      </c>
      <c r="AC350" t="str">
        <f ca="1">IFERROR(__xludf.DUMMYFUNCTION("""COMPUTED_VALUE"""),"Good")</f>
        <v>Good</v>
      </c>
      <c r="AE350" s="11"/>
      <c r="AF350" t="str">
        <v>Scott.Eastman@floridadep.gov</v>
      </c>
      <c r="AG350" s="17" t="s">
        <v>17</v>
      </c>
      <c r="AH350" s="12">
        <v>1430</v>
      </c>
      <c r="AI350" s="12" t="s">
        <v>998</v>
      </c>
      <c r="AJ350" s="19" t="s">
        <v>999</v>
      </c>
      <c r="AK350" s="20" t="str">
        <f>HYPERLINK("https://docs.google.com/document/d/1nsjrzaiK-XGxSSZHB42jsZNNYxbyV3RJtQXB9v-oEB4/edit?usp=drivesdk","Jimmy - 8/7/2019 9:15 AM")</f>
        <v>Jimmy - 8/7/2019 9:15 AM</v>
      </c>
      <c r="AL350" s="12" t="s">
        <v>1000</v>
      </c>
    </row>
    <row r="351" spans="1:38" ht="12.75">
      <c r="A351" s="10">
        <f ca="1">IFERROR(__xludf.DUMMYFUNCTION("""COMPUTED_VALUE"""),43684.68938728)</f>
        <v>43684.689387279999</v>
      </c>
      <c r="B351" s="11" t="str">
        <f ca="1">IFERROR(__xludf.DUMMYFUNCTION("""COMPUTED_VALUE"""),"Jimmy")</f>
        <v>Jimmy</v>
      </c>
      <c r="C351" t="str">
        <f ca="1">IFERROR(__xludf.DUMMYFUNCTION("""COMPUTED_VALUE"""),"james.tomazinis@floridadep.gov")</f>
        <v>james.tomazinis@floridadep.gov</v>
      </c>
      <c r="D351" t="str">
        <f ca="1">IFERROR(__xludf.DUMMYFUNCTION("""COMPUTED_VALUE"""),"Stewardship (Aquatic)")</f>
        <v>Stewardship (Aquatic)</v>
      </c>
      <c r="E351" t="str">
        <f ca="1">IFERROR(__xludf.DUMMYFUNCTION("""COMPUTED_VALUE"""),"Bings")</f>
        <v>Bings</v>
      </c>
      <c r="F351" s="13">
        <f ca="1">IFERROR(__xludf.DUMMYFUNCTION("""COMPUTED_VALUE"""),0.416666666667879)</f>
        <v>0.41666666666787899</v>
      </c>
      <c r="G351" s="14">
        <f ca="1">IFERROR(__xludf.DUMMYFUNCTION("""COMPUTED_VALUE"""),43685)</f>
        <v>43685</v>
      </c>
      <c r="H351" t="str">
        <f ca="1">IFERROR(__xludf.DUMMYFUNCTION("""COMPUTED_VALUE"""),"Matanzas Nekton sites")</f>
        <v>Matanzas Nekton sites</v>
      </c>
      <c r="I351" s="15">
        <f ca="1">IFERROR(__xludf.DUMMYFUNCTION("""COMPUTED_VALUE"""),0.666666666667879)</f>
        <v>0.66666666666787899</v>
      </c>
      <c r="J351" s="16"/>
      <c r="K351" t="str">
        <f ca="1">IFERROR(__xludf.DUMMYFUNCTION("""COMPUTED_VALUE"""),"23ft Skiff (Bertha) FL7972LJ DEP07613")</f>
        <v>23ft Skiff (Bertha) FL7972LJ DEP07613</v>
      </c>
      <c r="M351" t="str">
        <f ca="1">IFERROR(__xludf.DUMMYFUNCTION("""COMPUTED_VALUE"""),"Ford F150 2015 (White) - DEP21448")</f>
        <v>Ford F150 2015 (White) - DEP21448</v>
      </c>
      <c r="N351" t="str">
        <f ca="1">IFERROR(__xludf.DUMMYFUNCTION("""COMPUTED_VALUE"""),"Jimmy Tomazinis, (904) 547-0094")</f>
        <v>Jimmy Tomazinis, (904) 547-0094</v>
      </c>
      <c r="O351" t="str">
        <f ca="1">IFERROR(__xludf.DUMMYFUNCTION("""COMPUTED_VALUE"""),"Scott Eastman, (904) 501-9267, Suzi, Andy, Jeff, Cameron, ")</f>
        <v xml:space="preserve">Scott Eastman, (904) 501-9267, Suzi, Andy, Jeff, Cameron, </v>
      </c>
      <c r="P351" t="str">
        <f ca="1">IFERROR(__xludf.DUMMYFUNCTION("""COMPUTED_VALUE"""),"Jimmy")</f>
        <v>Jimmy</v>
      </c>
      <c r="Q351" t="str">
        <f ca="1">IFERROR(__xludf.DUMMYFUNCTION("""COMPUTED_VALUE"""),"Good")</f>
        <v>Good</v>
      </c>
      <c r="R351" t="str">
        <f ca="1">IFERROR(__xludf.DUMMYFUNCTION("""COMPUTED_VALUE"""),"Good")</f>
        <v>Good</v>
      </c>
      <c r="S351" t="str">
        <f ca="1">IFERROR(__xludf.DUMMYFUNCTION("""COMPUTED_VALUE"""),"Good")</f>
        <v>Good</v>
      </c>
      <c r="T351" t="str">
        <f ca="1">IFERROR(__xludf.DUMMYFUNCTION("""COMPUTED_VALUE"""),"Good")</f>
        <v>Good</v>
      </c>
      <c r="U351" t="str">
        <f ca="1">IFERROR(__xludf.DUMMYFUNCTION("""COMPUTED_VALUE"""),"Good")</f>
        <v>Good</v>
      </c>
      <c r="V351" t="str">
        <f ca="1">IFERROR(__xludf.DUMMYFUNCTION("""COMPUTED_VALUE"""),"Good")</f>
        <v>Good</v>
      </c>
      <c r="W351" t="str">
        <f ca="1">IFERROR(__xludf.DUMMYFUNCTION("""COMPUTED_VALUE"""),"Good")</f>
        <v>Good</v>
      </c>
      <c r="X351" t="str">
        <f ca="1">IFERROR(__xludf.DUMMYFUNCTION("""COMPUTED_VALUE"""),"Good")</f>
        <v>Good</v>
      </c>
      <c r="Y351" t="str">
        <f ca="1">IFERROR(__xludf.DUMMYFUNCTION("""COMPUTED_VALUE"""),"Good")</f>
        <v>Good</v>
      </c>
      <c r="Z351" t="str">
        <f ca="1">IFERROR(__xludf.DUMMYFUNCTION("""COMPUTED_VALUE"""),"Good")</f>
        <v>Good</v>
      </c>
      <c r="AA351" t="str">
        <f ca="1">IFERROR(__xludf.DUMMYFUNCTION("""COMPUTED_VALUE"""),"Good")</f>
        <v>Good</v>
      </c>
      <c r="AB351" t="str">
        <f ca="1">IFERROR(__xludf.DUMMYFUNCTION("""COMPUTED_VALUE"""),"Good")</f>
        <v>Good</v>
      </c>
      <c r="AC351" t="str">
        <f ca="1">IFERROR(__xludf.DUMMYFUNCTION("""COMPUTED_VALUE"""),"Good")</f>
        <v>Good</v>
      </c>
      <c r="AE351" s="11"/>
      <c r="AF351" t="str">
        <v>Scott.Eastman@floridadep.gov</v>
      </c>
      <c r="AG351" s="18"/>
      <c r="AI351" s="12" t="s">
        <v>1001</v>
      </c>
      <c r="AJ351" s="19" t="s">
        <v>1002</v>
      </c>
      <c r="AK351" s="20" t="str">
        <f>HYPERLINK("https://docs.google.com/document/d/1tLgUiv4bcn2V_cgRKNu_zZ5FGT2YBAuPzKuqiAXm0co/edit?usp=drivesdk","Jimmy - 8/8/2019 10:00 AM")</f>
        <v>Jimmy - 8/8/2019 10:00 AM</v>
      </c>
      <c r="AL351" s="12" t="s">
        <v>1003</v>
      </c>
    </row>
    <row r="352" spans="1:38" ht="12.75">
      <c r="A352" s="10">
        <f ca="1">IFERROR(__xludf.DUMMYFUNCTION("""COMPUTED_VALUE"""),43685.2918862731)</f>
        <v>43685.291886273102</v>
      </c>
      <c r="B352" s="11" t="str">
        <f ca="1">IFERROR(__xludf.DUMMYFUNCTION("""COMPUTED_VALUE"""),"Pamela Marcum")</f>
        <v>Pamela Marcum</v>
      </c>
      <c r="C352" t="str">
        <f ca="1">IFERROR(__xludf.DUMMYFUNCTION("""COMPUTED_VALUE"""),"pamela.marcum@floridadep.gov")</f>
        <v>pamela.marcum@floridadep.gov</v>
      </c>
      <c r="D352" t="str">
        <f ca="1">IFERROR(__xludf.DUMMYFUNCTION("""COMPUTED_VALUE"""),"Research/Nikki")</f>
        <v>Research/Nikki</v>
      </c>
      <c r="E352" t="str">
        <f ca="1">IFERROR(__xludf.DUMMYFUNCTION("""COMPUTED_VALUE"""),"210/Palm valley")</f>
        <v>210/Palm valley</v>
      </c>
      <c r="F352" s="13">
        <f ca="1">IFERROR(__xludf.DUMMYFUNCTION("""COMPUTED_VALUE"""),0.291666666667879)</f>
        <v>0.29166666666787899</v>
      </c>
      <c r="G352" s="14">
        <f ca="1">IFERROR(__xludf.DUMMYFUNCTION("""COMPUTED_VALUE"""),43685)</f>
        <v>43685</v>
      </c>
      <c r="H352" t="str">
        <f ca="1">IFERROR(__xludf.DUMMYFUNCTION("""COMPUTED_VALUE"""),"Pine island marsh site")</f>
        <v>Pine island marsh site</v>
      </c>
      <c r="I352" s="15">
        <f ca="1">IFERROR(__xludf.DUMMYFUNCTION("""COMPUTED_VALUE"""),0.58333333333212)</f>
        <v>0.58333333333212001</v>
      </c>
      <c r="J352" s="16">
        <f ca="1">IFERROR(__xludf.DUMMYFUNCTION("""COMPUTED_VALUE"""),43685.6041666666)</f>
        <v>43685.604166666599</v>
      </c>
      <c r="K352" t="str">
        <f ca="1">IFERROR(__xludf.DUMMYFUNCTION("""COMPUTED_VALUE"""),"17ft Skill FL0642GW DEP07239")</f>
        <v>17ft Skill FL0642GW DEP07239</v>
      </c>
      <c r="M352" t="str">
        <f ca="1">IFERROR(__xludf.DUMMYFUNCTION("""COMPUTED_VALUE"""),"Ford F250 2017 (Moby Dix) - DEP0021578")</f>
        <v>Ford F250 2017 (Moby Dix) - DEP0021578</v>
      </c>
      <c r="N352" t="str">
        <f ca="1">IFERROR(__xludf.DUMMYFUNCTION("""COMPUTED_VALUE"""),"Pam Marcum, (480) 332-5414")</f>
        <v>Pam Marcum, (480) 332-5414</v>
      </c>
      <c r="P352" t="str">
        <f ca="1">IFERROR(__xludf.DUMMYFUNCTION("""COMPUTED_VALUE"""),"Pam")</f>
        <v>Pam</v>
      </c>
      <c r="Q352" t="str">
        <f ca="1">IFERROR(__xludf.DUMMYFUNCTION("""COMPUTED_VALUE"""),"Good")</f>
        <v>Good</v>
      </c>
      <c r="R352" t="str">
        <f ca="1">IFERROR(__xludf.DUMMYFUNCTION("""COMPUTED_VALUE"""),"Good")</f>
        <v>Good</v>
      </c>
      <c r="S352" t="str">
        <f ca="1">IFERROR(__xludf.DUMMYFUNCTION("""COMPUTED_VALUE"""),"Good")</f>
        <v>Good</v>
      </c>
      <c r="T352" t="str">
        <f ca="1">IFERROR(__xludf.DUMMYFUNCTION("""COMPUTED_VALUE"""),"Good")</f>
        <v>Good</v>
      </c>
      <c r="U352" t="str">
        <f ca="1">IFERROR(__xludf.DUMMYFUNCTION("""COMPUTED_VALUE"""),"Good")</f>
        <v>Good</v>
      </c>
      <c r="V352" t="str">
        <f ca="1">IFERROR(__xludf.DUMMYFUNCTION("""COMPUTED_VALUE"""),"Good")</f>
        <v>Good</v>
      </c>
      <c r="W352" t="str">
        <f ca="1">IFERROR(__xludf.DUMMYFUNCTION("""COMPUTED_VALUE"""),"Good")</f>
        <v>Good</v>
      </c>
      <c r="X352" t="str">
        <f ca="1">IFERROR(__xludf.DUMMYFUNCTION("""COMPUTED_VALUE"""),"Good")</f>
        <v>Good</v>
      </c>
      <c r="Y352" t="str">
        <f ca="1">IFERROR(__xludf.DUMMYFUNCTION("""COMPUTED_VALUE"""),"Good")</f>
        <v>Good</v>
      </c>
      <c r="Z352" t="str">
        <f ca="1">IFERROR(__xludf.DUMMYFUNCTION("""COMPUTED_VALUE"""),"Good")</f>
        <v>Good</v>
      </c>
      <c r="AA352" t="str">
        <f ca="1">IFERROR(__xludf.DUMMYFUNCTION("""COMPUTED_VALUE"""),"Good")</f>
        <v>Good</v>
      </c>
      <c r="AB352" t="str">
        <f ca="1">IFERROR(__xludf.DUMMYFUNCTION("""COMPUTED_VALUE"""),"Good")</f>
        <v>Good</v>
      </c>
      <c r="AC352" t="str">
        <f ca="1">IFERROR(__xludf.DUMMYFUNCTION("""COMPUTED_VALUE"""),"Good")</f>
        <v>Good</v>
      </c>
      <c r="AE352" s="11"/>
      <c r="AF352" t="str">
        <v>Nikki.Dix@floridadep.gov</v>
      </c>
      <c r="AG352" s="17" t="s">
        <v>17</v>
      </c>
      <c r="AH352" s="12">
        <v>1415</v>
      </c>
      <c r="AI352" s="12" t="s">
        <v>1004</v>
      </c>
      <c r="AJ352" s="19" t="s">
        <v>1005</v>
      </c>
      <c r="AK352" s="20" t="str">
        <f>HYPERLINK("https://docs.google.com/document/d/1l4E_ZfLzH_eFlbh_M4aNR8syJtRhBDp7zPqitvKaIG0/edit?usp=drivesdk","Pamela Marcum - 8/8/2019 7:00 AM")</f>
        <v>Pamela Marcum - 8/8/2019 7:00 AM</v>
      </c>
      <c r="AL352" s="12" t="s">
        <v>1006</v>
      </c>
    </row>
    <row r="353" spans="1:38" ht="12.75">
      <c r="A353" s="10">
        <f ca="1">IFERROR(__xludf.DUMMYFUNCTION("""COMPUTED_VALUE"""),43686.4624131018)</f>
        <v>43686.462413101799</v>
      </c>
      <c r="B353" s="11" t="str">
        <f ca="1">IFERROR(__xludf.DUMMYFUNCTION("""COMPUTED_VALUE"""),"Pam Marcum")</f>
        <v>Pam Marcum</v>
      </c>
      <c r="C353" t="str">
        <f ca="1">IFERROR(__xludf.DUMMYFUNCTION("""COMPUTED_VALUE"""),"Pamela.Marcum@FloridaDEP.gov")</f>
        <v>Pamela.Marcum@FloridaDEP.gov</v>
      </c>
      <c r="D353" t="str">
        <f ca="1">IFERROR(__xludf.DUMMYFUNCTION("""COMPUTED_VALUE"""),"Research/Nikki")</f>
        <v>Research/Nikki</v>
      </c>
      <c r="E353" t="str">
        <f ca="1">IFERROR(__xludf.DUMMYFUNCTION("""COMPUTED_VALUE"""),"Palm Valley/201 Bridge")</f>
        <v>Palm Valley/201 Bridge</v>
      </c>
      <c r="F353" s="13">
        <f ca="1">IFERROR(__xludf.DUMMYFUNCTION("""COMPUTED_VALUE"""),0.479166666667879)</f>
        <v>0.47916666666787899</v>
      </c>
      <c r="G353" s="14">
        <f ca="1">IFERROR(__xludf.DUMMYFUNCTION("""COMPUTED_VALUE"""),43686)</f>
        <v>43686</v>
      </c>
      <c r="H353" t="str">
        <f ca="1">IFERROR(__xludf.DUMMYFUNCTION("""COMPUTED_VALUE"""),"Pine Island Marsh Site")</f>
        <v>Pine Island Marsh Site</v>
      </c>
      <c r="I353" s="15">
        <f ca="1">IFERROR(__xludf.DUMMYFUNCTION("""COMPUTED_VALUE"""),0.70833333333212)</f>
        <v>0.70833333333212001</v>
      </c>
      <c r="J353" s="16">
        <f ca="1">IFERROR(__xludf.DUMMYFUNCTION("""COMPUTED_VALUE"""),43686.7291666666)</f>
        <v>43686.729166666599</v>
      </c>
      <c r="K353" t="str">
        <f ca="1">IFERROR(__xludf.DUMMYFUNCTION("""COMPUTED_VALUE"""),"17ft Skill FL0642GW DEP07239")</f>
        <v>17ft Skill FL0642GW DEP07239</v>
      </c>
      <c r="M353" t="str">
        <f ca="1">IFERROR(__xludf.DUMMYFUNCTION("""COMPUTED_VALUE"""),"Ford F250 2017 (Moby Dix) - DEP0021578")</f>
        <v>Ford F250 2017 (Moby Dix) - DEP0021578</v>
      </c>
      <c r="N353" t="str">
        <f ca="1">IFERROR(__xludf.DUMMYFUNCTION("""COMPUTED_VALUE"""),"Pam Marcum, (480) 332-5414, Shannon Dunnigan, (803) 727-5734")</f>
        <v>Pam Marcum, (480) 332-5414, Shannon Dunnigan, (803) 727-5734</v>
      </c>
      <c r="P353" t="str">
        <f ca="1">IFERROR(__xludf.DUMMYFUNCTION("""COMPUTED_VALUE"""),"Pam")</f>
        <v>Pam</v>
      </c>
      <c r="Q353" t="str">
        <f ca="1">IFERROR(__xludf.DUMMYFUNCTION("""COMPUTED_VALUE"""),"Good")</f>
        <v>Good</v>
      </c>
      <c r="R353" t="str">
        <f ca="1">IFERROR(__xludf.DUMMYFUNCTION("""COMPUTED_VALUE"""),"Good")</f>
        <v>Good</v>
      </c>
      <c r="S353" t="str">
        <f ca="1">IFERROR(__xludf.DUMMYFUNCTION("""COMPUTED_VALUE"""),"Good")</f>
        <v>Good</v>
      </c>
      <c r="T353" t="str">
        <f ca="1">IFERROR(__xludf.DUMMYFUNCTION("""COMPUTED_VALUE"""),"Good")</f>
        <v>Good</v>
      </c>
      <c r="U353" t="str">
        <f ca="1">IFERROR(__xludf.DUMMYFUNCTION("""COMPUTED_VALUE"""),"Good")</f>
        <v>Good</v>
      </c>
      <c r="V353" t="str">
        <f ca="1">IFERROR(__xludf.DUMMYFUNCTION("""COMPUTED_VALUE"""),"Good")</f>
        <v>Good</v>
      </c>
      <c r="W353" t="str">
        <f ca="1">IFERROR(__xludf.DUMMYFUNCTION("""COMPUTED_VALUE"""),"Good")</f>
        <v>Good</v>
      </c>
      <c r="X353" t="str">
        <f ca="1">IFERROR(__xludf.DUMMYFUNCTION("""COMPUTED_VALUE"""),"Good")</f>
        <v>Good</v>
      </c>
      <c r="Y353" t="str">
        <f ca="1">IFERROR(__xludf.DUMMYFUNCTION("""COMPUTED_VALUE"""),"Good")</f>
        <v>Good</v>
      </c>
      <c r="Z353" t="str">
        <f ca="1">IFERROR(__xludf.DUMMYFUNCTION("""COMPUTED_VALUE"""),"Good")</f>
        <v>Good</v>
      </c>
      <c r="AA353" t="str">
        <f ca="1">IFERROR(__xludf.DUMMYFUNCTION("""COMPUTED_VALUE"""),"Good")</f>
        <v>Good</v>
      </c>
      <c r="AB353" t="str">
        <f ca="1">IFERROR(__xludf.DUMMYFUNCTION("""COMPUTED_VALUE"""),"Good")</f>
        <v>Good</v>
      </c>
      <c r="AC353" t="str">
        <f ca="1">IFERROR(__xludf.DUMMYFUNCTION("""COMPUTED_VALUE"""),"Good")</f>
        <v>Good</v>
      </c>
      <c r="AE353" s="11"/>
      <c r="AF353" t="str">
        <v>Nikki.Dix@floridadep.gov</v>
      </c>
      <c r="AG353" s="17" t="s">
        <v>41</v>
      </c>
      <c r="AH353" s="12">
        <v>1620</v>
      </c>
      <c r="AI353" s="12" t="s">
        <v>1007</v>
      </c>
      <c r="AJ353" s="19" t="s">
        <v>1008</v>
      </c>
      <c r="AK353" s="20" t="str">
        <f>HYPERLINK("https://docs.google.com/document/d/1YMJWkZrunPkqcijQlnoJEDDw7X8P59lFxv9qbVzbaSY/edit?usp=drivesdk","Pam Marcum - 8/9/2019 11:30 AM")</f>
        <v>Pam Marcum - 8/9/2019 11:30 AM</v>
      </c>
      <c r="AL353" s="12" t="s">
        <v>1009</v>
      </c>
    </row>
    <row r="354" spans="1:38" ht="12.75">
      <c r="A354" s="10">
        <f ca="1">IFERROR(__xludf.DUMMYFUNCTION("""COMPUTED_VALUE"""),43689.329892824)</f>
        <v>43689.329892823996</v>
      </c>
      <c r="B354" s="11" t="str">
        <f ca="1">IFERROR(__xludf.DUMMYFUNCTION("""COMPUTED_VALUE"""),"Jimmy")</f>
        <v>Jimmy</v>
      </c>
      <c r="C354" t="str">
        <f ca="1">IFERROR(__xludf.DUMMYFUNCTION("""COMPUTED_VALUE"""),"james.tomazinis@floridadep.gov")</f>
        <v>james.tomazinis@floridadep.gov</v>
      </c>
      <c r="D354" t="str">
        <f ca="1">IFERROR(__xludf.DUMMYFUNCTION("""COMPUTED_VALUE"""),"Stewardship (Aquatic)")</f>
        <v>Stewardship (Aquatic)</v>
      </c>
      <c r="E354" t="str">
        <f ca="1">IFERROR(__xludf.DUMMYFUNCTION("""COMPUTED_VALUE"""),"Guana Dam")</f>
        <v>Guana Dam</v>
      </c>
      <c r="F354" s="13">
        <f ca="1">IFERROR(__xludf.DUMMYFUNCTION("""COMPUTED_VALUE"""),0.354166666667879)</f>
        <v>0.35416666666787899</v>
      </c>
      <c r="G354" s="14">
        <f ca="1">IFERROR(__xludf.DUMMYFUNCTION("""COMPUTED_VALUE"""),43689)</f>
        <v>43689</v>
      </c>
      <c r="H354" t="str">
        <f ca="1">IFERROR(__xludf.DUMMYFUNCTION("""COMPUTED_VALUE"""),"Guana River WQ sites")</f>
        <v>Guana River WQ sites</v>
      </c>
      <c r="I354" s="15">
        <f ca="1">IFERROR(__xludf.DUMMYFUNCTION("""COMPUTED_VALUE"""),0.95833333333212)</f>
        <v>0.95833333333212001</v>
      </c>
      <c r="J354" s="16"/>
      <c r="K354" t="str">
        <f ca="1">IFERROR(__xludf.DUMMYFUNCTION("""COMPUTED_VALUE"""),"Jon Boat FL0484NP DEP06819")</f>
        <v>Jon Boat FL0484NP DEP06819</v>
      </c>
      <c r="M354" t="str">
        <f ca="1">IFERROR(__xludf.DUMMYFUNCTION("""COMPUTED_VALUE"""),"Ford F150 2015 (White) - DEP21448")</f>
        <v>Ford F150 2015 (White) - DEP21448</v>
      </c>
      <c r="N354" t="str">
        <f ca="1">IFERROR(__xludf.DUMMYFUNCTION("""COMPUTED_VALUE"""),"Jimmy Tomazinis, (904) 547-0094")</f>
        <v>Jimmy Tomazinis, (904) 547-0094</v>
      </c>
      <c r="O354" t="str">
        <f ca="1">IFERROR(__xludf.DUMMYFUNCTION("""COMPUTED_VALUE"""),"Jessica Lee")</f>
        <v>Jessica Lee</v>
      </c>
      <c r="P354" t="str">
        <f ca="1">IFERROR(__xludf.DUMMYFUNCTION("""COMPUTED_VALUE"""),"Jimmy")</f>
        <v>Jimmy</v>
      </c>
      <c r="Q354" t="str">
        <f ca="1">IFERROR(__xludf.DUMMYFUNCTION("""COMPUTED_VALUE"""),"Good")</f>
        <v>Good</v>
      </c>
      <c r="R354" t="str">
        <f ca="1">IFERROR(__xludf.DUMMYFUNCTION("""COMPUTED_VALUE"""),"Good")</f>
        <v>Good</v>
      </c>
      <c r="S354" t="str">
        <f ca="1">IFERROR(__xludf.DUMMYFUNCTION("""COMPUTED_VALUE"""),"Good")</f>
        <v>Good</v>
      </c>
      <c r="T354" t="str">
        <f ca="1">IFERROR(__xludf.DUMMYFUNCTION("""COMPUTED_VALUE"""),"Good")</f>
        <v>Good</v>
      </c>
      <c r="U354" t="str">
        <f ca="1">IFERROR(__xludf.DUMMYFUNCTION("""COMPUTED_VALUE"""),"Good")</f>
        <v>Good</v>
      </c>
      <c r="V354" t="str">
        <f ca="1">IFERROR(__xludf.DUMMYFUNCTION("""COMPUTED_VALUE"""),"Good")</f>
        <v>Good</v>
      </c>
      <c r="W354" t="str">
        <f ca="1">IFERROR(__xludf.DUMMYFUNCTION("""COMPUTED_VALUE"""),"Good")</f>
        <v>Good</v>
      </c>
      <c r="X354" t="str">
        <f ca="1">IFERROR(__xludf.DUMMYFUNCTION("""COMPUTED_VALUE"""),"Good")</f>
        <v>Good</v>
      </c>
      <c r="Y354" t="str">
        <f ca="1">IFERROR(__xludf.DUMMYFUNCTION("""COMPUTED_VALUE"""),"Good")</f>
        <v>Good</v>
      </c>
      <c r="Z354" t="str">
        <f ca="1">IFERROR(__xludf.DUMMYFUNCTION("""COMPUTED_VALUE"""),"Good")</f>
        <v>Good</v>
      </c>
      <c r="AA354" t="str">
        <f ca="1">IFERROR(__xludf.DUMMYFUNCTION("""COMPUTED_VALUE"""),"Good")</f>
        <v>Good</v>
      </c>
      <c r="AB354" t="str">
        <f ca="1">IFERROR(__xludf.DUMMYFUNCTION("""COMPUTED_VALUE"""),"Good")</f>
        <v>Good</v>
      </c>
      <c r="AC354" t="str">
        <f ca="1">IFERROR(__xludf.DUMMYFUNCTION("""COMPUTED_VALUE"""),"Good")</f>
        <v>Good</v>
      </c>
      <c r="AE354" s="11"/>
      <c r="AF354" t="str">
        <v>Scott.Eastman@floridadep.gov</v>
      </c>
      <c r="AG354" s="17" t="s">
        <v>444</v>
      </c>
      <c r="AH354" s="12">
        <v>1000</v>
      </c>
      <c r="AI354" s="12" t="s">
        <v>1010</v>
      </c>
      <c r="AJ354" s="19" t="s">
        <v>1011</v>
      </c>
      <c r="AK354" s="20" t="str">
        <f>HYPERLINK("https://docs.google.com/document/d/1mAuPt1x3SC6PF8ujlRcp2_FSebhAGV02h612BkmlcNs/edit?usp=drivesdk","Jimmy - 8/12/2019 8:30 AM")</f>
        <v>Jimmy - 8/12/2019 8:30 AM</v>
      </c>
      <c r="AL354" s="12" t="s">
        <v>1012</v>
      </c>
    </row>
    <row r="355" spans="1:38" ht="12.75">
      <c r="A355" s="10">
        <f ca="1">IFERROR(__xludf.DUMMYFUNCTION("""COMPUTED_VALUE"""),43689.6975800347)</f>
        <v>43689.697580034699</v>
      </c>
      <c r="B355" s="11" t="str">
        <f ca="1">IFERROR(__xludf.DUMMYFUNCTION("""COMPUTED_VALUE"""),"Jimmy")</f>
        <v>Jimmy</v>
      </c>
      <c r="C355" t="str">
        <f ca="1">IFERROR(__xludf.DUMMYFUNCTION("""COMPUTED_VALUE"""),"james.tomazinis@floridadep.gov")</f>
        <v>james.tomazinis@floridadep.gov</v>
      </c>
      <c r="D355" t="str">
        <f ca="1">IFERROR(__xludf.DUMMYFUNCTION("""COMPUTED_VALUE"""),"Stewardship (Aquatic)")</f>
        <v>Stewardship (Aquatic)</v>
      </c>
      <c r="E355" t="str">
        <f ca="1">IFERROR(__xludf.DUMMYFUNCTION("""COMPUTED_VALUE"""),"Dee Dee Bartels and Goffinsville Park")</f>
        <v>Dee Dee Bartels and Goffinsville Park</v>
      </c>
      <c r="F355" s="13">
        <f ca="1">IFERROR(__xludf.DUMMYFUNCTION("""COMPUTED_VALUE"""),0.291666666667879)</f>
        <v>0.29166666666787899</v>
      </c>
      <c r="G355" s="14">
        <f ca="1">IFERROR(__xludf.DUMMYFUNCTION("""COMPUTED_VALUE"""),43690)</f>
        <v>43690</v>
      </c>
      <c r="H355" t="str">
        <f ca="1">IFERROR(__xludf.DUMMYFUNCTION("""COMPUTED_VALUE"""),"NEAP WQ sites")</f>
        <v>NEAP WQ sites</v>
      </c>
      <c r="I355" s="15">
        <f ca="1">IFERROR(__xludf.DUMMYFUNCTION("""COMPUTED_VALUE"""),0.5)</f>
        <v>0.5</v>
      </c>
      <c r="J355" s="16"/>
      <c r="K355" t="str">
        <f ca="1">IFERROR(__xludf.DUMMYFUNCTION("""COMPUTED_VALUE"""),"17ft Skill FL0642GW DEP07239")</f>
        <v>17ft Skill FL0642GW DEP07239</v>
      </c>
      <c r="M355" t="str">
        <f ca="1">IFERROR(__xludf.DUMMYFUNCTION("""COMPUTED_VALUE"""),"Ford F150 2008 - DEP18041 (SWMP Thing)")</f>
        <v>Ford F150 2008 - DEP18041 (SWMP Thing)</v>
      </c>
      <c r="N355" t="str">
        <f ca="1">IFERROR(__xludf.DUMMYFUNCTION("""COMPUTED_VALUE"""),"Jimmy Tomazinis, (904) 547-0094")</f>
        <v>Jimmy Tomazinis, (904) 547-0094</v>
      </c>
      <c r="O355" t="str">
        <f ca="1">IFERROR(__xludf.DUMMYFUNCTION("""COMPUTED_VALUE"""),"TBD")</f>
        <v>TBD</v>
      </c>
      <c r="P355" t="str">
        <f ca="1">IFERROR(__xludf.DUMMYFUNCTION("""COMPUTED_VALUE"""),"Jimmy")</f>
        <v>Jimmy</v>
      </c>
      <c r="Q355" t="str">
        <f ca="1">IFERROR(__xludf.DUMMYFUNCTION("""COMPUTED_VALUE"""),"Good")</f>
        <v>Good</v>
      </c>
      <c r="R355" t="str">
        <f ca="1">IFERROR(__xludf.DUMMYFUNCTION("""COMPUTED_VALUE"""),"Good")</f>
        <v>Good</v>
      </c>
      <c r="S355" t="str">
        <f ca="1">IFERROR(__xludf.DUMMYFUNCTION("""COMPUTED_VALUE"""),"Good")</f>
        <v>Good</v>
      </c>
      <c r="T355" t="str">
        <f ca="1">IFERROR(__xludf.DUMMYFUNCTION("""COMPUTED_VALUE"""),"Good")</f>
        <v>Good</v>
      </c>
      <c r="U355" t="str">
        <f ca="1">IFERROR(__xludf.DUMMYFUNCTION("""COMPUTED_VALUE"""),"Good")</f>
        <v>Good</v>
      </c>
      <c r="V355" t="str">
        <f ca="1">IFERROR(__xludf.DUMMYFUNCTION("""COMPUTED_VALUE"""),"Good")</f>
        <v>Good</v>
      </c>
      <c r="W355" t="str">
        <f ca="1">IFERROR(__xludf.DUMMYFUNCTION("""COMPUTED_VALUE"""),"Good")</f>
        <v>Good</v>
      </c>
      <c r="X355" t="str">
        <f ca="1">IFERROR(__xludf.DUMMYFUNCTION("""COMPUTED_VALUE"""),"Good")</f>
        <v>Good</v>
      </c>
      <c r="Y355" t="str">
        <f ca="1">IFERROR(__xludf.DUMMYFUNCTION("""COMPUTED_VALUE"""),"Good")</f>
        <v>Good</v>
      </c>
      <c r="Z355" t="str">
        <f ca="1">IFERROR(__xludf.DUMMYFUNCTION("""COMPUTED_VALUE"""),"Good")</f>
        <v>Good</v>
      </c>
      <c r="AA355" t="str">
        <f ca="1">IFERROR(__xludf.DUMMYFUNCTION("""COMPUTED_VALUE"""),"Good")</f>
        <v>Good</v>
      </c>
      <c r="AB355" t="str">
        <f ca="1">IFERROR(__xludf.DUMMYFUNCTION("""COMPUTED_VALUE"""),"Good")</f>
        <v>Good</v>
      </c>
      <c r="AC355" t="str">
        <f ca="1">IFERROR(__xludf.DUMMYFUNCTION("""COMPUTED_VALUE"""),"Good")</f>
        <v>Good</v>
      </c>
      <c r="AE355" s="11"/>
      <c r="AF355" t="str">
        <v>Scott.Eastman@floridadep.gov</v>
      </c>
      <c r="AG355" s="17" t="s">
        <v>17</v>
      </c>
      <c r="AH355" s="12">
        <v>1215</v>
      </c>
      <c r="AI355" s="12" t="s">
        <v>1013</v>
      </c>
      <c r="AJ355" s="19" t="s">
        <v>1014</v>
      </c>
      <c r="AK355" s="20" t="str">
        <f>HYPERLINK("https://docs.google.com/a/gtmnerr.org/document/d/11Q1zngHv0-P5AsO1ZgZYteXWIjY4Pp94rg3HG76Vfhk/edit?usp=drivesdk","Jimmy - 8/13/2019 7:00 AM")</f>
        <v>Jimmy - 8/13/2019 7:00 AM</v>
      </c>
      <c r="AL355" s="12" t="s">
        <v>1015</v>
      </c>
    </row>
    <row r="356" spans="1:38" ht="12.75">
      <c r="A356" s="10">
        <f ca="1">IFERROR(__xludf.DUMMYFUNCTION("""COMPUTED_VALUE"""),43689.7481222799)</f>
        <v>43689.748122279998</v>
      </c>
      <c r="B356" s="11" t="str">
        <f ca="1">IFERROR(__xludf.DUMMYFUNCTION("""COMPUTED_VALUE"""),"Silas Tanner")</f>
        <v>Silas Tanner</v>
      </c>
      <c r="C356" t="str">
        <f ca="1">IFERROR(__xludf.DUMMYFUNCTION("""COMPUTED_VALUE"""),"silas.tanner@floridadep.gov")</f>
        <v>silas.tanner@floridadep.gov</v>
      </c>
      <c r="D356" t="str">
        <f ca="1">IFERROR(__xludf.DUMMYFUNCTION("""COMPUTED_VALUE"""),"Research/Nikki")</f>
        <v>Research/Nikki</v>
      </c>
      <c r="E356" t="str">
        <f ca="1">IFERROR(__xludf.DUMMYFUNCTION("""COMPUTED_VALUE"""),"Vilano Landing")</f>
        <v>Vilano Landing</v>
      </c>
      <c r="F356" s="13">
        <f ca="1">IFERROR(__xludf.DUMMYFUNCTION("""COMPUTED_VALUE"""),0.30208333333212)</f>
        <v>0.30208333333212001</v>
      </c>
      <c r="G356" s="14">
        <f ca="1">IFERROR(__xludf.DUMMYFUNCTION("""COMPUTED_VALUE"""),43690)</f>
        <v>43690</v>
      </c>
      <c r="H356" t="str">
        <f ca="1">IFERROR(__xludf.DUMMYFUNCTION("""COMPUTED_VALUE"""),"ICW SWMP sites")</f>
        <v>ICW SWMP sites</v>
      </c>
      <c r="I356" s="15">
        <f ca="1">IFERROR(__xludf.DUMMYFUNCTION("""COMPUTED_VALUE"""),0.55208333333212)</f>
        <v>0.55208333333212001</v>
      </c>
      <c r="J356" s="16">
        <f ca="1">IFERROR(__xludf.DUMMYFUNCTION("""COMPUTED_VALUE"""),43690.5729166666)</f>
        <v>43690.572916666599</v>
      </c>
      <c r="K356" t="str">
        <f ca="1">IFERROR(__xludf.DUMMYFUNCTION("""COMPUTED_VALUE"""),"23ft Skiff (Bertha) FL7972LJ DEP07613")</f>
        <v>23ft Skiff (Bertha) FL7972LJ DEP07613</v>
      </c>
      <c r="M356" t="str">
        <f ca="1">IFERROR(__xludf.DUMMYFUNCTION("""COMPUTED_VALUE"""),"Ford F250 2017 (Moby Dix) - DEP0021578")</f>
        <v>Ford F250 2017 (Moby Dix) - DEP0021578</v>
      </c>
      <c r="N356" t="str">
        <f ca="1">IFERROR(__xludf.DUMMYFUNCTION("""COMPUTED_VALUE"""),"Silas Tanner, (904) 483-8423")</f>
        <v>Silas Tanner, (904) 483-8423</v>
      </c>
      <c r="O356" t="str">
        <f ca="1">IFERROR(__xludf.DUMMYFUNCTION("""COMPUTED_VALUE"""),"Alee Knoell, Jeff Finnan")</f>
        <v>Alee Knoell, Jeff Finnan</v>
      </c>
      <c r="P356" t="str">
        <f ca="1">IFERROR(__xludf.DUMMYFUNCTION("""COMPUTED_VALUE"""),"S. Tanner")</f>
        <v>S. Tanner</v>
      </c>
      <c r="Q356" t="str">
        <f ca="1">IFERROR(__xludf.DUMMYFUNCTION("""COMPUTED_VALUE"""),"Good")</f>
        <v>Good</v>
      </c>
      <c r="R356" t="str">
        <f ca="1">IFERROR(__xludf.DUMMYFUNCTION("""COMPUTED_VALUE"""),"Good")</f>
        <v>Good</v>
      </c>
      <c r="S356" t="str">
        <f ca="1">IFERROR(__xludf.DUMMYFUNCTION("""COMPUTED_VALUE"""),"Good")</f>
        <v>Good</v>
      </c>
      <c r="T356" t="str">
        <f ca="1">IFERROR(__xludf.DUMMYFUNCTION("""COMPUTED_VALUE"""),"Good")</f>
        <v>Good</v>
      </c>
      <c r="U356" t="str">
        <f ca="1">IFERROR(__xludf.DUMMYFUNCTION("""COMPUTED_VALUE"""),"Good")</f>
        <v>Good</v>
      </c>
      <c r="V356" t="str">
        <f ca="1">IFERROR(__xludf.DUMMYFUNCTION("""COMPUTED_VALUE"""),"Good")</f>
        <v>Good</v>
      </c>
      <c r="W356" t="str">
        <f ca="1">IFERROR(__xludf.DUMMYFUNCTION("""COMPUTED_VALUE"""),"Good")</f>
        <v>Good</v>
      </c>
      <c r="X356" t="str">
        <f ca="1">IFERROR(__xludf.DUMMYFUNCTION("""COMPUTED_VALUE"""),"Good")</f>
        <v>Good</v>
      </c>
      <c r="Y356" t="str">
        <f ca="1">IFERROR(__xludf.DUMMYFUNCTION("""COMPUTED_VALUE"""),"Good")</f>
        <v>Good</v>
      </c>
      <c r="Z356" t="str">
        <f ca="1">IFERROR(__xludf.DUMMYFUNCTION("""COMPUTED_VALUE"""),"Good")</f>
        <v>Good</v>
      </c>
      <c r="AA356" t="str">
        <f ca="1">IFERROR(__xludf.DUMMYFUNCTION("""COMPUTED_VALUE"""),"Good")</f>
        <v>Good</v>
      </c>
      <c r="AB356" t="str">
        <f ca="1">IFERROR(__xludf.DUMMYFUNCTION("""COMPUTED_VALUE"""),"Good")</f>
        <v>Good</v>
      </c>
      <c r="AC356" t="str">
        <f ca="1">IFERROR(__xludf.DUMMYFUNCTION("""COMPUTED_VALUE"""),"Good")</f>
        <v>Good</v>
      </c>
      <c r="AE356" s="11"/>
      <c r="AF356" t="str">
        <v>Nikki.Dix@floridadep.gov</v>
      </c>
      <c r="AG356" s="17" t="s">
        <v>41</v>
      </c>
      <c r="AH356" s="12">
        <v>1152</v>
      </c>
      <c r="AI356" s="12" t="s">
        <v>1016</v>
      </c>
      <c r="AJ356" s="19" t="s">
        <v>1017</v>
      </c>
      <c r="AK356" s="20" t="str">
        <f>HYPERLINK("https://docs.google.com/document/d/1PSs6PJxfHNvQL0Gdx2FpaTy-9EKgmxmmCEUvK9qcJiU/edit?usp=drivesdk","Silas Tanner - 8/13/2019 7:15 AM")</f>
        <v>Silas Tanner - 8/13/2019 7:15 AM</v>
      </c>
      <c r="AL356" s="12" t="s">
        <v>1018</v>
      </c>
    </row>
    <row r="357" spans="1:38" ht="12.75">
      <c r="A357" s="10">
        <f ca="1">IFERROR(__xludf.DUMMYFUNCTION("""COMPUTED_VALUE"""),43697.2750235532)</f>
        <v>43697.2750235532</v>
      </c>
      <c r="B357" s="11" t="str">
        <f ca="1">IFERROR(__xludf.DUMMYFUNCTION("""COMPUTED_VALUE"""),"Pam Marcum")</f>
        <v>Pam Marcum</v>
      </c>
      <c r="C357" t="str">
        <f ca="1">IFERROR(__xludf.DUMMYFUNCTION("""COMPUTED_VALUE"""),"pamela.marcum@floridadep.gov")</f>
        <v>pamela.marcum@floridadep.gov</v>
      </c>
      <c r="D357" t="str">
        <f ca="1">IFERROR(__xludf.DUMMYFUNCTION("""COMPUTED_VALUE"""),"Research/Nikki")</f>
        <v>Research/Nikki</v>
      </c>
      <c r="E357" t="str">
        <f ca="1">IFERROR(__xludf.DUMMYFUNCTION("""COMPUTED_VALUE"""),"Shore")</f>
        <v>Shore</v>
      </c>
      <c r="F357" s="13">
        <f ca="1">IFERROR(__xludf.DUMMYFUNCTION("""COMPUTED_VALUE"""),0.27083333333212)</f>
        <v>0.27083333333212001</v>
      </c>
      <c r="G357" s="14">
        <f ca="1">IFERROR(__xludf.DUMMYFUNCTION("""COMPUTED_VALUE"""),43697)</f>
        <v>43697</v>
      </c>
      <c r="H357" t="str">
        <f ca="1">IFERROR(__xludf.DUMMYFUNCTION("""COMPUTED_VALUE"""),"Site 22")</f>
        <v>Site 22</v>
      </c>
      <c r="I357" s="15">
        <f ca="1">IFERROR(__xludf.DUMMYFUNCTION("""COMPUTED_VALUE"""),0.33333333333212)</f>
        <v>0.33333333333212001</v>
      </c>
      <c r="J357" s="16">
        <f ca="1">IFERROR(__xludf.DUMMYFUNCTION("""COMPUTED_VALUE"""),43697.3333333333)</f>
        <v>43697.333333333299</v>
      </c>
      <c r="K357" t="str">
        <f ca="1">IFERROR(__xludf.DUMMYFUNCTION("""COMPUTED_VALUE"""),"17ft Skill FL0642GW DEP07239")</f>
        <v>17ft Skill FL0642GW DEP07239</v>
      </c>
      <c r="M357" t="str">
        <f ca="1">IFERROR(__xludf.DUMMYFUNCTION("""COMPUTED_VALUE"""),"Ford F250 2017 (Moby Dix) - DEP0021578")</f>
        <v>Ford F250 2017 (Moby Dix) - DEP0021578</v>
      </c>
      <c r="N357" t="str">
        <f ca="1">IFERROR(__xludf.DUMMYFUNCTION("""COMPUTED_VALUE"""),"Pam Marcum, (480) 332-5414, Remo Mondazzi")</f>
        <v>Pam Marcum, (480) 332-5414, Remo Mondazzi</v>
      </c>
      <c r="P357" t="str">
        <f ca="1">IFERROR(__xludf.DUMMYFUNCTION("""COMPUTED_VALUE"""),"Pam")</f>
        <v>Pam</v>
      </c>
      <c r="Q357" t="str">
        <f ca="1">IFERROR(__xludf.DUMMYFUNCTION("""COMPUTED_VALUE"""),"Good")</f>
        <v>Good</v>
      </c>
      <c r="R357" t="str">
        <f ca="1">IFERROR(__xludf.DUMMYFUNCTION("""COMPUTED_VALUE"""),"Good")</f>
        <v>Good</v>
      </c>
      <c r="S357" t="str">
        <f ca="1">IFERROR(__xludf.DUMMYFUNCTION("""COMPUTED_VALUE"""),"Good")</f>
        <v>Good</v>
      </c>
      <c r="T357" t="str">
        <f ca="1">IFERROR(__xludf.DUMMYFUNCTION("""COMPUTED_VALUE"""),"Good")</f>
        <v>Good</v>
      </c>
      <c r="U357" t="str">
        <f ca="1">IFERROR(__xludf.DUMMYFUNCTION("""COMPUTED_VALUE"""),"Good")</f>
        <v>Good</v>
      </c>
      <c r="V357" t="str">
        <f ca="1">IFERROR(__xludf.DUMMYFUNCTION("""COMPUTED_VALUE"""),"Good")</f>
        <v>Good</v>
      </c>
      <c r="W357" t="str">
        <f ca="1">IFERROR(__xludf.DUMMYFUNCTION("""COMPUTED_VALUE"""),"Good")</f>
        <v>Good</v>
      </c>
      <c r="X357" t="str">
        <f ca="1">IFERROR(__xludf.DUMMYFUNCTION("""COMPUTED_VALUE"""),"Good")</f>
        <v>Good</v>
      </c>
      <c r="Y357" t="str">
        <f ca="1">IFERROR(__xludf.DUMMYFUNCTION("""COMPUTED_VALUE"""),"Good")</f>
        <v>Good</v>
      </c>
      <c r="Z357" t="str">
        <f ca="1">IFERROR(__xludf.DUMMYFUNCTION("""COMPUTED_VALUE"""),"Good")</f>
        <v>Good</v>
      </c>
      <c r="AA357" t="str">
        <f ca="1">IFERROR(__xludf.DUMMYFUNCTION("""COMPUTED_VALUE"""),"Good")</f>
        <v>Good</v>
      </c>
      <c r="AB357" t="str">
        <f ca="1">IFERROR(__xludf.DUMMYFUNCTION("""COMPUTED_VALUE"""),"Good")</f>
        <v>Good</v>
      </c>
      <c r="AC357" t="str">
        <f ca="1">IFERROR(__xludf.DUMMYFUNCTION("""COMPUTED_VALUE"""),"Good")</f>
        <v>Good</v>
      </c>
      <c r="AE357" s="11"/>
      <c r="AF357" t="str">
        <v>Nikki.Dix@floridadep.gov</v>
      </c>
      <c r="AG357" s="17" t="s">
        <v>17</v>
      </c>
      <c r="AH357" s="12">
        <v>850</v>
      </c>
      <c r="AI357" s="12" t="s">
        <v>1019</v>
      </c>
      <c r="AJ357" s="19" t="s">
        <v>1020</v>
      </c>
      <c r="AK357" s="20" t="str">
        <f>HYPERLINK("https://docs.google.com/document/d/1RWIKtoOaMeyPaIs4hJT3bwRUK1PkwCCzdMFo1k4GAxk/edit?usp=drivesdk","Pam Marcum - 8/20/2019 6:30 AM")</f>
        <v>Pam Marcum - 8/20/2019 6:30 AM</v>
      </c>
      <c r="AL357" s="12" t="s">
        <v>1021</v>
      </c>
    </row>
    <row r="358" spans="1:38" ht="12.75">
      <c r="A358" s="10">
        <f ca="1">IFERROR(__xludf.DUMMYFUNCTION("""COMPUTED_VALUE"""),43697.628050706)</f>
        <v>43697.628050706</v>
      </c>
      <c r="B358" s="11" t="str">
        <f ca="1">IFERROR(__xludf.DUMMYFUNCTION("""COMPUTED_VALUE"""),"Pam Marcum")</f>
        <v>Pam Marcum</v>
      </c>
      <c r="C358" t="str">
        <f ca="1">IFERROR(__xludf.DUMMYFUNCTION("""COMPUTED_VALUE"""),"pamela.marcum@floridadep.gov")</f>
        <v>pamela.marcum@floridadep.gov</v>
      </c>
      <c r="D358" t="str">
        <f ca="1">IFERROR(__xludf.DUMMYFUNCTION("""COMPUTED_VALUE"""),"Research/Nikki")</f>
        <v>Research/Nikki</v>
      </c>
      <c r="E358" t="str">
        <f ca="1">IFERROR(__xludf.DUMMYFUNCTION("""COMPUTED_VALUE"""),"Shore")</f>
        <v>Shore</v>
      </c>
      <c r="F358" s="13">
        <f ca="1">IFERROR(__xludf.DUMMYFUNCTION("""COMPUTED_VALUE"""),0.635416666667879)</f>
        <v>0.63541666666787899</v>
      </c>
      <c r="G358" s="14">
        <f ca="1">IFERROR(__xludf.DUMMYFUNCTION("""COMPUTED_VALUE"""),43697)</f>
        <v>43697</v>
      </c>
      <c r="H358" t="str">
        <f ca="1">IFERROR(__xludf.DUMMYFUNCTION("""COMPUTED_VALUE"""),"Site 22")</f>
        <v>Site 22</v>
      </c>
      <c r="I358" s="15">
        <f ca="1">IFERROR(__xludf.DUMMYFUNCTION("""COMPUTED_VALUE"""),0.70833333333212)</f>
        <v>0.70833333333212001</v>
      </c>
      <c r="J358" s="16">
        <f ca="1">IFERROR(__xludf.DUMMYFUNCTION("""COMPUTED_VALUE"""),43697.75)</f>
        <v>43697.75</v>
      </c>
      <c r="K358" t="str">
        <f ca="1">IFERROR(__xludf.DUMMYFUNCTION("""COMPUTED_VALUE"""),"17ft Skill FL0642GW DEP07239")</f>
        <v>17ft Skill FL0642GW DEP07239</v>
      </c>
      <c r="M358" t="str">
        <f ca="1">IFERROR(__xludf.DUMMYFUNCTION("""COMPUTED_VALUE"""),"Ford F250 2017 (Moby Dix) - DEP0021578")</f>
        <v>Ford F250 2017 (Moby Dix) - DEP0021578</v>
      </c>
      <c r="N358" t="str">
        <f ca="1">IFERROR(__xludf.DUMMYFUNCTION("""COMPUTED_VALUE"""),"Pam Marcum, (480) 332-5414, Remo Mondazzi")</f>
        <v>Pam Marcum, (480) 332-5414, Remo Mondazzi</v>
      </c>
      <c r="P358" t="str">
        <f ca="1">IFERROR(__xludf.DUMMYFUNCTION("""COMPUTED_VALUE"""),"Pam")</f>
        <v>Pam</v>
      </c>
      <c r="Q358" t="str">
        <f ca="1">IFERROR(__xludf.DUMMYFUNCTION("""COMPUTED_VALUE"""),"Good")</f>
        <v>Good</v>
      </c>
      <c r="R358" t="str">
        <f ca="1">IFERROR(__xludf.DUMMYFUNCTION("""COMPUTED_VALUE"""),"Good")</f>
        <v>Good</v>
      </c>
      <c r="S358" t="str">
        <f ca="1">IFERROR(__xludf.DUMMYFUNCTION("""COMPUTED_VALUE"""),"Good")</f>
        <v>Good</v>
      </c>
      <c r="T358" t="str">
        <f ca="1">IFERROR(__xludf.DUMMYFUNCTION("""COMPUTED_VALUE"""),"Good")</f>
        <v>Good</v>
      </c>
      <c r="U358" t="str">
        <f ca="1">IFERROR(__xludf.DUMMYFUNCTION("""COMPUTED_VALUE"""),"Good")</f>
        <v>Good</v>
      </c>
      <c r="V358" t="str">
        <f ca="1">IFERROR(__xludf.DUMMYFUNCTION("""COMPUTED_VALUE"""),"Good")</f>
        <v>Good</v>
      </c>
      <c r="W358" t="str">
        <f ca="1">IFERROR(__xludf.DUMMYFUNCTION("""COMPUTED_VALUE"""),"Good")</f>
        <v>Good</v>
      </c>
      <c r="X358" t="str">
        <f ca="1">IFERROR(__xludf.DUMMYFUNCTION("""COMPUTED_VALUE"""),"Good")</f>
        <v>Good</v>
      </c>
      <c r="Y358" t="str">
        <f ca="1">IFERROR(__xludf.DUMMYFUNCTION("""COMPUTED_VALUE"""),"Good")</f>
        <v>Good</v>
      </c>
      <c r="Z358" t="str">
        <f ca="1">IFERROR(__xludf.DUMMYFUNCTION("""COMPUTED_VALUE"""),"Good")</f>
        <v>Good</v>
      </c>
      <c r="AA358" t="str">
        <f ca="1">IFERROR(__xludf.DUMMYFUNCTION("""COMPUTED_VALUE"""),"Good")</f>
        <v>Good</v>
      </c>
      <c r="AB358" t="str">
        <f ca="1">IFERROR(__xludf.DUMMYFUNCTION("""COMPUTED_VALUE"""),"Good")</f>
        <v>Good</v>
      </c>
      <c r="AC358" t="str">
        <f ca="1">IFERROR(__xludf.DUMMYFUNCTION("""COMPUTED_VALUE"""),"Good")</f>
        <v>Good</v>
      </c>
      <c r="AE358" s="11"/>
      <c r="AF358" t="str">
        <v>Nikki.Dix@floridadep.gov</v>
      </c>
      <c r="AG358" s="17" t="s">
        <v>17</v>
      </c>
      <c r="AH358" s="12">
        <v>1630</v>
      </c>
      <c r="AI358" s="12" t="s">
        <v>1022</v>
      </c>
      <c r="AJ358" s="19" t="s">
        <v>1023</v>
      </c>
      <c r="AK358" s="20" t="str">
        <f>HYPERLINK("https://docs.google.com/document/d/1KcgaayyBJ7F6uQm0nvdHRmo9_83OCOz8oj2qRca9CDM/edit?usp=drivesdk","Pam Marcum - 8/20/2019 3:15 PM")</f>
        <v>Pam Marcum - 8/20/2019 3:15 PM</v>
      </c>
      <c r="AL358" s="12" t="s">
        <v>1024</v>
      </c>
    </row>
    <row r="359" spans="1:38" ht="12.75">
      <c r="A359" s="10">
        <f ca="1">IFERROR(__xludf.DUMMYFUNCTION("""COMPUTED_VALUE"""),43699.2457969675)</f>
        <v>43699.245796967502</v>
      </c>
      <c r="B359" s="11" t="str">
        <f ca="1">IFERROR(__xludf.DUMMYFUNCTION("""COMPUTED_VALUE"""),"Pam Marcum")</f>
        <v>Pam Marcum</v>
      </c>
      <c r="C359" t="str">
        <f ca="1">IFERROR(__xludf.DUMMYFUNCTION("""COMPUTED_VALUE"""),"Pamela.Marcum@floridadep.gov")</f>
        <v>Pamela.Marcum@floridadep.gov</v>
      </c>
      <c r="D359" t="str">
        <f ca="1">IFERROR(__xludf.DUMMYFUNCTION("""COMPUTED_VALUE"""),"Research/Nikki")</f>
        <v>Research/Nikki</v>
      </c>
      <c r="E359" t="str">
        <f ca="1">IFERROR(__xludf.DUMMYFUNCTION("""COMPUTED_VALUE"""),"Green Rd")</f>
        <v>Green Rd</v>
      </c>
      <c r="F359" s="13">
        <f ca="1">IFERROR(__xludf.DUMMYFUNCTION("""COMPUTED_VALUE"""),0.30208333333212)</f>
        <v>0.30208333333212001</v>
      </c>
      <c r="G359" s="14">
        <f ca="1">IFERROR(__xludf.DUMMYFUNCTION("""COMPUTED_VALUE"""),43699)</f>
        <v>43699</v>
      </c>
      <c r="H359" t="str">
        <f ca="1">IFERROR(__xludf.DUMMYFUNCTION("""COMPUTED_VALUE"""),"Moses Creek")</f>
        <v>Moses Creek</v>
      </c>
      <c r="I359" s="15">
        <f ca="1">IFERROR(__xludf.DUMMYFUNCTION("""COMPUTED_VALUE"""),0.58333333333212)</f>
        <v>0.58333333333212001</v>
      </c>
      <c r="J359" s="16">
        <f ca="1">IFERROR(__xludf.DUMMYFUNCTION("""COMPUTED_VALUE"""),43699.625)</f>
        <v>43699.625</v>
      </c>
      <c r="K359" t="str">
        <f ca="1">IFERROR(__xludf.DUMMYFUNCTION("""COMPUTED_VALUE"""),"F 20ft Sea Ark (Easy 200) FL8534PY DEP21451")</f>
        <v>F 20ft Sea Ark (Easy 200) FL8534PY DEP21451</v>
      </c>
      <c r="M359" t="str">
        <f ca="1">IFERROR(__xludf.DUMMYFUNCTION("""COMPUTED_VALUE"""),"Ford F250 2017 (Moby Dix) - DEP0021578")</f>
        <v>Ford F250 2017 (Moby Dix) - DEP0021578</v>
      </c>
      <c r="N359" t="str">
        <f ca="1">IFERROR(__xludf.DUMMYFUNCTION("""COMPUTED_VALUE"""),"Pam Marcum, (480) 332-5414")</f>
        <v>Pam Marcum, (480) 332-5414</v>
      </c>
      <c r="O359" t="str">
        <f ca="1">IFERROR(__xludf.DUMMYFUNCTION("""COMPUTED_VALUE"""),"Alee Knoell")</f>
        <v>Alee Knoell</v>
      </c>
      <c r="P359" t="str">
        <f ca="1">IFERROR(__xludf.DUMMYFUNCTION("""COMPUTED_VALUE"""),"Pam")</f>
        <v>Pam</v>
      </c>
      <c r="Q359" t="str">
        <f ca="1">IFERROR(__xludf.DUMMYFUNCTION("""COMPUTED_VALUE"""),"Good")</f>
        <v>Good</v>
      </c>
      <c r="R359" t="str">
        <f ca="1">IFERROR(__xludf.DUMMYFUNCTION("""COMPUTED_VALUE"""),"Good")</f>
        <v>Good</v>
      </c>
      <c r="S359" t="str">
        <f ca="1">IFERROR(__xludf.DUMMYFUNCTION("""COMPUTED_VALUE"""),"Good")</f>
        <v>Good</v>
      </c>
      <c r="T359" t="str">
        <f ca="1">IFERROR(__xludf.DUMMYFUNCTION("""COMPUTED_VALUE"""),"Good")</f>
        <v>Good</v>
      </c>
      <c r="U359" t="str">
        <f ca="1">IFERROR(__xludf.DUMMYFUNCTION("""COMPUTED_VALUE"""),"Good")</f>
        <v>Good</v>
      </c>
      <c r="V359" t="str">
        <f ca="1">IFERROR(__xludf.DUMMYFUNCTION("""COMPUTED_VALUE"""),"Good")</f>
        <v>Good</v>
      </c>
      <c r="W359" t="str">
        <f ca="1">IFERROR(__xludf.DUMMYFUNCTION("""COMPUTED_VALUE"""),"Good")</f>
        <v>Good</v>
      </c>
      <c r="X359" t="str">
        <f ca="1">IFERROR(__xludf.DUMMYFUNCTION("""COMPUTED_VALUE"""),"Good")</f>
        <v>Good</v>
      </c>
      <c r="Y359" t="str">
        <f ca="1">IFERROR(__xludf.DUMMYFUNCTION("""COMPUTED_VALUE"""),"Good")</f>
        <v>Good</v>
      </c>
      <c r="Z359" t="str">
        <f ca="1">IFERROR(__xludf.DUMMYFUNCTION("""COMPUTED_VALUE"""),"Good")</f>
        <v>Good</v>
      </c>
      <c r="AA359" t="str">
        <f ca="1">IFERROR(__xludf.DUMMYFUNCTION("""COMPUTED_VALUE"""),"Good")</f>
        <v>Good</v>
      </c>
      <c r="AB359" t="str">
        <f ca="1">IFERROR(__xludf.DUMMYFUNCTION("""COMPUTED_VALUE"""),"Good")</f>
        <v>Good</v>
      </c>
      <c r="AC359" t="str">
        <f ca="1">IFERROR(__xludf.DUMMYFUNCTION("""COMPUTED_VALUE"""),"Good")</f>
        <v>Good</v>
      </c>
      <c r="AE359" s="11"/>
      <c r="AF359" t="str">
        <v>Nikki.Dix@floridadep.gov</v>
      </c>
      <c r="AG359" s="17" t="s">
        <v>58</v>
      </c>
      <c r="AH359" s="12">
        <v>1443</v>
      </c>
      <c r="AI359" s="12" t="s">
        <v>1025</v>
      </c>
      <c r="AJ359" s="19" t="s">
        <v>1026</v>
      </c>
      <c r="AK359" s="20" t="str">
        <f>HYPERLINK("https://docs.google.com/document/d/117UlOtSgj_kq7O1HZU85eiTPSysmyUGc-U29QvcaS3M/edit?usp=drivesdk","Pam Marcum - 8/22/2019 7:15 AM")</f>
        <v>Pam Marcum - 8/22/2019 7:15 AM</v>
      </c>
      <c r="AL359" s="12" t="s">
        <v>1027</v>
      </c>
    </row>
    <row r="360" spans="1:38" ht="12.75">
      <c r="A360" s="10">
        <f ca="1">IFERROR(__xludf.DUMMYFUNCTION("""COMPUTED_VALUE"""),43700.3252907175)</f>
        <v>43700.325290717497</v>
      </c>
      <c r="B360" s="11" t="str">
        <f ca="1">IFERROR(__xludf.DUMMYFUNCTION("""COMPUTED_VALUE"""),"Pamela Marcum")</f>
        <v>Pamela Marcum</v>
      </c>
      <c r="C360" t="str">
        <f ca="1">IFERROR(__xludf.DUMMYFUNCTION("""COMPUTED_VALUE"""),"pamela.marcum@floridadep.gov")</f>
        <v>pamela.marcum@floridadep.gov</v>
      </c>
      <c r="D360" t="str">
        <f ca="1">IFERROR(__xludf.DUMMYFUNCTION("""COMPUTED_VALUE"""),"Research/Nikki")</f>
        <v>Research/Nikki</v>
      </c>
      <c r="E360" t="str">
        <f ca="1">IFERROR(__xludf.DUMMYFUNCTION("""COMPUTED_VALUE"""),"Green rd")</f>
        <v>Green rd</v>
      </c>
      <c r="F360" s="13">
        <f ca="1">IFERROR(__xludf.DUMMYFUNCTION("""COMPUTED_VALUE"""),0.322916666667879)</f>
        <v>0.32291666666787899</v>
      </c>
      <c r="G360" s="14">
        <f ca="1">IFERROR(__xludf.DUMMYFUNCTION("""COMPUTED_VALUE"""),43700)</f>
        <v>43700</v>
      </c>
      <c r="H360" t="str">
        <f ca="1">IFERROR(__xludf.DUMMYFUNCTION("""COMPUTED_VALUE"""),"Moses creek")</f>
        <v>Moses creek</v>
      </c>
      <c r="I360" s="15">
        <f ca="1">IFERROR(__xludf.DUMMYFUNCTION("""COMPUTED_VALUE"""),0.625)</f>
        <v>0.625</v>
      </c>
      <c r="J360" s="16">
        <f ca="1">IFERROR(__xludf.DUMMYFUNCTION("""COMPUTED_VALUE"""),43700.6666666666)</f>
        <v>43700.666666666599</v>
      </c>
      <c r="K360" t="str">
        <f ca="1">IFERROR(__xludf.DUMMYFUNCTION("""COMPUTED_VALUE"""),"F 20ft Sea Ark (Easy 200) FL8534PY DEP21451")</f>
        <v>F 20ft Sea Ark (Easy 200) FL8534PY DEP21451</v>
      </c>
      <c r="M360" t="str">
        <f ca="1">IFERROR(__xludf.DUMMYFUNCTION("""COMPUTED_VALUE"""),"Ford F250 2017 (Moby Dix) - DEP0021578")</f>
        <v>Ford F250 2017 (Moby Dix) - DEP0021578</v>
      </c>
      <c r="N360" t="str">
        <f ca="1">IFERROR(__xludf.DUMMYFUNCTION("""COMPUTED_VALUE"""),"Pam Marcum, (480) 332-5414, Shannon Dunnigan, (803) 727-5734, Silas Tanner, (904) 483-8423")</f>
        <v>Pam Marcum, (480) 332-5414, Shannon Dunnigan, (803) 727-5734, Silas Tanner, (904) 483-8423</v>
      </c>
      <c r="O360" t="str">
        <f ca="1">IFERROR(__xludf.DUMMYFUNCTION("""COMPUTED_VALUE"""),"Alee Knoell")</f>
        <v>Alee Knoell</v>
      </c>
      <c r="P360" t="str">
        <f ca="1">IFERROR(__xludf.DUMMYFUNCTION("""COMPUTED_VALUE"""),"Pam")</f>
        <v>Pam</v>
      </c>
      <c r="Q360" t="str">
        <f ca="1">IFERROR(__xludf.DUMMYFUNCTION("""COMPUTED_VALUE"""),"Good")</f>
        <v>Good</v>
      </c>
      <c r="R360" t="str">
        <f ca="1">IFERROR(__xludf.DUMMYFUNCTION("""COMPUTED_VALUE"""),"Good")</f>
        <v>Good</v>
      </c>
      <c r="S360" t="str">
        <f ca="1">IFERROR(__xludf.DUMMYFUNCTION("""COMPUTED_VALUE"""),"Good")</f>
        <v>Good</v>
      </c>
      <c r="T360" t="str">
        <f ca="1">IFERROR(__xludf.DUMMYFUNCTION("""COMPUTED_VALUE"""),"Good")</f>
        <v>Good</v>
      </c>
      <c r="U360" t="str">
        <f ca="1">IFERROR(__xludf.DUMMYFUNCTION("""COMPUTED_VALUE"""),"Good")</f>
        <v>Good</v>
      </c>
      <c r="V360" t="str">
        <f ca="1">IFERROR(__xludf.DUMMYFUNCTION("""COMPUTED_VALUE"""),"Good")</f>
        <v>Good</v>
      </c>
      <c r="W360" t="str">
        <f ca="1">IFERROR(__xludf.DUMMYFUNCTION("""COMPUTED_VALUE"""),"Good")</f>
        <v>Good</v>
      </c>
      <c r="X360" t="str">
        <f ca="1">IFERROR(__xludf.DUMMYFUNCTION("""COMPUTED_VALUE"""),"Good")</f>
        <v>Good</v>
      </c>
      <c r="Y360" t="str">
        <f ca="1">IFERROR(__xludf.DUMMYFUNCTION("""COMPUTED_VALUE"""),"Good")</f>
        <v>Good</v>
      </c>
      <c r="Z360" t="str">
        <f ca="1">IFERROR(__xludf.DUMMYFUNCTION("""COMPUTED_VALUE"""),"Good")</f>
        <v>Good</v>
      </c>
      <c r="AA360" t="str">
        <f ca="1">IFERROR(__xludf.DUMMYFUNCTION("""COMPUTED_VALUE"""),"Good")</f>
        <v>Good</v>
      </c>
      <c r="AB360" t="str">
        <f ca="1">IFERROR(__xludf.DUMMYFUNCTION("""COMPUTED_VALUE"""),"Good")</f>
        <v>Good</v>
      </c>
      <c r="AC360" t="str">
        <f ca="1">IFERROR(__xludf.DUMMYFUNCTION("""COMPUTED_VALUE"""),"Good")</f>
        <v>Good</v>
      </c>
      <c r="AE360" s="11"/>
      <c r="AF360" t="str">
        <v>Nikki.Dix@floridadep.gov</v>
      </c>
      <c r="AG360" s="17" t="s">
        <v>17</v>
      </c>
      <c r="AH360" s="12">
        <v>910</v>
      </c>
      <c r="AI360" s="12" t="s">
        <v>1028</v>
      </c>
      <c r="AJ360" s="19" t="s">
        <v>1029</v>
      </c>
      <c r="AK360" s="20" t="str">
        <f>HYPERLINK("https://docs.google.com/document/d/1sG4FS2pAmky1WC9QNvN3opCN2KZ3liAWKRz-jnsPPrY/edit?usp=drivesdk","Pamela Marcum - 8/23/2019 7:45 AM")</f>
        <v>Pamela Marcum - 8/23/2019 7:45 AM</v>
      </c>
      <c r="AL360" s="12" t="s">
        <v>1030</v>
      </c>
    </row>
    <row r="361" spans="1:38" ht="12.75">
      <c r="A361" s="10">
        <f ca="1">IFERROR(__xludf.DUMMYFUNCTION("""COMPUTED_VALUE"""),43704.3597691898)</f>
        <v>43704.359769189803</v>
      </c>
      <c r="B361" s="11" t="str">
        <f ca="1">IFERROR(__xludf.DUMMYFUNCTION("""COMPUTED_VALUE"""),"Pamela Marcum")</f>
        <v>Pamela Marcum</v>
      </c>
      <c r="C361" t="str">
        <f ca="1">IFERROR(__xludf.DUMMYFUNCTION("""COMPUTED_VALUE"""),"Pamela.Marcum@floridadep.gov")</f>
        <v>Pamela.Marcum@floridadep.gov</v>
      </c>
      <c r="D361" t="str">
        <f ca="1">IFERROR(__xludf.DUMMYFUNCTION("""COMPUTED_VALUE"""),"Research/Nikki")</f>
        <v>Research/Nikki</v>
      </c>
      <c r="E361" t="str">
        <f ca="1">IFERROR(__xludf.DUMMYFUNCTION("""COMPUTED_VALUE"""),"Green Rd")</f>
        <v>Green Rd</v>
      </c>
      <c r="F361" s="13">
        <f ca="1">IFERROR(__xludf.DUMMYFUNCTION("""COMPUTED_VALUE"""),0.39583333333212)</f>
        <v>0.39583333333212001</v>
      </c>
      <c r="G361" s="14">
        <f ca="1">IFERROR(__xludf.DUMMYFUNCTION("""COMPUTED_VALUE"""),43704)</f>
        <v>43704</v>
      </c>
      <c r="H361" t="str">
        <f ca="1">IFERROR(__xludf.DUMMYFUNCTION("""COMPUTED_VALUE"""),"Moses Creek")</f>
        <v>Moses Creek</v>
      </c>
      <c r="I361" s="15">
        <f ca="1">IFERROR(__xludf.DUMMYFUNCTION("""COMPUTED_VALUE"""),0.625)</f>
        <v>0.625</v>
      </c>
      <c r="J361" s="16">
        <f ca="1">IFERROR(__xludf.DUMMYFUNCTION("""COMPUTED_VALUE"""),43704.6666666666)</f>
        <v>43704.666666666599</v>
      </c>
      <c r="K361" t="str">
        <f ca="1">IFERROR(__xludf.DUMMYFUNCTION("""COMPUTED_VALUE"""),"17ft Skill FL0642GW DEP07239")</f>
        <v>17ft Skill FL0642GW DEP07239</v>
      </c>
      <c r="M361" t="str">
        <f ca="1">IFERROR(__xludf.DUMMYFUNCTION("""COMPUTED_VALUE"""),"Ford F150 2008 - DEP18041 (SWMP Thing)")</f>
        <v>Ford F150 2008 - DEP18041 (SWMP Thing)</v>
      </c>
      <c r="N361" t="str">
        <f ca="1">IFERROR(__xludf.DUMMYFUNCTION("""COMPUTED_VALUE"""),"Pam Marcum, (480) 332-5414")</f>
        <v>Pam Marcum, (480) 332-5414</v>
      </c>
      <c r="O361" t="str">
        <f ca="1">IFERROR(__xludf.DUMMYFUNCTION("""COMPUTED_VALUE"""),"Alee Knoell")</f>
        <v>Alee Knoell</v>
      </c>
      <c r="P361" t="str">
        <f ca="1">IFERROR(__xludf.DUMMYFUNCTION("""COMPUTED_VALUE"""),"Pam")</f>
        <v>Pam</v>
      </c>
      <c r="Q361" t="str">
        <f ca="1">IFERROR(__xludf.DUMMYFUNCTION("""COMPUTED_VALUE"""),"Good")</f>
        <v>Good</v>
      </c>
      <c r="R361" t="str">
        <f ca="1">IFERROR(__xludf.DUMMYFUNCTION("""COMPUTED_VALUE"""),"Good")</f>
        <v>Good</v>
      </c>
      <c r="S361" t="str">
        <f ca="1">IFERROR(__xludf.DUMMYFUNCTION("""COMPUTED_VALUE"""),"Good")</f>
        <v>Good</v>
      </c>
      <c r="T361" t="str">
        <f ca="1">IFERROR(__xludf.DUMMYFUNCTION("""COMPUTED_VALUE"""),"Good")</f>
        <v>Good</v>
      </c>
      <c r="U361" t="str">
        <f ca="1">IFERROR(__xludf.DUMMYFUNCTION("""COMPUTED_VALUE"""),"Good")</f>
        <v>Good</v>
      </c>
      <c r="V361" t="str">
        <f ca="1">IFERROR(__xludf.DUMMYFUNCTION("""COMPUTED_VALUE"""),"Good")</f>
        <v>Good</v>
      </c>
      <c r="W361" t="str">
        <f ca="1">IFERROR(__xludf.DUMMYFUNCTION("""COMPUTED_VALUE"""),"Good")</f>
        <v>Good</v>
      </c>
      <c r="X361" t="str">
        <f ca="1">IFERROR(__xludf.DUMMYFUNCTION("""COMPUTED_VALUE"""),"Good")</f>
        <v>Good</v>
      </c>
      <c r="Y361" t="str">
        <f ca="1">IFERROR(__xludf.DUMMYFUNCTION("""COMPUTED_VALUE"""),"Good")</f>
        <v>Good</v>
      </c>
      <c r="Z361" t="str">
        <f ca="1">IFERROR(__xludf.DUMMYFUNCTION("""COMPUTED_VALUE"""),"Good")</f>
        <v>Good</v>
      </c>
      <c r="AA361" t="str">
        <f ca="1">IFERROR(__xludf.DUMMYFUNCTION("""COMPUTED_VALUE"""),"Good")</f>
        <v>Good</v>
      </c>
      <c r="AB361" t="str">
        <f ca="1">IFERROR(__xludf.DUMMYFUNCTION("""COMPUTED_VALUE"""),"Good")</f>
        <v>Good</v>
      </c>
      <c r="AC361" t="str">
        <f ca="1">IFERROR(__xludf.DUMMYFUNCTION("""COMPUTED_VALUE"""),"Good")</f>
        <v>Good</v>
      </c>
      <c r="AE361" s="11"/>
      <c r="AF361" t="str">
        <v>Nikki.Dix@floridadep.gov</v>
      </c>
      <c r="AG361" s="17" t="s">
        <v>58</v>
      </c>
      <c r="AH361" s="12">
        <v>1523</v>
      </c>
      <c r="AI361" s="12" t="s">
        <v>1031</v>
      </c>
      <c r="AJ361" s="19" t="s">
        <v>1032</v>
      </c>
      <c r="AK361" s="20" t="str">
        <f>HYPERLINK("https://docs.google.com/document/d/17k__OhYheTr3nYbx5FarCqsKPH8rt5B5IyLMdHihyxo/edit?usp=drivesdk","Pamela Marcum - 8/27/2019 9:30 AM")</f>
        <v>Pamela Marcum - 8/27/2019 9:30 AM</v>
      </c>
      <c r="AL361" s="12" t="s">
        <v>1033</v>
      </c>
    </row>
    <row r="362" spans="1:38" ht="12.75">
      <c r="A362" s="10">
        <f ca="1">IFERROR(__xludf.DUMMYFUNCTION("""COMPUTED_VALUE"""),43705.2710619444)</f>
        <v>43705.271061944397</v>
      </c>
      <c r="B362" s="11" t="str">
        <f ca="1">IFERROR(__xludf.DUMMYFUNCTION("""COMPUTED_VALUE"""),"Silas Tanner")</f>
        <v>Silas Tanner</v>
      </c>
      <c r="C362" t="str">
        <f ca="1">IFERROR(__xludf.DUMMYFUNCTION("""COMPUTED_VALUE"""),"silas.tanner@floridadep.gov")</f>
        <v>silas.tanner@floridadep.gov</v>
      </c>
      <c r="D362" t="str">
        <f ca="1">IFERROR(__xludf.DUMMYFUNCTION("""COMPUTED_VALUE"""),"Research/Nikki")</f>
        <v>Research/Nikki</v>
      </c>
      <c r="E362" t="str">
        <f ca="1">IFERROR(__xludf.DUMMYFUNCTION("""COMPUTED_VALUE"""),"Vilano landing")</f>
        <v>Vilano landing</v>
      </c>
      <c r="F362" s="13">
        <f ca="1">IFERROR(__xludf.DUMMYFUNCTION("""COMPUTED_VALUE"""),0.30208333333212)</f>
        <v>0.30208333333212001</v>
      </c>
      <c r="G362" s="14">
        <f ca="1">IFERROR(__xludf.DUMMYFUNCTION("""COMPUTED_VALUE"""),43705)</f>
        <v>43705</v>
      </c>
      <c r="H362" t="str">
        <f ca="1">IFERROR(__xludf.DUMMYFUNCTION("""COMPUTED_VALUE"""),"ICW SWMP sites")</f>
        <v>ICW SWMP sites</v>
      </c>
      <c r="I362" s="15">
        <f ca="1">IFERROR(__xludf.DUMMYFUNCTION("""COMPUTED_VALUE"""),0.58333333333212)</f>
        <v>0.58333333333212001</v>
      </c>
      <c r="J362" s="16">
        <f ca="1">IFERROR(__xludf.DUMMYFUNCTION("""COMPUTED_VALUE"""),43705.53125)</f>
        <v>43705.53125</v>
      </c>
      <c r="K362" t="str">
        <f ca="1">IFERROR(__xludf.DUMMYFUNCTION("""COMPUTED_VALUE"""),"23ft Skiff (Bertha) FL7972LJ DEP07613")</f>
        <v>23ft Skiff (Bertha) FL7972LJ DEP07613</v>
      </c>
      <c r="M362" t="str">
        <f ca="1">IFERROR(__xludf.DUMMYFUNCTION("""COMPUTED_VALUE"""),"Ford F250 2017 (Moby Dix) - DEP0021578")</f>
        <v>Ford F250 2017 (Moby Dix) - DEP0021578</v>
      </c>
      <c r="N362" t="str">
        <f ca="1">IFERROR(__xludf.DUMMYFUNCTION("""COMPUTED_VALUE"""),"Silas Tanner, (904) 483-8423, Remo Mondazzi")</f>
        <v>Silas Tanner, (904) 483-8423, Remo Mondazzi</v>
      </c>
      <c r="P362" t="str">
        <f ca="1">IFERROR(__xludf.DUMMYFUNCTION("""COMPUTED_VALUE"""),"S. Tanner")</f>
        <v>S. Tanner</v>
      </c>
      <c r="Q362" t="str">
        <f ca="1">IFERROR(__xludf.DUMMYFUNCTION("""COMPUTED_VALUE"""),"Good")</f>
        <v>Good</v>
      </c>
      <c r="R362" t="str">
        <f ca="1">IFERROR(__xludf.DUMMYFUNCTION("""COMPUTED_VALUE"""),"Good")</f>
        <v>Good</v>
      </c>
      <c r="S362" t="str">
        <f ca="1">IFERROR(__xludf.DUMMYFUNCTION("""COMPUTED_VALUE"""),"Good")</f>
        <v>Good</v>
      </c>
      <c r="T362" t="str">
        <f ca="1">IFERROR(__xludf.DUMMYFUNCTION("""COMPUTED_VALUE"""),"Good")</f>
        <v>Good</v>
      </c>
      <c r="U362" t="str">
        <f ca="1">IFERROR(__xludf.DUMMYFUNCTION("""COMPUTED_VALUE"""),"Good")</f>
        <v>Good</v>
      </c>
      <c r="V362" t="str">
        <f ca="1">IFERROR(__xludf.DUMMYFUNCTION("""COMPUTED_VALUE"""),"Good")</f>
        <v>Good</v>
      </c>
      <c r="W362" t="str">
        <f ca="1">IFERROR(__xludf.DUMMYFUNCTION("""COMPUTED_VALUE"""),"Good")</f>
        <v>Good</v>
      </c>
      <c r="X362" t="str">
        <f ca="1">IFERROR(__xludf.DUMMYFUNCTION("""COMPUTED_VALUE"""),"Good")</f>
        <v>Good</v>
      </c>
      <c r="Y362" t="str">
        <f ca="1">IFERROR(__xludf.DUMMYFUNCTION("""COMPUTED_VALUE"""),"Good")</f>
        <v>Good</v>
      </c>
      <c r="Z362" t="str">
        <f ca="1">IFERROR(__xludf.DUMMYFUNCTION("""COMPUTED_VALUE"""),"Good")</f>
        <v>Good</v>
      </c>
      <c r="AA362" t="str">
        <f ca="1">IFERROR(__xludf.DUMMYFUNCTION("""COMPUTED_VALUE"""),"Good")</f>
        <v>Good</v>
      </c>
      <c r="AB362" t="str">
        <f ca="1">IFERROR(__xludf.DUMMYFUNCTION("""COMPUTED_VALUE"""),"Good")</f>
        <v>Good</v>
      </c>
      <c r="AC362" t="str">
        <f ca="1">IFERROR(__xludf.DUMMYFUNCTION("""COMPUTED_VALUE"""),"Good")</f>
        <v>Good</v>
      </c>
      <c r="AE362" s="11"/>
      <c r="AF362" t="str">
        <v>Nikki.Dix@floridadep.gov</v>
      </c>
      <c r="AG362" s="17" t="s">
        <v>41</v>
      </c>
      <c r="AH362" s="12">
        <v>1348</v>
      </c>
      <c r="AI362" s="12" t="s">
        <v>1034</v>
      </c>
      <c r="AJ362" s="19" t="s">
        <v>1035</v>
      </c>
      <c r="AK362" s="20" t="str">
        <f>HYPERLINK("https://docs.google.com/document/d/18J_oMGg9KxP1sUZubTUlVkgQbIimvibwL5Y_dskUwx4/edit?usp=drivesdk","Silas Tanner - 8/28/2019 7:15 AM")</f>
        <v>Silas Tanner - 8/28/2019 7:15 AM</v>
      </c>
      <c r="AL362" s="12" t="s">
        <v>1036</v>
      </c>
    </row>
    <row r="363" spans="1:38" ht="12.75">
      <c r="A363" s="10">
        <f ca="1">IFERROR(__xludf.DUMMYFUNCTION("""COMPUTED_VALUE"""),43705.4669039583)</f>
        <v>43705.466903958302</v>
      </c>
      <c r="B363" s="11" t="str">
        <f ca="1">IFERROR(__xludf.DUMMYFUNCTION("""COMPUTED_VALUE"""),"Alee knoell")</f>
        <v>Alee knoell</v>
      </c>
      <c r="C363" t="str">
        <f ca="1">IFERROR(__xludf.DUMMYFUNCTION("""COMPUTED_VALUE"""),"alee.knoell@floridadep.gov")</f>
        <v>alee.knoell@floridadep.gov</v>
      </c>
      <c r="D363" t="str">
        <f ca="1">IFERROR(__xludf.DUMMYFUNCTION("""COMPUTED_VALUE"""),"Research/Pam")</f>
        <v>Research/Pam</v>
      </c>
      <c r="E363" t="str">
        <f ca="1">IFERROR(__xludf.DUMMYFUNCTION("""COMPUTED_VALUE"""),"Vilano")</f>
        <v>Vilano</v>
      </c>
      <c r="F363" s="13">
        <f ca="1">IFERROR(__xludf.DUMMYFUNCTION("""COMPUTED_VALUE"""),0.479166666667879)</f>
        <v>0.47916666666787899</v>
      </c>
      <c r="G363" s="14">
        <f ca="1">IFERROR(__xludf.DUMMYFUNCTION("""COMPUTED_VALUE"""),43705)</f>
        <v>43705</v>
      </c>
      <c r="H363" t="str">
        <f ca="1">IFERROR(__xludf.DUMMYFUNCTION("""COMPUTED_VALUE"""),"Spat trees")</f>
        <v>Spat trees</v>
      </c>
      <c r="I363" s="15">
        <f ca="1">IFERROR(__xludf.DUMMYFUNCTION("""COMPUTED_VALUE"""),0.625)</f>
        <v>0.625</v>
      </c>
      <c r="J363" s="16">
        <f ca="1">IFERROR(__xludf.DUMMYFUNCTION("""COMPUTED_VALUE"""),43705.7291666666)</f>
        <v>43705.729166666599</v>
      </c>
      <c r="K363" t="str">
        <f ca="1">IFERROR(__xludf.DUMMYFUNCTION("""COMPUTED_VALUE"""),"17ft Skill FL0642GW DEP07239")</f>
        <v>17ft Skill FL0642GW DEP07239</v>
      </c>
      <c r="M363" t="str">
        <f ca="1">IFERROR(__xludf.DUMMYFUNCTION("""COMPUTED_VALUE"""),"Ford F150 2008 - DEP18041 (SWMP Thing)")</f>
        <v>Ford F150 2008 - DEP18041 (SWMP Thing)</v>
      </c>
      <c r="N363" t="str">
        <f ca="1">IFERROR(__xludf.DUMMYFUNCTION("""COMPUTED_VALUE"""),"Pam Marcum, (480) 332-5414")</f>
        <v>Pam Marcum, (480) 332-5414</v>
      </c>
      <c r="O363" t="str">
        <f ca="1">IFERROR(__xludf.DUMMYFUNCTION("""COMPUTED_VALUE"""),"Alee Knoell")</f>
        <v>Alee Knoell</v>
      </c>
      <c r="P363" t="str">
        <f ca="1">IFERROR(__xludf.DUMMYFUNCTION("""COMPUTED_VALUE"""),"Pam Marcum")</f>
        <v>Pam Marcum</v>
      </c>
      <c r="Q363" t="str">
        <f ca="1">IFERROR(__xludf.DUMMYFUNCTION("""COMPUTED_VALUE"""),"Good")</f>
        <v>Good</v>
      </c>
      <c r="R363" t="str">
        <f ca="1">IFERROR(__xludf.DUMMYFUNCTION("""COMPUTED_VALUE"""),"Good")</f>
        <v>Good</v>
      </c>
      <c r="S363" t="str">
        <f ca="1">IFERROR(__xludf.DUMMYFUNCTION("""COMPUTED_VALUE"""),"Good")</f>
        <v>Good</v>
      </c>
      <c r="T363" t="str">
        <f ca="1">IFERROR(__xludf.DUMMYFUNCTION("""COMPUTED_VALUE"""),"Good")</f>
        <v>Good</v>
      </c>
      <c r="U363" t="str">
        <f ca="1">IFERROR(__xludf.DUMMYFUNCTION("""COMPUTED_VALUE"""),"Good")</f>
        <v>Good</v>
      </c>
      <c r="V363" t="str">
        <f ca="1">IFERROR(__xludf.DUMMYFUNCTION("""COMPUTED_VALUE"""),"Good")</f>
        <v>Good</v>
      </c>
      <c r="W363" t="str">
        <f ca="1">IFERROR(__xludf.DUMMYFUNCTION("""COMPUTED_VALUE"""),"Good")</f>
        <v>Good</v>
      </c>
      <c r="X363" t="str">
        <f ca="1">IFERROR(__xludf.DUMMYFUNCTION("""COMPUTED_VALUE"""),"Good")</f>
        <v>Good</v>
      </c>
      <c r="Y363" t="str">
        <f ca="1">IFERROR(__xludf.DUMMYFUNCTION("""COMPUTED_VALUE"""),"Good")</f>
        <v>Good</v>
      </c>
      <c r="Z363" t="str">
        <f ca="1">IFERROR(__xludf.DUMMYFUNCTION("""COMPUTED_VALUE"""),"Good")</f>
        <v>Good</v>
      </c>
      <c r="AA363" t="str">
        <f ca="1">IFERROR(__xludf.DUMMYFUNCTION("""COMPUTED_VALUE"""),"Good")</f>
        <v>Good</v>
      </c>
      <c r="AB363" t="str">
        <f ca="1">IFERROR(__xludf.DUMMYFUNCTION("""COMPUTED_VALUE"""),"Good")</f>
        <v>Good</v>
      </c>
      <c r="AC363" t="str">
        <f ca="1">IFERROR(__xludf.DUMMYFUNCTION("""COMPUTED_VALUE"""),"Good")</f>
        <v>Good</v>
      </c>
      <c r="AE363" s="11"/>
      <c r="AF363" t="str">
        <v>Pamela.Marcum@floridadep.gov</v>
      </c>
      <c r="AG363" s="17" t="s">
        <v>17</v>
      </c>
      <c r="AH363" s="12">
        <v>1415</v>
      </c>
      <c r="AI363" s="12" t="s">
        <v>1037</v>
      </c>
      <c r="AJ363" s="19" t="s">
        <v>1038</v>
      </c>
      <c r="AK363" s="20" t="str">
        <f>HYPERLINK("https://docs.google.com/document/d/157atlnV4PfNUXltB_9nowSR6oPh6zVU7PPouDkoFvdw/edit?usp=drivesdk","Alee knoell - 8/28/2019 11:30 AM")</f>
        <v>Alee knoell - 8/28/2019 11:30 AM</v>
      </c>
      <c r="AL363" s="12" t="s">
        <v>1039</v>
      </c>
    </row>
    <row r="364" spans="1:38" ht="12.75">
      <c r="A364" s="10">
        <f ca="1">IFERROR(__xludf.DUMMYFUNCTION("""COMPUTED_VALUE"""),43717.7090765625)</f>
        <v>43717.709076562503</v>
      </c>
      <c r="B364" s="11" t="str">
        <f ca="1">IFERROR(__xludf.DUMMYFUNCTION("""COMPUTED_VALUE"""),"Jimmy Tomazinis")</f>
        <v>Jimmy Tomazinis</v>
      </c>
      <c r="C364" t="str">
        <f ca="1">IFERROR(__xludf.DUMMYFUNCTION("""COMPUTED_VALUE"""),"james.tomazinis@floridadep.gov")</f>
        <v>james.tomazinis@floridadep.gov</v>
      </c>
      <c r="D364" t="str">
        <f ca="1">IFERROR(__xludf.DUMMYFUNCTION("""COMPUTED_VALUE"""),"Stewardship (Aquatic)")</f>
        <v>Stewardship (Aquatic)</v>
      </c>
      <c r="E364" t="str">
        <f ca="1">IFERROR(__xludf.DUMMYFUNCTION("""COMPUTED_VALUE"""),"Guana Dam")</f>
        <v>Guana Dam</v>
      </c>
      <c r="F364" s="13">
        <f ca="1">IFERROR(__xludf.DUMMYFUNCTION("""COMPUTED_VALUE"""),0.33333333333212)</f>
        <v>0.33333333333212001</v>
      </c>
      <c r="G364" s="14">
        <f ca="1">IFERROR(__xludf.DUMMYFUNCTION("""COMPUTED_VALUE"""),33126)</f>
        <v>33126</v>
      </c>
      <c r="H364" t="str">
        <f ca="1">IFERROR(__xludf.DUMMYFUNCTION("""COMPUTED_VALUE"""),"Guana River WQ sites")</f>
        <v>Guana River WQ sites</v>
      </c>
      <c r="I364" s="15">
        <f ca="1">IFERROR(__xludf.DUMMYFUNCTION("""COMPUTED_VALUE"""),0.416666666667879)</f>
        <v>0.41666666666787899</v>
      </c>
      <c r="J364" s="16"/>
      <c r="K364" t="str">
        <f ca="1">IFERROR(__xludf.DUMMYFUNCTION("""COMPUTED_VALUE"""),"Jon Boat FL0484NP DEP06819")</f>
        <v>Jon Boat FL0484NP DEP06819</v>
      </c>
      <c r="M364" t="str">
        <f ca="1">IFERROR(__xludf.DUMMYFUNCTION("""COMPUTED_VALUE"""),"Ford F150 2015 (White) - DEP21448")</f>
        <v>Ford F150 2015 (White) - DEP21448</v>
      </c>
      <c r="N364" t="str">
        <f ca="1">IFERROR(__xludf.DUMMYFUNCTION("""COMPUTED_VALUE"""),"Jimmy Tomazinis, (904) 547-0094")</f>
        <v>Jimmy Tomazinis, (904) 547-0094</v>
      </c>
      <c r="O364" t="str">
        <f ca="1">IFERROR(__xludf.DUMMYFUNCTION("""COMPUTED_VALUE"""),"Jessica Lee")</f>
        <v>Jessica Lee</v>
      </c>
      <c r="P364" t="str">
        <f ca="1">IFERROR(__xludf.DUMMYFUNCTION("""COMPUTED_VALUE"""),"Jimmy")</f>
        <v>Jimmy</v>
      </c>
      <c r="Q364" t="str">
        <f ca="1">IFERROR(__xludf.DUMMYFUNCTION("""COMPUTED_VALUE"""),"Good")</f>
        <v>Good</v>
      </c>
      <c r="R364" t="str">
        <f ca="1">IFERROR(__xludf.DUMMYFUNCTION("""COMPUTED_VALUE"""),"Good")</f>
        <v>Good</v>
      </c>
      <c r="S364" t="str">
        <f ca="1">IFERROR(__xludf.DUMMYFUNCTION("""COMPUTED_VALUE"""),"Good")</f>
        <v>Good</v>
      </c>
      <c r="T364" t="str">
        <f ca="1">IFERROR(__xludf.DUMMYFUNCTION("""COMPUTED_VALUE"""),"Good")</f>
        <v>Good</v>
      </c>
      <c r="U364" t="str">
        <f ca="1">IFERROR(__xludf.DUMMYFUNCTION("""COMPUTED_VALUE"""),"Good")</f>
        <v>Good</v>
      </c>
      <c r="V364" t="str">
        <f ca="1">IFERROR(__xludf.DUMMYFUNCTION("""COMPUTED_VALUE"""),"Good")</f>
        <v>Good</v>
      </c>
      <c r="W364" t="str">
        <f ca="1">IFERROR(__xludf.DUMMYFUNCTION("""COMPUTED_VALUE"""),"Good")</f>
        <v>Good</v>
      </c>
      <c r="X364" t="str">
        <f ca="1">IFERROR(__xludf.DUMMYFUNCTION("""COMPUTED_VALUE"""),"Good")</f>
        <v>Good</v>
      </c>
      <c r="Y364" t="str">
        <f ca="1">IFERROR(__xludf.DUMMYFUNCTION("""COMPUTED_VALUE"""),"Good")</f>
        <v>Good</v>
      </c>
      <c r="Z364" t="str">
        <f ca="1">IFERROR(__xludf.DUMMYFUNCTION("""COMPUTED_VALUE"""),"Good")</f>
        <v>Good</v>
      </c>
      <c r="AA364" t="str">
        <f ca="1">IFERROR(__xludf.DUMMYFUNCTION("""COMPUTED_VALUE"""),"Good")</f>
        <v>Good</v>
      </c>
      <c r="AB364" t="str">
        <f ca="1">IFERROR(__xludf.DUMMYFUNCTION("""COMPUTED_VALUE"""),"Good")</f>
        <v>Good</v>
      </c>
      <c r="AC364" t="str">
        <f ca="1">IFERROR(__xludf.DUMMYFUNCTION("""COMPUTED_VALUE"""),"Good")</f>
        <v>Good</v>
      </c>
      <c r="AE364" s="11"/>
      <c r="AF364" t="str">
        <v>Scott.Eastman@floridadep.gov</v>
      </c>
      <c r="AG364" s="17" t="s">
        <v>21</v>
      </c>
      <c r="AH364" s="12">
        <v>930</v>
      </c>
      <c r="AI364" s="12" t="s">
        <v>1040</v>
      </c>
      <c r="AJ364" s="19" t="s">
        <v>1041</v>
      </c>
      <c r="AK364" s="20" t="str">
        <f>HYPERLINK("https://docs.google.com/document/d/15hEqU8nv3aRpQI8ho-4D11gMDcOtqzF6M5xm45xB7GM/edit?usp=drivesdk","Jimmy Tomazinis - 9/10/1990 8:00 AM")</f>
        <v>Jimmy Tomazinis - 9/10/1990 8:00 AM</v>
      </c>
      <c r="AL364" s="12" t="s">
        <v>1042</v>
      </c>
    </row>
    <row r="365" spans="1:38" ht="12.75">
      <c r="A365" s="10">
        <f ca="1">IFERROR(__xludf.DUMMYFUNCTION("""COMPUTED_VALUE"""),43718.7289914467)</f>
        <v>43718.728991446696</v>
      </c>
      <c r="B365" s="11" t="str">
        <f ca="1">IFERROR(__xludf.DUMMYFUNCTION("""COMPUTED_VALUE"""),"Jimmy Tomazinis")</f>
        <v>Jimmy Tomazinis</v>
      </c>
      <c r="C365" t="str">
        <f ca="1">IFERROR(__xludf.DUMMYFUNCTION("""COMPUTED_VALUE"""),"james.tomazinis@floridadep.gov")</f>
        <v>james.tomazinis@floridadep.gov</v>
      </c>
      <c r="D365" t="str">
        <f ca="1">IFERROR(__xludf.DUMMYFUNCTION("""COMPUTED_VALUE"""),"Stewardship (Aquatic)")</f>
        <v>Stewardship (Aquatic)</v>
      </c>
      <c r="E365" t="str">
        <f ca="1">IFERROR(__xludf.DUMMYFUNCTION("""COMPUTED_VALUE"""),"Dee Dee Bartels and Goffinsville Park")</f>
        <v>Dee Dee Bartels and Goffinsville Park</v>
      </c>
      <c r="F365" s="13">
        <f ca="1">IFERROR(__xludf.DUMMYFUNCTION("""COMPUTED_VALUE"""),0.3125)</f>
        <v>0.3125</v>
      </c>
      <c r="G365" s="14">
        <f ca="1">IFERROR(__xludf.DUMMYFUNCTION("""COMPUTED_VALUE"""),43719)</f>
        <v>43719</v>
      </c>
      <c r="H365" t="str">
        <f ca="1">IFERROR(__xludf.DUMMYFUNCTION("""COMPUTED_VALUE"""),"NEAP Nekton")</f>
        <v>NEAP Nekton</v>
      </c>
      <c r="I365" s="15">
        <f ca="1">IFERROR(__xludf.DUMMYFUNCTION("""COMPUTED_VALUE"""),0.541666666667879)</f>
        <v>0.54166666666787899</v>
      </c>
      <c r="J365" s="16"/>
      <c r="K365" t="str">
        <f ca="1">IFERROR(__xludf.DUMMYFUNCTION("""COMPUTED_VALUE"""),"17ft Skill FL0642GW DEP07239")</f>
        <v>17ft Skill FL0642GW DEP07239</v>
      </c>
      <c r="M365" t="str">
        <f ca="1">IFERROR(__xludf.DUMMYFUNCTION("""COMPUTED_VALUE"""),"Ford F150 2008 - DEP18041 (SWMP Thing)")</f>
        <v>Ford F150 2008 - DEP18041 (SWMP Thing)</v>
      </c>
      <c r="N365" t="str">
        <f ca="1">IFERROR(__xludf.DUMMYFUNCTION("""COMPUTED_VALUE"""),"Jimmy Tomazinis, (904) 547-0094")</f>
        <v>Jimmy Tomazinis, (904) 547-0094</v>
      </c>
      <c r="O365" t="str">
        <f ca="1">IFERROR(__xludf.DUMMYFUNCTION("""COMPUTED_VALUE"""),"Suzi Porterfield")</f>
        <v>Suzi Porterfield</v>
      </c>
      <c r="P365" t="str">
        <f ca="1">IFERROR(__xludf.DUMMYFUNCTION("""COMPUTED_VALUE"""),"Jimmy")</f>
        <v>Jimmy</v>
      </c>
      <c r="Q365" t="str">
        <f ca="1">IFERROR(__xludf.DUMMYFUNCTION("""COMPUTED_VALUE"""),"Good")</f>
        <v>Good</v>
      </c>
      <c r="R365" t="str">
        <f ca="1">IFERROR(__xludf.DUMMYFUNCTION("""COMPUTED_VALUE"""),"Good")</f>
        <v>Good</v>
      </c>
      <c r="S365" t="str">
        <f ca="1">IFERROR(__xludf.DUMMYFUNCTION("""COMPUTED_VALUE"""),"Good")</f>
        <v>Good</v>
      </c>
      <c r="T365" t="str">
        <f ca="1">IFERROR(__xludf.DUMMYFUNCTION("""COMPUTED_VALUE"""),"Good")</f>
        <v>Good</v>
      </c>
      <c r="U365" t="str">
        <f ca="1">IFERROR(__xludf.DUMMYFUNCTION("""COMPUTED_VALUE"""),"Good")</f>
        <v>Good</v>
      </c>
      <c r="V365" t="str">
        <f ca="1">IFERROR(__xludf.DUMMYFUNCTION("""COMPUTED_VALUE"""),"Good")</f>
        <v>Good</v>
      </c>
      <c r="W365" t="str">
        <f ca="1">IFERROR(__xludf.DUMMYFUNCTION("""COMPUTED_VALUE"""),"Good")</f>
        <v>Good</v>
      </c>
      <c r="X365" t="str">
        <f ca="1">IFERROR(__xludf.DUMMYFUNCTION("""COMPUTED_VALUE"""),"Good")</f>
        <v>Good</v>
      </c>
      <c r="Y365" t="str">
        <f ca="1">IFERROR(__xludf.DUMMYFUNCTION("""COMPUTED_VALUE"""),"Good")</f>
        <v>Good</v>
      </c>
      <c r="Z365" t="str">
        <f ca="1">IFERROR(__xludf.DUMMYFUNCTION("""COMPUTED_VALUE"""),"Good")</f>
        <v>Good</v>
      </c>
      <c r="AA365" t="str">
        <f ca="1">IFERROR(__xludf.DUMMYFUNCTION("""COMPUTED_VALUE"""),"Good")</f>
        <v>Good</v>
      </c>
      <c r="AB365" t="str">
        <f ca="1">IFERROR(__xludf.DUMMYFUNCTION("""COMPUTED_VALUE"""),"Good")</f>
        <v>Good</v>
      </c>
      <c r="AC365" t="str">
        <f ca="1">IFERROR(__xludf.DUMMYFUNCTION("""COMPUTED_VALUE"""),"Good")</f>
        <v>Good</v>
      </c>
      <c r="AE365" s="11"/>
      <c r="AF365" t="str">
        <v>Scott.Eastman@floridadep.gov</v>
      </c>
      <c r="AG365" s="17" t="s">
        <v>17</v>
      </c>
      <c r="AH365" s="12">
        <v>1540</v>
      </c>
      <c r="AI365" s="12" t="s">
        <v>1043</v>
      </c>
      <c r="AJ365" s="19" t="s">
        <v>1044</v>
      </c>
      <c r="AK365" s="20" t="str">
        <f>HYPERLINK("https://docs.google.com/document/d/14fkCLW9hj_7t4_UA1zwCoY5Xee29jCtOYN7O8CObxMM/edit?usp=drivesdk","Jimmy Tomazinis - 9/11/2019 7:30 AM")</f>
        <v>Jimmy Tomazinis - 9/11/2019 7:30 AM</v>
      </c>
      <c r="AL365" s="12" t="s">
        <v>1045</v>
      </c>
    </row>
    <row r="366" spans="1:38" ht="12.75">
      <c r="A366" s="10">
        <f ca="1">IFERROR(__xludf.DUMMYFUNCTION("""COMPUTED_VALUE"""),43719.2789330902)</f>
        <v>43719.278933090201</v>
      </c>
      <c r="B366" s="11" t="str">
        <f ca="1">IFERROR(__xludf.DUMMYFUNCTION("""COMPUTED_VALUE"""),"Silas Tanner")</f>
        <v>Silas Tanner</v>
      </c>
      <c r="C366" t="str">
        <f ca="1">IFERROR(__xludf.DUMMYFUNCTION("""COMPUTED_VALUE"""),"silas.tanner@flordiadep.gov")</f>
        <v>silas.tanner@flordiadep.gov</v>
      </c>
      <c r="D366" t="str">
        <f ca="1">IFERROR(__xludf.DUMMYFUNCTION("""COMPUTED_VALUE"""),"Research/Nikki")</f>
        <v>Research/Nikki</v>
      </c>
      <c r="E366" t="str">
        <f ca="1">IFERROR(__xludf.DUMMYFUNCTION("""COMPUTED_VALUE"""),"Vilano")</f>
        <v>Vilano</v>
      </c>
      <c r="F366" s="13">
        <f ca="1">IFERROR(__xludf.DUMMYFUNCTION("""COMPUTED_VALUE"""),0.291666666667879)</f>
        <v>0.29166666666787899</v>
      </c>
      <c r="G366" s="14">
        <f ca="1">IFERROR(__xludf.DUMMYFUNCTION("""COMPUTED_VALUE"""),43719)</f>
        <v>43719</v>
      </c>
      <c r="H366" t="str">
        <f ca="1">IFERROR(__xludf.DUMMYFUNCTION("""COMPUTED_VALUE"""),"ICW Swamp Sites")</f>
        <v>ICW Swamp Sites</v>
      </c>
      <c r="I366" s="15">
        <f ca="1">IFERROR(__xludf.DUMMYFUNCTION("""COMPUTED_VALUE"""),0.0208333333321206)</f>
        <v>2.0833333332120601E-2</v>
      </c>
      <c r="J366" s="16">
        <f ca="1">IFERROR(__xludf.DUMMYFUNCTION("""COMPUTED_VALUE"""),43719.0416666666)</f>
        <v>43719.041666666599</v>
      </c>
      <c r="K366" t="str">
        <f ca="1">IFERROR(__xludf.DUMMYFUNCTION("""COMPUTED_VALUE"""),"23ft Skiff (Bertha) FL7972LJ DEP07613")</f>
        <v>23ft Skiff (Bertha) FL7972LJ DEP07613</v>
      </c>
      <c r="M366" t="str">
        <f ca="1">IFERROR(__xludf.DUMMYFUNCTION("""COMPUTED_VALUE"""),"Ford F250 2017 (Moby Dix) - DEP0021578")</f>
        <v>Ford F250 2017 (Moby Dix) - DEP0021578</v>
      </c>
      <c r="N366" t="str">
        <f ca="1">IFERROR(__xludf.DUMMYFUNCTION("""COMPUTED_VALUE"""),"Silas Tanner, (904) 483-8423")</f>
        <v>Silas Tanner, (904) 483-8423</v>
      </c>
      <c r="O366" t="str">
        <f ca="1">IFERROR(__xludf.DUMMYFUNCTION("""COMPUTED_VALUE"""),"Alee knoell, Jeff finnan")</f>
        <v>Alee knoell, Jeff finnan</v>
      </c>
      <c r="P366" t="str">
        <f ca="1">IFERROR(__xludf.DUMMYFUNCTION("""COMPUTED_VALUE"""),"Silas tanner")</f>
        <v>Silas tanner</v>
      </c>
      <c r="Q366" t="str">
        <f ca="1">IFERROR(__xludf.DUMMYFUNCTION("""COMPUTED_VALUE"""),"Good")</f>
        <v>Good</v>
      </c>
      <c r="R366" t="str">
        <f ca="1">IFERROR(__xludf.DUMMYFUNCTION("""COMPUTED_VALUE"""),"Good")</f>
        <v>Good</v>
      </c>
      <c r="S366" t="str">
        <f ca="1">IFERROR(__xludf.DUMMYFUNCTION("""COMPUTED_VALUE"""),"Good")</f>
        <v>Good</v>
      </c>
      <c r="T366" t="str">
        <f ca="1">IFERROR(__xludf.DUMMYFUNCTION("""COMPUTED_VALUE"""),"Good")</f>
        <v>Good</v>
      </c>
      <c r="U366" t="str">
        <f ca="1">IFERROR(__xludf.DUMMYFUNCTION("""COMPUTED_VALUE"""),"Good")</f>
        <v>Good</v>
      </c>
      <c r="V366" t="str">
        <f ca="1">IFERROR(__xludf.DUMMYFUNCTION("""COMPUTED_VALUE"""),"Good")</f>
        <v>Good</v>
      </c>
      <c r="W366" t="str">
        <f ca="1">IFERROR(__xludf.DUMMYFUNCTION("""COMPUTED_VALUE"""),"Good")</f>
        <v>Good</v>
      </c>
      <c r="X366" t="str">
        <f ca="1">IFERROR(__xludf.DUMMYFUNCTION("""COMPUTED_VALUE"""),"Good")</f>
        <v>Good</v>
      </c>
      <c r="Y366" t="str">
        <f ca="1">IFERROR(__xludf.DUMMYFUNCTION("""COMPUTED_VALUE"""),"Good")</f>
        <v>Good</v>
      </c>
      <c r="Z366" t="str">
        <f ca="1">IFERROR(__xludf.DUMMYFUNCTION("""COMPUTED_VALUE"""),"Good")</f>
        <v>Good</v>
      </c>
      <c r="AA366" t="str">
        <f ca="1">IFERROR(__xludf.DUMMYFUNCTION("""COMPUTED_VALUE"""),"Good")</f>
        <v>Good</v>
      </c>
      <c r="AB366" t="str">
        <f ca="1">IFERROR(__xludf.DUMMYFUNCTION("""COMPUTED_VALUE"""),"Good")</f>
        <v>Good</v>
      </c>
      <c r="AC366" t="str">
        <f ca="1">IFERROR(__xludf.DUMMYFUNCTION("""COMPUTED_VALUE"""),"Good")</f>
        <v>Good</v>
      </c>
      <c r="AE366" s="11"/>
      <c r="AF366" t="str">
        <v>Nikki.Dix@floridadep.gov</v>
      </c>
      <c r="AG366" s="17" t="s">
        <v>17</v>
      </c>
      <c r="AH366" s="12">
        <v>1105</v>
      </c>
      <c r="AI366" s="12" t="s">
        <v>1046</v>
      </c>
      <c r="AJ366" s="19" t="s">
        <v>1047</v>
      </c>
      <c r="AK366" s="20" t="str">
        <f>HYPERLINK("https://docs.google.com/document/d/1PicdNXXQZ-9U5WxAltsBvLegzKfGcnA5Rh_W_l0A7Ss/edit?usp=drivesdk","Silas Tanner - 9/11/2019 7:00 AM")</f>
        <v>Silas Tanner - 9/11/2019 7:00 AM</v>
      </c>
      <c r="AL366" s="12" t="s">
        <v>1048</v>
      </c>
    </row>
    <row r="367" spans="1:38" ht="12.75">
      <c r="A367" s="10">
        <f ca="1">IFERROR(__xludf.DUMMYFUNCTION("""COMPUTED_VALUE"""),43724.2683099652)</f>
        <v>43724.268309965199</v>
      </c>
      <c r="B367" s="11" t="str">
        <f ca="1">IFERROR(__xludf.DUMMYFUNCTION("""COMPUTED_VALUE"""),"Pamela Marcum")</f>
        <v>Pamela Marcum</v>
      </c>
      <c r="C367" t="str">
        <f ca="1">IFERROR(__xludf.DUMMYFUNCTION("""COMPUTED_VALUE"""),"Pamela.Marcum@floridadep.gov")</f>
        <v>Pamela.Marcum@floridadep.gov</v>
      </c>
      <c r="D367" t="str">
        <f ca="1">IFERROR(__xludf.DUMMYFUNCTION("""COMPUTED_VALUE"""),"Research/Nikki")</f>
        <v>Research/Nikki</v>
      </c>
      <c r="E367" t="str">
        <f ca="1">IFERROR(__xludf.DUMMYFUNCTION("""COMPUTED_VALUE"""),"Faver-Dykes")</f>
        <v>Faver-Dykes</v>
      </c>
      <c r="F367" s="13">
        <f ca="1">IFERROR(__xludf.DUMMYFUNCTION("""COMPUTED_VALUE"""),0.3125)</f>
        <v>0.3125</v>
      </c>
      <c r="G367" s="14">
        <f ca="1">IFERROR(__xludf.DUMMYFUNCTION("""COMPUTED_VALUE"""),43724)</f>
        <v>43724</v>
      </c>
      <c r="H367" t="str">
        <f ca="1">IFERROR(__xludf.DUMMYFUNCTION("""COMPUTED_VALUE"""),"Pellicer Creek")</f>
        <v>Pellicer Creek</v>
      </c>
      <c r="I367" s="15">
        <f ca="1">IFERROR(__xludf.DUMMYFUNCTION("""COMPUTED_VALUE"""),0.58333333333212)</f>
        <v>0.58333333333212001</v>
      </c>
      <c r="J367" s="16">
        <f ca="1">IFERROR(__xludf.DUMMYFUNCTION("""COMPUTED_VALUE"""),43724.625)</f>
        <v>43724.625</v>
      </c>
      <c r="K367" t="str">
        <f ca="1">IFERROR(__xludf.DUMMYFUNCTION("""COMPUTED_VALUE"""),"17ft Skill FL0642GW DEP07239")</f>
        <v>17ft Skill FL0642GW DEP07239</v>
      </c>
      <c r="M367" t="str">
        <f ca="1">IFERROR(__xludf.DUMMYFUNCTION("""COMPUTED_VALUE"""),"Ford F150 2008 - DEP18041 (SWMP Thing)")</f>
        <v>Ford F150 2008 - DEP18041 (SWMP Thing)</v>
      </c>
      <c r="N367" t="str">
        <f ca="1">IFERROR(__xludf.DUMMYFUNCTION("""COMPUTED_VALUE"""),"Pam Marcum, (480) 332-5414")</f>
        <v>Pam Marcum, (480) 332-5414</v>
      </c>
      <c r="O367" t="str">
        <f ca="1">IFERROR(__xludf.DUMMYFUNCTION("""COMPUTED_VALUE"""),"Jay Leighton")</f>
        <v>Jay Leighton</v>
      </c>
      <c r="P367" t="str">
        <f ca="1">IFERROR(__xludf.DUMMYFUNCTION("""COMPUTED_VALUE"""),"Pam")</f>
        <v>Pam</v>
      </c>
      <c r="Q367" t="str">
        <f ca="1">IFERROR(__xludf.DUMMYFUNCTION("""COMPUTED_VALUE"""),"Good")</f>
        <v>Good</v>
      </c>
      <c r="R367" t="str">
        <f ca="1">IFERROR(__xludf.DUMMYFUNCTION("""COMPUTED_VALUE"""),"Good")</f>
        <v>Good</v>
      </c>
      <c r="S367" t="str">
        <f ca="1">IFERROR(__xludf.DUMMYFUNCTION("""COMPUTED_VALUE"""),"Good")</f>
        <v>Good</v>
      </c>
      <c r="T367" t="str">
        <f ca="1">IFERROR(__xludf.DUMMYFUNCTION("""COMPUTED_VALUE"""),"Good")</f>
        <v>Good</v>
      </c>
      <c r="U367" t="str">
        <f ca="1">IFERROR(__xludf.DUMMYFUNCTION("""COMPUTED_VALUE"""),"Good")</f>
        <v>Good</v>
      </c>
      <c r="V367" t="str">
        <f ca="1">IFERROR(__xludf.DUMMYFUNCTION("""COMPUTED_VALUE"""),"Good")</f>
        <v>Good</v>
      </c>
      <c r="W367" t="str">
        <f ca="1">IFERROR(__xludf.DUMMYFUNCTION("""COMPUTED_VALUE"""),"Good")</f>
        <v>Good</v>
      </c>
      <c r="X367" t="str">
        <f ca="1">IFERROR(__xludf.DUMMYFUNCTION("""COMPUTED_VALUE"""),"Good")</f>
        <v>Good</v>
      </c>
      <c r="Y367" t="str">
        <f ca="1">IFERROR(__xludf.DUMMYFUNCTION("""COMPUTED_VALUE"""),"Good")</f>
        <v>Good</v>
      </c>
      <c r="Z367" t="str">
        <f ca="1">IFERROR(__xludf.DUMMYFUNCTION("""COMPUTED_VALUE"""),"Good")</f>
        <v>Good</v>
      </c>
      <c r="AA367" t="str">
        <f ca="1">IFERROR(__xludf.DUMMYFUNCTION("""COMPUTED_VALUE"""),"Good")</f>
        <v>Good</v>
      </c>
      <c r="AB367" t="str">
        <f ca="1">IFERROR(__xludf.DUMMYFUNCTION("""COMPUTED_VALUE"""),"Good")</f>
        <v>Good</v>
      </c>
      <c r="AC367" t="str">
        <f ca="1">IFERROR(__xludf.DUMMYFUNCTION("""COMPUTED_VALUE"""),"Good")</f>
        <v>Good</v>
      </c>
      <c r="AE367" s="11"/>
      <c r="AF367" t="str">
        <v>Nikki.Dix@floridadep.gov</v>
      </c>
      <c r="AG367" s="17" t="s">
        <v>17</v>
      </c>
      <c r="AH367" s="12">
        <v>1130</v>
      </c>
      <c r="AI367" s="12" t="s">
        <v>1049</v>
      </c>
      <c r="AJ367" s="19" t="s">
        <v>1050</v>
      </c>
      <c r="AK367" s="20" t="str">
        <f>HYPERLINK("https://docs.google.com/document/d/113DLTrCCyaw_Y3on57xBfNQ45zZm907eJeve6z6J0rk/edit?usp=drivesdk","Pamela Marcum - 9/16/2019 7:30 AM")</f>
        <v>Pamela Marcum - 9/16/2019 7:30 AM</v>
      </c>
      <c r="AL367" s="12" t="s">
        <v>1051</v>
      </c>
    </row>
    <row r="368" spans="1:38" ht="12.75">
      <c r="A368" s="10">
        <f ca="1">IFERROR(__xludf.DUMMYFUNCTION("""COMPUTED_VALUE"""),43724.6874751967)</f>
        <v>43724.687475196697</v>
      </c>
      <c r="B368" s="11" t="str">
        <f ca="1">IFERROR(__xludf.DUMMYFUNCTION("""COMPUTED_VALUE"""),"Jimmy Tomazinis")</f>
        <v>Jimmy Tomazinis</v>
      </c>
      <c r="C368" t="str">
        <f ca="1">IFERROR(__xludf.DUMMYFUNCTION("""COMPUTED_VALUE"""),"james.tomazinis@floridadep.gov")</f>
        <v>james.tomazinis@floridadep.gov</v>
      </c>
      <c r="D368" t="str">
        <f ca="1">IFERROR(__xludf.DUMMYFUNCTION("""COMPUTED_VALUE"""),"Stewardship (Aquatic)")</f>
        <v>Stewardship (Aquatic)</v>
      </c>
      <c r="E368" t="str">
        <f ca="1">IFERROR(__xludf.DUMMYFUNCTION("""COMPUTED_VALUE"""),"Vilano")</f>
        <v>Vilano</v>
      </c>
      <c r="F368" s="13">
        <f ca="1">IFERROR(__xludf.DUMMYFUNCTION("""COMPUTED_VALUE"""),0.385416666667879)</f>
        <v>0.38541666666787899</v>
      </c>
      <c r="G368" s="14">
        <f ca="1">IFERROR(__xludf.DUMMYFUNCTION("""COMPUTED_VALUE"""),33133)</f>
        <v>33133</v>
      </c>
      <c r="H368" t="str">
        <f ca="1">IFERROR(__xludf.DUMMYFUNCTION("""COMPUTED_VALUE"""),"Tolomato Nekton sites")</f>
        <v>Tolomato Nekton sites</v>
      </c>
      <c r="I368" s="15">
        <f ca="1">IFERROR(__xludf.DUMMYFUNCTION("""COMPUTED_VALUE"""),0.666666666667879)</f>
        <v>0.66666666666787899</v>
      </c>
      <c r="J368" s="16"/>
      <c r="K368" t="str">
        <f ca="1">IFERROR(__xludf.DUMMYFUNCTION("""COMPUTED_VALUE"""),"23ft Skiff (Bertha) FL7972LJ DEP07613")</f>
        <v>23ft Skiff (Bertha) FL7972LJ DEP07613</v>
      </c>
      <c r="M368" t="str">
        <f ca="1">IFERROR(__xludf.DUMMYFUNCTION("""COMPUTED_VALUE"""),"Ford F150 2015 (White) - DEP21448")</f>
        <v>Ford F150 2015 (White) - DEP21448</v>
      </c>
      <c r="N368" t="str">
        <f ca="1">IFERROR(__xludf.DUMMYFUNCTION("""COMPUTED_VALUE"""),"Jimmy Tomazinis, (904) 547-0094")</f>
        <v>Jimmy Tomazinis, (904) 547-0094</v>
      </c>
      <c r="O368" t="str">
        <f ca="1">IFERROR(__xludf.DUMMYFUNCTION("""COMPUTED_VALUE"""),"Ed, Diane, Jackie, Jeff")</f>
        <v>Ed, Diane, Jackie, Jeff</v>
      </c>
      <c r="P368" t="str">
        <f ca="1">IFERROR(__xludf.DUMMYFUNCTION("""COMPUTED_VALUE"""),"Jimmy")</f>
        <v>Jimmy</v>
      </c>
      <c r="Q368" t="str">
        <f ca="1">IFERROR(__xludf.DUMMYFUNCTION("""COMPUTED_VALUE"""),"Good")</f>
        <v>Good</v>
      </c>
      <c r="R368" t="str">
        <f ca="1">IFERROR(__xludf.DUMMYFUNCTION("""COMPUTED_VALUE"""),"Good")</f>
        <v>Good</v>
      </c>
      <c r="S368" t="str">
        <f ca="1">IFERROR(__xludf.DUMMYFUNCTION("""COMPUTED_VALUE"""),"Good")</f>
        <v>Good</v>
      </c>
      <c r="T368" t="str">
        <f ca="1">IFERROR(__xludf.DUMMYFUNCTION("""COMPUTED_VALUE"""),"Good")</f>
        <v>Good</v>
      </c>
      <c r="U368" t="str">
        <f ca="1">IFERROR(__xludf.DUMMYFUNCTION("""COMPUTED_VALUE"""),"Good")</f>
        <v>Good</v>
      </c>
      <c r="V368" t="str">
        <f ca="1">IFERROR(__xludf.DUMMYFUNCTION("""COMPUTED_VALUE"""),"Good")</f>
        <v>Good</v>
      </c>
      <c r="W368" t="str">
        <f ca="1">IFERROR(__xludf.DUMMYFUNCTION("""COMPUTED_VALUE"""),"Good")</f>
        <v>Good</v>
      </c>
      <c r="X368" t="str">
        <f ca="1">IFERROR(__xludf.DUMMYFUNCTION("""COMPUTED_VALUE"""),"Good")</f>
        <v>Good</v>
      </c>
      <c r="Y368" t="str">
        <f ca="1">IFERROR(__xludf.DUMMYFUNCTION("""COMPUTED_VALUE"""),"Good")</f>
        <v>Good</v>
      </c>
      <c r="Z368" t="str">
        <f ca="1">IFERROR(__xludf.DUMMYFUNCTION("""COMPUTED_VALUE"""),"Good")</f>
        <v>Good</v>
      </c>
      <c r="AA368" t="str">
        <f ca="1">IFERROR(__xludf.DUMMYFUNCTION("""COMPUTED_VALUE"""),"Good")</f>
        <v>Good</v>
      </c>
      <c r="AB368" t="str">
        <f ca="1">IFERROR(__xludf.DUMMYFUNCTION("""COMPUTED_VALUE"""),"Good")</f>
        <v>Good</v>
      </c>
      <c r="AC368" t="str">
        <f ca="1">IFERROR(__xludf.DUMMYFUNCTION("""COMPUTED_VALUE"""),"Good")</f>
        <v>Good</v>
      </c>
      <c r="AE368" s="11"/>
      <c r="AF368" t="str">
        <v>Scott.Eastman@floridadep.gov</v>
      </c>
      <c r="AG368" s="17" t="s">
        <v>17</v>
      </c>
      <c r="AH368" s="12">
        <v>1635</v>
      </c>
      <c r="AI368" s="12" t="s">
        <v>1052</v>
      </c>
      <c r="AJ368" s="19" t="s">
        <v>1053</v>
      </c>
      <c r="AK368" s="20" t="str">
        <f>HYPERLINK("https://docs.google.com/document/d/1llt-6l9NzJX6gjQSBbMbdkVYI69LprJx27c3azv2kbo/edit?usp=drivesdk","Jimmy Tomazinis - 9/17/1990 9:15 AM")</f>
        <v>Jimmy Tomazinis - 9/17/1990 9:15 AM</v>
      </c>
      <c r="AL368" s="12" t="s">
        <v>1054</v>
      </c>
    </row>
    <row r="369" spans="1:38" ht="12.75">
      <c r="A369" s="10">
        <f ca="1">IFERROR(__xludf.DUMMYFUNCTION("""COMPUTED_VALUE"""),43725.3108275115)</f>
        <v>43725.310827511501</v>
      </c>
      <c r="B369" s="11" t="str">
        <f ca="1">IFERROR(__xludf.DUMMYFUNCTION("""COMPUTED_VALUE"""),"Pamela Marcum")</f>
        <v>Pamela Marcum</v>
      </c>
      <c r="C369" t="str">
        <f ca="1">IFERROR(__xludf.DUMMYFUNCTION("""COMPUTED_VALUE"""),"Pamela.Marcum@floridadep.gov")</f>
        <v>Pamela.Marcum@floridadep.gov</v>
      </c>
      <c r="D369" t="str">
        <f ca="1">IFERROR(__xludf.DUMMYFUNCTION("""COMPUTED_VALUE"""),"Research/Nikki")</f>
        <v>Research/Nikki</v>
      </c>
      <c r="E369" t="str">
        <f ca="1">IFERROR(__xludf.DUMMYFUNCTION("""COMPUTED_VALUE"""),"Faver dykes")</f>
        <v>Faver dykes</v>
      </c>
      <c r="F369" s="13">
        <f ca="1">IFERROR(__xludf.DUMMYFUNCTION("""COMPUTED_VALUE"""),0.30208333333212)</f>
        <v>0.30208333333212001</v>
      </c>
      <c r="G369" s="14">
        <f ca="1">IFERROR(__xludf.DUMMYFUNCTION("""COMPUTED_VALUE"""),43725)</f>
        <v>43725</v>
      </c>
      <c r="H369" t="str">
        <f ca="1">IFERROR(__xludf.DUMMYFUNCTION("""COMPUTED_VALUE"""),"Pellicer Creek")</f>
        <v>Pellicer Creek</v>
      </c>
      <c r="I369" s="15">
        <f ca="1">IFERROR(__xludf.DUMMYFUNCTION("""COMPUTED_VALUE"""),0.541666666667879)</f>
        <v>0.54166666666787899</v>
      </c>
      <c r="J369" s="16">
        <f ca="1">IFERROR(__xludf.DUMMYFUNCTION("""COMPUTED_VALUE"""),43725.6041666666)</f>
        <v>43725.604166666599</v>
      </c>
      <c r="K369" t="str">
        <f ca="1">IFERROR(__xludf.DUMMYFUNCTION("""COMPUTED_VALUE"""),"17ft Skill FL0642GW DEP07239")</f>
        <v>17ft Skill FL0642GW DEP07239</v>
      </c>
      <c r="M369" t="str">
        <f ca="1">IFERROR(__xludf.DUMMYFUNCTION("""COMPUTED_VALUE"""),"Ford F150 2008 - DEP18041 (SWMP Thing)")</f>
        <v>Ford F150 2008 - DEP18041 (SWMP Thing)</v>
      </c>
      <c r="N369" t="str">
        <f ca="1">IFERROR(__xludf.DUMMYFUNCTION("""COMPUTED_VALUE"""),"Pam Marcum, (480) 332-5414, Remo Mondazzi")</f>
        <v>Pam Marcum, (480) 332-5414, Remo Mondazzi</v>
      </c>
      <c r="P369" t="str">
        <f ca="1">IFERROR(__xludf.DUMMYFUNCTION("""COMPUTED_VALUE"""),"Pam")</f>
        <v>Pam</v>
      </c>
      <c r="Q369" t="str">
        <f ca="1">IFERROR(__xludf.DUMMYFUNCTION("""COMPUTED_VALUE"""),"Good")</f>
        <v>Good</v>
      </c>
      <c r="R369" t="str">
        <f ca="1">IFERROR(__xludf.DUMMYFUNCTION("""COMPUTED_VALUE"""),"Good")</f>
        <v>Good</v>
      </c>
      <c r="S369" t="str">
        <f ca="1">IFERROR(__xludf.DUMMYFUNCTION("""COMPUTED_VALUE"""),"Good")</f>
        <v>Good</v>
      </c>
      <c r="T369" t="str">
        <f ca="1">IFERROR(__xludf.DUMMYFUNCTION("""COMPUTED_VALUE"""),"Good")</f>
        <v>Good</v>
      </c>
      <c r="U369" t="str">
        <f ca="1">IFERROR(__xludf.DUMMYFUNCTION("""COMPUTED_VALUE"""),"Good")</f>
        <v>Good</v>
      </c>
      <c r="V369" t="str">
        <f ca="1">IFERROR(__xludf.DUMMYFUNCTION("""COMPUTED_VALUE"""),"Good")</f>
        <v>Good</v>
      </c>
      <c r="W369" t="str">
        <f ca="1">IFERROR(__xludf.DUMMYFUNCTION("""COMPUTED_VALUE"""),"Good")</f>
        <v>Good</v>
      </c>
      <c r="X369" t="str">
        <f ca="1">IFERROR(__xludf.DUMMYFUNCTION("""COMPUTED_VALUE"""),"Good")</f>
        <v>Good</v>
      </c>
      <c r="Y369" t="str">
        <f ca="1">IFERROR(__xludf.DUMMYFUNCTION("""COMPUTED_VALUE"""),"Good")</f>
        <v>Good</v>
      </c>
      <c r="Z369" t="str">
        <f ca="1">IFERROR(__xludf.DUMMYFUNCTION("""COMPUTED_VALUE"""),"Good")</f>
        <v>Good</v>
      </c>
      <c r="AA369" t="str">
        <f ca="1">IFERROR(__xludf.DUMMYFUNCTION("""COMPUTED_VALUE"""),"Good")</f>
        <v>Good</v>
      </c>
      <c r="AB369" t="str">
        <f ca="1">IFERROR(__xludf.DUMMYFUNCTION("""COMPUTED_VALUE"""),"Good")</f>
        <v>Good</v>
      </c>
      <c r="AC369" t="str">
        <f ca="1">IFERROR(__xludf.DUMMYFUNCTION("""COMPUTED_VALUE"""),"Good")</f>
        <v>Good</v>
      </c>
      <c r="AE369" s="11"/>
      <c r="AF369" t="str">
        <v>Nikki.Dix@floridadep.gov</v>
      </c>
      <c r="AG369" s="17" t="s">
        <v>58</v>
      </c>
      <c r="AH369" s="12">
        <v>1200</v>
      </c>
      <c r="AI369" s="12" t="s">
        <v>1055</v>
      </c>
      <c r="AJ369" s="19" t="s">
        <v>1056</v>
      </c>
      <c r="AK369" s="20" t="str">
        <f>HYPERLINK("https://docs.google.com/document/d/1CvkBjFbxX2vq9UR6Nu2rTcNsfr1a8UDMyRu0D7wuXhg/edit?usp=drivesdk","Pamela Marcum - 9/17/2019 7:15 AM")</f>
        <v>Pamela Marcum - 9/17/2019 7:15 AM</v>
      </c>
      <c r="AL369" s="12" t="s">
        <v>1057</v>
      </c>
    </row>
    <row r="370" spans="1:38" ht="12.75">
      <c r="A370" s="10">
        <f ca="1">IFERROR(__xludf.DUMMYFUNCTION("""COMPUTED_VALUE"""),43725.4155145023)</f>
        <v>43725.415514502303</v>
      </c>
      <c r="B370" s="11" t="str">
        <f ca="1">IFERROR(__xludf.DUMMYFUNCTION("""COMPUTED_VALUE"""),"Shannon Dunnigan")</f>
        <v>Shannon Dunnigan</v>
      </c>
      <c r="C370" t="str">
        <f ca="1">IFERROR(__xludf.DUMMYFUNCTION("""COMPUTED_VALUE"""),"shannon.dunnigan@dep.state.fl.us")</f>
        <v>shannon.dunnigan@dep.state.fl.us</v>
      </c>
      <c r="D370" t="str">
        <f ca="1">IFERROR(__xludf.DUMMYFUNCTION("""COMPUTED_VALUE"""),"Research/Nikki")</f>
        <v>Research/Nikki</v>
      </c>
      <c r="E370" t="str">
        <f ca="1">IFERROR(__xludf.DUMMYFUNCTION("""COMPUTED_VALUE"""),"Faver-Dykes")</f>
        <v>Faver-Dykes</v>
      </c>
      <c r="F370" s="13">
        <f ca="1">IFERROR(__xludf.DUMMYFUNCTION("""COMPUTED_VALUE"""),0.42708333333212)</f>
        <v>0.42708333333212001</v>
      </c>
      <c r="G370" s="14">
        <f ca="1">IFERROR(__xludf.DUMMYFUNCTION("""COMPUTED_VALUE"""),43725)</f>
        <v>43725</v>
      </c>
      <c r="H370" t="str">
        <f ca="1">IFERROR(__xludf.DUMMYFUNCTION("""COMPUTED_VALUE"""),"Pellicer flats")</f>
        <v>Pellicer flats</v>
      </c>
      <c r="I370" s="15">
        <f ca="1">IFERROR(__xludf.DUMMYFUNCTION("""COMPUTED_VALUE"""),0.541666666667879)</f>
        <v>0.54166666666787899</v>
      </c>
      <c r="J370" s="16">
        <f ca="1">IFERROR(__xludf.DUMMYFUNCTION("""COMPUTED_VALUE"""),43725.625)</f>
        <v>43725.625</v>
      </c>
      <c r="K370" t="str">
        <f ca="1">IFERROR(__xludf.DUMMYFUNCTION("""COMPUTED_VALUE"""),"20ft Sea Ark FL5351SJ UNF 2015")</f>
        <v>20ft Sea Ark FL5351SJ UNF 2015</v>
      </c>
      <c r="M370" t="str">
        <f ca="1">IFERROR(__xludf.DUMMYFUNCTION("""COMPUTED_VALUE"""),"Ford F250 2017 (Moby Dix) - DEP0021578")</f>
        <v>Ford F250 2017 (Moby Dix) - DEP0021578</v>
      </c>
      <c r="N370" t="str">
        <f ca="1">IFERROR(__xludf.DUMMYFUNCTION("""COMPUTED_VALUE"""),"Shannon Dunnigan, (803) 727-5734, Silas Tanner, (904) 483-8423")</f>
        <v>Shannon Dunnigan, (803) 727-5734, Silas Tanner, (904) 483-8423</v>
      </c>
      <c r="O370" t="str">
        <f ca="1">IFERROR(__xludf.DUMMYFUNCTION("""COMPUTED_VALUE"""),"Casey McClure")</f>
        <v>Casey McClure</v>
      </c>
      <c r="P370" t="str">
        <f ca="1">IFERROR(__xludf.DUMMYFUNCTION("""COMPUTED_VALUE"""),"Shannon")</f>
        <v>Shannon</v>
      </c>
      <c r="Q370" t="str">
        <f ca="1">IFERROR(__xludf.DUMMYFUNCTION("""COMPUTED_VALUE"""),"Good")</f>
        <v>Good</v>
      </c>
      <c r="R370" t="str">
        <f ca="1">IFERROR(__xludf.DUMMYFUNCTION("""COMPUTED_VALUE"""),"Good")</f>
        <v>Good</v>
      </c>
      <c r="S370" t="str">
        <f ca="1">IFERROR(__xludf.DUMMYFUNCTION("""COMPUTED_VALUE"""),"Good")</f>
        <v>Good</v>
      </c>
      <c r="T370" t="str">
        <f ca="1">IFERROR(__xludf.DUMMYFUNCTION("""COMPUTED_VALUE"""),"Good")</f>
        <v>Good</v>
      </c>
      <c r="U370" t="str">
        <f ca="1">IFERROR(__xludf.DUMMYFUNCTION("""COMPUTED_VALUE"""),"Good")</f>
        <v>Good</v>
      </c>
      <c r="V370" t="str">
        <f ca="1">IFERROR(__xludf.DUMMYFUNCTION("""COMPUTED_VALUE"""),"Good")</f>
        <v>Good</v>
      </c>
      <c r="W370" t="str">
        <f ca="1">IFERROR(__xludf.DUMMYFUNCTION("""COMPUTED_VALUE"""),"Good")</f>
        <v>Good</v>
      </c>
      <c r="X370" t="str">
        <f ca="1">IFERROR(__xludf.DUMMYFUNCTION("""COMPUTED_VALUE"""),"Good")</f>
        <v>Good</v>
      </c>
      <c r="Y370" t="str">
        <f ca="1">IFERROR(__xludf.DUMMYFUNCTION("""COMPUTED_VALUE"""),"Good")</f>
        <v>Good</v>
      </c>
      <c r="Z370" t="str">
        <f ca="1">IFERROR(__xludf.DUMMYFUNCTION("""COMPUTED_VALUE"""),"Good")</f>
        <v>Good</v>
      </c>
      <c r="AA370" t="str">
        <f ca="1">IFERROR(__xludf.DUMMYFUNCTION("""COMPUTED_VALUE"""),"Good")</f>
        <v>Good</v>
      </c>
      <c r="AB370" t="str">
        <f ca="1">IFERROR(__xludf.DUMMYFUNCTION("""COMPUTED_VALUE"""),"Good")</f>
        <v>Good</v>
      </c>
      <c r="AC370" t="str">
        <f ca="1">IFERROR(__xludf.DUMMYFUNCTION("""COMPUTED_VALUE"""),"Good")</f>
        <v>Good</v>
      </c>
      <c r="AE370" s="11"/>
      <c r="AF370" t="str">
        <v>Nikki.Dix@floridadep.gov</v>
      </c>
      <c r="AG370" s="17" t="s">
        <v>17</v>
      </c>
      <c r="AH370" s="12">
        <v>1140</v>
      </c>
      <c r="AI370" s="12" t="s">
        <v>1058</v>
      </c>
      <c r="AJ370" s="19" t="s">
        <v>1059</v>
      </c>
      <c r="AK370" s="20" t="str">
        <f>HYPERLINK("https://docs.google.com/document/d/11x0CkR3ktEFIujcLW_1aRWhBz7-fh-ehKWEqiRQ6-Bs/edit?usp=drivesdk","Shannon Dunnigan - 9/17/2019 10:15 AM")</f>
        <v>Shannon Dunnigan - 9/17/2019 10:15 AM</v>
      </c>
      <c r="AL370" s="12" t="s">
        <v>1060</v>
      </c>
    </row>
    <row r="371" spans="1:38" ht="12.75">
      <c r="A371" s="10">
        <f ca="1">IFERROR(__xludf.DUMMYFUNCTION("""COMPUTED_VALUE"""),43726.2680080671)</f>
        <v>43726.268008067098</v>
      </c>
      <c r="B371" s="11" t="str">
        <f ca="1">IFERROR(__xludf.DUMMYFUNCTION("""COMPUTED_VALUE"""),"Pam Marcum")</f>
        <v>Pam Marcum</v>
      </c>
      <c r="C371" t="str">
        <f ca="1">IFERROR(__xludf.DUMMYFUNCTION("""COMPUTED_VALUE"""),"Pamela.Marcum@floridadep.gov")</f>
        <v>Pamela.Marcum@floridadep.gov</v>
      </c>
      <c r="D371" t="str">
        <f ca="1">IFERROR(__xludf.DUMMYFUNCTION("""COMPUTED_VALUE"""),"Research/Nikki")</f>
        <v>Research/Nikki</v>
      </c>
      <c r="E371" t="str">
        <f ca="1">IFERROR(__xludf.DUMMYFUNCTION("""COMPUTED_VALUE"""),"Faver-Dykes")</f>
        <v>Faver-Dykes</v>
      </c>
      <c r="F371" s="13">
        <f ca="1">IFERROR(__xludf.DUMMYFUNCTION("""COMPUTED_VALUE"""),0.3125)</f>
        <v>0.3125</v>
      </c>
      <c r="G371" s="14">
        <f ca="1">IFERROR(__xludf.DUMMYFUNCTION("""COMPUTED_VALUE"""),43726)</f>
        <v>43726</v>
      </c>
      <c r="H371" t="str">
        <f ca="1">IFERROR(__xludf.DUMMYFUNCTION("""COMPUTED_VALUE"""),"Pellicer Creek")</f>
        <v>Pellicer Creek</v>
      </c>
      <c r="I371" s="15">
        <f ca="1">IFERROR(__xludf.DUMMYFUNCTION("""COMPUTED_VALUE"""),0.541666666667879)</f>
        <v>0.54166666666787899</v>
      </c>
      <c r="J371" s="16">
        <f ca="1">IFERROR(__xludf.DUMMYFUNCTION("""COMPUTED_VALUE"""),43726.6041666666)</f>
        <v>43726.604166666599</v>
      </c>
      <c r="K371" t="str">
        <f ca="1">IFERROR(__xludf.DUMMYFUNCTION("""COMPUTED_VALUE"""),"17ft Skill FL0642GW DEP07239")</f>
        <v>17ft Skill FL0642GW DEP07239</v>
      </c>
      <c r="M371" t="str">
        <f ca="1">IFERROR(__xludf.DUMMYFUNCTION("""COMPUTED_VALUE"""),"Ford F150 2008 - DEP18041 (SWMP Thing)")</f>
        <v>Ford F150 2008 - DEP18041 (SWMP Thing)</v>
      </c>
      <c r="N371" t="str">
        <f ca="1">IFERROR(__xludf.DUMMYFUNCTION("""COMPUTED_VALUE"""),"Pam Marcum, (480) 332-5414")</f>
        <v>Pam Marcum, (480) 332-5414</v>
      </c>
      <c r="O371" t="str">
        <f ca="1">IFERROR(__xludf.DUMMYFUNCTION("""COMPUTED_VALUE"""),"Jay Leighton")</f>
        <v>Jay Leighton</v>
      </c>
      <c r="P371" t="str">
        <f ca="1">IFERROR(__xludf.DUMMYFUNCTION("""COMPUTED_VALUE"""),"Pam")</f>
        <v>Pam</v>
      </c>
      <c r="Q371" t="str">
        <f ca="1">IFERROR(__xludf.DUMMYFUNCTION("""COMPUTED_VALUE"""),"Good")</f>
        <v>Good</v>
      </c>
      <c r="R371" t="str">
        <f ca="1">IFERROR(__xludf.DUMMYFUNCTION("""COMPUTED_VALUE"""),"Good")</f>
        <v>Good</v>
      </c>
      <c r="S371" t="str">
        <f ca="1">IFERROR(__xludf.DUMMYFUNCTION("""COMPUTED_VALUE"""),"Good")</f>
        <v>Good</v>
      </c>
      <c r="T371" t="str">
        <f ca="1">IFERROR(__xludf.DUMMYFUNCTION("""COMPUTED_VALUE"""),"Good")</f>
        <v>Good</v>
      </c>
      <c r="U371" t="str">
        <f ca="1">IFERROR(__xludf.DUMMYFUNCTION("""COMPUTED_VALUE"""),"Good")</f>
        <v>Good</v>
      </c>
      <c r="V371" t="str">
        <f ca="1">IFERROR(__xludf.DUMMYFUNCTION("""COMPUTED_VALUE"""),"Good")</f>
        <v>Good</v>
      </c>
      <c r="W371" t="str">
        <f ca="1">IFERROR(__xludf.DUMMYFUNCTION("""COMPUTED_VALUE"""),"Good")</f>
        <v>Good</v>
      </c>
      <c r="X371" t="str">
        <f ca="1">IFERROR(__xludf.DUMMYFUNCTION("""COMPUTED_VALUE"""),"Good")</f>
        <v>Good</v>
      </c>
      <c r="Y371" t="str">
        <f ca="1">IFERROR(__xludf.DUMMYFUNCTION("""COMPUTED_VALUE"""),"Good")</f>
        <v>Good</v>
      </c>
      <c r="Z371" t="str">
        <f ca="1">IFERROR(__xludf.DUMMYFUNCTION("""COMPUTED_VALUE"""),"Good")</f>
        <v>Good</v>
      </c>
      <c r="AA371" t="str">
        <f ca="1">IFERROR(__xludf.DUMMYFUNCTION("""COMPUTED_VALUE"""),"Good")</f>
        <v>Good</v>
      </c>
      <c r="AB371" t="str">
        <f ca="1">IFERROR(__xludf.DUMMYFUNCTION("""COMPUTED_VALUE"""),"Good")</f>
        <v>Good</v>
      </c>
      <c r="AC371" t="str">
        <f ca="1">IFERROR(__xludf.DUMMYFUNCTION("""COMPUTED_VALUE"""),"Good")</f>
        <v>Good</v>
      </c>
      <c r="AE371" s="11"/>
      <c r="AF371" t="str">
        <v>Nikki.Dix@floridadep.gov</v>
      </c>
      <c r="AG371" s="17" t="s">
        <v>17</v>
      </c>
      <c r="AH371" s="12">
        <v>1210</v>
      </c>
      <c r="AI371" s="12" t="s">
        <v>1061</v>
      </c>
      <c r="AJ371" s="19" t="s">
        <v>1062</v>
      </c>
      <c r="AK371" s="20" t="str">
        <f>HYPERLINK("https://docs.google.com/document/d/1waXJaaxuMbyg-WQ34-bf7iNATV2Cu-MmkLtMWtKzsvc/edit?usp=drivesdk","Pam Marcum - 9/18/2019 7:30 AM")</f>
        <v>Pam Marcum - 9/18/2019 7:30 AM</v>
      </c>
      <c r="AL371" s="12" t="s">
        <v>1063</v>
      </c>
    </row>
    <row r="372" spans="1:38" ht="12.75">
      <c r="A372" s="10">
        <f ca="1">IFERROR(__xludf.DUMMYFUNCTION("""COMPUTED_VALUE"""),43726.3751813657)</f>
        <v>43726.3751813657</v>
      </c>
      <c r="B372" s="11" t="str">
        <f ca="1">IFERROR(__xludf.DUMMYFUNCTION("""COMPUTED_VALUE"""),"Jimmy")</f>
        <v>Jimmy</v>
      </c>
      <c r="C372" t="str">
        <f ca="1">IFERROR(__xludf.DUMMYFUNCTION("""COMPUTED_VALUE"""),"james.tomazinis@floridadep.gov")</f>
        <v>james.tomazinis@floridadep.gov</v>
      </c>
      <c r="D372" t="str">
        <f ca="1">IFERROR(__xludf.DUMMYFUNCTION("""COMPUTED_VALUE"""),"Stewardship (Aquatic)")</f>
        <v>Stewardship (Aquatic)</v>
      </c>
      <c r="E372" t="str">
        <f ca="1">IFERROR(__xludf.DUMMYFUNCTION("""COMPUTED_VALUE"""),"Vilano")</f>
        <v>Vilano</v>
      </c>
      <c r="F372" s="13">
        <f ca="1">IFERROR(__xludf.DUMMYFUNCTION("""COMPUTED_VALUE"""),0.385416666667879)</f>
        <v>0.38541666666787899</v>
      </c>
      <c r="G372" s="14">
        <f ca="1">IFERROR(__xludf.DUMMYFUNCTION("""COMPUTED_VALUE"""),43726)</f>
        <v>43726</v>
      </c>
      <c r="H372" t="str">
        <f ca="1">IFERROR(__xludf.DUMMYFUNCTION("""COMPUTED_VALUE"""),"Nekton sites 9-20")</f>
        <v>Nekton sites 9-20</v>
      </c>
      <c r="I372" s="15">
        <f ca="1">IFERROR(__xludf.DUMMYFUNCTION("""COMPUTED_VALUE"""),0.666666666667879)</f>
        <v>0.66666666666787899</v>
      </c>
      <c r="J372" s="16"/>
      <c r="K372" t="str">
        <f ca="1">IFERROR(__xludf.DUMMYFUNCTION("""COMPUTED_VALUE"""),"23ft Skiff (Bertha) FL7972LJ DEP07613")</f>
        <v>23ft Skiff (Bertha) FL7972LJ DEP07613</v>
      </c>
      <c r="M372" t="str">
        <f ca="1">IFERROR(__xludf.DUMMYFUNCTION("""COMPUTED_VALUE"""),"Ford F150 2015 (White) - DEP21448")</f>
        <v>Ford F150 2015 (White) - DEP21448</v>
      </c>
      <c r="N372" t="str">
        <f ca="1">IFERROR(__xludf.DUMMYFUNCTION("""COMPUTED_VALUE"""),"Jimmy Tomazinis, (904) 547-0094")</f>
        <v>Jimmy Tomazinis, (904) 547-0094</v>
      </c>
      <c r="O372" t="str">
        <f ca="1">IFERROR(__xludf.DUMMYFUNCTION("""COMPUTED_VALUE"""),"Scott Eastman, (904) 501-9267, Suzi, Jeff, Casey, Spencer")</f>
        <v>Scott Eastman, (904) 501-9267, Suzi, Jeff, Casey, Spencer</v>
      </c>
      <c r="P372" t="str">
        <f ca="1">IFERROR(__xludf.DUMMYFUNCTION("""COMPUTED_VALUE"""),"Jimmy ")</f>
        <v xml:space="preserve">Jimmy </v>
      </c>
      <c r="Q372" t="str">
        <f ca="1">IFERROR(__xludf.DUMMYFUNCTION("""COMPUTED_VALUE"""),"Good")</f>
        <v>Good</v>
      </c>
      <c r="R372" t="str">
        <f ca="1">IFERROR(__xludf.DUMMYFUNCTION("""COMPUTED_VALUE"""),"Good")</f>
        <v>Good</v>
      </c>
      <c r="S372" t="str">
        <f ca="1">IFERROR(__xludf.DUMMYFUNCTION("""COMPUTED_VALUE"""),"Good")</f>
        <v>Good</v>
      </c>
      <c r="T372" t="str">
        <f ca="1">IFERROR(__xludf.DUMMYFUNCTION("""COMPUTED_VALUE"""),"Good")</f>
        <v>Good</v>
      </c>
      <c r="U372" t="str">
        <f ca="1">IFERROR(__xludf.DUMMYFUNCTION("""COMPUTED_VALUE"""),"Good")</f>
        <v>Good</v>
      </c>
      <c r="V372" t="str">
        <f ca="1">IFERROR(__xludf.DUMMYFUNCTION("""COMPUTED_VALUE"""),"Good")</f>
        <v>Good</v>
      </c>
      <c r="W372" t="str">
        <f ca="1">IFERROR(__xludf.DUMMYFUNCTION("""COMPUTED_VALUE"""),"Good")</f>
        <v>Good</v>
      </c>
      <c r="X372" t="str">
        <f ca="1">IFERROR(__xludf.DUMMYFUNCTION("""COMPUTED_VALUE"""),"Good")</f>
        <v>Good</v>
      </c>
      <c r="Y372" t="str">
        <f ca="1">IFERROR(__xludf.DUMMYFUNCTION("""COMPUTED_VALUE"""),"Good")</f>
        <v>Good</v>
      </c>
      <c r="Z372" t="str">
        <f ca="1">IFERROR(__xludf.DUMMYFUNCTION("""COMPUTED_VALUE"""),"Good")</f>
        <v>Good</v>
      </c>
      <c r="AA372" t="str">
        <f ca="1">IFERROR(__xludf.DUMMYFUNCTION("""COMPUTED_VALUE"""),"Good")</f>
        <v>Good</v>
      </c>
      <c r="AB372" t="str">
        <f ca="1">IFERROR(__xludf.DUMMYFUNCTION("""COMPUTED_VALUE"""),"Good")</f>
        <v>Good</v>
      </c>
      <c r="AC372" t="str">
        <f ca="1">IFERROR(__xludf.DUMMYFUNCTION("""COMPUTED_VALUE"""),"Good")</f>
        <v>Good</v>
      </c>
      <c r="AE372" s="11"/>
      <c r="AF372" t="str">
        <v>Scott.Eastman@floridadep.gov</v>
      </c>
      <c r="AG372" s="17" t="s">
        <v>17</v>
      </c>
      <c r="AH372" s="12">
        <v>1613</v>
      </c>
      <c r="AI372" s="12" t="s">
        <v>1064</v>
      </c>
      <c r="AJ372" s="19" t="s">
        <v>1065</v>
      </c>
      <c r="AK372" s="20" t="str">
        <f>HYPERLINK("https://docs.google.com/document/d/1VFwoXvxUp9esJMS9AjQJUjDLucKnSGwDdiqVmF5mxvQ/edit?usp=drivesdk","Jimmy - 9/18/2019 9:15 AM")</f>
        <v>Jimmy - 9/18/2019 9:15 AM</v>
      </c>
      <c r="AL372" s="12" t="s">
        <v>1066</v>
      </c>
    </row>
    <row r="373" spans="1:38" ht="12.75">
      <c r="A373" s="10">
        <f ca="1">IFERROR(__xludf.DUMMYFUNCTION("""COMPUTED_VALUE"""),43727.3344431018)</f>
        <v>43727.334443101798</v>
      </c>
      <c r="B373" s="11" t="str">
        <f ca="1">IFERROR(__xludf.DUMMYFUNCTION("""COMPUTED_VALUE"""),"Pamela Marcum")</f>
        <v>Pamela Marcum</v>
      </c>
      <c r="C373" t="str">
        <f ca="1">IFERROR(__xludf.DUMMYFUNCTION("""COMPUTED_VALUE"""),"Pamela.Marcum@floridadep.gov")</f>
        <v>Pamela.Marcum@floridadep.gov</v>
      </c>
      <c r="D373" t="str">
        <f ca="1">IFERROR(__xludf.DUMMYFUNCTION("""COMPUTED_VALUE"""),"Research/Nikki")</f>
        <v>Research/Nikki</v>
      </c>
      <c r="E373" t="str">
        <f ca="1">IFERROR(__xludf.DUMMYFUNCTION("""COMPUTED_VALUE"""),"Faver-Dykes")</f>
        <v>Faver-Dykes</v>
      </c>
      <c r="F373" s="13">
        <f ca="1">IFERROR(__xludf.DUMMYFUNCTION("""COMPUTED_VALUE"""),0.322916666667879)</f>
        <v>0.32291666666787899</v>
      </c>
      <c r="G373" s="14">
        <f ca="1">IFERROR(__xludf.DUMMYFUNCTION("""COMPUTED_VALUE"""),43727)</f>
        <v>43727</v>
      </c>
      <c r="H373" t="str">
        <f ca="1">IFERROR(__xludf.DUMMYFUNCTION("""COMPUTED_VALUE"""),"Pellicer Creek")</f>
        <v>Pellicer Creek</v>
      </c>
      <c r="I373" s="15">
        <f ca="1">IFERROR(__xludf.DUMMYFUNCTION("""COMPUTED_VALUE"""),0.541666666667879)</f>
        <v>0.54166666666787899</v>
      </c>
      <c r="J373" s="16">
        <f ca="1">IFERROR(__xludf.DUMMYFUNCTION("""COMPUTED_VALUE"""),43727.6041666666)</f>
        <v>43727.604166666599</v>
      </c>
      <c r="K373" t="str">
        <f ca="1">IFERROR(__xludf.DUMMYFUNCTION("""COMPUTED_VALUE"""),"17ft Skill FL0642GW DEP07239")</f>
        <v>17ft Skill FL0642GW DEP07239</v>
      </c>
      <c r="M373" t="str">
        <f ca="1">IFERROR(__xludf.DUMMYFUNCTION("""COMPUTED_VALUE"""),"Ford F150 2008 - DEP18041 (SWMP Thing)")</f>
        <v>Ford F150 2008 - DEP18041 (SWMP Thing)</v>
      </c>
      <c r="N373" t="str">
        <f ca="1">IFERROR(__xludf.DUMMYFUNCTION("""COMPUTED_VALUE"""),"Pam Marcum, (480) 332-5414, Remo Mondazzi")</f>
        <v>Pam Marcum, (480) 332-5414, Remo Mondazzi</v>
      </c>
      <c r="P373" t="str">
        <f ca="1">IFERROR(__xludf.DUMMYFUNCTION("""COMPUTED_VALUE"""),"Pam")</f>
        <v>Pam</v>
      </c>
      <c r="Q373" t="str">
        <f ca="1">IFERROR(__xludf.DUMMYFUNCTION("""COMPUTED_VALUE"""),"Good")</f>
        <v>Good</v>
      </c>
      <c r="R373" t="str">
        <f ca="1">IFERROR(__xludf.DUMMYFUNCTION("""COMPUTED_VALUE"""),"Good")</f>
        <v>Good</v>
      </c>
      <c r="S373" t="str">
        <f ca="1">IFERROR(__xludf.DUMMYFUNCTION("""COMPUTED_VALUE"""),"Good")</f>
        <v>Good</v>
      </c>
      <c r="T373" t="str">
        <f ca="1">IFERROR(__xludf.DUMMYFUNCTION("""COMPUTED_VALUE"""),"Good")</f>
        <v>Good</v>
      </c>
      <c r="U373" t="str">
        <f ca="1">IFERROR(__xludf.DUMMYFUNCTION("""COMPUTED_VALUE"""),"Good")</f>
        <v>Good</v>
      </c>
      <c r="V373" t="str">
        <f ca="1">IFERROR(__xludf.DUMMYFUNCTION("""COMPUTED_VALUE"""),"Good")</f>
        <v>Good</v>
      </c>
      <c r="W373" t="str">
        <f ca="1">IFERROR(__xludf.DUMMYFUNCTION("""COMPUTED_VALUE"""),"Good")</f>
        <v>Good</v>
      </c>
      <c r="X373" t="str">
        <f ca="1">IFERROR(__xludf.DUMMYFUNCTION("""COMPUTED_VALUE"""),"Good")</f>
        <v>Good</v>
      </c>
      <c r="Y373" t="str">
        <f ca="1">IFERROR(__xludf.DUMMYFUNCTION("""COMPUTED_VALUE"""),"Good")</f>
        <v>Good</v>
      </c>
      <c r="Z373" t="str">
        <f ca="1">IFERROR(__xludf.DUMMYFUNCTION("""COMPUTED_VALUE"""),"Good")</f>
        <v>Good</v>
      </c>
      <c r="AA373" t="str">
        <f ca="1">IFERROR(__xludf.DUMMYFUNCTION("""COMPUTED_VALUE"""),"Good")</f>
        <v>Good</v>
      </c>
      <c r="AB373" t="str">
        <f ca="1">IFERROR(__xludf.DUMMYFUNCTION("""COMPUTED_VALUE"""),"Good")</f>
        <v>Good</v>
      </c>
      <c r="AC373" t="str">
        <f ca="1">IFERROR(__xludf.DUMMYFUNCTION("""COMPUTED_VALUE"""),"Good")</f>
        <v>Good</v>
      </c>
      <c r="AE373" s="11"/>
      <c r="AF373" t="str">
        <v>Nikki.Dix@floridadep.gov</v>
      </c>
      <c r="AG373" s="17" t="s">
        <v>41</v>
      </c>
      <c r="AH373" s="12">
        <v>1155</v>
      </c>
      <c r="AI373" s="12" t="s">
        <v>1067</v>
      </c>
      <c r="AJ373" s="19" t="s">
        <v>1068</v>
      </c>
      <c r="AK373" s="20" t="str">
        <f>HYPERLINK("https://docs.google.com/document/d/17-ejbLkrYmuOCBKs8rnXdpzSNQId2GnwAk45L75Y62U/edit?usp=drivesdk","Pamela Marcum - 9/19/2019 7:45 AM")</f>
        <v>Pamela Marcum - 9/19/2019 7:45 AM</v>
      </c>
      <c r="AL373" s="12" t="s">
        <v>1069</v>
      </c>
    </row>
    <row r="374" spans="1:38" ht="12.75">
      <c r="A374" s="10">
        <f ca="1">IFERROR(__xludf.DUMMYFUNCTION("""COMPUTED_VALUE"""),43727.3491999768)</f>
        <v>43727.349199976801</v>
      </c>
      <c r="B374" s="11" t="str">
        <f ca="1">IFERROR(__xludf.DUMMYFUNCTION("""COMPUTED_VALUE"""),"Jimmy Tomazinis")</f>
        <v>Jimmy Tomazinis</v>
      </c>
      <c r="C374" t="str">
        <f ca="1">IFERROR(__xludf.DUMMYFUNCTION("""COMPUTED_VALUE"""),"james.tomazinis@floridadep.gov")</f>
        <v>james.tomazinis@floridadep.gov</v>
      </c>
      <c r="D374" t="str">
        <f ca="1">IFERROR(__xludf.DUMMYFUNCTION("""COMPUTED_VALUE"""),"Stewardship (Aquatic)")</f>
        <v>Stewardship (Aquatic)</v>
      </c>
      <c r="E374" t="str">
        <f ca="1">IFERROR(__xludf.DUMMYFUNCTION("""COMPUTED_VALUE"""),"Bings")</f>
        <v>Bings</v>
      </c>
      <c r="F374" s="13">
        <f ca="1">IFERROR(__xludf.DUMMYFUNCTION("""COMPUTED_VALUE"""),0.416666666667879)</f>
        <v>0.41666666666787899</v>
      </c>
      <c r="G374" s="14">
        <f ca="1">IFERROR(__xludf.DUMMYFUNCTION("""COMPUTED_VALUE"""),43727)</f>
        <v>43727</v>
      </c>
      <c r="H374" t="str">
        <f ca="1">IFERROR(__xludf.DUMMYFUNCTION("""COMPUTED_VALUE"""),"Nekton sites 15-20")</f>
        <v>Nekton sites 15-20</v>
      </c>
      <c r="I374" s="15">
        <f ca="1">IFERROR(__xludf.DUMMYFUNCTION("""COMPUTED_VALUE"""),0.666666666667879)</f>
        <v>0.66666666666787899</v>
      </c>
      <c r="J374" s="16"/>
      <c r="K374" t="str">
        <f ca="1">IFERROR(__xludf.DUMMYFUNCTION("""COMPUTED_VALUE"""),"23ft Skiff (Bertha) FL7972LJ DEP07613")</f>
        <v>23ft Skiff (Bertha) FL7972LJ DEP07613</v>
      </c>
      <c r="M374" t="str">
        <f ca="1">IFERROR(__xludf.DUMMYFUNCTION("""COMPUTED_VALUE"""),"Ford F150 2015 (White) - DEP21448")</f>
        <v>Ford F150 2015 (White) - DEP21448</v>
      </c>
      <c r="N374" t="str">
        <f ca="1">IFERROR(__xludf.DUMMYFUNCTION("""COMPUTED_VALUE"""),"Jimmy Tomazinis, (904) 547-0094")</f>
        <v>Jimmy Tomazinis, (904) 547-0094</v>
      </c>
      <c r="O374" t="str">
        <f ca="1">IFERROR(__xludf.DUMMYFUNCTION("""COMPUTED_VALUE"""),"Ed, Diane, Alicia, Zach, Suzi")</f>
        <v>Ed, Diane, Alicia, Zach, Suzi</v>
      </c>
      <c r="P374" t="str">
        <f ca="1">IFERROR(__xludf.DUMMYFUNCTION("""COMPUTED_VALUE"""),"Jimmy")</f>
        <v>Jimmy</v>
      </c>
      <c r="Q374" t="str">
        <f ca="1">IFERROR(__xludf.DUMMYFUNCTION("""COMPUTED_VALUE"""),"Good")</f>
        <v>Good</v>
      </c>
      <c r="R374" t="str">
        <f ca="1">IFERROR(__xludf.DUMMYFUNCTION("""COMPUTED_VALUE"""),"Good")</f>
        <v>Good</v>
      </c>
      <c r="S374" t="str">
        <f ca="1">IFERROR(__xludf.DUMMYFUNCTION("""COMPUTED_VALUE"""),"Good")</f>
        <v>Good</v>
      </c>
      <c r="T374" t="str">
        <f ca="1">IFERROR(__xludf.DUMMYFUNCTION("""COMPUTED_VALUE"""),"Good")</f>
        <v>Good</v>
      </c>
      <c r="U374" t="str">
        <f ca="1">IFERROR(__xludf.DUMMYFUNCTION("""COMPUTED_VALUE"""),"Good")</f>
        <v>Good</v>
      </c>
      <c r="V374" t="str">
        <f ca="1">IFERROR(__xludf.DUMMYFUNCTION("""COMPUTED_VALUE"""),"Good")</f>
        <v>Good</v>
      </c>
      <c r="W374" t="str">
        <f ca="1">IFERROR(__xludf.DUMMYFUNCTION("""COMPUTED_VALUE"""),"Good")</f>
        <v>Good</v>
      </c>
      <c r="X374" t="str">
        <f ca="1">IFERROR(__xludf.DUMMYFUNCTION("""COMPUTED_VALUE"""),"Good")</f>
        <v>Good</v>
      </c>
      <c r="Y374" t="str">
        <f ca="1">IFERROR(__xludf.DUMMYFUNCTION("""COMPUTED_VALUE"""),"Good")</f>
        <v>Good</v>
      </c>
      <c r="Z374" t="str">
        <f ca="1">IFERROR(__xludf.DUMMYFUNCTION("""COMPUTED_VALUE"""),"Good")</f>
        <v>Good</v>
      </c>
      <c r="AA374" t="str">
        <f ca="1">IFERROR(__xludf.DUMMYFUNCTION("""COMPUTED_VALUE"""),"Good")</f>
        <v>Good</v>
      </c>
      <c r="AB374" t="str">
        <f ca="1">IFERROR(__xludf.DUMMYFUNCTION("""COMPUTED_VALUE"""),"Good")</f>
        <v>Good</v>
      </c>
      <c r="AC374" t="str">
        <f ca="1">IFERROR(__xludf.DUMMYFUNCTION("""COMPUTED_VALUE"""),"Good")</f>
        <v>Good</v>
      </c>
      <c r="AE374" s="11"/>
      <c r="AF374" t="str">
        <v>Scott.Eastman@floridadep.gov</v>
      </c>
      <c r="AG374" s="17" t="s">
        <v>21</v>
      </c>
      <c r="AH374" s="12">
        <v>1550</v>
      </c>
      <c r="AI374" s="12" t="s">
        <v>1070</v>
      </c>
      <c r="AJ374" s="19" t="s">
        <v>1071</v>
      </c>
      <c r="AK374" s="20" t="str">
        <f>HYPERLINK("https://docs.google.com/document/d/1_ixFUqqY3pBFYyko_LJxme1mlZsxKkUiApejiVxk4Vk/edit?usp=drivesdk","Jimmy Tomazinis - 9/19/2019 10:00 AM")</f>
        <v>Jimmy Tomazinis - 9/19/2019 10:00 AM</v>
      </c>
      <c r="AL374" s="12" t="s">
        <v>1072</v>
      </c>
    </row>
    <row r="375" spans="1:38" ht="12.75">
      <c r="A375" s="10">
        <f ca="1">IFERROR(__xludf.DUMMYFUNCTION("""COMPUTED_VALUE"""),43727.4094179513)</f>
        <v>43727.409417951298</v>
      </c>
      <c r="B375" s="11" t="str">
        <f ca="1">IFERROR(__xludf.DUMMYFUNCTION("""COMPUTED_VALUE"""),"Silas Tanner")</f>
        <v>Silas Tanner</v>
      </c>
      <c r="C375" t="str">
        <f ca="1">IFERROR(__xludf.DUMMYFUNCTION("""COMPUTED_VALUE"""),"silas.tanner@floridadep.gov")</f>
        <v>silas.tanner@floridadep.gov</v>
      </c>
      <c r="D375" t="str">
        <f ca="1">IFERROR(__xludf.DUMMYFUNCTION("""COMPUTED_VALUE"""),"Research/Nikki")</f>
        <v>Research/Nikki</v>
      </c>
      <c r="E375" t="str">
        <f ca="1">IFERROR(__xludf.DUMMYFUNCTION("""COMPUTED_VALUE"""),"Faver Dykes SP")</f>
        <v>Faver Dykes SP</v>
      </c>
      <c r="F375" s="13">
        <f ca="1">IFERROR(__xludf.DUMMYFUNCTION("""COMPUTED_VALUE"""),0.409722222222626)</f>
        <v>0.409722222222626</v>
      </c>
      <c r="G375" s="14">
        <f ca="1">IFERROR(__xludf.DUMMYFUNCTION("""COMPUTED_VALUE"""),43727)</f>
        <v>43727</v>
      </c>
      <c r="H375" t="str">
        <f ca="1">IFERROR(__xludf.DUMMYFUNCTION("""COMPUTED_VALUE"""),"Pellicer Creek SWMP platforms")</f>
        <v>Pellicer Creek SWMP platforms</v>
      </c>
      <c r="I375" s="15">
        <f ca="1">IFERROR(__xludf.DUMMYFUNCTION("""COMPUTED_VALUE"""),0.5625)</f>
        <v>0.5625</v>
      </c>
      <c r="J375" s="16">
        <f ca="1">IFERROR(__xludf.DUMMYFUNCTION("""COMPUTED_VALUE"""),43727.6041666666)</f>
        <v>43727.604166666599</v>
      </c>
      <c r="K375" t="str">
        <f ca="1">IFERROR(__xludf.DUMMYFUNCTION("""COMPUTED_VALUE"""),"20ft Sea Ark FL5351SJ UNF 2015")</f>
        <v>20ft Sea Ark FL5351SJ UNF 2015</v>
      </c>
      <c r="M375" t="str">
        <f ca="1">IFERROR(__xludf.DUMMYFUNCTION("""COMPUTED_VALUE"""),"Ford F250 2017 (Moby Dix) - DEP0021578")</f>
        <v>Ford F250 2017 (Moby Dix) - DEP0021578</v>
      </c>
      <c r="N375" t="str">
        <f ca="1">IFERROR(__xludf.DUMMYFUNCTION("""COMPUTED_VALUE"""),"Shannon Dunnigan, (803) 727-5734, Silas Tanner, (904) 483-8423")</f>
        <v>Shannon Dunnigan, (803) 727-5734, Silas Tanner, (904) 483-8423</v>
      </c>
      <c r="O375" t="str">
        <f ca="1">IFERROR(__xludf.DUMMYFUNCTION("""COMPUTED_VALUE"""),"Casey McClure")</f>
        <v>Casey McClure</v>
      </c>
      <c r="P375" t="str">
        <f ca="1">IFERROR(__xludf.DUMMYFUNCTION("""COMPUTED_VALUE"""),"S. Dunnigan")</f>
        <v>S. Dunnigan</v>
      </c>
      <c r="Q375" t="str">
        <f ca="1">IFERROR(__xludf.DUMMYFUNCTION("""COMPUTED_VALUE"""),"Good")</f>
        <v>Good</v>
      </c>
      <c r="R375" t="str">
        <f ca="1">IFERROR(__xludf.DUMMYFUNCTION("""COMPUTED_VALUE"""),"Good")</f>
        <v>Good</v>
      </c>
      <c r="S375" t="str">
        <f ca="1">IFERROR(__xludf.DUMMYFUNCTION("""COMPUTED_VALUE"""),"Good")</f>
        <v>Good</v>
      </c>
      <c r="T375" t="str">
        <f ca="1">IFERROR(__xludf.DUMMYFUNCTION("""COMPUTED_VALUE"""),"Good")</f>
        <v>Good</v>
      </c>
      <c r="U375" t="str">
        <f ca="1">IFERROR(__xludf.DUMMYFUNCTION("""COMPUTED_VALUE"""),"Good")</f>
        <v>Good</v>
      </c>
      <c r="V375" t="str">
        <f ca="1">IFERROR(__xludf.DUMMYFUNCTION("""COMPUTED_VALUE"""),"Good")</f>
        <v>Good</v>
      </c>
      <c r="W375" t="str">
        <f ca="1">IFERROR(__xludf.DUMMYFUNCTION("""COMPUTED_VALUE"""),"Good")</f>
        <v>Good</v>
      </c>
      <c r="X375" t="str">
        <f ca="1">IFERROR(__xludf.DUMMYFUNCTION("""COMPUTED_VALUE"""),"Good")</f>
        <v>Good</v>
      </c>
      <c r="Y375" t="str">
        <f ca="1">IFERROR(__xludf.DUMMYFUNCTION("""COMPUTED_VALUE"""),"Good")</f>
        <v>Good</v>
      </c>
      <c r="Z375" t="str">
        <f ca="1">IFERROR(__xludf.DUMMYFUNCTION("""COMPUTED_VALUE"""),"Good")</f>
        <v>Good</v>
      </c>
      <c r="AA375" t="str">
        <f ca="1">IFERROR(__xludf.DUMMYFUNCTION("""COMPUTED_VALUE"""),"Good")</f>
        <v>Good</v>
      </c>
      <c r="AB375" t="str">
        <f ca="1">IFERROR(__xludf.DUMMYFUNCTION("""COMPUTED_VALUE"""),"Good")</f>
        <v>Good</v>
      </c>
      <c r="AC375" t="str">
        <f ca="1">IFERROR(__xludf.DUMMYFUNCTION("""COMPUTED_VALUE"""),"Good")</f>
        <v>Good</v>
      </c>
      <c r="AE375" s="11"/>
      <c r="AF375" t="str">
        <v>Nikki.Dix@floridadep.gov</v>
      </c>
      <c r="AG375" s="17" t="s">
        <v>41</v>
      </c>
      <c r="AH375" s="12">
        <v>1155</v>
      </c>
      <c r="AI375" s="12" t="s">
        <v>1073</v>
      </c>
      <c r="AJ375" s="19" t="s">
        <v>1074</v>
      </c>
      <c r="AK375" s="20" t="str">
        <f>HYPERLINK("https://docs.google.com/document/d/1XcVFZzDY85Qnprn6bdjN8xHXM896AB5RZfyIW2kUNRc/edit?usp=drivesdk","Silas Tanner - 9/19/2019 9:50 AM")</f>
        <v>Silas Tanner - 9/19/2019 9:50 AM</v>
      </c>
      <c r="AL375" s="12" t="s">
        <v>1075</v>
      </c>
    </row>
    <row r="376" spans="1:38" ht="12.75">
      <c r="A376" s="10">
        <f ca="1">IFERROR(__xludf.DUMMYFUNCTION("""COMPUTED_VALUE"""),43728.3088679629)</f>
        <v>43728.3088679629</v>
      </c>
      <c r="B376" s="11" t="str">
        <f ca="1">IFERROR(__xludf.DUMMYFUNCTION("""COMPUTED_VALUE"""),"Alexandria Knoell")</f>
        <v>Alexandria Knoell</v>
      </c>
      <c r="C376" t="str">
        <f ca="1">IFERROR(__xludf.DUMMYFUNCTION("""COMPUTED_VALUE"""),"alee.knoell@floridadep.gov")</f>
        <v>alee.knoell@floridadep.gov</v>
      </c>
      <c r="D376" t="str">
        <f ca="1">IFERROR(__xludf.DUMMYFUNCTION("""COMPUTED_VALUE"""),"Research/Nikki")</f>
        <v>Research/Nikki</v>
      </c>
      <c r="E376" t="str">
        <f ca="1">IFERROR(__xludf.DUMMYFUNCTION("""COMPUTED_VALUE"""),"Vilano")</f>
        <v>Vilano</v>
      </c>
      <c r="F376" s="13">
        <f ca="1">IFERROR(__xludf.DUMMYFUNCTION("""COMPUTED_VALUE"""),0.3125)</f>
        <v>0.3125</v>
      </c>
      <c r="G376" s="14">
        <f ca="1">IFERROR(__xludf.DUMMYFUNCTION("""COMPUTED_VALUE"""),43728)</f>
        <v>43728</v>
      </c>
      <c r="H376" t="str">
        <f ca="1">IFERROR(__xludf.DUMMYFUNCTION("""COMPUTED_VALUE"""),"Salt run")</f>
        <v>Salt run</v>
      </c>
      <c r="I376" s="15">
        <f ca="1">IFERROR(__xludf.DUMMYFUNCTION("""COMPUTED_VALUE"""),0.5)</f>
        <v>0.5</v>
      </c>
      <c r="J376" s="16">
        <f ca="1">IFERROR(__xludf.DUMMYFUNCTION("""COMPUTED_VALUE"""),43728.5416666666)</f>
        <v>43728.541666666599</v>
      </c>
      <c r="K376" t="str">
        <f ca="1">IFERROR(__xludf.DUMMYFUNCTION("""COMPUTED_VALUE"""),"20ft Sea Ark FL5351SJ UNF 2015")</f>
        <v>20ft Sea Ark FL5351SJ UNF 2015</v>
      </c>
      <c r="M376" t="str">
        <f ca="1">IFERROR(__xludf.DUMMYFUNCTION("""COMPUTED_VALUE"""),"Ford F250 2017 (Moby Dix) - DEP0021578")</f>
        <v>Ford F250 2017 (Moby Dix) - DEP0021578</v>
      </c>
      <c r="N376" t="str">
        <f ca="1">IFERROR(__xludf.DUMMYFUNCTION("""COMPUTED_VALUE"""),"Remo Mondazi")</f>
        <v>Remo Mondazi</v>
      </c>
      <c r="O376" t="str">
        <f ca="1">IFERROR(__xludf.DUMMYFUNCTION("""COMPUTED_VALUE"""),"Alee Knoell")</f>
        <v>Alee Knoell</v>
      </c>
      <c r="P376" t="str">
        <f ca="1">IFERROR(__xludf.DUMMYFUNCTION("""COMPUTED_VALUE"""),"Remo Mondazi")</f>
        <v>Remo Mondazi</v>
      </c>
      <c r="Q376" t="str">
        <f ca="1">IFERROR(__xludf.DUMMYFUNCTION("""COMPUTED_VALUE"""),"Good")</f>
        <v>Good</v>
      </c>
      <c r="R376" t="str">
        <f ca="1">IFERROR(__xludf.DUMMYFUNCTION("""COMPUTED_VALUE"""),"Good")</f>
        <v>Good</v>
      </c>
      <c r="S376" t="str">
        <f ca="1">IFERROR(__xludf.DUMMYFUNCTION("""COMPUTED_VALUE"""),"Good")</f>
        <v>Good</v>
      </c>
      <c r="T376" t="str">
        <f ca="1">IFERROR(__xludf.DUMMYFUNCTION("""COMPUTED_VALUE"""),"Good")</f>
        <v>Good</v>
      </c>
      <c r="U376" t="str">
        <f ca="1">IFERROR(__xludf.DUMMYFUNCTION("""COMPUTED_VALUE"""),"Good")</f>
        <v>Good</v>
      </c>
      <c r="V376" t="str">
        <f ca="1">IFERROR(__xludf.DUMMYFUNCTION("""COMPUTED_VALUE"""),"Good")</f>
        <v>Good</v>
      </c>
      <c r="W376" t="str">
        <f ca="1">IFERROR(__xludf.DUMMYFUNCTION("""COMPUTED_VALUE"""),"Good")</f>
        <v>Good</v>
      </c>
      <c r="X376" t="str">
        <f ca="1">IFERROR(__xludf.DUMMYFUNCTION("""COMPUTED_VALUE"""),"Good")</f>
        <v>Good</v>
      </c>
      <c r="Y376" t="str">
        <f ca="1">IFERROR(__xludf.DUMMYFUNCTION("""COMPUTED_VALUE"""),"Good")</f>
        <v>Good</v>
      </c>
      <c r="Z376" t="str">
        <f ca="1">IFERROR(__xludf.DUMMYFUNCTION("""COMPUTED_VALUE"""),"Good")</f>
        <v>Good</v>
      </c>
      <c r="AA376" t="str">
        <f ca="1">IFERROR(__xludf.DUMMYFUNCTION("""COMPUTED_VALUE"""),"Good")</f>
        <v>Good</v>
      </c>
      <c r="AB376" t="str">
        <f ca="1">IFERROR(__xludf.DUMMYFUNCTION("""COMPUTED_VALUE"""),"Good")</f>
        <v>Good</v>
      </c>
      <c r="AC376" t="str">
        <f ca="1">IFERROR(__xludf.DUMMYFUNCTION("""COMPUTED_VALUE"""),"Good")</f>
        <v>Good</v>
      </c>
      <c r="AE376" s="11"/>
      <c r="AF376" t="str">
        <v>Nikki.Dix@floridadep.gov</v>
      </c>
      <c r="AG376" s="17" t="s">
        <v>17</v>
      </c>
      <c r="AH376" s="12">
        <v>1040</v>
      </c>
      <c r="AI376" s="12" t="s">
        <v>1076</v>
      </c>
      <c r="AJ376" s="19" t="s">
        <v>1077</v>
      </c>
      <c r="AK376" s="20" t="str">
        <f>HYPERLINK("https://docs.google.com/document/d/17A4uRgXYnvF9AqyKS1BltihQdj9B2XvMFNMWZqS165M/edit?usp=drivesdk","Alexandria Knoell - 9/20/2019 7:30 AM")</f>
        <v>Alexandria Knoell - 9/20/2019 7:30 AM</v>
      </c>
      <c r="AL376" s="12" t="s">
        <v>1078</v>
      </c>
    </row>
    <row r="377" spans="1:38" ht="12.75">
      <c r="A377" s="10">
        <f ca="1">IFERROR(__xludf.DUMMYFUNCTION("""COMPUTED_VALUE"""),43731.3652323611)</f>
        <v>43731.365232361102</v>
      </c>
      <c r="B377" s="11" t="str">
        <f ca="1">IFERROR(__xludf.DUMMYFUNCTION("""COMPUTED_VALUE"""),"Silas Tanner")</f>
        <v>Silas Tanner</v>
      </c>
      <c r="C377" t="str">
        <f ca="1">IFERROR(__xludf.DUMMYFUNCTION("""COMPUTED_VALUE"""),"silas.tanner@floridadep.gov")</f>
        <v>silas.tanner@floridadep.gov</v>
      </c>
      <c r="D377" t="str">
        <f ca="1">IFERROR(__xludf.DUMMYFUNCTION("""COMPUTED_VALUE"""),"Research/Nikki")</f>
        <v>Research/Nikki</v>
      </c>
      <c r="E377" t="str">
        <f ca="1">IFERROR(__xludf.DUMMYFUNCTION("""COMPUTED_VALUE"""),"Palm Valley")</f>
        <v>Palm Valley</v>
      </c>
      <c r="F377" s="13">
        <f ca="1">IFERROR(__xludf.DUMMYFUNCTION("""COMPUTED_VALUE"""),0.365972222221898)</f>
        <v>0.36597222222189801</v>
      </c>
      <c r="G377" s="14">
        <f ca="1">IFERROR(__xludf.DUMMYFUNCTION("""COMPUTED_VALUE"""),43731)</f>
        <v>43731</v>
      </c>
      <c r="H377" t="str">
        <f ca="1">IFERROR(__xludf.DUMMYFUNCTION("""COMPUTED_VALUE"""),"Pine island swmp platforms")</f>
        <v>Pine island swmp platforms</v>
      </c>
      <c r="I377" s="15">
        <f ca="1">IFERROR(__xludf.DUMMYFUNCTION("""COMPUTED_VALUE"""),0.572916666667879)</f>
        <v>0.57291666666787899</v>
      </c>
      <c r="J377" s="16">
        <f ca="1">IFERROR(__xludf.DUMMYFUNCTION("""COMPUTED_VALUE"""),43731.5833333333)</f>
        <v>43731.583333333299</v>
      </c>
      <c r="K377" t="str">
        <f ca="1">IFERROR(__xludf.DUMMYFUNCTION("""COMPUTED_VALUE"""),"20ft Sea Ark FL5351SJ UNF 2015")</f>
        <v>20ft Sea Ark FL5351SJ UNF 2015</v>
      </c>
      <c r="M377" t="str">
        <f ca="1">IFERROR(__xludf.DUMMYFUNCTION("""COMPUTED_VALUE"""),"Ford F250 2017 (Moby Dix) - DEP0021578")</f>
        <v>Ford F250 2017 (Moby Dix) - DEP0021578</v>
      </c>
      <c r="N377" t="str">
        <f ca="1">IFERROR(__xludf.DUMMYFUNCTION("""COMPUTED_VALUE"""),"Shannon Dunnigan, (803) 727-5734, Silas Tanner, (904) 483-8423")</f>
        <v>Shannon Dunnigan, (803) 727-5734, Silas Tanner, (904) 483-8423</v>
      </c>
      <c r="O377" t="str">
        <f ca="1">IFERROR(__xludf.DUMMYFUNCTION("""COMPUTED_VALUE"""),"Sloan Stephens")</f>
        <v>Sloan Stephens</v>
      </c>
      <c r="P377" t="str">
        <f ca="1">IFERROR(__xludf.DUMMYFUNCTION("""COMPUTED_VALUE"""),"S. Dunnigan")</f>
        <v>S. Dunnigan</v>
      </c>
      <c r="Q377" t="str">
        <f ca="1">IFERROR(__xludf.DUMMYFUNCTION("""COMPUTED_VALUE"""),"Good")</f>
        <v>Good</v>
      </c>
      <c r="R377" t="str">
        <f ca="1">IFERROR(__xludf.DUMMYFUNCTION("""COMPUTED_VALUE"""),"Good")</f>
        <v>Good</v>
      </c>
      <c r="S377" t="str">
        <f ca="1">IFERROR(__xludf.DUMMYFUNCTION("""COMPUTED_VALUE"""),"Good")</f>
        <v>Good</v>
      </c>
      <c r="T377" t="str">
        <f ca="1">IFERROR(__xludf.DUMMYFUNCTION("""COMPUTED_VALUE"""),"Good")</f>
        <v>Good</v>
      </c>
      <c r="U377" t="str">
        <f ca="1">IFERROR(__xludf.DUMMYFUNCTION("""COMPUTED_VALUE"""),"Good")</f>
        <v>Good</v>
      </c>
      <c r="V377" t="str">
        <f ca="1">IFERROR(__xludf.DUMMYFUNCTION("""COMPUTED_VALUE"""),"Good")</f>
        <v>Good</v>
      </c>
      <c r="W377" t="str">
        <f ca="1">IFERROR(__xludf.DUMMYFUNCTION("""COMPUTED_VALUE"""),"Good")</f>
        <v>Good</v>
      </c>
      <c r="X377" t="str">
        <f ca="1">IFERROR(__xludf.DUMMYFUNCTION("""COMPUTED_VALUE"""),"Good")</f>
        <v>Good</v>
      </c>
      <c r="Y377" t="str">
        <f ca="1">IFERROR(__xludf.DUMMYFUNCTION("""COMPUTED_VALUE"""),"Good")</f>
        <v>Good</v>
      </c>
      <c r="Z377" t="str">
        <f ca="1">IFERROR(__xludf.DUMMYFUNCTION("""COMPUTED_VALUE"""),"Good")</f>
        <v>Good</v>
      </c>
      <c r="AA377" t="str">
        <f ca="1">IFERROR(__xludf.DUMMYFUNCTION("""COMPUTED_VALUE"""),"Good")</f>
        <v>Good</v>
      </c>
      <c r="AB377" t="str">
        <f ca="1">IFERROR(__xludf.DUMMYFUNCTION("""COMPUTED_VALUE"""),"Good")</f>
        <v>Good</v>
      </c>
      <c r="AC377" t="str">
        <f ca="1">IFERROR(__xludf.DUMMYFUNCTION("""COMPUTED_VALUE"""),"Good")</f>
        <v>Good</v>
      </c>
      <c r="AE377" s="11"/>
      <c r="AF377" t="str">
        <v>Nikki.Dix@floridadep.gov</v>
      </c>
      <c r="AG377" s="17" t="s">
        <v>17</v>
      </c>
      <c r="AH377" s="12">
        <v>1345</v>
      </c>
      <c r="AI377" s="12" t="s">
        <v>1079</v>
      </c>
      <c r="AJ377" s="19" t="s">
        <v>1080</v>
      </c>
      <c r="AK377" s="20" t="str">
        <f>HYPERLINK("https://docs.google.com/document/d/1A0N0MGKq44r4WVGGlz3AGJmeioeR0rtdAgdYTyR479E/edit?usp=drivesdk","Silas Tanner - 9/23/2019 8:47 AM")</f>
        <v>Silas Tanner - 9/23/2019 8:47 AM</v>
      </c>
      <c r="AL377" s="12" t="s">
        <v>1081</v>
      </c>
    </row>
    <row r="378" spans="1:38" ht="12.75">
      <c r="A378" s="10">
        <f ca="1">IFERROR(__xludf.DUMMYFUNCTION("""COMPUTED_VALUE"""),43734.3260501967)</f>
        <v>43734.326050196702</v>
      </c>
      <c r="B378" s="11" t="str">
        <f ca="1">IFERROR(__xludf.DUMMYFUNCTION("""COMPUTED_VALUE"""),"Silas Tanner")</f>
        <v>Silas Tanner</v>
      </c>
      <c r="C378" t="str">
        <f ca="1">IFERROR(__xludf.DUMMYFUNCTION("""COMPUTED_VALUE"""),"silas.tanner@Floridadep.gov")</f>
        <v>silas.tanner@Floridadep.gov</v>
      </c>
      <c r="D378" t="str">
        <f ca="1">IFERROR(__xludf.DUMMYFUNCTION("""COMPUTED_VALUE"""),"Research/Nikki")</f>
        <v>Research/Nikki</v>
      </c>
      <c r="E378" t="str">
        <f ca="1">IFERROR(__xludf.DUMMYFUNCTION("""COMPUTED_VALUE"""),"Crane")</f>
        <v>Crane</v>
      </c>
      <c r="F378" s="13">
        <f ca="1">IFERROR(__xludf.DUMMYFUNCTION("""COMPUTED_VALUE"""),0.326388888890505)</f>
        <v>0.32638888889050499</v>
      </c>
      <c r="G378" s="14">
        <f ca="1">IFERROR(__xludf.DUMMYFUNCTION("""COMPUTED_VALUE"""),43734)</f>
        <v>43734</v>
      </c>
      <c r="H378" t="str">
        <f ca="1">IFERROR(__xludf.DUMMYFUNCTION("""COMPUTED_VALUE"""),"ICW swmp sites")</f>
        <v>ICW swmp sites</v>
      </c>
      <c r="I378" s="15">
        <f ca="1">IFERROR(__xludf.DUMMYFUNCTION("""COMPUTED_VALUE"""),0.5625)</f>
        <v>0.5625</v>
      </c>
      <c r="J378" s="16">
        <f ca="1">IFERROR(__xludf.DUMMYFUNCTION("""COMPUTED_VALUE"""),43734.6458333333)</f>
        <v>43734.645833333299</v>
      </c>
      <c r="K378" t="str">
        <f ca="1">IFERROR(__xludf.DUMMYFUNCTION("""COMPUTED_VALUE"""),"23ft Skiff (Bertha) FL7972LJ DEP07613")</f>
        <v>23ft Skiff (Bertha) FL7972LJ DEP07613</v>
      </c>
      <c r="M378" t="str">
        <f ca="1">IFERROR(__xludf.DUMMYFUNCTION("""COMPUTED_VALUE"""),"Ford F250 2017 (Moby Dix) - DEP0021578")</f>
        <v>Ford F250 2017 (Moby Dix) - DEP0021578</v>
      </c>
      <c r="N378" t="str">
        <f ca="1">IFERROR(__xludf.DUMMYFUNCTION("""COMPUTED_VALUE"""),"Silas Tanner, (904) 483-8423, Remo Mondazzi")</f>
        <v>Silas Tanner, (904) 483-8423, Remo Mondazzi</v>
      </c>
      <c r="P378" t="str">
        <f ca="1">IFERROR(__xludf.DUMMYFUNCTION("""COMPUTED_VALUE"""),"S. Tanner")</f>
        <v>S. Tanner</v>
      </c>
      <c r="Q378" t="str">
        <f ca="1">IFERROR(__xludf.DUMMYFUNCTION("""COMPUTED_VALUE"""),"Good")</f>
        <v>Good</v>
      </c>
      <c r="R378" t="str">
        <f ca="1">IFERROR(__xludf.DUMMYFUNCTION("""COMPUTED_VALUE"""),"Good")</f>
        <v>Good</v>
      </c>
      <c r="S378" t="str">
        <f ca="1">IFERROR(__xludf.DUMMYFUNCTION("""COMPUTED_VALUE"""),"Good")</f>
        <v>Good</v>
      </c>
      <c r="T378" t="str">
        <f ca="1">IFERROR(__xludf.DUMMYFUNCTION("""COMPUTED_VALUE"""),"Good")</f>
        <v>Good</v>
      </c>
      <c r="U378" t="str">
        <f ca="1">IFERROR(__xludf.DUMMYFUNCTION("""COMPUTED_VALUE"""),"Good")</f>
        <v>Good</v>
      </c>
      <c r="V378" t="str">
        <f ca="1">IFERROR(__xludf.DUMMYFUNCTION("""COMPUTED_VALUE"""),"Good")</f>
        <v>Good</v>
      </c>
      <c r="W378" t="str">
        <f ca="1">IFERROR(__xludf.DUMMYFUNCTION("""COMPUTED_VALUE"""),"Good")</f>
        <v>Good</v>
      </c>
      <c r="X378" t="str">
        <f ca="1">IFERROR(__xludf.DUMMYFUNCTION("""COMPUTED_VALUE"""),"Good")</f>
        <v>Good</v>
      </c>
      <c r="Y378" t="str">
        <f ca="1">IFERROR(__xludf.DUMMYFUNCTION("""COMPUTED_VALUE"""),"Good")</f>
        <v>Good</v>
      </c>
      <c r="Z378" t="str">
        <f ca="1">IFERROR(__xludf.DUMMYFUNCTION("""COMPUTED_VALUE"""),"Good")</f>
        <v>Good</v>
      </c>
      <c r="AA378" t="str">
        <f ca="1">IFERROR(__xludf.DUMMYFUNCTION("""COMPUTED_VALUE"""),"Good")</f>
        <v>Good</v>
      </c>
      <c r="AB378" t="str">
        <f ca="1">IFERROR(__xludf.DUMMYFUNCTION("""COMPUTED_VALUE"""),"Good")</f>
        <v>Good</v>
      </c>
      <c r="AC378" t="str">
        <f ca="1">IFERROR(__xludf.DUMMYFUNCTION("""COMPUTED_VALUE"""),"Good")</f>
        <v>Good</v>
      </c>
      <c r="AE378" s="11"/>
      <c r="AF378" t="str">
        <v>Nikki.Dix@floridadep.gov</v>
      </c>
      <c r="AG378" s="17" t="s">
        <v>41</v>
      </c>
      <c r="AH378" s="12">
        <v>1120</v>
      </c>
      <c r="AI378" s="12" t="s">
        <v>1082</v>
      </c>
      <c r="AJ378" s="19" t="s">
        <v>1083</v>
      </c>
      <c r="AK378" s="20" t="str">
        <f>HYPERLINK("https://docs.google.com/document/d/1yjBfH6H6zIFAi5tn-uHL0_Gz62OBYgYXcoJvx0NpG70/edit?usp=drivesdk","Silas Tanner - 9/26/2019 7:50 AM")</f>
        <v>Silas Tanner - 9/26/2019 7:50 AM</v>
      </c>
      <c r="AL378" s="12" t="s">
        <v>1084</v>
      </c>
    </row>
    <row r="379" spans="1:38" ht="12.75">
      <c r="A379" s="10">
        <f ca="1">IFERROR(__xludf.DUMMYFUNCTION("""COMPUTED_VALUE"""),43734.455283912)</f>
        <v>43734.455283912001</v>
      </c>
      <c r="B379" s="11" t="str">
        <f ca="1">IFERROR(__xludf.DUMMYFUNCTION("""COMPUTED_VALUE"""),"Gabriela Canas")</f>
        <v>Gabriela Canas</v>
      </c>
      <c r="C379" t="str">
        <f ca="1">IFERROR(__xludf.DUMMYFUNCTION("""COMPUTED_VALUE"""),"n00836133@unf.edu")</f>
        <v>n00836133@unf.edu</v>
      </c>
      <c r="D379" t="str">
        <f ca="1">IFERROR(__xludf.DUMMYFUNCTION("""COMPUTED_VALUE"""),"Research/Nikki")</f>
        <v>Research/Nikki</v>
      </c>
      <c r="E379" t="str">
        <f ca="1">IFERROR(__xludf.DUMMYFUNCTION("""COMPUTED_VALUE"""),"Douglas crane")</f>
        <v>Douglas crane</v>
      </c>
      <c r="F379" s="13">
        <f ca="1">IFERROR(__xludf.DUMMYFUNCTION("""COMPUTED_VALUE"""),0.45833333333212)</f>
        <v>0.45833333333212001</v>
      </c>
      <c r="G379" s="14">
        <f ca="1">IFERROR(__xludf.DUMMYFUNCTION("""COMPUTED_VALUE"""),43734)</f>
        <v>43734</v>
      </c>
      <c r="H379" t="str">
        <f ca="1">IFERROR(__xludf.DUMMYFUNCTION("""COMPUTED_VALUE"""),"Gabby creek")</f>
        <v>Gabby creek</v>
      </c>
      <c r="I379" s="15">
        <f ca="1">IFERROR(__xludf.DUMMYFUNCTION("""COMPUTED_VALUE"""),0.166666666667879)</f>
        <v>0.16666666666787899</v>
      </c>
      <c r="J379" s="16">
        <f ca="1">IFERROR(__xludf.DUMMYFUNCTION("""COMPUTED_VALUE"""),43734.1875)</f>
        <v>43734.1875</v>
      </c>
      <c r="K379" t="str">
        <f ca="1">IFERROR(__xludf.DUMMYFUNCTION("""COMPUTED_VALUE"""),"20ft Sea Ark FL5351SJ UNF 2015")</f>
        <v>20ft Sea Ark FL5351SJ UNF 2015</v>
      </c>
      <c r="M379" t="str">
        <f ca="1">IFERROR(__xludf.DUMMYFUNCTION("""COMPUTED_VALUE"""),"Ford 4door dep07668")</f>
        <v>Ford 4door dep07668</v>
      </c>
      <c r="N379" t="str">
        <f ca="1">IFERROR(__xludf.DUMMYFUNCTION("""COMPUTED_VALUE"""),"Pam Marcum, (480) 332-5414")</f>
        <v>Pam Marcum, (480) 332-5414</v>
      </c>
      <c r="O379" t="str">
        <f ca="1">IFERROR(__xludf.DUMMYFUNCTION("""COMPUTED_VALUE"""),"Gabriela Canas, (904) 891-9743, Jess lee")</f>
        <v>Gabriela Canas, (904) 891-9743, Jess lee</v>
      </c>
      <c r="P379" t="str">
        <f ca="1">IFERROR(__xludf.DUMMYFUNCTION("""COMPUTED_VALUE"""),"Pam")</f>
        <v>Pam</v>
      </c>
      <c r="Q379" t="str">
        <f ca="1">IFERROR(__xludf.DUMMYFUNCTION("""COMPUTED_VALUE"""),"Good")</f>
        <v>Good</v>
      </c>
      <c r="R379" t="str">
        <f ca="1">IFERROR(__xludf.DUMMYFUNCTION("""COMPUTED_VALUE"""),"Good")</f>
        <v>Good</v>
      </c>
      <c r="S379" t="str">
        <f ca="1">IFERROR(__xludf.DUMMYFUNCTION("""COMPUTED_VALUE"""),"Good")</f>
        <v>Good</v>
      </c>
      <c r="T379" t="str">
        <f ca="1">IFERROR(__xludf.DUMMYFUNCTION("""COMPUTED_VALUE"""),"Good")</f>
        <v>Good</v>
      </c>
      <c r="U379" t="str">
        <f ca="1">IFERROR(__xludf.DUMMYFUNCTION("""COMPUTED_VALUE"""),"Good")</f>
        <v>Good</v>
      </c>
      <c r="V379" t="str">
        <f ca="1">IFERROR(__xludf.DUMMYFUNCTION("""COMPUTED_VALUE"""),"Good")</f>
        <v>Good</v>
      </c>
      <c r="W379" t="str">
        <f ca="1">IFERROR(__xludf.DUMMYFUNCTION("""COMPUTED_VALUE"""),"Good")</f>
        <v>Good</v>
      </c>
      <c r="X379" t="str">
        <f ca="1">IFERROR(__xludf.DUMMYFUNCTION("""COMPUTED_VALUE"""),"Good")</f>
        <v>Good</v>
      </c>
      <c r="Y379" t="str">
        <f ca="1">IFERROR(__xludf.DUMMYFUNCTION("""COMPUTED_VALUE"""),"Good")</f>
        <v>Good</v>
      </c>
      <c r="Z379" t="str">
        <f ca="1">IFERROR(__xludf.DUMMYFUNCTION("""COMPUTED_VALUE"""),"Good")</f>
        <v>Good</v>
      </c>
      <c r="AA379" t="str">
        <f ca="1">IFERROR(__xludf.DUMMYFUNCTION("""COMPUTED_VALUE"""),"Good")</f>
        <v>Good</v>
      </c>
      <c r="AB379" t="str">
        <f ca="1">IFERROR(__xludf.DUMMYFUNCTION("""COMPUTED_VALUE"""),"Good")</f>
        <v>Good</v>
      </c>
      <c r="AC379" t="str">
        <f ca="1">IFERROR(__xludf.DUMMYFUNCTION("""COMPUTED_VALUE"""),"Good")</f>
        <v>Good</v>
      </c>
      <c r="AE379" s="11"/>
      <c r="AF379" t="str">
        <v>Nikki.Dix@floridadep.gov</v>
      </c>
      <c r="AG379" s="17" t="s">
        <v>41</v>
      </c>
      <c r="AH379" s="12">
        <v>1608</v>
      </c>
      <c r="AI379" s="12" t="s">
        <v>1085</v>
      </c>
      <c r="AJ379" s="19" t="s">
        <v>1086</v>
      </c>
      <c r="AK379" s="20" t="str">
        <f>HYPERLINK("https://docs.google.com/document/d/1bJrBzE-p53jYgZXJ7d09hgLAWsK4ad1EDQSCTIFLbx8/edit?usp=drivesdk","Gabriela Canas - 9/26/2019 11:00 AM")</f>
        <v>Gabriela Canas - 9/26/2019 11:00 AM</v>
      </c>
      <c r="AL379" s="12" t="s">
        <v>1087</v>
      </c>
    </row>
    <row r="380" spans="1:38" ht="12.75">
      <c r="A380" s="10">
        <f ca="1">IFERROR(__xludf.DUMMYFUNCTION("""COMPUTED_VALUE"""),43738.627397824)</f>
        <v>43738.627397823999</v>
      </c>
      <c r="B380" s="11" t="str">
        <f ca="1">IFERROR(__xludf.DUMMYFUNCTION("""COMPUTED_VALUE"""),"Silas Tanner")</f>
        <v>Silas Tanner</v>
      </c>
      <c r="C380" t="str">
        <f ca="1">IFERROR(__xludf.DUMMYFUNCTION("""COMPUTED_VALUE"""),"silas.tanner@floridadep.gov")</f>
        <v>silas.tanner@floridadep.gov</v>
      </c>
      <c r="D380" t="str">
        <f ca="1">IFERROR(__xludf.DUMMYFUNCTION("""COMPUTED_VALUE"""),"Research/Nikki")</f>
        <v>Research/Nikki</v>
      </c>
      <c r="E380" t="str">
        <f ca="1">IFERROR(__xludf.DUMMYFUNCTION("""COMPUTED_VALUE"""),"Faver Dykes State Park")</f>
        <v>Faver Dykes State Park</v>
      </c>
      <c r="F380" s="13">
        <f ca="1">IFERROR(__xludf.DUMMYFUNCTION("""COMPUTED_VALUE"""),0.30208333333212)</f>
        <v>0.30208333333212001</v>
      </c>
      <c r="G380" s="14">
        <f ca="1">IFERROR(__xludf.DUMMYFUNCTION("""COMPUTED_VALUE"""),43739)</f>
        <v>43739</v>
      </c>
      <c r="H380" t="str">
        <f ca="1">IFERROR(__xludf.DUMMYFUNCTION("""COMPUTED_VALUE"""),"Pellicer Creek SWMP platforms")</f>
        <v>Pellicer Creek SWMP platforms</v>
      </c>
      <c r="I380" s="15">
        <f ca="1">IFERROR(__xludf.DUMMYFUNCTION("""COMPUTED_VALUE"""),0.52083333333212)</f>
        <v>0.52083333333212001</v>
      </c>
      <c r="J380" s="16">
        <f ca="1">IFERROR(__xludf.DUMMYFUNCTION("""COMPUTED_VALUE"""),43739.5729166666)</f>
        <v>43739.572916666599</v>
      </c>
      <c r="K380" t="str">
        <f ca="1">IFERROR(__xludf.DUMMYFUNCTION("""COMPUTED_VALUE"""),"20ft Sea Ark FL5351SJ UNF 2015")</f>
        <v>20ft Sea Ark FL5351SJ UNF 2015</v>
      </c>
      <c r="M380" t="str">
        <f ca="1">IFERROR(__xludf.DUMMYFUNCTION("""COMPUTED_VALUE"""),"Ford F250 2017 (Moby Dix) - DEP0021578")</f>
        <v>Ford F250 2017 (Moby Dix) - DEP0021578</v>
      </c>
      <c r="N380" t="str">
        <f ca="1">IFERROR(__xludf.DUMMYFUNCTION("""COMPUTED_VALUE"""),"Shannon Dunnigan, (803) 727-5734, Silas Tanner, (904) 483-8423")</f>
        <v>Shannon Dunnigan, (803) 727-5734, Silas Tanner, (904) 483-8423</v>
      </c>
      <c r="O380" t="str">
        <f ca="1">IFERROR(__xludf.DUMMYFUNCTION("""COMPUTED_VALUE"""),"Sloane Stephens")</f>
        <v>Sloane Stephens</v>
      </c>
      <c r="P380" t="str">
        <f ca="1">IFERROR(__xludf.DUMMYFUNCTION("""COMPUTED_VALUE"""),"S. Dunnigan")</f>
        <v>S. Dunnigan</v>
      </c>
      <c r="Q380" t="str">
        <f ca="1">IFERROR(__xludf.DUMMYFUNCTION("""COMPUTED_VALUE"""),"Good")</f>
        <v>Good</v>
      </c>
      <c r="R380" t="str">
        <f ca="1">IFERROR(__xludf.DUMMYFUNCTION("""COMPUTED_VALUE"""),"Good")</f>
        <v>Good</v>
      </c>
      <c r="S380" t="str">
        <f ca="1">IFERROR(__xludf.DUMMYFUNCTION("""COMPUTED_VALUE"""),"Good")</f>
        <v>Good</v>
      </c>
      <c r="T380" t="str">
        <f ca="1">IFERROR(__xludf.DUMMYFUNCTION("""COMPUTED_VALUE"""),"Good")</f>
        <v>Good</v>
      </c>
      <c r="U380" t="str">
        <f ca="1">IFERROR(__xludf.DUMMYFUNCTION("""COMPUTED_VALUE"""),"Good")</f>
        <v>Good</v>
      </c>
      <c r="V380" t="str">
        <f ca="1">IFERROR(__xludf.DUMMYFUNCTION("""COMPUTED_VALUE"""),"Good")</f>
        <v>Good</v>
      </c>
      <c r="W380" t="str">
        <f ca="1">IFERROR(__xludf.DUMMYFUNCTION("""COMPUTED_VALUE"""),"Good")</f>
        <v>Good</v>
      </c>
      <c r="X380" t="str">
        <f ca="1">IFERROR(__xludf.DUMMYFUNCTION("""COMPUTED_VALUE"""),"Good")</f>
        <v>Good</v>
      </c>
      <c r="Y380" t="str">
        <f ca="1">IFERROR(__xludf.DUMMYFUNCTION("""COMPUTED_VALUE"""),"Good")</f>
        <v>Good</v>
      </c>
      <c r="Z380" t="str">
        <f ca="1">IFERROR(__xludf.DUMMYFUNCTION("""COMPUTED_VALUE"""),"Good")</f>
        <v>Good</v>
      </c>
      <c r="AA380" t="str">
        <f ca="1">IFERROR(__xludf.DUMMYFUNCTION("""COMPUTED_VALUE"""),"Good")</f>
        <v>Good</v>
      </c>
      <c r="AB380" t="str">
        <f ca="1">IFERROR(__xludf.DUMMYFUNCTION("""COMPUTED_VALUE"""),"Good")</f>
        <v>Good</v>
      </c>
      <c r="AC380" t="str">
        <f ca="1">IFERROR(__xludf.DUMMYFUNCTION("""COMPUTED_VALUE"""),"Good")</f>
        <v>Good</v>
      </c>
      <c r="AE380" s="11"/>
      <c r="AF380" t="str">
        <v>Nikki.Dix@floridadep.gov</v>
      </c>
      <c r="AG380" s="17" t="s">
        <v>126</v>
      </c>
      <c r="AH380" s="12">
        <v>1035</v>
      </c>
      <c r="AI380" s="12" t="s">
        <v>1088</v>
      </c>
      <c r="AJ380" s="19" t="s">
        <v>1089</v>
      </c>
      <c r="AK380" s="20" t="str">
        <f>HYPERLINK("https://docs.google.com/document/d/1DbejGbhJM7OWl5fFkV9jQyRGb9Sziytoa1OTAioADpQ/edit?usp=drivesdk","Silas Tanner - 10/1/2019 7:15 AM")</f>
        <v>Silas Tanner - 10/1/2019 7:15 AM</v>
      </c>
      <c r="AL380" s="12" t="s">
        <v>1090</v>
      </c>
    </row>
    <row r="381" spans="1:38" ht="12.75">
      <c r="A381" s="10">
        <f ca="1">IFERROR(__xludf.DUMMYFUNCTION("""COMPUTED_VALUE"""),43739.534279618)</f>
        <v>43739.534279617998</v>
      </c>
      <c r="B381" s="11" t="str">
        <f ca="1">IFERROR(__xludf.DUMMYFUNCTION("""COMPUTED_VALUE"""),"Pam Marcum")</f>
        <v>Pam Marcum</v>
      </c>
      <c r="C381" t="str">
        <f ca="1">IFERROR(__xludf.DUMMYFUNCTION("""COMPUTED_VALUE"""),"Pamela.Marcum@FloridaDEP.gov")</f>
        <v>Pamela.Marcum@FloridaDEP.gov</v>
      </c>
      <c r="D381" t="str">
        <f ca="1">IFERROR(__xludf.DUMMYFUNCTION("""COMPUTED_VALUE"""),"Research/Nikki")</f>
        <v>Research/Nikki</v>
      </c>
      <c r="E381" t="str">
        <f ca="1">IFERROR(__xludf.DUMMYFUNCTION("""COMPUTED_VALUE"""),"Aunt Kate's")</f>
        <v>Aunt Kate's</v>
      </c>
      <c r="F381" s="13">
        <f ca="1">IFERROR(__xludf.DUMMYFUNCTION("""COMPUTED_VALUE"""),0.625)</f>
        <v>0.625</v>
      </c>
      <c r="G381" s="14">
        <f ca="1">IFERROR(__xludf.DUMMYFUNCTION("""COMPUTED_VALUE"""),43739)</f>
        <v>43739</v>
      </c>
      <c r="H381" t="str">
        <f ca="1">IFERROR(__xludf.DUMMYFUNCTION("""COMPUTED_VALUE"""),"Tolomato &amp; Guana Rivers")</f>
        <v>Tolomato &amp; Guana Rivers</v>
      </c>
      <c r="I381" s="15">
        <f ca="1">IFERROR(__xludf.DUMMYFUNCTION("""COMPUTED_VALUE"""),0.791666666667879)</f>
        <v>0.79166666666787899</v>
      </c>
      <c r="J381" s="16">
        <f ca="1">IFERROR(__xludf.DUMMYFUNCTION("""COMPUTED_VALUE"""),43739.8125)</f>
        <v>43739.8125</v>
      </c>
      <c r="K381" t="str">
        <f ca="1">IFERROR(__xludf.DUMMYFUNCTION("""COMPUTED_VALUE"""),"23ft Skiff (Bertha) FL7972LJ DEP07613")</f>
        <v>23ft Skiff (Bertha) FL7972LJ DEP07613</v>
      </c>
      <c r="M381" t="str">
        <f ca="1">IFERROR(__xludf.DUMMYFUNCTION("""COMPUTED_VALUE"""),"Ford F150 2010 (4 Door) - DEP07668")</f>
        <v>Ford F150 2010 (4 Door) - DEP07668</v>
      </c>
      <c r="N381" t="str">
        <f ca="1">IFERROR(__xludf.DUMMYFUNCTION("""COMPUTED_VALUE"""),"Pam Marcum, (480) 332-5414")</f>
        <v>Pam Marcum, (480) 332-5414</v>
      </c>
      <c r="O381" t="str">
        <f ca="1">IFERROR(__xludf.DUMMYFUNCTION("""COMPUTED_VALUE"""),"Adrienne Breef-Pilz, Kate")</f>
        <v>Adrienne Breef-Pilz, Kate</v>
      </c>
      <c r="P381" t="str">
        <f ca="1">IFERROR(__xludf.DUMMYFUNCTION("""COMPUTED_VALUE"""),"Pam")</f>
        <v>Pam</v>
      </c>
      <c r="Q381" t="str">
        <f ca="1">IFERROR(__xludf.DUMMYFUNCTION("""COMPUTED_VALUE"""),"Good")</f>
        <v>Good</v>
      </c>
      <c r="R381" t="str">
        <f ca="1">IFERROR(__xludf.DUMMYFUNCTION("""COMPUTED_VALUE"""),"Good")</f>
        <v>Good</v>
      </c>
      <c r="S381" t="str">
        <f ca="1">IFERROR(__xludf.DUMMYFUNCTION("""COMPUTED_VALUE"""),"Good")</f>
        <v>Good</v>
      </c>
      <c r="T381" t="str">
        <f ca="1">IFERROR(__xludf.DUMMYFUNCTION("""COMPUTED_VALUE"""),"Good")</f>
        <v>Good</v>
      </c>
      <c r="U381" t="str">
        <f ca="1">IFERROR(__xludf.DUMMYFUNCTION("""COMPUTED_VALUE"""),"Good")</f>
        <v>Good</v>
      </c>
      <c r="V381" t="str">
        <f ca="1">IFERROR(__xludf.DUMMYFUNCTION("""COMPUTED_VALUE"""),"Good")</f>
        <v>Good</v>
      </c>
      <c r="W381" t="str">
        <f ca="1">IFERROR(__xludf.DUMMYFUNCTION("""COMPUTED_VALUE"""),"Good")</f>
        <v>Good</v>
      </c>
      <c r="X381" t="str">
        <f ca="1">IFERROR(__xludf.DUMMYFUNCTION("""COMPUTED_VALUE"""),"Good")</f>
        <v>Good</v>
      </c>
      <c r="Y381" t="str">
        <f ca="1">IFERROR(__xludf.DUMMYFUNCTION("""COMPUTED_VALUE"""),"Good")</f>
        <v>Good</v>
      </c>
      <c r="Z381" t="str">
        <f ca="1">IFERROR(__xludf.DUMMYFUNCTION("""COMPUTED_VALUE"""),"Good")</f>
        <v>Good</v>
      </c>
      <c r="AA381" t="str">
        <f ca="1">IFERROR(__xludf.DUMMYFUNCTION("""COMPUTED_VALUE"""),"Good")</f>
        <v>Good</v>
      </c>
      <c r="AB381" t="str">
        <f ca="1">IFERROR(__xludf.DUMMYFUNCTION("""COMPUTED_VALUE"""),"Good")</f>
        <v>Good</v>
      </c>
      <c r="AC381" t="str">
        <f ca="1">IFERROR(__xludf.DUMMYFUNCTION("""COMPUTED_VALUE"""),"Good")</f>
        <v>Good</v>
      </c>
      <c r="AE381" s="11"/>
      <c r="AF381" t="str">
        <v>Nikki.Dix@floridadep.gov</v>
      </c>
      <c r="AG381" s="17" t="s">
        <v>41</v>
      </c>
      <c r="AH381" s="12">
        <v>1855</v>
      </c>
      <c r="AI381" s="12" t="s">
        <v>1091</v>
      </c>
      <c r="AJ381" s="19" t="s">
        <v>1092</v>
      </c>
      <c r="AK381" s="20" t="str">
        <f>HYPERLINK("https://docs.google.com/document/d/1qIaFzaKCnPb1lZek9agDPwVAvyZMEizaSV_xR-V6yDE/edit?usp=drivesdk","Pam Marcum - 10/1/2019 3:00 PM")</f>
        <v>Pam Marcum - 10/1/2019 3:00 PM</v>
      </c>
      <c r="AL381" s="12" t="s">
        <v>1093</v>
      </c>
    </row>
    <row r="382" spans="1:38" ht="12.75">
      <c r="A382" s="10">
        <f ca="1">IFERROR(__xludf.DUMMYFUNCTION("""COMPUTED_VALUE"""),43739.542672581)</f>
        <v>43739.542672581003</v>
      </c>
      <c r="B382" s="11" t="str">
        <f ca="1">IFERROR(__xludf.DUMMYFUNCTION("""COMPUTED_VALUE"""),"Alexandria Knoell")</f>
        <v>Alexandria Knoell</v>
      </c>
      <c r="C382" t="str">
        <f ca="1">IFERROR(__xludf.DUMMYFUNCTION("""COMPUTED_VALUE"""),"alee.knoell@floridadep.gov")</f>
        <v>alee.knoell@floridadep.gov</v>
      </c>
      <c r="D382" t="str">
        <f ca="1">IFERROR(__xludf.DUMMYFUNCTION("""COMPUTED_VALUE"""),"Research/Pam")</f>
        <v>Research/Pam</v>
      </c>
      <c r="E382" t="str">
        <f ca="1">IFERROR(__xludf.DUMMYFUNCTION("""COMPUTED_VALUE"""),"Shore Dr.")</f>
        <v>Shore Dr.</v>
      </c>
      <c r="F382" s="13">
        <f ca="1">IFERROR(__xludf.DUMMYFUNCTION("""COMPUTED_VALUE"""),0.58333333333212)</f>
        <v>0.58333333333212001</v>
      </c>
      <c r="G382" s="24">
        <f ca="1">IFERROR(__xludf.DUMMYFUNCTION("""COMPUTED_VALUE"""),43740)</f>
        <v>43740</v>
      </c>
      <c r="H382" t="str">
        <f ca="1">IFERROR(__xludf.DUMMYFUNCTION("""COMPUTED_VALUE"""),"Matanzas River")</f>
        <v>Matanzas River</v>
      </c>
      <c r="I382" s="15">
        <f ca="1">IFERROR(__xludf.DUMMYFUNCTION("""COMPUTED_VALUE"""),0.75)</f>
        <v>0.75</v>
      </c>
      <c r="J382" s="16">
        <f ca="1">IFERROR(__xludf.DUMMYFUNCTION("""COMPUTED_VALUE"""),43740.7708333333)</f>
        <v>43740.770833333299</v>
      </c>
      <c r="K382" t="str">
        <f ca="1">IFERROR(__xludf.DUMMYFUNCTION("""COMPUTED_VALUE"""),"17ft Skiff (Marsha) FL0642GW DEP07239")</f>
        <v>17ft Skiff (Marsha) FL0642GW DEP07239</v>
      </c>
      <c r="M382" t="str">
        <f ca="1">IFERROR(__xludf.DUMMYFUNCTION("""COMPUTED_VALUE"""),"Ford F150 2015 (White) - DEP21448")</f>
        <v>Ford F150 2015 (White) - DEP21448</v>
      </c>
      <c r="N382" t="str">
        <f ca="1">IFERROR(__xludf.DUMMYFUNCTION("""COMPUTED_VALUE"""),"Remo Mondazzi")</f>
        <v>Remo Mondazzi</v>
      </c>
      <c r="O382" t="str">
        <f ca="1">IFERROR(__xludf.DUMMYFUNCTION("""COMPUTED_VALUE"""),"Alee Knoell, (619) 750-4833")</f>
        <v>Alee Knoell, (619) 750-4833</v>
      </c>
      <c r="P382" t="str">
        <f ca="1">IFERROR(__xludf.DUMMYFUNCTION("""COMPUTED_VALUE"""),"Remo Mondazzi")</f>
        <v>Remo Mondazzi</v>
      </c>
      <c r="Q382" t="str">
        <f ca="1">IFERROR(__xludf.DUMMYFUNCTION("""COMPUTED_VALUE"""),"By checking here, you certify that you have checked all of the items listed")</f>
        <v>By checking here, you certify that you have checked all of the items listed</v>
      </c>
      <c r="AE382" s="11"/>
      <c r="AF382" t="str">
        <v>Pamela.Marcum@floridadep.gov</v>
      </c>
      <c r="AG382" s="17" t="s">
        <v>139</v>
      </c>
      <c r="AH382" s="12">
        <v>1830</v>
      </c>
      <c r="AI382" s="12" t="s">
        <v>1094</v>
      </c>
      <c r="AJ382" s="19" t="s">
        <v>1095</v>
      </c>
      <c r="AK382" s="20" t="str">
        <f>HYPERLINK("https://docs.google.com/document/d/1Z3xYCrnpat_lvHHxFDMS8j1Zd0EyO6PwPk4_SrgvZEg/edit?usp=drivesdk","Alexandria Knoell - 10/2/2019 2:00 PM")</f>
        <v>Alexandria Knoell - 10/2/2019 2:00 PM</v>
      </c>
      <c r="AL382" s="12" t="s">
        <v>1096</v>
      </c>
    </row>
    <row r="383" spans="1:38" ht="12.75">
      <c r="A383" s="10">
        <f ca="1">IFERROR(__xludf.DUMMYFUNCTION("""COMPUTED_VALUE"""),43740.3126736342)</f>
        <v>43740.312673634202</v>
      </c>
      <c r="B383" s="11" t="str">
        <f ca="1">IFERROR(__xludf.DUMMYFUNCTION("""COMPUTED_VALUE"""),"Shannon Dunnigan")</f>
        <v>Shannon Dunnigan</v>
      </c>
      <c r="C383" t="str">
        <f ca="1">IFERROR(__xludf.DUMMYFUNCTION("""COMPUTED_VALUE"""),"shannon.dunnigan@floridadep.gov")</f>
        <v>shannon.dunnigan@floridadep.gov</v>
      </c>
      <c r="D383" t="str">
        <f ca="1">IFERROR(__xludf.DUMMYFUNCTION("""COMPUTED_VALUE"""),"Research/Nikki")</f>
        <v>Research/Nikki</v>
      </c>
      <c r="E383" t="str">
        <f ca="1">IFERROR(__xludf.DUMMYFUNCTION("""COMPUTED_VALUE"""),"Bings Landing")</f>
        <v>Bings Landing</v>
      </c>
      <c r="F383" s="13">
        <f ca="1">IFERROR(__xludf.DUMMYFUNCTION("""COMPUTED_VALUE"""),0.319444444445252)</f>
        <v>0.319444444445252</v>
      </c>
      <c r="G383" s="14">
        <f ca="1">IFERROR(__xludf.DUMMYFUNCTION("""COMPUTED_VALUE"""),43740)</f>
        <v>43740</v>
      </c>
      <c r="H383" t="str">
        <f ca="1">IFERROR(__xludf.DUMMYFUNCTION("""COMPUTED_VALUE"""),"Washington Oaks veg platforms")</f>
        <v>Washington Oaks veg platforms</v>
      </c>
      <c r="I383" s="15">
        <f ca="1">IFERROR(__xludf.DUMMYFUNCTION("""COMPUTED_VALUE"""),0.541666666667879)</f>
        <v>0.54166666666787899</v>
      </c>
      <c r="J383" s="16">
        <f ca="1">IFERROR(__xludf.DUMMYFUNCTION("""COMPUTED_VALUE"""),43740.6458333333)</f>
        <v>43740.645833333299</v>
      </c>
      <c r="K383" t="str">
        <f ca="1">IFERROR(__xludf.DUMMYFUNCTION("""COMPUTED_VALUE"""),"20ft Sea Ark FL5351SJ UNF 2015")</f>
        <v>20ft Sea Ark FL5351SJ UNF 2015</v>
      </c>
      <c r="M383" t="str">
        <f ca="1">IFERROR(__xludf.DUMMYFUNCTION("""COMPUTED_VALUE"""),"Ford F250 2017 (Moby Dix) - DEP0021578")</f>
        <v>Ford F250 2017 (Moby Dix) - DEP0021578</v>
      </c>
      <c r="N383" t="str">
        <f ca="1">IFERROR(__xludf.DUMMYFUNCTION("""COMPUTED_VALUE"""),"Shannon Dunnigan, (803) 727-5734, Silas Tanner, (904) 483-8423")</f>
        <v>Shannon Dunnigan, (803) 727-5734, Silas Tanner, (904) 483-8423</v>
      </c>
      <c r="O383" t="str">
        <f ca="1">IFERROR(__xludf.DUMMYFUNCTION("""COMPUTED_VALUE"""),"Alee Knoell, (619) 750-4833, Casey McClure")</f>
        <v>Alee Knoell, (619) 750-4833, Casey McClure</v>
      </c>
      <c r="P383" t="str">
        <f ca="1">IFERROR(__xludf.DUMMYFUNCTION("""COMPUTED_VALUE"""),"Shannon")</f>
        <v>Shannon</v>
      </c>
      <c r="Q383" t="str">
        <f ca="1">IFERROR(__xludf.DUMMYFUNCTION("""COMPUTED_VALUE"""),"By checking here, you certify that you have checked all of the items listed")</f>
        <v>By checking here, you certify that you have checked all of the items listed</v>
      </c>
      <c r="AE383" s="11"/>
      <c r="AF383" t="str">
        <v>Nikki.Dix@floridadep.gov</v>
      </c>
      <c r="AG383" s="17" t="s">
        <v>41</v>
      </c>
      <c r="AH383" s="12">
        <v>1105</v>
      </c>
      <c r="AI383" s="12" t="s">
        <v>1097</v>
      </c>
      <c r="AJ383" s="19" t="s">
        <v>1098</v>
      </c>
      <c r="AK383" s="20" t="str">
        <f>HYPERLINK("https://docs.google.com/document/d/1c3oIBDOSh2u6pFvXb4E_3APsR9Lem7S_3eSczmJQrGg/edit?usp=drivesdk","Shannon Dunnigan - 10/2/2019 7:40 AM")</f>
        <v>Shannon Dunnigan - 10/2/2019 7:40 AM</v>
      </c>
      <c r="AL383" s="12" t="s">
        <v>1099</v>
      </c>
    </row>
    <row r="384" spans="1:38" ht="12.75">
      <c r="A384" s="10">
        <f ca="1">IFERROR(__xludf.DUMMYFUNCTION("""COMPUTED_VALUE"""),43740.3404119328)</f>
        <v>43740.340411932797</v>
      </c>
      <c r="B384" s="11" t="str">
        <f ca="1">IFERROR(__xludf.DUMMYFUNCTION("""COMPUTED_VALUE"""),"Pamela Marcum")</f>
        <v>Pamela Marcum</v>
      </c>
      <c r="C384" t="str">
        <f ca="1">IFERROR(__xludf.DUMMYFUNCTION("""COMPUTED_VALUE"""),"Pamela.Marcum@floridadep.gov")</f>
        <v>Pamela.Marcum@floridadep.gov</v>
      </c>
      <c r="D384" t="str">
        <f ca="1">IFERROR(__xludf.DUMMYFUNCTION("""COMPUTED_VALUE"""),"Research/Nikki")</f>
        <v>Research/Nikki</v>
      </c>
      <c r="E384" t="str">
        <f ca="1">IFERROR(__xludf.DUMMYFUNCTION("""COMPUTED_VALUE"""),"Faver dykes")</f>
        <v>Faver dykes</v>
      </c>
      <c r="F384" s="13">
        <f ca="1">IFERROR(__xludf.DUMMYFUNCTION("""COMPUTED_VALUE"""),0.33333333333212)</f>
        <v>0.33333333333212001</v>
      </c>
      <c r="G384" s="14">
        <f ca="1">IFERROR(__xludf.DUMMYFUNCTION("""COMPUTED_VALUE"""),43740)</f>
        <v>43740</v>
      </c>
      <c r="H384" t="str">
        <f ca="1">IFERROR(__xludf.DUMMYFUNCTION("""COMPUTED_VALUE"""),"Upper pellicer creek")</f>
        <v>Upper pellicer creek</v>
      </c>
      <c r="I384" s="15">
        <f ca="1">IFERROR(__xludf.DUMMYFUNCTION("""COMPUTED_VALUE"""),0.541666666667879)</f>
        <v>0.54166666666787899</v>
      </c>
      <c r="J384" s="16">
        <f ca="1">IFERROR(__xludf.DUMMYFUNCTION("""COMPUTED_VALUE"""),43740.6041666666)</f>
        <v>43740.604166666599</v>
      </c>
      <c r="K384" t="str">
        <f ca="1">IFERROR(__xludf.DUMMYFUNCTION("""COMPUTED_VALUE"""),"17ft Skiff (Marsha) FL0642GW DEP07239")</f>
        <v>17ft Skiff (Marsha) FL0642GW DEP07239</v>
      </c>
      <c r="M384" t="str">
        <f ca="1">IFERROR(__xludf.DUMMYFUNCTION("""COMPUTED_VALUE"""),"Ford F150 2015 (White) - DEP21448")</f>
        <v>Ford F150 2015 (White) - DEP21448</v>
      </c>
      <c r="N384" t="str">
        <f ca="1">IFERROR(__xludf.DUMMYFUNCTION("""COMPUTED_VALUE"""),"Pam Marcum, (480) 332-5414")</f>
        <v>Pam Marcum, (480) 332-5414</v>
      </c>
      <c r="O384" t="str">
        <f ca="1">IFERROR(__xludf.DUMMYFUNCTION("""COMPUTED_VALUE"""),"Jay")</f>
        <v>Jay</v>
      </c>
      <c r="P384" t="str">
        <f ca="1">IFERROR(__xludf.DUMMYFUNCTION("""COMPUTED_VALUE"""),"Pam")</f>
        <v>Pam</v>
      </c>
      <c r="Q384" t="str">
        <f ca="1">IFERROR(__xludf.DUMMYFUNCTION("""COMPUTED_VALUE"""),"By checking here, you certify that you have checked all of the items listed")</f>
        <v>By checking here, you certify that you have checked all of the items listed</v>
      </c>
      <c r="AE384" s="11"/>
      <c r="AF384" t="str">
        <v>Nikki.Dix@floridadep.gov</v>
      </c>
      <c r="AG384" s="17" t="s">
        <v>113</v>
      </c>
      <c r="AH384" s="12">
        <v>1203</v>
      </c>
      <c r="AI384" s="12" t="s">
        <v>1100</v>
      </c>
      <c r="AJ384" s="19" t="s">
        <v>1101</v>
      </c>
      <c r="AK384" s="20" t="str">
        <f>HYPERLINK("https://docs.google.com/document/d/1xJ9T5reUjpXl3feP0fqVH6FQi3ovB4PsTEfdY2ZNAcA/edit?usp=drivesdk","Pamela Marcum - 10/2/2019 8:00 AM")</f>
        <v>Pamela Marcum - 10/2/2019 8:00 AM</v>
      </c>
      <c r="AL384" s="12" t="s">
        <v>1102</v>
      </c>
    </row>
    <row r="385" spans="1:38" ht="12.75">
      <c r="A385" s="10">
        <f ca="1">IFERROR(__xludf.DUMMYFUNCTION("""COMPUTED_VALUE"""),43741.2966648842)</f>
        <v>43741.296664884198</v>
      </c>
      <c r="B385" s="11" t="str">
        <f ca="1">IFERROR(__xludf.DUMMYFUNCTION("""COMPUTED_VALUE"""),"Alexandria Knoell")</f>
        <v>Alexandria Knoell</v>
      </c>
      <c r="C385" t="str">
        <f ca="1">IFERROR(__xludf.DUMMYFUNCTION("""COMPUTED_VALUE"""),"alee.knoell@floridadep.gov")</f>
        <v>alee.knoell@floridadep.gov</v>
      </c>
      <c r="D385" t="str">
        <f ca="1">IFERROR(__xludf.DUMMYFUNCTION("""COMPUTED_VALUE"""),"Research/Pam")</f>
        <v>Research/Pam</v>
      </c>
      <c r="E385" t="str">
        <f ca="1">IFERROR(__xludf.DUMMYFUNCTION("""COMPUTED_VALUE"""),"Lighthouse")</f>
        <v>Lighthouse</v>
      </c>
      <c r="F385" s="13">
        <f ca="1">IFERROR(__xludf.DUMMYFUNCTION("""COMPUTED_VALUE"""),0.3125)</f>
        <v>0.3125</v>
      </c>
      <c r="G385" s="14">
        <f ca="1">IFERROR(__xludf.DUMMYFUNCTION("""COMPUTED_VALUE"""),43741)</f>
        <v>43741</v>
      </c>
      <c r="H385" t="str">
        <f ca="1">IFERROR(__xludf.DUMMYFUNCTION("""COMPUTED_VALUE"""),"Salt Run")</f>
        <v>Salt Run</v>
      </c>
      <c r="I385" s="15">
        <f ca="1">IFERROR(__xludf.DUMMYFUNCTION("""COMPUTED_VALUE"""),0.416666666667879)</f>
        <v>0.41666666666787899</v>
      </c>
      <c r="J385" s="16">
        <f ca="1">IFERROR(__xludf.DUMMYFUNCTION("""COMPUTED_VALUE"""),43740.4166666666)</f>
        <v>43740.416666666599</v>
      </c>
      <c r="K385" t="str">
        <f ca="1">IFERROR(__xludf.DUMMYFUNCTION("""COMPUTED_VALUE"""),"17ft Skiff (Marsha) FL0642GW DEP07239")</f>
        <v>17ft Skiff (Marsha) FL0642GW DEP07239</v>
      </c>
      <c r="M385" t="str">
        <f ca="1">IFERROR(__xludf.DUMMYFUNCTION("""COMPUTED_VALUE"""),"Ford F150 2015 (White) - DEP21448")</f>
        <v>Ford F150 2015 (White) - DEP21448</v>
      </c>
      <c r="N385" t="str">
        <f ca="1">IFERROR(__xludf.DUMMYFUNCTION("""COMPUTED_VALUE"""),"Pam Marcum, (480) 332-5414")</f>
        <v>Pam Marcum, (480) 332-5414</v>
      </c>
      <c r="O385" t="str">
        <f ca="1">IFERROR(__xludf.DUMMYFUNCTION("""COMPUTED_VALUE"""),"Alee Knoell, (619) 750-4833")</f>
        <v>Alee Knoell, (619) 750-4833</v>
      </c>
      <c r="P385" t="str">
        <f ca="1">IFERROR(__xludf.DUMMYFUNCTION("""COMPUTED_VALUE"""),"Pam Marcum")</f>
        <v>Pam Marcum</v>
      </c>
      <c r="Q385" t="str">
        <f ca="1">IFERROR(__xludf.DUMMYFUNCTION("""COMPUTED_VALUE"""),"By checking here, you certify that you have checked all of the items listed")</f>
        <v>By checking here, you certify that you have checked all of the items listed</v>
      </c>
      <c r="AE385" s="11"/>
      <c r="AF385" t="str">
        <v>Pamela.Marcum@floridadep.gov</v>
      </c>
      <c r="AG385" s="17" t="s">
        <v>139</v>
      </c>
      <c r="AH385" s="12">
        <v>830</v>
      </c>
      <c r="AI385" s="12" t="s">
        <v>1103</v>
      </c>
      <c r="AJ385" s="19" t="s">
        <v>1104</v>
      </c>
      <c r="AK385" s="20" t="str">
        <f>HYPERLINK("https://docs.google.com/document/d/1gzBZ5HfQJnnJWXvG5NS6oS9z2fy4WrO3XnzB6x8mkYc/edit?usp=drivesdk","&lt;&lt;YOUR NAME&gt;&gt; - &lt;&lt;Date you plan to launch&gt;&gt; &lt;&lt;Time you plan to launch&gt;&gt;")</f>
        <v>&lt;&lt;YOUR NAME&gt;&gt; - &lt;&lt;Date you plan to launch&gt;&gt; &lt;&lt;Time you plan to launch&gt;&gt;</v>
      </c>
      <c r="AL385" s="12" t="s">
        <v>1105</v>
      </c>
    </row>
    <row r="386" spans="1:38" ht="12.75">
      <c r="A386" s="10">
        <f ca="1">IFERROR(__xludf.DUMMYFUNCTION("""COMPUTED_VALUE"""),43741.3611558449)</f>
        <v>43741.361155844897</v>
      </c>
      <c r="B386" s="11" t="str">
        <f ca="1">IFERROR(__xludf.DUMMYFUNCTION("""COMPUTED_VALUE"""),"Alexandria Knoell")</f>
        <v>Alexandria Knoell</v>
      </c>
      <c r="C386" t="str">
        <f ca="1">IFERROR(__xludf.DUMMYFUNCTION("""COMPUTED_VALUE"""),"alee.knoell@floridadep.gov")</f>
        <v>alee.knoell@floridadep.gov</v>
      </c>
      <c r="D386" t="str">
        <f ca="1">IFERROR(__xludf.DUMMYFUNCTION("""COMPUTED_VALUE"""),"Research/Nikki")</f>
        <v>Research/Nikki</v>
      </c>
      <c r="E386" t="str">
        <f ca="1">IFERROR(__xludf.DUMMYFUNCTION("""COMPUTED_VALUE"""),"Green road")</f>
        <v>Green road</v>
      </c>
      <c r="F386" s="13">
        <f ca="1">IFERROR(__xludf.DUMMYFUNCTION("""COMPUTED_VALUE"""),0.375)</f>
        <v>0.375</v>
      </c>
      <c r="G386" s="14">
        <f ca="1">IFERROR(__xludf.DUMMYFUNCTION("""COMPUTED_VALUE"""),43741)</f>
        <v>43741</v>
      </c>
      <c r="H386" t="str">
        <f ca="1">IFERROR(__xludf.DUMMYFUNCTION("""COMPUTED_VALUE"""),"Devils elbow")</f>
        <v>Devils elbow</v>
      </c>
      <c r="I386" s="15">
        <f ca="1">IFERROR(__xludf.DUMMYFUNCTION("""COMPUTED_VALUE"""),0.416666666667879)</f>
        <v>0.41666666666787899</v>
      </c>
      <c r="J386" s="16">
        <f ca="1">IFERROR(__xludf.DUMMYFUNCTION("""COMPUTED_VALUE"""),43741.6666666666)</f>
        <v>43741.666666666599</v>
      </c>
      <c r="K386" t="str">
        <f ca="1">IFERROR(__xludf.DUMMYFUNCTION("""COMPUTED_VALUE"""),"17ft Skiff (Marsha) FL0642GW DEP07239")</f>
        <v>17ft Skiff (Marsha) FL0642GW DEP07239</v>
      </c>
      <c r="M386" t="str">
        <f ca="1">IFERROR(__xludf.DUMMYFUNCTION("""COMPUTED_VALUE"""),"Ford F150 2015 (White) - DEP21448")</f>
        <v>Ford F150 2015 (White) - DEP21448</v>
      </c>
      <c r="N386" t="str">
        <f ca="1">IFERROR(__xludf.DUMMYFUNCTION("""COMPUTED_VALUE"""),"Pam Marcum, (480) 332-5414")</f>
        <v>Pam Marcum, (480) 332-5414</v>
      </c>
      <c r="O386" t="str">
        <f ca="1">IFERROR(__xludf.DUMMYFUNCTION("""COMPUTED_VALUE"""),"Alee Knoell, (619) 750-4833")</f>
        <v>Alee Knoell, (619) 750-4833</v>
      </c>
      <c r="P386" t="str">
        <f ca="1">IFERROR(__xludf.DUMMYFUNCTION("""COMPUTED_VALUE"""),"Pam marcum")</f>
        <v>Pam marcum</v>
      </c>
      <c r="Q386" t="str">
        <f ca="1">IFERROR(__xludf.DUMMYFUNCTION("""COMPUTED_VALUE"""),"By checking here, you certify that you have checked all of the items listed")</f>
        <v>By checking here, you certify that you have checked all of the items listed</v>
      </c>
      <c r="AE386" s="11"/>
      <c r="AF386" t="str">
        <v>Nikki.Dix@floridadep.gov</v>
      </c>
      <c r="AG386" s="17" t="s">
        <v>139</v>
      </c>
      <c r="AH386" s="12">
        <v>1030</v>
      </c>
      <c r="AI386" s="12" t="s">
        <v>1106</v>
      </c>
      <c r="AJ386" s="19" t="s">
        <v>1107</v>
      </c>
      <c r="AK386" s="20" t="str">
        <f>HYPERLINK("https://docs.google.com/document/d/1BAinsbnizosXnxABViaWb-GWFCx3cHjCFySCLmnYpts/edit?usp=drivesdk","&lt;&lt;YOUR NAME&gt;&gt; - &lt;&lt;Date you plan to launch&gt;&gt; &lt;&lt;Time you plan to launch&gt;&gt;")</f>
        <v>&lt;&lt;YOUR NAME&gt;&gt; - &lt;&lt;Date you plan to launch&gt;&gt; &lt;&lt;Time you plan to launch&gt;&gt;</v>
      </c>
      <c r="AL386" s="12" t="s">
        <v>1108</v>
      </c>
    </row>
    <row r="387" spans="1:38" ht="12.75">
      <c r="A387" s="10">
        <f ca="1">IFERROR(__xludf.DUMMYFUNCTION("""COMPUTED_VALUE"""),43741.4444476851)</f>
        <v>43741.444447685099</v>
      </c>
      <c r="B387" s="11" t="str">
        <f ca="1">IFERROR(__xludf.DUMMYFUNCTION("""COMPUTED_VALUE"""),"Alexandria Knoell")</f>
        <v>Alexandria Knoell</v>
      </c>
      <c r="C387" t="str">
        <f ca="1">IFERROR(__xludf.DUMMYFUNCTION("""COMPUTED_VALUE"""),"alee.knoell@floridadep.gov")</f>
        <v>alee.knoell@floridadep.gov</v>
      </c>
      <c r="D387" t="str">
        <f ca="1">IFERROR(__xludf.DUMMYFUNCTION("""COMPUTED_VALUE"""),"Research/Nikki")</f>
        <v>Research/Nikki</v>
      </c>
      <c r="E387" t="str">
        <f ca="1">IFERROR(__xludf.DUMMYFUNCTION("""COMPUTED_VALUE"""),"Faver dykes")</f>
        <v>Faver dykes</v>
      </c>
      <c r="F387" s="13">
        <f ca="1">IFERROR(__xludf.DUMMYFUNCTION("""COMPUTED_VALUE"""),0.95833333333212)</f>
        <v>0.95833333333212001</v>
      </c>
      <c r="G387" s="14">
        <f ca="1">IFERROR(__xludf.DUMMYFUNCTION("""COMPUTED_VALUE"""),43741)</f>
        <v>43741</v>
      </c>
      <c r="H387" t="str">
        <f ca="1">IFERROR(__xludf.DUMMYFUNCTION("""COMPUTED_VALUE"""),"Pelicer Creek")</f>
        <v>Pelicer Creek</v>
      </c>
      <c r="I387" s="15">
        <f ca="1">IFERROR(__xludf.DUMMYFUNCTION("""COMPUTED_VALUE"""),0.666666666667879)</f>
        <v>0.66666666666787899</v>
      </c>
      <c r="J387" s="16">
        <f ca="1">IFERROR(__xludf.DUMMYFUNCTION("""COMPUTED_VALUE"""),43741.7083333333)</f>
        <v>43741.708333333299</v>
      </c>
      <c r="K387" t="str">
        <f ca="1">IFERROR(__xludf.DUMMYFUNCTION("""COMPUTED_VALUE"""),"17ft Skiff (Marsha) FL0642GW DEP07239")</f>
        <v>17ft Skiff (Marsha) FL0642GW DEP07239</v>
      </c>
      <c r="M387" t="str">
        <f ca="1">IFERROR(__xludf.DUMMYFUNCTION("""COMPUTED_VALUE"""),"Ford F150 2015 (White) - DEP21448")</f>
        <v>Ford F150 2015 (White) - DEP21448</v>
      </c>
      <c r="N387" t="str">
        <f ca="1">IFERROR(__xludf.DUMMYFUNCTION("""COMPUTED_VALUE"""),"Pam Marcum, (480) 332-5414")</f>
        <v>Pam Marcum, (480) 332-5414</v>
      </c>
      <c r="O387" t="str">
        <f ca="1">IFERROR(__xludf.DUMMYFUNCTION("""COMPUTED_VALUE"""),"Alee Knoell, (619) 750-4833")</f>
        <v>Alee Knoell, (619) 750-4833</v>
      </c>
      <c r="P387" t="str">
        <f ca="1">IFERROR(__xludf.DUMMYFUNCTION("""COMPUTED_VALUE"""),"Pam marcum")</f>
        <v>Pam marcum</v>
      </c>
      <c r="Q387" t="str">
        <f ca="1">IFERROR(__xludf.DUMMYFUNCTION("""COMPUTED_VALUE"""),"By checking here, you certify that you have checked all of the items listed")</f>
        <v>By checking here, you certify that you have checked all of the items listed</v>
      </c>
      <c r="AE387" s="11"/>
      <c r="AF387" t="str">
        <v>Nikki.Dix@floridadep.gov</v>
      </c>
      <c r="AG387" s="17" t="s">
        <v>1109</v>
      </c>
      <c r="AH387" s="12">
        <v>1402</v>
      </c>
      <c r="AI387" s="12" t="s">
        <v>1110</v>
      </c>
      <c r="AJ387" s="19" t="s">
        <v>1111</v>
      </c>
      <c r="AK387" s="20" t="str">
        <f>HYPERLINK("https://docs.google.com/document/d/1LTJH8ulRvbXzhhYPuyDroEp7Q2546Kpw3GyUZ3Rj3OQ/edit?usp=drivesdk","&lt;&lt;YOUR NAME&gt;&gt; - &lt;&lt;Date you plan to launch&gt;&gt; &lt;&lt;Time you plan to launch&gt;&gt;")</f>
        <v>&lt;&lt;YOUR NAME&gt;&gt; - &lt;&lt;Date you plan to launch&gt;&gt; &lt;&lt;Time you plan to launch&gt;&gt;</v>
      </c>
      <c r="AL387" s="12" t="s">
        <v>1112</v>
      </c>
    </row>
    <row r="388" spans="1:38" ht="12.75">
      <c r="A388" s="10">
        <f ca="1">IFERROR(__xludf.DUMMYFUNCTION("""COMPUTED_VALUE"""),43741.4647743981)</f>
        <v>43741.464774398097</v>
      </c>
      <c r="B388" s="11" t="str">
        <f ca="1">IFERROR(__xludf.DUMMYFUNCTION("""COMPUTED_VALUE"""),"Pam Marcum")</f>
        <v>Pam Marcum</v>
      </c>
      <c r="C388" t="str">
        <f ca="1">IFERROR(__xludf.DUMMYFUNCTION("""COMPUTED_VALUE"""),"pamela.marcum@floridadep.gov")</f>
        <v>pamela.marcum@floridadep.gov</v>
      </c>
      <c r="D388" t="str">
        <f ca="1">IFERROR(__xludf.DUMMYFUNCTION("""COMPUTED_VALUE"""),"Research/Nikki")</f>
        <v>Research/Nikki</v>
      </c>
      <c r="E388" t="str">
        <f ca="1">IFERROR(__xludf.DUMMYFUNCTION("""COMPUTED_VALUE"""),"Faver Dykes")</f>
        <v>Faver Dykes</v>
      </c>
      <c r="F388" s="13">
        <f ca="1">IFERROR(__xludf.DUMMYFUNCTION("""COMPUTED_VALUE"""),0.46875)</f>
        <v>0.46875</v>
      </c>
      <c r="G388" s="14">
        <f ca="1">IFERROR(__xludf.DUMMYFUNCTION("""COMPUTED_VALUE"""),43741)</f>
        <v>43741</v>
      </c>
      <c r="H388" t="str">
        <f ca="1">IFERROR(__xludf.DUMMYFUNCTION("""COMPUTED_VALUE"""),"Pellicer Creek")</f>
        <v>Pellicer Creek</v>
      </c>
      <c r="I388" s="15">
        <f ca="1">IFERROR(__xludf.DUMMYFUNCTION("""COMPUTED_VALUE"""),0.625)</f>
        <v>0.625</v>
      </c>
      <c r="J388" s="16">
        <f ca="1">IFERROR(__xludf.DUMMYFUNCTION("""COMPUTED_VALUE"""),43741.6875)</f>
        <v>43741.6875</v>
      </c>
      <c r="K388" t="str">
        <f ca="1">IFERROR(__xludf.DUMMYFUNCTION("""COMPUTED_VALUE"""),"17ft Skiff (Marsha) FL0642GW DEP07239")</f>
        <v>17ft Skiff (Marsha) FL0642GW DEP07239</v>
      </c>
      <c r="M388" t="str">
        <f ca="1">IFERROR(__xludf.DUMMYFUNCTION("""COMPUTED_VALUE"""),"Ford F150 2015 (White) - DEP21448")</f>
        <v>Ford F150 2015 (White) - DEP21448</v>
      </c>
      <c r="N388" t="str">
        <f ca="1">IFERROR(__xludf.DUMMYFUNCTION("""COMPUTED_VALUE"""),"Pam Marcum, (480) 332-5414")</f>
        <v>Pam Marcum, (480) 332-5414</v>
      </c>
      <c r="O388" t="str">
        <f ca="1">IFERROR(__xludf.DUMMYFUNCTION("""COMPUTED_VALUE"""),"Alee Knoell, (619) 750-4833")</f>
        <v>Alee Knoell, (619) 750-4833</v>
      </c>
      <c r="P388" t="str">
        <f ca="1">IFERROR(__xludf.DUMMYFUNCTION("""COMPUTED_VALUE"""),"Pam")</f>
        <v>Pam</v>
      </c>
      <c r="Q388" t="str">
        <f ca="1">IFERROR(__xludf.DUMMYFUNCTION("""COMPUTED_VALUE"""),"By checking here, you certify that you have checked all of the items listed")</f>
        <v>By checking here, you certify that you have checked all of the items listed</v>
      </c>
      <c r="AE388" s="11"/>
      <c r="AF388" t="str">
        <v>Nikki.Dix@floridadep.gov</v>
      </c>
      <c r="AG388" s="17" t="s">
        <v>1109</v>
      </c>
      <c r="AH388" s="12">
        <v>1402</v>
      </c>
      <c r="AI388" s="12" t="s">
        <v>1113</v>
      </c>
      <c r="AJ388" s="19" t="s">
        <v>1114</v>
      </c>
      <c r="AK388" s="20" t="str">
        <f>HYPERLINK("https://docs.google.com/document/d/1CnmyIB1CMEK3y8oTsG8VVvIk28_ZM3rcS_hbz0BaXpM/edit?usp=drivesdk","&lt;&lt;YOUR NAME&gt;&gt; - &lt;&lt;Date you plan to launch&gt;&gt; &lt;&lt;Time you plan to launch&gt;&gt;")</f>
        <v>&lt;&lt;YOUR NAME&gt;&gt; - &lt;&lt;Date you plan to launch&gt;&gt; &lt;&lt;Time you plan to launch&gt;&gt;</v>
      </c>
      <c r="AL388" s="12" t="s">
        <v>1115</v>
      </c>
    </row>
    <row r="389" spans="1:38" ht="12.75">
      <c r="A389" s="10">
        <f ca="1">IFERROR(__xludf.DUMMYFUNCTION("""COMPUTED_VALUE"""),43741.4851649537)</f>
        <v>43741.485164953701</v>
      </c>
      <c r="B389" s="11" t="str">
        <f ca="1">IFERROR(__xludf.DUMMYFUNCTION("""COMPUTED_VALUE"""),"Silas Tanner")</f>
        <v>Silas Tanner</v>
      </c>
      <c r="C389" t="str">
        <f ca="1">IFERROR(__xludf.DUMMYFUNCTION("""COMPUTED_VALUE"""),"silas.tanner@floridadep.gov")</f>
        <v>silas.tanner@floridadep.gov</v>
      </c>
      <c r="D389" t="str">
        <f ca="1">IFERROR(__xludf.DUMMYFUNCTION("""COMPUTED_VALUE"""),"Research/Nikki")</f>
        <v>Research/Nikki</v>
      </c>
      <c r="E389" t="str">
        <f ca="1">IFERROR(__xludf.DUMMYFUNCTION("""COMPUTED_VALUE"""),"Palm Valley 210")</f>
        <v>Palm Valley 210</v>
      </c>
      <c r="F389" s="13">
        <f ca="1">IFERROR(__xludf.DUMMYFUNCTION("""COMPUTED_VALUE"""),0.322916666667879)</f>
        <v>0.32291666666787899</v>
      </c>
      <c r="G389" s="14">
        <f ca="1">IFERROR(__xludf.DUMMYFUNCTION("""COMPUTED_VALUE"""),43741)</f>
        <v>43741</v>
      </c>
      <c r="H389" t="str">
        <f ca="1">IFERROR(__xludf.DUMMYFUNCTION("""COMPUTED_VALUE"""),"Pine Island platforms")</f>
        <v>Pine Island platforms</v>
      </c>
      <c r="I389" s="15">
        <f ca="1">IFERROR(__xludf.DUMMYFUNCTION("""COMPUTED_VALUE"""),0.50069444444307)</f>
        <v>0.50069444444306999</v>
      </c>
      <c r="J389" s="16">
        <f ca="1">IFERROR(__xludf.DUMMYFUNCTION("""COMPUTED_VALUE"""),43741.5208333333)</f>
        <v>43741.520833333299</v>
      </c>
      <c r="K389" t="str">
        <f ca="1">IFERROR(__xludf.DUMMYFUNCTION("""COMPUTED_VALUE"""),"20ft Sea Ark FL5351SJ UNF 2015")</f>
        <v>20ft Sea Ark FL5351SJ UNF 2015</v>
      </c>
      <c r="M389" t="str">
        <f ca="1">IFERROR(__xludf.DUMMYFUNCTION("""COMPUTED_VALUE"""),"Ford F250 2017 (Moby Dix) - DEP0021578")</f>
        <v>Ford F250 2017 (Moby Dix) - DEP0021578</v>
      </c>
      <c r="N389" t="str">
        <f ca="1">IFERROR(__xludf.DUMMYFUNCTION("""COMPUTED_VALUE"""),"Shannon Dunnigan, (803) 727-5734, Silas Tanner, (904) 483-8423")</f>
        <v>Shannon Dunnigan, (803) 727-5734, Silas Tanner, (904) 483-8423</v>
      </c>
      <c r="O389" t="str">
        <f ca="1">IFERROR(__xludf.DUMMYFUNCTION("""COMPUTED_VALUE"""),"Abby Kuhn")</f>
        <v>Abby Kuhn</v>
      </c>
      <c r="P389" t="str">
        <f ca="1">IFERROR(__xludf.DUMMYFUNCTION("""COMPUTED_VALUE"""),"S Dunnigan")</f>
        <v>S Dunnigan</v>
      </c>
      <c r="Q389" t="str">
        <f ca="1">IFERROR(__xludf.DUMMYFUNCTION("""COMPUTED_VALUE"""),"By checking here, you certify that you have checked all of the items listed")</f>
        <v>By checking here, you certify that you have checked all of the items listed</v>
      </c>
      <c r="AE389" s="11"/>
      <c r="AF389" t="str">
        <v>Nikki.Dix@floridadep.gov</v>
      </c>
      <c r="AG389" s="17" t="s">
        <v>17</v>
      </c>
      <c r="AH389" s="12">
        <v>1220</v>
      </c>
      <c r="AI389" s="12" t="s">
        <v>1116</v>
      </c>
      <c r="AJ389" s="19" t="s">
        <v>1117</v>
      </c>
      <c r="AK389" s="20" t="str">
        <f>HYPERLINK("https://docs.google.com/document/d/1qxj8kHphmaIWg1tKrIOUvKkGlR3JL7DkmWriw0FlSr0/edit?usp=drivesdk","&lt;&lt;YOUR NAME&gt;&gt; - &lt;&lt;Date you plan to launch&gt;&gt; &lt;&lt;Time you plan to launch&gt;&gt;")</f>
        <v>&lt;&lt;YOUR NAME&gt;&gt; - &lt;&lt;Date you plan to launch&gt;&gt; &lt;&lt;Time you plan to launch&gt;&gt;</v>
      </c>
      <c r="AL389" s="12" t="s">
        <v>1118</v>
      </c>
    </row>
    <row r="390" spans="1:38" ht="12.75">
      <c r="A390" s="10">
        <f ca="1">IFERROR(__xludf.DUMMYFUNCTION("""COMPUTED_VALUE"""),43741.7135236226)</f>
        <v>43741.713523622602</v>
      </c>
      <c r="B390" s="11" t="str">
        <f ca="1">IFERROR(__xludf.DUMMYFUNCTION("""COMPUTED_VALUE"""),"Pamela Marcum")</f>
        <v>Pamela Marcum</v>
      </c>
      <c r="C390" t="str">
        <f ca="1">IFERROR(__xludf.DUMMYFUNCTION("""COMPUTED_VALUE"""),"Pamela.Marcum@floridadep.gov")</f>
        <v>Pamela.Marcum@floridadep.gov</v>
      </c>
      <c r="D390" t="str">
        <f ca="1">IFERROR(__xludf.DUMMYFUNCTION("""COMPUTED_VALUE"""),"Research/Nikki")</f>
        <v>Research/Nikki</v>
      </c>
      <c r="E390" t="str">
        <f ca="1">IFERROR(__xludf.DUMMYFUNCTION("""COMPUTED_VALUE"""),"Moses Creek Dock")</f>
        <v>Moses Creek Dock</v>
      </c>
      <c r="F390" s="13">
        <f ca="1">IFERROR(__xludf.DUMMYFUNCTION("""COMPUTED_VALUE"""),0.33333333333212)</f>
        <v>0.33333333333212001</v>
      </c>
      <c r="G390" s="14">
        <f ca="1">IFERROR(__xludf.DUMMYFUNCTION("""COMPUTED_VALUE"""),43742)</f>
        <v>43742</v>
      </c>
      <c r="H390" t="str">
        <f ca="1">IFERROR(__xludf.DUMMYFUNCTION("""COMPUTED_VALUE"""),"Moses Creek")</f>
        <v>Moses Creek</v>
      </c>
      <c r="I390" s="15">
        <f ca="1">IFERROR(__xludf.DUMMYFUNCTION("""COMPUTED_VALUE"""),0.58333333333212)</f>
        <v>0.58333333333212001</v>
      </c>
      <c r="J390" s="16">
        <f ca="1">IFERROR(__xludf.DUMMYFUNCTION("""COMPUTED_VALUE"""),43742.625)</f>
        <v>43742.625</v>
      </c>
      <c r="K390" t="str">
        <f ca="1">IFERROR(__xludf.DUMMYFUNCTION("""COMPUTED_VALUE"""),"Canoe(s), Kayak(s)")</f>
        <v>Canoe(s), Kayak(s)</v>
      </c>
      <c r="L390">
        <f ca="1">IFERROR(__xludf.DUMMYFUNCTION("""COMPUTED_VALUE"""),3)</f>
        <v>3</v>
      </c>
      <c r="M390" t="str">
        <f ca="1">IFERROR(__xludf.DUMMYFUNCTION("""COMPUTED_VALUE"""),"Ford F250 2017 (Moby Dix) - DEP0021578")</f>
        <v>Ford F250 2017 (Moby Dix) - DEP0021578</v>
      </c>
      <c r="N390" t="str">
        <f ca="1">IFERROR(__xludf.DUMMYFUNCTION("""COMPUTED_VALUE"""),"Pam Marcum, (480) 332-5414, Shannon Dunnigan, (803) 727-5734, Silas Tanner, (904) 483-8423, Alee Knoell")</f>
        <v>Pam Marcum, (480) 332-5414, Shannon Dunnigan, (803) 727-5734, Silas Tanner, (904) 483-8423, Alee Knoell</v>
      </c>
      <c r="P390" t="str">
        <f ca="1">IFERROR(__xludf.DUMMYFUNCTION("""COMPUTED_VALUE"""),"Silas")</f>
        <v>Silas</v>
      </c>
      <c r="Q390" t="str">
        <f ca="1">IFERROR(__xludf.DUMMYFUNCTION("""COMPUTED_VALUE"""),"By checking here, you certify that you have checked all of the items listed")</f>
        <v>By checking here, you certify that you have checked all of the items listed</v>
      </c>
      <c r="AE390" s="11"/>
      <c r="AF390" t="str">
        <v>Nikki.Dix@floridadep.gov</v>
      </c>
      <c r="AG390" s="17" t="s">
        <v>58</v>
      </c>
      <c r="AH390" s="12">
        <v>1403</v>
      </c>
      <c r="AI390" s="12" t="s">
        <v>1119</v>
      </c>
      <c r="AJ390" s="19" t="s">
        <v>1120</v>
      </c>
      <c r="AK390" s="20" t="str">
        <f>HYPERLINK("https://docs.google.com/document/d/1a_HZ0U1E4XkOCKRPrQgoKZZY19dqXs-pCBV4X0YTWX8/edit?usp=drivesdk","Pamela Marcum - 10/4/2019 8:00 AM")</f>
        <v>Pamela Marcum - 10/4/2019 8:00 AM</v>
      </c>
      <c r="AL390" s="12" t="s">
        <v>1121</v>
      </c>
    </row>
    <row r="391" spans="1:38" ht="12.75">
      <c r="A391" s="10">
        <f ca="1">IFERROR(__xludf.DUMMYFUNCTION("""COMPUTED_VALUE"""),43742.2672958564)</f>
        <v>43742.2672958564</v>
      </c>
      <c r="B391" s="11" t="str">
        <f ca="1">IFERROR(__xludf.DUMMYFUNCTION("""COMPUTED_VALUE"""),"Silas Tanner")</f>
        <v>Silas Tanner</v>
      </c>
      <c r="C391" t="str">
        <f ca="1">IFERROR(__xludf.DUMMYFUNCTION("""COMPUTED_VALUE"""),"silas.tanner@floridadep.gov")</f>
        <v>silas.tanner@floridadep.gov</v>
      </c>
      <c r="D391" t="str">
        <f ca="1">IFERROR(__xludf.DUMMYFUNCTION("""COMPUTED_VALUE"""),"Research/Nikki")</f>
        <v>Research/Nikki</v>
      </c>
      <c r="E391" t="str">
        <f ca="1">IFERROR(__xludf.DUMMYFUNCTION("""COMPUTED_VALUE"""),"Moses Creek floating dock")</f>
        <v>Moses Creek floating dock</v>
      </c>
      <c r="F391" s="13">
        <f ca="1">IFERROR(__xludf.DUMMYFUNCTION("""COMPUTED_VALUE"""),0.33333333333212)</f>
        <v>0.33333333333212001</v>
      </c>
      <c r="G391" s="14">
        <f ca="1">IFERROR(__xludf.DUMMYFUNCTION("""COMPUTED_VALUE"""),43742)</f>
        <v>43742</v>
      </c>
      <c r="H391" t="str">
        <f ca="1">IFERROR(__xludf.DUMMYFUNCTION("""COMPUTED_VALUE"""),"Moses Creek SWMP platforms")</f>
        <v>Moses Creek SWMP platforms</v>
      </c>
      <c r="I391" s="15">
        <f ca="1">IFERROR(__xludf.DUMMYFUNCTION("""COMPUTED_VALUE"""),0.5625)</f>
        <v>0.5625</v>
      </c>
      <c r="J391" s="16">
        <f ca="1">IFERROR(__xludf.DUMMYFUNCTION("""COMPUTED_VALUE"""),43742.6041666666)</f>
        <v>43742.604166666599</v>
      </c>
      <c r="K391" t="str">
        <f ca="1">IFERROR(__xludf.DUMMYFUNCTION("""COMPUTED_VALUE"""),"Canoe(s), Kayak(s), Canoe/Kayak Trailer DEP06086")</f>
        <v>Canoe(s), Kayak(s), Canoe/Kayak Trailer DEP06086</v>
      </c>
      <c r="L391">
        <f ca="1">IFERROR(__xludf.DUMMYFUNCTION("""COMPUTED_VALUE"""),3)</f>
        <v>3</v>
      </c>
      <c r="M391" t="str">
        <f ca="1">IFERROR(__xludf.DUMMYFUNCTION("""COMPUTED_VALUE"""),"Ford F250 2017 (Moby Dix) - DEP0021578")</f>
        <v>Ford F250 2017 (Moby Dix) - DEP0021578</v>
      </c>
      <c r="N391" t="str">
        <f ca="1">IFERROR(__xludf.DUMMYFUNCTION("""COMPUTED_VALUE"""),"Pam Marcum, (480) 332-5414, Shannon Dunnigan, (803) 727-5734, Silas Tanner, (904) 483-8423")</f>
        <v>Pam Marcum, (480) 332-5414, Shannon Dunnigan, (803) 727-5734, Silas Tanner, (904) 483-8423</v>
      </c>
      <c r="O391" t="str">
        <f ca="1">IFERROR(__xludf.DUMMYFUNCTION("""COMPUTED_VALUE"""),"Alee Knoell, (619) 750-4833, Casey McClure")</f>
        <v>Alee Knoell, (619) 750-4833, Casey McClure</v>
      </c>
      <c r="P391" t="str">
        <f ca="1">IFERROR(__xludf.DUMMYFUNCTION("""COMPUTED_VALUE"""),"S. Dunnigan")</f>
        <v>S. Dunnigan</v>
      </c>
      <c r="Q391" t="str">
        <f ca="1">IFERROR(__xludf.DUMMYFUNCTION("""COMPUTED_VALUE"""),"By checking here, you certify that you have checked all of the items listed")</f>
        <v>By checking here, you certify that you have checked all of the items listed</v>
      </c>
      <c r="AE391" s="11"/>
      <c r="AF391" t="str">
        <v>Nikki.Dix@floridadep.gov</v>
      </c>
      <c r="AG391" s="17" t="s">
        <v>17</v>
      </c>
      <c r="AH391" s="12">
        <v>1430</v>
      </c>
      <c r="AI391" s="12" t="s">
        <v>1122</v>
      </c>
      <c r="AJ391" s="19" t="s">
        <v>1123</v>
      </c>
      <c r="AK391" s="20" t="str">
        <f>HYPERLINK("https://docs.google.com/document/d/1JowoqJjlGGOkTTrpZAL3e8PWLUS-yZZHWCQCIh7zT0w/edit?usp=drivesdk","Silas Tanner - 10/4/2019 8:00 AM")</f>
        <v>Silas Tanner - 10/4/2019 8:00 AM</v>
      </c>
      <c r="AL391" s="12" t="s">
        <v>1124</v>
      </c>
    </row>
    <row r="392" spans="1:38" ht="12.75">
      <c r="A392" s="10">
        <f ca="1">IFERROR(__xludf.DUMMYFUNCTION("""COMPUTED_VALUE"""),43746.367207662)</f>
        <v>43746.367207661999</v>
      </c>
      <c r="B392" s="11" t="str">
        <f ca="1">IFERROR(__xludf.DUMMYFUNCTION("""COMPUTED_VALUE"""),"Silas Tanner")</f>
        <v>Silas Tanner</v>
      </c>
      <c r="C392" t="str">
        <f ca="1">IFERROR(__xludf.DUMMYFUNCTION("""COMPUTED_VALUE"""),"silas.tanner@floridadep.gov")</f>
        <v>silas.tanner@floridadep.gov</v>
      </c>
      <c r="D392" t="str">
        <f ca="1">IFERROR(__xludf.DUMMYFUNCTION("""COMPUTED_VALUE"""),"Research/Nikki")</f>
        <v>Research/Nikki</v>
      </c>
      <c r="E392" t="str">
        <f ca="1">IFERROR(__xludf.DUMMYFUNCTION("""COMPUTED_VALUE"""),"Usina Ramp - Aunt Kate's")</f>
        <v>Usina Ramp - Aunt Kate's</v>
      </c>
      <c r="F392" s="13">
        <f ca="1">IFERROR(__xludf.DUMMYFUNCTION("""COMPUTED_VALUE"""),0.385416666667879)</f>
        <v>0.38541666666787899</v>
      </c>
      <c r="G392" s="14">
        <f ca="1">IFERROR(__xludf.DUMMYFUNCTION("""COMPUTED_VALUE"""),43746)</f>
        <v>43746</v>
      </c>
      <c r="H392" t="str">
        <f ca="1">IFERROR(__xludf.DUMMYFUNCTION("""COMPUTED_VALUE"""),"Hat Island monitoring platforms")</f>
        <v>Hat Island monitoring platforms</v>
      </c>
      <c r="I392" s="15">
        <f ca="1">IFERROR(__xludf.DUMMYFUNCTION("""COMPUTED_VALUE"""),0.61458333333212)</f>
        <v>0.61458333333212001</v>
      </c>
      <c r="J392" s="16">
        <f ca="1">IFERROR(__xludf.DUMMYFUNCTION("""COMPUTED_VALUE"""),43746.625)</f>
        <v>43746.625</v>
      </c>
      <c r="K392" t="str">
        <f ca="1">IFERROR(__xludf.DUMMYFUNCTION("""COMPUTED_VALUE"""),"20ft Sea Ark FL5351SJ UNF 2015")</f>
        <v>20ft Sea Ark FL5351SJ UNF 2015</v>
      </c>
      <c r="M392" t="str">
        <f ca="1">IFERROR(__xludf.DUMMYFUNCTION("""COMPUTED_VALUE"""),"Ford F250 2017 (Moby Dix) - DEP0021578")</f>
        <v>Ford F250 2017 (Moby Dix) - DEP0021578</v>
      </c>
      <c r="N392" t="str">
        <f ca="1">IFERROR(__xludf.DUMMYFUNCTION("""COMPUTED_VALUE"""),"Shannon Dunnigan, (803) 727-5734, Silas Tanner, (904) 483-8423")</f>
        <v>Shannon Dunnigan, (803) 727-5734, Silas Tanner, (904) 483-8423</v>
      </c>
      <c r="O392" t="str">
        <f ca="1">IFERROR(__xludf.DUMMYFUNCTION("""COMPUTED_VALUE"""),"Casey McClure")</f>
        <v>Casey McClure</v>
      </c>
      <c r="P392" t="str">
        <f ca="1">IFERROR(__xludf.DUMMYFUNCTION("""COMPUTED_VALUE"""),"S. Dunnigan")</f>
        <v>S. Dunnigan</v>
      </c>
      <c r="Q392" t="str">
        <f ca="1">IFERROR(__xludf.DUMMYFUNCTION("""COMPUTED_VALUE"""),"By checking here, you certify that you have checked all of the items listed")</f>
        <v>By checking here, you certify that you have checked all of the items listed</v>
      </c>
      <c r="AD392" t="str">
        <f ca="1">IFERROR(__xludf.DUMMYFUNCTION("""COMPUTED_VALUE"""),"not great")</f>
        <v>not great</v>
      </c>
      <c r="AE392" s="11"/>
      <c r="AF392" t="str">
        <v>Nikki.Dix@floridadep.gov</v>
      </c>
      <c r="AG392" s="17" t="s">
        <v>41</v>
      </c>
      <c r="AH392" s="12">
        <v>1530</v>
      </c>
      <c r="AI392" s="12" t="s">
        <v>1125</v>
      </c>
      <c r="AJ392" s="19" t="s">
        <v>1126</v>
      </c>
      <c r="AK392" s="20" t="str">
        <f>HYPERLINK("https://docs.google.com/document/d/1Weo71KyE42pJv6eQho_VuZl_I_N1oT_tQDYaPUWJgXg/edit?usp=drivesdk","Silas Tanner - 10/8/2019 9:15 AM")</f>
        <v>Silas Tanner - 10/8/2019 9:15 AM</v>
      </c>
      <c r="AL392" s="12" t="s">
        <v>1127</v>
      </c>
    </row>
    <row r="393" spans="1:38" ht="12.75">
      <c r="A393" s="10">
        <f ca="1">IFERROR(__xludf.DUMMYFUNCTION("""COMPUTED_VALUE"""),43747.420042743)</f>
        <v>43747.420042742997</v>
      </c>
      <c r="B393" s="11" t="str">
        <f ca="1">IFERROR(__xludf.DUMMYFUNCTION("""COMPUTED_VALUE"""),"Shannon Dunnigan")</f>
        <v>Shannon Dunnigan</v>
      </c>
      <c r="C393" t="str">
        <f ca="1">IFERROR(__xludf.DUMMYFUNCTION("""COMPUTED_VALUE"""),"shannon.dunnigan@floridadep.gov")</f>
        <v>shannon.dunnigan@floridadep.gov</v>
      </c>
      <c r="D393" t="str">
        <f ca="1">IFERROR(__xludf.DUMMYFUNCTION("""COMPUTED_VALUE"""),"Research/Nikki")</f>
        <v>Research/Nikki</v>
      </c>
      <c r="E393" t="str">
        <f ca="1">IFERROR(__xludf.DUMMYFUNCTION("""COMPUTED_VALUE"""),"Aunt Kate’s")</f>
        <v>Aunt Kate’s</v>
      </c>
      <c r="F393" s="13">
        <f ca="1">IFERROR(__xludf.DUMMYFUNCTION("""COMPUTED_VALUE"""),0.4375)</f>
        <v>0.4375</v>
      </c>
      <c r="G393" s="14">
        <f ca="1">IFERROR(__xludf.DUMMYFUNCTION("""COMPUTED_VALUE"""),43747)</f>
        <v>43747</v>
      </c>
      <c r="H393" t="str">
        <f ca="1">IFERROR(__xludf.DUMMYFUNCTION("""COMPUTED_VALUE"""),"Hat Island veg platforms")</f>
        <v>Hat Island veg platforms</v>
      </c>
      <c r="I393" s="15">
        <f ca="1">IFERROR(__xludf.DUMMYFUNCTION("""COMPUTED_VALUE"""),0.625)</f>
        <v>0.625</v>
      </c>
      <c r="J393" s="16">
        <f ca="1">IFERROR(__xludf.DUMMYFUNCTION("""COMPUTED_VALUE"""),43747.6666666666)</f>
        <v>43747.666666666599</v>
      </c>
      <c r="K393" t="str">
        <f ca="1">IFERROR(__xludf.DUMMYFUNCTION("""COMPUTED_VALUE"""),"20ft Sea Ark FL5351SJ UNF 2015")</f>
        <v>20ft Sea Ark FL5351SJ UNF 2015</v>
      </c>
      <c r="M393" t="str">
        <f ca="1">IFERROR(__xludf.DUMMYFUNCTION("""COMPUTED_VALUE"""),"Ford F250 2017 (Moby Dix) - DEP0021578")</f>
        <v>Ford F250 2017 (Moby Dix) - DEP0021578</v>
      </c>
      <c r="N393" t="str">
        <f ca="1">IFERROR(__xludf.DUMMYFUNCTION("""COMPUTED_VALUE"""),"Shannon Dunnigan, (803) 727-5734, Silas Tanner, (904) 483-8423")</f>
        <v>Shannon Dunnigan, (803) 727-5734, Silas Tanner, (904) 483-8423</v>
      </c>
      <c r="P393" t="str">
        <f ca="1">IFERROR(__xludf.DUMMYFUNCTION("""COMPUTED_VALUE"""),"Shannon ")</f>
        <v xml:space="preserve">Shannon </v>
      </c>
      <c r="Q393" t="str">
        <f ca="1">IFERROR(__xludf.DUMMYFUNCTION("""COMPUTED_VALUE"""),"All items in working order")</f>
        <v>All items in working order</v>
      </c>
      <c r="AE393" s="11"/>
      <c r="AF393" t="str">
        <v>Nikki.Dix@floridadep.gov</v>
      </c>
      <c r="AG393" s="17" t="s">
        <v>58</v>
      </c>
      <c r="AH393" s="12">
        <v>1314</v>
      </c>
      <c r="AI393" s="12" t="s">
        <v>1128</v>
      </c>
      <c r="AJ393" s="19" t="s">
        <v>1129</v>
      </c>
      <c r="AK393" s="20" t="str">
        <f>HYPERLINK("https://docs.google.com/document/d/1Nkj7T_FeDiyVW9nQImrjvRaLtq2W7lwf3wsxD_brvdg/edit?usp=drivesdk","Shannon Dunnigan - 10/9/2019 10:30 AM")</f>
        <v>Shannon Dunnigan - 10/9/2019 10:30 AM</v>
      </c>
      <c r="AL393" s="12" t="s">
        <v>1130</v>
      </c>
    </row>
    <row r="394" spans="1:38" ht="12.75">
      <c r="A394" s="10">
        <f ca="1">IFERROR(__xludf.DUMMYFUNCTION("""COMPUTED_VALUE"""),43748.2878087037)</f>
        <v>43748.287808703702</v>
      </c>
      <c r="B394" s="11" t="str">
        <f ca="1">IFERROR(__xludf.DUMMYFUNCTION("""COMPUTED_VALUE"""),"Pam Marcum")</f>
        <v>Pam Marcum</v>
      </c>
      <c r="C394" t="str">
        <f ca="1">IFERROR(__xludf.DUMMYFUNCTION("""COMPUTED_VALUE"""),"Pamela.Marcum@dep.state.fl.us")</f>
        <v>Pamela.Marcum@dep.state.fl.us</v>
      </c>
      <c r="D394" t="str">
        <f ca="1">IFERROR(__xludf.DUMMYFUNCTION("""COMPUTED_VALUE"""),"Research/Nikki")</f>
        <v>Research/Nikki</v>
      </c>
      <c r="E394" t="str">
        <f ca="1">IFERROR(__xludf.DUMMYFUNCTION("""COMPUTED_VALUE"""),"Faver-Dykes State Park")</f>
        <v>Faver-Dykes State Park</v>
      </c>
      <c r="F394" s="13">
        <f ca="1">IFERROR(__xludf.DUMMYFUNCTION("""COMPUTED_VALUE"""),0.34375)</f>
        <v>0.34375</v>
      </c>
      <c r="G394" s="14">
        <f ca="1">IFERROR(__xludf.DUMMYFUNCTION("""COMPUTED_VALUE"""),43748)</f>
        <v>43748</v>
      </c>
      <c r="H394" t="str">
        <f ca="1">IFERROR(__xludf.DUMMYFUNCTION("""COMPUTED_VALUE"""),"Pellicer Creek mouth")</f>
        <v>Pellicer Creek mouth</v>
      </c>
      <c r="I394" s="15">
        <f ca="1">IFERROR(__xludf.DUMMYFUNCTION("""COMPUTED_VALUE"""),0.541666666667879)</f>
        <v>0.54166666666787899</v>
      </c>
      <c r="J394" s="16">
        <f ca="1">IFERROR(__xludf.DUMMYFUNCTION("""COMPUTED_VALUE"""),43748.5833333333)</f>
        <v>43748.583333333299</v>
      </c>
      <c r="K394" t="str">
        <f ca="1">IFERROR(__xludf.DUMMYFUNCTION("""COMPUTED_VALUE"""),"17ft Skiff (Marsha) FL0642GW DEP07239")</f>
        <v>17ft Skiff (Marsha) FL0642GW DEP07239</v>
      </c>
      <c r="M394" t="str">
        <f ca="1">IFERROR(__xludf.DUMMYFUNCTION("""COMPUTED_VALUE"""),"Ford F150 2010 (4 Door) - DEP07668")</f>
        <v>Ford F150 2010 (4 Door) - DEP07668</v>
      </c>
      <c r="N394" t="str">
        <f ca="1">IFERROR(__xludf.DUMMYFUNCTION("""COMPUTED_VALUE"""),"Pam Marcum, (480) 332-5414")</f>
        <v>Pam Marcum, (480) 332-5414</v>
      </c>
      <c r="O394" t="str">
        <f ca="1">IFERROR(__xludf.DUMMYFUNCTION("""COMPUTED_VALUE"""),"Vincent McClure")</f>
        <v>Vincent McClure</v>
      </c>
      <c r="P394" t="str">
        <f ca="1">IFERROR(__xludf.DUMMYFUNCTION("""COMPUTED_VALUE"""),"Pam")</f>
        <v>Pam</v>
      </c>
      <c r="Q394" t="str">
        <f ca="1">IFERROR(__xludf.DUMMYFUNCTION("""COMPUTED_VALUE"""),"All items in working order")</f>
        <v>All items in working order</v>
      </c>
      <c r="AE394" s="11"/>
      <c r="AF394" t="str">
        <v>Nikki.Dix@floridadep.gov</v>
      </c>
      <c r="AG394" s="17" t="s">
        <v>17</v>
      </c>
      <c r="AH394" s="12">
        <v>1400</v>
      </c>
      <c r="AI394" s="12" t="s">
        <v>1131</v>
      </c>
      <c r="AJ394" s="19" t="s">
        <v>1132</v>
      </c>
      <c r="AK394" s="20" t="str">
        <f>HYPERLINK("https://docs.google.com/document/d/1R67aWa6YbeD9LJQCyYhLFFgo-n7BFuc4yGofXLj2i4s/edit?usp=drivesdk","Pam Marcum - 10/10/2019 8:15 AM")</f>
        <v>Pam Marcum - 10/10/2019 8:15 AM</v>
      </c>
      <c r="AL394" s="12" t="s">
        <v>1133</v>
      </c>
    </row>
    <row r="395" spans="1:38" ht="12.75">
      <c r="A395" s="10">
        <f ca="1">IFERROR(__xludf.DUMMYFUNCTION("""COMPUTED_VALUE"""),43748.6385233449)</f>
        <v>43748.638523344896</v>
      </c>
      <c r="B395" s="11" t="str">
        <f ca="1">IFERROR(__xludf.DUMMYFUNCTION("""COMPUTED_VALUE"""),"Silas Tanner")</f>
        <v>Silas Tanner</v>
      </c>
      <c r="C395" t="str">
        <f ca="1">IFERROR(__xludf.DUMMYFUNCTION("""COMPUTED_VALUE"""),"silas.tanner@floridadep.gov")</f>
        <v>silas.tanner@floridadep.gov</v>
      </c>
      <c r="D395" t="str">
        <f ca="1">IFERROR(__xludf.DUMMYFUNCTION("""COMPUTED_VALUE"""),"Research/Nikki")</f>
        <v>Research/Nikki</v>
      </c>
      <c r="E395" t="str">
        <f ca="1">IFERROR(__xludf.DUMMYFUNCTION("""COMPUTED_VALUE"""),"Faver Dykes dock")</f>
        <v>Faver Dykes dock</v>
      </c>
      <c r="F395" s="13">
        <f ca="1">IFERROR(__xludf.DUMMYFUNCTION("""COMPUTED_VALUE"""),0.638888888890505)</f>
        <v>0.63888888889050499</v>
      </c>
      <c r="G395" s="14">
        <f ca="1">IFERROR(__xludf.DUMMYFUNCTION("""COMPUTED_VALUE"""),43748)</f>
        <v>43748</v>
      </c>
      <c r="H395" t="str">
        <f ca="1">IFERROR(__xludf.DUMMYFUNCTION("""COMPUTED_VALUE"""),"Pellicer Creek platforms")</f>
        <v>Pellicer Creek platforms</v>
      </c>
      <c r="I395" s="15">
        <f ca="1">IFERROR(__xludf.DUMMYFUNCTION("""COMPUTED_VALUE"""),0.697916666667879)</f>
        <v>0.69791666666787899</v>
      </c>
      <c r="J395" s="16">
        <f ca="1">IFERROR(__xludf.DUMMYFUNCTION("""COMPUTED_VALUE"""),43748.7395833333)</f>
        <v>43748.739583333299</v>
      </c>
      <c r="K395" t="str">
        <f ca="1">IFERROR(__xludf.DUMMYFUNCTION("""COMPUTED_VALUE"""),"20ft Sea Ark FL5351SJ UNF 2015")</f>
        <v>20ft Sea Ark FL5351SJ UNF 2015</v>
      </c>
      <c r="M395" t="str">
        <f ca="1">IFERROR(__xludf.DUMMYFUNCTION("""COMPUTED_VALUE"""),"Ford F250 2017 (Moby Dix) - DEP0021578")</f>
        <v>Ford F250 2017 (Moby Dix) - DEP0021578</v>
      </c>
      <c r="N395" t="str">
        <f ca="1">IFERROR(__xludf.DUMMYFUNCTION("""COMPUTED_VALUE"""),"Shannon Dunnigan, (803) 727-5734, Silas Tanner, (904) 483-8423")</f>
        <v>Shannon Dunnigan, (803) 727-5734, Silas Tanner, (904) 483-8423</v>
      </c>
      <c r="P395" t="str">
        <f ca="1">IFERROR(__xludf.DUMMYFUNCTION("""COMPUTED_VALUE"""),"Dunnigan")</f>
        <v>Dunnigan</v>
      </c>
      <c r="Q395" t="str">
        <f ca="1">IFERROR(__xludf.DUMMYFUNCTION("""COMPUTED_VALUE"""),"All items in working order")</f>
        <v>All items in working order</v>
      </c>
      <c r="AE395" s="11"/>
      <c r="AF395" t="str">
        <v>Nikki.Dix@floridadep.gov</v>
      </c>
      <c r="AG395" s="17" t="s">
        <v>17</v>
      </c>
      <c r="AH395" s="12">
        <v>1615</v>
      </c>
      <c r="AI395" s="12" t="s">
        <v>1134</v>
      </c>
      <c r="AJ395" s="19" t="s">
        <v>1135</v>
      </c>
      <c r="AK395" s="20" t="str">
        <f>HYPERLINK("https://docs.google.com/document/d/1i0dCUy4yeQ9EZHTLMk-Eqs7L_Kd-gV0olElUP-cbPpQ/edit?usp=drivesdk","Silas Tanner - 10/10/2019 3:20 PM")</f>
        <v>Silas Tanner - 10/10/2019 3:20 PM</v>
      </c>
      <c r="AL395" s="12" t="s">
        <v>1136</v>
      </c>
    </row>
    <row r="396" spans="1:38" ht="12.75">
      <c r="A396" s="10">
        <f ca="1">IFERROR(__xludf.DUMMYFUNCTION("""COMPUTED_VALUE"""),43752.3751652546)</f>
        <v>43752.375165254598</v>
      </c>
      <c r="B396" s="11" t="str">
        <f ca="1">IFERROR(__xludf.DUMMYFUNCTION("""COMPUTED_VALUE"""),"Jimmy Tomazinis")</f>
        <v>Jimmy Tomazinis</v>
      </c>
      <c r="C396" t="str">
        <f ca="1">IFERROR(__xludf.DUMMYFUNCTION("""COMPUTED_VALUE"""),"james.tomazinis@floridadep.gov")</f>
        <v>james.tomazinis@floridadep.gov</v>
      </c>
      <c r="D396" t="str">
        <f ca="1">IFERROR(__xludf.DUMMYFUNCTION("""COMPUTED_VALUE"""),"Stewardship (Aquatic)")</f>
        <v>Stewardship (Aquatic)</v>
      </c>
      <c r="E396" t="str">
        <f ca="1">IFERROR(__xludf.DUMMYFUNCTION("""COMPUTED_VALUE"""),"Dee Dee Bartels and Goffinsville Park")</f>
        <v>Dee Dee Bartels and Goffinsville Park</v>
      </c>
      <c r="F396" s="13">
        <f ca="1">IFERROR(__xludf.DUMMYFUNCTION("""COMPUTED_VALUE"""),0.416666666667879)</f>
        <v>0.41666666666787899</v>
      </c>
      <c r="G396" s="14">
        <f ca="1">IFERROR(__xludf.DUMMYFUNCTION("""COMPUTED_VALUE"""),43752)</f>
        <v>43752</v>
      </c>
      <c r="H396" t="str">
        <f ca="1">IFERROR(__xludf.DUMMYFUNCTION("""COMPUTED_VALUE"""),"NEAP WQ sites")</f>
        <v>NEAP WQ sites</v>
      </c>
      <c r="I396" s="15">
        <f ca="1">IFERROR(__xludf.DUMMYFUNCTION("""COMPUTED_VALUE"""),0.625)</f>
        <v>0.625</v>
      </c>
      <c r="J396" s="16"/>
      <c r="K396" t="str">
        <f ca="1">IFERROR(__xludf.DUMMYFUNCTION("""COMPUTED_VALUE"""),"17ft Skiff (Marsha) FL0642GW DEP07239")</f>
        <v>17ft Skiff (Marsha) FL0642GW DEP07239</v>
      </c>
      <c r="M396" t="str">
        <f ca="1">IFERROR(__xludf.DUMMYFUNCTION("""COMPUTED_VALUE"""),"Ford F150 2008 (SWMP Thing) - DEP18041")</f>
        <v>Ford F150 2008 (SWMP Thing) - DEP18041</v>
      </c>
      <c r="N396" t="str">
        <f ca="1">IFERROR(__xludf.DUMMYFUNCTION("""COMPUTED_VALUE"""),"Jimmy Tomazinis, (904) 547-0094")</f>
        <v>Jimmy Tomazinis, (904) 547-0094</v>
      </c>
      <c r="O396" t="str">
        <f ca="1">IFERROR(__xludf.DUMMYFUNCTION("""COMPUTED_VALUE"""),"Suzi")</f>
        <v>Suzi</v>
      </c>
      <c r="P396" t="str">
        <f ca="1">IFERROR(__xludf.DUMMYFUNCTION("""COMPUTED_VALUE"""),"Jimmy")</f>
        <v>Jimmy</v>
      </c>
      <c r="Q396" t="str">
        <f ca="1">IFERROR(__xludf.DUMMYFUNCTION("""COMPUTED_VALUE"""),"All items in working order")</f>
        <v>All items in working order</v>
      </c>
      <c r="AE396" s="11"/>
      <c r="AF396" t="str">
        <v>Scott.Eastman@floridadep.gov</v>
      </c>
      <c r="AG396" s="17" t="s">
        <v>17</v>
      </c>
      <c r="AH396" s="12">
        <v>1445</v>
      </c>
      <c r="AI396" s="12" t="s">
        <v>1137</v>
      </c>
      <c r="AJ396" s="19" t="s">
        <v>1138</v>
      </c>
      <c r="AK396" s="20" t="str">
        <f>HYPERLINK("https://docs.google.com/document/d/1_OnavftpgaDV9tNWiIoIvKJWpdcg19g3rscONyVRkDo/edit?usp=drivesdk","Jimmy Tomazinis - 10/14/2019 10:00 AM")</f>
        <v>Jimmy Tomazinis - 10/14/2019 10:00 AM</v>
      </c>
      <c r="AL396" s="12" t="s">
        <v>1139</v>
      </c>
    </row>
    <row r="397" spans="1:38" ht="12.75">
      <c r="A397" s="10">
        <f ca="1">IFERROR(__xludf.DUMMYFUNCTION("""COMPUTED_VALUE"""),43752.3763751388)</f>
        <v>43752.376375138803</v>
      </c>
      <c r="B397" s="11" t="str">
        <f ca="1">IFERROR(__xludf.DUMMYFUNCTION("""COMPUTED_VALUE"""),"Scott Eastman")</f>
        <v>Scott Eastman</v>
      </c>
      <c r="C397" t="str">
        <f ca="1">IFERROR(__xludf.DUMMYFUNCTION("""COMPUTED_VALUE"""),"scott.eastman@floridadep.gov")</f>
        <v>scott.eastman@floridadep.gov</v>
      </c>
      <c r="D397" t="str">
        <f ca="1">IFERROR(__xludf.DUMMYFUNCTION("""COMPUTED_VALUE"""),"Stewardship (Aquatic)")</f>
        <v>Stewardship (Aquatic)</v>
      </c>
      <c r="E397" t="str">
        <f ca="1">IFERROR(__xludf.DUMMYFUNCTION("""COMPUTED_VALUE"""),"Guana Dam")</f>
        <v>Guana Dam</v>
      </c>
      <c r="F397" s="13">
        <f ca="1">IFERROR(__xludf.DUMMYFUNCTION("""COMPUTED_VALUE"""),0.4375)</f>
        <v>0.4375</v>
      </c>
      <c r="G397" s="14">
        <f ca="1">IFERROR(__xludf.DUMMYFUNCTION("""COMPUTED_VALUE"""),43752)</f>
        <v>43752</v>
      </c>
      <c r="H397" t="str">
        <f ca="1">IFERROR(__xludf.DUMMYFUNCTION("""COMPUTED_VALUE"""),"Guana River WQ sites")</f>
        <v>Guana River WQ sites</v>
      </c>
      <c r="I397" s="15">
        <f ca="1">IFERROR(__xludf.DUMMYFUNCTION("""COMPUTED_VALUE"""),0.5)</f>
        <v>0.5</v>
      </c>
      <c r="J397" s="16"/>
      <c r="K397" t="str">
        <f ca="1">IFERROR(__xludf.DUMMYFUNCTION("""COMPUTED_VALUE"""),"Jon Boat FL0484NP DEP06819")</f>
        <v>Jon Boat FL0484NP DEP06819</v>
      </c>
      <c r="M397" t="str">
        <f ca="1">IFERROR(__xludf.DUMMYFUNCTION("""COMPUTED_VALUE"""),"Ford F150 2015 (White) - DEP21448")</f>
        <v>Ford F150 2015 (White) - DEP21448</v>
      </c>
      <c r="N397" t="str">
        <f ca="1">IFERROR(__xludf.DUMMYFUNCTION("""COMPUTED_VALUE"""),"Scott Eastman, (904) 501-9267")</f>
        <v>Scott Eastman, (904) 501-9267</v>
      </c>
      <c r="O397" t="str">
        <f ca="1">IFERROR(__xludf.DUMMYFUNCTION("""COMPUTED_VALUE"""),"Jessica Lee")</f>
        <v>Jessica Lee</v>
      </c>
      <c r="P397" t="str">
        <f ca="1">IFERROR(__xludf.DUMMYFUNCTION("""COMPUTED_VALUE"""),"Scott")</f>
        <v>Scott</v>
      </c>
      <c r="Q397" t="str">
        <f ca="1">IFERROR(__xludf.DUMMYFUNCTION("""COMPUTED_VALUE"""),"All items in working order")</f>
        <v>All items in working order</v>
      </c>
      <c r="AE397" s="11"/>
      <c r="AF397" t="str">
        <v>Scott.Eastman@floridadep.gov</v>
      </c>
      <c r="AG397" s="25" t="s">
        <v>17</v>
      </c>
      <c r="AH397" s="12">
        <v>1200</v>
      </c>
      <c r="AI397" s="12" t="s">
        <v>1140</v>
      </c>
      <c r="AJ397" s="19" t="s">
        <v>1141</v>
      </c>
      <c r="AK397" s="20" t="str">
        <f>HYPERLINK("https://docs.google.com/document/d/1T1xgt2ahMRDccE_WEFm_45PLgPC27Ub_s2m5i78_c2Q/edit?usp=drivesdk","Scott Eastman - 10/14/2019 10:30 AM")</f>
        <v>Scott Eastman - 10/14/2019 10:30 AM</v>
      </c>
      <c r="AL397" s="12" t="s">
        <v>1142</v>
      </c>
    </row>
    <row r="398" spans="1:38" ht="12.75">
      <c r="A398" s="10">
        <f ca="1">IFERROR(__xludf.DUMMYFUNCTION("""COMPUTED_VALUE"""),43753.3658085416)</f>
        <v>43753.365808541603</v>
      </c>
      <c r="B398" s="11" t="str">
        <f ca="1">IFERROR(__xludf.DUMMYFUNCTION("""COMPUTED_VALUE"""),"Silas Tanner")</f>
        <v>Silas Tanner</v>
      </c>
      <c r="C398" t="str">
        <f ca="1">IFERROR(__xludf.DUMMYFUNCTION("""COMPUTED_VALUE"""),"silas.tanner@floridadep.gov")</f>
        <v>silas.tanner@floridadep.gov</v>
      </c>
      <c r="D398" t="str">
        <f ca="1">IFERROR(__xludf.DUMMYFUNCTION("""COMPUTED_VALUE"""),"Research/Nikki")</f>
        <v>Research/Nikki</v>
      </c>
      <c r="E398" t="str">
        <f ca="1">IFERROR(__xludf.DUMMYFUNCTION("""COMPUTED_VALUE"""),"Vilano Landing")</f>
        <v>Vilano Landing</v>
      </c>
      <c r="F398" s="13">
        <f ca="1">IFERROR(__xludf.DUMMYFUNCTION("""COMPUTED_VALUE"""),0.39583333333212)</f>
        <v>0.39583333333212001</v>
      </c>
      <c r="G398" s="14">
        <f ca="1">IFERROR(__xludf.DUMMYFUNCTION("""COMPUTED_VALUE"""),43753)</f>
        <v>43753</v>
      </c>
      <c r="H398" t="str">
        <f ca="1">IFERROR(__xludf.DUMMYFUNCTION("""COMPUTED_VALUE"""),"ICW SWMP sites")</f>
        <v>ICW SWMP sites</v>
      </c>
      <c r="I398" s="15">
        <f ca="1">IFERROR(__xludf.DUMMYFUNCTION("""COMPUTED_VALUE"""),0.604166666667879)</f>
        <v>0.60416666666787899</v>
      </c>
      <c r="J398" s="16">
        <f ca="1">IFERROR(__xludf.DUMMYFUNCTION("""COMPUTED_VALUE"""),43753.625)</f>
        <v>43753.625</v>
      </c>
      <c r="K398" t="str">
        <f ca="1">IFERROR(__xludf.DUMMYFUNCTION("""COMPUTED_VALUE"""),"23ft Skiff (Bertha) FL7972LJ DEP07613")</f>
        <v>23ft Skiff (Bertha) FL7972LJ DEP07613</v>
      </c>
      <c r="M398" t="str">
        <f ca="1">IFERROR(__xludf.DUMMYFUNCTION("""COMPUTED_VALUE"""),"Ford F150 2015 (White) - DEP21448")</f>
        <v>Ford F150 2015 (White) - DEP21448</v>
      </c>
      <c r="N398" t="str">
        <f ca="1">IFERROR(__xludf.DUMMYFUNCTION("""COMPUTED_VALUE"""),"Silas Tanner, (904) 483-8423")</f>
        <v>Silas Tanner, (904) 483-8423</v>
      </c>
      <c r="O398" t="str">
        <f ca="1">IFERROR(__xludf.DUMMYFUNCTION("""COMPUTED_VALUE"""),"Alee Knoell, (619) 750-4833, Sloane Stephens, Esther Duffy")</f>
        <v>Alee Knoell, (619) 750-4833, Sloane Stephens, Esther Duffy</v>
      </c>
      <c r="P398" t="str">
        <f ca="1">IFERROR(__xludf.DUMMYFUNCTION("""COMPUTED_VALUE"""),"Silas Tanner")</f>
        <v>Silas Tanner</v>
      </c>
      <c r="Q398" t="str">
        <f ca="1">IFERROR(__xludf.DUMMYFUNCTION("""COMPUTED_VALUE"""),"All items in working order")</f>
        <v>All items in working order</v>
      </c>
      <c r="AE398" s="11"/>
      <c r="AF398" t="str">
        <v>Nikki.Dix@floridadep.gov</v>
      </c>
      <c r="AG398" s="17" t="s">
        <v>41</v>
      </c>
      <c r="AH398" s="12">
        <v>1436</v>
      </c>
      <c r="AI398" s="12" t="s">
        <v>1143</v>
      </c>
      <c r="AJ398" s="19" t="s">
        <v>1144</v>
      </c>
      <c r="AK398" s="20" t="str">
        <f>HYPERLINK("https://docs.google.com/document/d/13H-CpRkpjg-LceS1ZdSkL48440YBkAfc0YrhA4v9dnk/edit?usp=drivesdk","Silas Tanner - 10/15/2019 9:30 AM")</f>
        <v>Silas Tanner - 10/15/2019 9:30 AM</v>
      </c>
      <c r="AL398" s="12" t="s">
        <v>1145</v>
      </c>
    </row>
    <row r="399" spans="1:38" ht="12.75">
      <c r="A399" s="10">
        <f ca="1">IFERROR(__xludf.DUMMYFUNCTION("""COMPUTED_VALUE"""),43753.575940162)</f>
        <v>43753.575940162002</v>
      </c>
      <c r="B399" s="11" t="str">
        <f ca="1">IFERROR(__xludf.DUMMYFUNCTION("""COMPUTED_VALUE"""),"Jessica Lee")</f>
        <v>Jessica Lee</v>
      </c>
      <c r="C399" t="str">
        <f ca="1">IFERROR(__xludf.DUMMYFUNCTION("""COMPUTED_VALUE"""),"jessica.lee@dep.state.fl.us")</f>
        <v>jessica.lee@dep.state.fl.us</v>
      </c>
      <c r="D399" t="str">
        <f ca="1">IFERROR(__xludf.DUMMYFUNCTION("""COMPUTED_VALUE"""),"Research/Shannon")</f>
        <v>Research/Shannon</v>
      </c>
      <c r="E399" t="str">
        <f ca="1">IFERROR(__xludf.DUMMYFUNCTION("""COMPUTED_VALUE"""),"Guana River Rd")</f>
        <v>Guana River Rd</v>
      </c>
      <c r="F399" s="13">
        <f ca="1">IFERROR(__xludf.DUMMYFUNCTION("""COMPUTED_VALUE"""),0.5)</f>
        <v>0.5</v>
      </c>
      <c r="G399" s="14">
        <f ca="1">IFERROR(__xludf.DUMMYFUNCTION("""COMPUTED_VALUE"""),43754)</f>
        <v>43754</v>
      </c>
      <c r="H399" t="str">
        <f ca="1">IFERROR(__xludf.DUMMYFUNCTION("""COMPUTED_VALUE"""),"Guana River")</f>
        <v>Guana River</v>
      </c>
      <c r="I399" s="15">
        <f ca="1">IFERROR(__xludf.DUMMYFUNCTION("""COMPUTED_VALUE"""),0.5625)</f>
        <v>0.5625</v>
      </c>
      <c r="J399" s="16">
        <f ca="1">IFERROR(__xludf.DUMMYFUNCTION("""COMPUTED_VALUE"""),43754.5729166666)</f>
        <v>43754.572916666599</v>
      </c>
      <c r="K399" t="str">
        <f ca="1">IFERROR(__xludf.DUMMYFUNCTION("""COMPUTED_VALUE"""),"Jon Boat FL0484NP DEP06819")</f>
        <v>Jon Boat FL0484NP DEP06819</v>
      </c>
      <c r="M399" t="str">
        <f ca="1">IFERROR(__xludf.DUMMYFUNCTION("""COMPUTED_VALUE"""),"Ford F150 2015 (White) - DEP21448")</f>
        <v>Ford F150 2015 (White) - DEP21448</v>
      </c>
      <c r="N399" t="str">
        <f ca="1">IFERROR(__xludf.DUMMYFUNCTION("""COMPUTED_VALUE"""),"Nikki Dix, (352) 219-4079")</f>
        <v>Nikki Dix, (352) 219-4079</v>
      </c>
      <c r="P399" t="str">
        <f ca="1">IFERROR(__xludf.DUMMYFUNCTION("""COMPUTED_VALUE"""),"Nikki")</f>
        <v>Nikki</v>
      </c>
      <c r="Q399" t="str">
        <f ca="1">IFERROR(__xludf.DUMMYFUNCTION("""COMPUTED_VALUE"""),"All items in working order")</f>
        <v>All items in working order</v>
      </c>
      <c r="AE399" s="11"/>
      <c r="AF399" t="str">
        <v>Shannon.Dunnigan@floridadep.gov</v>
      </c>
      <c r="AG399" s="18"/>
      <c r="AI399" s="12" t="s">
        <v>1146</v>
      </c>
      <c r="AJ399" s="19" t="s">
        <v>1147</v>
      </c>
      <c r="AK399" s="20" t="str">
        <f>HYPERLINK("https://docs.google.com/document/d/1QYU0K6Bg_b60Qb0JUgvwx83i12Fa5B9QcOUKDlg8KR4/edit?usp=drivesdk","Jessica Lee - 10/16/2019 12:00 PM")</f>
        <v>Jessica Lee - 10/16/2019 12:00 PM</v>
      </c>
      <c r="AL399" s="12" t="s">
        <v>1148</v>
      </c>
    </row>
    <row r="400" spans="1:38" ht="12.75">
      <c r="A400" s="10">
        <f ca="1">IFERROR(__xludf.DUMMYFUNCTION("""COMPUTED_VALUE"""),43755.2852054976)</f>
        <v>43755.285205497603</v>
      </c>
      <c r="B400" s="11" t="str">
        <f ca="1">IFERROR(__xludf.DUMMYFUNCTION("""COMPUTED_VALUE"""),"Pam Marcum")</f>
        <v>Pam Marcum</v>
      </c>
      <c r="C400" t="str">
        <f ca="1">IFERROR(__xludf.DUMMYFUNCTION("""COMPUTED_VALUE"""),"Pamela.Marcum@dep.state.fl.us")</f>
        <v>Pamela.Marcum@dep.state.fl.us</v>
      </c>
      <c r="D400" t="str">
        <f ca="1">IFERROR(__xludf.DUMMYFUNCTION("""COMPUTED_VALUE"""),"Research/Nikki")</f>
        <v>Research/Nikki</v>
      </c>
      <c r="E400" t="str">
        <f ca="1">IFERROR(__xludf.DUMMYFUNCTION("""COMPUTED_VALUE"""),"Faver Dykes State Park")</f>
        <v>Faver Dykes State Park</v>
      </c>
      <c r="F400" s="13">
        <f ca="1">IFERROR(__xludf.DUMMYFUNCTION("""COMPUTED_VALUE"""),0.34375)</f>
        <v>0.34375</v>
      </c>
      <c r="G400" s="14">
        <f ca="1">IFERROR(__xludf.DUMMYFUNCTION("""COMPUTED_VALUE"""),43755)</f>
        <v>43755</v>
      </c>
      <c r="H400" t="str">
        <f ca="1">IFERROR(__xludf.DUMMYFUNCTION("""COMPUTED_VALUE"""),"Pellicer Mouth")</f>
        <v>Pellicer Mouth</v>
      </c>
      <c r="I400" s="15">
        <f ca="1">IFERROR(__xludf.DUMMYFUNCTION("""COMPUTED_VALUE"""),0.58333333333212)</f>
        <v>0.58333333333212001</v>
      </c>
      <c r="J400" s="16">
        <f ca="1">IFERROR(__xludf.DUMMYFUNCTION("""COMPUTED_VALUE"""),43755.6458333333)</f>
        <v>43755.645833333299</v>
      </c>
      <c r="K400" t="str">
        <f ca="1">IFERROR(__xludf.DUMMYFUNCTION("""COMPUTED_VALUE"""),"17ft Skiff (Marsha) FL0642GW DEP07239")</f>
        <v>17ft Skiff (Marsha) FL0642GW DEP07239</v>
      </c>
      <c r="M400" t="str">
        <f ca="1">IFERROR(__xludf.DUMMYFUNCTION("""COMPUTED_VALUE"""),"Ford F150 2008 (SWMP Thing) - DEP18041")</f>
        <v>Ford F150 2008 (SWMP Thing) - DEP18041</v>
      </c>
      <c r="N400" t="str">
        <f ca="1">IFERROR(__xludf.DUMMYFUNCTION("""COMPUTED_VALUE"""),"Pam Marcum, (480) 332-5414")</f>
        <v>Pam Marcum, (480) 332-5414</v>
      </c>
      <c r="O400" t="str">
        <f ca="1">IFERROR(__xludf.DUMMYFUNCTION("""COMPUTED_VALUE"""),"Alee Knoell, (619) 750-4833")</f>
        <v>Alee Knoell, (619) 750-4833</v>
      </c>
      <c r="P400" t="str">
        <f ca="1">IFERROR(__xludf.DUMMYFUNCTION("""COMPUTED_VALUE"""),"Pam")</f>
        <v>Pam</v>
      </c>
      <c r="Q400" t="str">
        <f ca="1">IFERROR(__xludf.DUMMYFUNCTION("""COMPUTED_VALUE"""),"All items in working order")</f>
        <v>All items in working order</v>
      </c>
      <c r="AE400" s="11"/>
      <c r="AF400" t="str">
        <v>Nikki.Dix@floridadep.gov</v>
      </c>
      <c r="AG400" s="17" t="s">
        <v>17</v>
      </c>
      <c r="AH400" s="12">
        <v>1230</v>
      </c>
      <c r="AI400" s="12" t="s">
        <v>1149</v>
      </c>
      <c r="AJ400" s="19" t="s">
        <v>1150</v>
      </c>
      <c r="AK400" s="20" t="str">
        <f>HYPERLINK("https://docs.google.com/document/d/1al6pBTAEsUyBSpAntmTSWLZzNIag_kw43aas-BmHQso/edit?usp=drivesdk","Pam Marcum - 10/17/2019 8:15 AM")</f>
        <v>Pam Marcum - 10/17/2019 8:15 AM</v>
      </c>
      <c r="AL400" s="12" t="s">
        <v>1151</v>
      </c>
    </row>
    <row r="401" spans="1:38" ht="12.75">
      <c r="A401" s="10">
        <f ca="1">IFERROR(__xludf.DUMMYFUNCTION("""COMPUTED_VALUE"""),43759.3443963078)</f>
        <v>43759.344396307803</v>
      </c>
      <c r="B401" s="11" t="str">
        <f ca="1">IFERROR(__xludf.DUMMYFUNCTION("""COMPUTED_VALUE"""),"Silas Tanner")</f>
        <v>Silas Tanner</v>
      </c>
      <c r="C401" t="str">
        <f ca="1">IFERROR(__xludf.DUMMYFUNCTION("""COMPUTED_VALUE"""),"silas.tanner@floridadep.gov")</f>
        <v>silas.tanner@floridadep.gov</v>
      </c>
      <c r="D401" t="str">
        <f ca="1">IFERROR(__xludf.DUMMYFUNCTION("""COMPUTED_VALUE"""),"Research/Nikki")</f>
        <v>Research/Nikki</v>
      </c>
      <c r="E401" t="str">
        <f ca="1">IFERROR(__xludf.DUMMYFUNCTION("""COMPUTED_VALUE"""),"Faver Dykes State Park")</f>
        <v>Faver Dykes State Park</v>
      </c>
      <c r="F401" s="13">
        <f ca="1">IFERROR(__xludf.DUMMYFUNCTION("""COMPUTED_VALUE"""),0.45833333333212)</f>
        <v>0.45833333333212001</v>
      </c>
      <c r="G401" s="14">
        <f ca="1">IFERROR(__xludf.DUMMYFUNCTION("""COMPUTED_VALUE"""),43759)</f>
        <v>43759</v>
      </c>
      <c r="H401" t="str">
        <f ca="1">IFERROR(__xludf.DUMMYFUNCTION("""COMPUTED_VALUE"""),"Pellicer Creek SWMP platforms")</f>
        <v>Pellicer Creek SWMP platforms</v>
      </c>
      <c r="I401" s="15">
        <f ca="1">IFERROR(__xludf.DUMMYFUNCTION("""COMPUTED_VALUE"""),0.58333333333212)</f>
        <v>0.58333333333212001</v>
      </c>
      <c r="J401" s="16">
        <f ca="1">IFERROR(__xludf.DUMMYFUNCTION("""COMPUTED_VALUE"""),43759.6458333333)</f>
        <v>43759.645833333299</v>
      </c>
      <c r="K401" t="str">
        <f ca="1">IFERROR(__xludf.DUMMYFUNCTION("""COMPUTED_VALUE"""),"20ft Sea Ark FL5351SJ UNF 2015")</f>
        <v>20ft Sea Ark FL5351SJ UNF 2015</v>
      </c>
      <c r="M401" t="str">
        <f ca="1">IFERROR(__xludf.DUMMYFUNCTION("""COMPUTED_VALUE"""),"Ford F250 2017 (Moby Dix) - DEP0021578")</f>
        <v>Ford F250 2017 (Moby Dix) - DEP0021578</v>
      </c>
      <c r="N401" t="str">
        <f ca="1">IFERROR(__xludf.DUMMYFUNCTION("""COMPUTED_VALUE"""),"Shannon Dunnigan, (803) 727-5734, Silas Tanner, (904) 483-8423")</f>
        <v>Shannon Dunnigan, (803) 727-5734, Silas Tanner, (904) 483-8423</v>
      </c>
      <c r="O401" t="str">
        <f ca="1">IFERROR(__xludf.DUMMYFUNCTION("""COMPUTED_VALUE"""),"Casey McClure")</f>
        <v>Casey McClure</v>
      </c>
      <c r="P401" t="str">
        <f ca="1">IFERROR(__xludf.DUMMYFUNCTION("""COMPUTED_VALUE"""),"S. Dunnigan")</f>
        <v>S. Dunnigan</v>
      </c>
      <c r="Q401" t="str">
        <f ca="1">IFERROR(__xludf.DUMMYFUNCTION("""COMPUTED_VALUE"""),"All items in working order")</f>
        <v>All items in working order</v>
      </c>
      <c r="AE401" s="11"/>
      <c r="AF401" t="str">
        <v>Nikki.Dix@floridadep.gov</v>
      </c>
      <c r="AG401" s="17" t="s">
        <v>17</v>
      </c>
      <c r="AH401" s="12">
        <v>1320</v>
      </c>
      <c r="AI401" s="12" t="s">
        <v>1152</v>
      </c>
      <c r="AJ401" s="19" t="s">
        <v>1153</v>
      </c>
      <c r="AK401" s="20" t="str">
        <f>HYPERLINK("https://docs.google.com/document/d/1n-LG2HTy2qCWVs8L1YdkpPeRR8p2QgvCem4gUFsY-ls/edit?usp=drivesdk","Silas Tanner - 10/21/2019 11:00 AM")</f>
        <v>Silas Tanner - 10/21/2019 11:00 AM</v>
      </c>
      <c r="AL401" s="12" t="s">
        <v>1154</v>
      </c>
    </row>
    <row r="402" spans="1:38" ht="12.75">
      <c r="A402" s="10">
        <f ca="1">IFERROR(__xludf.DUMMYFUNCTION("""COMPUTED_VALUE"""),43760.4055693865)</f>
        <v>43760.405569386501</v>
      </c>
      <c r="B402" s="11" t="str">
        <f ca="1">IFERROR(__xludf.DUMMYFUNCTION("""COMPUTED_VALUE"""),"Pam Marcum")</f>
        <v>Pam Marcum</v>
      </c>
      <c r="C402" t="str">
        <f ca="1">IFERROR(__xludf.DUMMYFUNCTION("""COMPUTED_VALUE"""),"Pamela.Marcum@FloridaDEP.gov")</f>
        <v>Pamela.Marcum@FloridaDEP.gov</v>
      </c>
      <c r="D402" t="str">
        <f ca="1">IFERROR(__xludf.DUMMYFUNCTION("""COMPUTED_VALUE"""),"Research/Nikki")</f>
        <v>Research/Nikki</v>
      </c>
      <c r="E402" t="str">
        <f ca="1">IFERROR(__xludf.DUMMYFUNCTION("""COMPUTED_VALUE"""),"Faver-Dykes")</f>
        <v>Faver-Dykes</v>
      </c>
      <c r="F402" s="13">
        <f ca="1">IFERROR(__xludf.DUMMYFUNCTION("""COMPUTED_VALUE"""),0.479166666667879)</f>
        <v>0.47916666666787899</v>
      </c>
      <c r="G402" s="14">
        <f ca="1">IFERROR(__xludf.DUMMYFUNCTION("""COMPUTED_VALUE"""),43760)</f>
        <v>43760</v>
      </c>
      <c r="H402" t="str">
        <f ca="1">IFERROR(__xludf.DUMMYFUNCTION("""COMPUTED_VALUE"""),"Pellicer Middle")</f>
        <v>Pellicer Middle</v>
      </c>
      <c r="I402" s="15">
        <f ca="1">IFERROR(__xludf.DUMMYFUNCTION("""COMPUTED_VALUE"""),0.625)</f>
        <v>0.625</v>
      </c>
      <c r="J402" s="16">
        <f ca="1">IFERROR(__xludf.DUMMYFUNCTION("""COMPUTED_VALUE"""),43760.6875)</f>
        <v>43760.6875</v>
      </c>
      <c r="K402" t="str">
        <f ca="1">IFERROR(__xludf.DUMMYFUNCTION("""COMPUTED_VALUE"""),"17ft Skiff (Marsha) FL0642GW DEP07239")</f>
        <v>17ft Skiff (Marsha) FL0642GW DEP07239</v>
      </c>
      <c r="M402" t="str">
        <f ca="1">IFERROR(__xludf.DUMMYFUNCTION("""COMPUTED_VALUE"""),"Ford F150 2008 (SWMP Thing) - DEP18041")</f>
        <v>Ford F150 2008 (SWMP Thing) - DEP18041</v>
      </c>
      <c r="N402" t="str">
        <f ca="1">IFERROR(__xludf.DUMMYFUNCTION("""COMPUTED_VALUE"""),"Pam Marcum, (480) 332-5414")</f>
        <v>Pam Marcum, (480) 332-5414</v>
      </c>
      <c r="O402" t="str">
        <f ca="1">IFERROR(__xludf.DUMMYFUNCTION("""COMPUTED_VALUE"""),"Stephen Brown")</f>
        <v>Stephen Brown</v>
      </c>
      <c r="P402" t="str">
        <f ca="1">IFERROR(__xludf.DUMMYFUNCTION("""COMPUTED_VALUE"""),"Pam")</f>
        <v>Pam</v>
      </c>
      <c r="Q402" t="str">
        <f ca="1">IFERROR(__xludf.DUMMYFUNCTION("""COMPUTED_VALUE"""),"All items in working order")</f>
        <v>All items in working order</v>
      </c>
      <c r="AE402" s="11"/>
      <c r="AF402" t="str">
        <v>Nikki.Dix@floridadep.gov</v>
      </c>
      <c r="AG402" s="17" t="s">
        <v>58</v>
      </c>
      <c r="AH402" s="12">
        <v>1426</v>
      </c>
      <c r="AI402" s="12" t="s">
        <v>1155</v>
      </c>
      <c r="AJ402" s="19" t="s">
        <v>1156</v>
      </c>
      <c r="AK402" s="20" t="str">
        <f>HYPERLINK("https://docs.google.com/document/d/1Y7vwOzLhn0eXI5u7d9d732R4pzu7_c-q0K5-TwlcbW0/edit?usp=drivesdk","Pam Marcum - 10/22/2019 11:30 AM")</f>
        <v>Pam Marcum - 10/22/2019 11:30 AM</v>
      </c>
      <c r="AL402" s="12" t="s">
        <v>1157</v>
      </c>
    </row>
    <row r="403" spans="1:38" ht="12.75">
      <c r="A403" s="10">
        <f ca="1">IFERROR(__xludf.DUMMYFUNCTION("""COMPUTED_VALUE"""),43761.5109808217)</f>
        <v>43761.510980821702</v>
      </c>
      <c r="B403" s="11" t="str">
        <f ca="1">IFERROR(__xludf.DUMMYFUNCTION("""COMPUTED_VALUE"""),"Pam Marcum")</f>
        <v>Pam Marcum</v>
      </c>
      <c r="C403" t="str">
        <f ca="1">IFERROR(__xludf.DUMMYFUNCTION("""COMPUTED_VALUE"""),"pamela.marcum@floridadep.gov")</f>
        <v>pamela.marcum@floridadep.gov</v>
      </c>
      <c r="D403" t="str">
        <f ca="1">IFERROR(__xludf.DUMMYFUNCTION("""COMPUTED_VALUE"""),"Research/Nikki")</f>
        <v>Research/Nikki</v>
      </c>
      <c r="E403" t="str">
        <f ca="1">IFERROR(__xludf.DUMMYFUNCTION("""COMPUTED_VALUE"""),"Faver dykes")</f>
        <v>Faver dykes</v>
      </c>
      <c r="F403" s="13">
        <f ca="1">IFERROR(__xludf.DUMMYFUNCTION("""COMPUTED_VALUE"""),0.52083333333212)</f>
        <v>0.52083333333212001</v>
      </c>
      <c r="G403" s="14">
        <f ca="1">IFERROR(__xludf.DUMMYFUNCTION("""COMPUTED_VALUE"""),43761)</f>
        <v>43761</v>
      </c>
      <c r="H403" t="str">
        <f ca="1">IFERROR(__xludf.DUMMYFUNCTION("""COMPUTED_VALUE"""),"Upper pellicer creek")</f>
        <v>Upper pellicer creek</v>
      </c>
      <c r="I403" s="15">
        <f ca="1">IFERROR(__xludf.DUMMYFUNCTION("""COMPUTED_VALUE"""),0.625)</f>
        <v>0.625</v>
      </c>
      <c r="J403" s="16">
        <f ca="1">IFERROR(__xludf.DUMMYFUNCTION("""COMPUTED_VALUE"""),43761.6666666666)</f>
        <v>43761.666666666599</v>
      </c>
      <c r="K403" t="str">
        <f ca="1">IFERROR(__xludf.DUMMYFUNCTION("""COMPUTED_VALUE"""),"17ft Skiff (Marsha) FL0642GW DEP07239")</f>
        <v>17ft Skiff (Marsha) FL0642GW DEP07239</v>
      </c>
      <c r="M403" t="str">
        <f ca="1">IFERROR(__xludf.DUMMYFUNCTION("""COMPUTED_VALUE"""),"Ford F150 2008 (SWMP Thing) - DEP18041")</f>
        <v>Ford F150 2008 (SWMP Thing) - DEP18041</v>
      </c>
      <c r="N403" t="str">
        <f ca="1">IFERROR(__xludf.DUMMYFUNCTION("""COMPUTED_VALUE"""),"Pam Marcum, (480) 332-5414")</f>
        <v>Pam Marcum, (480) 332-5414</v>
      </c>
      <c r="O403" t="str">
        <f ca="1">IFERROR(__xludf.DUMMYFUNCTION("""COMPUTED_VALUE"""),"Alee Knoell, (619) 750-4833, Esther duffy")</f>
        <v>Alee Knoell, (619) 750-4833, Esther duffy</v>
      </c>
      <c r="P403" t="str">
        <f ca="1">IFERROR(__xludf.DUMMYFUNCTION("""COMPUTED_VALUE"""),"Pam")</f>
        <v>Pam</v>
      </c>
      <c r="Q403" t="str">
        <f ca="1">IFERROR(__xludf.DUMMYFUNCTION("""COMPUTED_VALUE"""),"All items in working order")</f>
        <v>All items in working order</v>
      </c>
      <c r="AE403" s="11"/>
      <c r="AF403" t="str">
        <v>Nikki.Dix@floridadep.gov</v>
      </c>
      <c r="AG403" s="17" t="s">
        <v>17</v>
      </c>
      <c r="AH403" s="12">
        <v>1500</v>
      </c>
      <c r="AI403" s="12" t="s">
        <v>1158</v>
      </c>
      <c r="AJ403" s="19" t="s">
        <v>1159</v>
      </c>
      <c r="AK403" s="20" t="str">
        <f>HYPERLINK("https://docs.google.com/document/d/1yjeYvgPYir5ZjPhpr6dgyr3QLWQtzniq9SwDgTcD6K4/edit?usp=drivesdk","Pam Marcum - 10/23/2019 12:30 PM")</f>
        <v>Pam Marcum - 10/23/2019 12:30 PM</v>
      </c>
      <c r="AL403" s="12" t="s">
        <v>1160</v>
      </c>
    </row>
    <row r="404" spans="1:38" ht="12.75">
      <c r="A404" s="10">
        <f ca="1">IFERROR(__xludf.DUMMYFUNCTION("""COMPUTED_VALUE"""),43762.3654085185)</f>
        <v>43762.365408518497</v>
      </c>
      <c r="B404" s="11" t="str">
        <f ca="1">IFERROR(__xludf.DUMMYFUNCTION("""COMPUTED_VALUE"""),"Jimmy Tomazinis")</f>
        <v>Jimmy Tomazinis</v>
      </c>
      <c r="C404" t="str">
        <f ca="1">IFERROR(__xludf.DUMMYFUNCTION("""COMPUTED_VALUE"""),"james.tomazinis@floridadep.gov")</f>
        <v>james.tomazinis@floridadep.gov</v>
      </c>
      <c r="D404" t="str">
        <f ca="1">IFERROR(__xludf.DUMMYFUNCTION("""COMPUTED_VALUE"""),"Stewardship (Aquatic)")</f>
        <v>Stewardship (Aquatic)</v>
      </c>
      <c r="E404" t="str">
        <f ca="1">IFERROR(__xludf.DUMMYFUNCTION("""COMPUTED_VALUE"""),"Vilano")</f>
        <v>Vilano</v>
      </c>
      <c r="F404" s="13">
        <f ca="1">IFERROR(__xludf.DUMMYFUNCTION("""COMPUTED_VALUE"""),0.385416666667879)</f>
        <v>0.38541666666787899</v>
      </c>
      <c r="G404" s="14">
        <f ca="1">IFERROR(__xludf.DUMMYFUNCTION("""COMPUTED_VALUE"""),43762)</f>
        <v>43762</v>
      </c>
      <c r="H404" t="str">
        <f ca="1">IFERROR(__xludf.DUMMYFUNCTION("""COMPUTED_VALUE"""),"Tolomato nekton sites")</f>
        <v>Tolomato nekton sites</v>
      </c>
      <c r="I404" s="15">
        <f ca="1">IFERROR(__xludf.DUMMYFUNCTION("""COMPUTED_VALUE"""),0.666666666667879)</f>
        <v>0.66666666666787899</v>
      </c>
      <c r="J404" s="16"/>
      <c r="K404" t="str">
        <f ca="1">IFERROR(__xludf.DUMMYFUNCTION("""COMPUTED_VALUE"""),"23ft Skiff (Bertha) FL7972LJ DEP07613")</f>
        <v>23ft Skiff (Bertha) FL7972LJ DEP07613</v>
      </c>
      <c r="M404" t="str">
        <f ca="1">IFERROR(__xludf.DUMMYFUNCTION("""COMPUTED_VALUE"""),"Ford F150 2015 (White) - DEP21448")</f>
        <v>Ford F150 2015 (White) - DEP21448</v>
      </c>
      <c r="N404" t="str">
        <f ca="1">IFERROR(__xludf.DUMMYFUNCTION("""COMPUTED_VALUE"""),"Jimmy Tomazinis, (904) 547-0094")</f>
        <v>Jimmy Tomazinis, (904) 547-0094</v>
      </c>
      <c r="O404" t="str">
        <f ca="1">IFERROR(__xludf.DUMMYFUNCTION("""COMPUTED_VALUE"""),"Suzi, Carl, Zach, Alex, Brian")</f>
        <v>Suzi, Carl, Zach, Alex, Brian</v>
      </c>
      <c r="P404" t="str">
        <f ca="1">IFERROR(__xludf.DUMMYFUNCTION("""COMPUTED_VALUE"""),"Jimmy")</f>
        <v>Jimmy</v>
      </c>
      <c r="Q404" t="str">
        <f ca="1">IFERROR(__xludf.DUMMYFUNCTION("""COMPUTED_VALUE"""),"All items in working order")</f>
        <v>All items in working order</v>
      </c>
      <c r="AE404" s="11"/>
      <c r="AF404" t="str">
        <v>Scott.Eastman@floridadep.gov</v>
      </c>
      <c r="AG404" s="17" t="s">
        <v>41</v>
      </c>
      <c r="AH404" s="12">
        <v>1630</v>
      </c>
      <c r="AI404" s="12" t="s">
        <v>1161</v>
      </c>
      <c r="AJ404" s="19" t="s">
        <v>1162</v>
      </c>
      <c r="AK404" s="20" t="str">
        <f>HYPERLINK("https://docs.google.com/document/d/1_FZkLDX6cpRq0sc7kubw9q1L4r-RNeHr1SqbZ9kcYEw/edit?usp=drivesdk","Jimmy Tomazinis - 10/24/2019 9:15 AM")</f>
        <v>Jimmy Tomazinis - 10/24/2019 9:15 AM</v>
      </c>
      <c r="AL404" s="12" t="s">
        <v>1163</v>
      </c>
    </row>
    <row r="405" spans="1:38" ht="12.75">
      <c r="A405" s="10">
        <f ca="1">IFERROR(__xludf.DUMMYFUNCTION("""COMPUTED_VALUE"""),43762.6260196875)</f>
        <v>43762.626019687501</v>
      </c>
      <c r="B405" s="11" t="str">
        <f ca="1">IFERROR(__xludf.DUMMYFUNCTION("""COMPUTED_VALUE"""),"Pam Marcum")</f>
        <v>Pam Marcum</v>
      </c>
      <c r="C405" t="str">
        <f ca="1">IFERROR(__xludf.DUMMYFUNCTION("""COMPUTED_VALUE"""),"pamela.marcum@floridadep.gov")</f>
        <v>pamela.marcum@floridadep.gov</v>
      </c>
      <c r="D405" t="str">
        <f ca="1">IFERROR(__xludf.DUMMYFUNCTION("""COMPUTED_VALUE"""),"Research/Nikki")</f>
        <v>Research/Nikki</v>
      </c>
      <c r="E405" t="str">
        <f ca="1">IFERROR(__xludf.DUMMYFUNCTION("""COMPUTED_VALUE"""),"Faver dykes")</f>
        <v>Faver dykes</v>
      </c>
      <c r="F405" s="13">
        <f ca="1">IFERROR(__xludf.DUMMYFUNCTION("""COMPUTED_VALUE"""),0.604166666667879)</f>
        <v>0.60416666666787899</v>
      </c>
      <c r="G405" s="14">
        <f ca="1">IFERROR(__xludf.DUMMYFUNCTION("""COMPUTED_VALUE"""),43762)</f>
        <v>43762</v>
      </c>
      <c r="H405" t="str">
        <f ca="1">IFERROR(__xludf.DUMMYFUNCTION("""COMPUTED_VALUE"""),"Lower pellicer creek")</f>
        <v>Lower pellicer creek</v>
      </c>
      <c r="I405" s="15">
        <f ca="1">IFERROR(__xludf.DUMMYFUNCTION("""COMPUTED_VALUE"""),0.70833333333212)</f>
        <v>0.70833333333212001</v>
      </c>
      <c r="J405" s="16">
        <f ca="1">IFERROR(__xludf.DUMMYFUNCTION("""COMPUTED_VALUE"""),43762.75)</f>
        <v>43762.75</v>
      </c>
      <c r="K405" t="str">
        <f ca="1">IFERROR(__xludf.DUMMYFUNCTION("""COMPUTED_VALUE"""),"17ft Skiff (Marsha) FL0642GW DEP07239")</f>
        <v>17ft Skiff (Marsha) FL0642GW DEP07239</v>
      </c>
      <c r="M405" t="str">
        <f ca="1">IFERROR(__xludf.DUMMYFUNCTION("""COMPUTED_VALUE"""),"Ford F150 2008 (SWMP Thing) - DEP18041")</f>
        <v>Ford F150 2008 (SWMP Thing) - DEP18041</v>
      </c>
      <c r="N405" t="str">
        <f ca="1">IFERROR(__xludf.DUMMYFUNCTION("""COMPUTED_VALUE"""),"Pam Marcum, (480) 332-5414")</f>
        <v>Pam Marcum, (480) 332-5414</v>
      </c>
      <c r="O405" t="str">
        <f ca="1">IFERROR(__xludf.DUMMYFUNCTION("""COMPUTED_VALUE"""),"Alee Knoell, (619) 750-4833, Summer Manestar")</f>
        <v>Alee Knoell, (619) 750-4833, Summer Manestar</v>
      </c>
      <c r="P405" t="str">
        <f ca="1">IFERROR(__xludf.DUMMYFUNCTION("""COMPUTED_VALUE"""),"Pam")</f>
        <v>Pam</v>
      </c>
      <c r="Q405" t="str">
        <f ca="1">IFERROR(__xludf.DUMMYFUNCTION("""COMPUTED_VALUE"""),"All items in working order")</f>
        <v>All items in working order</v>
      </c>
      <c r="AE405" s="11"/>
      <c r="AF405" t="str">
        <v>Nikki.Dix@floridadep.gov</v>
      </c>
      <c r="AG405" s="17" t="s">
        <v>41</v>
      </c>
      <c r="AH405" s="12">
        <v>1815</v>
      </c>
      <c r="AI405" s="12" t="s">
        <v>1164</v>
      </c>
      <c r="AJ405" s="19" t="s">
        <v>1165</v>
      </c>
      <c r="AK405" s="20" t="str">
        <f>HYPERLINK("https://docs.google.com/document/d/1tSD6e648rzgMuzDP9hhqwOSc2wFY4LzC4gX0xMLr3mM/edit?usp=drivesdk","Pam Marcum - 10/24/2019 2:30 PM")</f>
        <v>Pam Marcum - 10/24/2019 2:30 PM</v>
      </c>
      <c r="AL405" s="12" t="s">
        <v>1166</v>
      </c>
    </row>
    <row r="406" spans="1:38" ht="12.75">
      <c r="A406" s="10">
        <f ca="1">IFERROR(__xludf.DUMMYFUNCTION("""COMPUTED_VALUE"""),43767.3258060763)</f>
        <v>43767.325806076296</v>
      </c>
      <c r="B406" s="11" t="str">
        <f ca="1">IFERROR(__xludf.DUMMYFUNCTION("""COMPUTED_VALUE"""),"Pam Marcum")</f>
        <v>Pam Marcum</v>
      </c>
      <c r="C406" t="str">
        <f ca="1">IFERROR(__xludf.DUMMYFUNCTION("""COMPUTED_VALUE"""),"pamela.marcum@floridadep.gov")</f>
        <v>pamela.marcum@floridadep.gov</v>
      </c>
      <c r="D406" t="str">
        <f ca="1">IFERROR(__xludf.DUMMYFUNCTION("""COMPUTED_VALUE"""),"Research/Nikki")</f>
        <v>Research/Nikki</v>
      </c>
      <c r="E406" t="str">
        <f ca="1">IFERROR(__xludf.DUMMYFUNCTION("""COMPUTED_VALUE"""),"Faver Dukes")</f>
        <v>Faver Dukes</v>
      </c>
      <c r="F406" s="13">
        <f ca="1">IFERROR(__xludf.DUMMYFUNCTION("""COMPUTED_VALUE"""),0.322916666667879)</f>
        <v>0.32291666666787899</v>
      </c>
      <c r="G406" s="14">
        <f ca="1">IFERROR(__xludf.DUMMYFUNCTION("""COMPUTED_VALUE"""),43767)</f>
        <v>43767</v>
      </c>
      <c r="H406" t="str">
        <f ca="1">IFERROR(__xludf.DUMMYFUNCTION("""COMPUTED_VALUE"""),"Pellicer Creek mouth")</f>
        <v>Pellicer Creek mouth</v>
      </c>
      <c r="I406" s="15">
        <f ca="1">IFERROR(__xludf.DUMMYFUNCTION("""COMPUTED_VALUE"""),0.5)</f>
        <v>0.5</v>
      </c>
      <c r="J406" s="16">
        <f ca="1">IFERROR(__xludf.DUMMYFUNCTION("""COMPUTED_VALUE"""),43767.5416666666)</f>
        <v>43767.541666666599</v>
      </c>
      <c r="K406" t="str">
        <f ca="1">IFERROR(__xludf.DUMMYFUNCTION("""COMPUTED_VALUE"""),"17ft Skiff (Marsha) FL0642GW DEP07239")</f>
        <v>17ft Skiff (Marsha) FL0642GW DEP07239</v>
      </c>
      <c r="M406" t="str">
        <f ca="1">IFERROR(__xludf.DUMMYFUNCTION("""COMPUTED_VALUE"""),"Ford F150 2015 (White) - DEP21448")</f>
        <v>Ford F150 2015 (White) - DEP21448</v>
      </c>
      <c r="N406" t="str">
        <f ca="1">IFERROR(__xludf.DUMMYFUNCTION("""COMPUTED_VALUE"""),"Pam Marcum, (480) 332-5414")</f>
        <v>Pam Marcum, (480) 332-5414</v>
      </c>
      <c r="O406" t="str">
        <f ca="1">IFERROR(__xludf.DUMMYFUNCTION("""COMPUTED_VALUE"""),"Jeff Finnan")</f>
        <v>Jeff Finnan</v>
      </c>
      <c r="P406" t="str">
        <f ca="1">IFERROR(__xludf.DUMMYFUNCTION("""COMPUTED_VALUE"""),"Pam")</f>
        <v>Pam</v>
      </c>
      <c r="Q406" t="str">
        <f ca="1">IFERROR(__xludf.DUMMYFUNCTION("""COMPUTED_VALUE"""),"All items in working order")</f>
        <v>All items in working order</v>
      </c>
      <c r="AE406" s="11"/>
      <c r="AF406" t="str">
        <v>Nikki.Dix@floridadep.gov</v>
      </c>
      <c r="AG406" s="17" t="s">
        <v>17</v>
      </c>
      <c r="AH406" s="12">
        <v>1015</v>
      </c>
      <c r="AI406" s="12" t="s">
        <v>1167</v>
      </c>
      <c r="AJ406" s="19" t="s">
        <v>1168</v>
      </c>
      <c r="AK406" s="20" t="str">
        <f>HYPERLINK("https://docs.google.com/document/d/1W0MUnKo0pddoDkyInqukilZfM2lV6gT-z8ANRIvhfzc/edit?usp=drivesdk","Pam Marcum - 10/29/2019 7:45 AM")</f>
        <v>Pam Marcum - 10/29/2019 7:45 AM</v>
      </c>
      <c r="AL406" s="12" t="s">
        <v>1169</v>
      </c>
    </row>
    <row r="407" spans="1:38" ht="12.75">
      <c r="A407" s="10">
        <f ca="1">IFERROR(__xludf.DUMMYFUNCTION("""COMPUTED_VALUE"""),43767.3392833564)</f>
        <v>43767.339283356399</v>
      </c>
      <c r="B407" s="11" t="str">
        <f ca="1">IFERROR(__xludf.DUMMYFUNCTION("""COMPUTED_VALUE"""),"Silas Tanner")</f>
        <v>Silas Tanner</v>
      </c>
      <c r="C407" t="str">
        <f ca="1">IFERROR(__xludf.DUMMYFUNCTION("""COMPUTED_VALUE"""),"Silas.tanner@Floridadep.gov")</f>
        <v>Silas.tanner@Floridadep.gov</v>
      </c>
      <c r="D407" t="str">
        <f ca="1">IFERROR(__xludf.DUMMYFUNCTION("""COMPUTED_VALUE"""),"Research/Nikki")</f>
        <v>Research/Nikki</v>
      </c>
      <c r="E407" t="str">
        <f ca="1">IFERROR(__xludf.DUMMYFUNCTION("""COMPUTED_VALUE"""),"Crane ramp")</f>
        <v>Crane ramp</v>
      </c>
      <c r="F407" s="13">
        <f ca="1">IFERROR(__xludf.DUMMYFUNCTION("""COMPUTED_VALUE"""),0.354166666667879)</f>
        <v>0.35416666666787899</v>
      </c>
      <c r="G407" s="14">
        <f ca="1">IFERROR(__xludf.DUMMYFUNCTION("""COMPUTED_VALUE"""),43767)</f>
        <v>43767</v>
      </c>
      <c r="H407" t="str">
        <f ca="1">IFERROR(__xludf.DUMMYFUNCTION("""COMPUTED_VALUE"""),"Icw SWMP sites")</f>
        <v>Icw SWMP sites</v>
      </c>
      <c r="I407" s="15">
        <f ca="1">IFERROR(__xludf.DUMMYFUNCTION("""COMPUTED_VALUE"""),0.5625)</f>
        <v>0.5625</v>
      </c>
      <c r="J407" s="16">
        <f ca="1">IFERROR(__xludf.DUMMYFUNCTION("""COMPUTED_VALUE"""),43767.5833333333)</f>
        <v>43767.583333333299</v>
      </c>
      <c r="K407" t="str">
        <f ca="1">IFERROR(__xludf.DUMMYFUNCTION("""COMPUTED_VALUE"""),"23ft Skiff (Bertha) FL7972LJ DEP07613")</f>
        <v>23ft Skiff (Bertha) FL7972LJ DEP07613</v>
      </c>
      <c r="M407" t="str">
        <f ca="1">IFERROR(__xludf.DUMMYFUNCTION("""COMPUTED_VALUE"""),"Ford F250 2017 (Moby Dix) - DEP0021578")</f>
        <v>Ford F250 2017 (Moby Dix) - DEP0021578</v>
      </c>
      <c r="N407" t="str">
        <f ca="1">IFERROR(__xludf.DUMMYFUNCTION("""COMPUTED_VALUE"""),"Silas Tanner, (904) 483-8423, Remo Mondazzi")</f>
        <v>Silas Tanner, (904) 483-8423, Remo Mondazzi</v>
      </c>
      <c r="P407" t="str">
        <f ca="1">IFERROR(__xludf.DUMMYFUNCTION("""COMPUTED_VALUE"""),"S. Tanner")</f>
        <v>S. Tanner</v>
      </c>
      <c r="Q407" t="str">
        <f ca="1">IFERROR(__xludf.DUMMYFUNCTION("""COMPUTED_VALUE"""),"All items in working order")</f>
        <v>All items in working order</v>
      </c>
      <c r="AE407" s="11"/>
      <c r="AF407" t="str">
        <v>Nikki.Dix@floridadep.gov</v>
      </c>
      <c r="AG407" s="17" t="s">
        <v>17</v>
      </c>
      <c r="AH407" s="12">
        <v>1220</v>
      </c>
      <c r="AI407" s="12" t="s">
        <v>1170</v>
      </c>
      <c r="AJ407" s="19" t="s">
        <v>1171</v>
      </c>
      <c r="AK407" s="20" t="str">
        <f>HYPERLINK("https://docs.google.com/document/d/1lEUCZ8jzWthvDEXI6Yb01Db7gioIfBmZbkRci61BKvw/edit?usp=drivesdk","Silas Tanner - 10/29/2019 8:30 AM")</f>
        <v>Silas Tanner - 10/29/2019 8:30 AM</v>
      </c>
      <c r="AL407" s="12" t="s">
        <v>1172</v>
      </c>
    </row>
    <row r="408" spans="1:38" ht="12.75">
      <c r="A408" s="10">
        <f ca="1">IFERROR(__xludf.DUMMYFUNCTION("""COMPUTED_VALUE"""),43768.3448084259)</f>
        <v>43768.3448084259</v>
      </c>
      <c r="B408" s="11" t="str">
        <f ca="1">IFERROR(__xludf.DUMMYFUNCTION("""COMPUTED_VALUE"""),"Alexandria Knoell")</f>
        <v>Alexandria Knoell</v>
      </c>
      <c r="C408" t="str">
        <f ca="1">IFERROR(__xludf.DUMMYFUNCTION("""COMPUTED_VALUE"""),"alee.knoell@floridadep.gov")</f>
        <v>alee.knoell@floridadep.gov</v>
      </c>
      <c r="D408" t="str">
        <f ca="1">IFERROR(__xludf.DUMMYFUNCTION("""COMPUTED_VALUE"""),"Research/Nikki")</f>
        <v>Research/Nikki</v>
      </c>
      <c r="E408" t="str">
        <f ca="1">IFERROR(__xludf.DUMMYFUNCTION("""COMPUTED_VALUE"""),"Pellicer")</f>
        <v>Pellicer</v>
      </c>
      <c r="F408" s="13">
        <f ca="1">IFERROR(__xludf.DUMMYFUNCTION("""COMPUTED_VALUE"""),0.34375)</f>
        <v>0.34375</v>
      </c>
      <c r="G408" s="14">
        <f ca="1">IFERROR(__xludf.DUMMYFUNCTION("""COMPUTED_VALUE"""),43768)</f>
        <v>43768</v>
      </c>
      <c r="H408" t="str">
        <f ca="1">IFERROR(__xludf.DUMMYFUNCTION("""COMPUTED_VALUE"""),"Pellicer")</f>
        <v>Pellicer</v>
      </c>
      <c r="I408" s="15">
        <f ca="1">IFERROR(__xludf.DUMMYFUNCTION("""COMPUTED_VALUE"""),0.5625)</f>
        <v>0.5625</v>
      </c>
      <c r="J408" s="16">
        <f ca="1">IFERROR(__xludf.DUMMYFUNCTION("""COMPUTED_VALUE"""),43768.625)</f>
        <v>43768.625</v>
      </c>
      <c r="K408" t="str">
        <f ca="1">IFERROR(__xludf.DUMMYFUNCTION("""COMPUTED_VALUE"""),"F 20ft Sea Ark (Easy 200) FL8534PY DEP21451")</f>
        <v>F 20ft Sea Ark (Easy 200) FL8534PY DEP21451</v>
      </c>
      <c r="M408" t="str">
        <f ca="1">IFERROR(__xludf.DUMMYFUNCTION("""COMPUTED_VALUE"""),"Ford F150 2015 (White) - DEP21448")</f>
        <v>Ford F150 2015 (White) - DEP21448</v>
      </c>
      <c r="N408" t="str">
        <f ca="1">IFERROR(__xludf.DUMMYFUNCTION("""COMPUTED_VALUE"""),"Pam Marcum, (480) 332-5414")</f>
        <v>Pam Marcum, (480) 332-5414</v>
      </c>
      <c r="O408" t="str">
        <f ca="1">IFERROR(__xludf.DUMMYFUNCTION("""COMPUTED_VALUE"""),"Alee Knoell, (619) 750-4833, Zack Lepera")</f>
        <v>Alee Knoell, (619) 750-4833, Zack Lepera</v>
      </c>
      <c r="P408" t="str">
        <f ca="1">IFERROR(__xludf.DUMMYFUNCTION("""COMPUTED_VALUE"""),"Pam Marcum")</f>
        <v>Pam Marcum</v>
      </c>
      <c r="Q408" t="str">
        <f ca="1">IFERROR(__xludf.DUMMYFUNCTION("""COMPUTED_VALUE"""),"All items in working order")</f>
        <v>All items in working order</v>
      </c>
      <c r="AE408" s="11"/>
      <c r="AF408" t="str">
        <v>Nikki.Dix@floridadep.gov</v>
      </c>
      <c r="AG408" s="17" t="s">
        <v>444</v>
      </c>
      <c r="AH408" s="12">
        <v>1153</v>
      </c>
      <c r="AI408" s="12" t="s">
        <v>1173</v>
      </c>
      <c r="AJ408" s="19" t="s">
        <v>1174</v>
      </c>
      <c r="AK408" s="20" t="str">
        <f>HYPERLINK("https://docs.google.com/document/d/1h83vbiy0qIUMEJu9na-S6xILq_JKNVe8nRk6se4XBmI/edit?usp=drivesdk","Alexandria Knoell - 10/30/2019 8:15 AM")</f>
        <v>Alexandria Knoell - 10/30/2019 8:15 AM</v>
      </c>
      <c r="AL408" s="12" t="s">
        <v>1175</v>
      </c>
    </row>
    <row r="409" spans="1:38" ht="12.75">
      <c r="A409" s="10">
        <f ca="1">IFERROR(__xludf.DUMMYFUNCTION("""COMPUTED_VALUE"""),43768.3741718981)</f>
        <v>43768.374171898096</v>
      </c>
      <c r="B409" s="11" t="str">
        <f ca="1">IFERROR(__xludf.DUMMYFUNCTION("""COMPUTED_VALUE"""),"Jimmy Tomazinis")</f>
        <v>Jimmy Tomazinis</v>
      </c>
      <c r="C409" t="str">
        <f ca="1">IFERROR(__xludf.DUMMYFUNCTION("""COMPUTED_VALUE"""),"james.tomazinis@floridadep.gov")</f>
        <v>james.tomazinis@floridadep.gov</v>
      </c>
      <c r="D409" t="str">
        <f ca="1">IFERROR(__xludf.DUMMYFUNCTION("""COMPUTED_VALUE"""),"Stewardship (Aquatic)")</f>
        <v>Stewardship (Aquatic)</v>
      </c>
      <c r="E409" t="str">
        <f ca="1">IFERROR(__xludf.DUMMYFUNCTION("""COMPUTED_VALUE"""),"Vilano")</f>
        <v>Vilano</v>
      </c>
      <c r="F409" s="13">
        <f ca="1">IFERROR(__xludf.DUMMYFUNCTION("""COMPUTED_VALUE"""),0.385416666667879)</f>
        <v>0.38541666666787899</v>
      </c>
      <c r="G409" s="14">
        <f ca="1">IFERROR(__xludf.DUMMYFUNCTION("""COMPUTED_VALUE"""),43768)</f>
        <v>43768</v>
      </c>
      <c r="H409" t="str">
        <f ca="1">IFERROR(__xludf.DUMMYFUNCTION("""COMPUTED_VALUE"""),"Matanzas Nekton sites")</f>
        <v>Matanzas Nekton sites</v>
      </c>
      <c r="I409" s="15">
        <f ca="1">IFERROR(__xludf.DUMMYFUNCTION("""COMPUTED_VALUE"""),0.666666666667879)</f>
        <v>0.66666666666787899</v>
      </c>
      <c r="J409" s="16"/>
      <c r="K409" t="str">
        <f ca="1">IFERROR(__xludf.DUMMYFUNCTION("""COMPUTED_VALUE"""),"23ft Skiff (Bertha) FL7972LJ DEP07613")</f>
        <v>23ft Skiff (Bertha) FL7972LJ DEP07613</v>
      </c>
      <c r="M409" t="str">
        <f ca="1">IFERROR(__xludf.DUMMYFUNCTION("""COMPUTED_VALUE"""),"Ford F250 2017 (Moby Dix) - DEP0021578")</f>
        <v>Ford F250 2017 (Moby Dix) - DEP0021578</v>
      </c>
      <c r="N409" t="str">
        <f ca="1">IFERROR(__xludf.DUMMYFUNCTION("""COMPUTED_VALUE"""),"Jimmy Tomazinis, (904) 547-0094, Ruben Allen")</f>
        <v>Jimmy Tomazinis, (904) 547-0094, Ruben Allen</v>
      </c>
      <c r="O409" t="str">
        <f ca="1">IFERROR(__xludf.DUMMYFUNCTION("""COMPUTED_VALUE"""),"Suzi, Adrienne, Steve, Scott at some point")</f>
        <v>Suzi, Adrienne, Steve, Scott at some point</v>
      </c>
      <c r="P409" t="str">
        <f ca="1">IFERROR(__xludf.DUMMYFUNCTION("""COMPUTED_VALUE"""),"Jimmy")</f>
        <v>Jimmy</v>
      </c>
      <c r="Q409" t="str">
        <f ca="1">IFERROR(__xludf.DUMMYFUNCTION("""COMPUTED_VALUE"""),"All items in working order")</f>
        <v>All items in working order</v>
      </c>
      <c r="AE409" s="11"/>
      <c r="AF409" t="str">
        <v>Scott.Eastman@floridadep.gov</v>
      </c>
      <c r="AG409" s="18"/>
      <c r="AI409" s="12" t="s">
        <v>1176</v>
      </c>
      <c r="AJ409" s="19" t="s">
        <v>1177</v>
      </c>
      <c r="AK409" s="20" t="str">
        <f>HYPERLINK("https://docs.google.com/document/d/15j64OI3l-9JOaYM-CSUcSma3Xa3KxC0IETHE3a7jyMY/edit?usp=drivesdk","Jimmy Tomazinis - 10/30/2019 9:15 AM")</f>
        <v>Jimmy Tomazinis - 10/30/2019 9:15 AM</v>
      </c>
      <c r="AL409" s="12" t="s">
        <v>1178</v>
      </c>
    </row>
    <row r="410" spans="1:38" ht="12.75">
      <c r="A410" s="10">
        <f ca="1">IFERROR(__xludf.DUMMYFUNCTION("""COMPUTED_VALUE"""),43768.6949684259)</f>
        <v>43768.694968425902</v>
      </c>
      <c r="B410" s="11" t="str">
        <f ca="1">IFERROR(__xludf.DUMMYFUNCTION("""COMPUTED_VALUE"""),"Jimmy Tomazinis")</f>
        <v>Jimmy Tomazinis</v>
      </c>
      <c r="C410" t="str">
        <f ca="1">IFERROR(__xludf.DUMMYFUNCTION("""COMPUTED_VALUE"""),"james.tomazinis@floridadep.gov")</f>
        <v>james.tomazinis@floridadep.gov</v>
      </c>
      <c r="D410" t="str">
        <f ca="1">IFERROR(__xludf.DUMMYFUNCTION("""COMPUTED_VALUE"""),"Stewardship (Aquatic)")</f>
        <v>Stewardship (Aquatic)</v>
      </c>
      <c r="E410" t="str">
        <f ca="1">IFERROR(__xludf.DUMMYFUNCTION("""COMPUTED_VALUE"""),"Bings")</f>
        <v>Bings</v>
      </c>
      <c r="F410" s="13">
        <f ca="1">IFERROR(__xludf.DUMMYFUNCTION("""COMPUTED_VALUE"""),0.416666666667879)</f>
        <v>0.41666666666787899</v>
      </c>
      <c r="G410" s="14">
        <f ca="1">IFERROR(__xludf.DUMMYFUNCTION("""COMPUTED_VALUE"""),43769)</f>
        <v>43769</v>
      </c>
      <c r="H410" t="str">
        <f ca="1">IFERROR(__xludf.DUMMYFUNCTION("""COMPUTED_VALUE"""),"Matanzas nekton sites")</f>
        <v>Matanzas nekton sites</v>
      </c>
      <c r="I410" s="15">
        <f ca="1">IFERROR(__xludf.DUMMYFUNCTION("""COMPUTED_VALUE"""),0.541666666667879)</f>
        <v>0.54166666666787899</v>
      </c>
      <c r="J410" s="16"/>
      <c r="K410" t="str">
        <f ca="1">IFERROR(__xludf.DUMMYFUNCTION("""COMPUTED_VALUE"""),"23ft Skiff (Bertha) FL7972LJ DEP07613")</f>
        <v>23ft Skiff (Bertha) FL7972LJ DEP07613</v>
      </c>
      <c r="M410" t="str">
        <f ca="1">IFERROR(__xludf.DUMMYFUNCTION("""COMPUTED_VALUE"""),"Ford F250 2017 (Moby Dix) - DEP0021578")</f>
        <v>Ford F250 2017 (Moby Dix) - DEP0021578</v>
      </c>
      <c r="N410" t="str">
        <f ca="1">IFERROR(__xludf.DUMMYFUNCTION("""COMPUTED_VALUE"""),"Jimmy Tomazinis, (904) 547-0094")</f>
        <v>Jimmy Tomazinis, (904) 547-0094</v>
      </c>
      <c r="O410" t="str">
        <f ca="1">IFERROR(__xludf.DUMMYFUNCTION("""COMPUTED_VALUE"""),"Scott, Suzi, Adrienne")</f>
        <v>Scott, Suzi, Adrienne</v>
      </c>
      <c r="P410" t="str">
        <f ca="1">IFERROR(__xludf.DUMMYFUNCTION("""COMPUTED_VALUE"""),"Jimmy")</f>
        <v>Jimmy</v>
      </c>
      <c r="Q410" t="str">
        <f ca="1">IFERROR(__xludf.DUMMYFUNCTION("""COMPUTED_VALUE"""),"All items in working order")</f>
        <v>All items in working order</v>
      </c>
      <c r="AE410" s="11"/>
      <c r="AF410" t="str">
        <v>Scott.Eastman@floridadep.gov</v>
      </c>
      <c r="AG410" s="17" t="s">
        <v>58</v>
      </c>
      <c r="AH410" s="12">
        <v>1423</v>
      </c>
      <c r="AI410" s="12" t="s">
        <v>1179</v>
      </c>
      <c r="AJ410" s="19" t="s">
        <v>1180</v>
      </c>
      <c r="AK410" s="20" t="str">
        <f>HYPERLINK("https://docs.google.com/document/d/1BjOP-8VPoeoJ2NRkI-tiC7P49H282nx17wHC2CG2JIc/edit?usp=drivesdk","Jimmy Tomazinis - 10/31/2019 10:00 AM")</f>
        <v>Jimmy Tomazinis - 10/31/2019 10:00 AM</v>
      </c>
      <c r="AL410" s="12" t="s">
        <v>1181</v>
      </c>
    </row>
    <row r="411" spans="1:38" ht="12.75">
      <c r="A411" s="10">
        <f ca="1">IFERROR(__xludf.DUMMYFUNCTION("""COMPUTED_VALUE"""),43769.4022413425)</f>
        <v>43769.402241342497</v>
      </c>
      <c r="B411" s="11" t="str">
        <f ca="1">IFERROR(__xludf.DUMMYFUNCTION("""COMPUTED_VALUE"""),"Pam Marcum")</f>
        <v>Pam Marcum</v>
      </c>
      <c r="C411" t="str">
        <f ca="1">IFERROR(__xludf.DUMMYFUNCTION("""COMPUTED_VALUE"""),"pamela.marcum@floridadep.gov")</f>
        <v>pamela.marcum@floridadep.gov</v>
      </c>
      <c r="D411" t="str">
        <f ca="1">IFERROR(__xludf.DUMMYFUNCTION("""COMPUTED_VALUE"""),"Research/Nikki")</f>
        <v>Research/Nikki</v>
      </c>
      <c r="E411" t="str">
        <f ca="1">IFERROR(__xludf.DUMMYFUNCTION("""COMPUTED_VALUE"""),"Faver dykes")</f>
        <v>Faver dykes</v>
      </c>
      <c r="F411" s="13">
        <f ca="1">IFERROR(__xludf.DUMMYFUNCTION("""COMPUTED_VALUE"""),0.39583333333212)</f>
        <v>0.39583333333212001</v>
      </c>
      <c r="G411" s="14">
        <f ca="1">IFERROR(__xludf.DUMMYFUNCTION("""COMPUTED_VALUE"""),43769)</f>
        <v>43769</v>
      </c>
      <c r="H411" t="str">
        <f ca="1">IFERROR(__xludf.DUMMYFUNCTION("""COMPUTED_VALUE"""),"Pellicer transects")</f>
        <v>Pellicer transects</v>
      </c>
      <c r="I411" s="15">
        <f ca="1">IFERROR(__xludf.DUMMYFUNCTION("""COMPUTED_VALUE"""),0.58333333333212)</f>
        <v>0.58333333333212001</v>
      </c>
      <c r="J411" s="16">
        <f ca="1">IFERROR(__xludf.DUMMYFUNCTION("""COMPUTED_VALUE"""),43769.6458333333)</f>
        <v>43769.645833333299</v>
      </c>
      <c r="K411" t="str">
        <f ca="1">IFERROR(__xludf.DUMMYFUNCTION("""COMPUTED_VALUE"""),"F 20ft Sea Ark (Easy 200) FL8534PY DEP21451")</f>
        <v>F 20ft Sea Ark (Easy 200) FL8534PY DEP21451</v>
      </c>
      <c r="M411" t="str">
        <f ca="1">IFERROR(__xludf.DUMMYFUNCTION("""COMPUTED_VALUE"""),"Ford F150 2015 (White) - DEP21448")</f>
        <v>Ford F150 2015 (White) - DEP21448</v>
      </c>
      <c r="N411" t="str">
        <f ca="1">IFERROR(__xludf.DUMMYFUNCTION("""COMPUTED_VALUE"""),"Pam Marcum, (480) 332-5414")</f>
        <v>Pam Marcum, (480) 332-5414</v>
      </c>
      <c r="O411" t="str">
        <f ca="1">IFERROR(__xludf.DUMMYFUNCTION("""COMPUTED_VALUE"""),"Alee Knoell, (619) 750-4833, Steve Brown")</f>
        <v>Alee Knoell, (619) 750-4833, Steve Brown</v>
      </c>
      <c r="P411" t="str">
        <f ca="1">IFERROR(__xludf.DUMMYFUNCTION("""COMPUTED_VALUE"""),"Pam")</f>
        <v>Pam</v>
      </c>
      <c r="Q411" t="str">
        <f ca="1">IFERROR(__xludf.DUMMYFUNCTION("""COMPUTED_VALUE"""),"All items in working order")</f>
        <v>All items in working order</v>
      </c>
      <c r="AE411" s="11"/>
      <c r="AF411" t="str">
        <v>Nikki.Dix@floridadep.gov</v>
      </c>
      <c r="AG411" s="17" t="s">
        <v>58</v>
      </c>
      <c r="AH411" s="12">
        <v>1320</v>
      </c>
      <c r="AI411" s="12" t="s">
        <v>1182</v>
      </c>
      <c r="AJ411" s="19" t="s">
        <v>1183</v>
      </c>
      <c r="AK411" s="20" t="str">
        <f>HYPERLINK("https://docs.google.com/document/d/1_d5fECny22GGiNZdf1tqjhG5JV1OTtPAjBfXMp_UcRA/edit?usp=drivesdk","Pam Marcum - 10/31/2019 9:30 AM")</f>
        <v>Pam Marcum - 10/31/2019 9:30 AM</v>
      </c>
      <c r="AL411" s="12" t="s">
        <v>1184</v>
      </c>
    </row>
    <row r="412" spans="1:38" ht="12.75">
      <c r="A412" s="10">
        <f ca="1">IFERROR(__xludf.DUMMYFUNCTION("""COMPUTED_VALUE"""),43770.3579817476)</f>
        <v>43770.357981747598</v>
      </c>
      <c r="B412" s="11" t="str">
        <f ca="1">IFERROR(__xludf.DUMMYFUNCTION("""COMPUTED_VALUE"""),"Gabriela Canas")</f>
        <v>Gabriela Canas</v>
      </c>
      <c r="C412" t="str">
        <f ca="1">IFERROR(__xludf.DUMMYFUNCTION("""COMPUTED_VALUE"""),"n00836133@unf.edu")</f>
        <v>n00836133@unf.edu</v>
      </c>
      <c r="D412" t="str">
        <f ca="1">IFERROR(__xludf.DUMMYFUNCTION("""COMPUTED_VALUE"""),"Research/Nikki")</f>
        <v>Research/Nikki</v>
      </c>
      <c r="E412" t="str">
        <f ca="1">IFERROR(__xludf.DUMMYFUNCTION("""COMPUTED_VALUE"""),"Douglas crane")</f>
        <v>Douglas crane</v>
      </c>
      <c r="F412" s="13">
        <f ca="1">IFERROR(__xludf.DUMMYFUNCTION("""COMPUTED_VALUE"""),0.375)</f>
        <v>0.375</v>
      </c>
      <c r="G412" s="14">
        <f ca="1">IFERROR(__xludf.DUMMYFUNCTION("""COMPUTED_VALUE"""),43770)</f>
        <v>43770</v>
      </c>
      <c r="H412" t="str">
        <f ca="1">IFERROR(__xludf.DUMMYFUNCTION("""COMPUTED_VALUE"""),"WETFEET middle site")</f>
        <v>WETFEET middle site</v>
      </c>
      <c r="I412" s="15">
        <f ca="1">IFERROR(__xludf.DUMMYFUNCTION("""COMPUTED_VALUE"""),0.625)</f>
        <v>0.625</v>
      </c>
      <c r="J412" s="16">
        <f ca="1">IFERROR(__xludf.DUMMYFUNCTION("""COMPUTED_VALUE"""),43770.6666666666)</f>
        <v>43770.666666666599</v>
      </c>
      <c r="K412" t="str">
        <f ca="1">IFERROR(__xludf.DUMMYFUNCTION("""COMPUTED_VALUE"""),"23ft Skiff (Bertha) FL7972LJ DEP07613")</f>
        <v>23ft Skiff (Bertha) FL7972LJ DEP07613</v>
      </c>
      <c r="M412" t="str">
        <f ca="1">IFERROR(__xludf.DUMMYFUNCTION("""COMPUTED_VALUE"""),"Ford F250 2017 (Moby Dix) - DEP0021578")</f>
        <v>Ford F250 2017 (Moby Dix) - DEP0021578</v>
      </c>
      <c r="N412" t="str">
        <f ca="1">IFERROR(__xludf.DUMMYFUNCTION("""COMPUTED_VALUE"""),"Pam Marcum, (480) 332-5414")</f>
        <v>Pam Marcum, (480) 332-5414</v>
      </c>
      <c r="O412" t="str">
        <f ca="1">IFERROR(__xludf.DUMMYFUNCTION("""COMPUTED_VALUE"""),"Gabriela Canas, (904) 891-9743")</f>
        <v>Gabriela Canas, (904) 891-9743</v>
      </c>
      <c r="P412" t="str">
        <f ca="1">IFERROR(__xludf.DUMMYFUNCTION("""COMPUTED_VALUE"""),"Pam")</f>
        <v>Pam</v>
      </c>
      <c r="Q412" t="str">
        <f ca="1">IFERROR(__xludf.DUMMYFUNCTION("""COMPUTED_VALUE"""),"All items in working order")</f>
        <v>All items in working order</v>
      </c>
      <c r="AE412" s="11"/>
      <c r="AF412" t="str">
        <v>Nikki.Dix@floridadep.gov</v>
      </c>
      <c r="AG412" s="17" t="s">
        <v>58</v>
      </c>
      <c r="AH412" s="12">
        <v>1230</v>
      </c>
      <c r="AI412" s="12" t="s">
        <v>1185</v>
      </c>
      <c r="AJ412" s="19" t="s">
        <v>1186</v>
      </c>
      <c r="AK412" s="20" t="str">
        <f>HYPERLINK("https://docs.google.com/document/d/1prWMueONgldddFzfRPQ9ygSaRH4jgTMVx9qL2sHIQOE/edit?usp=drivesdk","Gabriela Canas - 11/1/2019 9:00 AM")</f>
        <v>Gabriela Canas - 11/1/2019 9:00 AM</v>
      </c>
      <c r="AL412" s="12" t="s">
        <v>1187</v>
      </c>
    </row>
    <row r="413" spans="1:38" ht="12.75">
      <c r="A413" s="10">
        <f ca="1">IFERROR(__xludf.DUMMYFUNCTION("""COMPUTED_VALUE"""),43772.2947935069)</f>
        <v>43772.294793506902</v>
      </c>
      <c r="B413" s="11" t="str">
        <f ca="1">IFERROR(__xludf.DUMMYFUNCTION("""COMPUTED_VALUE"""),"Ruben Allen")</f>
        <v>Ruben Allen</v>
      </c>
      <c r="C413" t="str">
        <f ca="1">IFERROR(__xludf.DUMMYFUNCTION("""COMPUTED_VALUE"""),"rubeall57@gmail.com")</f>
        <v>rubeall57@gmail.com</v>
      </c>
      <c r="D413" t="str">
        <f ca="1">IFERROR(__xludf.DUMMYFUNCTION("""COMPUTED_VALUE"""),"Administration")</f>
        <v>Administration</v>
      </c>
      <c r="E413" t="str">
        <f ca="1">IFERROR(__xludf.DUMMYFUNCTION("""COMPUTED_VALUE"""),"Vilano")</f>
        <v>Vilano</v>
      </c>
      <c r="F413" s="13">
        <f ca="1">IFERROR(__xludf.DUMMYFUNCTION("""COMPUTED_VALUE"""),0.3125)</f>
        <v>0.3125</v>
      </c>
      <c r="G413" s="14">
        <f ca="1">IFERROR(__xludf.DUMMYFUNCTION("""COMPUTED_VALUE"""),43773)</f>
        <v>43773</v>
      </c>
      <c r="H413" t="str">
        <f ca="1">IFERROR(__xludf.DUMMYFUNCTION("""COMPUTED_VALUE"""),"Spat Run")</f>
        <v>Spat Run</v>
      </c>
      <c r="I413" s="15">
        <f ca="1">IFERROR(__xludf.DUMMYFUNCTION("""COMPUTED_VALUE"""),0.625)</f>
        <v>0.625</v>
      </c>
      <c r="J413" s="16">
        <f ca="1">IFERROR(__xludf.DUMMYFUNCTION("""COMPUTED_VALUE"""),43773.6458333333)</f>
        <v>43773.645833333299</v>
      </c>
      <c r="K413" t="str">
        <f ca="1">IFERROR(__xludf.DUMMYFUNCTION("""COMPUTED_VALUE"""),"F 20ft Sea Ark (Easy 200) FL8534PY DEP21451")</f>
        <v>F 20ft Sea Ark (Easy 200) FL8534PY DEP21451</v>
      </c>
      <c r="M413" t="str">
        <f ca="1">IFERROR(__xludf.DUMMYFUNCTION("""COMPUTED_VALUE"""),"Ford F150 2015 (White) - DEP21448")</f>
        <v>Ford F150 2015 (White) - DEP21448</v>
      </c>
      <c r="N413" t="str">
        <f ca="1">IFERROR(__xludf.DUMMYFUNCTION("""COMPUTED_VALUE"""),"Ruben Allen")</f>
        <v>Ruben Allen</v>
      </c>
      <c r="O413" t="str">
        <f ca="1">IFERROR(__xludf.DUMMYFUNCTION("""COMPUTED_VALUE"""),"Alee Knoell, (619) 750-4833")</f>
        <v>Alee Knoell, (619) 750-4833</v>
      </c>
      <c r="P413" t="str">
        <f ca="1">IFERROR(__xludf.DUMMYFUNCTION("""COMPUTED_VALUE"""),"Ruben Allen")</f>
        <v>Ruben Allen</v>
      </c>
      <c r="Q413" t="str">
        <f ca="1">IFERROR(__xludf.DUMMYFUNCTION("""COMPUTED_VALUE"""),"All items in working order")</f>
        <v>All items in working order</v>
      </c>
      <c r="AD413" t="str">
        <f ca="1">IFERROR(__xludf.DUMMYFUNCTION("""COMPUTED_VALUE"""),"Partly to mostly cloudy")</f>
        <v>Partly to mostly cloudy</v>
      </c>
      <c r="AE413" s="11" t="str">
        <f ca="1">IFERROR(__xludf.DUMMYFUNCTION("""COMPUTED_VALUE"""),"Tides good")</f>
        <v>Tides good</v>
      </c>
      <c r="AF413" t="str">
        <v>Lia.Sansom@floridadep.gov</v>
      </c>
      <c r="AG413" s="18"/>
      <c r="AI413" s="12" t="s">
        <v>1188</v>
      </c>
      <c r="AJ413" s="19" t="s">
        <v>1189</v>
      </c>
      <c r="AK413" s="20" t="str">
        <f>HYPERLINK("https://docs.google.com/document/d/15IRTJxlG3VjfsXhPDtxtYTDiALUXkRoyVsHI6xd9aOE/edit?usp=drivesdk","Ruben Allen - 11/4/2019 7:30 AM")</f>
        <v>Ruben Allen - 11/4/2019 7:30 AM</v>
      </c>
      <c r="AL413" s="12" t="s">
        <v>1190</v>
      </c>
    </row>
    <row r="414" spans="1:38" ht="12.75">
      <c r="A414" s="10">
        <f ca="1">IFERROR(__xludf.DUMMYFUNCTION("""COMPUTED_VALUE"""),43773.3092853703)</f>
        <v>43773.309285370298</v>
      </c>
      <c r="B414" s="11" t="str">
        <f ca="1">IFERROR(__xludf.DUMMYFUNCTION("""COMPUTED_VALUE"""),"Pam Marcum")</f>
        <v>Pam Marcum</v>
      </c>
      <c r="C414" t="str">
        <f ca="1">IFERROR(__xludf.DUMMYFUNCTION("""COMPUTED_VALUE"""),"pamela.marcum@floridadep.gov")</f>
        <v>pamela.marcum@floridadep.gov</v>
      </c>
      <c r="D414" t="str">
        <f ca="1">IFERROR(__xludf.DUMMYFUNCTION("""COMPUTED_VALUE"""),"Administration")</f>
        <v>Administration</v>
      </c>
      <c r="E414" t="str">
        <f ca="1">IFERROR(__xludf.DUMMYFUNCTION("""COMPUTED_VALUE"""),"Aunt Kate's")</f>
        <v>Aunt Kate's</v>
      </c>
      <c r="F414" s="13">
        <f ca="1">IFERROR(__xludf.DUMMYFUNCTION("""COMPUTED_VALUE"""),0.305555555554747)</f>
        <v>0.305555555554747</v>
      </c>
      <c r="G414" s="14">
        <f ca="1">IFERROR(__xludf.DUMMYFUNCTION("""COMPUTED_VALUE"""),43773)</f>
        <v>43773</v>
      </c>
      <c r="H414" t="str">
        <f ca="1">IFERROR(__xludf.DUMMYFUNCTION("""COMPUTED_VALUE"""),"Tolomato and Guana Rivers")</f>
        <v>Tolomato and Guana Rivers</v>
      </c>
      <c r="I414" s="15">
        <f ca="1">IFERROR(__xludf.DUMMYFUNCTION("""COMPUTED_VALUE"""),0.58333333333212)</f>
        <v>0.58333333333212001</v>
      </c>
      <c r="J414" s="16">
        <f ca="1">IFERROR(__xludf.DUMMYFUNCTION("""COMPUTED_VALUE"""),43773.6041666666)</f>
        <v>43773.604166666599</v>
      </c>
      <c r="K414" t="str">
        <f ca="1">IFERROR(__xludf.DUMMYFUNCTION("""COMPUTED_VALUE"""),"23ft Skiff (Bertha) FL7972LJ DEP07613")</f>
        <v>23ft Skiff (Bertha) FL7972LJ DEP07613</v>
      </c>
      <c r="M414" t="str">
        <f ca="1">IFERROR(__xludf.DUMMYFUNCTION("""COMPUTED_VALUE"""),"Ford F250 2017 (Moby Dix) - DEP0021578")</f>
        <v>Ford F250 2017 (Moby Dix) - DEP0021578</v>
      </c>
      <c r="N414" t="str">
        <f ca="1">IFERROR(__xludf.DUMMYFUNCTION("""COMPUTED_VALUE"""),"Pam Marcum, (480) 332-5414")</f>
        <v>Pam Marcum, (480) 332-5414</v>
      </c>
      <c r="O414" t="str">
        <f ca="1">IFERROR(__xludf.DUMMYFUNCTION("""COMPUTED_VALUE"""),"Adrienne Breef-Pilz")</f>
        <v>Adrienne Breef-Pilz</v>
      </c>
      <c r="P414" t="str">
        <f ca="1">IFERROR(__xludf.DUMMYFUNCTION("""COMPUTED_VALUE"""),"Pam")</f>
        <v>Pam</v>
      </c>
      <c r="Q414" t="str">
        <f ca="1">IFERROR(__xludf.DUMMYFUNCTION("""COMPUTED_VALUE"""),"All items in working order")</f>
        <v>All items in working order</v>
      </c>
      <c r="AE414" s="11"/>
      <c r="AF414" t="str">
        <v>Lia.Sansom@floridadep.gov</v>
      </c>
      <c r="AG414" s="17" t="s">
        <v>17</v>
      </c>
      <c r="AH414" s="12">
        <v>1135</v>
      </c>
      <c r="AI414" s="12" t="s">
        <v>1191</v>
      </c>
      <c r="AJ414" s="19" t="s">
        <v>1192</v>
      </c>
      <c r="AK414" s="20" t="str">
        <f>HYPERLINK("https://docs.google.com/document/d/1M7xpibvSmVbgcBf-KshDdhZJdbWlKw_O9smFLdfK_xY/edit?usp=drivesdk","Pam Marcum - 11/4/2019 7:20 AM")</f>
        <v>Pam Marcum - 11/4/2019 7:20 AM</v>
      </c>
      <c r="AL414" s="12" t="s">
        <v>1193</v>
      </c>
    </row>
    <row r="415" spans="1:38" ht="12.75">
      <c r="A415" s="10">
        <f ca="1">IFERROR(__xludf.DUMMYFUNCTION("""COMPUTED_VALUE"""),43773.7043937037)</f>
        <v>43773.704393703701</v>
      </c>
      <c r="B415" s="11" t="str">
        <f ca="1">IFERROR(__xludf.DUMMYFUNCTION("""COMPUTED_VALUE"""),"Jimmy Tomazinis")</f>
        <v>Jimmy Tomazinis</v>
      </c>
      <c r="C415" t="str">
        <f ca="1">IFERROR(__xludf.DUMMYFUNCTION("""COMPUTED_VALUE"""),"james.tomazinis@floridadep.gov")</f>
        <v>james.tomazinis@floridadep.gov</v>
      </c>
      <c r="D415" t="str">
        <f ca="1">IFERROR(__xludf.DUMMYFUNCTION("""COMPUTED_VALUE"""),"Stewardship (Aquatic)")</f>
        <v>Stewardship (Aquatic)</v>
      </c>
      <c r="E415" t="str">
        <f ca="1">IFERROR(__xludf.DUMMYFUNCTION("""COMPUTED_VALUE"""),"Vilano")</f>
        <v>Vilano</v>
      </c>
      <c r="F415" s="13">
        <f ca="1">IFERROR(__xludf.DUMMYFUNCTION("""COMPUTED_VALUE"""),0.385416666667879)</f>
        <v>0.38541666666787899</v>
      </c>
      <c r="G415" s="14">
        <f ca="1">IFERROR(__xludf.DUMMYFUNCTION("""COMPUTED_VALUE"""),43774)</f>
        <v>43774</v>
      </c>
      <c r="H415" t="str">
        <f ca="1">IFERROR(__xludf.DUMMYFUNCTION("""COMPUTED_VALUE"""),"Tolomato Nekton")</f>
        <v>Tolomato Nekton</v>
      </c>
      <c r="I415" s="15">
        <f ca="1">IFERROR(__xludf.DUMMYFUNCTION("""COMPUTED_VALUE"""),0.666666666667879)</f>
        <v>0.66666666666787899</v>
      </c>
      <c r="J415" s="16"/>
      <c r="K415" t="str">
        <f ca="1">IFERROR(__xludf.DUMMYFUNCTION("""COMPUTED_VALUE"""),"23ft Skiff (Bertha) FL7972LJ DEP07613")</f>
        <v>23ft Skiff (Bertha) FL7972LJ DEP07613</v>
      </c>
      <c r="M415" t="str">
        <f ca="1">IFERROR(__xludf.DUMMYFUNCTION("""COMPUTED_VALUE"""),"Ford F150 2015 (White) - DEP21448")</f>
        <v>Ford F150 2015 (White) - DEP21448</v>
      </c>
      <c r="N415" t="str">
        <f ca="1">IFERROR(__xludf.DUMMYFUNCTION("""COMPUTED_VALUE"""),"Jimmy Tomazinis, (904) 547-0094")</f>
        <v>Jimmy Tomazinis, (904) 547-0094</v>
      </c>
      <c r="O415" t="str">
        <f ca="1">IFERROR(__xludf.DUMMYFUNCTION("""COMPUTED_VALUE"""),"Suzi, Carl, Jeff, Pam")</f>
        <v>Suzi, Carl, Jeff, Pam</v>
      </c>
      <c r="P415" t="str">
        <f ca="1">IFERROR(__xludf.DUMMYFUNCTION("""COMPUTED_VALUE"""),"Jimmy")</f>
        <v>Jimmy</v>
      </c>
      <c r="Q415" t="str">
        <f ca="1">IFERROR(__xludf.DUMMYFUNCTION("""COMPUTED_VALUE"""),"All items in working order")</f>
        <v>All items in working order</v>
      </c>
      <c r="AE415" s="11"/>
      <c r="AF415" t="str">
        <v>Scott.Eastman@floridadep.gov</v>
      </c>
      <c r="AG415" s="17" t="s">
        <v>17</v>
      </c>
      <c r="AH415" s="12">
        <v>1616</v>
      </c>
      <c r="AI415" s="12" t="s">
        <v>1194</v>
      </c>
      <c r="AJ415" s="19" t="s">
        <v>1195</v>
      </c>
      <c r="AK415" s="20" t="str">
        <f>HYPERLINK("https://docs.google.com/document/d/1CRc4j6HLo0xqlKMTTNdvh8YrHb0mUQt_MH11cR4wB04/edit?usp=drivesdk","Jimmy Tomazinis - 11/5/2019 9:15 AM")</f>
        <v>Jimmy Tomazinis - 11/5/2019 9:15 AM</v>
      </c>
      <c r="AL415" s="12" t="s">
        <v>1196</v>
      </c>
    </row>
    <row r="416" spans="1:38" ht="12.75">
      <c r="A416" s="10">
        <f ca="1">IFERROR(__xludf.DUMMYFUNCTION("""COMPUTED_VALUE"""),43774.3451016203)</f>
        <v>43774.345101620303</v>
      </c>
      <c r="B416" s="11" t="str">
        <f ca="1">IFERROR(__xludf.DUMMYFUNCTION("""COMPUTED_VALUE"""),"Pam Marcum")</f>
        <v>Pam Marcum</v>
      </c>
      <c r="C416" t="str">
        <f ca="1">IFERROR(__xludf.DUMMYFUNCTION("""COMPUTED_VALUE"""),"Pamela.Marcum@FloridaDEP.gov")</f>
        <v>Pamela.Marcum@FloridaDEP.gov</v>
      </c>
      <c r="D416" t="str">
        <f ca="1">IFERROR(__xludf.DUMMYFUNCTION("""COMPUTED_VALUE"""),"Administration")</f>
        <v>Administration</v>
      </c>
      <c r="E416" t="str">
        <f ca="1">IFERROR(__xludf.DUMMYFUNCTION("""COMPUTED_VALUE"""),"Shore Drive")</f>
        <v>Shore Drive</v>
      </c>
      <c r="F416" s="13">
        <f ca="1">IFERROR(__xludf.DUMMYFUNCTION("""COMPUTED_VALUE"""),0.375)</f>
        <v>0.375</v>
      </c>
      <c r="G416" s="14">
        <f ca="1">IFERROR(__xludf.DUMMYFUNCTION("""COMPUTED_VALUE"""),43774)</f>
        <v>43774</v>
      </c>
      <c r="H416" t="str">
        <f ca="1">IFERROR(__xludf.DUMMYFUNCTION("""COMPUTED_VALUE"""),"312 Bridge")</f>
        <v>312 Bridge</v>
      </c>
      <c r="I416" s="15">
        <f ca="1">IFERROR(__xludf.DUMMYFUNCTION("""COMPUTED_VALUE"""),0.39583333333212)</f>
        <v>0.39583333333212001</v>
      </c>
      <c r="J416" s="16">
        <f ca="1">IFERROR(__xludf.DUMMYFUNCTION("""COMPUTED_VALUE"""),43774.4166666666)</f>
        <v>43774.416666666599</v>
      </c>
      <c r="K416" t="str">
        <f ca="1">IFERROR(__xludf.DUMMYFUNCTION("""COMPUTED_VALUE"""),"Jon Boat FL FL5992RR DEP21634")</f>
        <v>Jon Boat FL FL5992RR DEP21634</v>
      </c>
      <c r="M416" t="str">
        <f ca="1">IFERROR(__xludf.DUMMYFUNCTION("""COMPUTED_VALUE"""),"Ford F150 2008 (SWMP Thing) - DEP18041")</f>
        <v>Ford F150 2008 (SWMP Thing) - DEP18041</v>
      </c>
      <c r="N416" t="str">
        <f ca="1">IFERROR(__xludf.DUMMYFUNCTION("""COMPUTED_VALUE"""),"Pam Marcum, (480) 332-5414")</f>
        <v>Pam Marcum, (480) 332-5414</v>
      </c>
      <c r="O416" t="str">
        <f ca="1">IFERROR(__xludf.DUMMYFUNCTION("""COMPUTED_VALUE"""),"Alee Knoell, (619) 750-4833")</f>
        <v>Alee Knoell, (619) 750-4833</v>
      </c>
      <c r="P416" t="str">
        <f ca="1">IFERROR(__xludf.DUMMYFUNCTION("""COMPUTED_VALUE"""),"Pam")</f>
        <v>Pam</v>
      </c>
      <c r="Q416" t="str">
        <f ca="1">IFERROR(__xludf.DUMMYFUNCTION("""COMPUTED_VALUE"""),"All items in working order")</f>
        <v>All items in working order</v>
      </c>
      <c r="AE416" s="11"/>
      <c r="AF416" t="str">
        <v>Lia.Sansom@floridadep.gov</v>
      </c>
      <c r="AG416" s="17" t="s">
        <v>17</v>
      </c>
      <c r="AH416" s="12">
        <v>955</v>
      </c>
      <c r="AI416" s="12" t="s">
        <v>1197</v>
      </c>
      <c r="AJ416" s="19" t="s">
        <v>1198</v>
      </c>
      <c r="AK416" s="20" t="str">
        <f>HYPERLINK("https://docs.google.com/document/d/18_-rvKQZAj4zj-xu5XIOunNjjc1B25_eNVm9KFoW9Dk/edit?usp=drivesdk","Pam Marcum - 11/5/2019 9:00 AM")</f>
        <v>Pam Marcum - 11/5/2019 9:00 AM</v>
      </c>
      <c r="AL416" s="12" t="s">
        <v>1199</v>
      </c>
    </row>
    <row r="417" spans="1:38" ht="12.75">
      <c r="A417" s="10">
        <f ca="1">IFERROR(__xludf.DUMMYFUNCTION("""COMPUTED_VALUE"""),43775.3986388194)</f>
        <v>43775.398638819403</v>
      </c>
      <c r="B417" s="11" t="str">
        <f ca="1">IFERROR(__xludf.DUMMYFUNCTION("""COMPUTED_VALUE"""),"Jimmy Tomazinis")</f>
        <v>Jimmy Tomazinis</v>
      </c>
      <c r="C417" t="str">
        <f ca="1">IFERROR(__xludf.DUMMYFUNCTION("""COMPUTED_VALUE"""),"james.tomazinis@floridadep.gov")</f>
        <v>james.tomazinis@floridadep.gov</v>
      </c>
      <c r="D417" t="str">
        <f ca="1">IFERROR(__xludf.DUMMYFUNCTION("""COMPUTED_VALUE"""),"Stewardship (Aquatic)")</f>
        <v>Stewardship (Aquatic)</v>
      </c>
      <c r="E417" t="str">
        <f ca="1">IFERROR(__xludf.DUMMYFUNCTION("""COMPUTED_VALUE"""),"Vilano")</f>
        <v>Vilano</v>
      </c>
      <c r="F417" s="13">
        <f ca="1">IFERROR(__xludf.DUMMYFUNCTION("""COMPUTED_VALUE"""),0.39583333333212)</f>
        <v>0.39583333333212001</v>
      </c>
      <c r="G417" s="14">
        <f ca="1">IFERROR(__xludf.DUMMYFUNCTION("""COMPUTED_VALUE"""),43775)</f>
        <v>43775</v>
      </c>
      <c r="H417" t="str">
        <f ca="1">IFERROR(__xludf.DUMMYFUNCTION("""COMPUTED_VALUE"""),"Nekton sites")</f>
        <v>Nekton sites</v>
      </c>
      <c r="I417" s="15">
        <f ca="1">IFERROR(__xludf.DUMMYFUNCTION("""COMPUTED_VALUE"""),0.666666666667879)</f>
        <v>0.66666666666787899</v>
      </c>
      <c r="J417" s="16"/>
      <c r="K417" t="str">
        <f ca="1">IFERROR(__xludf.DUMMYFUNCTION("""COMPUTED_VALUE"""),"23ft Skiff (Bertha) FL7972LJ DEP07613")</f>
        <v>23ft Skiff (Bertha) FL7972LJ DEP07613</v>
      </c>
      <c r="M417" t="str">
        <f ca="1">IFERROR(__xludf.DUMMYFUNCTION("""COMPUTED_VALUE"""),"Ford F150 2015 (White) - DEP21448")</f>
        <v>Ford F150 2015 (White) - DEP21448</v>
      </c>
      <c r="N417" t="str">
        <f ca="1">IFERROR(__xludf.DUMMYFUNCTION("""COMPUTED_VALUE"""),"Jimmy Tomazinis, (904) 547-0094")</f>
        <v>Jimmy Tomazinis, (904) 547-0094</v>
      </c>
      <c r="O417" t="str">
        <f ca="1">IFERROR(__xludf.DUMMYFUNCTION("""COMPUTED_VALUE"""),"Suzi, Guenter, Alex, Jeff")</f>
        <v>Suzi, Guenter, Alex, Jeff</v>
      </c>
      <c r="P417" t="str">
        <f ca="1">IFERROR(__xludf.DUMMYFUNCTION("""COMPUTED_VALUE"""),"Jimmy")</f>
        <v>Jimmy</v>
      </c>
      <c r="Q417" t="str">
        <f ca="1">IFERROR(__xludf.DUMMYFUNCTION("""COMPUTED_VALUE"""),"All items in working order")</f>
        <v>All items in working order</v>
      </c>
      <c r="AE417" s="11"/>
      <c r="AF417" t="str">
        <v>Scott.Eastman@floridadep.gov</v>
      </c>
      <c r="AG417" s="17" t="s">
        <v>17</v>
      </c>
      <c r="AH417" s="12">
        <v>1600</v>
      </c>
      <c r="AI417" s="12" t="s">
        <v>1200</v>
      </c>
      <c r="AJ417" s="19" t="s">
        <v>1201</v>
      </c>
      <c r="AK417" s="20" t="str">
        <f>HYPERLINK("https://docs.google.com/document/d/1hRHCgSxbnv7hu6DeHUy5JI5pBcEgXO0l_jaGUl_e9dU/edit?usp=drivesdk","Jimmy Tomazinis - 11/6/2019 9:30 AM")</f>
        <v>Jimmy Tomazinis - 11/6/2019 9:30 AM</v>
      </c>
      <c r="AL417" s="12" t="s">
        <v>1202</v>
      </c>
    </row>
    <row r="418" spans="1:38" ht="12.75">
      <c r="A418" s="10">
        <f ca="1">IFERROR(__xludf.DUMMYFUNCTION("""COMPUTED_VALUE"""),43776.3551572337)</f>
        <v>43776.355157233702</v>
      </c>
      <c r="B418" s="11" t="str">
        <f ca="1">IFERROR(__xludf.DUMMYFUNCTION("""COMPUTED_VALUE"""),"Jimmy Tomazinis")</f>
        <v>Jimmy Tomazinis</v>
      </c>
      <c r="C418" t="str">
        <f ca="1">IFERROR(__xludf.DUMMYFUNCTION("""COMPUTED_VALUE"""),"james.tomazinis@floridadep.gov")</f>
        <v>james.tomazinis@floridadep.gov</v>
      </c>
      <c r="D418" t="str">
        <f ca="1">IFERROR(__xludf.DUMMYFUNCTION("""COMPUTED_VALUE"""),"Stewardship (Aquatic)")</f>
        <v>Stewardship (Aquatic)</v>
      </c>
      <c r="E418" t="str">
        <f ca="1">IFERROR(__xludf.DUMMYFUNCTION("""COMPUTED_VALUE"""),"Bings")</f>
        <v>Bings</v>
      </c>
      <c r="F418" s="13">
        <f ca="1">IFERROR(__xludf.DUMMYFUNCTION("""COMPUTED_VALUE"""),0.42708333333212)</f>
        <v>0.42708333333212001</v>
      </c>
      <c r="G418" s="14">
        <f ca="1">IFERROR(__xludf.DUMMYFUNCTION("""COMPUTED_VALUE"""),43776)</f>
        <v>43776</v>
      </c>
      <c r="H418" t="str">
        <f ca="1">IFERROR(__xludf.DUMMYFUNCTION("""COMPUTED_VALUE"""),"Matanzas nekton")</f>
        <v>Matanzas nekton</v>
      </c>
      <c r="I418" s="15">
        <f ca="1">IFERROR(__xludf.DUMMYFUNCTION("""COMPUTED_VALUE"""),0.625)</f>
        <v>0.625</v>
      </c>
      <c r="J418" s="16"/>
      <c r="K418" t="str">
        <f ca="1">IFERROR(__xludf.DUMMYFUNCTION("""COMPUTED_VALUE"""),"23ft Skiff (Bertha) FL7972LJ DEP07613")</f>
        <v>23ft Skiff (Bertha) FL7972LJ DEP07613</v>
      </c>
      <c r="M418" t="str">
        <f ca="1">IFERROR(__xludf.DUMMYFUNCTION("""COMPUTED_VALUE"""),"Ford F150 2015 (White) - DEP21448")</f>
        <v>Ford F150 2015 (White) - DEP21448</v>
      </c>
      <c r="N418" t="str">
        <f ca="1">IFERROR(__xludf.DUMMYFUNCTION("""COMPUTED_VALUE"""),"Pam Marcum, (480) 332-5414, Jimmy Tomazinis, (904) 547-0094")</f>
        <v>Pam Marcum, (480) 332-5414, Jimmy Tomazinis, (904) 547-0094</v>
      </c>
      <c r="O418" t="str">
        <f ca="1">IFERROR(__xludf.DUMMYFUNCTION("""COMPUTED_VALUE"""),"Suzi, Alicia, Jackie, Diane, Alex")</f>
        <v>Suzi, Alicia, Jackie, Diane, Alex</v>
      </c>
      <c r="P418" t="str">
        <f ca="1">IFERROR(__xludf.DUMMYFUNCTION("""COMPUTED_VALUE"""),"Jimmy")</f>
        <v>Jimmy</v>
      </c>
      <c r="Q418" t="str">
        <f ca="1">IFERROR(__xludf.DUMMYFUNCTION("""COMPUTED_VALUE"""),"All items in working order")</f>
        <v>All items in working order</v>
      </c>
      <c r="AE418" s="11"/>
      <c r="AF418" t="str">
        <v>Scott.Eastman@floridadep.gov</v>
      </c>
      <c r="AG418" s="17" t="s">
        <v>126</v>
      </c>
      <c r="AH418" s="12">
        <v>1535</v>
      </c>
      <c r="AI418" s="12" t="s">
        <v>1203</v>
      </c>
      <c r="AJ418" s="19" t="s">
        <v>1204</v>
      </c>
      <c r="AK418" s="20" t="str">
        <f>HYPERLINK("https://docs.google.com/document/d/1Sf_4ILjN5K-5V3F6cTF8vBnLuPZyBmGl95mM0XiRX78/edit?usp=drivesdk","Jimmy Tomazinis - 11/7/2019 10:15 AM")</f>
        <v>Jimmy Tomazinis - 11/7/2019 10:15 AM</v>
      </c>
      <c r="AL418" s="12" t="s">
        <v>1205</v>
      </c>
    </row>
    <row r="419" spans="1:38" ht="12.75">
      <c r="A419" s="10">
        <f ca="1">IFERROR(__xludf.DUMMYFUNCTION("""COMPUTED_VALUE"""),43781.3072086805)</f>
        <v>43781.307208680497</v>
      </c>
      <c r="B419" s="11" t="str">
        <f ca="1">IFERROR(__xludf.DUMMYFUNCTION("""COMPUTED_VALUE"""),"Silas Tanner")</f>
        <v>Silas Tanner</v>
      </c>
      <c r="C419" t="str">
        <f ca="1">IFERROR(__xludf.DUMMYFUNCTION("""COMPUTED_VALUE"""),"silas.tanner@floridadep.gov")</f>
        <v>silas.tanner@floridadep.gov</v>
      </c>
      <c r="D419" t="str">
        <f ca="1">IFERROR(__xludf.DUMMYFUNCTION("""COMPUTED_VALUE"""),"Research/Nikki")</f>
        <v>Research/Nikki</v>
      </c>
      <c r="E419" t="str">
        <f ca="1">IFERROR(__xludf.DUMMYFUNCTION("""COMPUTED_VALUE"""),"Vilano Landing")</f>
        <v>Vilano Landing</v>
      </c>
      <c r="F419" s="13">
        <f ca="1">IFERROR(__xludf.DUMMYFUNCTION("""COMPUTED_VALUE"""),0.34375)</f>
        <v>0.34375</v>
      </c>
      <c r="G419" s="14">
        <f ca="1">IFERROR(__xludf.DUMMYFUNCTION("""COMPUTED_VALUE"""),43781)</f>
        <v>43781</v>
      </c>
      <c r="H419" t="str">
        <f ca="1">IFERROR(__xludf.DUMMYFUNCTION("""COMPUTED_VALUE"""),"ICW SWMP sites")</f>
        <v>ICW SWMP sites</v>
      </c>
      <c r="I419" s="15">
        <f ca="1">IFERROR(__xludf.DUMMYFUNCTION("""COMPUTED_VALUE"""),0.5625)</f>
        <v>0.5625</v>
      </c>
      <c r="J419" s="16">
        <f ca="1">IFERROR(__xludf.DUMMYFUNCTION("""COMPUTED_VALUE"""),43781.5833333333)</f>
        <v>43781.583333333299</v>
      </c>
      <c r="K419" t="str">
        <f ca="1">IFERROR(__xludf.DUMMYFUNCTION("""COMPUTED_VALUE"""),"23ft Skiff (Bertha) FL7972LJ DEP07613")</f>
        <v>23ft Skiff (Bertha) FL7972LJ DEP07613</v>
      </c>
      <c r="M419" t="str">
        <f ca="1">IFERROR(__xludf.DUMMYFUNCTION("""COMPUTED_VALUE"""),"Ford F150 2015 (White) - DEP21448")</f>
        <v>Ford F150 2015 (White) - DEP21448</v>
      </c>
      <c r="N419" t="str">
        <f ca="1">IFERROR(__xludf.DUMMYFUNCTION("""COMPUTED_VALUE"""),"Silas Tanner, (904) 483-8423")</f>
        <v>Silas Tanner, (904) 483-8423</v>
      </c>
      <c r="O419" t="str">
        <f ca="1">IFERROR(__xludf.DUMMYFUNCTION("""COMPUTED_VALUE"""),"Alee Knoell, (619) 750-4833, Jeff Finnan")</f>
        <v>Alee Knoell, (619) 750-4833, Jeff Finnan</v>
      </c>
      <c r="P419" t="str">
        <f ca="1">IFERROR(__xludf.DUMMYFUNCTION("""COMPUTED_VALUE"""),"Silas Tanner")</f>
        <v>Silas Tanner</v>
      </c>
      <c r="Q419" t="str">
        <f ca="1">IFERROR(__xludf.DUMMYFUNCTION("""COMPUTED_VALUE"""),"All items in working order")</f>
        <v>All items in working order</v>
      </c>
      <c r="AE419" s="11"/>
      <c r="AF419" t="str">
        <v>Nikki.Dix@floridadep.gov</v>
      </c>
      <c r="AG419" s="17" t="s">
        <v>17</v>
      </c>
      <c r="AH419" s="12">
        <v>1305</v>
      </c>
      <c r="AI419" s="12" t="s">
        <v>1206</v>
      </c>
      <c r="AJ419" s="19" t="s">
        <v>1207</v>
      </c>
      <c r="AK419" s="20" t="str">
        <f>HYPERLINK("https://docs.google.com/document/d/1TTDgJwN76xiXWyDlFbbKJxZHE_M1_FnRC9jx-Hp0QS4/edit?usp=drivesdk","Silas Tanner - 11/12/2019 8:15 AM")</f>
        <v>Silas Tanner - 11/12/2019 8:15 AM</v>
      </c>
      <c r="AL419" s="12" t="s">
        <v>1208</v>
      </c>
    </row>
    <row r="420" spans="1:38" ht="12.75">
      <c r="A420" s="10">
        <f ca="1">IFERROR(__xludf.DUMMYFUNCTION("""COMPUTED_VALUE"""),43781.3447200463)</f>
        <v>43781.344720046298</v>
      </c>
      <c r="B420" s="11" t="str">
        <f ca="1">IFERROR(__xludf.DUMMYFUNCTION("""COMPUTED_VALUE"""),"Jimmy Tomazinis")</f>
        <v>Jimmy Tomazinis</v>
      </c>
      <c r="C420" t="str">
        <f ca="1">IFERROR(__xludf.DUMMYFUNCTION("""COMPUTED_VALUE"""),"james.tomazinis@floridadep.gov")</f>
        <v>james.tomazinis@floridadep.gov</v>
      </c>
      <c r="D420" t="str">
        <f ca="1">IFERROR(__xludf.DUMMYFUNCTION("""COMPUTED_VALUE"""),"Stewardship (Aquatic)")</f>
        <v>Stewardship (Aquatic)</v>
      </c>
      <c r="E420" t="str">
        <f ca="1">IFERROR(__xludf.DUMMYFUNCTION("""COMPUTED_VALUE"""),"Dam")</f>
        <v>Dam</v>
      </c>
      <c r="F420" s="13">
        <f ca="1">IFERROR(__xludf.DUMMYFUNCTION("""COMPUTED_VALUE"""),0.36458333333212)</f>
        <v>0.36458333333212001</v>
      </c>
      <c r="G420" s="14">
        <f ca="1">IFERROR(__xludf.DUMMYFUNCTION("""COMPUTED_VALUE"""),43781)</f>
        <v>43781</v>
      </c>
      <c r="H420" t="str">
        <f ca="1">IFERROR(__xludf.DUMMYFUNCTION("""COMPUTED_VALUE"""),"Guana WQ sites")</f>
        <v>Guana WQ sites</v>
      </c>
      <c r="I420" s="15">
        <f ca="1">IFERROR(__xludf.DUMMYFUNCTION("""COMPUTED_VALUE"""),0.4375)</f>
        <v>0.4375</v>
      </c>
      <c r="J420" s="16"/>
      <c r="K420" t="str">
        <f ca="1">IFERROR(__xludf.DUMMYFUNCTION("""COMPUTED_VALUE"""),"Jon Boat FL0484NP DEP06819")</f>
        <v>Jon Boat FL0484NP DEP06819</v>
      </c>
      <c r="M420" t="str">
        <f ca="1">IFERROR(__xludf.DUMMYFUNCTION("""COMPUTED_VALUE"""),"TBD")</f>
        <v>TBD</v>
      </c>
      <c r="N420" t="str">
        <f ca="1">IFERROR(__xludf.DUMMYFUNCTION("""COMPUTED_VALUE"""),"Jimmy Tomazinis, (904) 547-0094")</f>
        <v>Jimmy Tomazinis, (904) 547-0094</v>
      </c>
      <c r="O420" t="str">
        <f ca="1">IFERROR(__xludf.DUMMYFUNCTION("""COMPUTED_VALUE"""),"Jessica Lee")</f>
        <v>Jessica Lee</v>
      </c>
      <c r="P420" t="str">
        <f ca="1">IFERROR(__xludf.DUMMYFUNCTION("""COMPUTED_VALUE"""),"Jimmy")</f>
        <v>Jimmy</v>
      </c>
      <c r="Q420" t="str">
        <f ca="1">IFERROR(__xludf.DUMMYFUNCTION("""COMPUTED_VALUE"""),"All items in working order")</f>
        <v>All items in working order</v>
      </c>
      <c r="AE420" s="11"/>
      <c r="AF420" t="str">
        <v>Scott.Eastman@floridadep.gov</v>
      </c>
      <c r="AG420" s="17" t="s">
        <v>17</v>
      </c>
      <c r="AH420" s="12">
        <v>1030</v>
      </c>
      <c r="AI420" s="12" t="s">
        <v>1209</v>
      </c>
      <c r="AJ420" s="19" t="s">
        <v>1210</v>
      </c>
      <c r="AK420" s="20" t="str">
        <f>HYPERLINK("https://docs.google.com/document/d/1osvIdgKYUEM3b9J7rEXHR3TOqEWzRRqJwFNEr4ZGZwk/edit?usp=drivesdk","Jimmy Tomazinis - 11/12/2019 8:45 AM")</f>
        <v>Jimmy Tomazinis - 11/12/2019 8:45 AM</v>
      </c>
      <c r="AL420" s="12" t="s">
        <v>1211</v>
      </c>
    </row>
    <row r="421" spans="1:38" ht="12.75">
      <c r="A421" s="10">
        <f ca="1">IFERROR(__xludf.DUMMYFUNCTION("""COMPUTED_VALUE"""),43781.7121816088)</f>
        <v>43781.712181608797</v>
      </c>
      <c r="B421" s="11" t="str">
        <f ca="1">IFERROR(__xludf.DUMMYFUNCTION("""COMPUTED_VALUE"""),"Jimmy Tomazinis")</f>
        <v>Jimmy Tomazinis</v>
      </c>
      <c r="C421" t="str">
        <f ca="1">IFERROR(__xludf.DUMMYFUNCTION("""COMPUTED_VALUE"""),"james.tomazinis@floridadep.gov")</f>
        <v>james.tomazinis@floridadep.gov</v>
      </c>
      <c r="D421" t="str">
        <f ca="1">IFERROR(__xludf.DUMMYFUNCTION("""COMPUTED_VALUE"""),"Stewardship (Aquatic)")</f>
        <v>Stewardship (Aquatic)</v>
      </c>
      <c r="E421" t="str">
        <f ca="1">IFERROR(__xludf.DUMMYFUNCTION("""COMPUTED_VALUE"""),"Dee Dee Bartels and Nassauville")</f>
        <v>Dee Dee Bartels and Nassauville</v>
      </c>
      <c r="F421" s="13">
        <f ca="1">IFERROR(__xludf.DUMMYFUNCTION("""COMPUTED_VALUE"""),0.39583333333212)</f>
        <v>0.39583333333212001</v>
      </c>
      <c r="G421" s="14">
        <f ca="1">IFERROR(__xludf.DUMMYFUNCTION("""COMPUTED_VALUE"""),43782)</f>
        <v>43782</v>
      </c>
      <c r="H421" t="str">
        <f ca="1">IFERROR(__xludf.DUMMYFUNCTION("""COMPUTED_VALUE"""),"NEAP WQ sites")</f>
        <v>NEAP WQ sites</v>
      </c>
      <c r="I421" s="15">
        <f ca="1">IFERROR(__xludf.DUMMYFUNCTION("""COMPUTED_VALUE"""),0.625)</f>
        <v>0.625</v>
      </c>
      <c r="J421" s="16"/>
      <c r="K421" t="str">
        <f ca="1">IFERROR(__xludf.DUMMYFUNCTION("""COMPUTED_VALUE"""),"17ft Skiff (Marsha) FL0642GW DEP07239")</f>
        <v>17ft Skiff (Marsha) FL0642GW DEP07239</v>
      </c>
      <c r="M421" t="str">
        <f ca="1">IFERROR(__xludf.DUMMYFUNCTION("""COMPUTED_VALUE"""),"Ford F150 2015 (White) - DEP21448")</f>
        <v>Ford F150 2015 (White) - DEP21448</v>
      </c>
      <c r="N421" t="str">
        <f ca="1">IFERROR(__xludf.DUMMYFUNCTION("""COMPUTED_VALUE"""),"Scott Eastman, (904) 501-9267, Jimmy Tomazinis, (904) 547-0094")</f>
        <v>Scott Eastman, (904) 501-9267, Jimmy Tomazinis, (904) 547-0094</v>
      </c>
      <c r="P421" t="str">
        <f ca="1">IFERROR(__xludf.DUMMYFUNCTION("""COMPUTED_VALUE"""),"Jimmy")</f>
        <v>Jimmy</v>
      </c>
      <c r="Q421" t="str">
        <f ca="1">IFERROR(__xludf.DUMMYFUNCTION("""COMPUTED_VALUE"""),"All items in working order")</f>
        <v>All items in working order</v>
      </c>
      <c r="AE421" s="11"/>
      <c r="AF421" t="str">
        <v>Scott.Eastman@floridadep.gov</v>
      </c>
      <c r="AG421" s="17" t="s">
        <v>17</v>
      </c>
      <c r="AH421" s="12">
        <v>1030</v>
      </c>
      <c r="AI421" s="12" t="s">
        <v>1212</v>
      </c>
      <c r="AJ421" s="19" t="s">
        <v>1213</v>
      </c>
      <c r="AK421" s="20" t="str">
        <f>HYPERLINK("https://docs.google.com/document/d/1Fqg_cuyQPGZb6fNX36CPl90RsxTwCIBXz0rmsCxC0Bw/edit?usp=drivesdk","Jimmy Tomazinis - 11/13/2019 9:30 AM")</f>
        <v>Jimmy Tomazinis - 11/13/2019 9:30 AM</v>
      </c>
      <c r="AL421" s="12" t="s">
        <v>1214</v>
      </c>
    </row>
    <row r="422" spans="1:38" ht="12.75">
      <c r="A422" s="10">
        <f ca="1">IFERROR(__xludf.DUMMYFUNCTION("""COMPUTED_VALUE"""),43788.5871205092)</f>
        <v>43788.587120509197</v>
      </c>
      <c r="B422" s="11" t="str">
        <f ca="1">IFERROR(__xludf.DUMMYFUNCTION("""COMPUTED_VALUE"""),"Jessica Lee")</f>
        <v>Jessica Lee</v>
      </c>
      <c r="C422" t="str">
        <f ca="1">IFERROR(__xludf.DUMMYFUNCTION("""COMPUTED_VALUE"""),"jmcupp099@gmail.com")</f>
        <v>jmcupp099@gmail.com</v>
      </c>
      <c r="D422" t="str">
        <f ca="1">IFERROR(__xludf.DUMMYFUNCTION("""COMPUTED_VALUE"""),"Research/Nikki")</f>
        <v>Research/Nikki</v>
      </c>
      <c r="E422" t="str">
        <f ca="1">IFERROR(__xludf.DUMMYFUNCTION("""COMPUTED_VALUE"""),"Guana River")</f>
        <v>Guana River</v>
      </c>
      <c r="F422" s="13">
        <f ca="1">IFERROR(__xludf.DUMMYFUNCTION("""COMPUTED_VALUE"""),0.604166666667879)</f>
        <v>0.60416666666787899</v>
      </c>
      <c r="G422" s="14">
        <f ca="1">IFERROR(__xludf.DUMMYFUNCTION("""COMPUTED_VALUE"""),43788)</f>
        <v>43788</v>
      </c>
      <c r="H422" t="str">
        <f ca="1">IFERROR(__xludf.DUMMYFUNCTION("""COMPUTED_VALUE"""),"Guana River")</f>
        <v>Guana River</v>
      </c>
      <c r="I422" s="15">
        <f ca="1">IFERROR(__xludf.DUMMYFUNCTION("""COMPUTED_VALUE"""),0.652777777777373)</f>
        <v>0.652777777777373</v>
      </c>
      <c r="J422" s="16">
        <f ca="1">IFERROR(__xludf.DUMMYFUNCTION("""COMPUTED_VALUE"""),43788.6979166666)</f>
        <v>43788.697916666599</v>
      </c>
      <c r="K422" t="str">
        <f ca="1">IFERROR(__xludf.DUMMYFUNCTION("""COMPUTED_VALUE"""),"Jon Boat FL0484NP DEP06819")</f>
        <v>Jon Boat FL0484NP DEP06819</v>
      </c>
      <c r="M422" t="str">
        <f ca="1">IFERROR(__xludf.DUMMYFUNCTION("""COMPUTED_VALUE"""),"Ford F150 2008 (SWMP Thing) - DEP18041")</f>
        <v>Ford F150 2008 (SWMP Thing) - DEP18041</v>
      </c>
      <c r="N422" t="str">
        <f ca="1">IFERROR(__xludf.DUMMYFUNCTION("""COMPUTED_VALUE"""),"Pam Marcum, (480) 332-5414")</f>
        <v>Pam Marcum, (480) 332-5414</v>
      </c>
      <c r="P422" t="str">
        <f ca="1">IFERROR(__xludf.DUMMYFUNCTION("""COMPUTED_VALUE"""),"Pam")</f>
        <v>Pam</v>
      </c>
      <c r="Q422" t="str">
        <f ca="1">IFERROR(__xludf.DUMMYFUNCTION("""COMPUTED_VALUE"""),"All items in working order")</f>
        <v>All items in working order</v>
      </c>
      <c r="AE422" s="11"/>
      <c r="AF422" t="str">
        <v>Nikki.Dix@floridadep.gov</v>
      </c>
      <c r="AG422" s="18"/>
      <c r="AI422" s="12" t="s">
        <v>1215</v>
      </c>
      <c r="AJ422" s="19" t="s">
        <v>1216</v>
      </c>
      <c r="AK422" s="20" t="str">
        <f>HYPERLINK("https://docs.google.com/document/d/128yGHiKh6RHRa87fgjOY9jOg9ivCVWoJzv7lAX_ujHQ/edit?usp=drivesdk","Jessica Lee - 11/19/2019 2:30 PM")</f>
        <v>Jessica Lee - 11/19/2019 2:30 PM</v>
      </c>
      <c r="AL422" s="12" t="s">
        <v>1217</v>
      </c>
    </row>
    <row r="423" spans="1:38" ht="12.75">
      <c r="A423" s="10">
        <f ca="1">IFERROR(__xludf.DUMMYFUNCTION("""COMPUTED_VALUE"""),43790.5747189814)</f>
        <v>43790.574718981399</v>
      </c>
      <c r="B423" s="11" t="str">
        <f ca="1">IFERROR(__xludf.DUMMYFUNCTION("""COMPUTED_VALUE"""),"Jessica Lee")</f>
        <v>Jessica Lee</v>
      </c>
      <c r="C423" t="str">
        <f ca="1">IFERROR(__xludf.DUMMYFUNCTION("""COMPUTED_VALUE"""),"jmcupp099@gmail.com")</f>
        <v>jmcupp099@gmail.com</v>
      </c>
      <c r="D423" t="str">
        <f ca="1">IFERROR(__xludf.DUMMYFUNCTION("""COMPUTED_VALUE"""),"Research/Pam")</f>
        <v>Research/Pam</v>
      </c>
      <c r="E423" t="str">
        <f ca="1">IFERROR(__xludf.DUMMYFUNCTION("""COMPUTED_VALUE"""),"Six Mile")</f>
        <v>Six Mile</v>
      </c>
      <c r="F423" s="13">
        <f ca="1">IFERROR(__xludf.DUMMYFUNCTION("""COMPUTED_VALUE"""),0.354166666667879)</f>
        <v>0.35416666666787899</v>
      </c>
      <c r="G423" s="14">
        <f ca="1">IFERROR(__xludf.DUMMYFUNCTION("""COMPUTED_VALUE"""),43791)</f>
        <v>43791</v>
      </c>
      <c r="H423" t="str">
        <f ca="1">IFERROR(__xludf.DUMMYFUNCTION("""COMPUTED_VALUE"""),"North Guana Lake")</f>
        <v>North Guana Lake</v>
      </c>
      <c r="I423" s="15">
        <f ca="1">IFERROR(__xludf.DUMMYFUNCTION("""COMPUTED_VALUE"""),0.625)</f>
        <v>0.625</v>
      </c>
      <c r="J423" s="16">
        <f ca="1">IFERROR(__xludf.DUMMYFUNCTION("""COMPUTED_VALUE"""),43791.6458333333)</f>
        <v>43791.645833333299</v>
      </c>
      <c r="K423" t="str">
        <f ca="1">IFERROR(__xludf.DUMMYFUNCTION("""COMPUTED_VALUE"""),"Kayak(s)")</f>
        <v>Kayak(s)</v>
      </c>
      <c r="M423" t="str">
        <f ca="1">IFERROR(__xludf.DUMMYFUNCTION("""COMPUTED_VALUE"""),"Ford F150 2008 (SWMP Thing) - DEP18041")</f>
        <v>Ford F150 2008 (SWMP Thing) - DEP18041</v>
      </c>
      <c r="N423" t="str">
        <f ca="1">IFERROR(__xludf.DUMMYFUNCTION("""COMPUTED_VALUE"""),"Jessica Lee")</f>
        <v>Jessica Lee</v>
      </c>
      <c r="O423" t="str">
        <f ca="1">IFERROR(__xludf.DUMMYFUNCTION("""COMPUTED_VALUE"""),"Bella")</f>
        <v>Bella</v>
      </c>
      <c r="P423" t="str">
        <f ca="1">IFERROR(__xludf.DUMMYFUNCTION("""COMPUTED_VALUE"""),"Jessica Lee")</f>
        <v>Jessica Lee</v>
      </c>
      <c r="Q423" t="str">
        <f ca="1">IFERROR(__xludf.DUMMYFUNCTION("""COMPUTED_VALUE"""),"All items in working order")</f>
        <v>All items in working order</v>
      </c>
      <c r="AE423" s="11"/>
      <c r="AF423" t="str">
        <v>Pamela.Marcum@floridadep.gov</v>
      </c>
      <c r="AG423" s="17" t="s">
        <v>17</v>
      </c>
      <c r="AH423" s="12">
        <v>1405</v>
      </c>
      <c r="AI423" s="12" t="s">
        <v>1218</v>
      </c>
      <c r="AJ423" s="19" t="s">
        <v>1219</v>
      </c>
      <c r="AK423" s="20" t="str">
        <f>HYPERLINK("https://docs.google.com/document/d/17Sljgu1FaFjQKGdaD1c81vRCgs0R4l8zXXHwviylLbc/edit?usp=drivesdk","Jessica Lee - 11/22/2019 8:30 AM")</f>
        <v>Jessica Lee - 11/22/2019 8:30 AM</v>
      </c>
      <c r="AL423" s="12" t="s">
        <v>1220</v>
      </c>
    </row>
    <row r="424" spans="1:38" ht="12.75">
      <c r="A424" s="10">
        <f ca="1">IFERROR(__xludf.DUMMYFUNCTION("""COMPUTED_VALUE"""),43791.5421493634)</f>
        <v>43791.542149363398</v>
      </c>
      <c r="B424" s="11" t="str">
        <f ca="1">IFERROR(__xludf.DUMMYFUNCTION("""COMPUTED_VALUE"""),"Gabriela Canas")</f>
        <v>Gabriela Canas</v>
      </c>
      <c r="C424" t="str">
        <f ca="1">IFERROR(__xludf.DUMMYFUNCTION("""COMPUTED_VALUE"""),"n00836133@unf.edu")</f>
        <v>n00836133@unf.edu</v>
      </c>
      <c r="D424" t="str">
        <f ca="1">IFERROR(__xludf.DUMMYFUNCTION("""COMPUTED_VALUE"""),"Research/Nikki")</f>
        <v>Research/Nikki</v>
      </c>
      <c r="E424" t="str">
        <f ca="1">IFERROR(__xludf.DUMMYFUNCTION("""COMPUTED_VALUE"""),"Douglas crane")</f>
        <v>Douglas crane</v>
      </c>
      <c r="F424" s="13">
        <f ca="1">IFERROR(__xludf.DUMMYFUNCTION("""COMPUTED_VALUE"""),0.5625)</f>
        <v>0.5625</v>
      </c>
      <c r="G424" s="14">
        <f ca="1">IFERROR(__xludf.DUMMYFUNCTION("""COMPUTED_VALUE"""),43791)</f>
        <v>43791</v>
      </c>
      <c r="H424" t="str">
        <f ca="1">IFERROR(__xludf.DUMMYFUNCTION("""COMPUTED_VALUE"""),"WETFEET middle site")</f>
        <v>WETFEET middle site</v>
      </c>
      <c r="I424" s="15">
        <f ca="1">IFERROR(__xludf.DUMMYFUNCTION("""COMPUTED_VALUE"""),0.6875)</f>
        <v>0.6875</v>
      </c>
      <c r="J424" s="16">
        <f ca="1">IFERROR(__xludf.DUMMYFUNCTION("""COMPUTED_VALUE"""),43791.2083333333)</f>
        <v>43791.208333333299</v>
      </c>
      <c r="K424" t="str">
        <f ca="1">IFERROR(__xludf.DUMMYFUNCTION("""COMPUTED_VALUE"""),"20ft Sea Ark FL5351SJ UNF 2015")</f>
        <v>20ft Sea Ark FL5351SJ UNF 2015</v>
      </c>
      <c r="M424" t="str">
        <f ca="1">IFERROR(__xludf.DUMMYFUNCTION("""COMPUTED_VALUE"""),"Ford F150 2015 (White) - DEP21448")</f>
        <v>Ford F150 2015 (White) - DEP21448</v>
      </c>
      <c r="N424" t="str">
        <f ca="1">IFERROR(__xludf.DUMMYFUNCTION("""COMPUTED_VALUE"""),"Pam Marcum, (480) 332-5414")</f>
        <v>Pam Marcum, (480) 332-5414</v>
      </c>
      <c r="O424" t="str">
        <f ca="1">IFERROR(__xludf.DUMMYFUNCTION("""COMPUTED_VALUE"""),"Gabriela Canas, (904) 891-9743")</f>
        <v>Gabriela Canas, (904) 891-9743</v>
      </c>
      <c r="P424" t="str">
        <f ca="1">IFERROR(__xludf.DUMMYFUNCTION("""COMPUTED_VALUE"""),"Pam")</f>
        <v>Pam</v>
      </c>
      <c r="Q424" t="str">
        <f ca="1">IFERROR(__xludf.DUMMYFUNCTION("""COMPUTED_VALUE"""),"All items in working order")</f>
        <v>All items in working order</v>
      </c>
      <c r="AE424" s="11"/>
      <c r="AF424" t="str">
        <v>Nikki.Dix@floridadep.gov</v>
      </c>
      <c r="AG424" s="18"/>
      <c r="AI424" s="12" t="s">
        <v>1221</v>
      </c>
      <c r="AJ424" s="19" t="s">
        <v>1222</v>
      </c>
      <c r="AK424" s="20" t="str">
        <f>HYPERLINK("https://docs.google.com/document/d/1t6d4J_pxyGT889qf1VeYKuL_8J9rkyvXI5kFVzGtp5A/edit?usp=drivesdk","Gabriela Canas - 11/22/2019 1:30 PM")</f>
        <v>Gabriela Canas - 11/22/2019 1:30 PM</v>
      </c>
      <c r="AL424" s="12" t="s">
        <v>1223</v>
      </c>
    </row>
    <row r="425" spans="1:38" ht="12.75">
      <c r="A425" s="10">
        <f ca="1">IFERROR(__xludf.DUMMYFUNCTION("""COMPUTED_VALUE"""),43791.5780676851)</f>
        <v>43791.578067685099</v>
      </c>
      <c r="B425" s="11" t="str">
        <f ca="1">IFERROR(__xludf.DUMMYFUNCTION("""COMPUTED_VALUE"""),"Gabriela Canas")</f>
        <v>Gabriela Canas</v>
      </c>
      <c r="C425" t="str">
        <f ca="1">IFERROR(__xludf.DUMMYFUNCTION("""COMPUTED_VALUE"""),"n00836133@unf.edu")</f>
        <v>n00836133@unf.edu</v>
      </c>
      <c r="D425" t="str">
        <f ca="1">IFERROR(__xludf.DUMMYFUNCTION("""COMPUTED_VALUE"""),"Research/Nikki")</f>
        <v>Research/Nikki</v>
      </c>
      <c r="E425" t="str">
        <f ca="1">IFERROR(__xludf.DUMMYFUNCTION("""COMPUTED_VALUE"""),"Douglas crane")</f>
        <v>Douglas crane</v>
      </c>
      <c r="F425" s="13">
        <f ca="1">IFERROR(__xludf.DUMMYFUNCTION("""COMPUTED_VALUE"""),0.572916666667879)</f>
        <v>0.57291666666787899</v>
      </c>
      <c r="G425" s="14">
        <f ca="1">IFERROR(__xludf.DUMMYFUNCTION("""COMPUTED_VALUE"""),43791)</f>
        <v>43791</v>
      </c>
      <c r="H425" t="str">
        <f ca="1">IFERROR(__xludf.DUMMYFUNCTION("""COMPUTED_VALUE"""),"WETFEET middle")</f>
        <v>WETFEET middle</v>
      </c>
      <c r="I425" s="15">
        <f ca="1">IFERROR(__xludf.DUMMYFUNCTION("""COMPUTED_VALUE"""),0.6875)</f>
        <v>0.6875</v>
      </c>
      <c r="J425" s="16">
        <f ca="1">IFERROR(__xludf.DUMMYFUNCTION("""COMPUTED_VALUE"""),43791.71875)</f>
        <v>43791.71875</v>
      </c>
      <c r="K425" t="str">
        <f ca="1">IFERROR(__xludf.DUMMYFUNCTION("""COMPUTED_VALUE"""),"20ft Sea Ark FL5351SJ UNF 2015")</f>
        <v>20ft Sea Ark FL5351SJ UNF 2015</v>
      </c>
      <c r="M425" t="str">
        <f ca="1">IFERROR(__xludf.DUMMYFUNCTION("""COMPUTED_VALUE"""),"Ford F150 2015 (White) - DEP21448")</f>
        <v>Ford F150 2015 (White) - DEP21448</v>
      </c>
      <c r="N425" t="str">
        <f ca="1">IFERROR(__xludf.DUMMYFUNCTION("""COMPUTED_VALUE"""),"Pam Marcum, (480) 332-5414")</f>
        <v>Pam Marcum, (480) 332-5414</v>
      </c>
      <c r="O425" t="str">
        <f ca="1">IFERROR(__xludf.DUMMYFUNCTION("""COMPUTED_VALUE"""),"Gabriela Canas, (904) 891-9743")</f>
        <v>Gabriela Canas, (904) 891-9743</v>
      </c>
      <c r="P425" t="str">
        <f ca="1">IFERROR(__xludf.DUMMYFUNCTION("""COMPUTED_VALUE"""),"Pam")</f>
        <v>Pam</v>
      </c>
      <c r="Q425" t="str">
        <f ca="1">IFERROR(__xludf.DUMMYFUNCTION("""COMPUTED_VALUE"""),"All items in working order")</f>
        <v>All items in working order</v>
      </c>
      <c r="AE425" s="11"/>
      <c r="AF425" t="str">
        <v>Nikki.Dix@floridadep.gov</v>
      </c>
      <c r="AG425" s="18"/>
      <c r="AI425" s="12" t="s">
        <v>1224</v>
      </c>
      <c r="AJ425" s="19" t="s">
        <v>1225</v>
      </c>
      <c r="AK425" s="20" t="str">
        <f>HYPERLINK("https://docs.google.com/document/d/1ZdD5urJCsgWVyivnfEYQGGfYEd6NlfeS7KymF33zbS8/edit?usp=drivesdk","Gabriela Canas - 11/22/2019 1:45 PM")</f>
        <v>Gabriela Canas - 11/22/2019 1:45 PM</v>
      </c>
      <c r="AL425" s="12" t="s">
        <v>1226</v>
      </c>
    </row>
    <row r="426" spans="1:38" ht="12.75">
      <c r="A426" s="10">
        <f ca="1">IFERROR(__xludf.DUMMYFUNCTION("""COMPUTED_VALUE"""),43794.6603322106)</f>
        <v>43794.660332210602</v>
      </c>
      <c r="B426" s="11" t="str">
        <f ca="1">IFERROR(__xludf.DUMMYFUNCTION("""COMPUTED_VALUE"""),"Jimmy Tomazinis")</f>
        <v>Jimmy Tomazinis</v>
      </c>
      <c r="C426" t="str">
        <f ca="1">IFERROR(__xludf.DUMMYFUNCTION("""COMPUTED_VALUE"""),"james.tomazinis@floridadep.gov")</f>
        <v>james.tomazinis@floridadep.gov</v>
      </c>
      <c r="D426" t="str">
        <f ca="1">IFERROR(__xludf.DUMMYFUNCTION("""COMPUTED_VALUE"""),"Stewardship (Aquatic)")</f>
        <v>Stewardship (Aquatic)</v>
      </c>
      <c r="E426" t="str">
        <f ca="1">IFERROR(__xludf.DUMMYFUNCTION("""COMPUTED_VALUE"""),"Dee Dee Bartels, Nassauville")</f>
        <v>Dee Dee Bartels, Nassauville</v>
      </c>
      <c r="F426" s="13">
        <f ca="1">IFERROR(__xludf.DUMMYFUNCTION("""COMPUTED_VALUE"""),0.375)</f>
        <v>0.375</v>
      </c>
      <c r="G426" s="14">
        <f ca="1">IFERROR(__xludf.DUMMYFUNCTION("""COMPUTED_VALUE"""),43795)</f>
        <v>43795</v>
      </c>
      <c r="H426" t="str">
        <f ca="1">IFERROR(__xludf.DUMMYFUNCTION("""COMPUTED_VALUE"""),"NEAP Nekton sites")</f>
        <v>NEAP Nekton sites</v>
      </c>
      <c r="I426" s="15">
        <f ca="1">IFERROR(__xludf.DUMMYFUNCTION("""COMPUTED_VALUE"""),0.625)</f>
        <v>0.625</v>
      </c>
      <c r="J426" s="16"/>
      <c r="K426" t="str">
        <f ca="1">IFERROR(__xludf.DUMMYFUNCTION("""COMPUTED_VALUE"""),"17ft Skiff (Marsha) FL0642GW DEP07239")</f>
        <v>17ft Skiff (Marsha) FL0642GW DEP07239</v>
      </c>
      <c r="M426" t="str">
        <f ca="1">IFERROR(__xludf.DUMMYFUNCTION("""COMPUTED_VALUE"""),"Ford F150 2015 (White) - DEP21448")</f>
        <v>Ford F150 2015 (White) - DEP21448</v>
      </c>
      <c r="N426" t="str">
        <f ca="1">IFERROR(__xludf.DUMMYFUNCTION("""COMPUTED_VALUE"""),"Jimmy Tomazinis, (904) 547-0094")</f>
        <v>Jimmy Tomazinis, (904) 547-0094</v>
      </c>
      <c r="O426" t="str">
        <f ca="1">IFERROR(__xludf.DUMMYFUNCTION("""COMPUTED_VALUE"""),"Caitlyn Tomazinis")</f>
        <v>Caitlyn Tomazinis</v>
      </c>
      <c r="P426" t="str">
        <f ca="1">IFERROR(__xludf.DUMMYFUNCTION("""COMPUTED_VALUE"""),"Jimmy")</f>
        <v>Jimmy</v>
      </c>
      <c r="Q426" t="str">
        <f ca="1">IFERROR(__xludf.DUMMYFUNCTION("""COMPUTED_VALUE"""),"All items in working order")</f>
        <v>All items in working order</v>
      </c>
      <c r="AE426" s="11"/>
      <c r="AF426" t="str">
        <v>Scott.Eastman@floridadep.gov</v>
      </c>
      <c r="AG426" s="18"/>
      <c r="AI426" s="12" t="s">
        <v>1227</v>
      </c>
      <c r="AJ426" s="19" t="s">
        <v>1228</v>
      </c>
      <c r="AK426" s="20" t="str">
        <f>HYPERLINK("https://docs.google.com/document/d/1lpL-hACJ0SZheqs2xwrGh_IJID2VnoX1qU7kXTxNXF4/edit?usp=drivesdk","Jimmy Tomazinis - 11/26/2019 9:00 AM")</f>
        <v>Jimmy Tomazinis - 11/26/2019 9:00 AM</v>
      </c>
      <c r="AL426" s="12" t="s">
        <v>1229</v>
      </c>
    </row>
    <row r="427" spans="1:38" ht="12.75">
      <c r="A427" s="10">
        <f ca="1">IFERROR(__xludf.DUMMYFUNCTION("""COMPUTED_VALUE"""),43795.3958962615)</f>
        <v>43795.3958962615</v>
      </c>
      <c r="B427" s="11" t="str">
        <f ca="1">IFERROR(__xludf.DUMMYFUNCTION("""COMPUTED_VALUE"""),"Silas Tanner")</f>
        <v>Silas Tanner</v>
      </c>
      <c r="C427" t="str">
        <f ca="1">IFERROR(__xludf.DUMMYFUNCTION("""COMPUTED_VALUE"""),"silas.tanner@floridadep.gov")</f>
        <v>silas.tanner@floridadep.gov</v>
      </c>
      <c r="D427" t="str">
        <f ca="1">IFERROR(__xludf.DUMMYFUNCTION("""COMPUTED_VALUE"""),"Research/Nikki")</f>
        <v>Research/Nikki</v>
      </c>
      <c r="E427" t="str">
        <f ca="1">IFERROR(__xludf.DUMMYFUNCTION("""COMPUTED_VALUE"""),"Crane")</f>
        <v>Crane</v>
      </c>
      <c r="F427" s="13">
        <f ca="1">IFERROR(__xludf.DUMMYFUNCTION("""COMPUTED_VALUE"""),0.40625)</f>
        <v>0.40625</v>
      </c>
      <c r="G427" s="14">
        <f ca="1">IFERROR(__xludf.DUMMYFUNCTION("""COMPUTED_VALUE"""),43795)</f>
        <v>43795</v>
      </c>
      <c r="H427" t="str">
        <f ca="1">IFERROR(__xludf.DUMMYFUNCTION("""COMPUTED_VALUE"""),"ICW SWMP sites")</f>
        <v>ICW SWMP sites</v>
      </c>
      <c r="I427" s="15">
        <f ca="1">IFERROR(__xludf.DUMMYFUNCTION("""COMPUTED_VALUE"""),0.604166666667879)</f>
        <v>0.60416666666787899</v>
      </c>
      <c r="J427" s="16">
        <f ca="1">IFERROR(__xludf.DUMMYFUNCTION("""COMPUTED_VALUE"""),43795.6875)</f>
        <v>43795.6875</v>
      </c>
      <c r="K427" t="str">
        <f ca="1">IFERROR(__xludf.DUMMYFUNCTION("""COMPUTED_VALUE"""),"23ft Skiff (Bertha) FL7972LJ DEP07613")</f>
        <v>23ft Skiff (Bertha) FL7972LJ DEP07613</v>
      </c>
      <c r="M427" t="str">
        <f ca="1">IFERROR(__xludf.DUMMYFUNCTION("""COMPUTED_VALUE"""),"Ford F250 2017 (Moby Dix) - DEP0021578")</f>
        <v>Ford F250 2017 (Moby Dix) - DEP0021578</v>
      </c>
      <c r="N427" t="str">
        <f ca="1">IFERROR(__xludf.DUMMYFUNCTION("""COMPUTED_VALUE"""),"Silas Tanner, (904) 483-8423, Remo Mondazzi")</f>
        <v>Silas Tanner, (904) 483-8423, Remo Mondazzi</v>
      </c>
      <c r="P427" t="str">
        <f ca="1">IFERROR(__xludf.DUMMYFUNCTION("""COMPUTED_VALUE"""),"Silas Tanner")</f>
        <v>Silas Tanner</v>
      </c>
      <c r="Q427" t="str">
        <f ca="1">IFERROR(__xludf.DUMMYFUNCTION("""COMPUTED_VALUE"""),"All items in working order")</f>
        <v>All items in working order</v>
      </c>
      <c r="AE427" s="11"/>
      <c r="AF427" t="str">
        <v>Nikki.Dix@floridadep.gov</v>
      </c>
      <c r="AG427" s="17" t="s">
        <v>126</v>
      </c>
      <c r="AH427" s="12">
        <v>1410</v>
      </c>
      <c r="AI427" s="12" t="s">
        <v>1230</v>
      </c>
      <c r="AJ427" s="19" t="s">
        <v>1231</v>
      </c>
      <c r="AK427" s="20" t="str">
        <f>HYPERLINK("https://docs.google.com/document/d/1VaWJIE3K1kYxS9ekiUDrgSvi82MS4ihWUVx1sk6R0Yk/edit?usp=drivesdk","Silas Tanner - 11/26/2019 9:45 AM")</f>
        <v>Silas Tanner - 11/26/2019 9:45 AM</v>
      </c>
      <c r="AL427" s="12" t="s">
        <v>1232</v>
      </c>
    </row>
    <row r="428" spans="1:38" ht="12.75">
      <c r="A428" s="10">
        <f ca="1">IFERROR(__xludf.DUMMYFUNCTION("""COMPUTED_VALUE"""),43795.838383449)</f>
        <v>43795.838383449001</v>
      </c>
      <c r="B428" s="11" t="str">
        <f ca="1">IFERROR(__xludf.DUMMYFUNCTION("""COMPUTED_VALUE"""),"Test")</f>
        <v>Test</v>
      </c>
      <c r="C428" t="str">
        <f ca="1">IFERROR(__xludf.DUMMYFUNCTION("""COMPUTED_VALUE"""),"pamela.macum@floridadep.gov")</f>
        <v>pamela.macum@floridadep.gov</v>
      </c>
      <c r="D428" t="str">
        <f ca="1">IFERROR(__xludf.DUMMYFUNCTION("""COMPUTED_VALUE"""),"Research/Pam")</f>
        <v>Research/Pam</v>
      </c>
      <c r="E428" t="str">
        <f ca="1">IFERROR(__xludf.DUMMYFUNCTION("""COMPUTED_VALUE"""),"Test")</f>
        <v>Test</v>
      </c>
      <c r="F428" s="13">
        <f ca="1">IFERROR(__xludf.DUMMYFUNCTION("""COMPUTED_VALUE"""),0)</f>
        <v>0</v>
      </c>
      <c r="G428" s="14">
        <f ca="1">IFERROR(__xludf.DUMMYFUNCTION("""COMPUTED_VALUE"""),43796)</f>
        <v>43796</v>
      </c>
      <c r="H428" t="str">
        <f ca="1">IFERROR(__xludf.DUMMYFUNCTION("""COMPUTED_VALUE"""),"Test")</f>
        <v>Test</v>
      </c>
      <c r="I428" s="15">
        <f ca="1">IFERROR(__xludf.DUMMYFUNCTION("""COMPUTED_VALUE"""),0)</f>
        <v>0</v>
      </c>
      <c r="J428" s="16">
        <f ca="1">IFERROR(__xludf.DUMMYFUNCTION("""COMPUTED_VALUE"""),43796)</f>
        <v>43796</v>
      </c>
      <c r="K428" t="str">
        <f ca="1">IFERROR(__xludf.DUMMYFUNCTION("""COMPUTED_VALUE"""),"Test")</f>
        <v>Test</v>
      </c>
      <c r="M428" t="str">
        <f ca="1">IFERROR(__xludf.DUMMYFUNCTION("""COMPUTED_VALUE"""),"Test")</f>
        <v>Test</v>
      </c>
      <c r="Q428" t="str">
        <f ca="1">IFERROR(__xludf.DUMMYFUNCTION("""COMPUTED_VALUE"""),"All items in working order")</f>
        <v>All items in working order</v>
      </c>
      <c r="AE428" s="11"/>
      <c r="AF428" t="str">
        <v>Pamela.Marcum@floridadep.gov</v>
      </c>
      <c r="AG428" s="18"/>
      <c r="AI428" s="12" t="s">
        <v>1233</v>
      </c>
      <c r="AJ428" s="19" t="s">
        <v>1234</v>
      </c>
      <c r="AK428" s="20" t="str">
        <f>HYPERLINK("https://docs.google.com/document/d/1gYnYcrd2vVUnyywSfLpzSXQMaeBhGeh-LmrYZ9gNiQs/edit?usp=drivesdk","Test - 11/27/2019 12:00 AM")</f>
        <v>Test - 11/27/2019 12:00 AM</v>
      </c>
      <c r="AL428" s="12" t="s">
        <v>1235</v>
      </c>
    </row>
    <row r="429" spans="1:38" ht="12.75">
      <c r="A429" s="10">
        <f ca="1">IFERROR(__xludf.DUMMYFUNCTION("""COMPUTED_VALUE"""),43801.6885784953)</f>
        <v>43801.688578495297</v>
      </c>
      <c r="B429" s="11" t="str">
        <f ca="1">IFERROR(__xludf.DUMMYFUNCTION("""COMPUTED_VALUE"""),"Jimmy Tomazinis")</f>
        <v>Jimmy Tomazinis</v>
      </c>
      <c r="C429" t="str">
        <f ca="1">IFERROR(__xludf.DUMMYFUNCTION("""COMPUTED_VALUE"""),"james.tomazinis@floridadep.gov")</f>
        <v>james.tomazinis@floridadep.gov</v>
      </c>
      <c r="D429" t="str">
        <f ca="1">IFERROR(__xludf.DUMMYFUNCTION("""COMPUTED_VALUE"""),"Stewardship (Aquatic)")</f>
        <v>Stewardship (Aquatic)</v>
      </c>
      <c r="E429" t="str">
        <f ca="1">IFERROR(__xludf.DUMMYFUNCTION("""COMPUTED_VALUE"""),"Vilano")</f>
        <v>Vilano</v>
      </c>
      <c r="F429" s="13">
        <f ca="1">IFERROR(__xludf.DUMMYFUNCTION("""COMPUTED_VALUE"""),0.385416666667879)</f>
        <v>0.38541666666787899</v>
      </c>
      <c r="G429" s="14">
        <f ca="1">IFERROR(__xludf.DUMMYFUNCTION("""COMPUTED_VALUE"""),43802)</f>
        <v>43802</v>
      </c>
      <c r="H429" t="str">
        <f ca="1">IFERROR(__xludf.DUMMYFUNCTION("""COMPUTED_VALUE"""),"Tolomato nekton sites")</f>
        <v>Tolomato nekton sites</v>
      </c>
      <c r="I429" s="15">
        <f ca="1">IFERROR(__xludf.DUMMYFUNCTION("""COMPUTED_VALUE"""),0.666666666667879)</f>
        <v>0.66666666666787899</v>
      </c>
      <c r="J429" s="16"/>
      <c r="K429" t="str">
        <f ca="1">IFERROR(__xludf.DUMMYFUNCTION("""COMPUTED_VALUE"""),"23ft Skiff (Bertha) FL7972LJ DEP07613")</f>
        <v>23ft Skiff (Bertha) FL7972LJ DEP07613</v>
      </c>
      <c r="M429" t="str">
        <f ca="1">IFERROR(__xludf.DUMMYFUNCTION("""COMPUTED_VALUE"""),"Ford F150 2015 (White) - DEP21448")</f>
        <v>Ford F150 2015 (White) - DEP21448</v>
      </c>
      <c r="N429" t="str">
        <f ca="1">IFERROR(__xludf.DUMMYFUNCTION("""COMPUTED_VALUE"""),"Jimmy Tomazinis, (904) 547-0094")</f>
        <v>Jimmy Tomazinis, (904) 547-0094</v>
      </c>
      <c r="O429" t="str">
        <f ca="1">IFERROR(__xludf.DUMMYFUNCTION("""COMPUTED_VALUE"""),"Mike, Jeff, Pam, Suzi, Diane")</f>
        <v>Mike, Jeff, Pam, Suzi, Diane</v>
      </c>
      <c r="P429" t="str">
        <f ca="1">IFERROR(__xludf.DUMMYFUNCTION("""COMPUTED_VALUE"""),"Jimmy")</f>
        <v>Jimmy</v>
      </c>
      <c r="Q429" t="str">
        <f ca="1">IFERROR(__xludf.DUMMYFUNCTION("""COMPUTED_VALUE"""),"All items in working order")</f>
        <v>All items in working order</v>
      </c>
      <c r="AE429" s="11"/>
      <c r="AF429" t="str">
        <v>Scott.Eastman@floridadep.gov</v>
      </c>
      <c r="AG429" s="17" t="s">
        <v>17</v>
      </c>
      <c r="AH429" s="12">
        <v>1600</v>
      </c>
      <c r="AI429" s="12" t="s">
        <v>1236</v>
      </c>
      <c r="AJ429" s="19" t="s">
        <v>1237</v>
      </c>
      <c r="AK429" s="20" t="str">
        <f>HYPERLINK("https://docs.google.com/document/d/1lKFj_Q6V3_7Ks5Z3aYgaiu-zNZ1Tcvga3effVH7ur7o/edit?usp=drivesdk","Jimmy Tomazinis - 12/3/2019 9:15 AM")</f>
        <v>Jimmy Tomazinis - 12/3/2019 9:15 AM</v>
      </c>
      <c r="AL429" s="12" t="s">
        <v>1238</v>
      </c>
    </row>
    <row r="430" spans="1:38" ht="12.75">
      <c r="A430" s="10">
        <f ca="1">IFERROR(__xludf.DUMMYFUNCTION("""COMPUTED_VALUE"""),43803.3621040509)</f>
        <v>43803.362104050902</v>
      </c>
      <c r="B430" s="11" t="str">
        <f ca="1">IFERROR(__xludf.DUMMYFUNCTION("""COMPUTED_VALUE"""),"Jimmy Tomazinis")</f>
        <v>Jimmy Tomazinis</v>
      </c>
      <c r="C430" t="str">
        <f ca="1">IFERROR(__xludf.DUMMYFUNCTION("""COMPUTED_VALUE"""),"james.tomazinis@floridadep.gov")</f>
        <v>james.tomazinis@floridadep.gov</v>
      </c>
      <c r="D430" t="str">
        <f ca="1">IFERROR(__xludf.DUMMYFUNCTION("""COMPUTED_VALUE"""),"Stewardship (Aquatic)")</f>
        <v>Stewardship (Aquatic)</v>
      </c>
      <c r="E430" t="str">
        <f ca="1">IFERROR(__xludf.DUMMYFUNCTION("""COMPUTED_VALUE"""),"Vilano")</f>
        <v>Vilano</v>
      </c>
      <c r="F430" s="13">
        <f ca="1">IFERROR(__xludf.DUMMYFUNCTION("""COMPUTED_VALUE"""),0.385416666667879)</f>
        <v>0.38541666666787899</v>
      </c>
      <c r="G430" s="14">
        <f ca="1">IFERROR(__xludf.DUMMYFUNCTION("""COMPUTED_VALUE"""),43803)</f>
        <v>43803</v>
      </c>
      <c r="H430" t="str">
        <f ca="1">IFERROR(__xludf.DUMMYFUNCTION("""COMPUTED_VALUE"""),"Tolomato and Matanzas")</f>
        <v>Tolomato and Matanzas</v>
      </c>
      <c r="I430" s="15">
        <f ca="1">IFERROR(__xludf.DUMMYFUNCTION("""COMPUTED_VALUE"""),0.666666666667879)</f>
        <v>0.66666666666787899</v>
      </c>
      <c r="J430" s="16"/>
      <c r="K430" t="str">
        <f ca="1">IFERROR(__xludf.DUMMYFUNCTION("""COMPUTED_VALUE"""),"23ft Skiff (Bertha) FL7972LJ DEP07613")</f>
        <v>23ft Skiff (Bertha) FL7972LJ DEP07613</v>
      </c>
      <c r="M430" t="str">
        <f ca="1">IFERROR(__xludf.DUMMYFUNCTION("""COMPUTED_VALUE"""),"Ford F150 2015 (White) - DEP21448")</f>
        <v>Ford F150 2015 (White) - DEP21448</v>
      </c>
      <c r="N430" t="str">
        <f ca="1">IFERROR(__xludf.DUMMYFUNCTION("""COMPUTED_VALUE"""),"Jimmy Tomazinis, (904) 547-0094, Ruben")</f>
        <v>Jimmy Tomazinis, (904) 547-0094, Ruben</v>
      </c>
      <c r="O430" t="str">
        <f ca="1">IFERROR(__xludf.DUMMYFUNCTION("""COMPUTED_VALUE"""),"Jeff, Jordan, Steve, Suzi")</f>
        <v>Jeff, Jordan, Steve, Suzi</v>
      </c>
      <c r="P430" t="str">
        <f ca="1">IFERROR(__xludf.DUMMYFUNCTION("""COMPUTED_VALUE"""),"Jimmy")</f>
        <v>Jimmy</v>
      </c>
      <c r="Q430" t="str">
        <f ca="1">IFERROR(__xludf.DUMMYFUNCTION("""COMPUTED_VALUE"""),"All items in working order")</f>
        <v>All items in working order</v>
      </c>
      <c r="AE430" s="11"/>
      <c r="AF430" t="str">
        <v>Scott.Eastman@floridadep.gov</v>
      </c>
      <c r="AG430" s="17" t="s">
        <v>17</v>
      </c>
      <c r="AH430" s="12">
        <v>1605</v>
      </c>
      <c r="AI430" s="12" t="s">
        <v>1239</v>
      </c>
      <c r="AJ430" s="19" t="s">
        <v>1240</v>
      </c>
      <c r="AK430" s="20" t="str">
        <f>HYPERLINK("https://docs.google.com/document/d/172vVxwop84YvNDb_72vQKInQJ2qcjf8BrLZ6GTgNcTo/edit?usp=drivesdk","Jimmy Tomazinis - 12/4/2019 9:15 AM")</f>
        <v>Jimmy Tomazinis - 12/4/2019 9:15 AM</v>
      </c>
      <c r="AL430" s="12" t="s">
        <v>1241</v>
      </c>
    </row>
    <row r="431" spans="1:38" ht="12.75">
      <c r="A431" s="10">
        <f ca="1">IFERROR(__xludf.DUMMYFUNCTION("""COMPUTED_VALUE"""),43804.3251582175)</f>
        <v>43804.3251582175</v>
      </c>
      <c r="B431" s="11" t="str">
        <f ca="1">IFERROR(__xludf.DUMMYFUNCTION("""COMPUTED_VALUE"""),"Alexandria Knoell")</f>
        <v>Alexandria Knoell</v>
      </c>
      <c r="C431" t="str">
        <f ca="1">IFERROR(__xludf.DUMMYFUNCTION("""COMPUTED_VALUE"""),"alee.knoell@floridadep.gov")</f>
        <v>alee.knoell@floridadep.gov</v>
      </c>
      <c r="D431" t="str">
        <f ca="1">IFERROR(__xludf.DUMMYFUNCTION("""COMPUTED_VALUE"""),"Research/Nikki")</f>
        <v>Research/Nikki</v>
      </c>
      <c r="E431" t="str">
        <f ca="1">IFERROR(__xludf.DUMMYFUNCTION("""COMPUTED_VALUE"""),"Aunt Kate’s 7:30, Shore 11, Green road 12")</f>
        <v>Aunt Kate’s 7:30, Shore 11, Green road 12</v>
      </c>
      <c r="F431" s="13">
        <f ca="1">IFERROR(__xludf.DUMMYFUNCTION("""COMPUTED_VALUE"""),0.322916666667879)</f>
        <v>0.32291666666787899</v>
      </c>
      <c r="G431" s="14">
        <f ca="1">IFERROR(__xludf.DUMMYFUNCTION("""COMPUTED_VALUE"""),43804)</f>
        <v>43804</v>
      </c>
      <c r="H431" t="str">
        <f ca="1">IFERROR(__xludf.DUMMYFUNCTION("""COMPUTED_VALUE"""),"Spat trees")</f>
        <v>Spat trees</v>
      </c>
      <c r="I431" s="15">
        <f ca="1">IFERROR(__xludf.DUMMYFUNCTION("""COMPUTED_VALUE"""),0.58333333333212)</f>
        <v>0.58333333333212001</v>
      </c>
      <c r="J431" s="16">
        <f ca="1">IFERROR(__xludf.DUMMYFUNCTION("""COMPUTED_VALUE"""),43804.6458333333)</f>
        <v>43804.645833333299</v>
      </c>
      <c r="K431" t="str">
        <f ca="1">IFERROR(__xludf.DUMMYFUNCTION("""COMPUTED_VALUE"""),"20ft Sea Ark FL5351SJ UNF 2015")</f>
        <v>20ft Sea Ark FL5351SJ UNF 2015</v>
      </c>
      <c r="M431" t="str">
        <f ca="1">IFERROR(__xludf.DUMMYFUNCTION("""COMPUTED_VALUE"""),"Ford F150 2008 (SWMP Thing) - DEP18041")</f>
        <v>Ford F150 2008 (SWMP Thing) - DEP18041</v>
      </c>
      <c r="N431" t="str">
        <f ca="1">IFERROR(__xludf.DUMMYFUNCTION("""COMPUTED_VALUE"""),"Pam Marcum, (480) 332-5414")</f>
        <v>Pam Marcum, (480) 332-5414</v>
      </c>
      <c r="O431" t="str">
        <f ca="1">IFERROR(__xludf.DUMMYFUNCTION("""COMPUTED_VALUE"""),"Alee Knoell, (619) 750-4833")</f>
        <v>Alee Knoell, (619) 750-4833</v>
      </c>
      <c r="P431" t="str">
        <f ca="1">IFERROR(__xludf.DUMMYFUNCTION("""COMPUTED_VALUE"""),"Pam marcum")</f>
        <v>Pam marcum</v>
      </c>
      <c r="Q431" t="str">
        <f ca="1">IFERROR(__xludf.DUMMYFUNCTION("""COMPUTED_VALUE"""),"All items in working order")</f>
        <v>All items in working order</v>
      </c>
      <c r="AE431" s="11"/>
      <c r="AF431" t="str">
        <v>Nikki.Dix@floridadep.gov</v>
      </c>
      <c r="AG431" s="17" t="s">
        <v>17</v>
      </c>
      <c r="AH431" s="12">
        <v>1405</v>
      </c>
      <c r="AI431" s="12" t="s">
        <v>1242</v>
      </c>
      <c r="AJ431" s="19" t="s">
        <v>1243</v>
      </c>
      <c r="AK431" s="20" t="str">
        <f>HYPERLINK("https://docs.google.com/document/d/163XConguxRmfEJiz0qqtWQl8czIMwg0PZ_dbBQWiVoE/edit?usp=drivesdk","Alexandria Knoell - 12/5/2019 7:45 AM")</f>
        <v>Alexandria Knoell - 12/5/2019 7:45 AM</v>
      </c>
      <c r="AL431" s="12" t="s">
        <v>1244</v>
      </c>
    </row>
    <row r="432" spans="1:38" ht="12.75">
      <c r="A432" s="10">
        <f ca="1">IFERROR(__xludf.DUMMYFUNCTION("""COMPUTED_VALUE"""),43804.3575345949)</f>
        <v>43804.357534594899</v>
      </c>
      <c r="B432" s="11" t="str">
        <f ca="1">IFERROR(__xludf.DUMMYFUNCTION("""COMPUTED_VALUE"""),"Jimmy Tomazinis")</f>
        <v>Jimmy Tomazinis</v>
      </c>
      <c r="C432" t="str">
        <f ca="1">IFERROR(__xludf.DUMMYFUNCTION("""COMPUTED_VALUE"""),"james.tomazinis@floridadep.gov")</f>
        <v>james.tomazinis@floridadep.gov</v>
      </c>
      <c r="D432" t="str">
        <f ca="1">IFERROR(__xludf.DUMMYFUNCTION("""COMPUTED_VALUE"""),"Stewardship (Aquatic)")</f>
        <v>Stewardship (Aquatic)</v>
      </c>
      <c r="E432" t="str">
        <f ca="1">IFERROR(__xludf.DUMMYFUNCTION("""COMPUTED_VALUE"""),"Bings")</f>
        <v>Bings</v>
      </c>
      <c r="F432" s="13">
        <f ca="1">IFERROR(__xludf.DUMMYFUNCTION("""COMPUTED_VALUE"""),0.416666666667879)</f>
        <v>0.41666666666787899</v>
      </c>
      <c r="G432" s="14">
        <f ca="1">IFERROR(__xludf.DUMMYFUNCTION("""COMPUTED_VALUE"""),43804)</f>
        <v>43804</v>
      </c>
      <c r="H432" t="str">
        <f ca="1">IFERROR(__xludf.DUMMYFUNCTION("""COMPUTED_VALUE"""),"Matanzas Nekton sites")</f>
        <v>Matanzas Nekton sites</v>
      </c>
      <c r="I432" s="15">
        <f ca="1">IFERROR(__xludf.DUMMYFUNCTION("""COMPUTED_VALUE"""),0.58333333333212)</f>
        <v>0.58333333333212001</v>
      </c>
      <c r="J432" s="16"/>
      <c r="K432" t="str">
        <f ca="1">IFERROR(__xludf.DUMMYFUNCTION("""COMPUTED_VALUE"""),"23ft Skiff (Bertha) FL7972LJ DEP07613")</f>
        <v>23ft Skiff (Bertha) FL7972LJ DEP07613</v>
      </c>
      <c r="M432" t="str">
        <f ca="1">IFERROR(__xludf.DUMMYFUNCTION("""COMPUTED_VALUE"""),"Ford F150 2015 (White) - DEP21448")</f>
        <v>Ford F150 2015 (White) - DEP21448</v>
      </c>
      <c r="N432" t="str">
        <f ca="1">IFERROR(__xludf.DUMMYFUNCTION("""COMPUTED_VALUE"""),"Jimmy Tomazinis, (904) 547-0094, Ruben Allen")</f>
        <v>Jimmy Tomazinis, (904) 547-0094, Ruben Allen</v>
      </c>
      <c r="O432" t="str">
        <f ca="1">IFERROR(__xludf.DUMMYFUNCTION("""COMPUTED_VALUE"""),"Suzi, Diane")</f>
        <v>Suzi, Diane</v>
      </c>
      <c r="P432" t="str">
        <f ca="1">IFERROR(__xludf.DUMMYFUNCTION("""COMPUTED_VALUE"""),"Jimmy")</f>
        <v>Jimmy</v>
      </c>
      <c r="Q432" t="str">
        <f ca="1">IFERROR(__xludf.DUMMYFUNCTION("""COMPUTED_VALUE"""),"All items in working order")</f>
        <v>All items in working order</v>
      </c>
      <c r="AE432" s="11"/>
      <c r="AF432" t="str">
        <v>Scott.Eastman@floridadep.gov</v>
      </c>
      <c r="AG432" s="18"/>
      <c r="AI432" s="12" t="s">
        <v>1245</v>
      </c>
      <c r="AJ432" s="19" t="s">
        <v>1246</v>
      </c>
      <c r="AK432" s="20" t="str">
        <f>HYPERLINK("https://docs.google.com/document/d/1_EblonXbm1yhjT1MEa_-F031_IGkFPSW7vWvu5Hsklg/edit?usp=drivesdk","Jimmy Tomazinis - 12/5/2019 10:00 AM")</f>
        <v>Jimmy Tomazinis - 12/5/2019 10:00 AM</v>
      </c>
      <c r="AL432" s="12" t="s">
        <v>1247</v>
      </c>
    </row>
    <row r="433" spans="1:38" ht="12.75">
      <c r="A433" s="10">
        <f ca="1">IFERROR(__xludf.DUMMYFUNCTION("""COMPUTED_VALUE"""),43808.5568662037)</f>
        <v>43808.556866203697</v>
      </c>
      <c r="B433" s="11" t="str">
        <f ca="1">IFERROR(__xludf.DUMMYFUNCTION("""COMPUTED_VALUE"""),"J Silas Tanner")</f>
        <v>J Silas Tanner</v>
      </c>
      <c r="C433" t="str">
        <f ca="1">IFERROR(__xludf.DUMMYFUNCTION("""COMPUTED_VALUE"""),"silas.tanner@floridadep.gov")</f>
        <v>silas.tanner@floridadep.gov</v>
      </c>
      <c r="D433" t="str">
        <f ca="1">IFERROR(__xludf.DUMMYFUNCTION("""COMPUTED_VALUE"""),"Research/Shannon")</f>
        <v>Research/Shannon</v>
      </c>
      <c r="E433" t="str">
        <f ca="1">IFERROR(__xludf.DUMMYFUNCTION("""COMPUTED_VALUE"""),"Vilano Landing")</f>
        <v>Vilano Landing</v>
      </c>
      <c r="F433" s="13">
        <f ca="1">IFERROR(__xludf.DUMMYFUNCTION("""COMPUTED_VALUE"""),0.30208333333212)</f>
        <v>0.30208333333212001</v>
      </c>
      <c r="G433" s="14">
        <f ca="1">IFERROR(__xludf.DUMMYFUNCTION("""COMPUTED_VALUE"""),43809)</f>
        <v>43809</v>
      </c>
      <c r="H433" t="str">
        <f ca="1">IFERROR(__xludf.DUMMYFUNCTION("""COMPUTED_VALUE"""),"ICW SWMP Sites")</f>
        <v>ICW SWMP Sites</v>
      </c>
      <c r="I433" s="15">
        <f ca="1">IFERROR(__xludf.DUMMYFUNCTION("""COMPUTED_VALUE"""),0.52083333333212)</f>
        <v>0.52083333333212001</v>
      </c>
      <c r="J433" s="16">
        <f ca="1">IFERROR(__xludf.DUMMYFUNCTION("""COMPUTED_VALUE"""),43809.5416666666)</f>
        <v>43809.541666666599</v>
      </c>
      <c r="K433" t="str">
        <f ca="1">IFERROR(__xludf.DUMMYFUNCTION("""COMPUTED_VALUE"""),"23ft Skiff (Bertha) FL7972LJ DEP07613")</f>
        <v>23ft Skiff (Bertha) FL7972LJ DEP07613</v>
      </c>
      <c r="M433" t="str">
        <f ca="1">IFERROR(__xludf.DUMMYFUNCTION("""COMPUTED_VALUE"""),"Ford F250 2017 (Moby Dix) - DEP0021578")</f>
        <v>Ford F250 2017 (Moby Dix) - DEP0021578</v>
      </c>
      <c r="N433" t="str">
        <f ca="1">IFERROR(__xludf.DUMMYFUNCTION("""COMPUTED_VALUE"""),"Silas Tanner, (904) 483-8423")</f>
        <v>Silas Tanner, (904) 483-8423</v>
      </c>
      <c r="O433" t="str">
        <f ca="1">IFERROR(__xludf.DUMMYFUNCTION("""COMPUTED_VALUE"""),"Casey McClure")</f>
        <v>Casey McClure</v>
      </c>
      <c r="P433" t="str">
        <f ca="1">IFERROR(__xludf.DUMMYFUNCTION("""COMPUTED_VALUE"""),"S. Tanner")</f>
        <v>S. Tanner</v>
      </c>
      <c r="Q433" t="str">
        <f ca="1">IFERROR(__xludf.DUMMYFUNCTION("""COMPUTED_VALUE"""),"All items in working order")</f>
        <v>All items in working order</v>
      </c>
      <c r="AE433" s="11"/>
      <c r="AF433" t="str">
        <v>Shannon.Dunnigan@floridadep.gov</v>
      </c>
      <c r="AG433" s="17" t="s">
        <v>17</v>
      </c>
      <c r="AH433" s="12">
        <v>1135</v>
      </c>
      <c r="AI433" s="12" t="s">
        <v>1248</v>
      </c>
      <c r="AJ433" s="19" t="s">
        <v>1249</v>
      </c>
      <c r="AK433" s="20" t="str">
        <f>HYPERLINK("https://docs.google.com/document/d/1kHlAOqzXYOdFmF5mwK116zmtf-WGoNyKYM7eg3XI8fI/edit?usp=drivesdk","J Silas Tanner - 12/10/2019 7:15 AM")</f>
        <v>J Silas Tanner - 12/10/2019 7:15 AM</v>
      </c>
      <c r="AL433" s="12" t="s">
        <v>1250</v>
      </c>
    </row>
    <row r="434" spans="1:38" ht="12.75">
      <c r="A434" s="10">
        <f ca="1">IFERROR(__xludf.DUMMYFUNCTION("""COMPUTED_VALUE"""),43810.3050582291)</f>
        <v>43810.305058229103</v>
      </c>
      <c r="B434" s="11" t="str">
        <f ca="1">IFERROR(__xludf.DUMMYFUNCTION("""COMPUTED_VALUE"""),"Jimmy Tomazinis")</f>
        <v>Jimmy Tomazinis</v>
      </c>
      <c r="C434" t="str">
        <f ca="1">IFERROR(__xludf.DUMMYFUNCTION("""COMPUTED_VALUE"""),"james.tomazinis@floridadep.gov")</f>
        <v>james.tomazinis@floridadep.gov</v>
      </c>
      <c r="D434" t="str">
        <f ca="1">IFERROR(__xludf.DUMMYFUNCTION("""COMPUTED_VALUE"""),"Stewardship (Aquatic)")</f>
        <v>Stewardship (Aquatic)</v>
      </c>
      <c r="E434" t="str">
        <f ca="1">IFERROR(__xludf.DUMMYFUNCTION("""COMPUTED_VALUE"""),"Dee dee bartels, Nassauville")</f>
        <v>Dee dee bartels, Nassauville</v>
      </c>
      <c r="F434" s="13">
        <f ca="1">IFERROR(__xludf.DUMMYFUNCTION("""COMPUTED_VALUE"""),0.375)</f>
        <v>0.375</v>
      </c>
      <c r="G434" s="14">
        <f ca="1">IFERROR(__xludf.DUMMYFUNCTION("""COMPUTED_VALUE"""),43810)</f>
        <v>43810</v>
      </c>
      <c r="H434" t="str">
        <f ca="1">IFERROR(__xludf.DUMMYFUNCTION("""COMPUTED_VALUE"""),"NEAP WQ sites")</f>
        <v>NEAP WQ sites</v>
      </c>
      <c r="I434" s="15">
        <f ca="1">IFERROR(__xludf.DUMMYFUNCTION("""COMPUTED_VALUE"""),0.58333333333212)</f>
        <v>0.58333333333212001</v>
      </c>
      <c r="J434" s="16"/>
      <c r="K434" t="str">
        <f ca="1">IFERROR(__xludf.DUMMYFUNCTION("""COMPUTED_VALUE"""),"17ft Skiff (Marsha) FL0642GW DEP07239")</f>
        <v>17ft Skiff (Marsha) FL0642GW DEP07239</v>
      </c>
      <c r="M434" t="str">
        <f ca="1">IFERROR(__xludf.DUMMYFUNCTION("""COMPUTED_VALUE"""),"Ford F150 2008 (SWMP Thing) - DEP18041")</f>
        <v>Ford F150 2008 (SWMP Thing) - DEP18041</v>
      </c>
      <c r="N434" t="str">
        <f ca="1">IFERROR(__xludf.DUMMYFUNCTION("""COMPUTED_VALUE"""),"Jimmy Tomazinis, (904) 547-0094")</f>
        <v>Jimmy Tomazinis, (904) 547-0094</v>
      </c>
      <c r="O434" t="str">
        <f ca="1">IFERROR(__xludf.DUMMYFUNCTION("""COMPUTED_VALUE"""),"Suzi, Alicia")</f>
        <v>Suzi, Alicia</v>
      </c>
      <c r="P434" t="str">
        <f ca="1">IFERROR(__xludf.DUMMYFUNCTION("""COMPUTED_VALUE"""),"Jimmy")</f>
        <v>Jimmy</v>
      </c>
      <c r="Q434" t="str">
        <f ca="1">IFERROR(__xludf.DUMMYFUNCTION("""COMPUTED_VALUE"""),"All items in working order")</f>
        <v>All items in working order</v>
      </c>
      <c r="AE434" s="11"/>
      <c r="AF434" t="str">
        <v>Scott.Eastman@floridadep.gov</v>
      </c>
      <c r="AG434" s="17" t="s">
        <v>17</v>
      </c>
      <c r="AH434" s="12">
        <v>1255</v>
      </c>
      <c r="AI434" s="12" t="s">
        <v>1251</v>
      </c>
      <c r="AJ434" s="19" t="s">
        <v>1252</v>
      </c>
      <c r="AK434" s="20" t="str">
        <f>HYPERLINK("https://docs.google.com/document/d/1IKbSBBabOKlmi4SgTvDk2__OUMhoNNZui34H6pmKKbs/edit?usp=drivesdk","Jimmy Tomazinis - 12/11/2019 9:00 AM")</f>
        <v>Jimmy Tomazinis - 12/11/2019 9:00 AM</v>
      </c>
      <c r="AL434" s="12" t="s">
        <v>1253</v>
      </c>
    </row>
    <row r="435" spans="1:38" ht="12.75">
      <c r="A435" s="10">
        <f ca="1">IFERROR(__xludf.DUMMYFUNCTION("""COMPUTED_VALUE"""),43815.3718841666)</f>
        <v>43815.371884166598</v>
      </c>
      <c r="B435" s="11" t="str">
        <f ca="1">IFERROR(__xludf.DUMMYFUNCTION("""COMPUTED_VALUE"""),"Shannon Dunnigan")</f>
        <v>Shannon Dunnigan</v>
      </c>
      <c r="C435" t="str">
        <f ca="1">IFERROR(__xludf.DUMMYFUNCTION("""COMPUTED_VALUE"""),"shannon.dunnigan@floridadep.gov")</f>
        <v>shannon.dunnigan@floridadep.gov</v>
      </c>
      <c r="D435" t="str">
        <f ca="1">IFERROR(__xludf.DUMMYFUNCTION("""COMPUTED_VALUE"""),"Research/Nikki")</f>
        <v>Research/Nikki</v>
      </c>
      <c r="E435" t="str">
        <f ca="1">IFERROR(__xludf.DUMMYFUNCTION("""COMPUTED_VALUE"""),"Moses")</f>
        <v>Moses</v>
      </c>
      <c r="F435" s="13">
        <f ca="1">IFERROR(__xludf.DUMMYFUNCTION("""COMPUTED_VALUE"""),0.385416666667879)</f>
        <v>0.38541666666787899</v>
      </c>
      <c r="G435" s="14">
        <f ca="1">IFERROR(__xludf.DUMMYFUNCTION("""COMPUTED_VALUE"""),43815)</f>
        <v>43815</v>
      </c>
      <c r="H435" t="str">
        <f ca="1">IFERROR(__xludf.DUMMYFUNCTION("""COMPUTED_VALUE"""),"Moses platforms")</f>
        <v>Moses platforms</v>
      </c>
      <c r="I435" s="15">
        <f ca="1">IFERROR(__xludf.DUMMYFUNCTION("""COMPUTED_VALUE"""),0.46875)</f>
        <v>0.46875</v>
      </c>
      <c r="J435" s="16">
        <f ca="1">IFERROR(__xludf.DUMMYFUNCTION("""COMPUTED_VALUE"""),43815.5416666666)</f>
        <v>43815.541666666599</v>
      </c>
      <c r="K435" t="str">
        <f ca="1">IFERROR(__xludf.DUMMYFUNCTION("""COMPUTED_VALUE"""),"Kayak(s)")</f>
        <v>Kayak(s)</v>
      </c>
      <c r="L435">
        <f ca="1">IFERROR(__xludf.DUMMYFUNCTION("""COMPUTED_VALUE"""),1)</f>
        <v>1</v>
      </c>
      <c r="M435" t="str">
        <f ca="1">IFERROR(__xludf.DUMMYFUNCTION("""COMPUTED_VALUE"""),"Ford F250 2017 (Moby Dix) - DEP0021578")</f>
        <v>Ford F250 2017 (Moby Dix) - DEP0021578</v>
      </c>
      <c r="N435" t="str">
        <f ca="1">IFERROR(__xludf.DUMMYFUNCTION("""COMPUTED_VALUE"""),"Shannon Dunnigan, (803) 727-5734, Silas Tanner, (904) 483-8423")</f>
        <v>Shannon Dunnigan, (803) 727-5734, Silas Tanner, (904) 483-8423</v>
      </c>
      <c r="P435" t="str">
        <f ca="1">IFERROR(__xludf.DUMMYFUNCTION("""COMPUTED_VALUE"""),"Shannon")</f>
        <v>Shannon</v>
      </c>
      <c r="Q435" t="str">
        <f ca="1">IFERROR(__xludf.DUMMYFUNCTION("""COMPUTED_VALUE"""),"All items in working order")</f>
        <v>All items in working order</v>
      </c>
      <c r="AE435" s="11"/>
      <c r="AF435" t="str">
        <v>Nikki.Dix@floridadep.gov</v>
      </c>
      <c r="AG435" s="17" t="s">
        <v>17</v>
      </c>
      <c r="AH435" s="12">
        <v>1145</v>
      </c>
      <c r="AI435" s="12" t="s">
        <v>1254</v>
      </c>
      <c r="AJ435" s="19" t="s">
        <v>1255</v>
      </c>
      <c r="AK435" s="20" t="str">
        <f>HYPERLINK("https://docs.google.com/document/d/1qZ-a0BeL3hRyRq4l3YXrwKyyqKN5gkchWbLgF1XfHNo/edit?usp=drivesdk","Shannon Dunnigan - 12/16/2019 9:15 AM")</f>
        <v>Shannon Dunnigan - 12/16/2019 9:15 AM</v>
      </c>
      <c r="AL435" s="12" t="s">
        <v>1256</v>
      </c>
    </row>
    <row r="436" spans="1:38" ht="12.75">
      <c r="A436" s="10">
        <f ca="1">IFERROR(__xludf.DUMMYFUNCTION("""COMPUTED_VALUE"""),43815.506977905)</f>
        <v>43815.506977905003</v>
      </c>
      <c r="B436" s="11" t="str">
        <f ca="1">IFERROR(__xludf.DUMMYFUNCTION("""COMPUTED_VALUE"""),"Jimmy Tomazinis")</f>
        <v>Jimmy Tomazinis</v>
      </c>
      <c r="C436" t="str">
        <f ca="1">IFERROR(__xludf.DUMMYFUNCTION("""COMPUTED_VALUE"""),"james.tomazinis@floridadep.gov")</f>
        <v>james.tomazinis@floridadep.gov</v>
      </c>
      <c r="D436" t="str">
        <f ca="1">IFERROR(__xludf.DUMMYFUNCTION("""COMPUTED_VALUE"""),"Stewardship (Aquatic)")</f>
        <v>Stewardship (Aquatic)</v>
      </c>
      <c r="E436" t="str">
        <f ca="1">IFERROR(__xludf.DUMMYFUNCTION("""COMPUTED_VALUE"""),"Guana Dam")</f>
        <v>Guana Dam</v>
      </c>
      <c r="F436" s="13">
        <f ca="1">IFERROR(__xludf.DUMMYFUNCTION("""COMPUTED_VALUE"""),0.53125)</f>
        <v>0.53125</v>
      </c>
      <c r="G436" s="14">
        <f ca="1">IFERROR(__xludf.DUMMYFUNCTION("""COMPUTED_VALUE"""),43815)</f>
        <v>43815</v>
      </c>
      <c r="H436" t="str">
        <f ca="1">IFERROR(__xludf.DUMMYFUNCTION("""COMPUTED_VALUE"""),"Guana WQ sites")</f>
        <v>Guana WQ sites</v>
      </c>
      <c r="I436" s="15">
        <f ca="1">IFERROR(__xludf.DUMMYFUNCTION("""COMPUTED_VALUE"""),0.61458333333212)</f>
        <v>0.61458333333212001</v>
      </c>
      <c r="J436" s="16"/>
      <c r="K436" t="str">
        <f ca="1">IFERROR(__xludf.DUMMYFUNCTION("""COMPUTED_VALUE"""),"Jon Boat FL0484NP DEP06819")</f>
        <v>Jon Boat FL0484NP DEP06819</v>
      </c>
      <c r="M436" t="str">
        <f ca="1">IFERROR(__xludf.DUMMYFUNCTION("""COMPUTED_VALUE"""),"Ford F150 2015 (White) - DEP21448")</f>
        <v>Ford F150 2015 (White) - DEP21448</v>
      </c>
      <c r="N436" t="str">
        <f ca="1">IFERROR(__xludf.DUMMYFUNCTION("""COMPUTED_VALUE"""),"Jimmy Tomazinis, (904) 547-0094")</f>
        <v>Jimmy Tomazinis, (904) 547-0094</v>
      </c>
      <c r="O436" t="str">
        <f ca="1">IFERROR(__xludf.DUMMYFUNCTION("""COMPUTED_VALUE"""),"Jess, ")</f>
        <v xml:space="preserve">Jess, </v>
      </c>
      <c r="P436" t="str">
        <f ca="1">IFERROR(__xludf.DUMMYFUNCTION("""COMPUTED_VALUE"""),"Jimmy")</f>
        <v>Jimmy</v>
      </c>
      <c r="Q436" t="str">
        <f ca="1">IFERROR(__xludf.DUMMYFUNCTION("""COMPUTED_VALUE"""),"All items in working order")</f>
        <v>All items in working order</v>
      </c>
      <c r="AE436" s="11"/>
      <c r="AF436" t="str">
        <v>Scott.Eastman@floridadep.gov</v>
      </c>
      <c r="AG436" s="17" t="s">
        <v>17</v>
      </c>
      <c r="AH436" s="12">
        <v>1420</v>
      </c>
      <c r="AI436" s="12" t="s">
        <v>1257</v>
      </c>
      <c r="AJ436" s="19" t="s">
        <v>1258</v>
      </c>
      <c r="AK436" s="20" t="str">
        <f>HYPERLINK("https://docs.google.com/document/d/1OPJyWfnlaorB8XlVsMWimPBNc-pOQRB-7mepBOTyZ_U/edit?usp=drivesdk","Jimmy Tomazinis - 12/16/2019 12:45 PM")</f>
        <v>Jimmy Tomazinis - 12/16/2019 12:45 PM</v>
      </c>
      <c r="AL436" s="12" t="s">
        <v>1259</v>
      </c>
    </row>
    <row r="437" spans="1:38" ht="12.75">
      <c r="A437" s="10">
        <f ca="1">IFERROR(__xludf.DUMMYFUNCTION("""COMPUTED_VALUE"""),43817.407601574)</f>
        <v>43817.407601573999</v>
      </c>
      <c r="B437" s="11" t="str">
        <f ca="1">IFERROR(__xludf.DUMMYFUNCTION("""COMPUTED_VALUE"""),"Silas Tanner")</f>
        <v>Silas Tanner</v>
      </c>
      <c r="C437" t="str">
        <f ca="1">IFERROR(__xludf.DUMMYFUNCTION("""COMPUTED_VALUE"""),"silas.tanner@floridadep.gov")</f>
        <v>silas.tanner@floridadep.gov</v>
      </c>
      <c r="D437" t="str">
        <f ca="1">IFERROR(__xludf.DUMMYFUNCTION("""COMPUTED_VALUE"""),"Research/Nikki")</f>
        <v>Research/Nikki</v>
      </c>
      <c r="E437" t="str">
        <f ca="1">IFERROR(__xludf.DUMMYFUNCTION("""COMPUTED_VALUE"""),"Green Road ramp, Crane ramp, Aunt Kate's")</f>
        <v>Green Road ramp, Crane ramp, Aunt Kate's</v>
      </c>
      <c r="F437" s="13">
        <f ca="1">IFERROR(__xludf.DUMMYFUNCTION("""COMPUTED_VALUE"""),0.45833333333212)</f>
        <v>0.45833333333212001</v>
      </c>
      <c r="G437" s="14">
        <f ca="1">IFERROR(__xludf.DUMMYFUNCTION("""COMPUTED_VALUE"""),43817)</f>
        <v>43817</v>
      </c>
      <c r="H437" t="str">
        <f ca="1">IFERROR(__xludf.DUMMYFUNCTION("""COMPUTED_VALUE"""),"ICW SWMP sites")</f>
        <v>ICW SWMP sites</v>
      </c>
      <c r="I437" s="15">
        <f ca="1">IFERROR(__xludf.DUMMYFUNCTION("""COMPUTED_VALUE"""),0.625)</f>
        <v>0.625</v>
      </c>
      <c r="J437" s="16">
        <f ca="1">IFERROR(__xludf.DUMMYFUNCTION("""COMPUTED_VALUE"""),43817.6354166666)</f>
        <v>43817.635416666599</v>
      </c>
      <c r="K437" t="str">
        <f ca="1">IFERROR(__xludf.DUMMYFUNCTION("""COMPUTED_VALUE"""),"20ft Sea Ark FL5351SJ UNF 2015")</f>
        <v>20ft Sea Ark FL5351SJ UNF 2015</v>
      </c>
      <c r="M437" t="str">
        <f ca="1">IFERROR(__xludf.DUMMYFUNCTION("""COMPUTED_VALUE"""),"Ford F250 2017 (Moby Dix) - DEP0021578")</f>
        <v>Ford F250 2017 (Moby Dix) - DEP0021578</v>
      </c>
      <c r="N437" t="str">
        <f ca="1">IFERROR(__xludf.DUMMYFUNCTION("""COMPUTED_VALUE"""),"Shannon Dunnigan, (803) 727-5734, Silas Tanner, (904) 483-8423")</f>
        <v>Shannon Dunnigan, (803) 727-5734, Silas Tanner, (904) 483-8423</v>
      </c>
      <c r="P437" t="str">
        <f ca="1">IFERROR(__xludf.DUMMYFUNCTION("""COMPUTED_VALUE"""),"S. Dunnigan")</f>
        <v>S. Dunnigan</v>
      </c>
      <c r="Q437" t="str">
        <f ca="1">IFERROR(__xludf.DUMMYFUNCTION("""COMPUTED_VALUE"""),"All items in working order")</f>
        <v>All items in working order</v>
      </c>
      <c r="AE437" s="11"/>
      <c r="AF437" t="str">
        <v>Nikki.Dix@floridadep.gov</v>
      </c>
      <c r="AG437" s="17" t="s">
        <v>58</v>
      </c>
      <c r="AH437" s="12">
        <v>1400</v>
      </c>
      <c r="AI437" s="12" t="s">
        <v>1260</v>
      </c>
      <c r="AJ437" s="19" t="s">
        <v>1261</v>
      </c>
      <c r="AK437" s="20" t="str">
        <f>HYPERLINK("https://docs.google.com/document/d/1LC1IYvAnDIH6sgJDDdHDIbOJPCKDdI8tSBH5EYeaN9I/edit?usp=drivesdk","Silas Tanner - 12/18/2019 11:00 AM")</f>
        <v>Silas Tanner - 12/18/2019 11:00 AM</v>
      </c>
      <c r="AL437" s="12" t="s">
        <v>1262</v>
      </c>
    </row>
    <row r="438" spans="1:38" ht="12.75">
      <c r="A438" s="10">
        <f ca="1">IFERROR(__xludf.DUMMYFUNCTION("""COMPUTED_VALUE"""),43818.4073518518)</f>
        <v>43818.407351851798</v>
      </c>
      <c r="B438" s="11" t="str">
        <f ca="1">IFERROR(__xludf.DUMMYFUNCTION("""COMPUTED_VALUE"""),"J Silas Tanner")</f>
        <v>J Silas Tanner</v>
      </c>
      <c r="C438" t="str">
        <f ca="1">IFERROR(__xludf.DUMMYFUNCTION("""COMPUTED_VALUE"""),"silas.tanner@floridadep.gov")</f>
        <v>silas.tanner@floridadep.gov</v>
      </c>
      <c r="D438" t="str">
        <f ca="1">IFERROR(__xludf.DUMMYFUNCTION("""COMPUTED_VALUE"""),"Research/Nikki")</f>
        <v>Research/Nikki</v>
      </c>
      <c r="E438" t="str">
        <f ca="1">IFERROR(__xludf.DUMMYFUNCTION("""COMPUTED_VALUE"""),"Palm Valley")</f>
        <v>Palm Valley</v>
      </c>
      <c r="F438" s="13">
        <f ca="1">IFERROR(__xludf.DUMMYFUNCTION("""COMPUTED_VALUE"""),0.42708333333212)</f>
        <v>0.42708333333212001</v>
      </c>
      <c r="G438" s="14">
        <f ca="1">IFERROR(__xludf.DUMMYFUNCTION("""COMPUTED_VALUE"""),43818)</f>
        <v>43818</v>
      </c>
      <c r="H438" t="str">
        <f ca="1">IFERROR(__xludf.DUMMYFUNCTION("""COMPUTED_VALUE"""),"Pine Island SWMP site")</f>
        <v>Pine Island SWMP site</v>
      </c>
      <c r="I438" s="15">
        <f ca="1">IFERROR(__xludf.DUMMYFUNCTION("""COMPUTED_VALUE"""),0.48958333333212)</f>
        <v>0.48958333333212001</v>
      </c>
      <c r="J438" s="16">
        <f ca="1">IFERROR(__xludf.DUMMYFUNCTION("""COMPUTED_VALUE"""),43818.5006944444)</f>
        <v>43818.500694444403</v>
      </c>
      <c r="K438" t="str">
        <f ca="1">IFERROR(__xludf.DUMMYFUNCTION("""COMPUTED_VALUE"""),"20ft Sea Ark FL5351SJ UNF 2015")</f>
        <v>20ft Sea Ark FL5351SJ UNF 2015</v>
      </c>
      <c r="M438" t="str">
        <f ca="1">IFERROR(__xludf.DUMMYFUNCTION("""COMPUTED_VALUE"""),"Ford F250 2017 (Moby Dix) - DEP0021578")</f>
        <v>Ford F250 2017 (Moby Dix) - DEP0021578</v>
      </c>
      <c r="N438" t="str">
        <f ca="1">IFERROR(__xludf.DUMMYFUNCTION("""COMPUTED_VALUE"""),"Silas Tanner, (904) 483-8423")</f>
        <v>Silas Tanner, (904) 483-8423</v>
      </c>
      <c r="O438" t="str">
        <f ca="1">IFERROR(__xludf.DUMMYFUNCTION("""COMPUTED_VALUE"""),"Alee Knoell, (619) 750-4833")</f>
        <v>Alee Knoell, (619) 750-4833</v>
      </c>
      <c r="P438" t="str">
        <f ca="1">IFERROR(__xludf.DUMMYFUNCTION("""COMPUTED_VALUE"""),"Tanner")</f>
        <v>Tanner</v>
      </c>
      <c r="Q438" t="str">
        <f ca="1">IFERROR(__xludf.DUMMYFUNCTION("""COMPUTED_VALUE"""),"All items in working order")</f>
        <v>All items in working order</v>
      </c>
      <c r="AE438" s="11"/>
      <c r="AF438" t="str">
        <v>Nikki.Dix@floridadep.gov</v>
      </c>
      <c r="AG438" s="17" t="s">
        <v>507</v>
      </c>
      <c r="AH438" s="12">
        <v>1130</v>
      </c>
      <c r="AI438" s="12" t="s">
        <v>1263</v>
      </c>
      <c r="AJ438" s="19" t="s">
        <v>1264</v>
      </c>
      <c r="AK438" s="20" t="str">
        <f>HYPERLINK("https://docs.google.com/document/d/1txL1NkJIk-erA6B1p-O-zeeuqlFx5VgDXw_om0hByYQ/edit?usp=drivesdk","J Silas Tanner - 12/19/2019 10:15 AM")</f>
        <v>J Silas Tanner - 12/19/2019 10:15 AM</v>
      </c>
      <c r="AL438" s="12" t="s">
        <v>1265</v>
      </c>
    </row>
    <row r="439" spans="1:38" ht="12.75">
      <c r="A439" s="10">
        <f ca="1">IFERROR(__xludf.DUMMYFUNCTION("""COMPUTED_VALUE"""),43818.4263698032)</f>
        <v>43818.426369803201</v>
      </c>
      <c r="B439" s="11" t="str">
        <f ca="1">IFERROR(__xludf.DUMMYFUNCTION("""COMPUTED_VALUE"""),"Gabriela Canas")</f>
        <v>Gabriela Canas</v>
      </c>
      <c r="C439" t="str">
        <f ca="1">IFERROR(__xludf.DUMMYFUNCTION("""COMPUTED_VALUE"""),"n00836133@unf.edu")</f>
        <v>n00836133@unf.edu</v>
      </c>
      <c r="D439" t="str">
        <f ca="1">IFERROR(__xludf.DUMMYFUNCTION("""COMPUTED_VALUE"""),"Research/Nikki")</f>
        <v>Research/Nikki</v>
      </c>
      <c r="E439" t="str">
        <f ca="1">IFERROR(__xludf.DUMMYFUNCTION("""COMPUTED_VALUE"""),"Douglas crane")</f>
        <v>Douglas crane</v>
      </c>
      <c r="F439" s="13">
        <f ca="1">IFERROR(__xludf.DUMMYFUNCTION("""COMPUTED_VALUE"""),0.45833333333212)</f>
        <v>0.45833333333212001</v>
      </c>
      <c r="G439" s="14">
        <f ca="1">IFERROR(__xludf.DUMMYFUNCTION("""COMPUTED_VALUE"""),43818)</f>
        <v>43818</v>
      </c>
      <c r="H439" t="str">
        <f ca="1">IFERROR(__xludf.DUMMYFUNCTION("""COMPUTED_VALUE"""),"WETFEET middle site")</f>
        <v>WETFEET middle site</v>
      </c>
      <c r="I439" s="15">
        <f ca="1">IFERROR(__xludf.DUMMYFUNCTION("""COMPUTED_VALUE"""),0.58333333333212)</f>
        <v>0.58333333333212001</v>
      </c>
      <c r="J439" s="16">
        <f ca="1">IFERROR(__xludf.DUMMYFUNCTION("""COMPUTED_VALUE"""),43818.6145833333)</f>
        <v>43818.614583333299</v>
      </c>
      <c r="K439" t="str">
        <f ca="1">IFERROR(__xludf.DUMMYFUNCTION("""COMPUTED_VALUE"""),"17ft Skiff (Marsha) FL0642GW DEP07239")</f>
        <v>17ft Skiff (Marsha) FL0642GW DEP07239</v>
      </c>
      <c r="M439" t="str">
        <f ca="1">IFERROR(__xludf.DUMMYFUNCTION("""COMPUTED_VALUE"""),"Ford F150 2008 (SWMP Thing) - DEP18041")</f>
        <v>Ford F150 2008 (SWMP Thing) - DEP18041</v>
      </c>
      <c r="N439" t="str">
        <f ca="1">IFERROR(__xludf.DUMMYFUNCTION("""COMPUTED_VALUE"""),"Pam Marcum, (480) 332-5414")</f>
        <v>Pam Marcum, (480) 332-5414</v>
      </c>
      <c r="O439" t="str">
        <f ca="1">IFERROR(__xludf.DUMMYFUNCTION("""COMPUTED_VALUE"""),"Gabriela Canas, (904) 891-9743")</f>
        <v>Gabriela Canas, (904) 891-9743</v>
      </c>
      <c r="P439" t="str">
        <f ca="1">IFERROR(__xludf.DUMMYFUNCTION("""COMPUTED_VALUE"""),"Pam")</f>
        <v>Pam</v>
      </c>
      <c r="Q439" t="str">
        <f ca="1">IFERROR(__xludf.DUMMYFUNCTION("""COMPUTED_VALUE"""),"All items in working order")</f>
        <v>All items in working order</v>
      </c>
      <c r="AE439" s="11"/>
      <c r="AF439" t="str">
        <v>Nikki.Dix@floridadep.gov</v>
      </c>
      <c r="AG439" s="17" t="s">
        <v>58</v>
      </c>
      <c r="AH439" s="12">
        <v>1340</v>
      </c>
      <c r="AI439" s="12" t="s">
        <v>1266</v>
      </c>
      <c r="AJ439" s="19" t="s">
        <v>1267</v>
      </c>
      <c r="AK439" s="20" t="str">
        <f>HYPERLINK("https://docs.google.com/document/d/1NN0E003fhNBJAqT_4wA1n1fHv_OIrnwXZ5Cod5eNRaQ/edit?usp=drivesdk","Gabriela Canas - 12/19/2019 11:00 AM")</f>
        <v>Gabriela Canas - 12/19/2019 11:00 AM</v>
      </c>
      <c r="AL439" s="12" t="s">
        <v>1268</v>
      </c>
    </row>
    <row r="440" spans="1:38" ht="12.75">
      <c r="A440" s="10">
        <f ca="1">IFERROR(__xludf.DUMMYFUNCTION("""COMPUTED_VALUE"""),43819.5861927662)</f>
        <v>43819.586192766197</v>
      </c>
      <c r="B440" s="11" t="str">
        <f ca="1">IFERROR(__xludf.DUMMYFUNCTION("""COMPUTED_VALUE"""),"Jessica Lee")</f>
        <v>Jessica Lee</v>
      </c>
      <c r="C440" t="str">
        <f ca="1">IFERROR(__xludf.DUMMYFUNCTION("""COMPUTED_VALUE"""),"jessica.lee@FloridaDEP.gov")</f>
        <v>jessica.lee@FloridaDEP.gov</v>
      </c>
      <c r="D440" t="str">
        <f ca="1">IFERROR(__xludf.DUMMYFUNCTION("""COMPUTED_VALUE"""),"Research/Nikki")</f>
        <v>Research/Nikki</v>
      </c>
      <c r="E440" t="str">
        <f ca="1">IFERROR(__xludf.DUMMYFUNCTION("""COMPUTED_VALUE"""),"Guana")</f>
        <v>Guana</v>
      </c>
      <c r="F440" s="13">
        <f ca="1">IFERROR(__xludf.DUMMYFUNCTION("""COMPUTED_VALUE"""),0.291666666667879)</f>
        <v>0.29166666666787899</v>
      </c>
      <c r="G440" s="14">
        <f ca="1">IFERROR(__xludf.DUMMYFUNCTION("""COMPUTED_VALUE"""),43822)</f>
        <v>43822</v>
      </c>
      <c r="H440" t="str">
        <f ca="1">IFERROR(__xludf.DUMMYFUNCTION("""COMPUTED_VALUE"""),"Guana River")</f>
        <v>Guana River</v>
      </c>
      <c r="I440" s="15">
        <f ca="1">IFERROR(__xludf.DUMMYFUNCTION("""COMPUTED_VALUE"""),0.354166666667879)</f>
        <v>0.35416666666787899</v>
      </c>
      <c r="J440" s="16">
        <f ca="1">IFERROR(__xludf.DUMMYFUNCTION("""COMPUTED_VALUE"""),43822.375)</f>
        <v>43822.375</v>
      </c>
      <c r="K440" t="str">
        <f ca="1">IFERROR(__xludf.DUMMYFUNCTION("""COMPUTED_VALUE"""),"Jon Boat FL0484NP DEP06819")</f>
        <v>Jon Boat FL0484NP DEP06819</v>
      </c>
      <c r="M440" t="str">
        <f ca="1">IFERROR(__xludf.DUMMYFUNCTION("""COMPUTED_VALUE"""),"Ford F150 2015 (White) - DEP21448")</f>
        <v>Ford F150 2015 (White) - DEP21448</v>
      </c>
      <c r="N440" t="str">
        <f ca="1">IFERROR(__xludf.DUMMYFUNCTION("""COMPUTED_VALUE"""),"Jimmy Tomazinis, (904) 547-0094")</f>
        <v>Jimmy Tomazinis, (904) 547-0094</v>
      </c>
      <c r="O440" t="str">
        <f ca="1">IFERROR(__xludf.DUMMYFUNCTION("""COMPUTED_VALUE"""),"Jessica Lee")</f>
        <v>Jessica Lee</v>
      </c>
      <c r="P440" t="str">
        <f ca="1">IFERROR(__xludf.DUMMYFUNCTION("""COMPUTED_VALUE"""),"Jessica Lee")</f>
        <v>Jessica Lee</v>
      </c>
      <c r="Q440" t="str">
        <f ca="1">IFERROR(__xludf.DUMMYFUNCTION("""COMPUTED_VALUE"""),"All items in working order")</f>
        <v>All items in working order</v>
      </c>
      <c r="AE440" s="11"/>
      <c r="AF440" t="str">
        <v>Nikki.Dix@floridadep.gov</v>
      </c>
      <c r="AG440" s="18"/>
      <c r="AI440" s="12" t="s">
        <v>1269</v>
      </c>
      <c r="AJ440" s="19" t="s">
        <v>1270</v>
      </c>
      <c r="AK440" s="20" t="str">
        <f>HYPERLINK("https://docs.google.com/document/d/1zuFEsKkrq9M6ZGAYBwp5wojo8R4vd7PN6fTx65IXQLA/edit?usp=drivesdk","Jessica Lee - 12/23/2019 7:00 AM")</f>
        <v>Jessica Lee - 12/23/2019 7:00 AM</v>
      </c>
      <c r="AL440" s="12" t="s">
        <v>1271</v>
      </c>
    </row>
    <row r="441" spans="1:38" ht="12.75">
      <c r="A441" s="10">
        <f ca="1">IFERROR(__xludf.DUMMYFUNCTION("""COMPUTED_VALUE"""),43829.4694525463)</f>
        <v>43829.469452546298</v>
      </c>
      <c r="B441" s="11" t="str">
        <f ca="1">IFERROR(__xludf.DUMMYFUNCTION("""COMPUTED_VALUE"""),"Jessica Lee")</f>
        <v>Jessica Lee</v>
      </c>
      <c r="C441" t="str">
        <f ca="1">IFERROR(__xludf.DUMMYFUNCTION("""COMPUTED_VALUE"""),"jessica.lee@FloridaDEP.gov")</f>
        <v>jessica.lee@FloridaDEP.gov</v>
      </c>
      <c r="D441" t="str">
        <f ca="1">IFERROR(__xludf.DUMMYFUNCTION("""COMPUTED_VALUE"""),"Research/Nikki")</f>
        <v>Research/Nikki</v>
      </c>
      <c r="E441" t="str">
        <f ca="1">IFERROR(__xludf.DUMMYFUNCTION("""COMPUTED_VALUE"""),"Guana River")</f>
        <v>Guana River</v>
      </c>
      <c r="F441" s="13">
        <f ca="1">IFERROR(__xludf.DUMMYFUNCTION("""COMPUTED_VALUE"""),0.5)</f>
        <v>0.5</v>
      </c>
      <c r="G441" s="14">
        <f ca="1">IFERROR(__xludf.DUMMYFUNCTION("""COMPUTED_VALUE"""),43829)</f>
        <v>43829</v>
      </c>
      <c r="H441" t="str">
        <f ca="1">IFERROR(__xludf.DUMMYFUNCTION("""COMPUTED_VALUE"""),"Guana River")</f>
        <v>Guana River</v>
      </c>
      <c r="I441" s="15">
        <f ca="1">IFERROR(__xludf.DUMMYFUNCTION("""COMPUTED_VALUE"""),0.541666666667879)</f>
        <v>0.54166666666787899</v>
      </c>
      <c r="J441" s="16">
        <f ca="1">IFERROR(__xludf.DUMMYFUNCTION("""COMPUTED_VALUE"""),43829.5520833333)</f>
        <v>43829.552083333299</v>
      </c>
      <c r="K441" t="str">
        <f ca="1">IFERROR(__xludf.DUMMYFUNCTION("""COMPUTED_VALUE"""),"Jon Boat FL0484NP DEP06819")</f>
        <v>Jon Boat FL0484NP DEP06819</v>
      </c>
      <c r="M441" t="str">
        <f ca="1">IFERROR(__xludf.DUMMYFUNCTION("""COMPUTED_VALUE"""),"Ford F150 2015 (White) - DEP21448")</f>
        <v>Ford F150 2015 (White) - DEP21448</v>
      </c>
      <c r="N441" t="str">
        <f ca="1">IFERROR(__xludf.DUMMYFUNCTION("""COMPUTED_VALUE"""),"Jimmy Tomazinis, (904) 547-0094")</f>
        <v>Jimmy Tomazinis, (904) 547-0094</v>
      </c>
      <c r="P441" t="str">
        <f ca="1">IFERROR(__xludf.DUMMYFUNCTION("""COMPUTED_VALUE"""),"Jessica Lee")</f>
        <v>Jessica Lee</v>
      </c>
      <c r="Q441" t="str">
        <f ca="1">IFERROR(__xludf.DUMMYFUNCTION("""COMPUTED_VALUE"""),"All items in working order")</f>
        <v>All items in working order</v>
      </c>
      <c r="AE441" s="11"/>
      <c r="AF441" t="str">
        <v>Nikki.Dix@floridadep.gov</v>
      </c>
      <c r="AG441" s="17" t="s">
        <v>17</v>
      </c>
      <c r="AH441" s="12">
        <v>1340</v>
      </c>
      <c r="AI441" s="12" t="s">
        <v>1272</v>
      </c>
      <c r="AJ441" s="19" t="s">
        <v>1273</v>
      </c>
      <c r="AK441" s="20" t="str">
        <f>HYPERLINK("https://docs.google.com/document/d/1sv52haYJAAYeV34nrDRRcelkEHhfK9YUVlfLYziSVak/edit?usp=drivesdk","Jessica Lee - 12/30/2019 12:00 PM")</f>
        <v>Jessica Lee - 12/30/2019 12:00 PM</v>
      </c>
      <c r="AL441" s="12" t="s">
        <v>1274</v>
      </c>
    </row>
    <row r="442" spans="1:38" ht="12.75">
      <c r="A442" s="10">
        <f ca="1">IFERROR(__xludf.DUMMYFUNCTION("""COMPUTED_VALUE"""),43835.6229489814)</f>
        <v>43835.6229489814</v>
      </c>
      <c r="B442" s="11" t="str">
        <f ca="1">IFERROR(__xludf.DUMMYFUNCTION("""COMPUTED_VALUE"""),"Ruben Allen")</f>
        <v>Ruben Allen</v>
      </c>
      <c r="C442" t="str">
        <f ca="1">IFERROR(__xludf.DUMMYFUNCTION("""COMPUTED_VALUE"""),"rubeall57@gmail.com")</f>
        <v>rubeall57@gmail.com</v>
      </c>
      <c r="D442" t="str">
        <f ca="1">IFERROR(__xludf.DUMMYFUNCTION("""COMPUTED_VALUE"""),"Research/Pam")</f>
        <v>Research/Pam</v>
      </c>
      <c r="E442" t="str">
        <f ca="1">IFERROR(__xludf.DUMMYFUNCTION("""COMPUTED_VALUE"""),"Vilano")</f>
        <v>Vilano</v>
      </c>
      <c r="F442" s="13"/>
      <c r="G442" s="14">
        <f ca="1">IFERROR(__xludf.DUMMYFUNCTION("""COMPUTED_VALUE"""),43836)</f>
        <v>43836</v>
      </c>
      <c r="H442" t="str">
        <f ca="1">IFERROR(__xludf.DUMMYFUNCTION("""COMPUTED_VALUE"""),"Southern Spat Run")</f>
        <v>Southern Spat Run</v>
      </c>
      <c r="I442" s="15">
        <f ca="1">IFERROR(__xludf.DUMMYFUNCTION("""COMPUTED_VALUE"""),0.666666666667879)</f>
        <v>0.66666666666787899</v>
      </c>
      <c r="J442" s="16">
        <f ca="1">IFERROR(__xludf.DUMMYFUNCTION("""COMPUTED_VALUE"""),43836.6875)</f>
        <v>43836.6875</v>
      </c>
      <c r="K442" t="str">
        <f ca="1">IFERROR(__xludf.DUMMYFUNCTION("""COMPUTED_VALUE"""),"F 20ft Sea Ark (Easy 200) FL8534PY DEP21451")</f>
        <v>F 20ft Sea Ark (Easy 200) FL8534PY DEP21451</v>
      </c>
      <c r="M442" t="str">
        <f ca="1">IFERROR(__xludf.DUMMYFUNCTION("""COMPUTED_VALUE"""),"Ford F150 2015 (White) - DEP21448")</f>
        <v>Ford F150 2015 (White) - DEP21448</v>
      </c>
      <c r="O442" t="str">
        <f ca="1">IFERROR(__xludf.DUMMYFUNCTION("""COMPUTED_VALUE"""),"Alee Knoell, (619) 750-4833")</f>
        <v>Alee Knoell, (619) 750-4833</v>
      </c>
      <c r="P442" t="str">
        <f ca="1">IFERROR(__xludf.DUMMYFUNCTION("""COMPUTED_VALUE"""),"Ruben Allen")</f>
        <v>Ruben Allen</v>
      </c>
      <c r="Q442" t="str">
        <f ca="1">IFERROR(__xludf.DUMMYFUNCTION("""COMPUTED_VALUE"""),"All items in working order")</f>
        <v>All items in working order</v>
      </c>
      <c r="AD442" t="str">
        <f ca="1">IFERROR(__xludf.DUMMYFUNCTION("""COMPUTED_VALUE"""),"Yes")</f>
        <v>Yes</v>
      </c>
      <c r="AE442" s="11" t="str">
        <f ca="1">IFERROR(__xludf.DUMMYFUNCTION("""COMPUTED_VALUE"""),"Yes")</f>
        <v>Yes</v>
      </c>
      <c r="AF442" t="str">
        <v>Pamela.Marcum@floridadep.gov</v>
      </c>
      <c r="AG442" s="17" t="s">
        <v>126</v>
      </c>
      <c r="AI442" s="12" t="s">
        <v>1275</v>
      </c>
      <c r="AJ442" s="19" t="s">
        <v>1276</v>
      </c>
      <c r="AK442" s="20" t="str">
        <f>HYPERLINK("https://docs.google.com/document/d/1JWAEHsDzvl7pbzZIbe-Lnfe9jqYcORBAu_2CLinmP9I/edit?usp=drivesdk","Ruben Allen - 1/6/2020 ")</f>
        <v xml:space="preserve">Ruben Allen - 1/6/2020 </v>
      </c>
      <c r="AL442" s="12" t="s">
        <v>1277</v>
      </c>
    </row>
    <row r="443" spans="1:38" ht="12.75">
      <c r="A443" s="10">
        <f ca="1">IFERROR(__xludf.DUMMYFUNCTION("""COMPUTED_VALUE"""),43836.3958056481)</f>
        <v>43836.395805648099</v>
      </c>
      <c r="B443" s="11" t="str">
        <f ca="1">IFERROR(__xludf.DUMMYFUNCTION("""COMPUTED_VALUE"""),"Pamela Marcum")</f>
        <v>Pamela Marcum</v>
      </c>
      <c r="C443" t="str">
        <f ca="1">IFERROR(__xludf.DUMMYFUNCTION("""COMPUTED_VALUE"""),"Pamela.Marcum@dep.state.fl.us")</f>
        <v>Pamela.Marcum@dep.state.fl.us</v>
      </c>
      <c r="D443" t="str">
        <f ca="1">IFERROR(__xludf.DUMMYFUNCTION("""COMPUTED_VALUE"""),"Research/Nikki")</f>
        <v>Research/Nikki</v>
      </c>
      <c r="E443" t="str">
        <f ca="1">IFERROR(__xludf.DUMMYFUNCTION("""COMPUTED_VALUE"""),"Usina/Aunt Kate's")</f>
        <v>Usina/Aunt Kate's</v>
      </c>
      <c r="F443" s="13">
        <f ca="1">IFERROR(__xludf.DUMMYFUNCTION("""COMPUTED_VALUE"""),0.4375)</f>
        <v>0.4375</v>
      </c>
      <c r="G443" s="14">
        <f ca="1">IFERROR(__xludf.DUMMYFUNCTION("""COMPUTED_VALUE"""),43836)</f>
        <v>43836</v>
      </c>
      <c r="H443" t="str">
        <f ca="1">IFERROR(__xludf.DUMMYFUNCTION("""COMPUTED_VALUE"""),"Tolomato &amp; Guana Rivers")</f>
        <v>Tolomato &amp; Guana Rivers</v>
      </c>
      <c r="I443" s="15">
        <f ca="1">IFERROR(__xludf.DUMMYFUNCTION("""COMPUTED_VALUE"""),0.5625)</f>
        <v>0.5625</v>
      </c>
      <c r="J443" s="16">
        <f ca="1">IFERROR(__xludf.DUMMYFUNCTION("""COMPUTED_VALUE"""),43836.5833333333)</f>
        <v>43836.583333333299</v>
      </c>
      <c r="K443" t="str">
        <f ca="1">IFERROR(__xludf.DUMMYFUNCTION("""COMPUTED_VALUE"""),"17ft Skiff (Marsha) FL0642GW DEP07239")</f>
        <v>17ft Skiff (Marsha) FL0642GW DEP07239</v>
      </c>
      <c r="M443" t="str">
        <f ca="1">IFERROR(__xludf.DUMMYFUNCTION("""COMPUTED_VALUE"""),"Ford F250 2017 (Moby Dix) - DEP0021578")</f>
        <v>Ford F250 2017 (Moby Dix) - DEP0021578</v>
      </c>
      <c r="N443" t="str">
        <f ca="1">IFERROR(__xludf.DUMMYFUNCTION("""COMPUTED_VALUE"""),"Pam Marcum, (480) 332-5414")</f>
        <v>Pam Marcum, (480) 332-5414</v>
      </c>
      <c r="O443" t="str">
        <f ca="1">IFERROR(__xludf.DUMMYFUNCTION("""COMPUTED_VALUE"""),"Brian Alexander")</f>
        <v>Brian Alexander</v>
      </c>
      <c r="P443" t="str">
        <f ca="1">IFERROR(__xludf.DUMMYFUNCTION("""COMPUTED_VALUE"""),"Pam")</f>
        <v>Pam</v>
      </c>
      <c r="Q443" t="str">
        <f ca="1">IFERROR(__xludf.DUMMYFUNCTION("""COMPUTED_VALUE"""),"All items in working order")</f>
        <v>All items in working order</v>
      </c>
      <c r="AE443" s="11"/>
      <c r="AF443" t="str">
        <v>Nikki.Dix@floridadep.gov</v>
      </c>
      <c r="AG443" s="17" t="s">
        <v>17</v>
      </c>
      <c r="AH443" s="12">
        <v>1307</v>
      </c>
      <c r="AI443" s="12" t="s">
        <v>1278</v>
      </c>
      <c r="AJ443" s="19" t="s">
        <v>1279</v>
      </c>
      <c r="AK443" s="20" t="str">
        <f>HYPERLINK("https://docs.google.com/document/d/1VRt0LSeu7WyUk5Y7qIS1MvLNZbbwax7OHCqNDHhV_5I/edit?usp=drivesdk","Pamela Marcum - 1/6/2020 10:30 AM")</f>
        <v>Pamela Marcum - 1/6/2020 10:30 AM</v>
      </c>
      <c r="AL443" s="12" t="s">
        <v>1280</v>
      </c>
    </row>
    <row r="444" spans="1:38" ht="12.75">
      <c r="A444" s="10">
        <f ca="1">IFERROR(__xludf.DUMMYFUNCTION("""COMPUTED_VALUE"""),43837.278942743)</f>
        <v>43837.278942743003</v>
      </c>
      <c r="B444" s="11" t="str">
        <f ca="1">IFERROR(__xludf.DUMMYFUNCTION("""COMPUTED_VALUE"""),"Jessica Lee")</f>
        <v>Jessica Lee</v>
      </c>
      <c r="C444" t="str">
        <f ca="1">IFERROR(__xludf.DUMMYFUNCTION("""COMPUTED_VALUE"""),"jessica.lee@FloridaDEP.gov")</f>
        <v>jessica.lee@FloridaDEP.gov</v>
      </c>
      <c r="D444" t="str">
        <f ca="1">IFERROR(__xludf.DUMMYFUNCTION("""COMPUTED_VALUE"""),"Research/Nikki")</f>
        <v>Research/Nikki</v>
      </c>
      <c r="E444" t="str">
        <f ca="1">IFERROR(__xludf.DUMMYFUNCTION("""COMPUTED_VALUE"""),"Guana River")</f>
        <v>Guana River</v>
      </c>
      <c r="F444" s="13">
        <f ca="1">IFERROR(__xludf.DUMMYFUNCTION("""COMPUTED_VALUE"""),0.291666666667879)</f>
        <v>0.29166666666787899</v>
      </c>
      <c r="G444" s="14">
        <f ca="1">IFERROR(__xludf.DUMMYFUNCTION("""COMPUTED_VALUE"""),43837)</f>
        <v>43837</v>
      </c>
      <c r="H444" t="str">
        <f ca="1">IFERROR(__xludf.DUMMYFUNCTION("""COMPUTED_VALUE"""),"Guana River")</f>
        <v>Guana River</v>
      </c>
      <c r="I444" s="15">
        <f ca="1">IFERROR(__xludf.DUMMYFUNCTION("""COMPUTED_VALUE"""),0.34375)</f>
        <v>0.34375</v>
      </c>
      <c r="J444" s="16">
        <f ca="1">IFERROR(__xludf.DUMMYFUNCTION("""COMPUTED_VALUE"""),43837.3541666666)</f>
        <v>43837.354166666599</v>
      </c>
      <c r="K444" t="str">
        <f ca="1">IFERROR(__xludf.DUMMYFUNCTION("""COMPUTED_VALUE"""),"Jon Boat FL0484NP DEP06819")</f>
        <v>Jon Boat FL0484NP DEP06819</v>
      </c>
      <c r="M444" t="str">
        <f ca="1">IFERROR(__xludf.DUMMYFUNCTION("""COMPUTED_VALUE"""),"Ford F150 2015 (White) - DEP21448")</f>
        <v>Ford F150 2015 (White) - DEP21448</v>
      </c>
      <c r="N444" t="str">
        <f ca="1">IFERROR(__xludf.DUMMYFUNCTION("""COMPUTED_VALUE"""),"Silas Tanner, (904) 483-8423")</f>
        <v>Silas Tanner, (904) 483-8423</v>
      </c>
      <c r="P444" t="str">
        <f ca="1">IFERROR(__xludf.DUMMYFUNCTION("""COMPUTED_VALUE"""),"Jessica Lee")</f>
        <v>Jessica Lee</v>
      </c>
      <c r="Q444" t="str">
        <f ca="1">IFERROR(__xludf.DUMMYFUNCTION("""COMPUTED_VALUE"""),"All items in working order")</f>
        <v>All items in working order</v>
      </c>
      <c r="AE444" s="11"/>
      <c r="AF444" t="str">
        <v>Nikki.Dix@floridadep.gov</v>
      </c>
      <c r="AG444" s="17" t="s">
        <v>17</v>
      </c>
      <c r="AH444" s="12">
        <v>833</v>
      </c>
      <c r="AI444" s="12" t="s">
        <v>1281</v>
      </c>
      <c r="AJ444" s="19" t="s">
        <v>1282</v>
      </c>
      <c r="AK444" s="20" t="str">
        <f>HYPERLINK("https://docs.google.com/document/d/1NYiCZEIo7QdI_MM5AwnxQK2cMAuJkE80A2NIC2gwWG0/edit?usp=drivesdk","Jessica Lee - 1/7/2020 7:00 AM")</f>
        <v>Jessica Lee - 1/7/2020 7:00 AM</v>
      </c>
      <c r="AL444" s="12" t="s">
        <v>1283</v>
      </c>
    </row>
    <row r="445" spans="1:38" ht="12.75">
      <c r="A445" s="10">
        <f ca="1">IFERROR(__xludf.DUMMYFUNCTION("""COMPUTED_VALUE"""),43838.4070417708)</f>
        <v>43838.407041770799</v>
      </c>
      <c r="B445" s="11" t="str">
        <f ca="1">IFERROR(__xludf.DUMMYFUNCTION("""COMPUTED_VALUE"""),"Shannon Dunnigan")</f>
        <v>Shannon Dunnigan</v>
      </c>
      <c r="C445" t="str">
        <f ca="1">IFERROR(__xludf.DUMMYFUNCTION("""COMPUTED_VALUE"""),"shannon.dunnigan@dep.state.fl.us")</f>
        <v>shannon.dunnigan@dep.state.fl.us</v>
      </c>
      <c r="D445" t="str">
        <f ca="1">IFERROR(__xludf.DUMMYFUNCTION("""COMPUTED_VALUE"""),"Research/Nikki")</f>
        <v>Research/Nikki</v>
      </c>
      <c r="E445" t="str">
        <f ca="1">IFERROR(__xludf.DUMMYFUNCTION("""COMPUTED_VALUE"""),"Shore Drive")</f>
        <v>Shore Drive</v>
      </c>
      <c r="F445" s="13">
        <f ca="1">IFERROR(__xludf.DUMMYFUNCTION("""COMPUTED_VALUE"""),0.40625)</f>
        <v>0.40625</v>
      </c>
      <c r="G445" s="14">
        <f ca="1">IFERROR(__xludf.DUMMYFUNCTION("""COMPUTED_VALUE"""),43838)</f>
        <v>43838</v>
      </c>
      <c r="H445" t="str">
        <f ca="1">IFERROR(__xludf.DUMMYFUNCTION("""COMPUTED_VALUE"""),"Site 22")</f>
        <v>Site 22</v>
      </c>
      <c r="I445" s="15">
        <f ca="1">IFERROR(__xludf.DUMMYFUNCTION("""COMPUTED_VALUE"""),0.541666666667879)</f>
        <v>0.54166666666787899</v>
      </c>
      <c r="J445" s="16">
        <f ca="1">IFERROR(__xludf.DUMMYFUNCTION("""COMPUTED_VALUE"""),43838.5833333333)</f>
        <v>43838.583333333299</v>
      </c>
      <c r="K445" t="str">
        <f ca="1">IFERROR(__xludf.DUMMYFUNCTION("""COMPUTED_VALUE"""),"20ft Sea Ark FL5351SJ UNF 2015")</f>
        <v>20ft Sea Ark FL5351SJ UNF 2015</v>
      </c>
      <c r="M445" t="str">
        <f ca="1">IFERROR(__xludf.DUMMYFUNCTION("""COMPUTED_VALUE"""),"Ford F250 2017 (Moby Dix) - DEP0021578")</f>
        <v>Ford F250 2017 (Moby Dix) - DEP0021578</v>
      </c>
      <c r="N445" t="str">
        <f ca="1">IFERROR(__xludf.DUMMYFUNCTION("""COMPUTED_VALUE"""),"Shannon Dunnigan, (803) 727-5734, Silas Tanner, (904) 483-8423")</f>
        <v>Shannon Dunnigan, (803) 727-5734, Silas Tanner, (904) 483-8423</v>
      </c>
      <c r="P445" t="str">
        <f ca="1">IFERROR(__xludf.DUMMYFUNCTION("""COMPUTED_VALUE"""),"Shannon")</f>
        <v>Shannon</v>
      </c>
      <c r="Q445" t="str">
        <f ca="1">IFERROR(__xludf.DUMMYFUNCTION("""COMPUTED_VALUE"""),"All items in working order")</f>
        <v>All items in working order</v>
      </c>
      <c r="AE445" s="11"/>
      <c r="AF445" t="str">
        <v>Nikki.Dix@floridadep.gov</v>
      </c>
      <c r="AG445" s="17" t="s">
        <v>17</v>
      </c>
      <c r="AH445" s="12">
        <v>1230</v>
      </c>
      <c r="AI445" s="12" t="s">
        <v>1284</v>
      </c>
      <c r="AJ445" s="19" t="s">
        <v>1285</v>
      </c>
      <c r="AK445" s="20" t="str">
        <f>HYPERLINK("https://docs.google.com/document/d/1k0IdqPD1MwqAUXUbNoCmwSxEsgGIxR9bse9b6Hn5OQA/edit?usp=drivesdk","Shannon Dunnigan - 1/8/2020 9:45 AM")</f>
        <v>Shannon Dunnigan - 1/8/2020 9:45 AM</v>
      </c>
      <c r="AL445" s="12" t="s">
        <v>1286</v>
      </c>
    </row>
    <row r="446" spans="1:38" ht="12.75">
      <c r="A446" s="10">
        <f ca="1">IFERROR(__xludf.DUMMYFUNCTION("""COMPUTED_VALUE"""),43839.5763841435)</f>
        <v>43839.576384143496</v>
      </c>
      <c r="B446" s="11" t="str">
        <f ca="1">IFERROR(__xludf.DUMMYFUNCTION("""COMPUTED_VALUE"""),"Jessica Lee")</f>
        <v>Jessica Lee</v>
      </c>
      <c r="C446" t="str">
        <f ca="1">IFERROR(__xludf.DUMMYFUNCTION("""COMPUTED_VALUE"""),"jessica.lee@FloridaDEP.gov")</f>
        <v>jessica.lee@FloridaDEP.gov</v>
      </c>
      <c r="D446" t="str">
        <f ca="1">IFERROR(__xludf.DUMMYFUNCTION("""COMPUTED_VALUE"""),"Research/Nikki")</f>
        <v>Research/Nikki</v>
      </c>
      <c r="E446" t="str">
        <f ca="1">IFERROR(__xludf.DUMMYFUNCTION("""COMPUTED_VALUE"""),"Guana River")</f>
        <v>Guana River</v>
      </c>
      <c r="F446" s="13">
        <f ca="1">IFERROR(__xludf.DUMMYFUNCTION("""COMPUTED_VALUE"""),0.39583333333212)</f>
        <v>0.39583333333212001</v>
      </c>
      <c r="G446" s="14">
        <f ca="1">IFERROR(__xludf.DUMMYFUNCTION("""COMPUTED_VALUE"""),43840)</f>
        <v>43840</v>
      </c>
      <c r="H446" t="str">
        <f ca="1">IFERROR(__xludf.DUMMYFUNCTION("""COMPUTED_VALUE"""),"Guana River")</f>
        <v>Guana River</v>
      </c>
      <c r="I446" s="15">
        <f ca="1">IFERROR(__xludf.DUMMYFUNCTION("""COMPUTED_VALUE"""),0.947916666667879)</f>
        <v>0.94791666666787899</v>
      </c>
      <c r="J446" s="16">
        <f ca="1">IFERROR(__xludf.DUMMYFUNCTION("""COMPUTED_VALUE"""),43840.5833333333)</f>
        <v>43840.583333333299</v>
      </c>
      <c r="K446" t="str">
        <f ca="1">IFERROR(__xludf.DUMMYFUNCTION("""COMPUTED_VALUE"""),"Jon Boat FL0484NP DEP06819")</f>
        <v>Jon Boat FL0484NP DEP06819</v>
      </c>
      <c r="M446" t="str">
        <f ca="1">IFERROR(__xludf.DUMMYFUNCTION("""COMPUTED_VALUE"""),"Ford F150 2015 (White) - DEP21448")</f>
        <v>Ford F150 2015 (White) - DEP21448</v>
      </c>
      <c r="N446" t="str">
        <f ca="1">IFERROR(__xludf.DUMMYFUNCTION("""COMPUTED_VALUE"""),"Jimmy Tomazinis, (904) 547-0094")</f>
        <v>Jimmy Tomazinis, (904) 547-0094</v>
      </c>
      <c r="P446" t="str">
        <f ca="1">IFERROR(__xludf.DUMMYFUNCTION("""COMPUTED_VALUE"""),"Jessica Lee")</f>
        <v>Jessica Lee</v>
      </c>
      <c r="Q446" t="str">
        <f ca="1">IFERROR(__xludf.DUMMYFUNCTION("""COMPUTED_VALUE"""),"All items in working order")</f>
        <v>All items in working order</v>
      </c>
      <c r="AE446" s="11"/>
      <c r="AF446" t="str">
        <v>Nikki.Dix@floridadep.gov</v>
      </c>
      <c r="AG446" s="18"/>
      <c r="AI446" s="12" t="s">
        <v>1287</v>
      </c>
      <c r="AJ446" s="19" t="s">
        <v>1288</v>
      </c>
      <c r="AK446" s="20" t="str">
        <f>HYPERLINK("https://docs.google.com/document/d/1SY1AFQABS1m_0urwA1wQqKcjqLgVxHFlzqV64VS0i00/edit?usp=drivesdk","Jessica Lee - 1/10/2020 9:30 AM")</f>
        <v>Jessica Lee - 1/10/2020 9:30 AM</v>
      </c>
      <c r="AL446" s="12" t="s">
        <v>1289</v>
      </c>
    </row>
    <row r="447" spans="1:38" ht="12.75">
      <c r="A447" s="10">
        <f ca="1">IFERROR(__xludf.DUMMYFUNCTION("""COMPUTED_VALUE"""),43842.903670706)</f>
        <v>43842.903670706</v>
      </c>
      <c r="B447" s="11" t="str">
        <f ca="1">IFERROR(__xludf.DUMMYFUNCTION("""COMPUTED_VALUE"""),"James Tomazinis")</f>
        <v>James Tomazinis</v>
      </c>
      <c r="C447" t="str">
        <f ca="1">IFERROR(__xludf.DUMMYFUNCTION("""COMPUTED_VALUE"""),"james.tomazinis@floridadep.gov")</f>
        <v>james.tomazinis@floridadep.gov</v>
      </c>
      <c r="D447" t="str">
        <f ca="1">IFERROR(__xludf.DUMMYFUNCTION("""COMPUTED_VALUE"""),"Stewardship (Aquatic)")</f>
        <v>Stewardship (Aquatic)</v>
      </c>
      <c r="E447" t="str">
        <f ca="1">IFERROR(__xludf.DUMMYFUNCTION("""COMPUTED_VALUE"""),"Dee Dee Bartels and Goffinsville Park")</f>
        <v>Dee Dee Bartels and Goffinsville Park</v>
      </c>
      <c r="F447" s="13">
        <f ca="1">IFERROR(__xludf.DUMMYFUNCTION("""COMPUTED_VALUE"""),0.4375)</f>
        <v>0.4375</v>
      </c>
      <c r="G447" s="14">
        <f ca="1">IFERROR(__xludf.DUMMYFUNCTION("""COMPUTED_VALUE"""),43843)</f>
        <v>43843</v>
      </c>
      <c r="H447" t="str">
        <f ca="1">IFERROR(__xludf.DUMMYFUNCTION("""COMPUTED_VALUE"""),"NEAP WQ sites")</f>
        <v>NEAP WQ sites</v>
      </c>
      <c r="I447" s="15">
        <f ca="1">IFERROR(__xludf.DUMMYFUNCTION("""COMPUTED_VALUE"""),0.625)</f>
        <v>0.625</v>
      </c>
      <c r="J447" s="16"/>
      <c r="K447" t="str">
        <f ca="1">IFERROR(__xludf.DUMMYFUNCTION("""COMPUTED_VALUE"""),"17ft Skiff (Marsha) FL0642GW DEP07239")</f>
        <v>17ft Skiff (Marsha) FL0642GW DEP07239</v>
      </c>
      <c r="M447" t="str">
        <f ca="1">IFERROR(__xludf.DUMMYFUNCTION("""COMPUTED_VALUE"""),"Ford F150 2018 (AP) - DEP21637")</f>
        <v>Ford F150 2018 (AP) - DEP21637</v>
      </c>
      <c r="N447" t="str">
        <f ca="1">IFERROR(__xludf.DUMMYFUNCTION("""COMPUTED_VALUE"""),"Scott Eastman, (904) 501-9267, Jimmy Tomazinis, (904) 547-0094")</f>
        <v>Scott Eastman, (904) 501-9267, Jimmy Tomazinis, (904) 547-0094</v>
      </c>
      <c r="O447" t="str">
        <f ca="1">IFERROR(__xludf.DUMMYFUNCTION("""COMPUTED_VALUE"""),"Suzi")</f>
        <v>Suzi</v>
      </c>
      <c r="P447" t="str">
        <f ca="1">IFERROR(__xludf.DUMMYFUNCTION("""COMPUTED_VALUE"""),"Jimmy")</f>
        <v>Jimmy</v>
      </c>
      <c r="Q447" t="str">
        <f ca="1">IFERROR(__xludf.DUMMYFUNCTION("""COMPUTED_VALUE"""),"All items in working order")</f>
        <v>All items in working order</v>
      </c>
      <c r="AE447" s="11"/>
      <c r="AF447" t="str">
        <v>Scott.Eastman@floridadep.gov</v>
      </c>
      <c r="AG447" s="17" t="s">
        <v>17</v>
      </c>
      <c r="AH447" s="12">
        <v>1440</v>
      </c>
      <c r="AI447" s="12" t="s">
        <v>1290</v>
      </c>
      <c r="AJ447" s="19" t="s">
        <v>1291</v>
      </c>
      <c r="AK447" s="20" t="str">
        <f>HYPERLINK("https://docs.google.com/document/d/1uIaj-Gpp7jUBol4xzTQxvQ0pO5aT50zo_NhfC8bR37g/edit?usp=drivesdk","James Tomazinis - 1/13/2020 10:30 AM")</f>
        <v>James Tomazinis - 1/13/2020 10:30 AM</v>
      </c>
      <c r="AL447" s="12" t="s">
        <v>1292</v>
      </c>
    </row>
    <row r="448" spans="1:38" ht="12.75">
      <c r="A448" s="10">
        <f ca="1">IFERROR(__xludf.DUMMYFUNCTION("""COMPUTED_VALUE"""),43843.394855)</f>
        <v>43843.394854999999</v>
      </c>
      <c r="B448" s="11" t="str">
        <f ca="1">IFERROR(__xludf.DUMMYFUNCTION("""COMPUTED_VALUE"""),"Silas Tanner")</f>
        <v>Silas Tanner</v>
      </c>
      <c r="C448" t="str">
        <f ca="1">IFERROR(__xludf.DUMMYFUNCTION("""COMPUTED_VALUE"""),"silas.tanner@floridadep.gov")</f>
        <v>silas.tanner@floridadep.gov</v>
      </c>
      <c r="D448" t="str">
        <f ca="1">IFERROR(__xludf.DUMMYFUNCTION("""COMPUTED_VALUE"""),"Research/Nikki")</f>
        <v>Research/Nikki</v>
      </c>
      <c r="E448" t="str">
        <f ca="1">IFERROR(__xludf.DUMMYFUNCTION("""COMPUTED_VALUE"""),"Vilano Landing")</f>
        <v>Vilano Landing</v>
      </c>
      <c r="F448" s="13">
        <f ca="1">IFERROR(__xludf.DUMMYFUNCTION("""COMPUTED_VALUE"""),0.399305555554747)</f>
        <v>0.399305555554747</v>
      </c>
      <c r="G448" s="14">
        <f ca="1">IFERROR(__xludf.DUMMYFUNCTION("""COMPUTED_VALUE"""),43843)</f>
        <v>43843</v>
      </c>
      <c r="H448" t="str">
        <f ca="1">IFERROR(__xludf.DUMMYFUNCTION("""COMPUTED_VALUE"""),"ICW SWMP sites")</f>
        <v>ICW SWMP sites</v>
      </c>
      <c r="I448" s="15">
        <f ca="1">IFERROR(__xludf.DUMMYFUNCTION("""COMPUTED_VALUE"""),0.61458333333212)</f>
        <v>0.61458333333212001</v>
      </c>
      <c r="J448" s="16">
        <f ca="1">IFERROR(__xludf.DUMMYFUNCTION("""COMPUTED_VALUE"""),43843.6354166666)</f>
        <v>43843.635416666599</v>
      </c>
      <c r="K448" t="str">
        <f ca="1">IFERROR(__xludf.DUMMYFUNCTION("""COMPUTED_VALUE"""),"23ft Skiff (Bertha) FL7972LJ DEP07613")</f>
        <v>23ft Skiff (Bertha) FL7972LJ DEP07613</v>
      </c>
      <c r="M448" t="str">
        <f ca="1">IFERROR(__xludf.DUMMYFUNCTION("""COMPUTED_VALUE"""),"Ford F150 2015 (White) - DEP21448")</f>
        <v>Ford F150 2015 (White) - DEP21448</v>
      </c>
      <c r="N448" t="str">
        <f ca="1">IFERROR(__xludf.DUMMYFUNCTION("""COMPUTED_VALUE"""),"Silas Tanner, (904) 483-8423")</f>
        <v>Silas Tanner, (904) 483-8423</v>
      </c>
      <c r="O448" t="str">
        <f ca="1">IFERROR(__xludf.DUMMYFUNCTION("""COMPUTED_VALUE"""),"Alee Knoell, (619) 750-4833, Ellen Leroy Reed")</f>
        <v>Alee Knoell, (619) 750-4833, Ellen Leroy Reed</v>
      </c>
      <c r="P448" t="str">
        <f ca="1">IFERROR(__xludf.DUMMYFUNCTION("""COMPUTED_VALUE"""),"Tanner")</f>
        <v>Tanner</v>
      </c>
      <c r="Q448" t="str">
        <f ca="1">IFERROR(__xludf.DUMMYFUNCTION("""COMPUTED_VALUE"""),"All items in working order")</f>
        <v>All items in working order</v>
      </c>
      <c r="AE448" s="11"/>
      <c r="AF448" t="str">
        <v>Nikki.Dix@floridadep.gov</v>
      </c>
      <c r="AG448" s="17" t="s">
        <v>17</v>
      </c>
      <c r="AH448" s="12">
        <v>1415</v>
      </c>
      <c r="AI448" s="12" t="s">
        <v>1293</v>
      </c>
      <c r="AJ448" s="19" t="s">
        <v>1294</v>
      </c>
      <c r="AK448" s="20" t="str">
        <f>HYPERLINK("https://docs.google.com/document/d/1YcHhKdoml0dFm_B8BUS-a7DkgHQdzwhNiPXIvKAZZZQ/edit?usp=drivesdk","Silas Tanner - 1/13/2020 9:35 AM")</f>
        <v>Silas Tanner - 1/13/2020 9:35 AM</v>
      </c>
      <c r="AL448" s="12" t="s">
        <v>1295</v>
      </c>
    </row>
    <row r="449" spans="1:38" ht="12.75">
      <c r="A449" s="10">
        <f ca="1">IFERROR(__xludf.DUMMYFUNCTION("""COMPUTED_VALUE"""),43843.4153924074)</f>
        <v>43843.415392407398</v>
      </c>
      <c r="B449" s="11" t="str">
        <f ca="1">IFERROR(__xludf.DUMMYFUNCTION("""COMPUTED_VALUE"""),"Gabriela Canas")</f>
        <v>Gabriela Canas</v>
      </c>
      <c r="C449" t="str">
        <f ca="1">IFERROR(__xludf.DUMMYFUNCTION("""COMPUTED_VALUE"""),"n00836133@unf.edu")</f>
        <v>n00836133@unf.edu</v>
      </c>
      <c r="D449" t="str">
        <f ca="1">IFERROR(__xludf.DUMMYFUNCTION("""COMPUTED_VALUE"""),"Research/Nikki")</f>
        <v>Research/Nikki</v>
      </c>
      <c r="E449" t="str">
        <f ca="1">IFERROR(__xludf.DUMMYFUNCTION("""COMPUTED_VALUE"""),"Douglas crane")</f>
        <v>Douglas crane</v>
      </c>
      <c r="F449" s="13">
        <f ca="1">IFERROR(__xludf.DUMMYFUNCTION("""COMPUTED_VALUE"""),0.3125)</f>
        <v>0.3125</v>
      </c>
      <c r="G449" s="14">
        <f ca="1">IFERROR(__xludf.DUMMYFUNCTION("""COMPUTED_VALUE"""),43843)</f>
        <v>43843</v>
      </c>
      <c r="H449" t="str">
        <f ca="1">IFERROR(__xludf.DUMMYFUNCTION("""COMPUTED_VALUE"""),"WETFEET. Middle site ")</f>
        <v xml:space="preserve">WETFEET. Middle site </v>
      </c>
      <c r="I449" s="15">
        <f ca="1">IFERROR(__xludf.DUMMYFUNCTION("""COMPUTED_VALUE"""),0.0416666666678793)</f>
        <v>4.1666666667879299E-2</v>
      </c>
      <c r="J449" s="16">
        <f ca="1">IFERROR(__xludf.DUMMYFUNCTION("""COMPUTED_VALUE"""),43843.25)</f>
        <v>43843.25</v>
      </c>
      <c r="K449" t="str">
        <f ca="1">IFERROR(__xludf.DUMMYFUNCTION("""COMPUTED_VALUE"""),"20ft Sea Ark FL5351SJ UNF 2015")</f>
        <v>20ft Sea Ark FL5351SJ UNF 2015</v>
      </c>
      <c r="M449" t="str">
        <f ca="1">IFERROR(__xludf.DUMMYFUNCTION("""COMPUTED_VALUE"""),"Ford F150 2010 (4 Door) - DEP07668")</f>
        <v>Ford F150 2010 (4 Door) - DEP07668</v>
      </c>
      <c r="N449" t="str">
        <f ca="1">IFERROR(__xludf.DUMMYFUNCTION("""COMPUTED_VALUE"""),"Pam Marcum, (480) 332-5414")</f>
        <v>Pam Marcum, (480) 332-5414</v>
      </c>
      <c r="O449" t="str">
        <f ca="1">IFERROR(__xludf.DUMMYFUNCTION("""COMPUTED_VALUE"""),"Gabriela Canas, (904) 891-9743, Ches verveak, Harris stevens")</f>
        <v>Gabriela Canas, (904) 891-9743, Ches verveak, Harris stevens</v>
      </c>
      <c r="P449" t="str">
        <f ca="1">IFERROR(__xludf.DUMMYFUNCTION("""COMPUTED_VALUE"""),"Pam marcum")</f>
        <v>Pam marcum</v>
      </c>
      <c r="Q449" t="str">
        <f ca="1">IFERROR(__xludf.DUMMYFUNCTION("""COMPUTED_VALUE"""),"All items in working order")</f>
        <v>All items in working order</v>
      </c>
      <c r="AE449" s="11"/>
      <c r="AF449" t="str">
        <v>Nikki.Dix@floridadep.gov</v>
      </c>
      <c r="AG449" s="17" t="s">
        <v>17</v>
      </c>
      <c r="AH449" s="12">
        <v>1350</v>
      </c>
      <c r="AI449" s="12" t="s">
        <v>1296</v>
      </c>
      <c r="AJ449" s="19" t="s">
        <v>1297</v>
      </c>
      <c r="AK449" s="20" t="str">
        <f>HYPERLINK("https://docs.google.com/document/d/1vxcCLU2G787dd9A-0n4xk2kuYKjTA12u0o60lx1iN80/edit?usp=drivesdk","Gabriela Canas - 1/13/2020 7:30 AM")</f>
        <v>Gabriela Canas - 1/13/2020 7:30 AM</v>
      </c>
      <c r="AL449" s="12" t="s">
        <v>1298</v>
      </c>
    </row>
    <row r="450" spans="1:38" ht="12.75">
      <c r="A450" s="10">
        <f ca="1">IFERROR(__xludf.DUMMYFUNCTION("""COMPUTED_VALUE"""),43844.3026042939)</f>
        <v>43844.302604293902</v>
      </c>
      <c r="B450" s="11" t="str">
        <f ca="1">IFERROR(__xludf.DUMMYFUNCTION("""COMPUTED_VALUE"""),"Pam Marcum")</f>
        <v>Pam Marcum</v>
      </c>
      <c r="C450" t="str">
        <f ca="1">IFERROR(__xludf.DUMMYFUNCTION("""COMPUTED_VALUE"""),"pamela.marcum@dep.state.fl.us")</f>
        <v>pamela.marcum@dep.state.fl.us</v>
      </c>
      <c r="D450" t="str">
        <f ca="1">IFERROR(__xludf.DUMMYFUNCTION("""COMPUTED_VALUE"""),"Research/Nikki")</f>
        <v>Research/Nikki</v>
      </c>
      <c r="E450" t="str">
        <f ca="1">IFERROR(__xludf.DUMMYFUNCTION("""COMPUTED_VALUE"""),"Shore Dr - Crane Park")</f>
        <v>Shore Dr - Crane Park</v>
      </c>
      <c r="F450" s="13">
        <f ca="1">IFERROR(__xludf.DUMMYFUNCTION("""COMPUTED_VALUE"""),0.291666666667879)</f>
        <v>0.29166666666787899</v>
      </c>
      <c r="G450" s="14">
        <f ca="1">IFERROR(__xludf.DUMMYFUNCTION("""COMPUTED_VALUE"""),43844)</f>
        <v>43844</v>
      </c>
      <c r="H450" t="str">
        <f ca="1">IFERROR(__xludf.DUMMYFUNCTION("""COMPUTED_VALUE"""),"Gabby Creek")</f>
        <v>Gabby Creek</v>
      </c>
      <c r="I450" s="15">
        <f ca="1">IFERROR(__xludf.DUMMYFUNCTION("""COMPUTED_VALUE"""),0.625)</f>
        <v>0.625</v>
      </c>
      <c r="J450" s="16">
        <f ca="1">IFERROR(__xludf.DUMMYFUNCTION("""COMPUTED_VALUE"""),43844.6666666666)</f>
        <v>43844.666666666599</v>
      </c>
      <c r="K450" t="str">
        <f ca="1">IFERROR(__xludf.DUMMYFUNCTION("""COMPUTED_VALUE"""),"20ft Sea Ark FL5351SJ UNF 2015")</f>
        <v>20ft Sea Ark FL5351SJ UNF 2015</v>
      </c>
      <c r="M450" t="str">
        <f ca="1">IFERROR(__xludf.DUMMYFUNCTION("""COMPUTED_VALUE"""),"Ford F150 2010 (4 Door) - DEP07668")</f>
        <v>Ford F150 2010 (4 Door) - DEP07668</v>
      </c>
      <c r="N450" t="str">
        <f ca="1">IFERROR(__xludf.DUMMYFUNCTION("""COMPUTED_VALUE"""),"Pam Marcum, (480) 332-5414")</f>
        <v>Pam Marcum, (480) 332-5414</v>
      </c>
      <c r="O450" t="str">
        <f ca="1">IFERROR(__xludf.DUMMYFUNCTION("""COMPUTED_VALUE"""),"Ches Veevaeke, Harris Stevens")</f>
        <v>Ches Veevaeke, Harris Stevens</v>
      </c>
      <c r="P450" t="str">
        <f ca="1">IFERROR(__xludf.DUMMYFUNCTION("""COMPUTED_VALUE"""),"Pam")</f>
        <v>Pam</v>
      </c>
      <c r="Q450" t="str">
        <f ca="1">IFERROR(__xludf.DUMMYFUNCTION("""COMPUTED_VALUE"""),"All items in working order")</f>
        <v>All items in working order</v>
      </c>
      <c r="AE450" s="11"/>
      <c r="AF450" t="str">
        <v>Nikki.Dix@floridadep.gov</v>
      </c>
      <c r="AG450" s="17" t="s">
        <v>58</v>
      </c>
      <c r="AH450" s="12">
        <v>1455</v>
      </c>
      <c r="AI450" s="12" t="s">
        <v>1299</v>
      </c>
      <c r="AJ450" s="19" t="s">
        <v>1300</v>
      </c>
      <c r="AK450" s="20" t="str">
        <f>HYPERLINK("https://docs.google.com/document/d/1P-w6hP0JJ9aHdnVtE_cy6KvZFgiNy7248mQ9lxxED0E/edit?usp=drivesdk","Pam Marcum - 1/14/2020 7:00 AM")</f>
        <v>Pam Marcum - 1/14/2020 7:00 AM</v>
      </c>
      <c r="AL450" s="12" t="s">
        <v>1301</v>
      </c>
    </row>
    <row r="451" spans="1:38" ht="12.75">
      <c r="A451" s="10">
        <f ca="1">IFERROR(__xludf.DUMMYFUNCTION("""COMPUTED_VALUE"""),43845.4215770833)</f>
        <v>43845.421577083303</v>
      </c>
      <c r="B451" s="11" t="str">
        <f ca="1">IFERROR(__xludf.DUMMYFUNCTION("""COMPUTED_VALUE"""),"Alexandria Knoell")</f>
        <v>Alexandria Knoell</v>
      </c>
      <c r="C451" t="str">
        <f ca="1">IFERROR(__xludf.DUMMYFUNCTION("""COMPUTED_VALUE"""),"alee.knoell@floridadep.gov")</f>
        <v>alee.knoell@floridadep.gov</v>
      </c>
      <c r="D451" t="str">
        <f ca="1">IFERROR(__xludf.DUMMYFUNCTION("""COMPUTED_VALUE"""),"Research/Nikki")</f>
        <v>Research/Nikki</v>
      </c>
      <c r="E451" t="str">
        <f ca="1">IFERROR(__xludf.DUMMYFUNCTION("""COMPUTED_VALUE"""),"Faver dykes")</f>
        <v>Faver dykes</v>
      </c>
      <c r="F451" s="13">
        <f ca="1">IFERROR(__xludf.DUMMYFUNCTION("""COMPUTED_VALUE"""),0.416666666667879)</f>
        <v>0.41666666666787899</v>
      </c>
      <c r="G451" s="14">
        <f ca="1">IFERROR(__xludf.DUMMYFUNCTION("""COMPUTED_VALUE"""),43845)</f>
        <v>43845</v>
      </c>
      <c r="H451" t="str">
        <f ca="1">IFERROR(__xludf.DUMMYFUNCTION("""COMPUTED_VALUE"""),"SSAM platforms")</f>
        <v>SSAM platforms</v>
      </c>
      <c r="I451" s="15">
        <f ca="1">IFERROR(__xludf.DUMMYFUNCTION("""COMPUTED_VALUE"""),0.5)</f>
        <v>0.5</v>
      </c>
      <c r="J451" s="16">
        <f ca="1">IFERROR(__xludf.DUMMYFUNCTION("""COMPUTED_VALUE"""),43845.5833333333)</f>
        <v>43845.583333333299</v>
      </c>
      <c r="K451" t="str">
        <f ca="1">IFERROR(__xludf.DUMMYFUNCTION("""COMPUTED_VALUE"""),"23ft Skiff (Bertha) FL7972LJ DEP07613")</f>
        <v>23ft Skiff (Bertha) FL7972LJ DEP07613</v>
      </c>
      <c r="M451" t="str">
        <f ca="1">IFERROR(__xludf.DUMMYFUNCTION("""COMPUTED_VALUE"""),"Ford F150 2015 (White) - DEP21448")</f>
        <v>Ford F150 2015 (White) - DEP21448</v>
      </c>
      <c r="N451" t="str">
        <f ca="1">IFERROR(__xludf.DUMMYFUNCTION("""COMPUTED_VALUE"""),"Pam Marcum, (480) 332-5414")</f>
        <v>Pam Marcum, (480) 332-5414</v>
      </c>
      <c r="O451" t="str">
        <f ca="1">IFERROR(__xludf.DUMMYFUNCTION("""COMPUTED_VALUE"""),"Alee Knoell, (619) 750-4833, Josie, Candace, Eric, Andrew")</f>
        <v>Alee Knoell, (619) 750-4833, Josie, Candace, Eric, Andrew</v>
      </c>
      <c r="P451" t="str">
        <f ca="1">IFERROR(__xludf.DUMMYFUNCTION("""COMPUTED_VALUE"""),"Pam marcum")</f>
        <v>Pam marcum</v>
      </c>
      <c r="Q451" t="str">
        <f ca="1">IFERROR(__xludf.DUMMYFUNCTION("""COMPUTED_VALUE"""),"All items in working order")</f>
        <v>All items in working order</v>
      </c>
      <c r="AE451" s="11"/>
      <c r="AF451" t="str">
        <v>Nikki.Dix@floridadep.gov</v>
      </c>
      <c r="AG451" s="17" t="s">
        <v>17</v>
      </c>
      <c r="AH451" s="12">
        <v>1230</v>
      </c>
      <c r="AI451" s="12" t="s">
        <v>1302</v>
      </c>
      <c r="AJ451" s="19" t="s">
        <v>1303</v>
      </c>
      <c r="AK451" s="20" t="str">
        <f>HYPERLINK("https://docs.google.com/document/d/1NYFBa2d_xJ4JGqNufDWqoEfYErT_YP-ItFLdDxsGPoY/edit?usp=drivesdk","Alexandria Knoell - 1/15/2020 10:00 AM")</f>
        <v>Alexandria Knoell - 1/15/2020 10:00 AM</v>
      </c>
      <c r="AL451" s="12" t="s">
        <v>1304</v>
      </c>
    </row>
    <row r="452" spans="1:38" ht="12.75">
      <c r="A452" s="10">
        <f ca="1">IFERROR(__xludf.DUMMYFUNCTION("""COMPUTED_VALUE"""),43846.3996117013)</f>
        <v>43846.399611701301</v>
      </c>
      <c r="B452" s="11" t="str">
        <f ca="1">IFERROR(__xludf.DUMMYFUNCTION("""COMPUTED_VALUE"""),"J Silas Tanner")</f>
        <v>J Silas Tanner</v>
      </c>
      <c r="C452" t="str">
        <f ca="1">IFERROR(__xludf.DUMMYFUNCTION("""COMPUTED_VALUE"""),"silas.tanner@floridadep.gov")</f>
        <v>silas.tanner@floridadep.gov</v>
      </c>
      <c r="D452" t="str">
        <f ca="1">IFERROR(__xludf.DUMMYFUNCTION("""COMPUTED_VALUE"""),"Research/Nikki")</f>
        <v>Research/Nikki</v>
      </c>
      <c r="E452" t="str">
        <f ca="1">IFERROR(__xludf.DUMMYFUNCTION("""COMPUTED_VALUE"""),"Crane")</f>
        <v>Crane</v>
      </c>
      <c r="F452" s="13">
        <f ca="1">IFERROR(__xludf.DUMMYFUNCTION("""COMPUTED_VALUE"""),0.45833333333212)</f>
        <v>0.45833333333212001</v>
      </c>
      <c r="G452" s="14">
        <f ca="1">IFERROR(__xludf.DUMMYFUNCTION("""COMPUTED_VALUE"""),43846)</f>
        <v>43846</v>
      </c>
      <c r="H452" t="str">
        <f ca="1">IFERROR(__xludf.DUMMYFUNCTION("""COMPUTED_VALUE"""),"SWMP Site 22 platforms")</f>
        <v>SWMP Site 22 platforms</v>
      </c>
      <c r="I452" s="15">
        <f ca="1">IFERROR(__xludf.DUMMYFUNCTION("""COMPUTED_VALUE"""),0.666666666667879)</f>
        <v>0.66666666666787899</v>
      </c>
      <c r="J452" s="16">
        <f ca="1">IFERROR(__xludf.DUMMYFUNCTION("""COMPUTED_VALUE"""),43846.6875)</f>
        <v>43846.6875</v>
      </c>
      <c r="K452" t="str">
        <f ca="1">IFERROR(__xludf.DUMMYFUNCTION("""COMPUTED_VALUE"""),"20ft Sea Ark FL5351SJ UNF 2015")</f>
        <v>20ft Sea Ark FL5351SJ UNF 2015</v>
      </c>
      <c r="M452" t="str">
        <f ca="1">IFERROR(__xludf.DUMMYFUNCTION("""COMPUTED_VALUE"""),"Ford F250 2017 (Moby Dix) - DEP0021578")</f>
        <v>Ford F250 2017 (Moby Dix) - DEP0021578</v>
      </c>
      <c r="N452" t="str">
        <f ca="1">IFERROR(__xludf.DUMMYFUNCTION("""COMPUTED_VALUE"""),"Silas Tanner, (904) 483-8423")</f>
        <v>Silas Tanner, (904) 483-8423</v>
      </c>
      <c r="O452" t="str">
        <f ca="1">IFERROR(__xludf.DUMMYFUNCTION("""COMPUTED_VALUE"""),"Jessica Lee, Chris Blanco")</f>
        <v>Jessica Lee, Chris Blanco</v>
      </c>
      <c r="P452" t="str">
        <f ca="1">IFERROR(__xludf.DUMMYFUNCTION("""COMPUTED_VALUE"""),"Tanner")</f>
        <v>Tanner</v>
      </c>
      <c r="Q452" t="str">
        <f ca="1">IFERROR(__xludf.DUMMYFUNCTION("""COMPUTED_VALUE"""),"All items in working order")</f>
        <v>All items in working order</v>
      </c>
      <c r="AE452" s="11"/>
      <c r="AF452" t="str">
        <v>Nikki.Dix@floridadep.gov</v>
      </c>
      <c r="AG452" s="17" t="s">
        <v>17</v>
      </c>
      <c r="AH452" s="12">
        <v>1425</v>
      </c>
      <c r="AI452" s="12" t="s">
        <v>1305</v>
      </c>
      <c r="AJ452" s="19" t="s">
        <v>1306</v>
      </c>
      <c r="AK452" s="20" t="str">
        <f>HYPERLINK("https://docs.google.com/document/d/1pWK2QB9i5Z5g8copLcUu0qRLufMVCIWz1GjpKGk2rrc/edit?usp=drivesdk","J Silas Tanner - 1/16/2020 11:00 AM")</f>
        <v>J Silas Tanner - 1/16/2020 11:00 AM</v>
      </c>
      <c r="AL452" s="12" t="s">
        <v>1307</v>
      </c>
    </row>
    <row r="453" spans="1:38" ht="12.75">
      <c r="A453" s="10">
        <f ca="1">IFERROR(__xludf.DUMMYFUNCTION("""COMPUTED_VALUE"""),43847.2892713888)</f>
        <v>43847.2892713888</v>
      </c>
      <c r="B453" s="11" t="str">
        <f ca="1">IFERROR(__xludf.DUMMYFUNCTION("""COMPUTED_VALUE"""),"Jimmy Tomazinis")</f>
        <v>Jimmy Tomazinis</v>
      </c>
      <c r="C453" t="str">
        <f ca="1">IFERROR(__xludf.DUMMYFUNCTION("""COMPUTED_VALUE"""),"james.tomazinis@floridadep.gov")</f>
        <v>james.tomazinis@floridadep.gov</v>
      </c>
      <c r="D453" t="str">
        <f ca="1">IFERROR(__xludf.DUMMYFUNCTION("""COMPUTED_VALUE"""),"Stewardship (Aquatic)")</f>
        <v>Stewardship (Aquatic)</v>
      </c>
      <c r="E453" t="str">
        <f ca="1">IFERROR(__xludf.DUMMYFUNCTION("""COMPUTED_VALUE"""),"Beach Blvd")</f>
        <v>Beach Blvd</v>
      </c>
      <c r="F453" s="13">
        <f ca="1">IFERROR(__xludf.DUMMYFUNCTION("""COMPUTED_VALUE"""),0.375)</f>
        <v>0.375</v>
      </c>
      <c r="G453" s="14">
        <f ca="1">IFERROR(__xludf.DUMMYFUNCTION("""COMPUTED_VALUE"""),43847)</f>
        <v>43847</v>
      </c>
      <c r="H453" t="str">
        <f ca="1">IFERROR(__xludf.DUMMYFUNCTION("""COMPUTED_VALUE"""),"Webb Property")</f>
        <v>Webb Property</v>
      </c>
      <c r="I453" s="15">
        <f ca="1">IFERROR(__xludf.DUMMYFUNCTION("""COMPUTED_VALUE"""),0.58333333333212)</f>
        <v>0.58333333333212001</v>
      </c>
      <c r="J453" s="16"/>
      <c r="K453" t="str">
        <f ca="1">IFERROR(__xludf.DUMMYFUNCTION("""COMPUTED_VALUE"""),"23ft Skiff (Bertha) FL7972LJ DEP07613")</f>
        <v>23ft Skiff (Bertha) FL7972LJ DEP07613</v>
      </c>
      <c r="M453" t="str">
        <f ca="1">IFERROR(__xludf.DUMMYFUNCTION("""COMPUTED_VALUE"""),"Ford F150 2018 (AP) - DEP21637")</f>
        <v>Ford F150 2018 (AP) - DEP21637</v>
      </c>
      <c r="N453" t="str">
        <f ca="1">IFERROR(__xludf.DUMMYFUNCTION("""COMPUTED_VALUE"""),"Scott Eastman, (904) 501-9267, Jimmy Tomazinis, (904) 547-0094")</f>
        <v>Scott Eastman, (904) 501-9267, Jimmy Tomazinis, (904) 547-0094</v>
      </c>
      <c r="O453" t="str">
        <f ca="1">IFERROR(__xludf.DUMMYFUNCTION("""COMPUTED_VALUE"""),"Kelly Smith, Hunter Mathews, Craig Hargis")</f>
        <v>Kelly Smith, Hunter Mathews, Craig Hargis</v>
      </c>
      <c r="P453" t="str">
        <f ca="1">IFERROR(__xludf.DUMMYFUNCTION("""COMPUTED_VALUE"""),"Jimmy")</f>
        <v>Jimmy</v>
      </c>
      <c r="Q453" t="str">
        <f ca="1">IFERROR(__xludf.DUMMYFUNCTION("""COMPUTED_VALUE"""),"All items in working order")</f>
        <v>All items in working order</v>
      </c>
      <c r="AE453" s="11"/>
      <c r="AF453" t="str">
        <v>Scott.Eastman@floridadep.gov</v>
      </c>
      <c r="AG453" s="17" t="s">
        <v>113</v>
      </c>
      <c r="AH453" s="12">
        <v>1100</v>
      </c>
      <c r="AI453" s="12" t="s">
        <v>1308</v>
      </c>
      <c r="AJ453" s="19" t="s">
        <v>1309</v>
      </c>
      <c r="AK453" s="20" t="str">
        <f>HYPERLINK("https://docs.google.com/document/d/1nm0g3cHNcN8q6vpEqBQxuQ23aekuvwwuSIK_-z3m66M/edit?usp=drivesdk","Jimmy Tomazinis - 1/17/2020 9:00 AM")</f>
        <v>Jimmy Tomazinis - 1/17/2020 9:00 AM</v>
      </c>
      <c r="AL453" s="12" t="s">
        <v>1310</v>
      </c>
    </row>
    <row r="454" spans="1:38" ht="12.75">
      <c r="A454" s="10">
        <f ca="1">IFERROR(__xludf.DUMMYFUNCTION("""COMPUTED_VALUE"""),43853.4871665856)</f>
        <v>43853.487166585597</v>
      </c>
      <c r="B454" s="11" t="str">
        <f ca="1">IFERROR(__xludf.DUMMYFUNCTION("""COMPUTED_VALUE"""),"Pam Marcum")</f>
        <v>Pam Marcum</v>
      </c>
      <c r="C454" t="str">
        <f ca="1">IFERROR(__xludf.DUMMYFUNCTION("""COMPUTED_VALUE"""),"Pamela.Marcum@FloridaDEP.gov")</f>
        <v>Pamela.Marcum@FloridaDEP.gov</v>
      </c>
      <c r="D454" t="str">
        <f ca="1">IFERROR(__xludf.DUMMYFUNCTION("""COMPUTED_VALUE"""),"Research/Nikki")</f>
        <v>Research/Nikki</v>
      </c>
      <c r="E454" t="str">
        <f ca="1">IFERROR(__xludf.DUMMYFUNCTION("""COMPUTED_VALUE"""),"Green Rd")</f>
        <v>Green Rd</v>
      </c>
      <c r="F454" s="13">
        <f ca="1">IFERROR(__xludf.DUMMYFUNCTION("""COMPUTED_VALUE"""),0.541666666667879)</f>
        <v>0.54166666666787899</v>
      </c>
      <c r="G454" s="14">
        <f ca="1">IFERROR(__xludf.DUMMYFUNCTION("""COMPUTED_VALUE"""),43853)</f>
        <v>43853</v>
      </c>
      <c r="H454" t="str">
        <f ca="1">IFERROR(__xludf.DUMMYFUNCTION("""COMPUTED_VALUE"""),"Moses flats")</f>
        <v>Moses flats</v>
      </c>
      <c r="I454" s="15">
        <f ca="1">IFERROR(__xludf.DUMMYFUNCTION("""COMPUTED_VALUE"""),0.6875)</f>
        <v>0.6875</v>
      </c>
      <c r="J454" s="16">
        <f ca="1">IFERROR(__xludf.DUMMYFUNCTION("""COMPUTED_VALUE"""),43853.7291666666)</f>
        <v>43853.729166666599</v>
      </c>
      <c r="K454" t="str">
        <f ca="1">IFERROR(__xludf.DUMMYFUNCTION("""COMPUTED_VALUE"""),"20ft Sea Ark FL5351SJ UNF 2015")</f>
        <v>20ft Sea Ark FL5351SJ UNF 2015</v>
      </c>
      <c r="M454" t="str">
        <f ca="1">IFERROR(__xludf.DUMMYFUNCTION("""COMPUTED_VALUE"""),"Ford F250 2017 (Moby Dix) - DEP0021578")</f>
        <v>Ford F250 2017 (Moby Dix) - DEP0021578</v>
      </c>
      <c r="N454" t="str">
        <f ca="1">IFERROR(__xludf.DUMMYFUNCTION("""COMPUTED_VALUE"""),"Pam Marcum, (480) 332-5414")</f>
        <v>Pam Marcum, (480) 332-5414</v>
      </c>
      <c r="O454" t="str">
        <f ca="1">IFERROR(__xludf.DUMMYFUNCTION("""COMPUTED_VALUE"""),"Alee Knoell, (619) 750-4833, Steve Brown, Chris Blanco, Adrienne Breef-Pilz")</f>
        <v>Alee Knoell, (619) 750-4833, Steve Brown, Chris Blanco, Adrienne Breef-Pilz</v>
      </c>
      <c r="P454" t="str">
        <f ca="1">IFERROR(__xludf.DUMMYFUNCTION("""COMPUTED_VALUE"""),"Pam")</f>
        <v>Pam</v>
      </c>
      <c r="Q454" t="str">
        <f ca="1">IFERROR(__xludf.DUMMYFUNCTION("""COMPUTED_VALUE"""),"All items in working order")</f>
        <v>All items in working order</v>
      </c>
      <c r="AE454" s="11"/>
      <c r="AF454" t="str">
        <v>Nikki.Dix@floridadep.gov</v>
      </c>
      <c r="AG454" s="17" t="s">
        <v>113</v>
      </c>
      <c r="AH454" s="12">
        <v>1630</v>
      </c>
      <c r="AI454" s="12" t="s">
        <v>1311</v>
      </c>
      <c r="AJ454" s="19" t="s">
        <v>1312</v>
      </c>
      <c r="AK454" s="20" t="str">
        <f>HYPERLINK("https://docs.google.com/document/d/1vr68pb_4DSQ2K_rUzUyFGyXqreH2BWPTyvGlQ3QgH5g/edit?usp=drivesdk","Pam Marcum - 1/23/2020 1:00 PM")</f>
        <v>Pam Marcum - 1/23/2020 1:00 PM</v>
      </c>
      <c r="AL454" s="12" t="s">
        <v>1313</v>
      </c>
    </row>
    <row r="455" spans="1:38" ht="12.75">
      <c r="A455" s="10">
        <f ca="1">IFERROR(__xludf.DUMMYFUNCTION("""COMPUTED_VALUE"""),43854.4641476736)</f>
        <v>43854.4641476736</v>
      </c>
      <c r="B455" s="11" t="str">
        <f ca="1">IFERROR(__xludf.DUMMYFUNCTION("""COMPUTED_VALUE"""),"Pam Marcum")</f>
        <v>Pam Marcum</v>
      </c>
      <c r="C455" t="str">
        <f ca="1">IFERROR(__xludf.DUMMYFUNCTION("""COMPUTED_VALUE"""),"Pamela.Marcum@FloridaDEP.gov")</f>
        <v>Pamela.Marcum@FloridaDEP.gov</v>
      </c>
      <c r="D455" t="str">
        <f ca="1">IFERROR(__xludf.DUMMYFUNCTION("""COMPUTED_VALUE"""),"Research/Nikki")</f>
        <v>Research/Nikki</v>
      </c>
      <c r="E455" t="str">
        <f ca="1">IFERROR(__xludf.DUMMYFUNCTION("""COMPUTED_VALUE"""),"Vilano")</f>
        <v>Vilano</v>
      </c>
      <c r="F455" s="13">
        <f ca="1">IFERROR(__xludf.DUMMYFUNCTION("""COMPUTED_VALUE"""),0.5625)</f>
        <v>0.5625</v>
      </c>
      <c r="G455" s="14">
        <f ca="1">IFERROR(__xludf.DUMMYFUNCTION("""COMPUTED_VALUE"""),43854)</f>
        <v>43854</v>
      </c>
      <c r="H455" t="str">
        <f ca="1">IFERROR(__xludf.DUMMYFUNCTION("""COMPUTED_VALUE"""),"San Sebastian")</f>
        <v>San Sebastian</v>
      </c>
      <c r="I455" s="15">
        <f ca="1">IFERROR(__xludf.DUMMYFUNCTION("""COMPUTED_VALUE"""),0.6875)</f>
        <v>0.6875</v>
      </c>
      <c r="J455" s="16">
        <f ca="1">IFERROR(__xludf.DUMMYFUNCTION("""COMPUTED_VALUE"""),43854.7083333333)</f>
        <v>43854.708333333299</v>
      </c>
      <c r="K455" t="str">
        <f ca="1">IFERROR(__xludf.DUMMYFUNCTION("""COMPUTED_VALUE"""),"20ft Sea Ark FL5351SJ UNF 2015")</f>
        <v>20ft Sea Ark FL5351SJ UNF 2015</v>
      </c>
      <c r="M455" t="str">
        <f ca="1">IFERROR(__xludf.DUMMYFUNCTION("""COMPUTED_VALUE"""),"Ford F250 2017 (Moby Dix) - DEP0021578")</f>
        <v>Ford F250 2017 (Moby Dix) - DEP0021578</v>
      </c>
      <c r="N455" t="str">
        <f ca="1">IFERROR(__xludf.DUMMYFUNCTION("""COMPUTED_VALUE"""),"Pam Marcum, (480) 332-5414")</f>
        <v>Pam Marcum, (480) 332-5414</v>
      </c>
      <c r="O455" t="str">
        <f ca="1">IFERROR(__xludf.DUMMYFUNCTION("""COMPUTED_VALUE"""),"Alee Knoell, (619) 750-4833, Shelby Harrell, Pam Korchun, Rick Fitzgerald")</f>
        <v>Alee Knoell, (619) 750-4833, Shelby Harrell, Pam Korchun, Rick Fitzgerald</v>
      </c>
      <c r="P455" t="str">
        <f ca="1">IFERROR(__xludf.DUMMYFUNCTION("""COMPUTED_VALUE"""),"Pam")</f>
        <v>Pam</v>
      </c>
      <c r="Q455" t="str">
        <f ca="1">IFERROR(__xludf.DUMMYFUNCTION("""COMPUTED_VALUE"""),"All items in working order")</f>
        <v>All items in working order</v>
      </c>
      <c r="AE455" s="11"/>
      <c r="AF455" t="str">
        <v>Nikki.Dix@floridadep.gov</v>
      </c>
      <c r="AG455" s="17" t="s">
        <v>17</v>
      </c>
      <c r="AH455" s="12">
        <v>1540</v>
      </c>
      <c r="AI455" s="12" t="s">
        <v>1314</v>
      </c>
      <c r="AJ455" s="19" t="s">
        <v>1315</v>
      </c>
      <c r="AK455" s="20" t="str">
        <f>HYPERLINK("https://docs.google.com/document/d/1HSV531QesEHaEoEg2JNly_qNU43bFBGSW6qae_3nnUQ/edit?usp=drivesdk","Pam Marcum - 1/24/2020 1:30 PM")</f>
        <v>Pam Marcum - 1/24/2020 1:30 PM</v>
      </c>
      <c r="AL455" s="12" t="s">
        <v>1316</v>
      </c>
    </row>
    <row r="456" spans="1:38" ht="12.75">
      <c r="A456" s="10">
        <f ca="1">IFERROR(__xludf.DUMMYFUNCTION("""COMPUTED_VALUE"""),43858.3418286111)</f>
        <v>43858.341828611097</v>
      </c>
      <c r="B456" s="11" t="str">
        <f ca="1">IFERROR(__xludf.DUMMYFUNCTION("""COMPUTED_VALUE"""),"Silas Tanner")</f>
        <v>Silas Tanner</v>
      </c>
      <c r="C456" t="str">
        <f ca="1">IFERROR(__xludf.DUMMYFUNCTION("""COMPUTED_VALUE"""),"silas.tanner@floridadep.gov")</f>
        <v>silas.tanner@floridadep.gov</v>
      </c>
      <c r="D456" t="str">
        <f ca="1">IFERROR(__xludf.DUMMYFUNCTION("""COMPUTED_VALUE"""),"Research/Nikki")</f>
        <v>Research/Nikki</v>
      </c>
      <c r="E456" t="str">
        <f ca="1">IFERROR(__xludf.DUMMYFUNCTION("""COMPUTED_VALUE"""),"Vilano Landing")</f>
        <v>Vilano Landing</v>
      </c>
      <c r="F456" s="13">
        <f ca="1">IFERROR(__xludf.DUMMYFUNCTION("""COMPUTED_VALUE"""),0.39583333333212)</f>
        <v>0.39583333333212001</v>
      </c>
      <c r="G456" s="14">
        <f ca="1">IFERROR(__xludf.DUMMYFUNCTION("""COMPUTED_VALUE"""),43858)</f>
        <v>43858</v>
      </c>
      <c r="H456" t="str">
        <f ca="1">IFERROR(__xludf.DUMMYFUNCTION("""COMPUTED_VALUE"""),"ICW SWMP sites")</f>
        <v>ICW SWMP sites</v>
      </c>
      <c r="I456" s="15">
        <f ca="1">IFERROR(__xludf.DUMMYFUNCTION("""COMPUTED_VALUE"""),0.604166666667879)</f>
        <v>0.60416666666787899</v>
      </c>
      <c r="J456" s="16">
        <f ca="1">IFERROR(__xludf.DUMMYFUNCTION("""COMPUTED_VALUE"""),43858.6458333333)</f>
        <v>43858.645833333299</v>
      </c>
      <c r="K456" t="str">
        <f ca="1">IFERROR(__xludf.DUMMYFUNCTION("""COMPUTED_VALUE"""),"20ft Sea Ark FL5351SJ UNF 2015")</f>
        <v>20ft Sea Ark FL5351SJ UNF 2015</v>
      </c>
      <c r="M456" t="str">
        <f ca="1">IFERROR(__xludf.DUMMYFUNCTION("""COMPUTED_VALUE"""),"Ford F250 2017 (Moby Dix) - DEP0021578")</f>
        <v>Ford F250 2017 (Moby Dix) - DEP0021578</v>
      </c>
      <c r="N456" t="str">
        <f ca="1">IFERROR(__xludf.DUMMYFUNCTION("""COMPUTED_VALUE"""),"Silas Tanner, (904) 483-8423, Remo Mondazzi")</f>
        <v>Silas Tanner, (904) 483-8423, Remo Mondazzi</v>
      </c>
      <c r="P456" t="str">
        <f ca="1">IFERROR(__xludf.DUMMYFUNCTION("""COMPUTED_VALUE"""),"Silas Tanner")</f>
        <v>Silas Tanner</v>
      </c>
      <c r="Q456" t="str">
        <f ca="1">IFERROR(__xludf.DUMMYFUNCTION("""COMPUTED_VALUE"""),"All items in working order")</f>
        <v>All items in working order</v>
      </c>
      <c r="AE456" s="11"/>
      <c r="AF456" t="str">
        <v>Nikki.Dix@floridadep.gov</v>
      </c>
      <c r="AG456" s="17" t="s">
        <v>58</v>
      </c>
      <c r="AH456" s="12">
        <v>1415</v>
      </c>
      <c r="AI456" s="12" t="s">
        <v>1317</v>
      </c>
      <c r="AJ456" s="19" t="s">
        <v>1318</v>
      </c>
      <c r="AK456" s="20" t="str">
        <f>HYPERLINK("https://docs.google.com/document/d/15riDRQddFewoCtebM5b3K6E6ZRdQtOvmuVhW4mV5b2w/edit?usp=drivesdk","Silas Tanner - 1/28/2020 9:30 AM")</f>
        <v>Silas Tanner - 1/28/2020 9:30 AM</v>
      </c>
      <c r="AL456" s="12" t="s">
        <v>1319</v>
      </c>
    </row>
    <row r="457" spans="1:38" ht="12.75">
      <c r="A457" s="10">
        <f ca="1">IFERROR(__xludf.DUMMYFUNCTION("""COMPUTED_VALUE"""),43858.362899456)</f>
        <v>43858.362899455999</v>
      </c>
      <c r="B457" s="11" t="str">
        <f ca="1">IFERROR(__xludf.DUMMYFUNCTION("""COMPUTED_VALUE"""),"Jimmy Tomazinis")</f>
        <v>Jimmy Tomazinis</v>
      </c>
      <c r="C457" t="str">
        <f ca="1">IFERROR(__xludf.DUMMYFUNCTION("""COMPUTED_VALUE"""),"james.tomazinis@floridadep.gov")</f>
        <v>james.tomazinis@floridadep.gov</v>
      </c>
      <c r="D457" t="str">
        <f ca="1">IFERROR(__xludf.DUMMYFUNCTION("""COMPUTED_VALUE"""),"Stewardship (Aquatic)")</f>
        <v>Stewardship (Aquatic)</v>
      </c>
      <c r="E457" t="str">
        <f ca="1">IFERROR(__xludf.DUMMYFUNCTION("""COMPUTED_VALUE"""),"Guana Dam")</f>
        <v>Guana Dam</v>
      </c>
      <c r="F457" s="13">
        <f ca="1">IFERROR(__xludf.DUMMYFUNCTION("""COMPUTED_VALUE"""),0.39583333333212)</f>
        <v>0.39583333333212001</v>
      </c>
      <c r="G457" s="14">
        <f ca="1">IFERROR(__xludf.DUMMYFUNCTION("""COMPUTED_VALUE"""),43858)</f>
        <v>43858</v>
      </c>
      <c r="H457" t="str">
        <f ca="1">IFERROR(__xludf.DUMMYFUNCTION("""COMPUTED_VALUE"""),"Guana Lake and River WQ sites")</f>
        <v>Guana Lake and River WQ sites</v>
      </c>
      <c r="I457" s="15">
        <f ca="1">IFERROR(__xludf.DUMMYFUNCTION("""COMPUTED_VALUE"""),0.625)</f>
        <v>0.625</v>
      </c>
      <c r="J457" s="16"/>
      <c r="K457" t="str">
        <f ca="1">IFERROR(__xludf.DUMMYFUNCTION("""COMPUTED_VALUE"""),"FWC mud boat")</f>
        <v>FWC mud boat</v>
      </c>
      <c r="M457" t="str">
        <f ca="1">IFERROR(__xludf.DUMMYFUNCTION("""COMPUTED_VALUE"""),"Ford F150 2018 (AP) - DEP21637")</f>
        <v>Ford F150 2018 (AP) - DEP21637</v>
      </c>
      <c r="N457" t="str">
        <f ca="1">IFERROR(__xludf.DUMMYFUNCTION("""COMPUTED_VALUE"""),"Jimmy Tomazinis, (904) 547-0094")</f>
        <v>Jimmy Tomazinis, (904) 547-0094</v>
      </c>
      <c r="O457" t="str">
        <f ca="1">IFERROR(__xludf.DUMMYFUNCTION("""COMPUTED_VALUE"""),"Jessica Lee")</f>
        <v>Jessica Lee</v>
      </c>
      <c r="P457" t="str">
        <f ca="1">IFERROR(__xludf.DUMMYFUNCTION("""COMPUTED_VALUE"""),"Jimmy")</f>
        <v>Jimmy</v>
      </c>
      <c r="Q457" t="str">
        <f ca="1">IFERROR(__xludf.DUMMYFUNCTION("""COMPUTED_VALUE"""),"All items in working order")</f>
        <v>All items in working order</v>
      </c>
      <c r="AE457" s="11"/>
      <c r="AF457" t="str">
        <v>Scott.Eastman@floridadep.gov</v>
      </c>
      <c r="AG457" s="17" t="s">
        <v>58</v>
      </c>
      <c r="AH457" s="12">
        <v>1510</v>
      </c>
      <c r="AI457" s="12" t="s">
        <v>1320</v>
      </c>
      <c r="AJ457" s="19" t="s">
        <v>1321</v>
      </c>
      <c r="AK457" s="20" t="str">
        <f>HYPERLINK("https://docs.google.com/document/d/1dYLg8a56TpS3ThfTK-kkrtwivojDdKrEDFi-Db6t4m8/edit?usp=drivesdk","Jimmy Tomazinis - 1/28/2020 9:30 AM")</f>
        <v>Jimmy Tomazinis - 1/28/2020 9:30 AM</v>
      </c>
      <c r="AL457" s="12" t="s">
        <v>1322</v>
      </c>
    </row>
    <row r="458" spans="1:38" ht="12.75">
      <c r="A458" s="10">
        <f ca="1">IFERROR(__xludf.DUMMYFUNCTION("""COMPUTED_VALUE"""),43861.2612169907)</f>
        <v>43861.261216990701</v>
      </c>
      <c r="B458" s="11" t="str">
        <f ca="1">IFERROR(__xludf.DUMMYFUNCTION("""COMPUTED_VALUE"""),"Pam Marcum")</f>
        <v>Pam Marcum</v>
      </c>
      <c r="C458" t="str">
        <f ca="1">IFERROR(__xludf.DUMMYFUNCTION("""COMPUTED_VALUE"""),"Pamela.Marcum@FloridaDEP.gov")</f>
        <v>Pamela.Marcum@FloridaDEP.gov</v>
      </c>
      <c r="D458" t="str">
        <f ca="1">IFERROR(__xludf.DUMMYFUNCTION("""COMPUTED_VALUE"""),"Research/Nikki")</f>
        <v>Research/Nikki</v>
      </c>
      <c r="E458" t="str">
        <f ca="1">IFERROR(__xludf.DUMMYFUNCTION("""COMPUTED_VALUE"""),"Butler")</f>
        <v>Butler</v>
      </c>
      <c r="F458" s="13">
        <f ca="1">IFERROR(__xludf.DUMMYFUNCTION("""COMPUTED_VALUE"""),0.291666666667879)</f>
        <v>0.29166666666787899</v>
      </c>
      <c r="G458" s="14">
        <f ca="1">IFERROR(__xludf.DUMMYFUNCTION("""COMPUTED_VALUE"""),43861)</f>
        <v>43861</v>
      </c>
      <c r="H458" t="str">
        <f ca="1">IFERROR(__xludf.DUMMYFUNCTION("""COMPUTED_VALUE"""),"Moses/Butler Flats")</f>
        <v>Moses/Butler Flats</v>
      </c>
      <c r="I458" s="15">
        <f ca="1">IFERROR(__xludf.DUMMYFUNCTION("""COMPUTED_VALUE"""),0.45833333333212)</f>
        <v>0.45833333333212001</v>
      </c>
      <c r="J458" s="16">
        <f ca="1">IFERROR(__xludf.DUMMYFUNCTION("""COMPUTED_VALUE"""),43861.625)</f>
        <v>43861.625</v>
      </c>
      <c r="K458" t="str">
        <f ca="1">IFERROR(__xludf.DUMMYFUNCTION("""COMPUTED_VALUE"""),"20ft Sea Ark FL5351SJ UNF 2015")</f>
        <v>20ft Sea Ark FL5351SJ UNF 2015</v>
      </c>
      <c r="M458" t="str">
        <f ca="1">IFERROR(__xludf.DUMMYFUNCTION("""COMPUTED_VALUE"""),"Ford F250 2017 (Moby Dix) - DEP0021578")</f>
        <v>Ford F250 2017 (Moby Dix) - DEP0021578</v>
      </c>
      <c r="N458" t="str">
        <f ca="1">IFERROR(__xludf.DUMMYFUNCTION("""COMPUTED_VALUE"""),"Pam Marcum, (480) 332-5414")</f>
        <v>Pam Marcum, (480) 332-5414</v>
      </c>
      <c r="O458" t="str">
        <f ca="1">IFERROR(__xludf.DUMMYFUNCTION("""COMPUTED_VALUE"""),"Alee Knoell, (619) 750-4833, Adrienne Breef-Pilz, Chris Blanco")</f>
        <v>Alee Knoell, (619) 750-4833, Adrienne Breef-Pilz, Chris Blanco</v>
      </c>
      <c r="P458" t="str">
        <f ca="1">IFERROR(__xludf.DUMMYFUNCTION("""COMPUTED_VALUE"""),"Pam")</f>
        <v>Pam</v>
      </c>
      <c r="Q458" t="str">
        <f ca="1">IFERROR(__xludf.DUMMYFUNCTION("""COMPUTED_VALUE"""),"All items in working order")</f>
        <v>All items in working order</v>
      </c>
      <c r="AE458" s="11"/>
      <c r="AF458" t="str">
        <v>Nikki.Dix@floridadep.gov</v>
      </c>
      <c r="AG458" s="17" t="s">
        <v>17</v>
      </c>
      <c r="AH458" s="12">
        <v>1000</v>
      </c>
      <c r="AI458" s="12" t="s">
        <v>1323</v>
      </c>
      <c r="AJ458" s="19" t="s">
        <v>1324</v>
      </c>
      <c r="AK458" s="20" t="str">
        <f>HYPERLINK("https://docs.google.com/document/d/1bOaRA6MwXwyJSUPqm-CvsNbw2NERAY_Pxr7kt3N14PE/edit?usp=drivesdk","Pam Marcum - 1/31/2020 7:00 AM")</f>
        <v>Pam Marcum - 1/31/2020 7:00 AM</v>
      </c>
      <c r="AL458" s="12" t="s">
        <v>1325</v>
      </c>
    </row>
    <row r="459" spans="1:38" ht="12.75">
      <c r="A459" s="10">
        <f ca="1">IFERROR(__xludf.DUMMYFUNCTION("""COMPUTED_VALUE"""),43863.6469605208)</f>
        <v>43863.646960520797</v>
      </c>
      <c r="B459" s="11" t="str">
        <f ca="1">IFERROR(__xludf.DUMMYFUNCTION("""COMPUTED_VALUE"""),"Ruben Allen")</f>
        <v>Ruben Allen</v>
      </c>
      <c r="C459" t="str">
        <f ca="1">IFERROR(__xludf.DUMMYFUNCTION("""COMPUTED_VALUE"""),"rubeall57@gmail.com")</f>
        <v>rubeall57@gmail.com</v>
      </c>
      <c r="D459" t="str">
        <f ca="1">IFERROR(__xludf.DUMMYFUNCTION("""COMPUTED_VALUE"""),"Research/Pam")</f>
        <v>Research/Pam</v>
      </c>
      <c r="E459" t="str">
        <f ca="1">IFERROR(__xludf.DUMMYFUNCTION("""COMPUTED_VALUE"""),"Vilano")</f>
        <v>Vilano</v>
      </c>
      <c r="F459" s="13">
        <f ca="1">IFERROR(__xludf.DUMMYFUNCTION("""COMPUTED_VALUE"""),0.322916666667879)</f>
        <v>0.32291666666787899</v>
      </c>
      <c r="G459" s="14">
        <f ca="1">IFERROR(__xludf.DUMMYFUNCTION("""COMPUTED_VALUE"""),43864)</f>
        <v>43864</v>
      </c>
      <c r="H459" t="str">
        <f ca="1">IFERROR(__xludf.DUMMYFUNCTION("""COMPUTED_VALUE"""),"North and South Spat runs")</f>
        <v>North and South Spat runs</v>
      </c>
      <c r="I459" s="15">
        <f ca="1">IFERROR(__xludf.DUMMYFUNCTION("""COMPUTED_VALUE"""),0.666666666667879)</f>
        <v>0.66666666666787899</v>
      </c>
      <c r="J459" s="16">
        <f ca="1">IFERROR(__xludf.DUMMYFUNCTION("""COMPUTED_VALUE"""),43864.1875)</f>
        <v>43864.1875</v>
      </c>
      <c r="K459" t="str">
        <f ca="1">IFERROR(__xludf.DUMMYFUNCTION("""COMPUTED_VALUE"""),"20ft Sea Ark FL5351SJ UNF 2015")</f>
        <v>20ft Sea Ark FL5351SJ UNF 2015</v>
      </c>
      <c r="M459" t="str">
        <f ca="1">IFERROR(__xludf.DUMMYFUNCTION("""COMPUTED_VALUE"""),"Ford F150 2015 (White) - DEP21448")</f>
        <v>Ford F150 2015 (White) - DEP21448</v>
      </c>
      <c r="N459" t="str">
        <f ca="1">IFERROR(__xludf.DUMMYFUNCTION("""COMPUTED_VALUE"""),"Ruben Allen")</f>
        <v>Ruben Allen</v>
      </c>
      <c r="O459" t="str">
        <f ca="1">IFERROR(__xludf.DUMMYFUNCTION("""COMPUTED_VALUE"""),"Alee Knoell, (619) 750-4833, Adrienne Breef-Pilz")</f>
        <v>Alee Knoell, (619) 750-4833, Adrienne Breef-Pilz</v>
      </c>
      <c r="P459" t="str">
        <f ca="1">IFERROR(__xludf.DUMMYFUNCTION("""COMPUTED_VALUE"""),"Ruben Allen")</f>
        <v>Ruben Allen</v>
      </c>
      <c r="Q459" t="str">
        <f ca="1">IFERROR(__xludf.DUMMYFUNCTION("""COMPUTED_VALUE"""),"All items in working order")</f>
        <v>All items in working order</v>
      </c>
      <c r="AD459" t="str">
        <f ca="1">IFERROR(__xludf.DUMMYFUNCTION("""COMPUTED_VALUE"""),"yes")</f>
        <v>yes</v>
      </c>
      <c r="AE459" s="11" t="str">
        <f ca="1">IFERROR(__xludf.DUMMYFUNCTION("""COMPUTED_VALUE"""),"yes")</f>
        <v>yes</v>
      </c>
      <c r="AF459" t="str">
        <v>Pamela.Marcum@floridadep.gov</v>
      </c>
      <c r="AG459" s="17" t="s">
        <v>41</v>
      </c>
      <c r="AH459" s="12">
        <v>1654</v>
      </c>
      <c r="AI459" s="12" t="s">
        <v>1326</v>
      </c>
      <c r="AJ459" s="19" t="s">
        <v>1327</v>
      </c>
      <c r="AK459" s="20" t="str">
        <f>HYPERLINK("https://docs.google.com/document/d/1fV7ujv8mdM-qcN_Fc0mQNchgUTDr7W6eeg26ipk9aYg/edit?usp=drivesdk","Ruben Allen - 2/3/2020 7:45 AM")</f>
        <v>Ruben Allen - 2/3/2020 7:45 AM</v>
      </c>
      <c r="AL459" s="12" t="s">
        <v>1328</v>
      </c>
    </row>
    <row r="460" spans="1:38" ht="12.75">
      <c r="A460" s="10">
        <f ca="1">IFERROR(__xludf.DUMMYFUNCTION("""COMPUTED_VALUE"""),43863.8095284953)</f>
        <v>43863.809528495301</v>
      </c>
      <c r="B460" s="11" t="str">
        <f ca="1">IFERROR(__xludf.DUMMYFUNCTION("""COMPUTED_VALUE"""),"James Tomazinis")</f>
        <v>James Tomazinis</v>
      </c>
      <c r="C460" t="str">
        <f ca="1">IFERROR(__xludf.DUMMYFUNCTION("""COMPUTED_VALUE"""),"james.tomazinis@floridadep.gov")</f>
        <v>james.tomazinis@floridadep.gov</v>
      </c>
      <c r="D460" t="str">
        <f ca="1">IFERROR(__xludf.DUMMYFUNCTION("""COMPUTED_VALUE"""),"Stewardship (Aquatic)")</f>
        <v>Stewardship (Aquatic)</v>
      </c>
      <c r="E460" t="str">
        <f ca="1">IFERROR(__xludf.DUMMYFUNCTION("""COMPUTED_VALUE"""),"Holly Point")</f>
        <v>Holly Point</v>
      </c>
      <c r="F460" s="13">
        <f ca="1">IFERROR(__xludf.DUMMYFUNCTION("""COMPUTED_VALUE"""),0.4375)</f>
        <v>0.4375</v>
      </c>
      <c r="G460" s="14">
        <f ca="1">IFERROR(__xludf.DUMMYFUNCTION("""COMPUTED_VALUE"""),43864)</f>
        <v>43864</v>
      </c>
      <c r="H460" t="str">
        <f ca="1">IFERROR(__xludf.DUMMYFUNCTION("""COMPUTED_VALUE"""),"Lofton Creek and Nassau River Stations")</f>
        <v>Lofton Creek and Nassau River Stations</v>
      </c>
      <c r="I460" s="15">
        <f ca="1">IFERROR(__xludf.DUMMYFUNCTION("""COMPUTED_VALUE"""),0.625)</f>
        <v>0.625</v>
      </c>
      <c r="J460" s="16"/>
      <c r="K460" t="str">
        <f ca="1">IFERROR(__xludf.DUMMYFUNCTION("""COMPUTED_VALUE"""),"23ft Skiff (Bertha) FL7972LJ DEP07613")</f>
        <v>23ft Skiff (Bertha) FL7972LJ DEP07613</v>
      </c>
      <c r="M460" t="str">
        <f ca="1">IFERROR(__xludf.DUMMYFUNCTION("""COMPUTED_VALUE"""),"Ford F150 2018 (AP) - DEP21637")</f>
        <v>Ford F150 2018 (AP) - DEP21637</v>
      </c>
      <c r="N460" t="str">
        <f ca="1">IFERROR(__xludf.DUMMYFUNCTION("""COMPUTED_VALUE"""),"Jimmy Tomazinis, (904) 547-0094")</f>
        <v>Jimmy Tomazinis, (904) 547-0094</v>
      </c>
      <c r="O460" t="str">
        <f ca="1">IFERROR(__xludf.DUMMYFUNCTION("""COMPUTED_VALUE"""),"Mike Darragh")</f>
        <v>Mike Darragh</v>
      </c>
      <c r="P460" t="str">
        <f ca="1">IFERROR(__xludf.DUMMYFUNCTION("""COMPUTED_VALUE"""),"Jimmy")</f>
        <v>Jimmy</v>
      </c>
      <c r="Q460" t="str">
        <f ca="1">IFERROR(__xludf.DUMMYFUNCTION("""COMPUTED_VALUE"""),"All items in working order")</f>
        <v>All items in working order</v>
      </c>
      <c r="AE460" s="11"/>
      <c r="AF460" t="str">
        <v>Scott.Eastman@floridadep.gov</v>
      </c>
      <c r="AG460" s="17" t="s">
        <v>126</v>
      </c>
      <c r="AH460" s="12">
        <v>1500</v>
      </c>
      <c r="AI460" s="12" t="s">
        <v>1329</v>
      </c>
      <c r="AJ460" s="19" t="s">
        <v>1330</v>
      </c>
      <c r="AK460" s="20" t="str">
        <f>HYPERLINK("https://docs.google.com/document/d/15pl5c0Q7XZuL6VPAZlgrx280SO-_yYzrHSEimuYcJPo/edit?usp=drivesdk","James Tomazinis - 2/3/2020 10:30 AM")</f>
        <v>James Tomazinis - 2/3/2020 10:30 AM</v>
      </c>
      <c r="AL460" s="12" t="s">
        <v>1331</v>
      </c>
    </row>
    <row r="461" spans="1:38" ht="12.75">
      <c r="A461" s="10">
        <f ca="1">IFERROR(__xludf.DUMMYFUNCTION("""COMPUTED_VALUE"""),43864.3308576157)</f>
        <v>43864.3308576157</v>
      </c>
      <c r="B461" s="11" t="str">
        <f ca="1">IFERROR(__xludf.DUMMYFUNCTION("""COMPUTED_VALUE"""),"Pam Marcum")</f>
        <v>Pam Marcum</v>
      </c>
      <c r="C461" t="str">
        <f ca="1">IFERROR(__xludf.DUMMYFUNCTION("""COMPUTED_VALUE"""),"Pamela.Marcum@FloridaDEP.gov")</f>
        <v>Pamela.Marcum@FloridaDEP.gov</v>
      </c>
      <c r="D461" t="str">
        <f ca="1">IFERROR(__xludf.DUMMYFUNCTION("""COMPUTED_VALUE"""),"Research/Nikki")</f>
        <v>Research/Nikki</v>
      </c>
      <c r="E461" t="str">
        <f ca="1">IFERROR(__xludf.DUMMYFUNCTION("""COMPUTED_VALUE"""),"Usina/Aunt Kate's")</f>
        <v>Usina/Aunt Kate's</v>
      </c>
      <c r="F461" s="13">
        <f ca="1">IFERROR(__xludf.DUMMYFUNCTION("""COMPUTED_VALUE"""),0.354166666667879)</f>
        <v>0.35416666666787899</v>
      </c>
      <c r="G461" s="14">
        <f ca="1">IFERROR(__xludf.DUMMYFUNCTION("""COMPUTED_VALUE"""),43864)</f>
        <v>43864</v>
      </c>
      <c r="H461" t="str">
        <f ca="1">IFERROR(__xludf.DUMMYFUNCTION("""COMPUTED_VALUE"""),"Airport Basin/Robinson's Creek")</f>
        <v>Airport Basin/Robinson's Creek</v>
      </c>
      <c r="I461" s="15">
        <f ca="1">IFERROR(__xludf.DUMMYFUNCTION("""COMPUTED_VALUE"""),0.479166666667879)</f>
        <v>0.47916666666787899</v>
      </c>
      <c r="J461" s="16">
        <f ca="1">IFERROR(__xludf.DUMMYFUNCTION("""COMPUTED_VALUE"""),43864.5)</f>
        <v>43864.5</v>
      </c>
      <c r="K461" t="str">
        <f ca="1">IFERROR(__xludf.DUMMYFUNCTION("""COMPUTED_VALUE"""),"20ft Sea Ark FL5351SJ UNF 2015")</f>
        <v>20ft Sea Ark FL5351SJ UNF 2015</v>
      </c>
      <c r="M461" t="str">
        <f ca="1">IFERROR(__xludf.DUMMYFUNCTION("""COMPUTED_VALUE"""),"Ford F250 2017 (Moby Dix) - DEP0021578")</f>
        <v>Ford F250 2017 (Moby Dix) - DEP0021578</v>
      </c>
      <c r="N461" t="str">
        <f ca="1">IFERROR(__xludf.DUMMYFUNCTION("""COMPUTED_VALUE"""),"Pam Marcum, (480) 332-5414")</f>
        <v>Pam Marcum, (480) 332-5414</v>
      </c>
      <c r="O461" t="str">
        <f ca="1">IFERROR(__xludf.DUMMYFUNCTION("""COMPUTED_VALUE"""),"Anna Tripp, Steve Brown, Paul Yonally, Kaitlyn Campbell")</f>
        <v>Anna Tripp, Steve Brown, Paul Yonally, Kaitlyn Campbell</v>
      </c>
      <c r="P461" t="str">
        <f ca="1">IFERROR(__xludf.DUMMYFUNCTION("""COMPUTED_VALUE"""),"Pam")</f>
        <v>Pam</v>
      </c>
      <c r="Q461" t="str">
        <f ca="1">IFERROR(__xludf.DUMMYFUNCTION("""COMPUTED_VALUE"""),"All items in working order")</f>
        <v>All items in working order</v>
      </c>
      <c r="AE461" s="11"/>
      <c r="AF461" t="str">
        <v>Nikki.Dix@floridadep.gov</v>
      </c>
      <c r="AG461" s="17" t="s">
        <v>17</v>
      </c>
      <c r="AH461" s="12">
        <v>1150</v>
      </c>
      <c r="AI461" s="12" t="s">
        <v>1332</v>
      </c>
      <c r="AJ461" s="19" t="s">
        <v>1333</v>
      </c>
      <c r="AK461" s="20" t="str">
        <f>HYPERLINK("https://docs.google.com/document/d/1cooWly9CdWRCoCXhOkU5l07MF3gtnaqhh5Nb1u9tu_s/edit?usp=drivesdk","Pam Marcum - 2/3/2020 8:30 AM")</f>
        <v>Pam Marcum - 2/3/2020 8:30 AM</v>
      </c>
      <c r="AL461" s="12" t="s">
        <v>1334</v>
      </c>
    </row>
    <row r="462" spans="1:38" ht="12.75">
      <c r="A462" s="10">
        <f ca="1">IFERROR(__xludf.DUMMYFUNCTION("""COMPUTED_VALUE"""),43865.3704878125)</f>
        <v>43865.370487812499</v>
      </c>
      <c r="B462" s="11" t="str">
        <f ca="1">IFERROR(__xludf.DUMMYFUNCTION("""COMPUTED_VALUE"""),"Pam Marcum")</f>
        <v>Pam Marcum</v>
      </c>
      <c r="C462" t="str">
        <f ca="1">IFERROR(__xludf.DUMMYFUNCTION("""COMPUTED_VALUE"""),"Pamela.Marcum@floridadep.gov")</f>
        <v>Pamela.Marcum@floridadep.gov</v>
      </c>
      <c r="D462" t="str">
        <f ca="1">IFERROR(__xludf.DUMMYFUNCTION("""COMPUTED_VALUE"""),"Research/Nikki")</f>
        <v>Research/Nikki</v>
      </c>
      <c r="E462" t="str">
        <f ca="1">IFERROR(__xludf.DUMMYFUNCTION("""COMPUTED_VALUE"""),"Usina/Aunt Kate's")</f>
        <v>Usina/Aunt Kate's</v>
      </c>
      <c r="F462" s="13">
        <f ca="1">IFERROR(__xludf.DUMMYFUNCTION("""COMPUTED_VALUE"""),0.39583333333212)</f>
        <v>0.39583333333212001</v>
      </c>
      <c r="G462" s="14">
        <f ca="1">IFERROR(__xludf.DUMMYFUNCTION("""COMPUTED_VALUE"""),43865)</f>
        <v>43865</v>
      </c>
      <c r="H462" t="str">
        <f ca="1">IFERROR(__xludf.DUMMYFUNCTION("""COMPUTED_VALUE"""),"Guana/Tolomato Rivers")</f>
        <v>Guana/Tolomato Rivers</v>
      </c>
      <c r="I462" s="15">
        <f ca="1">IFERROR(__xludf.DUMMYFUNCTION("""COMPUTED_VALUE"""),0.52083333333212)</f>
        <v>0.52083333333212001</v>
      </c>
      <c r="J462" s="16">
        <f ca="1">IFERROR(__xludf.DUMMYFUNCTION("""COMPUTED_VALUE"""),43865.5416666666)</f>
        <v>43865.541666666599</v>
      </c>
      <c r="K462" t="str">
        <f ca="1">IFERROR(__xludf.DUMMYFUNCTION("""COMPUTED_VALUE"""),"20ft Sea Ark FL5351SJ UNF 2015")</f>
        <v>20ft Sea Ark FL5351SJ UNF 2015</v>
      </c>
      <c r="M462" t="str">
        <f ca="1">IFERROR(__xludf.DUMMYFUNCTION("""COMPUTED_VALUE"""),"Ford F250 2017 (Moby Dix) - DEP0021578")</f>
        <v>Ford F250 2017 (Moby Dix) - DEP0021578</v>
      </c>
      <c r="N462" t="str">
        <f ca="1">IFERROR(__xludf.DUMMYFUNCTION("""COMPUTED_VALUE"""),"Pam Marcum, (480) 332-5414")</f>
        <v>Pam Marcum, (480) 332-5414</v>
      </c>
      <c r="O462" t="str">
        <f ca="1">IFERROR(__xludf.DUMMYFUNCTION("""COMPUTED_VALUE"""),"Alee Knoell, (619) 750-4833, Barry MacDonald, Mike Darragh, Nancy Stehno, Candce Killian")</f>
        <v>Alee Knoell, (619) 750-4833, Barry MacDonald, Mike Darragh, Nancy Stehno, Candce Killian</v>
      </c>
      <c r="P462" t="str">
        <f ca="1">IFERROR(__xludf.DUMMYFUNCTION("""COMPUTED_VALUE"""),"Pam")</f>
        <v>Pam</v>
      </c>
      <c r="Q462" t="str">
        <f ca="1">IFERROR(__xludf.DUMMYFUNCTION("""COMPUTED_VALUE"""),"All items in working order")</f>
        <v>All items in working order</v>
      </c>
      <c r="AE462" s="11"/>
      <c r="AF462" t="str">
        <v>Nikki.Dix@floridadep.gov</v>
      </c>
      <c r="AG462" s="17" t="s">
        <v>17</v>
      </c>
      <c r="AH462" s="12">
        <v>1200</v>
      </c>
      <c r="AI462" s="12" t="s">
        <v>1335</v>
      </c>
      <c r="AJ462" s="19" t="s">
        <v>1336</v>
      </c>
      <c r="AK462" s="20" t="str">
        <f>HYPERLINK("https://docs.google.com/document/d/166DeXIgY-PkIiQZNK8YR4ZysxCR-mcL5zODZFyoTbHY/edit?usp=drivesdk","Pam Marcum - 2/4/2020 9:30 AM")</f>
        <v>Pam Marcum - 2/4/2020 9:30 AM</v>
      </c>
      <c r="AL462" s="12" t="s">
        <v>1337</v>
      </c>
    </row>
    <row r="463" spans="1:38" ht="12.75">
      <c r="A463" s="10">
        <f ca="1">IFERROR(__xludf.DUMMYFUNCTION("""COMPUTED_VALUE"""),43867.4635246759)</f>
        <v>43867.463524675899</v>
      </c>
      <c r="B463" s="11" t="str">
        <f ca="1">IFERROR(__xludf.DUMMYFUNCTION("""COMPUTED_VALUE"""),"Pam Marcum")</f>
        <v>Pam Marcum</v>
      </c>
      <c r="C463" t="str">
        <f ca="1">IFERROR(__xludf.DUMMYFUNCTION("""COMPUTED_VALUE"""),"Pamela.Marcum@floridadep.gov")</f>
        <v>Pamela.Marcum@floridadep.gov</v>
      </c>
      <c r="D463" t="str">
        <f ca="1">IFERROR(__xludf.DUMMYFUNCTION("""COMPUTED_VALUE"""),"Research/Nikki")</f>
        <v>Research/Nikki</v>
      </c>
      <c r="E463" t="str">
        <f ca="1">IFERROR(__xludf.DUMMYFUNCTION("""COMPUTED_VALUE"""),"usina")</f>
        <v>usina</v>
      </c>
      <c r="F463" s="13">
        <f ca="1">IFERROR(__xludf.DUMMYFUNCTION("""COMPUTED_VALUE"""),0.479166666667879)</f>
        <v>0.47916666666787899</v>
      </c>
      <c r="G463" s="14">
        <f ca="1">IFERROR(__xludf.DUMMYFUNCTION("""COMPUTED_VALUE"""),43867)</f>
        <v>43867</v>
      </c>
      <c r="H463" t="str">
        <f ca="1">IFERROR(__xludf.DUMMYFUNCTION("""COMPUTED_VALUE"""),"guana river")</f>
        <v>guana river</v>
      </c>
      <c r="I463" s="15">
        <f ca="1">IFERROR(__xludf.DUMMYFUNCTION("""COMPUTED_VALUE"""),0.625)</f>
        <v>0.625</v>
      </c>
      <c r="J463" s="16">
        <f ca="1">IFERROR(__xludf.DUMMYFUNCTION("""COMPUTED_VALUE"""),43867.6458333333)</f>
        <v>43867.645833333299</v>
      </c>
      <c r="K463" t="str">
        <f ca="1">IFERROR(__xludf.DUMMYFUNCTION("""COMPUTED_VALUE"""),"20ft Sea Ark FL5351SJ UNF 2015")</f>
        <v>20ft Sea Ark FL5351SJ UNF 2015</v>
      </c>
      <c r="M463" t="str">
        <f ca="1">IFERROR(__xludf.DUMMYFUNCTION("""COMPUTED_VALUE"""),"Ford F250 2017 (Moby Dix) - DEP0021578")</f>
        <v>Ford F250 2017 (Moby Dix) - DEP0021578</v>
      </c>
      <c r="N463" t="str">
        <f ca="1">IFERROR(__xludf.DUMMYFUNCTION("""COMPUTED_VALUE"""),"Pam Marcum, (480) 332-5414")</f>
        <v>Pam Marcum, (480) 332-5414</v>
      </c>
      <c r="O463" t="str">
        <f ca="1">IFERROR(__xludf.DUMMYFUNCTION("""COMPUTED_VALUE"""),"Alee Knoell, (619) 750-4833, Mike Darragh, Vicki MacDonald, Pam Korchun")</f>
        <v>Alee Knoell, (619) 750-4833, Mike Darragh, Vicki MacDonald, Pam Korchun</v>
      </c>
      <c r="P463" t="str">
        <f ca="1">IFERROR(__xludf.DUMMYFUNCTION("""COMPUTED_VALUE"""),"Pam")</f>
        <v>Pam</v>
      </c>
      <c r="Q463" t="str">
        <f ca="1">IFERROR(__xludf.DUMMYFUNCTION("""COMPUTED_VALUE"""),"All items in working order")</f>
        <v>All items in working order</v>
      </c>
      <c r="AE463" s="11"/>
      <c r="AF463" t="str">
        <v>Nikki.Dix@floridadep.gov</v>
      </c>
      <c r="AG463" s="17" t="s">
        <v>17</v>
      </c>
      <c r="AH463" s="12">
        <v>1407</v>
      </c>
      <c r="AI463" s="12" t="s">
        <v>1338</v>
      </c>
      <c r="AJ463" s="19" t="s">
        <v>1339</v>
      </c>
      <c r="AK463" s="20" t="str">
        <f>HYPERLINK("https://docs.google.com/document/d/1TfKfUlB6Fa99T2erVf-h8lic_B7WvdB6pl8P347q30k/edit?usp=drivesdk","Pam Marcum - 2/6/2020 11:30 AM")</f>
        <v>Pam Marcum - 2/6/2020 11:30 AM</v>
      </c>
      <c r="AL463" s="12" t="s">
        <v>1340</v>
      </c>
    </row>
    <row r="464" spans="1:38" ht="12.75">
      <c r="A464" s="10">
        <f ca="1">IFERROR(__xludf.DUMMYFUNCTION("""COMPUTED_VALUE"""),43868.4805192939)</f>
        <v>43868.480519293902</v>
      </c>
      <c r="B464" s="11" t="str">
        <f ca="1">IFERROR(__xludf.DUMMYFUNCTION("""COMPUTED_VALUE"""),"Pamela Marcum")</f>
        <v>Pamela Marcum</v>
      </c>
      <c r="C464" t="str">
        <f ca="1">IFERROR(__xludf.DUMMYFUNCTION("""COMPUTED_VALUE"""),"Pamela.Marcum@FloridaDEP.gov")</f>
        <v>Pamela.Marcum@FloridaDEP.gov</v>
      </c>
      <c r="D464" t="str">
        <f ca="1">IFERROR(__xludf.DUMMYFUNCTION("""COMPUTED_VALUE"""),"Research/Nikki")</f>
        <v>Research/Nikki</v>
      </c>
      <c r="E464" t="str">
        <f ca="1">IFERROR(__xludf.DUMMYFUNCTION("""COMPUTED_VALUE"""),"Shore Dr")</f>
        <v>Shore Dr</v>
      </c>
      <c r="F464" s="13">
        <f ca="1">IFERROR(__xludf.DUMMYFUNCTION("""COMPUTED_VALUE"""),0.510416666667879)</f>
        <v>0.51041666666787899</v>
      </c>
      <c r="G464" s="14">
        <f ca="1">IFERROR(__xludf.DUMMYFUNCTION("""COMPUTED_VALUE"""),43868)</f>
        <v>43868</v>
      </c>
      <c r="H464" t="str">
        <f ca="1">IFERROR(__xludf.DUMMYFUNCTION("""COMPUTED_VALUE"""),"San Sebastian")</f>
        <v>San Sebastian</v>
      </c>
      <c r="I464" s="15">
        <f ca="1">IFERROR(__xludf.DUMMYFUNCTION("""COMPUTED_VALUE"""),0.64583333333212)</f>
        <v>0.64583333333212001</v>
      </c>
      <c r="J464" s="16">
        <f ca="1">IFERROR(__xludf.DUMMYFUNCTION("""COMPUTED_VALUE"""),43868.6666666666)</f>
        <v>43868.666666666599</v>
      </c>
      <c r="K464" t="str">
        <f ca="1">IFERROR(__xludf.DUMMYFUNCTION("""COMPUTED_VALUE"""),"20ft Sea Ark FL5351SJ UNF 2015")</f>
        <v>20ft Sea Ark FL5351SJ UNF 2015</v>
      </c>
      <c r="M464" t="str">
        <f ca="1">IFERROR(__xludf.DUMMYFUNCTION("""COMPUTED_VALUE"""),"Ford F250 2017 (Moby Dix) - DEP0021578")</f>
        <v>Ford F250 2017 (Moby Dix) - DEP0021578</v>
      </c>
      <c r="N464" t="str">
        <f ca="1">IFERROR(__xludf.DUMMYFUNCTION("""COMPUTED_VALUE"""),"Pam Marcum, (480) 332-5414")</f>
        <v>Pam Marcum, (480) 332-5414</v>
      </c>
      <c r="O464" t="str">
        <f ca="1">IFERROR(__xludf.DUMMYFUNCTION("""COMPUTED_VALUE"""),"Alee Knoell, (619) 750-4833, Spencer Baba, Shelby Harrell")</f>
        <v>Alee Knoell, (619) 750-4833, Spencer Baba, Shelby Harrell</v>
      </c>
      <c r="P464" t="str">
        <f ca="1">IFERROR(__xludf.DUMMYFUNCTION("""COMPUTED_VALUE"""),"Pam")</f>
        <v>Pam</v>
      </c>
      <c r="Q464" t="str">
        <f ca="1">IFERROR(__xludf.DUMMYFUNCTION("""COMPUTED_VALUE"""),"All items in working order")</f>
        <v>All items in working order</v>
      </c>
      <c r="AE464" s="11"/>
      <c r="AF464" t="str">
        <v>Nikki.Dix@floridadep.gov</v>
      </c>
      <c r="AG464" s="17" t="s">
        <v>41</v>
      </c>
      <c r="AH464" s="12">
        <v>1608</v>
      </c>
      <c r="AI464" s="12" t="s">
        <v>1341</v>
      </c>
      <c r="AJ464" s="19" t="s">
        <v>1342</v>
      </c>
      <c r="AK464" s="20" t="str">
        <f>HYPERLINK("https://docs.google.com/document/d/1m-gcMOonRqpC2CRrsxi78JIIPqqWlY38V9zr7EZlAqE/edit?usp=drivesdk","Pamela Marcum - 2/7/2020 12:15 PM")</f>
        <v>Pamela Marcum - 2/7/2020 12:15 PM</v>
      </c>
      <c r="AL464" s="12" t="s">
        <v>1343</v>
      </c>
    </row>
    <row r="465" spans="1:38" ht="12.75">
      <c r="A465" s="10">
        <f ca="1">IFERROR(__xludf.DUMMYFUNCTION("""COMPUTED_VALUE"""),43871.2812804861)</f>
        <v>43871.281280486102</v>
      </c>
      <c r="B465" s="11" t="str">
        <f ca="1">IFERROR(__xludf.DUMMYFUNCTION("""COMPUTED_VALUE"""),"James Tomazinis")</f>
        <v>James Tomazinis</v>
      </c>
      <c r="C465" t="str">
        <f ca="1">IFERROR(__xludf.DUMMYFUNCTION("""COMPUTED_VALUE"""),"james.tomazinis@floridadep.gov")</f>
        <v>james.tomazinis@floridadep.gov</v>
      </c>
      <c r="D465" t="str">
        <f ca="1">IFERROR(__xludf.DUMMYFUNCTION("""COMPUTED_VALUE"""),"Stewardship (Aquatic)")</f>
        <v>Stewardship (Aquatic)</v>
      </c>
      <c r="E465" t="str">
        <f ca="1">IFERROR(__xludf.DUMMYFUNCTION("""COMPUTED_VALUE"""),"Dee Dee Bartels and Holly Point")</f>
        <v>Dee Dee Bartels and Holly Point</v>
      </c>
      <c r="F465" s="13">
        <f ca="1">IFERROR(__xludf.DUMMYFUNCTION("""COMPUTED_VALUE"""),0.416666666667879)</f>
        <v>0.41666666666787899</v>
      </c>
      <c r="G465" s="14">
        <f ca="1">IFERROR(__xludf.DUMMYFUNCTION("""COMPUTED_VALUE"""),43871)</f>
        <v>43871</v>
      </c>
      <c r="H465" t="str">
        <f ca="1">IFERROR(__xludf.DUMMYFUNCTION("""COMPUTED_VALUE"""),"NEAP WQ sites")</f>
        <v>NEAP WQ sites</v>
      </c>
      <c r="I465" s="15">
        <f ca="1">IFERROR(__xludf.DUMMYFUNCTION("""COMPUTED_VALUE"""),0.625)</f>
        <v>0.625</v>
      </c>
      <c r="J465" s="16"/>
      <c r="K465" t="str">
        <f ca="1">IFERROR(__xludf.DUMMYFUNCTION("""COMPUTED_VALUE"""),"17ft Skiff (Marsha) FL0642GW DEP07239")</f>
        <v>17ft Skiff (Marsha) FL0642GW DEP07239</v>
      </c>
      <c r="M465" t="str">
        <f ca="1">IFERROR(__xludf.DUMMYFUNCTION("""COMPUTED_VALUE"""),"Ford F150 2018 (AP) - DEP21637")</f>
        <v>Ford F150 2018 (AP) - DEP21637</v>
      </c>
      <c r="N465" t="str">
        <f ca="1">IFERROR(__xludf.DUMMYFUNCTION("""COMPUTED_VALUE"""),"Scott Eastman, (904) 501-9267, Jimmy Tomazinis, (904) 547-0094")</f>
        <v>Scott Eastman, (904) 501-9267, Jimmy Tomazinis, (904) 547-0094</v>
      </c>
      <c r="O465" t="str">
        <f ca="1">IFERROR(__xludf.DUMMYFUNCTION("""COMPUTED_VALUE"""),"Ashley Hurley")</f>
        <v>Ashley Hurley</v>
      </c>
      <c r="P465" t="str">
        <f ca="1">IFERROR(__xludf.DUMMYFUNCTION("""COMPUTED_VALUE"""),"Jimmy")</f>
        <v>Jimmy</v>
      </c>
      <c r="Q465" t="str">
        <f ca="1">IFERROR(__xludf.DUMMYFUNCTION("""COMPUTED_VALUE"""),"All items in working order")</f>
        <v>All items in working order</v>
      </c>
      <c r="AE465" s="11"/>
      <c r="AF465" t="str">
        <v>Scott.Eastman@floridadep.gov</v>
      </c>
      <c r="AG465" s="17" t="s">
        <v>17</v>
      </c>
      <c r="AH465" s="12">
        <v>1320</v>
      </c>
      <c r="AI465" s="12" t="s">
        <v>1344</v>
      </c>
      <c r="AJ465" s="19" t="s">
        <v>1345</v>
      </c>
      <c r="AK465" s="20" t="str">
        <f>HYPERLINK("https://docs.google.com/document/d/1GzkY8izK06JsClfLYPWUgMRmQ1z2XstFMkeF9ixlJuU/edit?usp=drivesdk","James Tomazinis - 2/10/2020 10:00 AM")</f>
        <v>James Tomazinis - 2/10/2020 10:00 AM</v>
      </c>
      <c r="AL465" s="12" t="s">
        <v>1346</v>
      </c>
    </row>
    <row r="466" spans="1:38" ht="12.75">
      <c r="A466" s="10">
        <f ca="1">IFERROR(__xludf.DUMMYFUNCTION("""COMPUTED_VALUE"""),43871.3763046296)</f>
        <v>43871.376304629601</v>
      </c>
      <c r="B466" s="11" t="str">
        <f ca="1">IFERROR(__xludf.DUMMYFUNCTION("""COMPUTED_VALUE"""),"Jessica Lee")</f>
        <v>Jessica Lee</v>
      </c>
      <c r="C466" t="str">
        <f ca="1">IFERROR(__xludf.DUMMYFUNCTION("""COMPUTED_VALUE"""),"jessica.lee@FloridaDEP.gov")</f>
        <v>jessica.lee@FloridaDEP.gov</v>
      </c>
      <c r="D466" t="str">
        <f ca="1">IFERROR(__xludf.DUMMYFUNCTION("""COMPUTED_VALUE"""),"Research/Shannon")</f>
        <v>Research/Shannon</v>
      </c>
      <c r="E466" t="str">
        <f ca="1">IFERROR(__xludf.DUMMYFUNCTION("""COMPUTED_VALUE"""),"Guana")</f>
        <v>Guana</v>
      </c>
      <c r="F466" s="13">
        <f ca="1">IFERROR(__xludf.DUMMYFUNCTION("""COMPUTED_VALUE"""),0.416666666667879)</f>
        <v>0.41666666666787899</v>
      </c>
      <c r="G466" s="14">
        <f ca="1">IFERROR(__xludf.DUMMYFUNCTION("""COMPUTED_VALUE"""),43871)</f>
        <v>43871</v>
      </c>
      <c r="H466" t="str">
        <f ca="1">IFERROR(__xludf.DUMMYFUNCTION("""COMPUTED_VALUE"""),"Guana River")</f>
        <v>Guana River</v>
      </c>
      <c r="I466" s="15">
        <f ca="1">IFERROR(__xludf.DUMMYFUNCTION("""COMPUTED_VALUE"""),0.5)</f>
        <v>0.5</v>
      </c>
      <c r="J466" s="16">
        <f ca="1">IFERROR(__xludf.DUMMYFUNCTION("""COMPUTED_VALUE"""),43871.5208333333)</f>
        <v>43871.520833333299</v>
      </c>
      <c r="K466" t="str">
        <f ca="1">IFERROR(__xludf.DUMMYFUNCTION("""COMPUTED_VALUE"""),"Jon Boat FL0484NP DEP06819")</f>
        <v>Jon Boat FL0484NP DEP06819</v>
      </c>
      <c r="M466" t="str">
        <f ca="1">IFERROR(__xludf.DUMMYFUNCTION("""COMPUTED_VALUE"""),"Ford F150 2008 (SWMP Thing) - DEP18041")</f>
        <v>Ford F150 2008 (SWMP Thing) - DEP18041</v>
      </c>
      <c r="N466" t="str">
        <f ca="1">IFERROR(__xludf.DUMMYFUNCTION("""COMPUTED_VALUE"""),"Nikki Dix, (352) 219-4079")</f>
        <v>Nikki Dix, (352) 219-4079</v>
      </c>
      <c r="O466" t="str">
        <f ca="1">IFERROR(__xludf.DUMMYFUNCTION("""COMPUTED_VALUE"""),"Erin Tice")</f>
        <v>Erin Tice</v>
      </c>
      <c r="P466" t="str">
        <f ca="1">IFERROR(__xludf.DUMMYFUNCTION("""COMPUTED_VALUE"""),"Nikki Dix")</f>
        <v>Nikki Dix</v>
      </c>
      <c r="Q466" t="str">
        <f ca="1">IFERROR(__xludf.DUMMYFUNCTION("""COMPUTED_VALUE"""),"All items in working order")</f>
        <v>All items in working order</v>
      </c>
      <c r="AE466" s="11"/>
      <c r="AF466" t="str">
        <v>Shannon.Dunnigan@floridadep.gov</v>
      </c>
      <c r="AG466" s="17" t="s">
        <v>17</v>
      </c>
      <c r="AH466" s="12">
        <v>1200</v>
      </c>
      <c r="AI466" s="12" t="s">
        <v>1347</v>
      </c>
      <c r="AJ466" s="19" t="s">
        <v>1348</v>
      </c>
      <c r="AK466" s="20" t="str">
        <f>HYPERLINK("https://docs.google.com/document/d/1Lso36k1FWGmJAnvnNYjIBwRDm4Ef21ZOWQtvphNocP4/edit?usp=drivesdk","Jessica Lee - 2/10/2020 10:00 AM")</f>
        <v>Jessica Lee - 2/10/2020 10:00 AM</v>
      </c>
      <c r="AL466" s="12" t="s">
        <v>1349</v>
      </c>
    </row>
    <row r="467" spans="1:38" ht="12.75">
      <c r="A467" s="10">
        <f ca="1">IFERROR(__xludf.DUMMYFUNCTION("""COMPUTED_VALUE"""),43871.5659104861)</f>
        <v>43871.565910486097</v>
      </c>
      <c r="B467" s="11" t="str">
        <f ca="1">IFERROR(__xludf.DUMMYFUNCTION("""COMPUTED_VALUE"""),"J Silas Tanner")</f>
        <v>J Silas Tanner</v>
      </c>
      <c r="C467" t="str">
        <f ca="1">IFERROR(__xludf.DUMMYFUNCTION("""COMPUTED_VALUE"""),"silas.tanner@floridadep.gov")</f>
        <v>silas.tanner@floridadep.gov</v>
      </c>
      <c r="D467" t="str">
        <f ca="1">IFERROR(__xludf.DUMMYFUNCTION("""COMPUTED_VALUE"""),"Research/Nikki")</f>
        <v>Research/Nikki</v>
      </c>
      <c r="E467" t="str">
        <f ca="1">IFERROR(__xludf.DUMMYFUNCTION("""COMPUTED_VALUE"""),"Vilano Landing")</f>
        <v>Vilano Landing</v>
      </c>
      <c r="F467" s="13">
        <f ca="1">IFERROR(__xludf.DUMMYFUNCTION("""COMPUTED_VALUE"""),0.39583333333212)</f>
        <v>0.39583333333212001</v>
      </c>
      <c r="G467" s="14">
        <f ca="1">IFERROR(__xludf.DUMMYFUNCTION("""COMPUTED_VALUE"""),43872)</f>
        <v>43872</v>
      </c>
      <c r="H467" t="str">
        <f ca="1">IFERROR(__xludf.DUMMYFUNCTION("""COMPUTED_VALUE"""),"ICW SWMP sites")</f>
        <v>ICW SWMP sites</v>
      </c>
      <c r="I467" s="15">
        <f ca="1">IFERROR(__xludf.DUMMYFUNCTION("""COMPUTED_VALUE"""),0.604166666667879)</f>
        <v>0.60416666666787899</v>
      </c>
      <c r="J467" s="16">
        <f ca="1">IFERROR(__xludf.DUMMYFUNCTION("""COMPUTED_VALUE"""),43872.625)</f>
        <v>43872.625</v>
      </c>
      <c r="K467" t="str">
        <f ca="1">IFERROR(__xludf.DUMMYFUNCTION("""COMPUTED_VALUE"""),"23ft Skiff (Bertha) FL7972LJ DEP07613")</f>
        <v>23ft Skiff (Bertha) FL7972LJ DEP07613</v>
      </c>
      <c r="M467" t="str">
        <f ca="1">IFERROR(__xludf.DUMMYFUNCTION("""COMPUTED_VALUE"""),"Ford F150 2015 (White) - DEP21448")</f>
        <v>Ford F150 2015 (White) - DEP21448</v>
      </c>
      <c r="N467" t="str">
        <f ca="1">IFERROR(__xludf.DUMMYFUNCTION("""COMPUTED_VALUE"""),"Silas Tanner, (904) 483-8423")</f>
        <v>Silas Tanner, (904) 483-8423</v>
      </c>
      <c r="O467" t="str">
        <f ca="1">IFERROR(__xludf.DUMMYFUNCTION("""COMPUTED_VALUE"""),"Alee Knoell, (619) 750-4833, Kaitlyn Campbell")</f>
        <v>Alee Knoell, (619) 750-4833, Kaitlyn Campbell</v>
      </c>
      <c r="P467" t="str">
        <f ca="1">IFERROR(__xludf.DUMMYFUNCTION("""COMPUTED_VALUE"""),"S. Tanner")</f>
        <v>S. Tanner</v>
      </c>
      <c r="Q467" t="str">
        <f ca="1">IFERROR(__xludf.DUMMYFUNCTION("""COMPUTED_VALUE"""),"All items in working order")</f>
        <v>All items in working order</v>
      </c>
      <c r="AE467" s="11"/>
      <c r="AF467" t="str">
        <v>Nikki.Dix@floridadep.gov</v>
      </c>
      <c r="AG467" s="17" t="s">
        <v>17</v>
      </c>
      <c r="AH467" s="12">
        <v>1445</v>
      </c>
      <c r="AI467" s="12" t="s">
        <v>1350</v>
      </c>
      <c r="AJ467" s="19" t="s">
        <v>1351</v>
      </c>
      <c r="AK467" s="20" t="str">
        <f>HYPERLINK("https://docs.google.com/document/d/1q2m23PjSyDH6cKMBxl2b-8RlAo5GVdJl2Ouenx5a5uo/edit?usp=drivesdk","J Silas Tanner - 2/11/2020 9:30 AM")</f>
        <v>J Silas Tanner - 2/11/2020 9:30 AM</v>
      </c>
      <c r="AL467" s="12" t="s">
        <v>1352</v>
      </c>
    </row>
    <row r="468" spans="1:38" ht="12.75">
      <c r="A468" s="10">
        <f ca="1">IFERROR(__xludf.DUMMYFUNCTION("""COMPUTED_VALUE"""),43874.4672142245)</f>
        <v>43874.467214224504</v>
      </c>
      <c r="B468" s="11" t="str">
        <f ca="1">IFERROR(__xludf.DUMMYFUNCTION("""COMPUTED_VALUE"""),"J Silas Tanner")</f>
        <v>J Silas Tanner</v>
      </c>
      <c r="C468" t="str">
        <f ca="1">IFERROR(__xludf.DUMMYFUNCTION("""COMPUTED_VALUE"""),"silas.tanner@floridadep.gov")</f>
        <v>silas.tanner@floridadep.gov</v>
      </c>
      <c r="D468" t="str">
        <f ca="1">IFERROR(__xludf.DUMMYFUNCTION("""COMPUTED_VALUE"""),"Research/Pam")</f>
        <v>Research/Pam</v>
      </c>
      <c r="E468" t="str">
        <f ca="1">IFERROR(__xludf.DUMMYFUNCTION("""COMPUTED_VALUE"""),"Crane ramp")</f>
        <v>Crane ramp</v>
      </c>
      <c r="F468" s="13">
        <f ca="1">IFERROR(__xludf.DUMMYFUNCTION("""COMPUTED_VALUE"""),0.50069444444307)</f>
        <v>0.50069444444306999</v>
      </c>
      <c r="G468" s="14">
        <f ca="1">IFERROR(__xludf.DUMMYFUNCTION("""COMPUTED_VALUE"""),43874)</f>
        <v>43874</v>
      </c>
      <c r="H468" t="str">
        <f ca="1">IFERROR(__xludf.DUMMYFUNCTION("""COMPUTED_VALUE"""),"Marsh Creek &amp; site 22 platforms")</f>
        <v>Marsh Creek &amp; site 22 platforms</v>
      </c>
      <c r="I468" s="15">
        <f ca="1">IFERROR(__xludf.DUMMYFUNCTION("""COMPUTED_VALUE"""),0.666666666667879)</f>
        <v>0.66666666666787899</v>
      </c>
      <c r="J468" s="16">
        <f ca="1">IFERROR(__xludf.DUMMYFUNCTION("""COMPUTED_VALUE"""),43874.6875)</f>
        <v>43874.6875</v>
      </c>
      <c r="K468" t="str">
        <f ca="1">IFERROR(__xludf.DUMMYFUNCTION("""COMPUTED_VALUE"""),"20ft Sea Ark FL5351SJ UNF 2015")</f>
        <v>20ft Sea Ark FL5351SJ UNF 2015</v>
      </c>
      <c r="M468" t="str">
        <f ca="1">IFERROR(__xludf.DUMMYFUNCTION("""COMPUTED_VALUE"""),"Ford F250 2017 (Moby Dix) - DEP0021578")</f>
        <v>Ford F250 2017 (Moby Dix) - DEP0021578</v>
      </c>
      <c r="N468" t="str">
        <f ca="1">IFERROR(__xludf.DUMMYFUNCTION("""COMPUTED_VALUE"""),"Shannon Dunnigan, (803) 727-5734, Silas Tanner, (904) 483-8423")</f>
        <v>Shannon Dunnigan, (803) 727-5734, Silas Tanner, (904) 483-8423</v>
      </c>
      <c r="O468" t="str">
        <f ca="1">IFERROR(__xludf.DUMMYFUNCTION("""COMPUTED_VALUE"""),"Gabriela Canas, (904) 891-9743, Courtney Hackney")</f>
        <v>Gabriela Canas, (904) 891-9743, Courtney Hackney</v>
      </c>
      <c r="P468" t="str">
        <f ca="1">IFERROR(__xludf.DUMMYFUNCTION("""COMPUTED_VALUE"""),"S. Tanner")</f>
        <v>S. Tanner</v>
      </c>
      <c r="Q468" t="str">
        <f ca="1">IFERROR(__xludf.DUMMYFUNCTION("""COMPUTED_VALUE"""),"All items in working order")</f>
        <v>All items in working order</v>
      </c>
      <c r="AE468" s="11"/>
      <c r="AF468" t="str">
        <v>Pamela.Marcum@floridadep.gov</v>
      </c>
      <c r="AG468" s="17" t="s">
        <v>139</v>
      </c>
      <c r="AH468" s="12">
        <v>1408</v>
      </c>
      <c r="AI468" s="12" t="s">
        <v>1353</v>
      </c>
      <c r="AJ468" s="19" t="s">
        <v>1354</v>
      </c>
      <c r="AK468" s="20" t="str">
        <f>HYPERLINK("https://docs.google.com/document/d/1mNPO_GyVd2u4ik4BLnp61fbd_8_ai6qHicV6GLDH8k8/edit?usp=drivesdk","J Silas Tanner - 2/13/2020 12:01 PM")</f>
        <v>J Silas Tanner - 2/13/2020 12:01 PM</v>
      </c>
      <c r="AL468" s="12" t="s">
        <v>1355</v>
      </c>
    </row>
    <row r="469" spans="1:38" ht="12.75">
      <c r="A469" s="10">
        <f ca="1">IFERROR(__xludf.DUMMYFUNCTION("""COMPUTED_VALUE"""),43875.3050548958)</f>
        <v>43875.305054895798</v>
      </c>
      <c r="B469" s="11" t="str">
        <f ca="1">IFERROR(__xludf.DUMMYFUNCTION("""COMPUTED_VALUE"""),"Pam Marcum")</f>
        <v>Pam Marcum</v>
      </c>
      <c r="C469" t="str">
        <f ca="1">IFERROR(__xludf.DUMMYFUNCTION("""COMPUTED_VALUE"""),"pamela.marcum@floridadep.govs")</f>
        <v>pamela.marcum@floridadep.govs</v>
      </c>
      <c r="D469" t="str">
        <f ca="1">IFERROR(__xludf.DUMMYFUNCTION("""COMPUTED_VALUE"""),"Administration")</f>
        <v>Administration</v>
      </c>
      <c r="E469" t="str">
        <f ca="1">IFERROR(__xludf.DUMMYFUNCTION("""COMPUTED_VALUE"""),"Butler")</f>
        <v>Butler</v>
      </c>
      <c r="F469" s="13">
        <f ca="1">IFERROR(__xludf.DUMMYFUNCTION("""COMPUTED_VALUE"""),0.3125)</f>
        <v>0.3125</v>
      </c>
      <c r="G469" s="14">
        <f ca="1">IFERROR(__xludf.DUMMYFUNCTION("""COMPUTED_VALUE"""),43875)</f>
        <v>43875</v>
      </c>
      <c r="H469" t="str">
        <f ca="1">IFERROR(__xludf.DUMMYFUNCTION("""COMPUTED_VALUE"""),"Butler flats")</f>
        <v>Butler flats</v>
      </c>
      <c r="I469" s="15">
        <f ca="1">IFERROR(__xludf.DUMMYFUNCTION("""COMPUTED_VALUE"""),0.45833333333212)</f>
        <v>0.45833333333212001</v>
      </c>
      <c r="J469" s="16">
        <f ca="1">IFERROR(__xludf.DUMMYFUNCTION("""COMPUTED_VALUE"""),43875.5)</f>
        <v>43875.5</v>
      </c>
      <c r="K469" t="str">
        <f ca="1">IFERROR(__xludf.DUMMYFUNCTION("""COMPUTED_VALUE"""),"17ft Skiff (Marsha) FL0642GW DEP07239")</f>
        <v>17ft Skiff (Marsha) FL0642GW DEP07239</v>
      </c>
      <c r="M469" t="str">
        <f ca="1">IFERROR(__xludf.DUMMYFUNCTION("""COMPUTED_VALUE"""),"Ford F150 2015 (White) - DEP21448")</f>
        <v>Ford F150 2015 (White) - DEP21448</v>
      </c>
      <c r="N469" t="str">
        <f ca="1">IFERROR(__xludf.DUMMYFUNCTION("""COMPUTED_VALUE"""),"Pam Marcum, (480) 332-5414")</f>
        <v>Pam Marcum, (480) 332-5414</v>
      </c>
      <c r="O469" t="str">
        <f ca="1">IFERROR(__xludf.DUMMYFUNCTION("""COMPUTED_VALUE"""),"Jeff Finnan, Mike Daragh")</f>
        <v>Jeff Finnan, Mike Daragh</v>
      </c>
      <c r="P469" t="str">
        <f ca="1">IFERROR(__xludf.DUMMYFUNCTION("""COMPUTED_VALUE"""),"Pam")</f>
        <v>Pam</v>
      </c>
      <c r="Q469" t="str">
        <f ca="1">IFERROR(__xludf.DUMMYFUNCTION("""COMPUTED_VALUE"""),"All items in working order")</f>
        <v>All items in working order</v>
      </c>
      <c r="AE469" s="11"/>
      <c r="AF469" t="str">
        <v>Lia.Sansom@floridadep.gov</v>
      </c>
      <c r="AG469" s="18"/>
      <c r="AH469" s="12">
        <v>1019</v>
      </c>
      <c r="AI469" s="12" t="s">
        <v>1356</v>
      </c>
      <c r="AJ469" s="19" t="s">
        <v>1357</v>
      </c>
      <c r="AK469" s="20" t="str">
        <f>HYPERLINK("https://docs.google.com/document/d/1ePCO4KHagTKnQfElL5MNB80sbs6Ckddhbe23E2ORdR4/edit?usp=drivesdk","Pam Marcum - 2/14/2020 7:30 AM")</f>
        <v>Pam Marcum - 2/14/2020 7:30 AM</v>
      </c>
      <c r="AL469" s="12" t="s">
        <v>1358</v>
      </c>
    </row>
    <row r="470" spans="1:38" ht="12.75">
      <c r="A470" s="10">
        <f ca="1">IFERROR(__xludf.DUMMYFUNCTION("""COMPUTED_VALUE"""),43878.3280131597)</f>
        <v>43878.328013159698</v>
      </c>
      <c r="B470" s="11" t="str">
        <f ca="1">IFERROR(__xludf.DUMMYFUNCTION("""COMPUTED_VALUE"""),"Pamela Marcum")</f>
        <v>Pamela Marcum</v>
      </c>
      <c r="C470" t="str">
        <f ca="1">IFERROR(__xludf.DUMMYFUNCTION("""COMPUTED_VALUE"""),"Pamela.Marcum@floridadep.gov")</f>
        <v>Pamela.Marcum@floridadep.gov</v>
      </c>
      <c r="D470" t="str">
        <f ca="1">IFERROR(__xludf.DUMMYFUNCTION("""COMPUTED_VALUE"""),"Research/Shannon")</f>
        <v>Research/Shannon</v>
      </c>
      <c r="E470" t="str">
        <f ca="1">IFERROR(__xludf.DUMMYFUNCTION("""COMPUTED_VALUE"""),"Aunt Kate's")</f>
        <v>Aunt Kate's</v>
      </c>
      <c r="F470" s="13">
        <f ca="1">IFERROR(__xludf.DUMMYFUNCTION("""COMPUTED_VALUE"""),0.354166666667879)</f>
        <v>0.35416666666787899</v>
      </c>
      <c r="G470" s="14">
        <f ca="1">IFERROR(__xludf.DUMMYFUNCTION("""COMPUTED_VALUE"""),43878)</f>
        <v>43878</v>
      </c>
      <c r="H470" t="str">
        <f ca="1">IFERROR(__xludf.DUMMYFUNCTION("""COMPUTED_VALUE"""),"guana river")</f>
        <v>guana river</v>
      </c>
      <c r="I470" s="15">
        <f ca="1">IFERROR(__xludf.DUMMYFUNCTION("""COMPUTED_VALUE"""),0.52083333333212)</f>
        <v>0.52083333333212001</v>
      </c>
      <c r="J470" s="16">
        <f ca="1">IFERROR(__xludf.DUMMYFUNCTION("""COMPUTED_VALUE"""),43878.5416666666)</f>
        <v>43878.541666666599</v>
      </c>
      <c r="K470" t="str">
        <f ca="1">IFERROR(__xludf.DUMMYFUNCTION("""COMPUTED_VALUE"""),"20ft Sea Ark FL5351SJ UNF 2015")</f>
        <v>20ft Sea Ark FL5351SJ UNF 2015</v>
      </c>
      <c r="M470" t="str">
        <f ca="1">IFERROR(__xludf.DUMMYFUNCTION("""COMPUTED_VALUE"""),"Ford F250 2017 (Moby Dix) - DEP0021578")</f>
        <v>Ford F250 2017 (Moby Dix) - DEP0021578</v>
      </c>
      <c r="N470" t="str">
        <f ca="1">IFERROR(__xludf.DUMMYFUNCTION("""COMPUTED_VALUE"""),"Pam Marcum, (480) 332-5414")</f>
        <v>Pam Marcum, (480) 332-5414</v>
      </c>
      <c r="O470" t="str">
        <f ca="1">IFERROR(__xludf.DUMMYFUNCTION("""COMPUTED_VALUE"""),"Alee Knoell, (619) 750-4833, Mike Darragh, Stefana Moscardini, Kelly Sullivan, Paul Yonally")</f>
        <v>Alee Knoell, (619) 750-4833, Mike Darragh, Stefana Moscardini, Kelly Sullivan, Paul Yonally</v>
      </c>
      <c r="P470" t="str">
        <f ca="1">IFERROR(__xludf.DUMMYFUNCTION("""COMPUTED_VALUE"""),"Pam")</f>
        <v>Pam</v>
      </c>
      <c r="Q470" t="str">
        <f ca="1">IFERROR(__xludf.DUMMYFUNCTION("""COMPUTED_VALUE"""),"All items in working order")</f>
        <v>All items in working order</v>
      </c>
      <c r="AE470" s="11"/>
      <c r="AF470" t="str">
        <v>Shannon.Dunnigan@floridadep.gov</v>
      </c>
      <c r="AG470" s="17" t="s">
        <v>58</v>
      </c>
      <c r="AH470" s="12">
        <v>1245</v>
      </c>
      <c r="AI470" s="12" t="s">
        <v>1359</v>
      </c>
      <c r="AJ470" s="19" t="s">
        <v>1360</v>
      </c>
      <c r="AK470" s="20" t="str">
        <f>HYPERLINK("https://docs.google.com/document/d/1ZpHNgTfwEUWpacFvXODvASHbr6p2nOLQFoJ0GljaYLs/edit?usp=drivesdk","Pamela Marcum - 2/17/2020 8:30 AM")</f>
        <v>Pamela Marcum - 2/17/2020 8:30 AM</v>
      </c>
      <c r="AL470" s="12" t="s">
        <v>1361</v>
      </c>
    </row>
    <row r="471" spans="1:38" ht="12.75">
      <c r="A471" s="10">
        <f ca="1">IFERROR(__xludf.DUMMYFUNCTION("""COMPUTED_VALUE"""),43878.3833271875)</f>
        <v>43878.383327187497</v>
      </c>
      <c r="B471" s="11" t="str">
        <f ca="1">IFERROR(__xludf.DUMMYFUNCTION("""COMPUTED_VALUE"""),"James Tomazinis")</f>
        <v>James Tomazinis</v>
      </c>
      <c r="C471" t="str">
        <f ca="1">IFERROR(__xludf.DUMMYFUNCTION("""COMPUTED_VALUE"""),"james.tomazinis@floridadep.gov")</f>
        <v>james.tomazinis@floridadep.gov</v>
      </c>
      <c r="D471" t="str">
        <f ca="1">IFERROR(__xludf.DUMMYFUNCTION("""COMPUTED_VALUE"""),"Stewardship (Aquatic)")</f>
        <v>Stewardship (Aquatic)</v>
      </c>
      <c r="E471" t="str">
        <f ca="1">IFERROR(__xludf.DUMMYFUNCTION("""COMPUTED_VALUE"""),"Sawpit")</f>
        <v>Sawpit</v>
      </c>
      <c r="F471" s="13">
        <f ca="1">IFERROR(__xludf.DUMMYFUNCTION("""COMPUTED_VALUE"""),0.5)</f>
        <v>0.5</v>
      </c>
      <c r="G471" s="14">
        <f ca="1">IFERROR(__xludf.DUMMYFUNCTION("""COMPUTED_VALUE"""),43878)</f>
        <v>43878</v>
      </c>
      <c r="H471" t="str">
        <f ca="1">IFERROR(__xludf.DUMMYFUNCTION("""COMPUTED_VALUE"""),"Nassau/Amelia River Oyster Rakes")</f>
        <v>Nassau/Amelia River Oyster Rakes</v>
      </c>
      <c r="I471" s="15">
        <f ca="1">IFERROR(__xludf.DUMMYFUNCTION("""COMPUTED_VALUE"""),0.666666666667879)</f>
        <v>0.66666666666787899</v>
      </c>
      <c r="J471" s="16"/>
      <c r="K471" t="str">
        <f ca="1">IFERROR(__xludf.DUMMYFUNCTION("""COMPUTED_VALUE"""),"23ft Skiff (Bertha) FL7972LJ DEP07613")</f>
        <v>23ft Skiff (Bertha) FL7972LJ DEP07613</v>
      </c>
      <c r="M471" t="str">
        <f ca="1">IFERROR(__xludf.DUMMYFUNCTION("""COMPUTED_VALUE"""),"Ford F150 2018 (AP) - DEP21637")</f>
        <v>Ford F150 2018 (AP) - DEP21637</v>
      </c>
      <c r="N471" t="str">
        <f ca="1">IFERROR(__xludf.DUMMYFUNCTION("""COMPUTED_VALUE"""),"Jimmy Tomazinis, (904) 547-0094")</f>
        <v>Jimmy Tomazinis, (904) 547-0094</v>
      </c>
      <c r="O471" t="str">
        <f ca="1">IFERROR(__xludf.DUMMYFUNCTION("""COMPUTED_VALUE"""),"Jean Olbert, Joe Marchionno and others")</f>
        <v>Jean Olbert, Joe Marchionno and others</v>
      </c>
      <c r="P471" t="str">
        <f ca="1">IFERROR(__xludf.DUMMYFUNCTION("""COMPUTED_VALUE"""),"Jimmy")</f>
        <v>Jimmy</v>
      </c>
      <c r="Q471" t="str">
        <f ca="1">IFERROR(__xludf.DUMMYFUNCTION("""COMPUTED_VALUE"""),"All items in working order")</f>
        <v>All items in working order</v>
      </c>
      <c r="AE471" s="11"/>
      <c r="AF471" t="str">
        <v>Scott.Eastman@floridadep.gov</v>
      </c>
      <c r="AG471" s="17" t="s">
        <v>17</v>
      </c>
      <c r="AH471" s="12">
        <v>1540</v>
      </c>
      <c r="AI471" s="12" t="s">
        <v>1362</v>
      </c>
      <c r="AJ471" s="19" t="s">
        <v>1363</v>
      </c>
      <c r="AK471" s="20" t="str">
        <f>HYPERLINK("https://docs.google.com/document/d/1LGB0_A8ZWtOqleEzjTfQHtsoVacH_5UR0QbIFYLaSwY/edit?usp=drivesdk","James Tomazinis - 2/17/2020 12:00 PM")</f>
        <v>James Tomazinis - 2/17/2020 12:00 PM</v>
      </c>
      <c r="AL471" s="12" t="s">
        <v>1364</v>
      </c>
    </row>
    <row r="472" spans="1:38" ht="12.75">
      <c r="A472" s="10">
        <f ca="1">IFERROR(__xludf.DUMMYFUNCTION("""COMPUTED_VALUE"""),43879.3789261342)</f>
        <v>43879.378926134203</v>
      </c>
      <c r="B472" s="11" t="str">
        <f ca="1">IFERROR(__xludf.DUMMYFUNCTION("""COMPUTED_VALUE"""),"Pam Marcum")</f>
        <v>Pam Marcum</v>
      </c>
      <c r="C472" t="str">
        <f ca="1">IFERROR(__xludf.DUMMYFUNCTION("""COMPUTED_VALUE"""),"Pamela.Marcum@floridadep.gov")</f>
        <v>Pamela.Marcum@floridadep.gov</v>
      </c>
      <c r="D472" t="str">
        <f ca="1">IFERROR(__xludf.DUMMYFUNCTION("""COMPUTED_VALUE"""),"Research/Nikki")</f>
        <v>Research/Nikki</v>
      </c>
      <c r="E472" t="str">
        <f ca="1">IFERROR(__xludf.DUMMYFUNCTION("""COMPUTED_VALUE"""),"Aunt Kate's")</f>
        <v>Aunt Kate's</v>
      </c>
      <c r="F472" s="13">
        <f ca="1">IFERROR(__xludf.DUMMYFUNCTION("""COMPUTED_VALUE"""),0.39583333333212)</f>
        <v>0.39583333333212001</v>
      </c>
      <c r="G472" s="14">
        <f ca="1">IFERROR(__xludf.DUMMYFUNCTION("""COMPUTED_VALUE"""),43879)</f>
        <v>43879</v>
      </c>
      <c r="H472" t="str">
        <f ca="1">IFERROR(__xludf.DUMMYFUNCTION("""COMPUTED_VALUE"""),"San Sebastian/Pine Island")</f>
        <v>San Sebastian/Pine Island</v>
      </c>
      <c r="I472" s="15">
        <f ca="1">IFERROR(__xludf.DUMMYFUNCTION("""COMPUTED_VALUE"""),0.541666666667879)</f>
        <v>0.54166666666787899</v>
      </c>
      <c r="J472" s="16">
        <f ca="1">IFERROR(__xludf.DUMMYFUNCTION("""COMPUTED_VALUE"""),43879.5625)</f>
        <v>43879.5625</v>
      </c>
      <c r="K472" t="str">
        <f ca="1">IFERROR(__xludf.DUMMYFUNCTION("""COMPUTED_VALUE"""),"20ft Sea Ark FL5351SJ UNF 2015")</f>
        <v>20ft Sea Ark FL5351SJ UNF 2015</v>
      </c>
      <c r="M472" t="str">
        <f ca="1">IFERROR(__xludf.DUMMYFUNCTION("""COMPUTED_VALUE"""),"Ford F250 2017 (Moby Dix) - DEP0021578")</f>
        <v>Ford F250 2017 (Moby Dix) - DEP0021578</v>
      </c>
      <c r="N472" t="str">
        <f ca="1">IFERROR(__xludf.DUMMYFUNCTION("""COMPUTED_VALUE"""),"Pam Marcum, (480) 332-5414")</f>
        <v>Pam Marcum, (480) 332-5414</v>
      </c>
      <c r="O472" t="str">
        <f ca="1">IFERROR(__xludf.DUMMYFUNCTION("""COMPUTED_VALUE"""),"Alee Knoell, (619) 750-4833, Rauney Mitchell, Traci Yochum, Jeff Finnan, Chris Blanco")</f>
        <v>Alee Knoell, (619) 750-4833, Rauney Mitchell, Traci Yochum, Jeff Finnan, Chris Blanco</v>
      </c>
      <c r="P472" t="str">
        <f ca="1">IFERROR(__xludf.DUMMYFUNCTION("""COMPUTED_VALUE"""),"Pam")</f>
        <v>Pam</v>
      </c>
      <c r="Q472" t="str">
        <f ca="1">IFERROR(__xludf.DUMMYFUNCTION("""COMPUTED_VALUE"""),"All items in working order")</f>
        <v>All items in working order</v>
      </c>
      <c r="AE472" s="11"/>
      <c r="AF472" t="str">
        <v>Nikki.Dix@floridadep.gov</v>
      </c>
      <c r="AG472" s="17" t="s">
        <v>17</v>
      </c>
      <c r="AH472" s="12">
        <v>1315</v>
      </c>
      <c r="AI472" s="12" t="s">
        <v>1365</v>
      </c>
      <c r="AJ472" s="19" t="s">
        <v>1366</v>
      </c>
      <c r="AK472" s="20" t="str">
        <f>HYPERLINK("https://docs.google.com/document/d/1RhI2g82fbFAKOgTn73GYXSoJOtPGjCugxGRLUVIJdgE/edit?usp=drivesdk","Pam Marcum - 2/18/2020 9:30 AM")</f>
        <v>Pam Marcum - 2/18/2020 9:30 AM</v>
      </c>
      <c r="AL472" s="12" t="s">
        <v>1367</v>
      </c>
    </row>
    <row r="473" spans="1:38" ht="12.75">
      <c r="A473" s="10">
        <f ca="1">IFERROR(__xludf.DUMMYFUNCTION("""COMPUTED_VALUE"""),43880.4174608101)</f>
        <v>43880.417460810102</v>
      </c>
      <c r="B473" s="11" t="str">
        <f ca="1">IFERROR(__xludf.DUMMYFUNCTION("""COMPUTED_VALUE"""),"Pamela Marcum")</f>
        <v>Pamela Marcum</v>
      </c>
      <c r="C473" t="str">
        <f ca="1">IFERROR(__xludf.DUMMYFUNCTION("""COMPUTED_VALUE"""),"Pamela.Marcum@FloridaDEP.gov")</f>
        <v>Pamela.Marcum@FloridaDEP.gov</v>
      </c>
      <c r="D473" t="str">
        <f ca="1">IFERROR(__xludf.DUMMYFUNCTION("""COMPUTED_VALUE"""),"Research/Nikki")</f>
        <v>Research/Nikki</v>
      </c>
      <c r="E473" t="str">
        <f ca="1">IFERROR(__xludf.DUMMYFUNCTION("""COMPUTED_VALUE"""),"Aunt Kate's")</f>
        <v>Aunt Kate's</v>
      </c>
      <c r="F473" s="13">
        <f ca="1">IFERROR(__xludf.DUMMYFUNCTION("""COMPUTED_VALUE"""),0.4375)</f>
        <v>0.4375</v>
      </c>
      <c r="G473" s="14">
        <f ca="1">IFERROR(__xludf.DUMMYFUNCTION("""COMPUTED_VALUE"""),43880)</f>
        <v>43880</v>
      </c>
      <c r="H473" t="str">
        <f ca="1">IFERROR(__xludf.DUMMYFUNCTION("""COMPUTED_VALUE"""),"Robinson's Creek")</f>
        <v>Robinson's Creek</v>
      </c>
      <c r="I473" s="15">
        <f ca="1">IFERROR(__xludf.DUMMYFUNCTION("""COMPUTED_VALUE"""),0.52083333333212)</f>
        <v>0.52083333333212001</v>
      </c>
      <c r="J473" s="16">
        <f ca="1">IFERROR(__xludf.DUMMYFUNCTION("""COMPUTED_VALUE"""),43880.5416666666)</f>
        <v>43880.541666666599</v>
      </c>
      <c r="K473" t="str">
        <f ca="1">IFERROR(__xludf.DUMMYFUNCTION("""COMPUTED_VALUE"""),"20ft Sea Ark FL5351SJ UNF 2015")</f>
        <v>20ft Sea Ark FL5351SJ UNF 2015</v>
      </c>
      <c r="M473" t="str">
        <f ca="1">IFERROR(__xludf.DUMMYFUNCTION("""COMPUTED_VALUE"""),"Ford F250 2017 (Moby Dix) - DEP0021578")</f>
        <v>Ford F250 2017 (Moby Dix) - DEP0021578</v>
      </c>
      <c r="N473" t="str">
        <f ca="1">IFERROR(__xludf.DUMMYFUNCTION("""COMPUTED_VALUE"""),"Pam Marcum, (480) 332-5414")</f>
        <v>Pam Marcum, (480) 332-5414</v>
      </c>
      <c r="O473" t="str">
        <f ca="1">IFERROR(__xludf.DUMMYFUNCTION("""COMPUTED_VALUE"""),"Alee Knoell, (619) 750-4833, Jeff Finnan, Zach Lepera, Spencer Baba")</f>
        <v>Alee Knoell, (619) 750-4833, Jeff Finnan, Zach Lepera, Spencer Baba</v>
      </c>
      <c r="P473" t="str">
        <f ca="1">IFERROR(__xludf.DUMMYFUNCTION("""COMPUTED_VALUE"""),"Pam")</f>
        <v>Pam</v>
      </c>
      <c r="Q473" t="str">
        <f ca="1">IFERROR(__xludf.DUMMYFUNCTION("""COMPUTED_VALUE"""),"All items in working order")</f>
        <v>All items in working order</v>
      </c>
      <c r="AE473" s="11"/>
      <c r="AF473" t="str">
        <v>Nikki.Dix@floridadep.gov</v>
      </c>
      <c r="AG473" s="17" t="s">
        <v>17</v>
      </c>
      <c r="AH473" s="12">
        <v>1300</v>
      </c>
      <c r="AI473" s="12" t="s">
        <v>1368</v>
      </c>
      <c r="AJ473" s="19" t="s">
        <v>1369</v>
      </c>
      <c r="AK473" s="20" t="str">
        <f>HYPERLINK("https://docs.google.com/document/d/141-rvnc8rquWsEyt7uGttPzhVWom2_hCURpb5ShysQk/edit?usp=drivesdk","Pamela Marcum - 2/19/2020 10:30 AM")</f>
        <v>Pamela Marcum - 2/19/2020 10:30 AM</v>
      </c>
      <c r="AL473" s="12" t="s">
        <v>1370</v>
      </c>
    </row>
    <row r="474" spans="1:38" ht="12.75">
      <c r="A474" s="10">
        <f ca="1">IFERROR(__xludf.DUMMYFUNCTION("""COMPUTED_VALUE"""),43881.4632688657)</f>
        <v>43881.4632688657</v>
      </c>
      <c r="B474" s="11" t="str">
        <f ca="1">IFERROR(__xludf.DUMMYFUNCTION("""COMPUTED_VALUE"""),"Pam Marcum")</f>
        <v>Pam Marcum</v>
      </c>
      <c r="C474" t="str">
        <f ca="1">IFERROR(__xludf.DUMMYFUNCTION("""COMPUTED_VALUE"""),"Pamela.Marcum@dep.state.fl.us")</f>
        <v>Pamela.Marcum@dep.state.fl.us</v>
      </c>
      <c r="D474" t="str">
        <f ca="1">IFERROR(__xludf.DUMMYFUNCTION("""COMPUTED_VALUE"""),"Administration")</f>
        <v>Administration</v>
      </c>
      <c r="E474" t="str">
        <f ca="1">IFERROR(__xludf.DUMMYFUNCTION("""COMPUTED_VALUE"""),"Aunt Kate's")</f>
        <v>Aunt Kate's</v>
      </c>
      <c r="F474" s="13">
        <f ca="1">IFERROR(__xludf.DUMMYFUNCTION("""COMPUTED_VALUE"""),0.479166666667879)</f>
        <v>0.47916666666787899</v>
      </c>
      <c r="G474" s="14">
        <f ca="1">IFERROR(__xludf.DUMMYFUNCTION("""COMPUTED_VALUE"""),43881)</f>
        <v>43881</v>
      </c>
      <c r="H474" t="str">
        <f ca="1">IFERROR(__xludf.DUMMYFUNCTION("""COMPUTED_VALUE"""),"Guana River")</f>
        <v>Guana River</v>
      </c>
      <c r="I474" s="15">
        <f ca="1">IFERROR(__xludf.DUMMYFUNCTION("""COMPUTED_VALUE"""),0.58333333333212)</f>
        <v>0.58333333333212001</v>
      </c>
      <c r="J474" s="16">
        <f ca="1">IFERROR(__xludf.DUMMYFUNCTION("""COMPUTED_VALUE"""),43881.6041666666)</f>
        <v>43881.604166666599</v>
      </c>
      <c r="K474" t="str">
        <f ca="1">IFERROR(__xludf.DUMMYFUNCTION("""COMPUTED_VALUE"""),"20ft Sea Ark FL5351SJ UNF 2015")</f>
        <v>20ft Sea Ark FL5351SJ UNF 2015</v>
      </c>
      <c r="M474" t="str">
        <f ca="1">IFERROR(__xludf.DUMMYFUNCTION("""COMPUTED_VALUE"""),"Ford F250 2017 (Moby Dix) - DEP0021578")</f>
        <v>Ford F250 2017 (Moby Dix) - DEP0021578</v>
      </c>
      <c r="N474" t="str">
        <f ca="1">IFERROR(__xludf.DUMMYFUNCTION("""COMPUTED_VALUE"""),"Nikki Dix, (352) 219-4079, Pam Marcum, (480) 332-5414, Jimmy Tomazinis, (904) 547-0094")</f>
        <v>Nikki Dix, (352) 219-4079, Pam Marcum, (480) 332-5414, Jimmy Tomazinis, (904) 547-0094</v>
      </c>
      <c r="O474" t="str">
        <f ca="1">IFERROR(__xludf.DUMMYFUNCTION("""COMPUTED_VALUE"""),"Alee Knoell, (619) 750-4833")</f>
        <v>Alee Knoell, (619) 750-4833</v>
      </c>
      <c r="P474" t="str">
        <f ca="1">IFERROR(__xludf.DUMMYFUNCTION("""COMPUTED_VALUE"""),"Pam")</f>
        <v>Pam</v>
      </c>
      <c r="Q474" t="str">
        <f ca="1">IFERROR(__xludf.DUMMYFUNCTION("""COMPUTED_VALUE"""),"All items in working order")</f>
        <v>All items in working order</v>
      </c>
      <c r="AE474" s="11"/>
      <c r="AF474" t="str">
        <v>Lia.Sansom@floridadep.gov</v>
      </c>
      <c r="AG474" s="17" t="s">
        <v>58</v>
      </c>
      <c r="AH474" s="12">
        <v>1540</v>
      </c>
      <c r="AI474" s="12" t="s">
        <v>1371</v>
      </c>
      <c r="AJ474" s="19" t="s">
        <v>1372</v>
      </c>
      <c r="AK474" s="20" t="str">
        <f>HYPERLINK("https://docs.google.com/document/d/1Bpf7ojuRWo8Q2ilNRXfOzVHky-n3dnqdoLkTMDrGvlI/edit?usp=drivesdk","Pam Marcum - 2/20/2020 11:30 AM")</f>
        <v>Pam Marcum - 2/20/2020 11:30 AM</v>
      </c>
      <c r="AL474" s="12" t="s">
        <v>1373</v>
      </c>
    </row>
    <row r="475" spans="1:38" ht="12.75">
      <c r="A475" s="10">
        <f ca="1">IFERROR(__xludf.DUMMYFUNCTION("""COMPUTED_VALUE"""),43886.3133993749)</f>
        <v>43886.3133993749</v>
      </c>
      <c r="B475" s="11" t="str">
        <f ca="1">IFERROR(__xludf.DUMMYFUNCTION("""COMPUTED_VALUE"""),"J Silas Tanner")</f>
        <v>J Silas Tanner</v>
      </c>
      <c r="C475" t="str">
        <f ca="1">IFERROR(__xludf.DUMMYFUNCTION("""COMPUTED_VALUE"""),"silas.tanner@floridadep.gov")</f>
        <v>silas.tanner@floridadep.gov</v>
      </c>
      <c r="D475" t="str">
        <f ca="1">IFERROR(__xludf.DUMMYFUNCTION("""COMPUTED_VALUE"""),"Research/Nikki")</f>
        <v>Research/Nikki</v>
      </c>
      <c r="E475" t="str">
        <f ca="1">IFERROR(__xludf.DUMMYFUNCTION("""COMPUTED_VALUE"""),"Douglas Crane, Green Road")</f>
        <v>Douglas Crane, Green Road</v>
      </c>
      <c r="F475" s="13">
        <f ca="1">IFERROR(__xludf.DUMMYFUNCTION("""COMPUTED_VALUE"""),0.385416666667879)</f>
        <v>0.38541666666787899</v>
      </c>
      <c r="G475" s="14">
        <f ca="1">IFERROR(__xludf.DUMMYFUNCTION("""COMPUTED_VALUE"""),43886)</f>
        <v>43886</v>
      </c>
      <c r="H475" t="str">
        <f ca="1">IFERROR(__xludf.DUMMYFUNCTION("""COMPUTED_VALUE"""),"ICW SWMP Sites: San Sebastian &amp; Fort Matanzas")</f>
        <v>ICW SWMP Sites: San Sebastian &amp; Fort Matanzas</v>
      </c>
      <c r="I475" s="15">
        <f ca="1">IFERROR(__xludf.DUMMYFUNCTION("""COMPUTED_VALUE"""),0.625)</f>
        <v>0.625</v>
      </c>
      <c r="J475" s="16">
        <f ca="1">IFERROR(__xludf.DUMMYFUNCTION("""COMPUTED_VALUE"""),43886.6666666666)</f>
        <v>43886.666666666599</v>
      </c>
      <c r="K475" t="str">
        <f ca="1">IFERROR(__xludf.DUMMYFUNCTION("""COMPUTED_VALUE"""),"20ft Sea Ark FL5351SJ UNF 2015")</f>
        <v>20ft Sea Ark FL5351SJ UNF 2015</v>
      </c>
      <c r="M475" t="str">
        <f ca="1">IFERROR(__xludf.DUMMYFUNCTION("""COMPUTED_VALUE"""),"Ford F250 2017 (Moby Dix) - DEP0021578")</f>
        <v>Ford F250 2017 (Moby Dix) - DEP0021578</v>
      </c>
      <c r="N475" t="str">
        <f ca="1">IFERROR(__xludf.DUMMYFUNCTION("""COMPUTED_VALUE"""),"Silas Tanner, (904) 483-8423")</f>
        <v>Silas Tanner, (904) 483-8423</v>
      </c>
      <c r="O475" t="str">
        <f ca="1">IFERROR(__xludf.DUMMYFUNCTION("""COMPUTED_VALUE"""),"Chris Blanco")</f>
        <v>Chris Blanco</v>
      </c>
      <c r="P475" t="str">
        <f ca="1">IFERROR(__xludf.DUMMYFUNCTION("""COMPUTED_VALUE"""),"S. Tanner")</f>
        <v>S. Tanner</v>
      </c>
      <c r="Q475" t="str">
        <f ca="1">IFERROR(__xludf.DUMMYFUNCTION("""COMPUTED_VALUE"""),"All items in working order")</f>
        <v>All items in working order</v>
      </c>
      <c r="AE475" s="11"/>
      <c r="AF475" t="str">
        <v>Nikki.Dix@floridadep.gov</v>
      </c>
      <c r="AG475" s="17" t="s">
        <v>58</v>
      </c>
      <c r="AH475" s="12">
        <v>1345</v>
      </c>
      <c r="AI475" s="12" t="s">
        <v>1374</v>
      </c>
      <c r="AJ475" s="19" t="s">
        <v>1375</v>
      </c>
      <c r="AK475" s="20" t="str">
        <f>HYPERLINK("https://docs.google.com/document/d/1GJCy6Iex1X0y338RB7zPqTEUS_P0oXSt368XSaXCcXo/edit?usp=drivesdk","J Silas Tanner - 2/25/2020 9:15 AM")</f>
        <v>J Silas Tanner - 2/25/2020 9:15 AM</v>
      </c>
      <c r="AL475" s="12" t="s">
        <v>1376</v>
      </c>
    </row>
    <row r="476" spans="1:38" ht="12.75">
      <c r="A476" s="10">
        <f ca="1">IFERROR(__xludf.DUMMYFUNCTION("""COMPUTED_VALUE"""),43887.3099458449)</f>
        <v>43887.3099458449</v>
      </c>
      <c r="B476" s="11" t="str">
        <f ca="1">IFERROR(__xludf.DUMMYFUNCTION("""COMPUTED_VALUE"""),"Silas Tanner")</f>
        <v>Silas Tanner</v>
      </c>
      <c r="C476" t="str">
        <f ca="1">IFERROR(__xludf.DUMMYFUNCTION("""COMPUTED_VALUE"""),"silas.tanner@floridadep.gov")</f>
        <v>silas.tanner@floridadep.gov</v>
      </c>
      <c r="D476" t="str">
        <f ca="1">IFERROR(__xludf.DUMMYFUNCTION("""COMPUTED_VALUE"""),"Research/Nikki")</f>
        <v>Research/Nikki</v>
      </c>
      <c r="E476" t="str">
        <f ca="1">IFERROR(__xludf.DUMMYFUNCTION("""COMPUTED_VALUE"""),"ICW Palm Valley")</f>
        <v>ICW Palm Valley</v>
      </c>
      <c r="F476" s="13">
        <f ca="1">IFERROR(__xludf.DUMMYFUNCTION("""COMPUTED_VALUE"""),0.322916666667879)</f>
        <v>0.32291666666787899</v>
      </c>
      <c r="G476" s="14">
        <f ca="1">IFERROR(__xludf.DUMMYFUNCTION("""COMPUTED_VALUE"""),43887)</f>
        <v>43887</v>
      </c>
      <c r="H476" t="str">
        <f ca="1">IFERROR(__xludf.DUMMYFUNCTION("""COMPUTED_VALUE"""),"ICW Pine Island SWMP station")</f>
        <v>ICW Pine Island SWMP station</v>
      </c>
      <c r="I476" s="15">
        <f ca="1">IFERROR(__xludf.DUMMYFUNCTION("""COMPUTED_VALUE"""),0.375)</f>
        <v>0.375</v>
      </c>
      <c r="J476" s="16">
        <f ca="1">IFERROR(__xludf.DUMMYFUNCTION("""COMPUTED_VALUE"""),43887.3854166666)</f>
        <v>43887.385416666599</v>
      </c>
      <c r="K476" t="str">
        <f ca="1">IFERROR(__xludf.DUMMYFUNCTION("""COMPUTED_VALUE"""),"20ft Sea Ark FL5351SJ UNF 2015")</f>
        <v>20ft Sea Ark FL5351SJ UNF 2015</v>
      </c>
      <c r="M476" t="str">
        <f ca="1">IFERROR(__xludf.DUMMYFUNCTION("""COMPUTED_VALUE"""),"Ford F250 2017 (Moby Dix) - DEP0021578")</f>
        <v>Ford F250 2017 (Moby Dix) - DEP0021578</v>
      </c>
      <c r="N476" t="str">
        <f ca="1">IFERROR(__xludf.DUMMYFUNCTION("""COMPUTED_VALUE"""),"Silas Tanner, (904) 483-8423")</f>
        <v>Silas Tanner, (904) 483-8423</v>
      </c>
      <c r="O476" t="str">
        <f ca="1">IFERROR(__xludf.DUMMYFUNCTION("""COMPUTED_VALUE"""),"Chris Blanco")</f>
        <v>Chris Blanco</v>
      </c>
      <c r="P476" t="str">
        <f ca="1">IFERROR(__xludf.DUMMYFUNCTION("""COMPUTED_VALUE"""),"S. Tanner")</f>
        <v>S. Tanner</v>
      </c>
      <c r="Q476" t="str">
        <f ca="1">IFERROR(__xludf.DUMMYFUNCTION("""COMPUTED_VALUE"""),"All items in working order")</f>
        <v>All items in working order</v>
      </c>
      <c r="AE476" s="11"/>
      <c r="AF476" t="str">
        <v>Nikki.Dix@floridadep.gov</v>
      </c>
      <c r="AG476" s="17" t="s">
        <v>41</v>
      </c>
      <c r="AH476" s="12">
        <v>845</v>
      </c>
      <c r="AI476" s="12" t="s">
        <v>1377</v>
      </c>
      <c r="AJ476" s="19" t="s">
        <v>1378</v>
      </c>
      <c r="AK476" s="20" t="str">
        <f>HYPERLINK("https://docs.google.com/document/d/1I2AtTZU48vr_j58JnQ7CCqEsOX1W59aS-zCtRzHyvls/edit?usp=drivesdk","Silas Tanner - 2/26/2020 7:45 AM")</f>
        <v>Silas Tanner - 2/26/2020 7:45 AM</v>
      </c>
      <c r="AL476" s="12" t="s">
        <v>1379</v>
      </c>
    </row>
    <row r="477" spans="1:38" ht="12.75">
      <c r="A477" s="10">
        <f ca="1">IFERROR(__xludf.DUMMYFUNCTION("""COMPUTED_VALUE"""),43893.2970579861)</f>
        <v>43893.297057986099</v>
      </c>
      <c r="B477" s="11" t="str">
        <f ca="1">IFERROR(__xludf.DUMMYFUNCTION("""COMPUTED_VALUE"""),"Pam Marcum")</f>
        <v>Pam Marcum</v>
      </c>
      <c r="C477" t="str">
        <f ca="1">IFERROR(__xludf.DUMMYFUNCTION("""COMPUTED_VALUE"""),"pamela.marcum@floridadep.gov")</f>
        <v>pamela.marcum@floridadep.gov</v>
      </c>
      <c r="D477" t="str">
        <f ca="1">IFERROR(__xludf.DUMMYFUNCTION("""COMPUTED_VALUE"""),"Research/Nikki")</f>
        <v>Research/Nikki</v>
      </c>
      <c r="E477" t="str">
        <f ca="1">IFERROR(__xludf.DUMMYFUNCTION("""COMPUTED_VALUE"""),"Vilano")</f>
        <v>Vilano</v>
      </c>
      <c r="F477" s="13">
        <f ca="1">IFERROR(__xludf.DUMMYFUNCTION("""COMPUTED_VALUE"""),0.291666666667879)</f>
        <v>0.29166666666787899</v>
      </c>
      <c r="G477" s="14">
        <f ca="1">IFERROR(__xludf.DUMMYFUNCTION("""COMPUTED_VALUE"""),43893)</f>
        <v>43893</v>
      </c>
      <c r="H477" t="str">
        <f ca="1">IFERROR(__xludf.DUMMYFUNCTION("""COMPUTED_VALUE"""),"Spat trees SR, GR, TR, SA, FM")</f>
        <v>Spat trees SR, GR, TR, SA, FM</v>
      </c>
      <c r="I477" s="15">
        <f ca="1">IFERROR(__xludf.DUMMYFUNCTION("""COMPUTED_VALUE"""),0.666666666667879)</f>
        <v>0.66666666666787899</v>
      </c>
      <c r="J477" s="16">
        <f ca="1">IFERROR(__xludf.DUMMYFUNCTION("""COMPUTED_VALUE"""),43893.6770833333)</f>
        <v>43893.677083333299</v>
      </c>
      <c r="K477" t="str">
        <f ca="1">IFERROR(__xludf.DUMMYFUNCTION("""COMPUTED_VALUE"""),"20ft Sea Ark FL5351SJ UNF 2015")</f>
        <v>20ft Sea Ark FL5351SJ UNF 2015</v>
      </c>
      <c r="M477" t="str">
        <f ca="1">IFERROR(__xludf.DUMMYFUNCTION("""COMPUTED_VALUE"""),"Ford F250 2017 (Moby Dix) - DEP0021578")</f>
        <v>Ford F250 2017 (Moby Dix) - DEP0021578</v>
      </c>
      <c r="N477" t="str">
        <f ca="1">IFERROR(__xludf.DUMMYFUNCTION("""COMPUTED_VALUE"""),"Pam Marcum, (480) 332-5414")</f>
        <v>Pam Marcum, (480) 332-5414</v>
      </c>
      <c r="O477" t="str">
        <f ca="1">IFERROR(__xludf.DUMMYFUNCTION("""COMPUTED_VALUE"""),"Alee Knoell, (619) 750-4833, Adrienne Breef-Pilz (TR GR only)")</f>
        <v>Alee Knoell, (619) 750-4833, Adrienne Breef-Pilz (TR GR only)</v>
      </c>
      <c r="P477" t="str">
        <f ca="1">IFERROR(__xludf.DUMMYFUNCTION("""COMPUTED_VALUE"""),"Pam")</f>
        <v>Pam</v>
      </c>
      <c r="Q477" t="str">
        <f ca="1">IFERROR(__xludf.DUMMYFUNCTION("""COMPUTED_VALUE"""),"All items in working order")</f>
        <v>All items in working order</v>
      </c>
      <c r="AE477" s="11"/>
      <c r="AF477" t="str">
        <v>Nikki.Dix@floridadep.gov</v>
      </c>
      <c r="AG477" s="17" t="s">
        <v>17</v>
      </c>
      <c r="AH477" s="12">
        <v>1530</v>
      </c>
      <c r="AI477" s="12" t="s">
        <v>1380</v>
      </c>
      <c r="AJ477" s="19" t="s">
        <v>1381</v>
      </c>
      <c r="AK477" s="20" t="str">
        <f>HYPERLINK("https://docs.google.com/document/d/1ul8UQMETh26VSjI04pzTDRAA7H0Qdpy0QDoLfZHiKdQ/edit?usp=drivesdk","Pam Marcum - 3/3/2020 7:00 AM")</f>
        <v>Pam Marcum - 3/3/2020 7:00 AM</v>
      </c>
      <c r="AL477" s="12" t="s">
        <v>1382</v>
      </c>
    </row>
    <row r="478" spans="1:38" ht="12.75">
      <c r="A478" s="10">
        <f ca="1">IFERROR(__xludf.DUMMYFUNCTION("""COMPUTED_VALUE"""),43894.4782598379)</f>
        <v>43894.478259837902</v>
      </c>
      <c r="B478" s="11" t="str">
        <f ca="1">IFERROR(__xludf.DUMMYFUNCTION("""COMPUTED_VALUE"""),"Shannon Dunnigan")</f>
        <v>Shannon Dunnigan</v>
      </c>
      <c r="C478" t="str">
        <f ca="1">IFERROR(__xludf.DUMMYFUNCTION("""COMPUTED_VALUE"""),"shannon.dunnigan@dep.state.fl.us")</f>
        <v>shannon.dunnigan@dep.state.fl.us</v>
      </c>
      <c r="D478" t="str">
        <f ca="1">IFERROR(__xludf.DUMMYFUNCTION("""COMPUTED_VALUE"""),"Research/Nikki")</f>
        <v>Research/Nikki</v>
      </c>
      <c r="E478" t="str">
        <f ca="1">IFERROR(__xludf.DUMMYFUNCTION("""COMPUTED_VALUE"""),"Crane")</f>
        <v>Crane</v>
      </c>
      <c r="F478" s="13">
        <f ca="1">IFERROR(__xludf.DUMMYFUNCTION("""COMPUTED_VALUE"""),0.510416666667879)</f>
        <v>0.51041666666787899</v>
      </c>
      <c r="G478" s="14">
        <f ca="1">IFERROR(__xludf.DUMMYFUNCTION("""COMPUTED_VALUE"""),43894)</f>
        <v>43894</v>
      </c>
      <c r="H478" t="str">
        <f ca="1">IFERROR(__xludf.DUMMYFUNCTION("""COMPUTED_VALUE"""),"Gabby’s Creek")</f>
        <v>Gabby’s Creek</v>
      </c>
      <c r="I478" s="15">
        <f ca="1">IFERROR(__xludf.DUMMYFUNCTION("""COMPUTED_VALUE"""),0.70833333333212)</f>
        <v>0.70833333333212001</v>
      </c>
      <c r="J478" s="16">
        <f ca="1">IFERROR(__xludf.DUMMYFUNCTION("""COMPUTED_VALUE"""),43894.75)</f>
        <v>43894.75</v>
      </c>
      <c r="K478" t="str">
        <f ca="1">IFERROR(__xludf.DUMMYFUNCTION("""COMPUTED_VALUE"""),"20ft Sea Ark FL5351SJ UNF 2015")</f>
        <v>20ft Sea Ark FL5351SJ UNF 2015</v>
      </c>
      <c r="M478" t="str">
        <f ca="1">IFERROR(__xludf.DUMMYFUNCTION("""COMPUTED_VALUE"""),"Ford F250 2017 (Moby Dix) - DEP0021578")</f>
        <v>Ford F250 2017 (Moby Dix) - DEP0021578</v>
      </c>
      <c r="N478" t="str">
        <f ca="1">IFERROR(__xludf.DUMMYFUNCTION("""COMPUTED_VALUE"""),"Shannon Dunnigan, (803) 727-5734")</f>
        <v>Shannon Dunnigan, (803) 727-5734</v>
      </c>
      <c r="O478" t="str">
        <f ca="1">IFERROR(__xludf.DUMMYFUNCTION("""COMPUTED_VALUE"""),"Gabriela Canas, (904) 891-9743, Alee Knoell, (619) 750-4833, Chris Blanco")</f>
        <v>Gabriela Canas, (904) 891-9743, Alee Knoell, (619) 750-4833, Chris Blanco</v>
      </c>
      <c r="P478" t="str">
        <f ca="1">IFERROR(__xludf.DUMMYFUNCTION("""COMPUTED_VALUE"""),"Shannon")</f>
        <v>Shannon</v>
      </c>
      <c r="Q478" t="str">
        <f ca="1">IFERROR(__xludf.DUMMYFUNCTION("""COMPUTED_VALUE"""),"All items in working order")</f>
        <v>All items in working order</v>
      </c>
      <c r="AE478" s="11"/>
      <c r="AF478" t="str">
        <v>Nikki.Dix@floridadep.gov</v>
      </c>
      <c r="AG478" s="17" t="s">
        <v>41</v>
      </c>
      <c r="AH478" s="12">
        <v>1700</v>
      </c>
      <c r="AI478" s="12" t="s">
        <v>1383</v>
      </c>
      <c r="AJ478" s="19" t="s">
        <v>1384</v>
      </c>
      <c r="AK478" s="20" t="str">
        <f>HYPERLINK("https://docs.google.com/document/d/1QJ8qppcBqpikeIHSEle2xykj56OYREhWCr7N0Svg7Gw/edit?usp=drivesdk","Shannon Dunnigan - 3/4/2020 12:15 PM")</f>
        <v>Shannon Dunnigan - 3/4/2020 12:15 PM</v>
      </c>
      <c r="AL478" s="12" t="s">
        <v>1385</v>
      </c>
    </row>
    <row r="479" spans="1:38" ht="12.75">
      <c r="A479" s="10">
        <f ca="1">IFERROR(__xludf.DUMMYFUNCTION("""COMPUTED_VALUE"""),43896.3365658564)</f>
        <v>43896.3365658564</v>
      </c>
      <c r="B479" s="11" t="str">
        <f ca="1">IFERROR(__xludf.DUMMYFUNCTION("""COMPUTED_VALUE"""),"Alexandria Knoell")</f>
        <v>Alexandria Knoell</v>
      </c>
      <c r="C479" t="str">
        <f ca="1">IFERROR(__xludf.DUMMYFUNCTION("""COMPUTED_VALUE"""),"alee.knoell@floridadep.gov")</f>
        <v>alee.knoell@floridadep.gov</v>
      </c>
      <c r="D479" t="str">
        <f ca="1">IFERROR(__xludf.DUMMYFUNCTION("""COMPUTED_VALUE"""),"Research/Nikki")</f>
        <v>Research/Nikki</v>
      </c>
      <c r="E479" t="str">
        <f ca="1">IFERROR(__xludf.DUMMYFUNCTION("""COMPUTED_VALUE"""),"Crane")</f>
        <v>Crane</v>
      </c>
      <c r="F479" s="13">
        <f ca="1">IFERROR(__xludf.DUMMYFUNCTION("""COMPUTED_VALUE"""),0.354166666667879)</f>
        <v>0.35416666666787899</v>
      </c>
      <c r="G479" s="14">
        <f ca="1">IFERROR(__xludf.DUMMYFUNCTION("""COMPUTED_VALUE"""),43896)</f>
        <v>43896</v>
      </c>
      <c r="H479" t="str">
        <f ca="1">IFERROR(__xludf.DUMMYFUNCTION("""COMPUTED_VALUE"""),"Gabbys creek")</f>
        <v>Gabbys creek</v>
      </c>
      <c r="I479" s="15">
        <f ca="1">IFERROR(__xludf.DUMMYFUNCTION("""COMPUTED_VALUE"""),0.666666666667879)</f>
        <v>0.66666666666787899</v>
      </c>
      <c r="J479" s="16">
        <f ca="1">IFERROR(__xludf.DUMMYFUNCTION("""COMPUTED_VALUE"""),43957.6875)</f>
        <v>43957.6875</v>
      </c>
      <c r="K479" t="str">
        <f ca="1">IFERROR(__xludf.DUMMYFUNCTION("""COMPUTED_VALUE"""),"20ft Sea Ark FL5351SJ UNF 2015")</f>
        <v>20ft Sea Ark FL5351SJ UNF 2015</v>
      </c>
      <c r="M479" t="str">
        <f ca="1">IFERROR(__xludf.DUMMYFUNCTION("""COMPUTED_VALUE"""),"Ford F250 2017 (Moby Dix) - DEP0021578")</f>
        <v>Ford F250 2017 (Moby Dix) - DEP0021578</v>
      </c>
      <c r="N479" t="str">
        <f ca="1">IFERROR(__xludf.DUMMYFUNCTION("""COMPUTED_VALUE"""),"Gabby Canas")</f>
        <v>Gabby Canas</v>
      </c>
      <c r="O479" t="str">
        <f ca="1">IFERROR(__xludf.DUMMYFUNCTION("""COMPUTED_VALUE"""),"Alee Knoell, (619) 750-4833, Mathew Stirchio, Chris blanco, Julie Campbell ")</f>
        <v xml:space="preserve">Alee Knoell, (619) 750-4833, Mathew Stirchio, Chris blanco, Julie Campbell </v>
      </c>
      <c r="P479" t="str">
        <f ca="1">IFERROR(__xludf.DUMMYFUNCTION("""COMPUTED_VALUE"""),"Gabby Canas")</f>
        <v>Gabby Canas</v>
      </c>
      <c r="Q479" t="str">
        <f ca="1">IFERROR(__xludf.DUMMYFUNCTION("""COMPUTED_VALUE"""),"All items in working order")</f>
        <v>All items in working order</v>
      </c>
      <c r="AE479" s="11"/>
      <c r="AF479" t="str">
        <v>Nikki.Dix@floridadep.gov</v>
      </c>
      <c r="AG479" s="17" t="s">
        <v>41</v>
      </c>
      <c r="AH479" s="12">
        <v>1600</v>
      </c>
      <c r="AI479" s="12" t="s">
        <v>1386</v>
      </c>
      <c r="AJ479" s="19" t="s">
        <v>1387</v>
      </c>
      <c r="AK479" s="20" t="str">
        <f>HYPERLINK("https://docs.google.com/document/d/1t_HbU2KMIckKkFaXHUZlIFIY1bDLUHLlTkApJ2_oJx8/edit?usp=drivesdk","Alexandria Knoell - 3/6/2020 8:30 AM")</f>
        <v>Alexandria Knoell - 3/6/2020 8:30 AM</v>
      </c>
      <c r="AL479" s="12" t="s">
        <v>1388</v>
      </c>
    </row>
    <row r="480" spans="1:38" ht="12.75">
      <c r="A480" s="10">
        <f ca="1">IFERROR(__xludf.DUMMYFUNCTION("""COMPUTED_VALUE"""),43899.3290685185)</f>
        <v>43899.329068518498</v>
      </c>
      <c r="B480" s="11" t="str">
        <f ca="1">IFERROR(__xludf.DUMMYFUNCTION("""COMPUTED_VALUE"""),"James Tomazinis")</f>
        <v>James Tomazinis</v>
      </c>
      <c r="C480" t="str">
        <f ca="1">IFERROR(__xludf.DUMMYFUNCTION("""COMPUTED_VALUE"""),"james.tomazinis@floridadep.gov")</f>
        <v>james.tomazinis@floridadep.gov</v>
      </c>
      <c r="D480" t="str">
        <f ca="1">IFERROR(__xludf.DUMMYFUNCTION("""COMPUTED_VALUE"""),"Stewardship (Aquatic)")</f>
        <v>Stewardship (Aquatic)</v>
      </c>
      <c r="E480" t="str">
        <f ca="1">IFERROR(__xludf.DUMMYFUNCTION("""COMPUTED_VALUE"""),"Holly Point, Dee Dee Bartels")</f>
        <v>Holly Point, Dee Dee Bartels</v>
      </c>
      <c r="F480" s="13">
        <f ca="1">IFERROR(__xludf.DUMMYFUNCTION("""COMPUTED_VALUE"""),0.416666666667879)</f>
        <v>0.41666666666787899</v>
      </c>
      <c r="G480" s="14">
        <f ca="1">IFERROR(__xludf.DUMMYFUNCTION("""COMPUTED_VALUE"""),43899)</f>
        <v>43899</v>
      </c>
      <c r="H480" t="str">
        <f ca="1">IFERROR(__xludf.DUMMYFUNCTION("""COMPUTED_VALUE"""),"NEAP WQ Sites")</f>
        <v>NEAP WQ Sites</v>
      </c>
      <c r="I480" s="15">
        <f ca="1">IFERROR(__xludf.DUMMYFUNCTION("""COMPUTED_VALUE"""),0.625)</f>
        <v>0.625</v>
      </c>
      <c r="J480" s="16"/>
      <c r="K480" t="str">
        <f ca="1">IFERROR(__xludf.DUMMYFUNCTION("""COMPUTED_VALUE"""),"17ft Skiff (Marsha) FL0642GW DEP07239")</f>
        <v>17ft Skiff (Marsha) FL0642GW DEP07239</v>
      </c>
      <c r="M480" t="str">
        <f ca="1">IFERROR(__xludf.DUMMYFUNCTION("""COMPUTED_VALUE"""),"Ford F150 2010 (4 Door) - DEP07668")</f>
        <v>Ford F150 2010 (4 Door) - DEP07668</v>
      </c>
      <c r="N480" t="str">
        <f ca="1">IFERROR(__xludf.DUMMYFUNCTION("""COMPUTED_VALUE"""),"Jimmy Tomazinis, (904) 547-0094")</f>
        <v>Jimmy Tomazinis, (904) 547-0094</v>
      </c>
      <c r="O480" t="str">
        <f ca="1">IFERROR(__xludf.DUMMYFUNCTION("""COMPUTED_VALUE"""),"Suzi")</f>
        <v>Suzi</v>
      </c>
      <c r="P480" t="str">
        <f ca="1">IFERROR(__xludf.DUMMYFUNCTION("""COMPUTED_VALUE"""),"Jimmy")</f>
        <v>Jimmy</v>
      </c>
      <c r="Q480" t="str">
        <f ca="1">IFERROR(__xludf.DUMMYFUNCTION("""COMPUTED_VALUE"""),"All items in working order")</f>
        <v>All items in working order</v>
      </c>
      <c r="AE480" s="11"/>
      <c r="AF480" t="str">
        <v>Scott.Eastman@floridadep.gov</v>
      </c>
      <c r="AG480" s="17" t="s">
        <v>17</v>
      </c>
      <c r="AH480" s="12">
        <v>1420</v>
      </c>
      <c r="AI480" s="12" t="s">
        <v>1389</v>
      </c>
      <c r="AJ480" s="19" t="s">
        <v>1390</v>
      </c>
      <c r="AK480" s="20" t="str">
        <f>HYPERLINK("https://docs.google.com/document/d/1P2c3NmveEvGKnZfUU2uvh3ndH8ul-gQOW4t1mqVBDUc/edit?usp=drivesdk","James Tomazinis - 3/9/2020 10:00 AM")</f>
        <v>James Tomazinis - 3/9/2020 10:00 AM</v>
      </c>
      <c r="AL480" s="12" t="s">
        <v>1391</v>
      </c>
    </row>
    <row r="481" spans="1:38" ht="12.75">
      <c r="A481" s="10">
        <f ca="1">IFERROR(__xludf.DUMMYFUNCTION("""COMPUTED_VALUE"""),43899.3699103356)</f>
        <v>43899.369910335598</v>
      </c>
      <c r="B481" s="11" t="str">
        <f ca="1">IFERROR(__xludf.DUMMYFUNCTION("""COMPUTED_VALUE"""),"Jessica Lee")</f>
        <v>Jessica Lee</v>
      </c>
      <c r="C481" t="str">
        <f ca="1">IFERROR(__xludf.DUMMYFUNCTION("""COMPUTED_VALUE"""),"jessica.lee@FloridaDEP.gov")</f>
        <v>jessica.lee@FloridaDEP.gov</v>
      </c>
      <c r="D481" t="str">
        <f ca="1">IFERROR(__xludf.DUMMYFUNCTION("""COMPUTED_VALUE"""),"Research/Nikki")</f>
        <v>Research/Nikki</v>
      </c>
      <c r="E481" t="str">
        <f ca="1">IFERROR(__xludf.DUMMYFUNCTION("""COMPUTED_VALUE"""),"Guana River")</f>
        <v>Guana River</v>
      </c>
      <c r="F481" s="13">
        <f ca="1">IFERROR(__xludf.DUMMYFUNCTION("""COMPUTED_VALUE"""),0.40625)</f>
        <v>0.40625</v>
      </c>
      <c r="G481" s="14">
        <f ca="1">IFERROR(__xludf.DUMMYFUNCTION("""COMPUTED_VALUE"""),43899)</f>
        <v>43899</v>
      </c>
      <c r="H481" t="str">
        <f ca="1">IFERROR(__xludf.DUMMYFUNCTION("""COMPUTED_VALUE"""),"Guana River")</f>
        <v>Guana River</v>
      </c>
      <c r="I481" s="15">
        <f ca="1">IFERROR(__xludf.DUMMYFUNCTION("""COMPUTED_VALUE"""),0.479166666667879)</f>
        <v>0.47916666666787899</v>
      </c>
      <c r="J481" s="16">
        <f ca="1">IFERROR(__xludf.DUMMYFUNCTION("""COMPUTED_VALUE"""),43899.5)</f>
        <v>43899.5</v>
      </c>
      <c r="K481" t="str">
        <f ca="1">IFERROR(__xludf.DUMMYFUNCTION("""COMPUTED_VALUE"""),"Jon Boat FL0484NP DEP06819")</f>
        <v>Jon Boat FL0484NP DEP06819</v>
      </c>
      <c r="M481" t="str">
        <f ca="1">IFERROR(__xludf.DUMMYFUNCTION("""COMPUTED_VALUE"""),"Ford F250 2017 (Moby Dix) - DEP0021578")</f>
        <v>Ford F250 2017 (Moby Dix) - DEP0021578</v>
      </c>
      <c r="N481" t="str">
        <f ca="1">IFERROR(__xludf.DUMMYFUNCTION("""COMPUTED_VALUE"""),"Pam Marcum, (480) 332-5414")</f>
        <v>Pam Marcum, (480) 332-5414</v>
      </c>
      <c r="P481" t="str">
        <f ca="1">IFERROR(__xludf.DUMMYFUNCTION("""COMPUTED_VALUE"""),"Pam")</f>
        <v>Pam</v>
      </c>
      <c r="Q481" t="str">
        <f ca="1">IFERROR(__xludf.DUMMYFUNCTION("""COMPUTED_VALUE"""),"All items in working order")</f>
        <v>All items in working order</v>
      </c>
      <c r="AE481" s="11"/>
      <c r="AF481" t="str">
        <v>Nikki.Dix@floridadep.gov</v>
      </c>
      <c r="AG481" s="17" t="s">
        <v>444</v>
      </c>
      <c r="AH481" s="12">
        <v>1130</v>
      </c>
      <c r="AI481" s="12" t="s">
        <v>1392</v>
      </c>
      <c r="AJ481" s="19" t="s">
        <v>1393</v>
      </c>
      <c r="AK481" s="20" t="str">
        <f>HYPERLINK("https://docs.google.com/document/d/1e08sBtJqFFpwenXSA3mAXTmmgBTa13oAmwQ_-AZbT-o/edit?usp=drivesdk","Jessica Lee - 3/9/2020 9:45 AM")</f>
        <v>Jessica Lee - 3/9/2020 9:45 AM</v>
      </c>
      <c r="AL481" s="12" t="s">
        <v>1394</v>
      </c>
    </row>
    <row r="482" spans="1:38" ht="12.75">
      <c r="A482" s="10">
        <f ca="1">IFERROR(__xludf.DUMMYFUNCTION("""COMPUTED_VALUE"""),43900.407843449)</f>
        <v>43900.407843449</v>
      </c>
      <c r="B482" s="11" t="str">
        <f ca="1">IFERROR(__xludf.DUMMYFUNCTION("""COMPUTED_VALUE"""),"Alexandria Knoell")</f>
        <v>Alexandria Knoell</v>
      </c>
      <c r="C482" t="str">
        <f ca="1">IFERROR(__xludf.DUMMYFUNCTION("""COMPUTED_VALUE"""),"alee.knoell@floridadep.gov")</f>
        <v>alee.knoell@floridadep.gov</v>
      </c>
      <c r="D482" t="str">
        <f ca="1">IFERROR(__xludf.DUMMYFUNCTION("""COMPUTED_VALUE"""),"Research/Pam")</f>
        <v>Research/Pam</v>
      </c>
      <c r="E482" t="str">
        <f ca="1">IFERROR(__xludf.DUMMYFUNCTION("""COMPUTED_VALUE"""),"Vilano")</f>
        <v>Vilano</v>
      </c>
      <c r="F482" s="13">
        <f ca="1">IFERROR(__xludf.DUMMYFUNCTION("""COMPUTED_VALUE"""),0.416666666667879)</f>
        <v>0.41666666666787899</v>
      </c>
      <c r="G482" s="14">
        <f ca="1">IFERROR(__xludf.DUMMYFUNCTION("""COMPUTED_VALUE"""),43900)</f>
        <v>43900</v>
      </c>
      <c r="H482" t="str">
        <f ca="1">IFERROR(__xludf.DUMMYFUNCTION("""COMPUTED_VALUE"""),"Icw swmp sites")</f>
        <v>Icw swmp sites</v>
      </c>
      <c r="I482" s="15">
        <f ca="1">IFERROR(__xludf.DUMMYFUNCTION("""COMPUTED_VALUE"""),0.625)</f>
        <v>0.625</v>
      </c>
      <c r="J482" s="16">
        <f ca="1">IFERROR(__xludf.DUMMYFUNCTION("""COMPUTED_VALUE"""),43900.6458333333)</f>
        <v>43900.645833333299</v>
      </c>
      <c r="K482" t="str">
        <f ca="1">IFERROR(__xludf.DUMMYFUNCTION("""COMPUTED_VALUE"""),"23ft Skiff (Bertha) FL7972LJ DEP07613")</f>
        <v>23ft Skiff (Bertha) FL7972LJ DEP07613</v>
      </c>
      <c r="M482" t="str">
        <f ca="1">IFERROR(__xludf.DUMMYFUNCTION("""COMPUTED_VALUE"""),"Ford F250 2017 (Moby Dix) - DEP0021578")</f>
        <v>Ford F250 2017 (Moby Dix) - DEP0021578</v>
      </c>
      <c r="N482" t="str">
        <f ca="1">IFERROR(__xludf.DUMMYFUNCTION("""COMPUTED_VALUE"""),"Silas Tanner, (904) 483-8423")</f>
        <v>Silas Tanner, (904) 483-8423</v>
      </c>
      <c r="O482" t="str">
        <f ca="1">IFERROR(__xludf.DUMMYFUNCTION("""COMPUTED_VALUE"""),"Alee Knoell, (619) 750-4833, Chris Blanco")</f>
        <v>Alee Knoell, (619) 750-4833, Chris Blanco</v>
      </c>
      <c r="P482" t="str">
        <f ca="1">IFERROR(__xludf.DUMMYFUNCTION("""COMPUTED_VALUE"""),"James Silas Tanner ")</f>
        <v xml:space="preserve">James Silas Tanner </v>
      </c>
      <c r="Q482" t="str">
        <f ca="1">IFERROR(__xludf.DUMMYFUNCTION("""COMPUTED_VALUE"""),"All items in working order")</f>
        <v>All items in working order</v>
      </c>
      <c r="AE482" s="11"/>
      <c r="AF482" t="str">
        <v>Pamela.Marcum@floridadep.gov</v>
      </c>
      <c r="AG482" s="17" t="s">
        <v>139</v>
      </c>
      <c r="AH482" s="12">
        <v>1501</v>
      </c>
      <c r="AI482" s="12" t="s">
        <v>1395</v>
      </c>
      <c r="AJ482" s="19" t="s">
        <v>1396</v>
      </c>
      <c r="AK482" s="20" t="str">
        <f>HYPERLINK("https://docs.google.com/document/d/1PYruXjtnmoBwol6V6flRUmAVDTT2ew1vRytwXaJ8-S0/edit?usp=drivesdk","Alexandria Knoell - 3/10/2020 10:00 AM")</f>
        <v>Alexandria Knoell - 3/10/2020 10:00 AM</v>
      </c>
      <c r="AL482" s="12" t="s">
        <v>1397</v>
      </c>
    </row>
    <row r="483" spans="1:38" ht="12.75">
      <c r="A483" s="10">
        <f ca="1">IFERROR(__xludf.DUMMYFUNCTION("""COMPUTED_VALUE"""),43901.4108833101)</f>
        <v>43901.410883310098</v>
      </c>
      <c r="B483" s="11" t="str">
        <f ca="1">IFERROR(__xludf.DUMMYFUNCTION("""COMPUTED_VALUE"""),"Jessica Lee")</f>
        <v>Jessica Lee</v>
      </c>
      <c r="C483" t="str">
        <f ca="1">IFERROR(__xludf.DUMMYFUNCTION("""COMPUTED_VALUE"""),"jessica.lee@FloridaDEP.gov")</f>
        <v>jessica.lee@FloridaDEP.gov</v>
      </c>
      <c r="D483" t="str">
        <f ca="1">IFERROR(__xludf.DUMMYFUNCTION("""COMPUTED_VALUE"""),"Research/Nikki")</f>
        <v>Research/Nikki</v>
      </c>
      <c r="E483" t="str">
        <f ca="1">IFERROR(__xludf.DUMMYFUNCTION("""COMPUTED_VALUE"""),"Guana River")</f>
        <v>Guana River</v>
      </c>
      <c r="F483" s="13">
        <f ca="1">IFERROR(__xludf.DUMMYFUNCTION("""COMPUTED_VALUE"""),0.48958333333212)</f>
        <v>0.48958333333212001</v>
      </c>
      <c r="G483" s="14">
        <f ca="1">IFERROR(__xludf.DUMMYFUNCTION("""COMPUTED_VALUE"""),43901)</f>
        <v>43901</v>
      </c>
      <c r="H483" t="str">
        <f ca="1">IFERROR(__xludf.DUMMYFUNCTION("""COMPUTED_VALUE"""),"Guana River")</f>
        <v>Guana River</v>
      </c>
      <c r="I483" s="15">
        <f ca="1">IFERROR(__xludf.DUMMYFUNCTION("""COMPUTED_VALUE"""),0.55208333333212)</f>
        <v>0.55208333333212001</v>
      </c>
      <c r="J483" s="16">
        <f ca="1">IFERROR(__xludf.DUMMYFUNCTION("""COMPUTED_VALUE"""),43901.5625)</f>
        <v>43901.5625</v>
      </c>
      <c r="K483" t="str">
        <f ca="1">IFERROR(__xludf.DUMMYFUNCTION("""COMPUTED_VALUE"""),"Jon Boat FL0484NP DEP06819")</f>
        <v>Jon Boat FL0484NP DEP06819</v>
      </c>
      <c r="M483" t="str">
        <f ca="1">IFERROR(__xludf.DUMMYFUNCTION("""COMPUTED_VALUE"""),"Ford F150 2008 (SWMP Thing) - DEP18041")</f>
        <v>Ford F150 2008 (SWMP Thing) - DEP18041</v>
      </c>
      <c r="N483" t="str">
        <f ca="1">IFERROR(__xludf.DUMMYFUNCTION("""COMPUTED_VALUE"""),"Pam Marcum, (480) 332-5414")</f>
        <v>Pam Marcum, (480) 332-5414</v>
      </c>
      <c r="P483" t="str">
        <f ca="1">IFERROR(__xludf.DUMMYFUNCTION("""COMPUTED_VALUE"""),"Jess")</f>
        <v>Jess</v>
      </c>
      <c r="Q483" t="str">
        <f ca="1">IFERROR(__xludf.DUMMYFUNCTION("""COMPUTED_VALUE"""),"All items in working order")</f>
        <v>All items in working order</v>
      </c>
      <c r="AE483" s="11"/>
      <c r="AF483" t="str">
        <v>Nikki.Dix@floridadep.gov</v>
      </c>
      <c r="AG483" s="17" t="s">
        <v>17</v>
      </c>
      <c r="AH483" s="12">
        <v>1230</v>
      </c>
      <c r="AI483" s="12" t="s">
        <v>1398</v>
      </c>
      <c r="AJ483" s="19" t="s">
        <v>1399</v>
      </c>
      <c r="AK483" s="20" t="str">
        <f>HYPERLINK("https://docs.google.com/document/d/17DpJQQVWVYncHaLGLqF9eLNSJ1q7pYx7n6G7Wv-Qn8Y/edit?usp=drivesdk","Jessica Lee - 3/11/2020 11:45 AM")</f>
        <v>Jessica Lee - 3/11/2020 11:45 AM</v>
      </c>
      <c r="AL483" s="12" t="s">
        <v>1400</v>
      </c>
    </row>
    <row r="484" spans="1:38" ht="12.75">
      <c r="A484" s="10">
        <f ca="1">IFERROR(__xludf.DUMMYFUNCTION("""COMPUTED_VALUE"""),43906.7415987268)</f>
        <v>43906.741598726803</v>
      </c>
      <c r="B484" s="11" t="str">
        <f ca="1">IFERROR(__xludf.DUMMYFUNCTION("""COMPUTED_VALUE"""),"Pam Marcum")</f>
        <v>Pam Marcum</v>
      </c>
      <c r="C484" t="str">
        <f ca="1">IFERROR(__xludf.DUMMYFUNCTION("""COMPUTED_VALUE"""),"pamela.marcum@dep.state.fl.us")</f>
        <v>pamela.marcum@dep.state.fl.us</v>
      </c>
      <c r="D484" t="str">
        <f ca="1">IFERROR(__xludf.DUMMYFUNCTION("""COMPUTED_VALUE"""),"Administration")</f>
        <v>Administration</v>
      </c>
      <c r="E484" t="str">
        <f ca="1">IFERROR(__xludf.DUMMYFUNCTION("""COMPUTED_VALUE"""),"Bings")</f>
        <v>Bings</v>
      </c>
      <c r="F484" s="13">
        <f ca="1">IFERROR(__xludf.DUMMYFUNCTION("""COMPUTED_VALUE"""),0.73958333333212)</f>
        <v>0.73958333333212001</v>
      </c>
      <c r="G484" s="14">
        <f ca="1">IFERROR(__xludf.DUMMYFUNCTION("""COMPUTED_VALUE"""),43906)</f>
        <v>43906</v>
      </c>
      <c r="H484" t="str">
        <f ca="1">IFERROR(__xludf.DUMMYFUNCTION("""COMPUTED_VALUE"""),"Washington oaks platforms")</f>
        <v>Washington oaks platforms</v>
      </c>
      <c r="I484" s="15">
        <f ca="1">IFERROR(__xludf.DUMMYFUNCTION("""COMPUTED_VALUE"""),0.791666666667879)</f>
        <v>0.79166666666787899</v>
      </c>
      <c r="J484" s="16">
        <f ca="1">IFERROR(__xludf.DUMMYFUNCTION("""COMPUTED_VALUE"""),43906.8333333333)</f>
        <v>43906.833333333299</v>
      </c>
      <c r="K484" t="str">
        <f ca="1">IFERROR(__xludf.DUMMYFUNCTION("""COMPUTED_VALUE"""),"20ft Sea Ark FL5351SJ UNF 2015")</f>
        <v>20ft Sea Ark FL5351SJ UNF 2015</v>
      </c>
      <c r="M484" t="str">
        <f ca="1">IFERROR(__xludf.DUMMYFUNCTION("""COMPUTED_VALUE"""),"Ford F150 2008 (SWMP Thing) - DEP18041")</f>
        <v>Ford F150 2008 (SWMP Thing) - DEP18041</v>
      </c>
      <c r="N484" t="str">
        <f ca="1">IFERROR(__xludf.DUMMYFUNCTION("""COMPUTED_VALUE"""),"Pam Marcum, (480) 332-5414")</f>
        <v>Pam Marcum, (480) 332-5414</v>
      </c>
      <c r="O484" t="str">
        <f ca="1">IFERROR(__xludf.DUMMYFUNCTION("""COMPUTED_VALUE"""),"Alee Knoell, (619) 750-4833")</f>
        <v>Alee Knoell, (619) 750-4833</v>
      </c>
      <c r="P484" t="str">
        <f ca="1">IFERROR(__xludf.DUMMYFUNCTION("""COMPUTED_VALUE"""),"Pam")</f>
        <v>Pam</v>
      </c>
      <c r="Q484" t="str">
        <f ca="1">IFERROR(__xludf.DUMMYFUNCTION("""COMPUTED_VALUE"""),"All items in working order")</f>
        <v>All items in working order</v>
      </c>
      <c r="AE484" s="11"/>
      <c r="AF484" t="str">
        <v>Lia.Sansom@floridadep.gov</v>
      </c>
      <c r="AG484" s="17" t="s">
        <v>1401</v>
      </c>
      <c r="AH484" s="12">
        <v>1952</v>
      </c>
      <c r="AI484" s="12" t="s">
        <v>1402</v>
      </c>
      <c r="AJ484" s="19" t="s">
        <v>1403</v>
      </c>
      <c r="AK484" s="20" t="str">
        <f>HYPERLINK("https://docs.google.com/document/d/1QddUwrZdJV4ixLSWPW4dMpr5PP4hsvdstW26I4rlJwE/edit?usp=drivesdk","Pam Marcum - 3/16/2020 5:45 PM")</f>
        <v>Pam Marcum - 3/16/2020 5:45 PM</v>
      </c>
      <c r="AL484" s="12" t="s">
        <v>1404</v>
      </c>
    </row>
    <row r="485" spans="1:38" ht="12.75">
      <c r="A485" s="10">
        <f ca="1">IFERROR(__xludf.DUMMYFUNCTION("""COMPUTED_VALUE"""),43907.3168543518)</f>
        <v>43907.316854351797</v>
      </c>
      <c r="B485" s="11" t="str">
        <f ca="1">IFERROR(__xludf.DUMMYFUNCTION("""COMPUTED_VALUE"""),"Pam Marcum")</f>
        <v>Pam Marcum</v>
      </c>
      <c r="C485" t="str">
        <f ca="1">IFERROR(__xludf.DUMMYFUNCTION("""COMPUTED_VALUE"""),"pamela.marcum@floridadep.gov")</f>
        <v>pamela.marcum@floridadep.gov</v>
      </c>
      <c r="D485" t="str">
        <f ca="1">IFERROR(__xludf.DUMMYFUNCTION("""COMPUTED_VALUE"""),"Research/Nikki")</f>
        <v>Research/Nikki</v>
      </c>
      <c r="E485" t="str">
        <f ca="1">IFERROR(__xludf.DUMMYFUNCTION("""COMPUTED_VALUE"""),"Bings")</f>
        <v>Bings</v>
      </c>
      <c r="F485" s="13">
        <f ca="1">IFERROR(__xludf.DUMMYFUNCTION("""COMPUTED_VALUE"""),0.3125)</f>
        <v>0.3125</v>
      </c>
      <c r="G485" s="14">
        <f ca="1">IFERROR(__xludf.DUMMYFUNCTION("""COMPUTED_VALUE"""),43907)</f>
        <v>43907</v>
      </c>
      <c r="H485" t="str">
        <f ca="1">IFERROR(__xludf.DUMMYFUNCTION("""COMPUTED_VALUE"""),"Washington oaks platform")</f>
        <v>Washington oaks platform</v>
      </c>
      <c r="I485" s="15">
        <f ca="1">IFERROR(__xludf.DUMMYFUNCTION("""COMPUTED_VALUE"""),0.375)</f>
        <v>0.375</v>
      </c>
      <c r="J485" s="16">
        <f ca="1">IFERROR(__xludf.DUMMYFUNCTION("""COMPUTED_VALUE"""),43907.4375)</f>
        <v>43907.4375</v>
      </c>
      <c r="K485" t="str">
        <f ca="1">IFERROR(__xludf.DUMMYFUNCTION("""COMPUTED_VALUE"""),"20ft Sea Ark FL5351SJ UNF 2015")</f>
        <v>20ft Sea Ark FL5351SJ UNF 2015</v>
      </c>
      <c r="M485" t="str">
        <f ca="1">IFERROR(__xludf.DUMMYFUNCTION("""COMPUTED_VALUE"""),"Ford F150 2008 (SWMP Thing) - DEP18041")</f>
        <v>Ford F150 2008 (SWMP Thing) - DEP18041</v>
      </c>
      <c r="N485" t="str">
        <f ca="1">IFERROR(__xludf.DUMMYFUNCTION("""COMPUTED_VALUE"""),"Pam Marcum, (480) 332-5414")</f>
        <v>Pam Marcum, (480) 332-5414</v>
      </c>
      <c r="O485" t="str">
        <f ca="1">IFERROR(__xludf.DUMMYFUNCTION("""COMPUTED_VALUE"""),"Alee Knoell, (619) 750-4833")</f>
        <v>Alee Knoell, (619) 750-4833</v>
      </c>
      <c r="P485" t="str">
        <f ca="1">IFERROR(__xludf.DUMMYFUNCTION("""COMPUTED_VALUE"""),"Pam")</f>
        <v>Pam</v>
      </c>
      <c r="Q485" t="str">
        <f ca="1">IFERROR(__xludf.DUMMYFUNCTION("""COMPUTED_VALUE"""),"All items in working order")</f>
        <v>All items in working order</v>
      </c>
      <c r="AE485" s="11"/>
      <c r="AF485" t="str">
        <v>Nikki.Dix@floridadep.gov</v>
      </c>
      <c r="AG485" s="17" t="s">
        <v>499</v>
      </c>
      <c r="AH485" s="12">
        <v>845</v>
      </c>
      <c r="AI485" s="12" t="s">
        <v>1405</v>
      </c>
      <c r="AJ485" s="19" t="s">
        <v>1406</v>
      </c>
      <c r="AK485" s="20" t="str">
        <f>HYPERLINK("https://docs.google.com/document/d/1rxH0rJ98dJK4X5bbJaoAGGflljfPw1gwfQL6B2O0ksM/edit?usp=drivesdk","Pam Marcum - 3/17/2020 7:30 AM")</f>
        <v>Pam Marcum - 3/17/2020 7:30 AM</v>
      </c>
      <c r="AL485" s="12" t="s">
        <v>1407</v>
      </c>
    </row>
    <row r="486" spans="1:38" ht="12.75">
      <c r="A486" s="10">
        <f ca="1">IFERROR(__xludf.DUMMYFUNCTION("""COMPUTED_VALUE"""),43908.3698547685)</f>
        <v>43908.369854768498</v>
      </c>
      <c r="B486" s="11" t="str">
        <f ca="1">IFERROR(__xludf.DUMMYFUNCTION("""COMPUTED_VALUE"""),"Pam Marcum")</f>
        <v>Pam Marcum</v>
      </c>
      <c r="C486" t="str">
        <f ca="1">IFERROR(__xludf.DUMMYFUNCTION("""COMPUTED_VALUE"""),"Pamela.Marcum@FloridaDEP.gov")</f>
        <v>Pamela.Marcum@FloridaDEP.gov</v>
      </c>
      <c r="D486" t="str">
        <f ca="1">IFERROR(__xludf.DUMMYFUNCTION("""COMPUTED_VALUE"""),"Research/Nikki")</f>
        <v>Research/Nikki</v>
      </c>
      <c r="E486" t="str">
        <f ca="1">IFERROR(__xludf.DUMMYFUNCTION("""COMPUTED_VALUE"""),"Aunt Kate's")</f>
        <v>Aunt Kate's</v>
      </c>
      <c r="F486" s="13">
        <f ca="1">IFERROR(__xludf.DUMMYFUNCTION("""COMPUTED_VALUE"""),0.39583333333212)</f>
        <v>0.39583333333212001</v>
      </c>
      <c r="G486" s="14">
        <f ca="1">IFERROR(__xludf.DUMMYFUNCTION("""COMPUTED_VALUE"""),43908)</f>
        <v>43908</v>
      </c>
      <c r="H486" t="str">
        <f ca="1">IFERROR(__xludf.DUMMYFUNCTION("""COMPUTED_VALUE"""),"Hat Island")</f>
        <v>Hat Island</v>
      </c>
      <c r="I486" s="15">
        <f ca="1">IFERROR(__xludf.DUMMYFUNCTION("""COMPUTED_VALUE"""),0.45833333333212)</f>
        <v>0.45833333333212001</v>
      </c>
      <c r="J486" s="16">
        <f ca="1">IFERROR(__xludf.DUMMYFUNCTION("""COMPUTED_VALUE"""),43908.4791666666)</f>
        <v>43908.479166666599</v>
      </c>
      <c r="K486" t="str">
        <f ca="1">IFERROR(__xludf.DUMMYFUNCTION("""COMPUTED_VALUE"""),"20ft Sea Ark FL5351SJ UNF 2015")</f>
        <v>20ft Sea Ark FL5351SJ UNF 2015</v>
      </c>
      <c r="M486" t="str">
        <f ca="1">IFERROR(__xludf.DUMMYFUNCTION("""COMPUTED_VALUE"""),"Ford F150 2008 (SWMP Thing) - DEP18041")</f>
        <v>Ford F150 2008 (SWMP Thing) - DEP18041</v>
      </c>
      <c r="N486" t="str">
        <f ca="1">IFERROR(__xludf.DUMMYFUNCTION("""COMPUTED_VALUE"""),"Pam Marcum, (480) 332-5414")</f>
        <v>Pam Marcum, (480) 332-5414</v>
      </c>
      <c r="O486" t="str">
        <f ca="1">IFERROR(__xludf.DUMMYFUNCTION("""COMPUTED_VALUE"""),"Alee Knoell, (619) 750-4833")</f>
        <v>Alee Knoell, (619) 750-4833</v>
      </c>
      <c r="P486" t="str">
        <f ca="1">IFERROR(__xludf.DUMMYFUNCTION("""COMPUTED_VALUE"""),"Pam")</f>
        <v>Pam</v>
      </c>
      <c r="Q486" t="str">
        <f ca="1">IFERROR(__xludf.DUMMYFUNCTION("""COMPUTED_VALUE"""),"All items in working order")</f>
        <v>All items in working order</v>
      </c>
      <c r="AE486" s="11"/>
      <c r="AF486" t="str">
        <v>Nikki.Dix@floridadep.gov</v>
      </c>
      <c r="AG486" s="17" t="s">
        <v>113</v>
      </c>
      <c r="AH486" s="12">
        <v>1125</v>
      </c>
      <c r="AI486" s="12" t="s">
        <v>1408</v>
      </c>
      <c r="AJ486" s="19" t="s">
        <v>1409</v>
      </c>
      <c r="AK486" s="20" t="str">
        <f>HYPERLINK("https://docs.google.com/document/d/1F8W1BsCvrmv-v2LIuvU9wyI3HOyz_vu6ru4jTZf1DCY/edit?usp=drivesdk","Pam Marcum - 3/18/2020 9:30 AM")</f>
        <v>Pam Marcum - 3/18/2020 9:30 AM</v>
      </c>
      <c r="AL486" s="12" t="s">
        <v>1410</v>
      </c>
    </row>
    <row r="487" spans="1:38" ht="12.75">
      <c r="A487" s="10">
        <f ca="1">IFERROR(__xludf.DUMMYFUNCTION("""COMPUTED_VALUE"""),43908.6203517476)</f>
        <v>43908.620351747602</v>
      </c>
      <c r="B487" s="11" t="str">
        <f ca="1">IFERROR(__xludf.DUMMYFUNCTION("""COMPUTED_VALUE"""),"Pam Marcum")</f>
        <v>Pam Marcum</v>
      </c>
      <c r="C487" t="str">
        <f ca="1">IFERROR(__xludf.DUMMYFUNCTION("""COMPUTED_VALUE"""),"Pamela.Marcum@FloridaDEP.gov")</f>
        <v>Pamela.Marcum@FloridaDEP.gov</v>
      </c>
      <c r="D487" t="str">
        <f ca="1">IFERROR(__xludf.DUMMYFUNCTION("""COMPUTED_VALUE"""),"Administration")</f>
        <v>Administration</v>
      </c>
      <c r="E487" t="str">
        <f ca="1">IFERROR(__xludf.DUMMYFUNCTION("""COMPUTED_VALUE"""),"Aunt Kate's")</f>
        <v>Aunt Kate's</v>
      </c>
      <c r="F487" s="13">
        <f ca="1">IFERROR(__xludf.DUMMYFUNCTION("""COMPUTED_VALUE"""),0.635416666667879)</f>
        <v>0.63541666666787899</v>
      </c>
      <c r="G487" s="14">
        <f ca="1">IFERROR(__xludf.DUMMYFUNCTION("""COMPUTED_VALUE"""),43908)</f>
        <v>43908</v>
      </c>
      <c r="H487" t="str">
        <f ca="1">IFERROR(__xludf.DUMMYFUNCTION("""COMPUTED_VALUE"""),"hat island")</f>
        <v>hat island</v>
      </c>
      <c r="I487" s="15">
        <f ca="1">IFERROR(__xludf.DUMMYFUNCTION("""COMPUTED_VALUE"""),0.70833333333212)</f>
        <v>0.70833333333212001</v>
      </c>
      <c r="J487" s="16">
        <f ca="1">IFERROR(__xludf.DUMMYFUNCTION("""COMPUTED_VALUE"""),43908.71875)</f>
        <v>43908.71875</v>
      </c>
      <c r="K487" t="str">
        <f ca="1">IFERROR(__xludf.DUMMYFUNCTION("""COMPUTED_VALUE"""),"20ft Sea Ark FL5351SJ UNF 2015")</f>
        <v>20ft Sea Ark FL5351SJ UNF 2015</v>
      </c>
      <c r="M487" t="str">
        <f ca="1">IFERROR(__xludf.DUMMYFUNCTION("""COMPUTED_VALUE"""),"Ford F150 2008 (SWMP Thing) - DEP18041")</f>
        <v>Ford F150 2008 (SWMP Thing) - DEP18041</v>
      </c>
      <c r="N487" t="str">
        <f ca="1">IFERROR(__xludf.DUMMYFUNCTION("""COMPUTED_VALUE"""),"Pam Marcum, (480) 332-5414")</f>
        <v>Pam Marcum, (480) 332-5414</v>
      </c>
      <c r="O487" t="str">
        <f ca="1">IFERROR(__xludf.DUMMYFUNCTION("""COMPUTED_VALUE"""),"Alee Knoell, (619) 750-4833")</f>
        <v>Alee Knoell, (619) 750-4833</v>
      </c>
      <c r="P487" t="str">
        <f ca="1">IFERROR(__xludf.DUMMYFUNCTION("""COMPUTED_VALUE"""),"Pam")</f>
        <v>Pam</v>
      </c>
      <c r="Q487" t="str">
        <f ca="1">IFERROR(__xludf.DUMMYFUNCTION("""COMPUTED_VALUE"""),"All items in working order")</f>
        <v>All items in working order</v>
      </c>
      <c r="AE487" s="11"/>
      <c r="AF487" t="str">
        <v>Lia.Sansom@floridadep.gov</v>
      </c>
      <c r="AG487" s="17" t="s">
        <v>499</v>
      </c>
      <c r="AH487" s="12">
        <v>1624</v>
      </c>
      <c r="AI487" s="12" t="s">
        <v>1411</v>
      </c>
      <c r="AJ487" s="19" t="s">
        <v>1412</v>
      </c>
      <c r="AK487" s="20" t="str">
        <f>HYPERLINK("https://docs.google.com/document/d/1exSR_49qEXTDF3RI0mOobFnMhkRjTAvhT5YDX3nR2bY/edit?usp=drivesdk","Pam Marcum - 3/18/2020 3:15 PM")</f>
        <v>Pam Marcum - 3/18/2020 3:15 PM</v>
      </c>
      <c r="AL487" s="12" t="s">
        <v>1413</v>
      </c>
    </row>
    <row r="488" spans="1:38" ht="12.75">
      <c r="A488" s="10">
        <f ca="1">IFERROR(__xludf.DUMMYFUNCTION("""COMPUTED_VALUE"""),43910.4942269907)</f>
        <v>43910.494226990697</v>
      </c>
      <c r="B488" s="11" t="str">
        <f ca="1">IFERROR(__xludf.DUMMYFUNCTION("""COMPUTED_VALUE"""),"Alexandria Knoell")</f>
        <v>Alexandria Knoell</v>
      </c>
      <c r="C488" t="str">
        <f ca="1">IFERROR(__xludf.DUMMYFUNCTION("""COMPUTED_VALUE"""),"alee.knoell@floridadep.gov")</f>
        <v>alee.knoell@floridadep.gov</v>
      </c>
      <c r="D488" t="str">
        <f ca="1">IFERROR(__xludf.DUMMYFUNCTION("""COMPUTED_VALUE"""),"Stewardship (Aquatic)")</f>
        <v>Stewardship (Aquatic)</v>
      </c>
      <c r="E488" t="str">
        <f ca="1">IFERROR(__xludf.DUMMYFUNCTION("""COMPUTED_VALUE"""),"Aunt Kates")</f>
        <v>Aunt Kates</v>
      </c>
      <c r="F488" s="13">
        <f ca="1">IFERROR(__xludf.DUMMYFUNCTION("""COMPUTED_VALUE"""),0.510416666667879)</f>
        <v>0.51041666666787899</v>
      </c>
      <c r="G488" s="14">
        <f ca="1">IFERROR(__xludf.DUMMYFUNCTION("""COMPUTED_VALUE"""),43910)</f>
        <v>43910</v>
      </c>
      <c r="H488" t="str">
        <f ca="1">IFERROR(__xludf.DUMMYFUNCTION("""COMPUTED_VALUE"""),"Platforms")</f>
        <v>Platforms</v>
      </c>
      <c r="I488" s="15">
        <f ca="1">IFERROR(__xludf.DUMMYFUNCTION("""COMPUTED_VALUE"""),0.625)</f>
        <v>0.625</v>
      </c>
      <c r="J488" s="16">
        <f ca="1">IFERROR(__xludf.DUMMYFUNCTION("""COMPUTED_VALUE"""),43910.6666666666)</f>
        <v>43910.666666666599</v>
      </c>
      <c r="K488" t="str">
        <f ca="1">IFERROR(__xludf.DUMMYFUNCTION("""COMPUTED_VALUE"""),"20ft Sea Ark FL5351SJ UNF 2015")</f>
        <v>20ft Sea Ark FL5351SJ UNF 2015</v>
      </c>
      <c r="M488" t="str">
        <f ca="1">IFERROR(__xludf.DUMMYFUNCTION("""COMPUTED_VALUE"""),"Ford F150 2008 (SWMP Thing) - DEP18041")</f>
        <v>Ford F150 2008 (SWMP Thing) - DEP18041</v>
      </c>
      <c r="N488" t="str">
        <f ca="1">IFERROR(__xludf.DUMMYFUNCTION("""COMPUTED_VALUE"""),"Pam Marcum, (480) 332-5414")</f>
        <v>Pam Marcum, (480) 332-5414</v>
      </c>
      <c r="O488" t="str">
        <f ca="1">IFERROR(__xludf.DUMMYFUNCTION("""COMPUTED_VALUE"""),"Alee Knoell, (619) 750-4833")</f>
        <v>Alee Knoell, (619) 750-4833</v>
      </c>
      <c r="P488" t="str">
        <f ca="1">IFERROR(__xludf.DUMMYFUNCTION("""COMPUTED_VALUE"""),"Pam marcum")</f>
        <v>Pam marcum</v>
      </c>
      <c r="Q488" t="str">
        <f ca="1">IFERROR(__xludf.DUMMYFUNCTION("""COMPUTED_VALUE"""),"All items in working order")</f>
        <v>All items in working order</v>
      </c>
      <c r="AE488" s="11"/>
      <c r="AF488" t="str">
        <v>Scott.Eastman@floridadep.gov</v>
      </c>
      <c r="AG488" s="17" t="s">
        <v>17</v>
      </c>
      <c r="AH488" s="12">
        <v>1435</v>
      </c>
      <c r="AI488" s="12" t="s">
        <v>1414</v>
      </c>
      <c r="AJ488" s="19" t="s">
        <v>1415</v>
      </c>
      <c r="AK488" s="20" t="str">
        <f>HYPERLINK("https://docs.google.com/document/d/1RHiYVjY9-4YF0lckv35EaQ4iFUfcAeZtNCiaiKv_ifE/edit?usp=drivesdk","Alexandria Knoell - 3/20/2020 12:15 PM")</f>
        <v>Alexandria Knoell - 3/20/2020 12:15 PM</v>
      </c>
      <c r="AL488" s="12" t="s">
        <v>1416</v>
      </c>
    </row>
    <row r="489" spans="1:38" ht="12.75">
      <c r="A489" s="10">
        <f ca="1">IFERROR(__xludf.DUMMYFUNCTION("""COMPUTED_VALUE"""),43910.6720048958)</f>
        <v>43910.672004895801</v>
      </c>
      <c r="B489" s="11" t="str">
        <f ca="1">IFERROR(__xludf.DUMMYFUNCTION("""COMPUTED_VALUE"""),"Alexandria Knoell")</f>
        <v>Alexandria Knoell</v>
      </c>
      <c r="C489" t="str">
        <f ca="1">IFERROR(__xludf.DUMMYFUNCTION("""COMPUTED_VALUE"""),"alee.knoell@floridadep.gov")</f>
        <v>alee.knoell@floridadep.gov</v>
      </c>
      <c r="D489" t="str">
        <f ca="1">IFERROR(__xludf.DUMMYFUNCTION("""COMPUTED_VALUE"""),"Research/Nikki")</f>
        <v>Research/Nikki</v>
      </c>
      <c r="E489" t="str">
        <f ca="1">IFERROR(__xludf.DUMMYFUNCTION("""COMPUTED_VALUE"""),"Aunt kates")</f>
        <v>Aunt kates</v>
      </c>
      <c r="F489" s="13">
        <f ca="1">IFERROR(__xludf.DUMMYFUNCTION("""COMPUTED_VALUE"""),0.666666666667879)</f>
        <v>0.66666666666787899</v>
      </c>
      <c r="G489" s="14">
        <f ca="1">IFERROR(__xludf.DUMMYFUNCTION("""COMPUTED_VALUE"""),43910)</f>
        <v>43910</v>
      </c>
      <c r="H489" t="str">
        <f ca="1">IFERROR(__xludf.DUMMYFUNCTION("""COMPUTED_VALUE"""),"Platforms ")</f>
        <v xml:space="preserve">Platforms </v>
      </c>
      <c r="I489" s="15">
        <f ca="1">IFERROR(__xludf.DUMMYFUNCTION("""COMPUTED_VALUE"""),0.75)</f>
        <v>0.75</v>
      </c>
      <c r="J489" s="16">
        <f ca="1">IFERROR(__xludf.DUMMYFUNCTION("""COMPUTED_VALUE"""),43910.7708333333)</f>
        <v>43910.770833333299</v>
      </c>
      <c r="K489" t="str">
        <f ca="1">IFERROR(__xludf.DUMMYFUNCTION("""COMPUTED_VALUE"""),"20ft Sea Ark FL5351SJ UNF 2015")</f>
        <v>20ft Sea Ark FL5351SJ UNF 2015</v>
      </c>
      <c r="M489" t="str">
        <f ca="1">IFERROR(__xludf.DUMMYFUNCTION("""COMPUTED_VALUE"""),"Ford F150 2008 (SWMP Thing) - DEP18041")</f>
        <v>Ford F150 2008 (SWMP Thing) - DEP18041</v>
      </c>
      <c r="N489" t="str">
        <f ca="1">IFERROR(__xludf.DUMMYFUNCTION("""COMPUTED_VALUE"""),"Pam Marcum, (480) 332-5414")</f>
        <v>Pam Marcum, (480) 332-5414</v>
      </c>
      <c r="O489" t="str">
        <f ca="1">IFERROR(__xludf.DUMMYFUNCTION("""COMPUTED_VALUE"""),"Alee Knoell, (619) 750-4833")</f>
        <v>Alee Knoell, (619) 750-4833</v>
      </c>
      <c r="P489" t="str">
        <f ca="1">IFERROR(__xludf.DUMMYFUNCTION("""COMPUTED_VALUE"""),"Pam marcum")</f>
        <v>Pam marcum</v>
      </c>
      <c r="Q489" t="str">
        <f ca="1">IFERROR(__xludf.DUMMYFUNCTION("""COMPUTED_VALUE"""),"All items in working order")</f>
        <v>All items in working order</v>
      </c>
      <c r="AE489" s="11"/>
      <c r="AF489" t="str">
        <v>Nikki.Dix@floridadep.gov</v>
      </c>
      <c r="AG489" s="17" t="s">
        <v>41</v>
      </c>
      <c r="AH489" s="12">
        <v>1835</v>
      </c>
      <c r="AI489" s="12" t="s">
        <v>1417</v>
      </c>
      <c r="AJ489" s="19" t="s">
        <v>1418</v>
      </c>
      <c r="AK489" s="20" t="str">
        <f>HYPERLINK("https://docs.google.com/document/d/1ht4KR4PwKwVAbilS9T0Jtztvf1v3rhtaFwZhObvyNLw/edit?usp=drivesdk","Alexandria Knoell - 3/20/2020 4:00 PM")</f>
        <v>Alexandria Knoell - 3/20/2020 4:00 PM</v>
      </c>
      <c r="AL489" s="12" t="s">
        <v>1419</v>
      </c>
    </row>
    <row r="490" spans="1:38" ht="12.75">
      <c r="A490" s="10">
        <f ca="1">IFERROR(__xludf.DUMMYFUNCTION("""COMPUTED_VALUE"""),43913.4411983564)</f>
        <v>43913.441198356399</v>
      </c>
      <c r="B490" s="11" t="str">
        <f ca="1">IFERROR(__xludf.DUMMYFUNCTION("""COMPUTED_VALUE"""),"Pam Marcum")</f>
        <v>Pam Marcum</v>
      </c>
      <c r="C490" t="str">
        <f ca="1">IFERROR(__xludf.DUMMYFUNCTION("""COMPUTED_VALUE"""),"pamela.marcum@floridadep.gov")</f>
        <v>pamela.marcum@floridadep.gov</v>
      </c>
      <c r="D490" t="str">
        <f ca="1">IFERROR(__xludf.DUMMYFUNCTION("""COMPUTED_VALUE"""),"Research/Nikki")</f>
        <v>Research/Nikki</v>
      </c>
      <c r="E490" t="str">
        <f ca="1">IFERROR(__xludf.DUMMYFUNCTION("""COMPUTED_VALUE"""),"Bings")</f>
        <v>Bings</v>
      </c>
      <c r="F490" s="13">
        <f ca="1">IFERROR(__xludf.DUMMYFUNCTION("""COMPUTED_VALUE"""),0.4375)</f>
        <v>0.4375</v>
      </c>
      <c r="G490" s="14">
        <f ca="1">IFERROR(__xludf.DUMMYFUNCTION("""COMPUTED_VALUE"""),43913)</f>
        <v>43913</v>
      </c>
      <c r="H490" t="str">
        <f ca="1">IFERROR(__xludf.DUMMYFUNCTION("""COMPUTED_VALUE"""),"Washington oaks platform")</f>
        <v>Washington oaks platform</v>
      </c>
      <c r="I490" s="15">
        <f ca="1">IFERROR(__xludf.DUMMYFUNCTION("""COMPUTED_VALUE"""),0.541666666667879)</f>
        <v>0.54166666666787899</v>
      </c>
      <c r="J490" s="16">
        <f ca="1">IFERROR(__xludf.DUMMYFUNCTION("""COMPUTED_VALUE"""),43913.5625)</f>
        <v>43913.5625</v>
      </c>
      <c r="K490" t="str">
        <f ca="1">IFERROR(__xludf.DUMMYFUNCTION("""COMPUTED_VALUE"""),"20ft Sea Ark FL5351SJ UNF 2015")</f>
        <v>20ft Sea Ark FL5351SJ UNF 2015</v>
      </c>
      <c r="M490" t="str">
        <f ca="1">IFERROR(__xludf.DUMMYFUNCTION("""COMPUTED_VALUE"""),"Ford F150 2015 (White) - DEP21448")</f>
        <v>Ford F150 2015 (White) - DEP21448</v>
      </c>
      <c r="N490" t="str">
        <f ca="1">IFERROR(__xludf.DUMMYFUNCTION("""COMPUTED_VALUE"""),"Pam Marcum, (480) 332-5414")</f>
        <v>Pam Marcum, (480) 332-5414</v>
      </c>
      <c r="O490" t="str">
        <f ca="1">IFERROR(__xludf.DUMMYFUNCTION("""COMPUTED_VALUE"""),"Alee Knoell, (619) 750-4833")</f>
        <v>Alee Knoell, (619) 750-4833</v>
      </c>
      <c r="P490" t="str">
        <f ca="1">IFERROR(__xludf.DUMMYFUNCTION("""COMPUTED_VALUE"""),"Pam")</f>
        <v>Pam</v>
      </c>
      <c r="Q490" t="str">
        <f ca="1">IFERROR(__xludf.DUMMYFUNCTION("""COMPUTED_VALUE"""),"All items in working order")</f>
        <v>All items in working order</v>
      </c>
      <c r="AE490" s="11"/>
      <c r="AF490" t="str">
        <v>Nikki.Dix@floridadep.gov</v>
      </c>
      <c r="AG490" s="17" t="s">
        <v>17</v>
      </c>
      <c r="AH490" s="12">
        <v>1240</v>
      </c>
      <c r="AI490" s="12" t="s">
        <v>1420</v>
      </c>
      <c r="AJ490" s="19" t="s">
        <v>1421</v>
      </c>
      <c r="AK490" s="20" t="str">
        <f>HYPERLINK("https://docs.google.com/document/d/1cRqHYijxrV4_pPbX7RD-5IfiCLeFdjnQzlrF8IOye4A/edit?usp=drivesdk","Pam Marcum - 3/23/2020 10:30 AM")</f>
        <v>Pam Marcum - 3/23/2020 10:30 AM</v>
      </c>
      <c r="AL490" s="12" t="s">
        <v>1422</v>
      </c>
    </row>
    <row r="491" spans="1:38" ht="12.75">
      <c r="A491" s="10">
        <f ca="1">IFERROR(__xludf.DUMMYFUNCTION("""COMPUTED_VALUE"""),43913.6265425231)</f>
        <v>43913.626542523103</v>
      </c>
      <c r="B491" s="11" t="str">
        <f ca="1">IFERROR(__xludf.DUMMYFUNCTION("""COMPUTED_VALUE"""),"Pamela Marcum")</f>
        <v>Pamela Marcum</v>
      </c>
      <c r="C491" t="str">
        <f ca="1">IFERROR(__xludf.DUMMYFUNCTION("""COMPUTED_VALUE"""),"Pamela.Marcum@floridadep.gov")</f>
        <v>Pamela.Marcum@floridadep.gov</v>
      </c>
      <c r="D491" t="str">
        <f ca="1">IFERROR(__xludf.DUMMYFUNCTION("""COMPUTED_VALUE"""),"Research/Nikki")</f>
        <v>Research/Nikki</v>
      </c>
      <c r="E491" t="str">
        <f ca="1">IFERROR(__xludf.DUMMYFUNCTION("""COMPUTED_VALUE"""),"Bings")</f>
        <v>Bings</v>
      </c>
      <c r="F491" s="13">
        <f ca="1">IFERROR(__xludf.DUMMYFUNCTION("""COMPUTED_VALUE"""),0.625)</f>
        <v>0.625</v>
      </c>
      <c r="G491" s="14">
        <f ca="1">IFERROR(__xludf.DUMMYFUNCTION("""COMPUTED_VALUE"""),43913)</f>
        <v>43913</v>
      </c>
      <c r="H491" t="str">
        <f ca="1">IFERROR(__xludf.DUMMYFUNCTION("""COMPUTED_VALUE"""),"Washington oaks platform")</f>
        <v>Washington oaks platform</v>
      </c>
      <c r="I491" s="15">
        <f ca="1">IFERROR(__xludf.DUMMYFUNCTION("""COMPUTED_VALUE"""),0.6875)</f>
        <v>0.6875</v>
      </c>
      <c r="J491" s="16">
        <f ca="1">IFERROR(__xludf.DUMMYFUNCTION("""COMPUTED_VALUE"""),43913.7291666666)</f>
        <v>43913.729166666599</v>
      </c>
      <c r="K491" t="str">
        <f ca="1">IFERROR(__xludf.DUMMYFUNCTION("""COMPUTED_VALUE"""),"20ft Sea Ark FL5351SJ UNF 2015")</f>
        <v>20ft Sea Ark FL5351SJ UNF 2015</v>
      </c>
      <c r="M491" t="str">
        <f ca="1">IFERROR(__xludf.DUMMYFUNCTION("""COMPUTED_VALUE"""),"Ford F150 2015 (White) - DEP21448")</f>
        <v>Ford F150 2015 (White) - DEP21448</v>
      </c>
      <c r="N491" t="str">
        <f ca="1">IFERROR(__xludf.DUMMYFUNCTION("""COMPUTED_VALUE"""),"Pam Marcum, (480) 332-5414")</f>
        <v>Pam Marcum, (480) 332-5414</v>
      </c>
      <c r="O491" t="str">
        <f ca="1">IFERROR(__xludf.DUMMYFUNCTION("""COMPUTED_VALUE"""),"Alee Knoell, (619) 750-4833")</f>
        <v>Alee Knoell, (619) 750-4833</v>
      </c>
      <c r="P491" t="str">
        <f ca="1">IFERROR(__xludf.DUMMYFUNCTION("""COMPUTED_VALUE"""),"Pam")</f>
        <v>Pam</v>
      </c>
      <c r="Q491" t="str">
        <f ca="1">IFERROR(__xludf.DUMMYFUNCTION("""COMPUTED_VALUE"""),"All items in working order")</f>
        <v>All items in working order</v>
      </c>
      <c r="AE491" s="11"/>
      <c r="AF491" t="str">
        <v>Nikki.Dix@floridadep.gov</v>
      </c>
      <c r="AG491" s="17" t="s">
        <v>113</v>
      </c>
      <c r="AH491" s="12">
        <v>1650</v>
      </c>
      <c r="AI491" s="12" t="s">
        <v>1423</v>
      </c>
      <c r="AJ491" s="19" t="s">
        <v>1424</v>
      </c>
      <c r="AK491" s="20" t="str">
        <f>HYPERLINK("https://docs.google.com/document/d/1bJjngFVPOFzo5ER4E-G5LhmHysIoL1jI-vCNoprStLg/edit?usp=drivesdk","Pamela Marcum - 3/23/2020 3:00 PM")</f>
        <v>Pamela Marcum - 3/23/2020 3:00 PM</v>
      </c>
      <c r="AL491" s="12" t="s">
        <v>1425</v>
      </c>
    </row>
    <row r="492" spans="1:38" ht="12.75">
      <c r="A492" s="10">
        <f ca="1">IFERROR(__xludf.DUMMYFUNCTION("""COMPUTED_VALUE"""),43914.4250016435)</f>
        <v>43914.425001643503</v>
      </c>
      <c r="B492" s="11" t="str">
        <f ca="1">IFERROR(__xludf.DUMMYFUNCTION("""COMPUTED_VALUE"""),"Pam Marcum")</f>
        <v>Pam Marcum</v>
      </c>
      <c r="C492" t="str">
        <f ca="1">IFERROR(__xludf.DUMMYFUNCTION("""COMPUTED_VALUE"""),"Pamela.Marcum@floridadep.gov")</f>
        <v>Pamela.Marcum@floridadep.gov</v>
      </c>
      <c r="D492" t="str">
        <f ca="1">IFERROR(__xludf.DUMMYFUNCTION("""COMPUTED_VALUE"""),"Research/Nikki")</f>
        <v>Research/Nikki</v>
      </c>
      <c r="E492" t="str">
        <f ca="1">IFERROR(__xludf.DUMMYFUNCTION("""COMPUTED_VALUE"""),"Shore Dr")</f>
        <v>Shore Dr</v>
      </c>
      <c r="F492" s="13">
        <f ca="1">IFERROR(__xludf.DUMMYFUNCTION("""COMPUTED_VALUE"""),0.42708333333212)</f>
        <v>0.42708333333212001</v>
      </c>
      <c r="G492" s="14">
        <f ca="1">IFERROR(__xludf.DUMMYFUNCTION("""COMPUTED_VALUE"""),43914)</f>
        <v>43914</v>
      </c>
      <c r="H492" t="str">
        <f ca="1">IFERROR(__xludf.DUMMYFUNCTION("""COMPUTED_VALUE"""),"Site 22")</f>
        <v>Site 22</v>
      </c>
      <c r="I492" s="15">
        <f ca="1">IFERROR(__xludf.DUMMYFUNCTION("""COMPUTED_VALUE"""),0.541666666667879)</f>
        <v>0.54166666666787899</v>
      </c>
      <c r="J492" s="16">
        <f ca="1">IFERROR(__xludf.DUMMYFUNCTION("""COMPUTED_VALUE"""),43914.5625)</f>
        <v>43914.5625</v>
      </c>
      <c r="K492" t="str">
        <f ca="1">IFERROR(__xludf.DUMMYFUNCTION("""COMPUTED_VALUE"""),"20ft Sea Ark FL5351SJ UNF 2015")</f>
        <v>20ft Sea Ark FL5351SJ UNF 2015</v>
      </c>
      <c r="M492" t="str">
        <f ca="1">IFERROR(__xludf.DUMMYFUNCTION("""COMPUTED_VALUE"""),"Ford F150 2015 (White) - DEP21448")</f>
        <v>Ford F150 2015 (White) - DEP21448</v>
      </c>
      <c r="N492" t="str">
        <f ca="1">IFERROR(__xludf.DUMMYFUNCTION("""COMPUTED_VALUE"""),"Pam Marcum, (480) 332-5414")</f>
        <v>Pam Marcum, (480) 332-5414</v>
      </c>
      <c r="O492" t="str">
        <f ca="1">IFERROR(__xludf.DUMMYFUNCTION("""COMPUTED_VALUE"""),"Alee Knoell, (619) 750-4833")</f>
        <v>Alee Knoell, (619) 750-4833</v>
      </c>
      <c r="P492" t="str">
        <f ca="1">IFERROR(__xludf.DUMMYFUNCTION("""COMPUTED_VALUE"""),"Pam")</f>
        <v>Pam</v>
      </c>
      <c r="Q492" t="str">
        <f ca="1">IFERROR(__xludf.DUMMYFUNCTION("""COMPUTED_VALUE"""),"All items in working order")</f>
        <v>All items in working order</v>
      </c>
      <c r="AE492" s="11"/>
      <c r="AF492" t="str">
        <v>Nikki.Dix@floridadep.gov</v>
      </c>
      <c r="AG492" s="17" t="s">
        <v>17</v>
      </c>
      <c r="AH492" s="12">
        <v>1330</v>
      </c>
      <c r="AI492" s="12" t="s">
        <v>1426</v>
      </c>
      <c r="AJ492" s="19" t="s">
        <v>1427</v>
      </c>
      <c r="AK492" s="20" t="str">
        <f>HYPERLINK("https://docs.google.com/document/d/1SOV0UdB55rp9XaUmInRbqKUHRSOAHs5qFw6sitgs6Wk/edit?usp=drivesdk","Pam Marcum - 3/24/2020 10:15 AM")</f>
        <v>Pam Marcum - 3/24/2020 10:15 AM</v>
      </c>
      <c r="AL492" s="12" t="s">
        <v>1428</v>
      </c>
    </row>
    <row r="493" spans="1:38" ht="12.75">
      <c r="A493" s="10">
        <f ca="1">IFERROR(__xludf.DUMMYFUNCTION("""COMPUTED_VALUE"""),43914.6550658564)</f>
        <v>43914.655065856401</v>
      </c>
      <c r="B493" s="11" t="str">
        <f ca="1">IFERROR(__xludf.DUMMYFUNCTION("""COMPUTED_VALUE"""),"Pam Marcum")</f>
        <v>Pam Marcum</v>
      </c>
      <c r="C493" t="str">
        <f ca="1">IFERROR(__xludf.DUMMYFUNCTION("""COMPUTED_VALUE"""),"pamela.marcum@floridadep.gov")</f>
        <v>pamela.marcum@floridadep.gov</v>
      </c>
      <c r="D493" t="str">
        <f ca="1">IFERROR(__xludf.DUMMYFUNCTION("""COMPUTED_VALUE"""),"Research/Nikki")</f>
        <v>Research/Nikki</v>
      </c>
      <c r="E493" t="str">
        <f ca="1">IFERROR(__xludf.DUMMYFUNCTION("""COMPUTED_VALUE"""),"Shore dr")</f>
        <v>Shore dr</v>
      </c>
      <c r="F493" s="13">
        <f ca="1">IFERROR(__xludf.DUMMYFUNCTION("""COMPUTED_VALUE"""),0.152777777777373)</f>
        <v>0.152777777777373</v>
      </c>
      <c r="G493" s="14">
        <f ca="1">IFERROR(__xludf.DUMMYFUNCTION("""COMPUTED_VALUE"""),43914)</f>
        <v>43914</v>
      </c>
      <c r="H493" t="str">
        <f ca="1">IFERROR(__xludf.DUMMYFUNCTION("""COMPUTED_VALUE"""),"Site 22")</f>
        <v>Site 22</v>
      </c>
      <c r="I493" s="15">
        <f ca="1">IFERROR(__xludf.DUMMYFUNCTION("""COMPUTED_VALUE"""),0.729166666667879)</f>
        <v>0.72916666666787899</v>
      </c>
      <c r="J493" s="16">
        <f ca="1">IFERROR(__xludf.DUMMYFUNCTION("""COMPUTED_VALUE"""),43914.75)</f>
        <v>43914.75</v>
      </c>
      <c r="K493" t="str">
        <f ca="1">IFERROR(__xludf.DUMMYFUNCTION("""COMPUTED_VALUE"""),"20ft Sea Ark FL5351SJ UNF 2015")</f>
        <v>20ft Sea Ark FL5351SJ UNF 2015</v>
      </c>
      <c r="M493" t="str">
        <f ca="1">IFERROR(__xludf.DUMMYFUNCTION("""COMPUTED_VALUE"""),"Ford F150 2015 (White) - DEP21448")</f>
        <v>Ford F150 2015 (White) - DEP21448</v>
      </c>
      <c r="N493" t="str">
        <f ca="1">IFERROR(__xludf.DUMMYFUNCTION("""COMPUTED_VALUE"""),"Pam Marcum, (480) 332-5414")</f>
        <v>Pam Marcum, (480) 332-5414</v>
      </c>
      <c r="O493" t="str">
        <f ca="1">IFERROR(__xludf.DUMMYFUNCTION("""COMPUTED_VALUE"""),"Alee Knoell, (619) 750-4833")</f>
        <v>Alee Knoell, (619) 750-4833</v>
      </c>
      <c r="P493" t="str">
        <f ca="1">IFERROR(__xludf.DUMMYFUNCTION("""COMPUTED_VALUE"""),"Pam")</f>
        <v>Pam</v>
      </c>
      <c r="Q493" t="str">
        <f ca="1">IFERROR(__xludf.DUMMYFUNCTION("""COMPUTED_VALUE"""),"All items in working order")</f>
        <v>All items in working order</v>
      </c>
      <c r="AE493" s="11"/>
      <c r="AF493" t="str">
        <v>Nikki.Dix@floridadep.gov</v>
      </c>
      <c r="AG493" s="17" t="s">
        <v>41</v>
      </c>
      <c r="AH493" s="12">
        <v>1730</v>
      </c>
      <c r="AI493" s="12" t="s">
        <v>1429</v>
      </c>
      <c r="AJ493" s="19" t="s">
        <v>1430</v>
      </c>
      <c r="AK493" s="20" t="str">
        <f>HYPERLINK("https://docs.google.com/document/d/1mRsg8UU1_qBmth7c0i0zK_eqLA777I_HlUDbnNeoAu8/edit?usp=drivesdk","Pam Marcum - 3/24/2020 3:40 AM")</f>
        <v>Pam Marcum - 3/24/2020 3:40 AM</v>
      </c>
      <c r="AL493" s="12" t="s">
        <v>1431</v>
      </c>
    </row>
    <row r="494" spans="1:38" ht="12.75">
      <c r="A494" s="10">
        <f ca="1">IFERROR(__xludf.DUMMYFUNCTION("""COMPUTED_VALUE"""),43915.3209390972)</f>
        <v>43915.320939097197</v>
      </c>
      <c r="B494" s="11" t="str">
        <f ca="1">IFERROR(__xludf.DUMMYFUNCTION("""COMPUTED_VALUE"""),"Pamela Marcum")</f>
        <v>Pamela Marcum</v>
      </c>
      <c r="C494" t="str">
        <f ca="1">IFERROR(__xludf.DUMMYFUNCTION("""COMPUTED_VALUE"""),"Pamela.Marcum@dep.state.fl.us")</f>
        <v>Pamela.Marcum@dep.state.fl.us</v>
      </c>
      <c r="D494" t="str">
        <f ca="1">IFERROR(__xludf.DUMMYFUNCTION("""COMPUTED_VALUE"""),"Research/Nikki")</f>
        <v>Research/Nikki</v>
      </c>
      <c r="E494" t="str">
        <f ca="1">IFERROR(__xludf.DUMMYFUNCTION("""COMPUTED_VALUE"""),"Aunt Kate's")</f>
        <v>Aunt Kate's</v>
      </c>
      <c r="F494" s="13">
        <f ca="1">IFERROR(__xludf.DUMMYFUNCTION("""COMPUTED_VALUE"""),0.33333333333212)</f>
        <v>0.33333333333212001</v>
      </c>
      <c r="G494" s="14">
        <f ca="1">IFERROR(__xludf.DUMMYFUNCTION("""COMPUTED_VALUE"""),43915)</f>
        <v>43915</v>
      </c>
      <c r="H494" t="str">
        <f ca="1">IFERROR(__xludf.DUMMYFUNCTION("""COMPUTED_VALUE"""),"Pine Island Platforms")</f>
        <v>Pine Island Platforms</v>
      </c>
      <c r="I494" s="15">
        <f ca="1">IFERROR(__xludf.DUMMYFUNCTION("""COMPUTED_VALUE"""),0.5)</f>
        <v>0.5</v>
      </c>
      <c r="J494" s="16">
        <f ca="1">IFERROR(__xludf.DUMMYFUNCTION("""COMPUTED_VALUE"""),43915.5208333333)</f>
        <v>43915.520833333299</v>
      </c>
      <c r="K494" t="str">
        <f ca="1">IFERROR(__xludf.DUMMYFUNCTION("""COMPUTED_VALUE"""),"20ft Sea Ark FL5351SJ UNF 2015")</f>
        <v>20ft Sea Ark FL5351SJ UNF 2015</v>
      </c>
      <c r="M494" t="str">
        <f ca="1">IFERROR(__xludf.DUMMYFUNCTION("""COMPUTED_VALUE"""),"Ford F150 2015 (White) - DEP21448")</f>
        <v>Ford F150 2015 (White) - DEP21448</v>
      </c>
      <c r="N494" t="str">
        <f ca="1">IFERROR(__xludf.DUMMYFUNCTION("""COMPUTED_VALUE"""),"Pam Marcum, (480) 332-5414")</f>
        <v>Pam Marcum, (480) 332-5414</v>
      </c>
      <c r="O494" t="str">
        <f ca="1">IFERROR(__xludf.DUMMYFUNCTION("""COMPUTED_VALUE"""),"Alee Knoell, (619) 750-4833")</f>
        <v>Alee Knoell, (619) 750-4833</v>
      </c>
      <c r="P494" t="str">
        <f ca="1">IFERROR(__xludf.DUMMYFUNCTION("""COMPUTED_VALUE"""),"Pam")</f>
        <v>Pam</v>
      </c>
      <c r="Q494" t="str">
        <f ca="1">IFERROR(__xludf.DUMMYFUNCTION("""COMPUTED_VALUE"""),"All items in working order")</f>
        <v>All items in working order</v>
      </c>
      <c r="AE494" s="11"/>
      <c r="AF494" t="str">
        <v>Nikki.Dix@floridadep.gov</v>
      </c>
      <c r="AG494" s="17" t="s">
        <v>17</v>
      </c>
      <c r="AH494" s="12">
        <v>1042</v>
      </c>
      <c r="AI494" s="12" t="s">
        <v>1432</v>
      </c>
      <c r="AJ494" s="19" t="s">
        <v>1433</v>
      </c>
      <c r="AK494" s="20" t="str">
        <f>HYPERLINK("https://docs.google.com/document/d/10Pq2dFcd8rSR6s3ZPl55x0eCQEeN13hjFpn0InKn-zA/edit?usp=drivesdk","Pamela Marcum - 3/25/2020 8:00 AM")</f>
        <v>Pamela Marcum - 3/25/2020 8:00 AM</v>
      </c>
      <c r="AL494" s="12" t="s">
        <v>1434</v>
      </c>
    </row>
    <row r="495" spans="1:38" ht="12.75">
      <c r="A495" s="10">
        <f ca="1">IFERROR(__xludf.DUMMYFUNCTION("""COMPUTED_VALUE"""),43915.3561520833)</f>
        <v>43915.356152083303</v>
      </c>
      <c r="B495" s="11" t="str">
        <f ca="1">IFERROR(__xludf.DUMMYFUNCTION("""COMPUTED_VALUE"""),"Shannon Dunnigan")</f>
        <v>Shannon Dunnigan</v>
      </c>
      <c r="C495" t="str">
        <f ca="1">IFERROR(__xludf.DUMMYFUNCTION("""COMPUTED_VALUE"""),"shannon.dunnigan@floridadep.gov")</f>
        <v>shannon.dunnigan@floridadep.gov</v>
      </c>
      <c r="D495" t="str">
        <f ca="1">IFERROR(__xludf.DUMMYFUNCTION("""COMPUTED_VALUE"""),"Research/Nikki")</f>
        <v>Research/Nikki</v>
      </c>
      <c r="E495" t="str">
        <f ca="1">IFERROR(__xludf.DUMMYFUNCTION("""COMPUTED_VALUE"""),"Vilano")</f>
        <v>Vilano</v>
      </c>
      <c r="F495" s="13">
        <f ca="1">IFERROR(__xludf.DUMMYFUNCTION("""COMPUTED_VALUE"""),0.36458333333212)</f>
        <v>0.36458333333212001</v>
      </c>
      <c r="G495" s="14">
        <f ca="1">IFERROR(__xludf.DUMMYFUNCTION("""COMPUTED_VALUE"""),43915)</f>
        <v>43915</v>
      </c>
      <c r="H495" t="str">
        <f ca="1">IFERROR(__xludf.DUMMYFUNCTION("""COMPUTED_VALUE"""),"ICW SWMP sites")</f>
        <v>ICW SWMP sites</v>
      </c>
      <c r="I495" s="15">
        <f ca="1">IFERROR(__xludf.DUMMYFUNCTION("""COMPUTED_VALUE"""),0.625)</f>
        <v>0.625</v>
      </c>
      <c r="J495" s="16">
        <f ca="1">IFERROR(__xludf.DUMMYFUNCTION("""COMPUTED_VALUE"""),43915.7083333333)</f>
        <v>43915.708333333299</v>
      </c>
      <c r="K495" t="str">
        <f ca="1">IFERROR(__xludf.DUMMYFUNCTION("""COMPUTED_VALUE"""),"23ft Skiff (Bertha) FL7972LJ DEP07613")</f>
        <v>23ft Skiff (Bertha) FL7972LJ DEP07613</v>
      </c>
      <c r="M495" t="str">
        <f ca="1">IFERROR(__xludf.DUMMYFUNCTION("""COMPUTED_VALUE"""),"Ford F250 2017 (Moby Dix) - DEP0021578")</f>
        <v>Ford F250 2017 (Moby Dix) - DEP0021578</v>
      </c>
      <c r="N495" t="str">
        <f ca="1">IFERROR(__xludf.DUMMYFUNCTION("""COMPUTED_VALUE"""),"Shannon Dunnigan, (803) 727-5734, Silas Tanner, (904) 483-8423")</f>
        <v>Shannon Dunnigan, (803) 727-5734, Silas Tanner, (904) 483-8423</v>
      </c>
      <c r="O495" t="str">
        <f ca="1">IFERROR(__xludf.DUMMYFUNCTION("""COMPUTED_VALUE"""),"Alee Knoell, (619) 750-4833")</f>
        <v>Alee Knoell, (619) 750-4833</v>
      </c>
      <c r="P495" t="str">
        <f ca="1">IFERROR(__xludf.DUMMYFUNCTION("""COMPUTED_VALUE"""),"Silas Tanner")</f>
        <v>Silas Tanner</v>
      </c>
      <c r="Q495" t="str">
        <f ca="1">IFERROR(__xludf.DUMMYFUNCTION("""COMPUTED_VALUE"""),"All items in working order")</f>
        <v>All items in working order</v>
      </c>
      <c r="AE495" s="11"/>
      <c r="AF495" t="str">
        <v>Nikki.Dix@floridadep.gov</v>
      </c>
      <c r="AG495" s="17" t="s">
        <v>41</v>
      </c>
      <c r="AH495" s="12">
        <v>1400</v>
      </c>
      <c r="AI495" s="12" t="s">
        <v>1435</v>
      </c>
      <c r="AJ495" s="19" t="s">
        <v>1436</v>
      </c>
      <c r="AK495" s="20" t="str">
        <f>HYPERLINK("https://docs.google.com/document/d/18ueYMCS9PuEcdj5e2Dexz71bQVfSkZh4Jcpu8cHWIEU/edit?usp=drivesdk","Shannon Dunnigan - 3/25/2020 8:45 AM")</f>
        <v>Shannon Dunnigan - 3/25/2020 8:45 AM</v>
      </c>
      <c r="AL495" s="12" t="s">
        <v>1437</v>
      </c>
    </row>
    <row r="496" spans="1:38" ht="12.75">
      <c r="A496" s="10">
        <f ca="1">IFERROR(__xludf.DUMMYFUNCTION("""COMPUTED_VALUE"""),43916.3385055787)</f>
        <v>43916.3385055787</v>
      </c>
      <c r="B496" s="11" t="str">
        <f ca="1">IFERROR(__xludf.DUMMYFUNCTION("""COMPUTED_VALUE"""),"Pam Marcum")</f>
        <v>Pam Marcum</v>
      </c>
      <c r="C496" t="str">
        <f ca="1">IFERROR(__xludf.DUMMYFUNCTION("""COMPUTED_VALUE"""),"Pamela.Marcum@floridadep.gov")</f>
        <v>Pamela.Marcum@floridadep.gov</v>
      </c>
      <c r="D496" t="str">
        <f ca="1">IFERROR(__xludf.DUMMYFUNCTION("""COMPUTED_VALUE"""),"Research/Nikki")</f>
        <v>Research/Nikki</v>
      </c>
      <c r="E496" t="str">
        <f ca="1">IFERROR(__xludf.DUMMYFUNCTION("""COMPUTED_VALUE"""),"Butler")</f>
        <v>Butler</v>
      </c>
      <c r="F496" s="13">
        <f ca="1">IFERROR(__xludf.DUMMYFUNCTION("""COMPUTED_VALUE"""),0.375)</f>
        <v>0.375</v>
      </c>
      <c r="G496" s="14">
        <f ca="1">IFERROR(__xludf.DUMMYFUNCTION("""COMPUTED_VALUE"""),43916)</f>
        <v>43916</v>
      </c>
      <c r="H496" t="str">
        <f ca="1">IFERROR(__xludf.DUMMYFUNCTION("""COMPUTED_VALUE"""),"Moses Creek")</f>
        <v>Moses Creek</v>
      </c>
      <c r="I496" s="15">
        <f ca="1">IFERROR(__xludf.DUMMYFUNCTION("""COMPUTED_VALUE"""),0.64583333333212)</f>
        <v>0.64583333333212001</v>
      </c>
      <c r="J496" s="16">
        <f ca="1">IFERROR(__xludf.DUMMYFUNCTION("""COMPUTED_VALUE"""),43916.6666666666)</f>
        <v>43916.666666666599</v>
      </c>
      <c r="K496" t="str">
        <f ca="1">IFERROR(__xludf.DUMMYFUNCTION("""COMPUTED_VALUE"""),"20ft Sea Ark FL5351SJ UNF 2015")</f>
        <v>20ft Sea Ark FL5351SJ UNF 2015</v>
      </c>
      <c r="M496" t="str">
        <f ca="1">IFERROR(__xludf.DUMMYFUNCTION("""COMPUTED_VALUE"""),"Ford F150 2015 (White) - DEP21448")</f>
        <v>Ford F150 2015 (White) - DEP21448</v>
      </c>
      <c r="N496" t="str">
        <f ca="1">IFERROR(__xludf.DUMMYFUNCTION("""COMPUTED_VALUE"""),"Pam Marcum, (480) 332-5414")</f>
        <v>Pam Marcum, (480) 332-5414</v>
      </c>
      <c r="O496" t="str">
        <f ca="1">IFERROR(__xludf.DUMMYFUNCTION("""COMPUTED_VALUE"""),"Alee Knoell, (619) 750-4833")</f>
        <v>Alee Knoell, (619) 750-4833</v>
      </c>
      <c r="P496" t="str">
        <f ca="1">IFERROR(__xludf.DUMMYFUNCTION("""COMPUTED_VALUE"""),"Pam")</f>
        <v>Pam</v>
      </c>
      <c r="Q496" t="str">
        <f ca="1">IFERROR(__xludf.DUMMYFUNCTION("""COMPUTED_VALUE"""),"All items in working order")</f>
        <v>All items in working order</v>
      </c>
      <c r="AE496" s="11"/>
      <c r="AF496" t="str">
        <v>Nikki.Dix@floridadep.gov</v>
      </c>
      <c r="AG496" s="17" t="s">
        <v>126</v>
      </c>
      <c r="AH496" s="12">
        <v>1500</v>
      </c>
      <c r="AI496" s="12" t="s">
        <v>1438</v>
      </c>
      <c r="AJ496" s="19" t="s">
        <v>1439</v>
      </c>
      <c r="AK496" s="20" t="str">
        <f>HYPERLINK("https://docs.google.com/document/d/1eWQd0y-2Ifc1Jo3GIVsL30Yze6kP_BNpjmRFsdCugbA/edit?usp=drivesdk","Pam Marcum - 3/26/2020 9:00 AM")</f>
        <v>Pam Marcum - 3/26/2020 9:00 AM</v>
      </c>
      <c r="AL496" s="12" t="s">
        <v>1440</v>
      </c>
    </row>
    <row r="497" spans="1:38" ht="12.75">
      <c r="A497" s="10">
        <f ca="1">IFERROR(__xludf.DUMMYFUNCTION("""COMPUTED_VALUE"""),43922.279999456)</f>
        <v>43922.279999455997</v>
      </c>
      <c r="B497" s="11" t="str">
        <f ca="1">IFERROR(__xludf.DUMMYFUNCTION("""COMPUTED_VALUE"""),"Pamela Marcum")</f>
        <v>Pamela Marcum</v>
      </c>
      <c r="C497" t="str">
        <f ca="1">IFERROR(__xludf.DUMMYFUNCTION("""COMPUTED_VALUE"""),"Pamela.Marcum@FloridaDEP.gov")</f>
        <v>Pamela.Marcum@FloridaDEP.gov</v>
      </c>
      <c r="D497" t="str">
        <f ca="1">IFERROR(__xludf.DUMMYFUNCTION("""COMPUTED_VALUE"""),"Research/Nikki")</f>
        <v>Research/Nikki</v>
      </c>
      <c r="E497" t="str">
        <f ca="1">IFERROR(__xludf.DUMMYFUNCTION("""COMPUTED_VALUE"""),"Aunt Kate's")</f>
        <v>Aunt Kate's</v>
      </c>
      <c r="F497" s="13">
        <f ca="1">IFERROR(__xludf.DUMMYFUNCTION("""COMPUTED_VALUE"""),0.291666666667879)</f>
        <v>0.29166666666787899</v>
      </c>
      <c r="G497" s="14">
        <f ca="1">IFERROR(__xludf.DUMMYFUNCTION("""COMPUTED_VALUE"""),43922)</f>
        <v>43922</v>
      </c>
      <c r="H497" t="str">
        <f ca="1">IFERROR(__xludf.DUMMYFUNCTION("""COMPUTED_VALUE"""),"Spat Run")</f>
        <v>Spat Run</v>
      </c>
      <c r="I497" s="15">
        <f ca="1">IFERROR(__xludf.DUMMYFUNCTION("""COMPUTED_VALUE"""),0.666666666667879)</f>
        <v>0.66666666666787899</v>
      </c>
      <c r="J497" s="16">
        <f ca="1">IFERROR(__xludf.DUMMYFUNCTION("""COMPUTED_VALUE"""),43922.6875)</f>
        <v>43922.6875</v>
      </c>
      <c r="K497" t="str">
        <f ca="1">IFERROR(__xludf.DUMMYFUNCTION("""COMPUTED_VALUE"""),"20ft Sea Ark FL5351SJ UNF 2015")</f>
        <v>20ft Sea Ark FL5351SJ UNF 2015</v>
      </c>
      <c r="M497" t="str">
        <f ca="1">IFERROR(__xludf.DUMMYFUNCTION("""COMPUTED_VALUE"""),"Ford F150 2015 (White) - DEP21448")</f>
        <v>Ford F150 2015 (White) - DEP21448</v>
      </c>
      <c r="N497" t="str">
        <f ca="1">IFERROR(__xludf.DUMMYFUNCTION("""COMPUTED_VALUE"""),"Pam Marcum, (480) 332-5414")</f>
        <v>Pam Marcum, (480) 332-5414</v>
      </c>
      <c r="O497" t="str">
        <f ca="1">IFERROR(__xludf.DUMMYFUNCTION("""COMPUTED_VALUE"""),"Alee Knoell, (619) 750-4833, Alee is switching with Adrienne Breef-Pilz at 11am ")</f>
        <v xml:space="preserve">Alee Knoell, (619) 750-4833, Alee is switching with Adrienne Breef-Pilz at 11am </v>
      </c>
      <c r="P497" t="str">
        <f ca="1">IFERROR(__xludf.DUMMYFUNCTION("""COMPUTED_VALUE"""),"Pam")</f>
        <v>Pam</v>
      </c>
      <c r="Q497" t="str">
        <f ca="1">IFERROR(__xludf.DUMMYFUNCTION("""COMPUTED_VALUE"""),"All items in working order")</f>
        <v>All items in working order</v>
      </c>
      <c r="AE497" s="11"/>
      <c r="AF497" t="str">
        <v>Nikki.Dix@floridadep.gov</v>
      </c>
      <c r="AG497" s="17" t="s">
        <v>41</v>
      </c>
      <c r="AH497" s="12">
        <v>1530</v>
      </c>
      <c r="AI497" s="12" t="s">
        <v>1441</v>
      </c>
      <c r="AJ497" s="19" t="s">
        <v>1442</v>
      </c>
      <c r="AK497" s="20" t="str">
        <f>HYPERLINK("https://docs.google.com/document/d/1ZNiHciiuxCGN-TrD_Oge6bnmI0cb_1j_xs7GOnxOotw/edit?usp=drivesdk","Pamela Marcum - 4/1/2020 7:00 AM")</f>
        <v>Pamela Marcum - 4/1/2020 7:00 AM</v>
      </c>
      <c r="AL497" s="12" t="s">
        <v>1443</v>
      </c>
    </row>
    <row r="498" spans="1:38" ht="12.75">
      <c r="A498" s="10">
        <f ca="1">IFERROR(__xludf.DUMMYFUNCTION("""COMPUTED_VALUE"""),43923.4560935879)</f>
        <v>43923.456093587898</v>
      </c>
      <c r="B498" s="11" t="str">
        <f ca="1">IFERROR(__xludf.DUMMYFUNCTION("""COMPUTED_VALUE"""),"Pam Marcum")</f>
        <v>Pam Marcum</v>
      </c>
      <c r="C498" t="str">
        <f ca="1">IFERROR(__xludf.DUMMYFUNCTION("""COMPUTED_VALUE"""),"Pamela.Marcum@floridadep.gov")</f>
        <v>Pamela.Marcum@floridadep.gov</v>
      </c>
      <c r="D498" t="str">
        <f ca="1">IFERROR(__xludf.DUMMYFUNCTION("""COMPUTED_VALUE"""),"Research/Silas")</f>
        <v>Research/Silas</v>
      </c>
      <c r="E498" t="str">
        <f ca="1">IFERROR(__xludf.DUMMYFUNCTION("""COMPUTED_VALUE"""),"Shore Dr")</f>
        <v>Shore Dr</v>
      </c>
      <c r="F498" s="13">
        <f ca="1">IFERROR(__xludf.DUMMYFUNCTION("""COMPUTED_VALUE"""),0.45833333333212)</f>
        <v>0.45833333333212001</v>
      </c>
      <c r="G498" s="14">
        <f ca="1">IFERROR(__xludf.DUMMYFUNCTION("""COMPUTED_VALUE"""),43923)</f>
        <v>43923</v>
      </c>
      <c r="H498" t="str">
        <f ca="1">IFERROR(__xludf.DUMMYFUNCTION("""COMPUTED_VALUE"""),"Gabbys Creek")</f>
        <v>Gabbys Creek</v>
      </c>
      <c r="I498" s="15">
        <f ca="1">IFERROR(__xludf.DUMMYFUNCTION("""COMPUTED_VALUE"""),0.666666666667879)</f>
        <v>0.66666666666787899</v>
      </c>
      <c r="J498" s="16">
        <f ca="1">IFERROR(__xludf.DUMMYFUNCTION("""COMPUTED_VALUE"""),43923.6875)</f>
        <v>43923.6875</v>
      </c>
      <c r="K498" t="str">
        <f ca="1">IFERROR(__xludf.DUMMYFUNCTION("""COMPUTED_VALUE"""),"23ft Skiff (Bertha) FL7972LJ DEP07613")</f>
        <v>23ft Skiff (Bertha) FL7972LJ DEP07613</v>
      </c>
      <c r="M498" t="str">
        <f ca="1">IFERROR(__xludf.DUMMYFUNCTION("""COMPUTED_VALUE"""),"Ford F150 2015 (White) - DEP21448")</f>
        <v>Ford F150 2015 (White) - DEP21448</v>
      </c>
      <c r="N498" t="str">
        <f ca="1">IFERROR(__xludf.DUMMYFUNCTION("""COMPUTED_VALUE"""),"Pam Marcum, (480) 332-5414")</f>
        <v>Pam Marcum, (480) 332-5414</v>
      </c>
      <c r="O498" t="str">
        <f ca="1">IFERROR(__xludf.DUMMYFUNCTION("""COMPUTED_VALUE"""),"Gabriela Canas, (904) 891-9743")</f>
        <v>Gabriela Canas, (904) 891-9743</v>
      </c>
      <c r="P498" t="str">
        <f ca="1">IFERROR(__xludf.DUMMYFUNCTION("""COMPUTED_VALUE"""),"Pam")</f>
        <v>Pam</v>
      </c>
      <c r="Q498" t="str">
        <f ca="1">IFERROR(__xludf.DUMMYFUNCTION("""COMPUTED_VALUE"""),"All items in working order")</f>
        <v>All items in working order</v>
      </c>
      <c r="AE498" s="11"/>
      <c r="AF498" t="str">
        <v>Silas.Tanner@floridadep.gov</v>
      </c>
      <c r="AG498" s="17" t="s">
        <v>41</v>
      </c>
      <c r="AH498" s="12">
        <v>1515</v>
      </c>
      <c r="AI498" s="12" t="s">
        <v>1445</v>
      </c>
      <c r="AJ498" s="19" t="s">
        <v>1446</v>
      </c>
      <c r="AK498" s="20" t="str">
        <f>HYPERLINK("https://docs.google.com/document/d/1RKPchjyB_hbgCE_J8a9xDp9Nf5vICKyLYAqyTEmWwYQ/edit?usp=drivesdk","Pam Marcum - 4/2/2020 11:00 AM")</f>
        <v>Pam Marcum - 4/2/2020 11:00 AM</v>
      </c>
      <c r="AL498" s="12" t="s">
        <v>1447</v>
      </c>
    </row>
    <row r="499" spans="1:38" ht="12.75">
      <c r="A499" s="10">
        <f ca="1">IFERROR(__xludf.DUMMYFUNCTION("""COMPUTED_VALUE"""),43928.3972194213)</f>
        <v>43928.397219421298</v>
      </c>
      <c r="B499" s="11" t="str">
        <f ca="1">IFERROR(__xludf.DUMMYFUNCTION("""COMPUTED_VALUE"""),"Shannon Dunnigan")</f>
        <v>Shannon Dunnigan</v>
      </c>
      <c r="C499" t="str">
        <f ca="1">IFERROR(__xludf.DUMMYFUNCTION("""COMPUTED_VALUE"""),"shannon.dunnigan@dep.state.fl.us")</f>
        <v>shannon.dunnigan@dep.state.fl.us</v>
      </c>
      <c r="D499" t="str">
        <f ca="1">IFERROR(__xludf.DUMMYFUNCTION("""COMPUTED_VALUE"""),"Research/Nikki")</f>
        <v>Research/Nikki</v>
      </c>
      <c r="E499" t="str">
        <f ca="1">IFERROR(__xludf.DUMMYFUNCTION("""COMPUTED_VALUE"""),"Vilano")</f>
        <v>Vilano</v>
      </c>
      <c r="F499" s="13">
        <f ca="1">IFERROR(__xludf.DUMMYFUNCTION("""COMPUTED_VALUE"""),0.39583333333212)</f>
        <v>0.39583333333212001</v>
      </c>
      <c r="G499" s="14">
        <f ca="1">IFERROR(__xludf.DUMMYFUNCTION("""COMPUTED_VALUE"""),43928)</f>
        <v>43928</v>
      </c>
      <c r="H499" t="str">
        <f ca="1">IFERROR(__xludf.DUMMYFUNCTION("""COMPUTED_VALUE"""),"ICE SWMP sites")</f>
        <v>ICE SWMP sites</v>
      </c>
      <c r="I499" s="15">
        <f ca="1">IFERROR(__xludf.DUMMYFUNCTION("""COMPUTED_VALUE"""),0.5625)</f>
        <v>0.5625</v>
      </c>
      <c r="J499" s="16">
        <f ca="1">IFERROR(__xludf.DUMMYFUNCTION("""COMPUTED_VALUE"""),43928.59375)</f>
        <v>43928.59375</v>
      </c>
      <c r="K499" t="str">
        <f ca="1">IFERROR(__xludf.DUMMYFUNCTION("""COMPUTED_VALUE"""),"20ft Sea Ark FL5351SJ UNF 2015")</f>
        <v>20ft Sea Ark FL5351SJ UNF 2015</v>
      </c>
      <c r="M499" t="str">
        <f ca="1">IFERROR(__xludf.DUMMYFUNCTION("""COMPUTED_VALUE"""),"Ford F250 2017 (Moby Dix) - DEP0021578")</f>
        <v>Ford F250 2017 (Moby Dix) - DEP0021578</v>
      </c>
      <c r="N499" t="str">
        <f ca="1">IFERROR(__xludf.DUMMYFUNCTION("""COMPUTED_VALUE"""),"Shannon Dunnigan, (803) 727-5734, Silas Tanner, (904) 483-8423")</f>
        <v>Shannon Dunnigan, (803) 727-5734, Silas Tanner, (904) 483-8423</v>
      </c>
      <c r="P499" t="str">
        <f ca="1">IFERROR(__xludf.DUMMYFUNCTION("""COMPUTED_VALUE"""),"Shannon")</f>
        <v>Shannon</v>
      </c>
      <c r="Q499" t="str">
        <f ca="1">IFERROR(__xludf.DUMMYFUNCTION("""COMPUTED_VALUE"""),"All items in working order")</f>
        <v>All items in working order</v>
      </c>
      <c r="AE499" s="11"/>
      <c r="AF499" t="str">
        <v>Nikki.Dix@floridadep.gov</v>
      </c>
      <c r="AG499" s="17" t="s">
        <v>41</v>
      </c>
      <c r="AH499" s="12">
        <v>1330</v>
      </c>
      <c r="AI499" s="12" t="s">
        <v>1448</v>
      </c>
      <c r="AJ499" s="19" t="s">
        <v>1449</v>
      </c>
      <c r="AK499" s="20" t="str">
        <f>HYPERLINK("https://docs.google.com/document/d/1MWTFNf0Lhv2c92QgArvO22rI85RTsw1fU_8zSFOmfMY/edit?usp=drivesdk","Shannon Dunnigan - 4/7/2020 9:30 AM")</f>
        <v>Shannon Dunnigan - 4/7/2020 9:30 AM</v>
      </c>
      <c r="AL499" s="12" t="s">
        <v>1450</v>
      </c>
    </row>
    <row r="500" spans="1:38" ht="12.75">
      <c r="A500" s="10">
        <f ca="1">IFERROR(__xludf.DUMMYFUNCTION("""COMPUTED_VALUE"""),43931.2822412268)</f>
        <v>43931.2822412268</v>
      </c>
      <c r="B500" s="11" t="str">
        <f ca="1">IFERROR(__xludf.DUMMYFUNCTION("""COMPUTED_VALUE"""),"Silas Tanner")</f>
        <v>Silas Tanner</v>
      </c>
      <c r="C500" t="str">
        <f ca="1">IFERROR(__xludf.DUMMYFUNCTION("""COMPUTED_VALUE"""),"silas.tanner@floridadep.gov")</f>
        <v>silas.tanner@floridadep.gov</v>
      </c>
      <c r="D500" t="str">
        <f ca="1">IFERROR(__xludf.DUMMYFUNCTION("""COMPUTED_VALUE"""),"Research/Nikki")</f>
        <v>Research/Nikki</v>
      </c>
      <c r="E500" t="str">
        <f ca="1">IFERROR(__xludf.DUMMYFUNCTION("""COMPUTED_VALUE"""),"Faver Dykes SP")</f>
        <v>Faver Dykes SP</v>
      </c>
      <c r="F500" s="13">
        <f ca="1">IFERROR(__xludf.DUMMYFUNCTION("""COMPUTED_VALUE"""),0.34375)</f>
        <v>0.34375</v>
      </c>
      <c r="G500" s="14">
        <f ca="1">IFERROR(__xludf.DUMMYFUNCTION("""COMPUTED_VALUE"""),43931)</f>
        <v>43931</v>
      </c>
      <c r="H500" t="str">
        <f ca="1">IFERROR(__xludf.DUMMYFUNCTION("""COMPUTED_VALUE"""),"Pellicer Creek SWMP platforms")</f>
        <v>Pellicer Creek SWMP platforms</v>
      </c>
      <c r="I500" s="15">
        <f ca="1">IFERROR(__xludf.DUMMYFUNCTION("""COMPUTED_VALUE"""),0.5625)</f>
        <v>0.5625</v>
      </c>
      <c r="J500" s="16">
        <f ca="1">IFERROR(__xludf.DUMMYFUNCTION("""COMPUTED_VALUE"""),43931.6145833333)</f>
        <v>43931.614583333299</v>
      </c>
      <c r="K500" t="str">
        <f ca="1">IFERROR(__xludf.DUMMYFUNCTION("""COMPUTED_VALUE"""),"20ft Sea Ark FL5351SJ UNF 2015")</f>
        <v>20ft Sea Ark FL5351SJ UNF 2015</v>
      </c>
      <c r="M500" t="str">
        <f ca="1">IFERROR(__xludf.DUMMYFUNCTION("""COMPUTED_VALUE"""),"Ford F250 2017 (Moby Dix) - DEP0021578")</f>
        <v>Ford F250 2017 (Moby Dix) - DEP0021578</v>
      </c>
      <c r="N500" t="str">
        <f ca="1">IFERROR(__xludf.DUMMYFUNCTION("""COMPUTED_VALUE"""),"Shannon Dunnigan, (803) 727-5734, Silas Tanner, (904) 483-8423")</f>
        <v>Shannon Dunnigan, (803) 727-5734, Silas Tanner, (904) 483-8423</v>
      </c>
      <c r="P500" t="str">
        <f ca="1">IFERROR(__xludf.DUMMYFUNCTION("""COMPUTED_VALUE"""),"S. Tanner")</f>
        <v>S. Tanner</v>
      </c>
      <c r="Q500" t="str">
        <f ca="1">IFERROR(__xludf.DUMMYFUNCTION("""COMPUTED_VALUE"""),"All items in working order")</f>
        <v>All items in working order</v>
      </c>
      <c r="AE500" s="11"/>
      <c r="AF500" t="str">
        <v>Nikki.Dix@floridadep.gov</v>
      </c>
      <c r="AG500" s="17" t="s">
        <v>41</v>
      </c>
      <c r="AH500" s="12">
        <v>1245</v>
      </c>
      <c r="AI500" s="12" t="s">
        <v>1451</v>
      </c>
      <c r="AJ500" s="19" t="s">
        <v>1452</v>
      </c>
      <c r="AK500" s="20" t="str">
        <f>HYPERLINK("https://docs.google.com/document/d/14ChhDbWuhFadEfgUpMMpRE-DlfOhS-DAKG-MgVEaWf4/edit?usp=drivesdk","Silas Tanner - 4/10/2020 8:15 AM")</f>
        <v>Silas Tanner - 4/10/2020 8:15 AM</v>
      </c>
      <c r="AL500" s="12" t="s">
        <v>1453</v>
      </c>
    </row>
    <row r="501" spans="1:38" ht="12.75">
      <c r="A501" s="10">
        <f ca="1">IFERROR(__xludf.DUMMYFUNCTION("""COMPUTED_VALUE"""),43934.3769488194)</f>
        <v>43934.376948819401</v>
      </c>
      <c r="B501" s="11" t="str">
        <f ca="1">IFERROR(__xludf.DUMMYFUNCTION("""COMPUTED_VALUE"""),"Shannon Dunnigan")</f>
        <v>Shannon Dunnigan</v>
      </c>
      <c r="C501" t="str">
        <f ca="1">IFERROR(__xludf.DUMMYFUNCTION("""COMPUTED_VALUE"""),"shannon.dunnigan@dep.state.fl.us")</f>
        <v>shannon.dunnigan@dep.state.fl.us</v>
      </c>
      <c r="D501" t="str">
        <f ca="1">IFERROR(__xludf.DUMMYFUNCTION("""COMPUTED_VALUE"""),"Research/Nikki")</f>
        <v>Research/Nikki</v>
      </c>
      <c r="E501" t="str">
        <f ca="1">IFERROR(__xludf.DUMMYFUNCTION("""COMPUTED_VALUE"""),"Bings")</f>
        <v>Bings</v>
      </c>
      <c r="F501" s="13">
        <f ca="1">IFERROR(__xludf.DUMMYFUNCTION("""COMPUTED_VALUE"""),0.375)</f>
        <v>0.375</v>
      </c>
      <c r="G501" s="14">
        <f ca="1">IFERROR(__xludf.DUMMYFUNCTION("""COMPUTED_VALUE"""),43934)</f>
        <v>43934</v>
      </c>
      <c r="H501" t="str">
        <f ca="1">IFERROR(__xludf.DUMMYFUNCTION("""COMPUTED_VALUE"""),"Wash Oaks veg platforms")</f>
        <v>Wash Oaks veg platforms</v>
      </c>
      <c r="I501" s="15">
        <f ca="1">IFERROR(__xludf.DUMMYFUNCTION("""COMPUTED_VALUE"""),0.58333333333212)</f>
        <v>0.58333333333212001</v>
      </c>
      <c r="J501" s="16">
        <f ca="1">IFERROR(__xludf.DUMMYFUNCTION("""COMPUTED_VALUE"""),43934.6666666666)</f>
        <v>43934.666666666599</v>
      </c>
      <c r="K501" t="str">
        <f ca="1">IFERROR(__xludf.DUMMYFUNCTION("""COMPUTED_VALUE"""),"20ft Sea Ark FL5351SJ UNF 2015")</f>
        <v>20ft Sea Ark FL5351SJ UNF 2015</v>
      </c>
      <c r="M501" t="str">
        <f ca="1">IFERROR(__xludf.DUMMYFUNCTION("""COMPUTED_VALUE"""),"Ford F250 2017 (Moby Dix) - DEP0021578")</f>
        <v>Ford F250 2017 (Moby Dix) - DEP0021578</v>
      </c>
      <c r="N501" t="str">
        <f ca="1">IFERROR(__xludf.DUMMYFUNCTION("""COMPUTED_VALUE"""),"Shannon Dunnigan, (803) 727-5734, Silas Tanner, (904) 483-8423")</f>
        <v>Shannon Dunnigan, (803) 727-5734, Silas Tanner, (904) 483-8423</v>
      </c>
      <c r="P501" t="str">
        <f ca="1">IFERROR(__xludf.DUMMYFUNCTION("""COMPUTED_VALUE"""),"Silas")</f>
        <v>Silas</v>
      </c>
      <c r="Q501" t="str">
        <f ca="1">IFERROR(__xludf.DUMMYFUNCTION("""COMPUTED_VALUE"""),"All items in working order")</f>
        <v>All items in working order</v>
      </c>
      <c r="AE501" s="11"/>
      <c r="AF501" t="str">
        <v>Nikki.Dix@floridadep.gov</v>
      </c>
      <c r="AG501" s="17" t="s">
        <v>41</v>
      </c>
      <c r="AH501" s="12">
        <v>1340</v>
      </c>
      <c r="AI501" s="12" t="s">
        <v>1454</v>
      </c>
      <c r="AJ501" s="19" t="s">
        <v>1455</v>
      </c>
      <c r="AK501" s="20" t="str">
        <f>HYPERLINK("https://docs.google.com/document/d/1ySb_Wf_HDbpc0L6WS7Fvxm7BA3n0qsprVE5boNnOhyE/edit?usp=drivesdk","Shannon Dunnigan - 4/13/2020 9:00 AM")</f>
        <v>Shannon Dunnigan - 4/13/2020 9:00 AM</v>
      </c>
      <c r="AL501" s="12" t="s">
        <v>1456</v>
      </c>
    </row>
    <row r="502" spans="1:38" ht="12.75">
      <c r="A502" s="10">
        <f ca="1">IFERROR(__xludf.DUMMYFUNCTION("""COMPUTED_VALUE"""),43937.3939226851)</f>
        <v>43937.3939226851</v>
      </c>
      <c r="B502" s="11" t="str">
        <f ca="1">IFERROR(__xludf.DUMMYFUNCTION("""COMPUTED_VALUE"""),"Shannon Dunnigan")</f>
        <v>Shannon Dunnigan</v>
      </c>
      <c r="C502" t="str">
        <f ca="1">IFERROR(__xludf.DUMMYFUNCTION("""COMPUTED_VALUE"""),"shannon.dunnigan@dep.state.fl.us")</f>
        <v>shannon.dunnigan@dep.state.fl.us</v>
      </c>
      <c r="D502" t="str">
        <f ca="1">IFERROR(__xludf.DUMMYFUNCTION("""COMPUTED_VALUE"""),"Research/Nikki")</f>
        <v>Research/Nikki</v>
      </c>
      <c r="E502" t="str">
        <f ca="1">IFERROR(__xludf.DUMMYFUNCTION("""COMPUTED_VALUE"""),"Usina")</f>
        <v>Usina</v>
      </c>
      <c r="F502" s="13">
        <f ca="1">IFERROR(__xludf.DUMMYFUNCTION("""COMPUTED_VALUE"""),0.39583333333212)</f>
        <v>0.39583333333212001</v>
      </c>
      <c r="G502" s="14">
        <f ca="1">IFERROR(__xludf.DUMMYFUNCTION("""COMPUTED_VALUE"""),43937)</f>
        <v>43937</v>
      </c>
      <c r="H502" t="str">
        <f ca="1">IFERROR(__xludf.DUMMYFUNCTION("""COMPUTED_VALUE"""),"Hat Island")</f>
        <v>Hat Island</v>
      </c>
      <c r="I502" s="15">
        <f ca="1">IFERROR(__xludf.DUMMYFUNCTION("""COMPUTED_VALUE"""),0.58333333333212)</f>
        <v>0.58333333333212001</v>
      </c>
      <c r="J502" s="16">
        <f ca="1">IFERROR(__xludf.DUMMYFUNCTION("""COMPUTED_VALUE"""),43937.6458333333)</f>
        <v>43937.645833333299</v>
      </c>
      <c r="K502" t="str">
        <f ca="1">IFERROR(__xludf.DUMMYFUNCTION("""COMPUTED_VALUE"""),"20ft Sea Ark FL5351SJ UNF 2015")</f>
        <v>20ft Sea Ark FL5351SJ UNF 2015</v>
      </c>
      <c r="M502" t="str">
        <f ca="1">IFERROR(__xludf.DUMMYFUNCTION("""COMPUTED_VALUE"""),"Ford F250 2017 (Moby Dix) - DEP0021578")</f>
        <v>Ford F250 2017 (Moby Dix) - DEP0021578</v>
      </c>
      <c r="N502" t="str">
        <f ca="1">IFERROR(__xludf.DUMMYFUNCTION("""COMPUTED_VALUE"""),"Shannon Dunnigan, (803) 727-5734, Silas Tanner, (904) 483-8423")</f>
        <v>Shannon Dunnigan, (803) 727-5734, Silas Tanner, (904) 483-8423</v>
      </c>
      <c r="P502" t="str">
        <f ca="1">IFERROR(__xludf.DUMMYFUNCTION("""COMPUTED_VALUE"""),"Silas")</f>
        <v>Silas</v>
      </c>
      <c r="Q502" t="str">
        <f ca="1">IFERROR(__xludf.DUMMYFUNCTION("""COMPUTED_VALUE"""),"All items in working order")</f>
        <v>All items in working order</v>
      </c>
      <c r="AE502" s="11"/>
      <c r="AF502" t="str">
        <v>Nikki.Dix@floridadep.gov</v>
      </c>
      <c r="AG502" s="17" t="s">
        <v>41</v>
      </c>
      <c r="AH502" s="12">
        <v>1310</v>
      </c>
      <c r="AI502" s="12" t="s">
        <v>1457</v>
      </c>
      <c r="AJ502" s="19" t="s">
        <v>1458</v>
      </c>
      <c r="AK502" s="20" t="str">
        <f>HYPERLINK("https://docs.google.com/document/d/1BD_3j3XqESf1MagD8d-LlTnX-jUffHUZziRlz10u5WA/edit?usp=drivesdk","Shannon Dunnigan - 4/16/2020 9:30 AM")</f>
        <v>Shannon Dunnigan - 4/16/2020 9:30 AM</v>
      </c>
      <c r="AL502" s="12" t="s">
        <v>1459</v>
      </c>
    </row>
    <row r="503" spans="1:38" ht="12.75">
      <c r="A503" s="10">
        <f ca="1">IFERROR(__xludf.DUMMYFUNCTION("""COMPUTED_VALUE"""),43938.4496428819)</f>
        <v>43938.449642881897</v>
      </c>
      <c r="B503" s="11" t="str">
        <f ca="1">IFERROR(__xludf.DUMMYFUNCTION("""COMPUTED_VALUE"""),"Silas Tanner")</f>
        <v>Silas Tanner</v>
      </c>
      <c r="C503" t="str">
        <f ca="1">IFERROR(__xludf.DUMMYFUNCTION("""COMPUTED_VALUE"""),"silas.tanner@dep.state.fl")</f>
        <v>silas.tanner@dep.state.fl</v>
      </c>
      <c r="D503" t="str">
        <f ca="1">IFERROR(__xludf.DUMMYFUNCTION("""COMPUTED_VALUE"""),"Research/Nikki")</f>
        <v>Research/Nikki</v>
      </c>
      <c r="E503" t="str">
        <f ca="1">IFERROR(__xludf.DUMMYFUNCTION("""COMPUTED_VALUE"""),"Crane")</f>
        <v>Crane</v>
      </c>
      <c r="F503" s="13">
        <f ca="1">IFERROR(__xludf.DUMMYFUNCTION("""COMPUTED_VALUE"""),0.447916666667879)</f>
        <v>0.44791666666787899</v>
      </c>
      <c r="G503" s="14">
        <f ca="1">IFERROR(__xludf.DUMMYFUNCTION("""COMPUTED_VALUE"""),43938)</f>
        <v>43938</v>
      </c>
      <c r="H503" t="str">
        <f ca="1">IFERROR(__xludf.DUMMYFUNCTION("""COMPUTED_VALUE"""),"Site 22 Platforms")</f>
        <v>Site 22 Platforms</v>
      </c>
      <c r="I503" s="15">
        <f ca="1">IFERROR(__xludf.DUMMYFUNCTION("""COMPUTED_VALUE"""),0.65625)</f>
        <v>0.65625</v>
      </c>
      <c r="J503" s="16">
        <f ca="1">IFERROR(__xludf.DUMMYFUNCTION("""COMPUTED_VALUE"""),43938.6770833333)</f>
        <v>43938.677083333299</v>
      </c>
      <c r="K503" t="str">
        <f ca="1">IFERROR(__xludf.DUMMYFUNCTION("""COMPUTED_VALUE"""),"20ft Sea Ark FL5351SJ UNF 2015")</f>
        <v>20ft Sea Ark FL5351SJ UNF 2015</v>
      </c>
      <c r="M503" t="str">
        <f ca="1">IFERROR(__xludf.DUMMYFUNCTION("""COMPUTED_VALUE"""),"Ford F250 2017 (Moby Dix) - DEP0021578")</f>
        <v>Ford F250 2017 (Moby Dix) - DEP0021578</v>
      </c>
      <c r="N503" t="str">
        <f ca="1">IFERROR(__xludf.DUMMYFUNCTION("""COMPUTED_VALUE"""),"Shannon Dunnigan, (803) 727-5734, Silas Tanner, (904) 483-8423")</f>
        <v>Shannon Dunnigan, (803) 727-5734, Silas Tanner, (904) 483-8423</v>
      </c>
      <c r="P503" t="str">
        <f ca="1">IFERROR(__xludf.DUMMYFUNCTION("""COMPUTED_VALUE"""),"S. Dunnigan")</f>
        <v>S. Dunnigan</v>
      </c>
      <c r="Q503" t="str">
        <f ca="1">IFERROR(__xludf.DUMMYFUNCTION("""COMPUTED_VALUE"""),"All items in working order")</f>
        <v>All items in working order</v>
      </c>
      <c r="AE503" s="11"/>
      <c r="AF503" t="str">
        <v>Nikki.Dix@floridadep.gov</v>
      </c>
      <c r="AG503" s="17" t="s">
        <v>41</v>
      </c>
      <c r="AH503" s="12">
        <v>1415</v>
      </c>
      <c r="AI503" s="12" t="s">
        <v>1460</v>
      </c>
      <c r="AJ503" s="19" t="s">
        <v>1461</v>
      </c>
      <c r="AK503" s="20" t="str">
        <f>HYPERLINK("https://docs.google.com/document/d/1bvXVf8WmVpH3pfe3D8ofkoXxKTDl4PJARSkF_Gv3FGY/edit?usp=drivesdk","Silas Tanner - 4/17/2020 10:45 AM")</f>
        <v>Silas Tanner - 4/17/2020 10:45 AM</v>
      </c>
      <c r="AL503" s="12" t="s">
        <v>1462</v>
      </c>
    </row>
    <row r="504" spans="1:38" ht="12.75">
      <c r="A504" s="10">
        <f ca="1">IFERROR(__xludf.DUMMYFUNCTION("""COMPUTED_VALUE"""),43943.3454716898)</f>
        <v>43943.345471689798</v>
      </c>
      <c r="B504" s="11" t="str">
        <f ca="1">IFERROR(__xludf.DUMMYFUNCTION("""COMPUTED_VALUE"""),"Silas Tanner")</f>
        <v>Silas Tanner</v>
      </c>
      <c r="C504" t="str">
        <f ca="1">IFERROR(__xludf.DUMMYFUNCTION("""COMPUTED_VALUE"""),"silas.tanner@floridadep.gov")</f>
        <v>silas.tanner@floridadep.gov</v>
      </c>
      <c r="D504" t="str">
        <f ca="1">IFERROR(__xludf.DUMMYFUNCTION("""COMPUTED_VALUE"""),"Research/Nikki")</f>
        <v>Research/Nikki</v>
      </c>
      <c r="E504" t="str">
        <f ca="1">IFERROR(__xludf.DUMMYFUNCTION("""COMPUTED_VALUE"""),"Vilano Landing")</f>
        <v>Vilano Landing</v>
      </c>
      <c r="F504" s="13">
        <f ca="1">IFERROR(__xludf.DUMMYFUNCTION("""COMPUTED_VALUE"""),0.379861111112404)</f>
        <v>0.379861111112404</v>
      </c>
      <c r="G504" s="14">
        <f ca="1">IFERROR(__xludf.DUMMYFUNCTION("""COMPUTED_VALUE"""),43943)</f>
        <v>43943</v>
      </c>
      <c r="H504" t="str">
        <f ca="1">IFERROR(__xludf.DUMMYFUNCTION("""COMPUTED_VALUE"""),"SWMP stations ICW")</f>
        <v>SWMP stations ICW</v>
      </c>
      <c r="I504" s="15">
        <f ca="1">IFERROR(__xludf.DUMMYFUNCTION("""COMPUTED_VALUE"""),0.584722222221898)</f>
        <v>0.58472222222189796</v>
      </c>
      <c r="J504" s="16">
        <f ca="1">IFERROR(__xludf.DUMMYFUNCTION("""COMPUTED_VALUE"""),43943.6041666666)</f>
        <v>43943.604166666599</v>
      </c>
      <c r="K504" t="str">
        <f ca="1">IFERROR(__xludf.DUMMYFUNCTION("""COMPUTED_VALUE"""),"23ft Skiff (Bertha) FL7972LJ DEP07613")</f>
        <v>23ft Skiff (Bertha) FL7972LJ DEP07613</v>
      </c>
      <c r="M504" t="str">
        <f ca="1">IFERROR(__xludf.DUMMYFUNCTION("""COMPUTED_VALUE"""),"Ford F250 2017 (Moby Dix) - DEP0021578")</f>
        <v>Ford F250 2017 (Moby Dix) - DEP0021578</v>
      </c>
      <c r="N504" t="str">
        <f ca="1">IFERROR(__xludf.DUMMYFUNCTION("""COMPUTED_VALUE"""),"Silas Tanner, (904) 483-8423")</f>
        <v>Silas Tanner, (904) 483-8423</v>
      </c>
      <c r="O504" t="str">
        <f ca="1">IFERROR(__xludf.DUMMYFUNCTION("""COMPUTED_VALUE"""),"Alee Knoell, (619) 750-4833")</f>
        <v>Alee Knoell, (619) 750-4833</v>
      </c>
      <c r="P504" t="str">
        <f ca="1">IFERROR(__xludf.DUMMYFUNCTION("""COMPUTED_VALUE"""),"S. Tanner")</f>
        <v>S. Tanner</v>
      </c>
      <c r="Q504" t="str">
        <f ca="1">IFERROR(__xludf.DUMMYFUNCTION("""COMPUTED_VALUE"""),"All items in working order")</f>
        <v>All items in working order</v>
      </c>
      <c r="AE504" s="11"/>
      <c r="AF504" t="str">
        <v>Nikki.Dix@floridadep.gov</v>
      </c>
      <c r="AG504" s="17" t="s">
        <v>139</v>
      </c>
      <c r="AH504" s="12">
        <v>1418</v>
      </c>
      <c r="AI504" s="12" t="s">
        <v>1463</v>
      </c>
      <c r="AJ504" s="19" t="s">
        <v>1464</v>
      </c>
      <c r="AK504" s="20" t="str">
        <f>HYPERLINK("https://docs.google.com/document/d/1Sn_beP3kbP-m30Ouz34BZDqRb6UrdvloQgVA8tVVrJg/edit?usp=drivesdk","Silas Tanner - 4/22/2020 9:07 AM")</f>
        <v>Silas Tanner - 4/22/2020 9:07 AM</v>
      </c>
      <c r="AL504" s="12" t="s">
        <v>1465</v>
      </c>
    </row>
    <row r="505" spans="1:38" ht="12.75">
      <c r="A505" s="10">
        <f ca="1">IFERROR(__xludf.DUMMYFUNCTION("""COMPUTED_VALUE"""),43950.3863384375)</f>
        <v>43950.3863384375</v>
      </c>
      <c r="B505" s="11" t="str">
        <f ca="1">IFERROR(__xludf.DUMMYFUNCTION("""COMPUTED_VALUE"""),"Shannon Dunnigan")</f>
        <v>Shannon Dunnigan</v>
      </c>
      <c r="C505" t="str">
        <f ca="1">IFERROR(__xludf.DUMMYFUNCTION("""COMPUTED_VALUE"""),"shannon.dunnigan@dep.state.fl.us")</f>
        <v>shannon.dunnigan@dep.state.fl.us</v>
      </c>
      <c r="D505" t="str">
        <f ca="1">IFERROR(__xludf.DUMMYFUNCTION("""COMPUTED_VALUE"""),"Research/Pam")</f>
        <v>Research/Pam</v>
      </c>
      <c r="E505" t="str">
        <f ca="1">IFERROR(__xludf.DUMMYFUNCTION("""COMPUTED_VALUE"""),"Greene St")</f>
        <v>Greene St</v>
      </c>
      <c r="F505" s="13">
        <f ca="1">IFERROR(__xludf.DUMMYFUNCTION("""COMPUTED_VALUE"""),0.291666666667879)</f>
        <v>0.29166666666787899</v>
      </c>
      <c r="G505" s="14">
        <f ca="1">IFERROR(__xludf.DUMMYFUNCTION("""COMPUTED_VALUE"""),43950)</f>
        <v>43950</v>
      </c>
      <c r="H505" t="str">
        <f ca="1">IFERROR(__xludf.DUMMYFUNCTION("""COMPUTED_VALUE"""),"Moses platforms")</f>
        <v>Moses platforms</v>
      </c>
      <c r="I505" s="15">
        <f ca="1">IFERROR(__xludf.DUMMYFUNCTION("""COMPUTED_VALUE"""),0.625)</f>
        <v>0.625</v>
      </c>
      <c r="J505" s="16">
        <f ca="1">IFERROR(__xludf.DUMMYFUNCTION("""COMPUTED_VALUE"""),43950.6875)</f>
        <v>43950.6875</v>
      </c>
      <c r="K505" t="str">
        <f ca="1">IFERROR(__xludf.DUMMYFUNCTION("""COMPUTED_VALUE"""),"20ft Sea Ark FL5351SJ UNF 2015")</f>
        <v>20ft Sea Ark FL5351SJ UNF 2015</v>
      </c>
      <c r="M505" t="str">
        <f ca="1">IFERROR(__xludf.DUMMYFUNCTION("""COMPUTED_VALUE"""),"Ford F250 2017 (Moby Dix) - DEP0021578")</f>
        <v>Ford F250 2017 (Moby Dix) - DEP0021578</v>
      </c>
      <c r="N505" t="str">
        <f ca="1">IFERROR(__xludf.DUMMYFUNCTION("""COMPUTED_VALUE"""),"Shannon Dunnigan, (803) 727-5734, Silas Tanner, (904) 483-8423")</f>
        <v>Shannon Dunnigan, (803) 727-5734, Silas Tanner, (904) 483-8423</v>
      </c>
      <c r="P505" t="str">
        <f ca="1">IFERROR(__xludf.DUMMYFUNCTION("""COMPUTED_VALUE"""),"Silas")</f>
        <v>Silas</v>
      </c>
      <c r="Q505" t="str">
        <f ca="1">IFERROR(__xludf.DUMMYFUNCTION("""COMPUTED_VALUE"""),"All items in working order")</f>
        <v>All items in working order</v>
      </c>
      <c r="AE505" s="11"/>
      <c r="AF505" t="str">
        <v>Pamela.Marcum@floridadep.gov</v>
      </c>
      <c r="AG505" s="17" t="s">
        <v>139</v>
      </c>
      <c r="AH505" s="12">
        <v>1302</v>
      </c>
      <c r="AI505" s="12" t="s">
        <v>1466</v>
      </c>
      <c r="AJ505" s="19" t="s">
        <v>1467</v>
      </c>
      <c r="AK505" s="20" t="str">
        <f>HYPERLINK("https://docs.google.com/document/d/1wWWw2_W3NFYQsTK6GU3NuVWpTJA30Wc6ARtYZq28A-8/edit?usp=drivesdk","Shannon Dunnigan - 4/29/2020 7:00 AM")</f>
        <v>Shannon Dunnigan - 4/29/2020 7:00 AM</v>
      </c>
      <c r="AL505" s="12" t="s">
        <v>1468</v>
      </c>
    </row>
    <row r="506" spans="1:38" ht="12.75">
      <c r="A506" s="10">
        <f ca="1">IFERROR(__xludf.DUMMYFUNCTION("""COMPUTED_VALUE"""),43950.5487992013)</f>
        <v>43950.5487992013</v>
      </c>
      <c r="B506" s="11" t="str">
        <f ca="1">IFERROR(__xludf.DUMMYFUNCTION("""COMPUTED_VALUE"""),"Shannon Dunnigan")</f>
        <v>Shannon Dunnigan</v>
      </c>
      <c r="C506" t="str">
        <f ca="1">IFERROR(__xludf.DUMMYFUNCTION("""COMPUTED_VALUE"""),"shannon.dunnigan@dep.state.fl.us")</f>
        <v>shannon.dunnigan@dep.state.fl.us</v>
      </c>
      <c r="D506" t="str">
        <f ca="1">IFERROR(__xludf.DUMMYFUNCTION("""COMPUTED_VALUE"""),"Research/Pam")</f>
        <v>Research/Pam</v>
      </c>
      <c r="E506" t="str">
        <f ca="1">IFERROR(__xludf.DUMMYFUNCTION("""COMPUTED_VALUE"""),"Greene St")</f>
        <v>Greene St</v>
      </c>
      <c r="F506" s="13">
        <f ca="1">IFERROR(__xludf.DUMMYFUNCTION("""COMPUTED_VALUE"""),0.291666666667879)</f>
        <v>0.29166666666787899</v>
      </c>
      <c r="G506" s="14">
        <f ca="1">IFERROR(__xludf.DUMMYFUNCTION("""COMPUTED_VALUE"""),43950)</f>
        <v>43950</v>
      </c>
      <c r="H506" t="str">
        <f ca="1">IFERROR(__xludf.DUMMYFUNCTION("""COMPUTED_VALUE"""),"Moses platforms")</f>
        <v>Moses platforms</v>
      </c>
      <c r="I506" s="15">
        <f ca="1">IFERROR(__xludf.DUMMYFUNCTION("""COMPUTED_VALUE"""),0.625)</f>
        <v>0.625</v>
      </c>
      <c r="J506" s="16">
        <f ca="1">IFERROR(__xludf.DUMMYFUNCTION("""COMPUTED_VALUE"""),43950.6875)</f>
        <v>43950.6875</v>
      </c>
      <c r="K506" t="str">
        <f ca="1">IFERROR(__xludf.DUMMYFUNCTION("""COMPUTED_VALUE"""),"20ft Sea Ark FL5351SJ UNF 2015")</f>
        <v>20ft Sea Ark FL5351SJ UNF 2015</v>
      </c>
      <c r="M506" t="str">
        <f ca="1">IFERROR(__xludf.DUMMYFUNCTION("""COMPUTED_VALUE"""),"Ford F250 2017 (Moby Dix) - DEP0021578")</f>
        <v>Ford F250 2017 (Moby Dix) - DEP0021578</v>
      </c>
      <c r="N506" t="str">
        <f ca="1">IFERROR(__xludf.DUMMYFUNCTION("""COMPUTED_VALUE"""),"Shannon Dunnigan, (803) 727-5734, Silas Tanner, (904) 483-8423")</f>
        <v>Shannon Dunnigan, (803) 727-5734, Silas Tanner, (904) 483-8423</v>
      </c>
      <c r="P506" t="str">
        <f ca="1">IFERROR(__xludf.DUMMYFUNCTION("""COMPUTED_VALUE"""),"Silas")</f>
        <v>Silas</v>
      </c>
      <c r="Q506" t="str">
        <f ca="1">IFERROR(__xludf.DUMMYFUNCTION("""COMPUTED_VALUE"""),"All items in working order")</f>
        <v>All items in working order</v>
      </c>
      <c r="AE506" s="11"/>
      <c r="AF506" t="str">
        <v>Pamela.Marcum@floridadep.gov</v>
      </c>
      <c r="AG506" s="12" t="s">
        <v>54</v>
      </c>
      <c r="AH506" s="12" t="s">
        <v>54</v>
      </c>
      <c r="AI506" s="12" t="s">
        <v>1469</v>
      </c>
      <c r="AJ506" s="19" t="s">
        <v>1470</v>
      </c>
      <c r="AK506" s="20" t="str">
        <f>HYPERLINK("https://docs.google.com/document/d/1Q3RnEnYWyufu63NNQ7-DOQFAqeNUadnCOGapTsd72fs/edit?usp=drivesdk","Shannon Dunnigan - 4/29/2020 7:00 AM")</f>
        <v>Shannon Dunnigan - 4/29/2020 7:00 AM</v>
      </c>
      <c r="AL506" s="12" t="s">
        <v>1471</v>
      </c>
    </row>
    <row r="507" spans="1:38" ht="12.75">
      <c r="A507" s="10">
        <f ca="1">IFERROR(__xludf.DUMMYFUNCTION("""COMPUTED_VALUE"""),43952.339007743)</f>
        <v>43952.339007743001</v>
      </c>
      <c r="B507" s="11" t="str">
        <f ca="1">IFERROR(__xludf.DUMMYFUNCTION("""COMPUTED_VALUE"""),"Pamela Marcum")</f>
        <v>Pamela Marcum</v>
      </c>
      <c r="C507" t="str">
        <f ca="1">IFERROR(__xludf.DUMMYFUNCTION("""COMPUTED_VALUE"""),"pamela.marcum@floridadep.gov")</f>
        <v>pamela.marcum@floridadep.gov</v>
      </c>
      <c r="D507" t="str">
        <f ca="1">IFERROR(__xludf.DUMMYFUNCTION("""COMPUTED_VALUE"""),"Research/Nikki")</f>
        <v>Research/Nikki</v>
      </c>
      <c r="E507" t="str">
        <f ca="1">IFERROR(__xludf.DUMMYFUNCTION("""COMPUTED_VALUE"""),"Aunt Kates")</f>
        <v>Aunt Kates</v>
      </c>
      <c r="F507" s="13">
        <f ca="1">IFERROR(__xludf.DUMMYFUNCTION("""COMPUTED_VALUE"""),0.291666666667879)</f>
        <v>0.29166666666787899</v>
      </c>
      <c r="G507" s="14">
        <f ca="1">IFERROR(__xludf.DUMMYFUNCTION("""COMPUTED_VALUE"""),43952)</f>
        <v>43952</v>
      </c>
      <c r="H507" t="str">
        <f ca="1">IFERROR(__xludf.DUMMYFUNCTION("""COMPUTED_VALUE"""),"Spat trees")</f>
        <v>Spat trees</v>
      </c>
      <c r="I507" s="15">
        <f ca="1">IFERROR(__xludf.DUMMYFUNCTION("""COMPUTED_VALUE"""),0.666666666667879)</f>
        <v>0.66666666666787899</v>
      </c>
      <c r="J507" s="16">
        <f ca="1">IFERROR(__xludf.DUMMYFUNCTION("""COMPUTED_VALUE"""),43952.6875)</f>
        <v>43952.6875</v>
      </c>
      <c r="K507" t="str">
        <f ca="1">IFERROR(__xludf.DUMMYFUNCTION("""COMPUTED_VALUE"""),"20ft Sea Ark FL5351SJ UNF 2015")</f>
        <v>20ft Sea Ark FL5351SJ UNF 2015</v>
      </c>
      <c r="M507" t="str">
        <f ca="1">IFERROR(__xludf.DUMMYFUNCTION("""COMPUTED_VALUE"""),"Ford F150 2015 (White) - DEP21448")</f>
        <v>Ford F150 2015 (White) - DEP21448</v>
      </c>
      <c r="N507" t="str">
        <f ca="1">IFERROR(__xludf.DUMMYFUNCTION("""COMPUTED_VALUE"""),"Pam Marcum, (480) 332-5414")</f>
        <v>Pam Marcum, (480) 332-5414</v>
      </c>
      <c r="O507" t="str">
        <f ca="1">IFERROR(__xludf.DUMMYFUNCTION("""COMPUTED_VALUE"""),"Alee Knoell, (619) 750-4833, Adrienne Breef-Pilz")</f>
        <v>Alee Knoell, (619) 750-4833, Adrienne Breef-Pilz</v>
      </c>
      <c r="P507" t="str">
        <f ca="1">IFERROR(__xludf.DUMMYFUNCTION("""COMPUTED_VALUE"""),"Pam")</f>
        <v>Pam</v>
      </c>
      <c r="Q507" t="str">
        <f ca="1">IFERROR(__xludf.DUMMYFUNCTION("""COMPUTED_VALUE"""),"All items in working order")</f>
        <v>All items in working order</v>
      </c>
      <c r="AE507" s="11"/>
      <c r="AF507" t="str">
        <v>Nikki.Dix@floridadep.gov</v>
      </c>
      <c r="AG507" s="17" t="s">
        <v>41</v>
      </c>
      <c r="AH507" s="12">
        <v>1600</v>
      </c>
      <c r="AI507" s="12" t="s">
        <v>1472</v>
      </c>
      <c r="AJ507" s="19" t="s">
        <v>1473</v>
      </c>
      <c r="AK507" s="20" t="str">
        <f>HYPERLINK("https://docs.google.com/document/d/1sdZXFy4O1v4OgayNenBQ6cwwXuCx4MWi_3l287LgZlE/edit?usp=drivesdk","Pamela Marcum - 5/1/2020 7:00 AM")</f>
        <v>Pamela Marcum - 5/1/2020 7:00 AM</v>
      </c>
      <c r="AL507" s="12" t="s">
        <v>1474</v>
      </c>
    </row>
    <row r="508" spans="1:38" ht="12.75">
      <c r="A508" s="10">
        <f ca="1">IFERROR(__xludf.DUMMYFUNCTION("""COMPUTED_VALUE"""),43956.3146930208)</f>
        <v>43956.314693020802</v>
      </c>
      <c r="B508" s="11" t="str">
        <f ca="1">IFERROR(__xludf.DUMMYFUNCTION("""COMPUTED_VALUE"""),"Silas Tanner")</f>
        <v>Silas Tanner</v>
      </c>
      <c r="C508" t="str">
        <f ca="1">IFERROR(__xludf.DUMMYFUNCTION("""COMPUTED_VALUE"""),"silas.tanner@dep.state.fl.us")</f>
        <v>silas.tanner@dep.state.fl.us</v>
      </c>
      <c r="D508" t="str">
        <f ca="1">IFERROR(__xludf.DUMMYFUNCTION("""COMPUTED_VALUE"""),"Research/Nikki")</f>
        <v>Research/Nikki</v>
      </c>
      <c r="E508" t="str">
        <f ca="1">IFERROR(__xludf.DUMMYFUNCTION("""COMPUTED_VALUE"""),"Vilano Landing")</f>
        <v>Vilano Landing</v>
      </c>
      <c r="F508" s="13">
        <f ca="1">IFERROR(__xludf.DUMMYFUNCTION("""COMPUTED_VALUE"""),0.326388888890505)</f>
        <v>0.32638888889050499</v>
      </c>
      <c r="G508" s="14">
        <f ca="1">IFERROR(__xludf.DUMMYFUNCTION("""COMPUTED_VALUE"""),43956)</f>
        <v>43956</v>
      </c>
      <c r="H508" t="str">
        <f ca="1">IFERROR(__xludf.DUMMYFUNCTION("""COMPUTED_VALUE"""),"ICW SWMP sites")</f>
        <v>ICW SWMP sites</v>
      </c>
      <c r="I508" s="15">
        <f ca="1">IFERROR(__xludf.DUMMYFUNCTION("""COMPUTED_VALUE"""),0.58333333333212)</f>
        <v>0.58333333333212001</v>
      </c>
      <c r="J508" s="16">
        <f ca="1">IFERROR(__xludf.DUMMYFUNCTION("""COMPUTED_VALUE"""),43956.6041666666)</f>
        <v>43956.604166666599</v>
      </c>
      <c r="K508" t="str">
        <f ca="1">IFERROR(__xludf.DUMMYFUNCTION("""COMPUTED_VALUE"""),"23ft Skiff (Bertha) FL7972LJ DEP07613")</f>
        <v>23ft Skiff (Bertha) FL7972LJ DEP07613</v>
      </c>
      <c r="M508" t="str">
        <f ca="1">IFERROR(__xludf.DUMMYFUNCTION("""COMPUTED_VALUE"""),"Ford F250 2017 (Moby Dix) - DEP0021578")</f>
        <v>Ford F250 2017 (Moby Dix) - DEP0021578</v>
      </c>
      <c r="N508" t="str">
        <f ca="1">IFERROR(__xludf.DUMMYFUNCTION("""COMPUTED_VALUE"""),"Silas Tanner, (904) 483-8423")</f>
        <v>Silas Tanner, (904) 483-8423</v>
      </c>
      <c r="O508" t="str">
        <f ca="1">IFERROR(__xludf.DUMMYFUNCTION("""COMPUTED_VALUE"""),"Alee Knoell, (619) 750-4833")</f>
        <v>Alee Knoell, (619) 750-4833</v>
      </c>
      <c r="P508" t="str">
        <f ca="1">IFERROR(__xludf.DUMMYFUNCTION("""COMPUTED_VALUE"""),"S. Tanner")</f>
        <v>S. Tanner</v>
      </c>
      <c r="Q508" t="str">
        <f ca="1">IFERROR(__xludf.DUMMYFUNCTION("""COMPUTED_VALUE"""),"All items in working order")</f>
        <v>All items in working order</v>
      </c>
      <c r="AE508" s="11"/>
      <c r="AF508" t="str">
        <v>Nikki.Dix@floridadep.gov</v>
      </c>
      <c r="AG508" s="17" t="s">
        <v>41</v>
      </c>
      <c r="AH508" s="12">
        <v>1330</v>
      </c>
      <c r="AI508" s="12" t="s">
        <v>1475</v>
      </c>
      <c r="AJ508" s="19" t="s">
        <v>1476</v>
      </c>
      <c r="AK508" s="20" t="str">
        <f>HYPERLINK("https://docs.google.com/document/d/1lhvDJUqQ6VbuHFWCSjOTx-d-WCodZhXGqGuhuyYPnIo/edit?usp=drivesdk","Silas Tanner - 5/5/2020 7:50 AM")</f>
        <v>Silas Tanner - 5/5/2020 7:50 AM</v>
      </c>
      <c r="AL508" s="12" t="s">
        <v>1477</v>
      </c>
    </row>
    <row r="509" spans="1:38" ht="12.75">
      <c r="A509" s="10">
        <f ca="1">IFERROR(__xludf.DUMMYFUNCTION("""COMPUTED_VALUE"""),43965.4790346296)</f>
        <v>43965.479034629599</v>
      </c>
      <c r="B509" s="11" t="str">
        <f ca="1">IFERROR(__xludf.DUMMYFUNCTION("""COMPUTED_VALUE"""),"Alexandria Knoell")</f>
        <v>Alexandria Knoell</v>
      </c>
      <c r="C509" t="str">
        <f ca="1">IFERROR(__xludf.DUMMYFUNCTION("""COMPUTED_VALUE"""),"alee.knoell@floridadep.gov")</f>
        <v>alee.knoell@floridadep.gov</v>
      </c>
      <c r="D509" t="str">
        <f ca="1">IFERROR(__xludf.DUMMYFUNCTION("""COMPUTED_VALUE"""),"Research/Nikki")</f>
        <v>Research/Nikki</v>
      </c>
      <c r="E509" t="str">
        <f ca="1">IFERROR(__xludf.DUMMYFUNCTION("""COMPUTED_VALUE"""),"Shore drive")</f>
        <v>Shore drive</v>
      </c>
      <c r="F509" s="13">
        <f ca="1">IFERROR(__xludf.DUMMYFUNCTION("""COMPUTED_VALUE"""),0.479166666667879)</f>
        <v>0.47916666666787899</v>
      </c>
      <c r="G509" s="14">
        <f ca="1">IFERROR(__xludf.DUMMYFUNCTION("""COMPUTED_VALUE"""),43965)</f>
        <v>43965</v>
      </c>
      <c r="H509" t="str">
        <f ca="1">IFERROR(__xludf.DUMMYFUNCTION("""COMPUTED_VALUE"""),"Site 22")</f>
        <v>Site 22</v>
      </c>
      <c r="I509" s="15">
        <f ca="1">IFERROR(__xludf.DUMMYFUNCTION("""COMPUTED_VALUE"""),0.64583333333212)</f>
        <v>0.64583333333212001</v>
      </c>
      <c r="J509" s="16">
        <f ca="1">IFERROR(__xludf.DUMMYFUNCTION("""COMPUTED_VALUE"""),43965.6875)</f>
        <v>43965.6875</v>
      </c>
      <c r="K509" t="str">
        <f ca="1">IFERROR(__xludf.DUMMYFUNCTION("""COMPUTED_VALUE"""),"23ft Skiff (Bertha) FL7972LJ DEP07613")</f>
        <v>23ft Skiff (Bertha) FL7972LJ DEP07613</v>
      </c>
      <c r="M509" t="str">
        <f ca="1">IFERROR(__xludf.DUMMYFUNCTION("""COMPUTED_VALUE"""),"Ford F150 2015 (White) - DEP21448")</f>
        <v>Ford F150 2015 (White) - DEP21448</v>
      </c>
      <c r="N509" t="str">
        <f ca="1">IFERROR(__xludf.DUMMYFUNCTION("""COMPUTED_VALUE"""),"Pam Marcum, (480) 332-5414")</f>
        <v>Pam Marcum, (480) 332-5414</v>
      </c>
      <c r="O509" t="str">
        <f ca="1">IFERROR(__xludf.DUMMYFUNCTION("""COMPUTED_VALUE"""),"Alee Knoell, (619) 750-4833")</f>
        <v>Alee Knoell, (619) 750-4833</v>
      </c>
      <c r="P509" t="str">
        <f ca="1">IFERROR(__xludf.DUMMYFUNCTION("""COMPUTED_VALUE"""),"Pam")</f>
        <v>Pam</v>
      </c>
      <c r="Q509" t="str">
        <f ca="1">IFERROR(__xludf.DUMMYFUNCTION("""COMPUTED_VALUE"""),"All items in working order")</f>
        <v>All items in working order</v>
      </c>
      <c r="AE509" s="11"/>
      <c r="AF509" t="str">
        <v>Nikki.Dix@floridadep.gov</v>
      </c>
      <c r="AG509" s="17" t="s">
        <v>41</v>
      </c>
      <c r="AH509" s="12">
        <v>1630</v>
      </c>
      <c r="AI509" s="12" t="s">
        <v>1478</v>
      </c>
      <c r="AJ509" s="19" t="s">
        <v>1479</v>
      </c>
      <c r="AK509" s="20" t="str">
        <f>HYPERLINK("https://docs.google.com/document/d/18sqgyQ0lpg1V9eMGG7WJ7vmIQ_dgCxVILr4C4__E4IU/edit?usp=drivesdk","Alexandria Knoell - 5/14/2020 11:30 AM")</f>
        <v>Alexandria Knoell - 5/14/2020 11:30 AM</v>
      </c>
      <c r="AL509" s="12" t="s">
        <v>1480</v>
      </c>
    </row>
    <row r="510" spans="1:38" ht="12.75">
      <c r="A510" s="10">
        <f ca="1">IFERROR(__xludf.DUMMYFUNCTION("""COMPUTED_VALUE"""),43966.4243586458)</f>
        <v>43966.424358645803</v>
      </c>
      <c r="B510" s="11" t="str">
        <f ca="1">IFERROR(__xludf.DUMMYFUNCTION("""COMPUTED_VALUE"""),"Pamela Marcum")</f>
        <v>Pamela Marcum</v>
      </c>
      <c r="C510" t="str">
        <f ca="1">IFERROR(__xludf.DUMMYFUNCTION("""COMPUTED_VALUE"""),"pamela.marcum@floridadep.gov")</f>
        <v>pamela.marcum@floridadep.gov</v>
      </c>
      <c r="D510" t="str">
        <f ca="1">IFERROR(__xludf.DUMMYFUNCTION("""COMPUTED_VALUE"""),"Research/Nikki")</f>
        <v>Research/Nikki</v>
      </c>
      <c r="E510" t="str">
        <f ca="1">IFERROR(__xludf.DUMMYFUNCTION("""COMPUTED_VALUE"""),"Shore Drive")</f>
        <v>Shore Drive</v>
      </c>
      <c r="F510" s="13">
        <f ca="1">IFERROR(__xludf.DUMMYFUNCTION("""COMPUTED_VALUE"""),0.39583333333212)</f>
        <v>0.39583333333212001</v>
      </c>
      <c r="G510" s="14">
        <f ca="1">IFERROR(__xludf.DUMMYFUNCTION("""COMPUTED_VALUE"""),43966)</f>
        <v>43966</v>
      </c>
      <c r="H510" t="str">
        <f ca="1">IFERROR(__xludf.DUMMYFUNCTION("""COMPUTED_VALUE"""),"Gabbys Creek, FM/SA spat trees")</f>
        <v>Gabbys Creek, FM/SA spat trees</v>
      </c>
      <c r="I510" s="15">
        <f ca="1">IFERROR(__xludf.DUMMYFUNCTION("""COMPUTED_VALUE"""),0.666666666667879)</f>
        <v>0.66666666666787899</v>
      </c>
      <c r="J510" s="16">
        <f ca="1">IFERROR(__xludf.DUMMYFUNCTION("""COMPUTED_VALUE"""),43966.7083333333)</f>
        <v>43966.708333333299</v>
      </c>
      <c r="K510" t="str">
        <f ca="1">IFERROR(__xludf.DUMMYFUNCTION("""COMPUTED_VALUE"""),"23ft Skiff (Bertha) FL7972LJ DEP07613")</f>
        <v>23ft Skiff (Bertha) FL7972LJ DEP07613</v>
      </c>
      <c r="M510" t="str">
        <f ca="1">IFERROR(__xludf.DUMMYFUNCTION("""COMPUTED_VALUE"""),"Ford F150 2015 (White) - DEP21448")</f>
        <v>Ford F150 2015 (White) - DEP21448</v>
      </c>
      <c r="N510" t="str">
        <f ca="1">IFERROR(__xludf.DUMMYFUNCTION("""COMPUTED_VALUE"""),"Pam Marcum, (480) 332-5414")</f>
        <v>Pam Marcum, (480) 332-5414</v>
      </c>
      <c r="O510" t="str">
        <f ca="1">IFERROR(__xludf.DUMMYFUNCTION("""COMPUTED_VALUE"""),"Gabby Canas")</f>
        <v>Gabby Canas</v>
      </c>
      <c r="P510" t="str">
        <f ca="1">IFERROR(__xludf.DUMMYFUNCTION("""COMPUTED_VALUE"""),"Pam")</f>
        <v>Pam</v>
      </c>
      <c r="Q510" t="str">
        <f ca="1">IFERROR(__xludf.DUMMYFUNCTION("""COMPUTED_VALUE"""),"All items in working order")</f>
        <v>All items in working order</v>
      </c>
      <c r="AE510" s="11"/>
      <c r="AF510" t="str">
        <v>Nikki.Dix@floridadep.gov</v>
      </c>
      <c r="AG510" s="17" t="s">
        <v>41</v>
      </c>
      <c r="AH510" s="12">
        <v>1655</v>
      </c>
      <c r="AI510" s="12" t="s">
        <v>1481</v>
      </c>
      <c r="AJ510" s="19" t="s">
        <v>1482</v>
      </c>
      <c r="AK510" s="20" t="str">
        <f>HYPERLINK("https://docs.google.com/document/d/1ya1ParIBtADBD_jkTpK00xrw3nvRI4NjwiCkgp2NY8k/edit?usp=drivesdk","Pamela Marcum - 5/15/2020 9:30 AM")</f>
        <v>Pamela Marcum - 5/15/2020 9:30 AM</v>
      </c>
      <c r="AL510" s="12" t="s">
        <v>1483</v>
      </c>
    </row>
    <row r="511" spans="1:38" ht="12.75">
      <c r="A511" s="10">
        <f ca="1">IFERROR(__xludf.DUMMYFUNCTION("""COMPUTED_VALUE"""),43969.3107893981)</f>
        <v>43969.3107893981</v>
      </c>
      <c r="B511" s="11" t="str">
        <f ca="1">IFERROR(__xludf.DUMMYFUNCTION("""COMPUTED_VALUE"""),"Shannon Dunnigan")</f>
        <v>Shannon Dunnigan</v>
      </c>
      <c r="C511" t="str">
        <f ca="1">IFERROR(__xludf.DUMMYFUNCTION("""COMPUTED_VALUE"""),"shannon.dunnigan@floridadep.gov")</f>
        <v>shannon.dunnigan@floridadep.gov</v>
      </c>
      <c r="D511" t="str">
        <f ca="1">IFERROR(__xludf.DUMMYFUNCTION("""COMPUTED_VALUE"""),"Research/Nikki")</f>
        <v>Research/Nikki</v>
      </c>
      <c r="E511" t="str">
        <f ca="1">IFERROR(__xludf.DUMMYFUNCTION("""COMPUTED_VALUE"""),"Guana dam")</f>
        <v>Guana dam</v>
      </c>
      <c r="F511" s="13">
        <f ca="1">IFERROR(__xludf.DUMMYFUNCTION("""COMPUTED_VALUE"""),0.305555555554747)</f>
        <v>0.305555555554747</v>
      </c>
      <c r="G511" s="14">
        <f ca="1">IFERROR(__xludf.DUMMYFUNCTION("""COMPUTED_VALUE"""),43969)</f>
        <v>43969</v>
      </c>
      <c r="H511" t="str">
        <f ca="1">IFERROR(__xludf.DUMMYFUNCTION("""COMPUTED_VALUE"""),"Guana WQ River sites")</f>
        <v>Guana WQ River sites</v>
      </c>
      <c r="I511" s="15">
        <f ca="1">IFERROR(__xludf.DUMMYFUNCTION("""COMPUTED_VALUE"""),0.375)</f>
        <v>0.375</v>
      </c>
      <c r="J511" s="16">
        <f ca="1">IFERROR(__xludf.DUMMYFUNCTION("""COMPUTED_VALUE"""),43969.40625)</f>
        <v>43969.40625</v>
      </c>
      <c r="K511" t="str">
        <f ca="1">IFERROR(__xludf.DUMMYFUNCTION("""COMPUTED_VALUE"""),"Jonboat FL5992 RR")</f>
        <v>Jonboat FL5992 RR</v>
      </c>
      <c r="M511" t="str">
        <f ca="1">IFERROR(__xludf.DUMMYFUNCTION("""COMPUTED_VALUE"""),"Ford F250 2017 (Moby Dix) - DEP0021578")</f>
        <v>Ford F250 2017 (Moby Dix) - DEP0021578</v>
      </c>
      <c r="N511" t="str">
        <f ca="1">IFERROR(__xludf.DUMMYFUNCTION("""COMPUTED_VALUE"""),"Shannon Dunnigan, (803) 727-5734")</f>
        <v>Shannon Dunnigan, (803) 727-5734</v>
      </c>
      <c r="O511" t="str">
        <f ca="1">IFERROR(__xludf.DUMMYFUNCTION("""COMPUTED_VALUE"""),"Jess Lee")</f>
        <v>Jess Lee</v>
      </c>
      <c r="P511" t="str">
        <f ca="1">IFERROR(__xludf.DUMMYFUNCTION("""COMPUTED_VALUE"""),"Shannon")</f>
        <v>Shannon</v>
      </c>
      <c r="Q511" t="str">
        <f ca="1">IFERROR(__xludf.DUMMYFUNCTION("""COMPUTED_VALUE"""),"All items in working order")</f>
        <v>All items in working order</v>
      </c>
      <c r="AE511" s="11"/>
      <c r="AF511" t="str">
        <v>Nikki.Dix@floridadep.gov</v>
      </c>
      <c r="AG511" s="17" t="s">
        <v>41</v>
      </c>
      <c r="AH511" s="12">
        <v>908</v>
      </c>
      <c r="AI511" s="12" t="s">
        <v>1484</v>
      </c>
      <c r="AJ511" s="19" t="s">
        <v>1485</v>
      </c>
      <c r="AK511" s="20" t="str">
        <f>HYPERLINK("https://docs.google.com/document/d/1hfXJFXH3E1tUX8F2g62JVGeOxbDa7Lp7WOe8Xek4Lnc/edit?usp=drivesdk","Shannon Dunnigan - 5/18/2020 7:20 AM")</f>
        <v>Shannon Dunnigan - 5/18/2020 7:20 AM</v>
      </c>
      <c r="AL511" s="12" t="s">
        <v>1486</v>
      </c>
    </row>
    <row r="512" spans="1:38" ht="12.75">
      <c r="A512" s="10">
        <f ca="1">IFERROR(__xludf.DUMMYFUNCTION("""COMPUTED_VALUE"""),43970.3413219212)</f>
        <v>43970.341321921202</v>
      </c>
      <c r="B512" s="11" t="str">
        <f ca="1">IFERROR(__xludf.DUMMYFUNCTION("""COMPUTED_VALUE"""),"Shannon Dunnigan")</f>
        <v>Shannon Dunnigan</v>
      </c>
      <c r="C512" t="str">
        <f ca="1">IFERROR(__xludf.DUMMYFUNCTION("""COMPUTED_VALUE"""),"shannon.dunnigan@floridadep.gov")</f>
        <v>shannon.dunnigan@floridadep.gov</v>
      </c>
      <c r="D512" t="str">
        <f ca="1">IFERROR(__xludf.DUMMYFUNCTION("""COMPUTED_VALUE"""),"Research/Nikki")</f>
        <v>Research/Nikki</v>
      </c>
      <c r="E512" t="str">
        <f ca="1">IFERROR(__xludf.DUMMYFUNCTION("""COMPUTED_VALUE"""),"Vilano")</f>
        <v>Vilano</v>
      </c>
      <c r="F512" s="13">
        <f ca="1">IFERROR(__xludf.DUMMYFUNCTION("""COMPUTED_VALUE"""),0.34375)</f>
        <v>0.34375</v>
      </c>
      <c r="G512" s="14">
        <f ca="1">IFERROR(__xludf.DUMMYFUNCTION("""COMPUTED_VALUE"""),43970)</f>
        <v>43970</v>
      </c>
      <c r="H512" t="str">
        <f ca="1">IFERROR(__xludf.DUMMYFUNCTION("""COMPUTED_VALUE"""),"SWMP sites")</f>
        <v>SWMP sites</v>
      </c>
      <c r="I512" s="15">
        <f ca="1">IFERROR(__xludf.DUMMYFUNCTION("""COMPUTED_VALUE"""),0.541666666667879)</f>
        <v>0.54166666666787899</v>
      </c>
      <c r="J512" s="16">
        <f ca="1">IFERROR(__xludf.DUMMYFUNCTION("""COMPUTED_VALUE"""),43970.5833333333)</f>
        <v>43970.583333333299</v>
      </c>
      <c r="K512" t="str">
        <f ca="1">IFERROR(__xludf.DUMMYFUNCTION("""COMPUTED_VALUE"""),"F 20ft Sea Ark (Easy 200) FL8534PY DEP21451")</f>
        <v>F 20ft Sea Ark (Easy 200) FL8534PY DEP21451</v>
      </c>
      <c r="M512" t="str">
        <f ca="1">IFERROR(__xludf.DUMMYFUNCTION("""COMPUTED_VALUE"""),"Ford F250 2017 (Moby Dix) - DEP0021578")</f>
        <v>Ford F250 2017 (Moby Dix) - DEP0021578</v>
      </c>
      <c r="N512" t="str">
        <f ca="1">IFERROR(__xludf.DUMMYFUNCTION("""COMPUTED_VALUE"""),"Shannon Dunnigan, (803) 727-5734, Silas Tanner, (904) 483-8423")</f>
        <v>Shannon Dunnigan, (803) 727-5734, Silas Tanner, (904) 483-8423</v>
      </c>
      <c r="P512" t="str">
        <f ca="1">IFERROR(__xludf.DUMMYFUNCTION("""COMPUTED_VALUE"""),"Silas")</f>
        <v>Silas</v>
      </c>
      <c r="Q512" t="str">
        <f ca="1">IFERROR(__xludf.DUMMYFUNCTION("""COMPUTED_VALUE"""),"All items in working order")</f>
        <v>All items in working order</v>
      </c>
      <c r="AE512" s="11"/>
      <c r="AF512" t="str">
        <v>Nikki.Dix@floridadep.gov</v>
      </c>
      <c r="AG512" s="17" t="s">
        <v>41</v>
      </c>
      <c r="AH512" s="12">
        <v>1149</v>
      </c>
      <c r="AI512" s="12" t="s">
        <v>1487</v>
      </c>
      <c r="AJ512" s="19" t="s">
        <v>1488</v>
      </c>
      <c r="AK512" s="20" t="str">
        <f>HYPERLINK("https://docs.google.com/document/d/1s9l85XooOHcl3JjhuW9mrAkWSXGvDtchsQtTw8Orqo4/edit?usp=drivesdk","Shannon Dunnigan - 5/19/2020 8:15 AM")</f>
        <v>Shannon Dunnigan - 5/19/2020 8:15 AM</v>
      </c>
      <c r="AL512" s="12" t="s">
        <v>1489</v>
      </c>
    </row>
    <row r="513" spans="1:38" ht="12.75">
      <c r="A513" s="10">
        <f ca="1">IFERROR(__xludf.DUMMYFUNCTION("""COMPUTED_VALUE"""),43970.4195555324)</f>
        <v>43970.419555532397</v>
      </c>
      <c r="B513" s="11" t="str">
        <f ca="1">IFERROR(__xludf.DUMMYFUNCTION("""COMPUTED_VALUE"""),"Pamela Marcum")</f>
        <v>Pamela Marcum</v>
      </c>
      <c r="C513" t="str">
        <f ca="1">IFERROR(__xludf.DUMMYFUNCTION("""COMPUTED_VALUE"""),"Pamela.Marcum@dep.state.fl.us")</f>
        <v>Pamela.Marcum@dep.state.fl.us</v>
      </c>
      <c r="D513" t="str">
        <f ca="1">IFERROR(__xludf.DUMMYFUNCTION("""COMPUTED_VALUE"""),"Research/Nikki")</f>
        <v>Research/Nikki</v>
      </c>
      <c r="E513" t="str">
        <f ca="1">IFERROR(__xludf.DUMMYFUNCTION("""COMPUTED_VALUE"""),"Aunt Kate's")</f>
        <v>Aunt Kate's</v>
      </c>
      <c r="F513" s="13">
        <f ca="1">IFERROR(__xludf.DUMMYFUNCTION("""COMPUTED_VALUE"""),0.45833333333212)</f>
        <v>0.45833333333212001</v>
      </c>
      <c r="G513" s="14">
        <f ca="1">IFERROR(__xludf.DUMMYFUNCTION("""COMPUTED_VALUE"""),43970)</f>
        <v>43970</v>
      </c>
      <c r="H513" t="str">
        <f ca="1">IFERROR(__xludf.DUMMYFUNCTION("""COMPUTED_VALUE"""),"Pine Island platforms")</f>
        <v>Pine Island platforms</v>
      </c>
      <c r="I513" s="15">
        <f ca="1">IFERROR(__xludf.DUMMYFUNCTION("""COMPUTED_VALUE"""),0.70833333333212)</f>
        <v>0.70833333333212001</v>
      </c>
      <c r="J513" s="16">
        <f ca="1">IFERROR(__xludf.DUMMYFUNCTION("""COMPUTED_VALUE"""),43970.7291666666)</f>
        <v>43970.729166666599</v>
      </c>
      <c r="K513" t="str">
        <f ca="1">IFERROR(__xludf.DUMMYFUNCTION("""COMPUTED_VALUE"""),"23ft Skiff (Bertha) FL7972LJ DEP07613")</f>
        <v>23ft Skiff (Bertha) FL7972LJ DEP07613</v>
      </c>
      <c r="M513" t="str">
        <f ca="1">IFERROR(__xludf.DUMMYFUNCTION("""COMPUTED_VALUE"""),"Ford F150 2015 (White) - DEP21448")</f>
        <v>Ford F150 2015 (White) - DEP21448</v>
      </c>
      <c r="N513" t="str">
        <f ca="1">IFERROR(__xludf.DUMMYFUNCTION("""COMPUTED_VALUE"""),"Pam Marcum, (480) 332-5414")</f>
        <v>Pam Marcum, (480) 332-5414</v>
      </c>
      <c r="O513" t="str">
        <f ca="1">IFERROR(__xludf.DUMMYFUNCTION("""COMPUTED_VALUE"""),"Alee Knoell, (619) 750-4833")</f>
        <v>Alee Knoell, (619) 750-4833</v>
      </c>
      <c r="P513" t="str">
        <f ca="1">IFERROR(__xludf.DUMMYFUNCTION("""COMPUTED_VALUE"""),"Pam")</f>
        <v>Pam</v>
      </c>
      <c r="Q513" t="str">
        <f ca="1">IFERROR(__xludf.DUMMYFUNCTION("""COMPUTED_VALUE"""),"All items in working order")</f>
        <v>All items in working order</v>
      </c>
      <c r="AE513" s="11"/>
      <c r="AF513" t="str">
        <v>Nikki.Dix@floridadep.gov</v>
      </c>
      <c r="AG513" s="17" t="s">
        <v>41</v>
      </c>
      <c r="AH513" s="12">
        <v>1655</v>
      </c>
      <c r="AI513" s="12" t="s">
        <v>1490</v>
      </c>
      <c r="AJ513" s="19" t="s">
        <v>1491</v>
      </c>
      <c r="AK513" s="20" t="str">
        <f>HYPERLINK("https://docs.google.com/document/d/1ZrYUuVw7eqkXKsFKh5X-XrXKTleWrzXt9HOCbjZ0qpA/edit?usp=drivesdk","Pamela Marcum - 5/19/2020 11:00 AM")</f>
        <v>Pamela Marcum - 5/19/2020 11:00 AM</v>
      </c>
      <c r="AL513" s="12" t="s">
        <v>1492</v>
      </c>
    </row>
    <row r="514" spans="1:38" ht="12.75">
      <c r="A514" s="10">
        <f ca="1">IFERROR(__xludf.DUMMYFUNCTION("""COMPUTED_VALUE"""),43971.3526103472)</f>
        <v>43971.352610347203</v>
      </c>
      <c r="B514" s="11" t="str">
        <f ca="1">IFERROR(__xludf.DUMMYFUNCTION("""COMPUTED_VALUE"""),"Silas Tanner")</f>
        <v>Silas Tanner</v>
      </c>
      <c r="C514" t="str">
        <f ca="1">IFERROR(__xludf.DUMMYFUNCTION("""COMPUTED_VALUE"""),"Silas.tanner@floridadep.gov")</f>
        <v>Silas.tanner@floridadep.gov</v>
      </c>
      <c r="D514" t="str">
        <f ca="1">IFERROR(__xludf.DUMMYFUNCTION("""COMPUTED_VALUE"""),"Research/Nikki")</f>
        <v>Research/Nikki</v>
      </c>
      <c r="E514" t="str">
        <f ca="1">IFERROR(__xludf.DUMMYFUNCTION("""COMPUTED_VALUE"""),"GTM boat ramp - river")</f>
        <v>GTM boat ramp - river</v>
      </c>
      <c r="F514" s="13">
        <f ca="1">IFERROR(__xludf.DUMMYFUNCTION("""COMPUTED_VALUE"""),0.361111111109494)</f>
        <v>0.36111111110949401</v>
      </c>
      <c r="G514" s="14">
        <f ca="1">IFERROR(__xludf.DUMMYFUNCTION("""COMPUTED_VALUE"""),43971)</f>
        <v>43971</v>
      </c>
      <c r="H514" t="str">
        <f ca="1">IFERROR(__xludf.DUMMYFUNCTION("""COMPUTED_VALUE"""),"Guana River")</f>
        <v>Guana River</v>
      </c>
      <c r="I514" s="15">
        <f ca="1">IFERROR(__xludf.DUMMYFUNCTION("""COMPUTED_VALUE"""),0.42708333333212)</f>
        <v>0.42708333333212001</v>
      </c>
      <c r="J514" s="16">
        <f ca="1">IFERROR(__xludf.DUMMYFUNCTION("""COMPUTED_VALUE"""),43971.4375)</f>
        <v>43971.4375</v>
      </c>
      <c r="K514" t="str">
        <f ca="1">IFERROR(__xludf.DUMMYFUNCTION("""COMPUTED_VALUE"""),"Jon Boat FL0484NP DEP06819")</f>
        <v>Jon Boat FL0484NP DEP06819</v>
      </c>
      <c r="M514" t="str">
        <f ca="1">IFERROR(__xludf.DUMMYFUNCTION("""COMPUTED_VALUE"""),"Ford F250 2017 (Moby Dix) - DEP0021578")</f>
        <v>Ford F250 2017 (Moby Dix) - DEP0021578</v>
      </c>
      <c r="N514" t="str">
        <f ca="1">IFERROR(__xludf.DUMMYFUNCTION("""COMPUTED_VALUE"""),"Silas Tanner, (904) 483-8423")</f>
        <v>Silas Tanner, (904) 483-8423</v>
      </c>
      <c r="O514" t="str">
        <f ca="1">IFERROR(__xludf.DUMMYFUNCTION("""COMPUTED_VALUE"""),"Jessica Lee")</f>
        <v>Jessica Lee</v>
      </c>
      <c r="P514" t="str">
        <f ca="1">IFERROR(__xludf.DUMMYFUNCTION("""COMPUTED_VALUE"""),"S. Tanner")</f>
        <v>S. Tanner</v>
      </c>
      <c r="Q514" t="str">
        <f ca="1">IFERROR(__xludf.DUMMYFUNCTION("""COMPUTED_VALUE"""),"All items in working order")</f>
        <v>All items in working order</v>
      </c>
      <c r="AE514" s="11"/>
      <c r="AF514" t="str">
        <v>Nikki.Dix@floridadep.gov</v>
      </c>
      <c r="AG514" s="17" t="s">
        <v>41</v>
      </c>
      <c r="AH514" s="12">
        <v>945</v>
      </c>
      <c r="AI514" s="12" t="s">
        <v>1493</v>
      </c>
      <c r="AJ514" s="19" t="s">
        <v>1494</v>
      </c>
      <c r="AK514" s="20" t="str">
        <f>HYPERLINK("https://docs.google.com/document/d/1sioxX_7kAwKiYd29kdqEacmGxR4147m8O-gc6jdOMEk/edit?usp=drivesdk","Silas Tanner - 5/20/2020 8:40 AM")</f>
        <v>Silas Tanner - 5/20/2020 8:40 AM</v>
      </c>
      <c r="AL514" s="12" t="s">
        <v>1495</v>
      </c>
    </row>
    <row r="515" spans="1:38" ht="12.75">
      <c r="A515" s="10">
        <f ca="1">IFERROR(__xludf.DUMMYFUNCTION("""COMPUTED_VALUE"""),43979.3037839583)</f>
        <v>43979.303783958298</v>
      </c>
      <c r="B515" s="11" t="str">
        <f ca="1">IFERROR(__xludf.DUMMYFUNCTION("""COMPUTED_VALUE"""),"Pamela Marcum")</f>
        <v>Pamela Marcum</v>
      </c>
      <c r="C515" t="str">
        <f ca="1">IFERROR(__xludf.DUMMYFUNCTION("""COMPUTED_VALUE"""),"pamela.marcum@floridadep.gov")</f>
        <v>pamela.marcum@floridadep.gov</v>
      </c>
      <c r="D515" t="str">
        <f ca="1">IFERROR(__xludf.DUMMYFUNCTION("""COMPUTED_VALUE"""),"Research/Nikki")</f>
        <v>Research/Nikki</v>
      </c>
      <c r="E515" t="str">
        <f ca="1">IFERROR(__xludf.DUMMYFUNCTION("""COMPUTED_VALUE"""),"Aunt Kate's")</f>
        <v>Aunt Kate's</v>
      </c>
      <c r="F515" s="13">
        <f ca="1">IFERROR(__xludf.DUMMYFUNCTION("""COMPUTED_VALUE"""),0.30208333333212)</f>
        <v>0.30208333333212001</v>
      </c>
      <c r="G515" s="14">
        <f ca="1">IFERROR(__xludf.DUMMYFUNCTION("""COMPUTED_VALUE"""),43979)</f>
        <v>43979</v>
      </c>
      <c r="H515" t="str">
        <f ca="1">IFERROR(__xludf.DUMMYFUNCTION("""COMPUTED_VALUE"""),"Hat Island")</f>
        <v>Hat Island</v>
      </c>
      <c r="I515" s="15">
        <f ca="1">IFERROR(__xludf.DUMMYFUNCTION("""COMPUTED_VALUE"""),0.58333333333212)</f>
        <v>0.58333333333212001</v>
      </c>
      <c r="J515" s="16">
        <f ca="1">IFERROR(__xludf.DUMMYFUNCTION("""COMPUTED_VALUE"""),43979.6041666666)</f>
        <v>43979.604166666599</v>
      </c>
      <c r="K515" t="str">
        <f ca="1">IFERROR(__xludf.DUMMYFUNCTION("""COMPUTED_VALUE"""),"23ft Skiff (Bertha) FL7972LJ DEP07613")</f>
        <v>23ft Skiff (Bertha) FL7972LJ DEP07613</v>
      </c>
      <c r="M515" t="str">
        <f ca="1">IFERROR(__xludf.DUMMYFUNCTION("""COMPUTED_VALUE"""),"Ford F150 2015 (White) - DEP21448")</f>
        <v>Ford F150 2015 (White) - DEP21448</v>
      </c>
      <c r="N515" t="str">
        <f ca="1">IFERROR(__xludf.DUMMYFUNCTION("""COMPUTED_VALUE"""),"Pam Marcum, (480) 332-5414")</f>
        <v>Pam Marcum, (480) 332-5414</v>
      </c>
      <c r="O515" t="str">
        <f ca="1">IFERROR(__xludf.DUMMYFUNCTION("""COMPUTED_VALUE"""),"Alee Knoell, (619) 750-4833")</f>
        <v>Alee Knoell, (619) 750-4833</v>
      </c>
      <c r="P515" t="str">
        <f ca="1">IFERROR(__xludf.DUMMYFUNCTION("""COMPUTED_VALUE"""),"Pam")</f>
        <v>Pam</v>
      </c>
      <c r="Q515" t="str">
        <f ca="1">IFERROR(__xludf.DUMMYFUNCTION("""COMPUTED_VALUE"""),"All items in working order")</f>
        <v>All items in working order</v>
      </c>
      <c r="AE515" s="11"/>
      <c r="AF515" t="str">
        <v>Nikki.Dix@floridadep.gov</v>
      </c>
      <c r="AG515" s="17" t="s">
        <v>41</v>
      </c>
      <c r="AH515" s="12">
        <v>1224</v>
      </c>
      <c r="AI515" s="12" t="s">
        <v>1496</v>
      </c>
      <c r="AJ515" s="19" t="s">
        <v>1497</v>
      </c>
      <c r="AK515" s="20" t="str">
        <f>HYPERLINK("https://docs.google.com/document/d/1FXSJezVUTVrGBPpx3QrS2ASXwEakTDADX67cWCoa9q0/edit?usp=drivesdk","Pamela Marcum - 5/28/2020 7:15 AM")</f>
        <v>Pamela Marcum - 5/28/2020 7:15 AM</v>
      </c>
      <c r="AL515" s="12" t="s">
        <v>1498</v>
      </c>
    </row>
    <row r="516" spans="1:38" ht="12.75">
      <c r="A516" s="10">
        <f ca="1">IFERROR(__xludf.DUMMYFUNCTION("""COMPUTED_VALUE"""),43983.2834142245)</f>
        <v>43983.283414224497</v>
      </c>
      <c r="B516" s="11" t="str">
        <f ca="1">IFERROR(__xludf.DUMMYFUNCTION("""COMPUTED_VALUE"""),"Pam Marcum")</f>
        <v>Pam Marcum</v>
      </c>
      <c r="C516" t="str">
        <f ca="1">IFERROR(__xludf.DUMMYFUNCTION("""COMPUTED_VALUE"""),"Pamela.Marcum@FloridaDEP.gov")</f>
        <v>Pamela.Marcum@FloridaDEP.gov</v>
      </c>
      <c r="D516" t="str">
        <f ca="1">IFERROR(__xludf.DUMMYFUNCTION("""COMPUTED_VALUE"""),"Research/Nikki")</f>
        <v>Research/Nikki</v>
      </c>
      <c r="E516" t="str">
        <f ca="1">IFERROR(__xludf.DUMMYFUNCTION("""COMPUTED_VALUE"""),"Vilano")</f>
        <v>Vilano</v>
      </c>
      <c r="F516" s="13">
        <f ca="1">IFERROR(__xludf.DUMMYFUNCTION("""COMPUTED_VALUE"""),0.3125)</f>
        <v>0.3125</v>
      </c>
      <c r="G516" s="14">
        <f ca="1">IFERROR(__xludf.DUMMYFUNCTION("""COMPUTED_VALUE"""),43983)</f>
        <v>43983</v>
      </c>
      <c r="H516" t="str">
        <f ca="1">IFERROR(__xludf.DUMMYFUNCTION("""COMPUTED_VALUE"""),"Spat Trees")</f>
        <v>Spat Trees</v>
      </c>
      <c r="I516" s="15">
        <f ca="1">IFERROR(__xludf.DUMMYFUNCTION("""COMPUTED_VALUE"""),0.5625)</f>
        <v>0.5625</v>
      </c>
      <c r="J516" s="16">
        <f ca="1">IFERROR(__xludf.DUMMYFUNCTION("""COMPUTED_VALUE"""),43983.5833333333)</f>
        <v>43983.583333333299</v>
      </c>
      <c r="K516" t="str">
        <f ca="1">IFERROR(__xludf.DUMMYFUNCTION("""COMPUTED_VALUE"""),"20ft Sea Ark FL5351SJ UNF 2015")</f>
        <v>20ft Sea Ark FL5351SJ UNF 2015</v>
      </c>
      <c r="M516" t="str">
        <f ca="1">IFERROR(__xludf.DUMMYFUNCTION("""COMPUTED_VALUE"""),"Ford F150 2015 (White) - DEP21448")</f>
        <v>Ford F150 2015 (White) - DEP21448</v>
      </c>
      <c r="N516" t="str">
        <f ca="1">IFERROR(__xludf.DUMMYFUNCTION("""COMPUTED_VALUE"""),"Pam Marcum, (480) 332-5414")</f>
        <v>Pam Marcum, (480) 332-5414</v>
      </c>
      <c r="O516" t="str">
        <f ca="1">IFERROR(__xludf.DUMMYFUNCTION("""COMPUTED_VALUE"""),"Alee Knoell, (619) 750-4833")</f>
        <v>Alee Knoell, (619) 750-4833</v>
      </c>
      <c r="P516" t="str">
        <f ca="1">IFERROR(__xludf.DUMMYFUNCTION("""COMPUTED_VALUE"""),"Pam")</f>
        <v>Pam</v>
      </c>
      <c r="Q516" t="str">
        <f ca="1">IFERROR(__xludf.DUMMYFUNCTION("""COMPUTED_VALUE"""),"All items in working order")</f>
        <v>All items in working order</v>
      </c>
      <c r="AE516" s="11"/>
      <c r="AF516" t="str">
        <v>Nikki.Dix@floridadep.gov</v>
      </c>
      <c r="AG516" s="17" t="s">
        <v>41</v>
      </c>
      <c r="AH516" s="12">
        <v>1644</v>
      </c>
      <c r="AI516" s="12" t="s">
        <v>1499</v>
      </c>
      <c r="AJ516" s="19" t="s">
        <v>1500</v>
      </c>
      <c r="AK516" s="20" t="str">
        <f>HYPERLINK("https://docs.google.com/document/d/164-ZNfriHZGOF3Ng0KgkJ2IITAy5FFA293vbwC-uTPc/edit?usp=drivesdk","Pam Marcum - 6/1/2020 7:30 AM")</f>
        <v>Pam Marcum - 6/1/2020 7:30 AM</v>
      </c>
      <c r="AL516" s="12" t="s">
        <v>1501</v>
      </c>
    </row>
    <row r="517" spans="1:38" ht="12.75">
      <c r="A517" s="10">
        <f ca="1">IFERROR(__xludf.DUMMYFUNCTION("""COMPUTED_VALUE"""),43985.3361849305)</f>
        <v>43985.3361849305</v>
      </c>
      <c r="B517" s="11" t="str">
        <f ca="1">IFERROR(__xludf.DUMMYFUNCTION("""COMPUTED_VALUE"""),"Silas Tanner")</f>
        <v>Silas Tanner</v>
      </c>
      <c r="C517" t="str">
        <f ca="1">IFERROR(__xludf.DUMMYFUNCTION("""COMPUTED_VALUE"""),"silas.tanner@floridadep.gov")</f>
        <v>silas.tanner@floridadep.gov</v>
      </c>
      <c r="D517" t="str">
        <f ca="1">IFERROR(__xludf.DUMMYFUNCTION("""COMPUTED_VALUE"""),"Research/Nikki")</f>
        <v>Research/Nikki</v>
      </c>
      <c r="E517" t="str">
        <f ca="1">IFERROR(__xludf.DUMMYFUNCTION("""COMPUTED_VALUE"""),"Vilano Landing")</f>
        <v>Vilano Landing</v>
      </c>
      <c r="F517" s="13">
        <f ca="1">IFERROR(__xludf.DUMMYFUNCTION("""COMPUTED_VALUE"""),0.298611111109494)</f>
        <v>0.29861111110949401</v>
      </c>
      <c r="G517" s="14">
        <f ca="1">IFERROR(__xludf.DUMMYFUNCTION("""COMPUTED_VALUE"""),43984)</f>
        <v>43984</v>
      </c>
      <c r="H517" t="str">
        <f ca="1">IFERROR(__xludf.DUMMYFUNCTION("""COMPUTED_VALUE"""),"ICW SWMP sites")</f>
        <v>ICW SWMP sites</v>
      </c>
      <c r="I517" s="15">
        <f ca="1">IFERROR(__xludf.DUMMYFUNCTION("""COMPUTED_VALUE"""),0.53125)</f>
        <v>0.53125</v>
      </c>
      <c r="J517" s="16">
        <f ca="1">IFERROR(__xludf.DUMMYFUNCTION("""COMPUTED_VALUE"""),43984.5416666666)</f>
        <v>43984.541666666599</v>
      </c>
      <c r="K517" t="str">
        <f ca="1">IFERROR(__xludf.DUMMYFUNCTION("""COMPUTED_VALUE"""),"23ft Skiff (Bertha) FL7972LJ DEP07613")</f>
        <v>23ft Skiff (Bertha) FL7972LJ DEP07613</v>
      </c>
      <c r="M517" t="str">
        <f ca="1">IFERROR(__xludf.DUMMYFUNCTION("""COMPUTED_VALUE"""),"Ford F250 2017 (Moby Dix) - DEP0021578")</f>
        <v>Ford F250 2017 (Moby Dix) - DEP0021578</v>
      </c>
      <c r="N517" t="str">
        <f ca="1">IFERROR(__xludf.DUMMYFUNCTION("""COMPUTED_VALUE"""),"Silas Tanner, (904) 483-8423")</f>
        <v>Silas Tanner, (904) 483-8423</v>
      </c>
      <c r="O517" t="str">
        <f ca="1">IFERROR(__xludf.DUMMYFUNCTION("""COMPUTED_VALUE"""),"Alee Knoell, (619) 750-4833")</f>
        <v>Alee Knoell, (619) 750-4833</v>
      </c>
      <c r="P517" t="str">
        <f ca="1">IFERROR(__xludf.DUMMYFUNCTION("""COMPUTED_VALUE"""),"Tanner")</f>
        <v>Tanner</v>
      </c>
      <c r="Q517" t="str">
        <f ca="1">IFERROR(__xludf.DUMMYFUNCTION("""COMPUTED_VALUE"""),"All items in working order")</f>
        <v>All items in working order</v>
      </c>
      <c r="AE517" s="11"/>
      <c r="AF517" t="str">
        <v>Nikki.Dix@floridadep.gov</v>
      </c>
      <c r="AG517" s="17" t="s">
        <v>41</v>
      </c>
      <c r="AH517" s="12">
        <v>1251</v>
      </c>
      <c r="AI517" s="12" t="s">
        <v>1502</v>
      </c>
      <c r="AJ517" s="19" t="s">
        <v>1503</v>
      </c>
      <c r="AK517" s="20" t="str">
        <f>HYPERLINK("https://docs.google.com/document/d/1FKui5boxPY6pfdmYNthCze8TyBroadTSUwD9x_BkpMc/edit?usp=drivesdk","Silas Tanner - 6/2/2020 7:10 AM")</f>
        <v>Silas Tanner - 6/2/2020 7:10 AM</v>
      </c>
      <c r="AL517" s="12" t="s">
        <v>1504</v>
      </c>
    </row>
    <row r="518" spans="1:38" ht="12.75">
      <c r="A518" s="10">
        <f ca="1">IFERROR(__xludf.DUMMYFUNCTION("""COMPUTED_VALUE"""),43985.348587199)</f>
        <v>43985.348587198998</v>
      </c>
      <c r="B518" s="11" t="str">
        <f ca="1">IFERROR(__xludf.DUMMYFUNCTION("""COMPUTED_VALUE"""),"Shannon Dunnigan")</f>
        <v>Shannon Dunnigan</v>
      </c>
      <c r="C518" t="str">
        <f ca="1">IFERROR(__xludf.DUMMYFUNCTION("""COMPUTED_VALUE"""),"shannon.dunnigan@floridadep.gov")</f>
        <v>shannon.dunnigan@floridadep.gov</v>
      </c>
      <c r="D518" t="str">
        <f ca="1">IFERROR(__xludf.DUMMYFUNCTION("""COMPUTED_VALUE"""),"Research/Nikki")</f>
        <v>Research/Nikki</v>
      </c>
      <c r="E518" t="str">
        <f ca="1">IFERROR(__xludf.DUMMYFUNCTION("""COMPUTED_VALUE"""),"Guana")</f>
        <v>Guana</v>
      </c>
      <c r="F518" s="13">
        <f ca="1">IFERROR(__xludf.DUMMYFUNCTION("""COMPUTED_VALUE"""),0.347222222222626)</f>
        <v>0.347222222222626</v>
      </c>
      <c r="G518" s="14">
        <f ca="1">IFERROR(__xludf.DUMMYFUNCTION("""COMPUTED_VALUE"""),43985)</f>
        <v>43985</v>
      </c>
      <c r="H518" t="str">
        <f ca="1">IFERROR(__xludf.DUMMYFUNCTION("""COMPUTED_VALUE"""),"Guana river ")</f>
        <v xml:space="preserve">Guana river </v>
      </c>
      <c r="I518" s="15">
        <f ca="1">IFERROR(__xludf.DUMMYFUNCTION("""COMPUTED_VALUE"""),0.4375)</f>
        <v>0.4375</v>
      </c>
      <c r="J518" s="16">
        <f ca="1">IFERROR(__xludf.DUMMYFUNCTION("""COMPUTED_VALUE"""),43985.4583333333)</f>
        <v>43985.458333333299</v>
      </c>
      <c r="K518" t="str">
        <f ca="1">IFERROR(__xludf.DUMMYFUNCTION("""COMPUTED_VALUE"""),"Jonboat FL5992RR")</f>
        <v>Jonboat FL5992RR</v>
      </c>
      <c r="M518" t="str">
        <f ca="1">IFERROR(__xludf.DUMMYFUNCTION("""COMPUTED_VALUE"""),"Ford F250 2017 (Moby Dix) - DEP0021578")</f>
        <v>Ford F250 2017 (Moby Dix) - DEP0021578</v>
      </c>
      <c r="N518" t="str">
        <f ca="1">IFERROR(__xludf.DUMMYFUNCTION("""COMPUTED_VALUE"""),"Shannon Dunnigan, (803) 727-5734")</f>
        <v>Shannon Dunnigan, (803) 727-5734</v>
      </c>
      <c r="O518" t="str">
        <f ca="1">IFERROR(__xludf.DUMMYFUNCTION("""COMPUTED_VALUE"""),"Jessica Lee")</f>
        <v>Jessica Lee</v>
      </c>
      <c r="P518" t="str">
        <f ca="1">IFERROR(__xludf.DUMMYFUNCTION("""COMPUTED_VALUE"""),"Shannon")</f>
        <v>Shannon</v>
      </c>
      <c r="Q518" t="str">
        <f ca="1">IFERROR(__xludf.DUMMYFUNCTION("""COMPUTED_VALUE"""),"All items in working order")</f>
        <v>All items in working order</v>
      </c>
      <c r="AE518" s="11"/>
      <c r="AF518" t="str">
        <v>Nikki.Dix@floridadep.gov</v>
      </c>
      <c r="AG518" s="17" t="s">
        <v>41</v>
      </c>
      <c r="AH518" s="12">
        <v>945</v>
      </c>
      <c r="AI518" s="12" t="s">
        <v>1505</v>
      </c>
      <c r="AJ518" s="19" t="s">
        <v>1506</v>
      </c>
      <c r="AK518" s="20" t="str">
        <f>HYPERLINK("https://docs.google.com/document/d/1YX75KOVPU6rdPBgbPB-1WHfNjmb2BsEEb3dUR5-WNS8/edit?usp=drivesdk","Shannon Dunnigan - 6/3/2020 8:20 AM")</f>
        <v>Shannon Dunnigan - 6/3/2020 8:20 AM</v>
      </c>
      <c r="AL518" s="12" t="s">
        <v>1507</v>
      </c>
    </row>
    <row r="519" spans="1:38" ht="12.75">
      <c r="A519" s="10">
        <f ca="1">IFERROR(__xludf.DUMMYFUNCTION("""COMPUTED_VALUE"""),43985.3767700463)</f>
        <v>43985.376770046299</v>
      </c>
      <c r="B519" s="11" t="str">
        <f ca="1">IFERROR(__xludf.DUMMYFUNCTION("""COMPUTED_VALUE"""),"Pamela Marcum")</f>
        <v>Pamela Marcum</v>
      </c>
      <c r="C519" t="str">
        <f ca="1">IFERROR(__xludf.DUMMYFUNCTION("""COMPUTED_VALUE"""),"Pamela.Marcum@FloridaDEP.gov")</f>
        <v>Pamela.Marcum@FloridaDEP.gov</v>
      </c>
      <c r="D519" t="str">
        <f ca="1">IFERROR(__xludf.DUMMYFUNCTION("""COMPUTED_VALUE"""),"Research/Nikki")</f>
        <v>Research/Nikki</v>
      </c>
      <c r="E519" t="str">
        <f ca="1">IFERROR(__xludf.DUMMYFUNCTION("""COMPUTED_VALUE"""),"Shore Dr/Crane Park")</f>
        <v>Shore Dr/Crane Park</v>
      </c>
      <c r="F519" s="13">
        <f ca="1">IFERROR(__xludf.DUMMYFUNCTION("""COMPUTED_VALUE"""),0.416666666667879)</f>
        <v>0.41666666666787899</v>
      </c>
      <c r="G519" s="14">
        <f ca="1">IFERROR(__xludf.DUMMYFUNCTION("""COMPUTED_VALUE"""),43985)</f>
        <v>43985</v>
      </c>
      <c r="H519" t="str">
        <f ca="1">IFERROR(__xludf.DUMMYFUNCTION("""COMPUTED_VALUE"""),"Site 22 &amp; Gabby's Creek")</f>
        <v>Site 22 &amp; Gabby's Creek</v>
      </c>
      <c r="I519" s="15">
        <f ca="1">IFERROR(__xludf.DUMMYFUNCTION("""COMPUTED_VALUE"""),0.70833333333212)</f>
        <v>0.70833333333212001</v>
      </c>
      <c r="J519" s="16">
        <f ca="1">IFERROR(__xludf.DUMMYFUNCTION("""COMPUTED_VALUE"""),43985.7291666666)</f>
        <v>43985.729166666599</v>
      </c>
      <c r="K519" t="str">
        <f ca="1">IFERROR(__xludf.DUMMYFUNCTION("""COMPUTED_VALUE"""),"20ft Sea Ark FL5351SJ UNF 2015")</f>
        <v>20ft Sea Ark FL5351SJ UNF 2015</v>
      </c>
      <c r="M519" t="str">
        <f ca="1">IFERROR(__xludf.DUMMYFUNCTION("""COMPUTED_VALUE"""),"Ford F150 2015 (White) - DEP21448")</f>
        <v>Ford F150 2015 (White) - DEP21448</v>
      </c>
      <c r="N519" t="str">
        <f ca="1">IFERROR(__xludf.DUMMYFUNCTION("""COMPUTED_VALUE"""),"Pam Marcum, (480) 332-5414")</f>
        <v>Pam Marcum, (480) 332-5414</v>
      </c>
      <c r="O519" t="str">
        <f ca="1">IFERROR(__xludf.DUMMYFUNCTION("""COMPUTED_VALUE"""),"Alee Knoell, (619) 750-4833")</f>
        <v>Alee Knoell, (619) 750-4833</v>
      </c>
      <c r="P519" t="str">
        <f ca="1">IFERROR(__xludf.DUMMYFUNCTION("""COMPUTED_VALUE"""),"Pam")</f>
        <v>Pam</v>
      </c>
      <c r="Q519" t="str">
        <f ca="1">IFERROR(__xludf.DUMMYFUNCTION("""COMPUTED_VALUE"""),"All items in working order")</f>
        <v>All items in working order</v>
      </c>
      <c r="AE519" s="11"/>
      <c r="AF519" t="str">
        <v>Nikki.Dix@floridadep.gov</v>
      </c>
      <c r="AG519" s="17" t="s">
        <v>41</v>
      </c>
      <c r="AH519" s="12">
        <v>1758</v>
      </c>
      <c r="AI519" s="12" t="s">
        <v>1508</v>
      </c>
      <c r="AJ519" s="19" t="s">
        <v>1509</v>
      </c>
      <c r="AK519" s="20" t="str">
        <f>HYPERLINK("https://docs.google.com/document/d/1Fuxke1GPjmZmDti8kKZfOZoBG-lB5O6fQPlKVYK6pdI/edit?usp=drivesdk","Pamela Marcum - 6/3/2020 10:00 AM")</f>
        <v>Pamela Marcum - 6/3/2020 10:00 AM</v>
      </c>
      <c r="AL519" s="12" t="s">
        <v>1510</v>
      </c>
    </row>
    <row r="520" spans="1:38" ht="12.75">
      <c r="A520" s="10">
        <f ca="1">IFERROR(__xludf.DUMMYFUNCTION("""COMPUTED_VALUE"""),43994.3699978009)</f>
        <v>43994.369997800903</v>
      </c>
      <c r="B520" s="11" t="str">
        <f ca="1">IFERROR(__xludf.DUMMYFUNCTION("""COMPUTED_VALUE"""),"Gabriela Canas")</f>
        <v>Gabriela Canas</v>
      </c>
      <c r="C520" t="str">
        <f ca="1">IFERROR(__xludf.DUMMYFUNCTION("""COMPUTED_VALUE"""),"n00836133@unf.edu")</f>
        <v>n00836133@unf.edu</v>
      </c>
      <c r="D520" t="str">
        <f ca="1">IFERROR(__xludf.DUMMYFUNCTION("""COMPUTED_VALUE"""),"Research/Nikki")</f>
        <v>Research/Nikki</v>
      </c>
      <c r="E520" t="str">
        <f ca="1">IFERROR(__xludf.DUMMYFUNCTION("""COMPUTED_VALUE"""),"Douglas crane")</f>
        <v>Douglas crane</v>
      </c>
      <c r="F520" s="13">
        <f ca="1">IFERROR(__xludf.DUMMYFUNCTION("""COMPUTED_VALUE"""),0.354166666667879)</f>
        <v>0.35416666666787899</v>
      </c>
      <c r="G520" s="14">
        <f ca="1">IFERROR(__xludf.DUMMYFUNCTION("""COMPUTED_VALUE"""),43994)</f>
        <v>43994</v>
      </c>
      <c r="H520" t="str">
        <f ca="1">IFERROR(__xludf.DUMMYFUNCTION("""COMPUTED_VALUE"""),"Wet feet middle site")</f>
        <v>Wet feet middle site</v>
      </c>
      <c r="I520" s="15">
        <f ca="1">IFERROR(__xludf.DUMMYFUNCTION("""COMPUTED_VALUE"""),0.604166666667879)</f>
        <v>0.60416666666787899</v>
      </c>
      <c r="J520" s="16">
        <f ca="1">IFERROR(__xludf.DUMMYFUNCTION("""COMPUTED_VALUE"""),43994.1666666666)</f>
        <v>43994.166666666599</v>
      </c>
      <c r="K520" t="str">
        <f ca="1">IFERROR(__xludf.DUMMYFUNCTION("""COMPUTED_VALUE"""),"20ft Sea Ark FL5351SJ UNF 2015")</f>
        <v>20ft Sea Ark FL5351SJ UNF 2015</v>
      </c>
      <c r="M520" t="str">
        <f ca="1">IFERROR(__xludf.DUMMYFUNCTION("""COMPUTED_VALUE"""),"Ford F150 2015 (White) - DEP21448")</f>
        <v>Ford F150 2015 (White) - DEP21448</v>
      </c>
      <c r="N520" t="str">
        <f ca="1">IFERROR(__xludf.DUMMYFUNCTION("""COMPUTED_VALUE"""),"Pam Marcum, (480) 332-5414")</f>
        <v>Pam Marcum, (480) 332-5414</v>
      </c>
      <c r="O520" t="str">
        <f ca="1">IFERROR(__xludf.DUMMYFUNCTION("""COMPUTED_VALUE"""),"Gabriela Canas, (904) 891-9743")</f>
        <v>Gabriela Canas, (904) 891-9743</v>
      </c>
      <c r="P520" t="str">
        <f ca="1">IFERROR(__xludf.DUMMYFUNCTION("""COMPUTED_VALUE"""),"Pam")</f>
        <v>Pam</v>
      </c>
      <c r="Q520" t="str">
        <f ca="1">IFERROR(__xludf.DUMMYFUNCTION("""COMPUTED_VALUE"""),"All items in working order")</f>
        <v>All items in working order</v>
      </c>
      <c r="AE520" s="11"/>
      <c r="AF520" t="str">
        <v>Nikki.Dix@floridadep.gov</v>
      </c>
      <c r="AG520" s="17" t="s">
        <v>41</v>
      </c>
      <c r="AH520" s="12">
        <v>1645</v>
      </c>
      <c r="AI520" s="12" t="s">
        <v>1511</v>
      </c>
      <c r="AJ520" s="19" t="s">
        <v>1512</v>
      </c>
      <c r="AK520" s="20" t="str">
        <f>HYPERLINK("https://docs.google.com/document/d/1xSdsO7dggDnMOeFIiLazDilZ_Y5BHrvlys2M7MHoxh8/edit?usp=drivesdk","Gabriela Canas - 6/12/2020 8:30 AM")</f>
        <v>Gabriela Canas - 6/12/2020 8:30 AM</v>
      </c>
      <c r="AL520" s="12" t="s">
        <v>1513</v>
      </c>
    </row>
    <row r="521" spans="1:38" ht="12.75">
      <c r="A521" s="10">
        <f ca="1">IFERROR(__xludf.DUMMYFUNCTION("""COMPUTED_VALUE"""),43995.2809857175)</f>
        <v>43995.280985717502</v>
      </c>
      <c r="B521" s="11" t="str">
        <f ca="1">IFERROR(__xludf.DUMMYFUNCTION("""COMPUTED_VALUE"""),"Gabriela Canas")</f>
        <v>Gabriela Canas</v>
      </c>
      <c r="C521" t="str">
        <f ca="1">IFERROR(__xludf.DUMMYFUNCTION("""COMPUTED_VALUE"""),"n00836133@unf.edu")</f>
        <v>n00836133@unf.edu</v>
      </c>
      <c r="D521" t="str">
        <f ca="1">IFERROR(__xludf.DUMMYFUNCTION("""COMPUTED_VALUE"""),"Research/Nikki")</f>
        <v>Research/Nikki</v>
      </c>
      <c r="E521" t="str">
        <f ca="1">IFERROR(__xludf.DUMMYFUNCTION("""COMPUTED_VALUE"""),"Douglas crane")</f>
        <v>Douglas crane</v>
      </c>
      <c r="F521" s="13">
        <f ca="1">IFERROR(__xludf.DUMMYFUNCTION("""COMPUTED_VALUE"""),0.354166666667879)</f>
        <v>0.35416666666787899</v>
      </c>
      <c r="G521" s="14">
        <f ca="1">IFERROR(__xludf.DUMMYFUNCTION("""COMPUTED_VALUE"""),43994)</f>
        <v>43994</v>
      </c>
      <c r="H521" t="str">
        <f ca="1">IFERROR(__xludf.DUMMYFUNCTION("""COMPUTED_VALUE"""),"Wet feet middle site")</f>
        <v>Wet feet middle site</v>
      </c>
      <c r="I521" s="15">
        <f ca="1">IFERROR(__xludf.DUMMYFUNCTION("""COMPUTED_VALUE"""),0.604166666667879)</f>
        <v>0.60416666666787899</v>
      </c>
      <c r="J521" s="16">
        <f ca="1">IFERROR(__xludf.DUMMYFUNCTION("""COMPUTED_VALUE"""),43994.1666666666)</f>
        <v>43994.166666666599</v>
      </c>
      <c r="K521" t="str">
        <f ca="1">IFERROR(__xludf.DUMMYFUNCTION("""COMPUTED_VALUE"""),"20ft Sea Ark FL5351SJ UNF 2015")</f>
        <v>20ft Sea Ark FL5351SJ UNF 2015</v>
      </c>
      <c r="M521" t="str">
        <f ca="1">IFERROR(__xludf.DUMMYFUNCTION("""COMPUTED_VALUE"""),"Ford F150 2015 (White) - DEP21448")</f>
        <v>Ford F150 2015 (White) - DEP21448</v>
      </c>
      <c r="N521" t="str">
        <f ca="1">IFERROR(__xludf.DUMMYFUNCTION("""COMPUTED_VALUE"""),"Pam Marcum, (480) 332-5414")</f>
        <v>Pam Marcum, (480) 332-5414</v>
      </c>
      <c r="O521" t="str">
        <f ca="1">IFERROR(__xludf.DUMMYFUNCTION("""COMPUTED_VALUE"""),"Gabriela Canas, (904) 891-9743")</f>
        <v>Gabriela Canas, (904) 891-9743</v>
      </c>
      <c r="P521" t="str">
        <f ca="1">IFERROR(__xludf.DUMMYFUNCTION("""COMPUTED_VALUE"""),"Pam")</f>
        <v>Pam</v>
      </c>
      <c r="Q521" t="str">
        <f ca="1">IFERROR(__xludf.DUMMYFUNCTION("""COMPUTED_VALUE"""),"All items in working order")</f>
        <v>All items in working order</v>
      </c>
      <c r="AE521" s="11"/>
      <c r="AF521" t="str">
        <v>Nikki.Dix@floridadep.gov</v>
      </c>
      <c r="AG521" s="12" t="s">
        <v>54</v>
      </c>
      <c r="AH521" s="12" t="s">
        <v>54</v>
      </c>
      <c r="AI521" s="12" t="s">
        <v>1514</v>
      </c>
      <c r="AJ521" s="19" t="s">
        <v>1515</v>
      </c>
      <c r="AK521" s="20" t="str">
        <f>HYPERLINK("https://docs.google.com/document/d/1mPnOS7jC8kvI2BlgVe8wKc6eNG8V-sYOC5x1OCtyzH4/edit?usp=drivesdk","Gabriela Canas - 6/12/2020 8:30 AM")</f>
        <v>Gabriela Canas - 6/12/2020 8:30 AM</v>
      </c>
      <c r="AL521" s="12" t="s">
        <v>1516</v>
      </c>
    </row>
    <row r="522" spans="1:38" ht="12.75">
      <c r="A522" s="10">
        <f ca="1">IFERROR(__xludf.DUMMYFUNCTION("""COMPUTED_VALUE"""),43998.4899161226)</f>
        <v>43998.489916122599</v>
      </c>
      <c r="B522" s="11" t="str">
        <f ca="1">IFERROR(__xludf.DUMMYFUNCTION("""COMPUTED_VALUE"""),"Pam Marcum")</f>
        <v>Pam Marcum</v>
      </c>
      <c r="C522" t="str">
        <f ca="1">IFERROR(__xludf.DUMMYFUNCTION("""COMPUTED_VALUE"""),"pamela.marcum@floridadep.gov")</f>
        <v>pamela.marcum@floridadep.gov</v>
      </c>
      <c r="D522" t="str">
        <f ca="1">IFERROR(__xludf.DUMMYFUNCTION("""COMPUTED_VALUE"""),"Research/Nikki")</f>
        <v>Research/Nikki</v>
      </c>
      <c r="E522" t="str">
        <f ca="1">IFERROR(__xludf.DUMMYFUNCTION("""COMPUTED_VALUE"""),"Faver-Dykes")</f>
        <v>Faver-Dykes</v>
      </c>
      <c r="F522" s="13">
        <f ca="1">IFERROR(__xludf.DUMMYFUNCTION("""COMPUTED_VALUE"""),0.479166666667879)</f>
        <v>0.47916666666787899</v>
      </c>
      <c r="G522" s="14">
        <f ca="1">IFERROR(__xludf.DUMMYFUNCTION("""COMPUTED_VALUE"""),43998)</f>
        <v>43998</v>
      </c>
      <c r="H522" t="str">
        <f ca="1">IFERROR(__xludf.DUMMYFUNCTION("""COMPUTED_VALUE"""),"Pellicer transects: mouth, mid, fresh")</f>
        <v>Pellicer transects: mouth, mid, fresh</v>
      </c>
      <c r="I522" s="15">
        <f ca="1">IFERROR(__xludf.DUMMYFUNCTION("""COMPUTED_VALUE"""),0.58333333333212)</f>
        <v>0.58333333333212001</v>
      </c>
      <c r="J522" s="16">
        <f ca="1">IFERROR(__xludf.DUMMYFUNCTION("""COMPUTED_VALUE"""),43998.625)</f>
        <v>43998.625</v>
      </c>
      <c r="K522" t="str">
        <f ca="1">IFERROR(__xludf.DUMMYFUNCTION("""COMPUTED_VALUE"""),"20ft Sea Ark FL5351SJ UNF 2015")</f>
        <v>20ft Sea Ark FL5351SJ UNF 2015</v>
      </c>
      <c r="M522" t="str">
        <f ca="1">IFERROR(__xludf.DUMMYFUNCTION("""COMPUTED_VALUE"""),"Ford F150 2015 (White) - DEP21448")</f>
        <v>Ford F150 2015 (White) - DEP21448</v>
      </c>
      <c r="N522" t="str">
        <f ca="1">IFERROR(__xludf.DUMMYFUNCTION("""COMPUTED_VALUE"""),"Pam Marcum, (480) 332-5414")</f>
        <v>Pam Marcum, (480) 332-5414</v>
      </c>
      <c r="O522" t="str">
        <f ca="1">IFERROR(__xludf.DUMMYFUNCTION("""COMPUTED_VALUE"""),"Alee Knoell, (619) 750-4833")</f>
        <v>Alee Knoell, (619) 750-4833</v>
      </c>
      <c r="P522" t="str">
        <f ca="1">IFERROR(__xludf.DUMMYFUNCTION("""COMPUTED_VALUE"""),"Pam")</f>
        <v>Pam</v>
      </c>
      <c r="Q522" t="str">
        <f ca="1">IFERROR(__xludf.DUMMYFUNCTION("""COMPUTED_VALUE"""),"All items in working order")</f>
        <v>All items in working order</v>
      </c>
      <c r="AE522" s="11"/>
      <c r="AF522" t="str">
        <v>Nikki.Dix@floridadep.gov</v>
      </c>
      <c r="AG522" s="17" t="s">
        <v>41</v>
      </c>
      <c r="AH522" s="12">
        <v>1400</v>
      </c>
      <c r="AI522" s="12" t="s">
        <v>1517</v>
      </c>
      <c r="AJ522" s="19" t="s">
        <v>1518</v>
      </c>
      <c r="AK522" s="20" t="str">
        <f>HYPERLINK("https://docs.google.com/document/d/1dTyYrnhwQjAX3sMStPl1AF6LrKuibSwBLYE9k-OH3q8/edit?usp=drivesdk","Pam Marcum - 6/16/2020 11:30 AM")</f>
        <v>Pam Marcum - 6/16/2020 11:30 AM</v>
      </c>
      <c r="AL522" s="12" t="s">
        <v>1519</v>
      </c>
    </row>
    <row r="523" spans="1:38" ht="12.75">
      <c r="A523" s="10">
        <f ca="1">IFERROR(__xludf.DUMMYFUNCTION("""COMPUTED_VALUE"""),43999.2980317708)</f>
        <v>43999.298031770799</v>
      </c>
      <c r="B523" s="11" t="str">
        <f ca="1">IFERROR(__xludf.DUMMYFUNCTION("""COMPUTED_VALUE"""),"Silas Tanner")</f>
        <v>Silas Tanner</v>
      </c>
      <c r="C523" t="str">
        <f ca="1">IFERROR(__xludf.DUMMYFUNCTION("""COMPUTED_VALUE"""),"silas.tanner@floridadep.gov")</f>
        <v>silas.tanner@floridadep.gov</v>
      </c>
      <c r="D523" t="str">
        <f ca="1">IFERROR(__xludf.DUMMYFUNCTION("""COMPUTED_VALUE"""),"Research/Nikki")</f>
        <v>Research/Nikki</v>
      </c>
      <c r="E523" t="str">
        <f ca="1">IFERROR(__xludf.DUMMYFUNCTION("""COMPUTED_VALUE"""),"Vilano Landing")</f>
        <v>Vilano Landing</v>
      </c>
      <c r="F523" s="13">
        <f ca="1">IFERROR(__xludf.DUMMYFUNCTION("""COMPUTED_VALUE"""),0.322916666667879)</f>
        <v>0.32291666666787899</v>
      </c>
      <c r="G523" s="14">
        <f ca="1">IFERROR(__xludf.DUMMYFUNCTION("""COMPUTED_VALUE"""),43999)</f>
        <v>43999</v>
      </c>
      <c r="H523" t="str">
        <f ca="1">IFERROR(__xludf.DUMMYFUNCTION("""COMPUTED_VALUE"""),"ICW SWMP sites")</f>
        <v>ICW SWMP sites</v>
      </c>
      <c r="I523" s="15">
        <f ca="1">IFERROR(__xludf.DUMMYFUNCTION("""COMPUTED_VALUE"""),0.604166666667879)</f>
        <v>0.60416666666787899</v>
      </c>
      <c r="J523" s="16">
        <f ca="1">IFERROR(__xludf.DUMMYFUNCTION("""COMPUTED_VALUE"""),43999.7048611111)</f>
        <v>43999.704861111102</v>
      </c>
      <c r="K523" t="str">
        <f ca="1">IFERROR(__xludf.DUMMYFUNCTION("""COMPUTED_VALUE"""),"F 20ft Sea Ark (Easy 200) FL8534PY DEP21451")</f>
        <v>F 20ft Sea Ark (Easy 200) FL8534PY DEP21451</v>
      </c>
      <c r="M523" t="str">
        <f ca="1">IFERROR(__xludf.DUMMYFUNCTION("""COMPUTED_VALUE"""),"Ford F250 2017 (Moby Dix) - DEP0021578")</f>
        <v>Ford F250 2017 (Moby Dix) - DEP0021578</v>
      </c>
      <c r="N523" t="str">
        <f ca="1">IFERROR(__xludf.DUMMYFUNCTION("""COMPUTED_VALUE"""),"Shannon Dunnigan, (803) 727-5734, Silas Tanner, (904) 483-8423")</f>
        <v>Shannon Dunnigan, (803) 727-5734, Silas Tanner, (904) 483-8423</v>
      </c>
      <c r="P523" t="str">
        <f ca="1">IFERROR(__xludf.DUMMYFUNCTION("""COMPUTED_VALUE"""),"S. Tanner")</f>
        <v>S. Tanner</v>
      </c>
      <c r="Q523" t="str">
        <f ca="1">IFERROR(__xludf.DUMMYFUNCTION("""COMPUTED_VALUE"""),"All items in working order")</f>
        <v>All items in working order</v>
      </c>
      <c r="AE523" s="11"/>
      <c r="AF523" t="str">
        <v>Nikki.Dix@floridadep.gov</v>
      </c>
      <c r="AG523" s="17" t="s">
        <v>41</v>
      </c>
      <c r="AH523" s="12">
        <v>1225</v>
      </c>
      <c r="AI523" s="12" t="s">
        <v>1520</v>
      </c>
      <c r="AJ523" s="19" t="s">
        <v>1521</v>
      </c>
      <c r="AK523" s="20" t="str">
        <f>HYPERLINK("https://docs.google.com/document/d/1Dt-ZmkYh9sJc_5nz2kHJYETzZcNnYCNSEdUHBi5zbLk/edit?usp=drivesdk","Silas Tanner - 6/17/2020 7:45 AM")</f>
        <v>Silas Tanner - 6/17/2020 7:45 AM</v>
      </c>
      <c r="AL523" s="12" t="s">
        <v>1522</v>
      </c>
    </row>
    <row r="524" spans="1:38" ht="12.75">
      <c r="A524" s="10">
        <f ca="1">IFERROR(__xludf.DUMMYFUNCTION("""COMPUTED_VALUE"""),43999.302523831)</f>
        <v>43999.302523831</v>
      </c>
      <c r="B524" s="11" t="str">
        <f ca="1">IFERROR(__xludf.DUMMYFUNCTION("""COMPUTED_VALUE"""),"Jessica Lee")</f>
        <v>Jessica Lee</v>
      </c>
      <c r="C524" t="str">
        <f ca="1">IFERROR(__xludf.DUMMYFUNCTION("""COMPUTED_VALUE"""),"jessica.lee@floridadep.com")</f>
        <v>jessica.lee@floridadep.com</v>
      </c>
      <c r="D524" t="str">
        <f ca="1">IFERROR(__xludf.DUMMYFUNCTION("""COMPUTED_VALUE"""),"Research/Shannon")</f>
        <v>Research/Shannon</v>
      </c>
      <c r="E524" t="str">
        <f ca="1">IFERROR(__xludf.DUMMYFUNCTION("""COMPUTED_VALUE"""),"Guana")</f>
        <v>Guana</v>
      </c>
      <c r="F524" s="13">
        <f ca="1">IFERROR(__xludf.DUMMYFUNCTION("""COMPUTED_VALUE"""),0.30208333333212)</f>
        <v>0.30208333333212001</v>
      </c>
      <c r="G524" s="14">
        <f ca="1">IFERROR(__xludf.DUMMYFUNCTION("""COMPUTED_VALUE"""),43999)</f>
        <v>43999</v>
      </c>
      <c r="H524" t="str">
        <f ca="1">IFERROR(__xludf.DUMMYFUNCTION("""COMPUTED_VALUE"""),"Guana River")</f>
        <v>Guana River</v>
      </c>
      <c r="I524" s="15">
        <f ca="1">IFERROR(__xludf.DUMMYFUNCTION("""COMPUTED_VALUE"""),0.375)</f>
        <v>0.375</v>
      </c>
      <c r="J524" s="16">
        <f ca="1">IFERROR(__xludf.DUMMYFUNCTION("""COMPUTED_VALUE"""),43999.3854166666)</f>
        <v>43999.385416666599</v>
      </c>
      <c r="K524" t="str">
        <f ca="1">IFERROR(__xludf.DUMMYFUNCTION("""COMPUTED_VALUE"""),"Jon Boat FL0484NP DEP06819")</f>
        <v>Jon Boat FL0484NP DEP06819</v>
      </c>
      <c r="M524" t="str">
        <f ca="1">IFERROR(__xludf.DUMMYFUNCTION("""COMPUTED_VALUE"""),"Topper")</f>
        <v>Topper</v>
      </c>
      <c r="N524" t="str">
        <f ca="1">IFERROR(__xludf.DUMMYFUNCTION("""COMPUTED_VALUE"""),"Nikki Dix, (352) 219-4079")</f>
        <v>Nikki Dix, (352) 219-4079</v>
      </c>
      <c r="P524" t="str">
        <f ca="1">IFERROR(__xludf.DUMMYFUNCTION("""COMPUTED_VALUE"""),"Nikki")</f>
        <v>Nikki</v>
      </c>
      <c r="Q524" t="str">
        <f ca="1">IFERROR(__xludf.DUMMYFUNCTION("""COMPUTED_VALUE"""),"All items in working order")</f>
        <v>All items in working order</v>
      </c>
      <c r="AE524" s="11"/>
      <c r="AF524" t="str">
        <v>Shannon.Dunnigan@floridadep.gov</v>
      </c>
      <c r="AG524" s="17" t="s">
        <v>639</v>
      </c>
      <c r="AH524" s="12">
        <v>840</v>
      </c>
      <c r="AI524" s="12" t="s">
        <v>1523</v>
      </c>
      <c r="AJ524" s="19" t="s">
        <v>1524</v>
      </c>
      <c r="AK524" s="20" t="str">
        <f>HYPERLINK("https://docs.google.com/document/d/1309XjGptEng1kObv6mfBGIue6lck8JxZZAAQB143m_Y/edit?usp=drivesdk","Jessica Lee - 6/17/2020 7:15 AM")</f>
        <v>Jessica Lee - 6/17/2020 7:15 AM</v>
      </c>
      <c r="AL524" s="12" t="s">
        <v>1525</v>
      </c>
    </row>
    <row r="525" spans="1:38" ht="12.75">
      <c r="A525" s="10">
        <f ca="1">IFERROR(__xludf.DUMMYFUNCTION("""COMPUTED_VALUE"""),43999.4331138888)</f>
        <v>43999.433113888801</v>
      </c>
      <c r="B525" s="11" t="str">
        <f ca="1">IFERROR(__xludf.DUMMYFUNCTION("""COMPUTED_VALUE"""),"Pam Marcum")</f>
        <v>Pam Marcum</v>
      </c>
      <c r="C525" t="str">
        <f ca="1">IFERROR(__xludf.DUMMYFUNCTION("""COMPUTED_VALUE"""),"pamela.marcum@floridadep.gov")</f>
        <v>pamela.marcum@floridadep.gov</v>
      </c>
      <c r="D525" t="str">
        <f ca="1">IFERROR(__xludf.DUMMYFUNCTION("""COMPUTED_VALUE"""),"Research/Nikki")</f>
        <v>Research/Nikki</v>
      </c>
      <c r="E525" t="str">
        <f ca="1">IFERROR(__xludf.DUMMYFUNCTION("""COMPUTED_VALUE"""),"Faver-dykes")</f>
        <v>Faver-dykes</v>
      </c>
      <c r="F525" s="13">
        <f ca="1">IFERROR(__xludf.DUMMYFUNCTION("""COMPUTED_VALUE"""),0.42708333333212)</f>
        <v>0.42708333333212001</v>
      </c>
      <c r="G525" s="14">
        <f ca="1">IFERROR(__xludf.DUMMYFUNCTION("""COMPUTED_VALUE"""),43999)</f>
        <v>43999</v>
      </c>
      <c r="H525" t="str">
        <f ca="1">IFERROR(__xludf.DUMMYFUNCTION("""COMPUTED_VALUE"""),"Upper PC transect")</f>
        <v>Upper PC transect</v>
      </c>
      <c r="I525" s="15">
        <f ca="1">IFERROR(__xludf.DUMMYFUNCTION("""COMPUTED_VALUE"""),0.541666666667879)</f>
        <v>0.54166666666787899</v>
      </c>
      <c r="J525" s="16">
        <f ca="1">IFERROR(__xludf.DUMMYFUNCTION("""COMPUTED_VALUE"""),43999.5416666666)</f>
        <v>43999.541666666599</v>
      </c>
      <c r="K525" t="str">
        <f ca="1">IFERROR(__xludf.DUMMYFUNCTION("""COMPUTED_VALUE"""),"20ft Sea Ark FL5351SJ UNF 2015")</f>
        <v>20ft Sea Ark FL5351SJ UNF 2015</v>
      </c>
      <c r="M525" t="str">
        <f ca="1">IFERROR(__xludf.DUMMYFUNCTION("""COMPUTED_VALUE"""),"Ford F150 2015 (White) - DEP21448")</f>
        <v>Ford F150 2015 (White) - DEP21448</v>
      </c>
      <c r="N525" t="str">
        <f ca="1">IFERROR(__xludf.DUMMYFUNCTION("""COMPUTED_VALUE"""),"Pam Marcum, (480) 332-5414")</f>
        <v>Pam Marcum, (480) 332-5414</v>
      </c>
      <c r="O525" t="str">
        <f ca="1">IFERROR(__xludf.DUMMYFUNCTION("""COMPUTED_VALUE"""),"Erick Rivuelta")</f>
        <v>Erick Rivuelta</v>
      </c>
      <c r="P525" t="str">
        <f ca="1">IFERROR(__xludf.DUMMYFUNCTION("""COMPUTED_VALUE"""),"Pam")</f>
        <v>Pam</v>
      </c>
      <c r="Q525" t="str">
        <f ca="1">IFERROR(__xludf.DUMMYFUNCTION("""COMPUTED_VALUE"""),"All items in working order")</f>
        <v>All items in working order</v>
      </c>
      <c r="AE525" s="11"/>
      <c r="AF525" t="str">
        <v>Nikki.Dix@floridadep.gov</v>
      </c>
      <c r="AG525" s="17" t="s">
        <v>41</v>
      </c>
      <c r="AH525" s="12">
        <v>1420</v>
      </c>
      <c r="AI525" s="12" t="s">
        <v>1526</v>
      </c>
      <c r="AJ525" s="19" t="s">
        <v>1527</v>
      </c>
      <c r="AK525" s="20" t="str">
        <f>HYPERLINK("https://docs.google.com/document/d/1OnbxaTXeSky7m3PTiGynbpPIuXLU4Lrrsd-orTI5bB4/edit?usp=drivesdk","Pam Marcum - 6/17/2020 10:15 AM")</f>
        <v>Pam Marcum - 6/17/2020 10:15 AM</v>
      </c>
      <c r="AL525" s="12" t="s">
        <v>1528</v>
      </c>
    </row>
    <row r="526" spans="1:38" ht="12.75">
      <c r="A526" s="10">
        <f ca="1">IFERROR(__xludf.DUMMYFUNCTION("""COMPUTED_VALUE"""),43999.6362873263)</f>
        <v>43999.636287326299</v>
      </c>
      <c r="B526" s="11" t="str">
        <f ca="1">IFERROR(__xludf.DUMMYFUNCTION("""COMPUTED_VALUE"""),"Pam Marcum")</f>
        <v>Pam Marcum</v>
      </c>
      <c r="C526" t="str">
        <f ca="1">IFERROR(__xludf.DUMMYFUNCTION("""COMPUTED_VALUE"""),"pamela.marcum@floridadep.gov")</f>
        <v>pamela.marcum@floridadep.gov</v>
      </c>
      <c r="D526" t="str">
        <f ca="1">IFERROR(__xludf.DUMMYFUNCTION("""COMPUTED_VALUE"""),"Research/Nikki")</f>
        <v>Research/Nikki</v>
      </c>
      <c r="E526" t="str">
        <f ca="1">IFERROR(__xludf.DUMMYFUNCTION("""COMPUTED_VALUE"""),"Faver dykes")</f>
        <v>Faver dykes</v>
      </c>
      <c r="F526" s="13">
        <f ca="1">IFERROR(__xludf.DUMMYFUNCTION("""COMPUTED_VALUE"""),0.635416666667879)</f>
        <v>0.63541666666787899</v>
      </c>
      <c r="G526" s="14">
        <f ca="1">IFERROR(__xludf.DUMMYFUNCTION("""COMPUTED_VALUE"""),43999)</f>
        <v>43999</v>
      </c>
      <c r="H526" t="str">
        <f ca="1">IFERROR(__xludf.DUMMYFUNCTION("""COMPUTED_VALUE"""),"Pc middle transect")</f>
        <v>Pc middle transect</v>
      </c>
      <c r="I526" s="15">
        <f ca="1">IFERROR(__xludf.DUMMYFUNCTION("""COMPUTED_VALUE"""),0.791666666667879)</f>
        <v>0.79166666666787899</v>
      </c>
      <c r="J526" s="16">
        <f ca="1">IFERROR(__xludf.DUMMYFUNCTION("""COMPUTED_VALUE"""),43999.8333333333)</f>
        <v>43999.833333333299</v>
      </c>
      <c r="K526" t="str">
        <f ca="1">IFERROR(__xludf.DUMMYFUNCTION("""COMPUTED_VALUE"""),"20ft Sea Ark FL5351SJ UNF 2015")</f>
        <v>20ft Sea Ark FL5351SJ UNF 2015</v>
      </c>
      <c r="M526" t="str">
        <f ca="1">IFERROR(__xludf.DUMMYFUNCTION("""COMPUTED_VALUE"""),"Ford F150 2015 (White) - DEP21448")</f>
        <v>Ford F150 2015 (White) - DEP21448</v>
      </c>
      <c r="N526" t="str">
        <f ca="1">IFERROR(__xludf.DUMMYFUNCTION("""COMPUTED_VALUE"""),"Pam Marcum, (480) 332-5414")</f>
        <v>Pam Marcum, (480) 332-5414</v>
      </c>
      <c r="O526" t="str">
        <f ca="1">IFERROR(__xludf.DUMMYFUNCTION("""COMPUTED_VALUE"""),"Alee Knoell, (619) 750-4833")</f>
        <v>Alee Knoell, (619) 750-4833</v>
      </c>
      <c r="P526" t="str">
        <f ca="1">IFERROR(__xludf.DUMMYFUNCTION("""COMPUTED_VALUE"""),"Pam")</f>
        <v>Pam</v>
      </c>
      <c r="Q526" t="str">
        <f ca="1">IFERROR(__xludf.DUMMYFUNCTION("""COMPUTED_VALUE"""),"All items in working order")</f>
        <v>All items in working order</v>
      </c>
      <c r="AE526" s="11"/>
      <c r="AF526" t="str">
        <v>Nikki.Dix@floridadep.gov</v>
      </c>
      <c r="AG526" s="17" t="s">
        <v>41</v>
      </c>
      <c r="AH526" s="12">
        <v>1750</v>
      </c>
      <c r="AI526" s="12" t="s">
        <v>1529</v>
      </c>
      <c r="AJ526" s="19" t="s">
        <v>1530</v>
      </c>
      <c r="AK526" s="20" t="str">
        <f>HYPERLINK("https://docs.google.com/document/d/1Cjb2-AzU_NBOyur8SA9JrJCvulKVrrmuAbi3ag8a9ck/edit?usp=drivesdk","Pam Marcum - 6/17/2020 3:15 PM")</f>
        <v>Pam Marcum - 6/17/2020 3:15 PM</v>
      </c>
      <c r="AL526" s="12" t="s">
        <v>1531</v>
      </c>
    </row>
    <row r="527" spans="1:38" ht="12.75">
      <c r="A527" s="10">
        <f ca="1">IFERROR(__xludf.DUMMYFUNCTION("""COMPUTED_VALUE"""),43999.8711826041)</f>
        <v>43999.871182604104</v>
      </c>
      <c r="B527" s="11" t="str">
        <f ca="1">IFERROR(__xludf.DUMMYFUNCTION("""COMPUTED_VALUE"""),"Jessica Lee")</f>
        <v>Jessica Lee</v>
      </c>
      <c r="C527" t="str">
        <f ca="1">IFERROR(__xludf.DUMMYFUNCTION("""COMPUTED_VALUE"""),"jessica.lee@floridadep.com")</f>
        <v>jessica.lee@floridadep.com</v>
      </c>
      <c r="D527" t="str">
        <f ca="1">IFERROR(__xludf.DUMMYFUNCTION("""COMPUTED_VALUE"""),"Research/Shannon")</f>
        <v>Research/Shannon</v>
      </c>
      <c r="E527" t="str">
        <f ca="1">IFERROR(__xludf.DUMMYFUNCTION("""COMPUTED_VALUE"""),"Guana")</f>
        <v>Guana</v>
      </c>
      <c r="F527" s="13">
        <f ca="1">IFERROR(__xludf.DUMMYFUNCTION("""COMPUTED_VALUE"""),0.30208333333212)</f>
        <v>0.30208333333212001</v>
      </c>
      <c r="G527" s="14">
        <f ca="1">IFERROR(__xludf.DUMMYFUNCTION("""COMPUTED_VALUE"""),43999)</f>
        <v>43999</v>
      </c>
      <c r="H527" t="str">
        <f ca="1">IFERROR(__xludf.DUMMYFUNCTION("""COMPUTED_VALUE"""),"Guana River")</f>
        <v>Guana River</v>
      </c>
      <c r="I527" s="15">
        <f ca="1">IFERROR(__xludf.DUMMYFUNCTION("""COMPUTED_VALUE"""),0.375)</f>
        <v>0.375</v>
      </c>
      <c r="J527" s="16">
        <f ca="1">IFERROR(__xludf.DUMMYFUNCTION("""COMPUTED_VALUE"""),43999.3854166666)</f>
        <v>43999.385416666599</v>
      </c>
      <c r="K527" t="str">
        <f ca="1">IFERROR(__xludf.DUMMYFUNCTION("""COMPUTED_VALUE"""),"Jon Boat FL0484NP DEP06819")</f>
        <v>Jon Boat FL0484NP DEP06819</v>
      </c>
      <c r="M527" t="str">
        <f ca="1">IFERROR(__xludf.DUMMYFUNCTION("""COMPUTED_VALUE"""),"Topper")</f>
        <v>Topper</v>
      </c>
      <c r="N527" t="str">
        <f ca="1">IFERROR(__xludf.DUMMYFUNCTION("""COMPUTED_VALUE"""),"Nikki Dix, (352) 219-4079")</f>
        <v>Nikki Dix, (352) 219-4079</v>
      </c>
      <c r="P527" t="str">
        <f ca="1">IFERROR(__xludf.DUMMYFUNCTION("""COMPUTED_VALUE"""),"Nikki")</f>
        <v>Nikki</v>
      </c>
      <c r="Q527" t="str">
        <f ca="1">IFERROR(__xludf.DUMMYFUNCTION("""COMPUTED_VALUE"""),"All items in working order")</f>
        <v>All items in working order</v>
      </c>
      <c r="AE527" s="11"/>
      <c r="AF527" t="str">
        <v>Shannon.Dunnigan@floridadep.gov</v>
      </c>
      <c r="AG527" s="17" t="s">
        <v>507</v>
      </c>
      <c r="AH527" s="12">
        <v>920</v>
      </c>
      <c r="AI527" s="12" t="s">
        <v>1532</v>
      </c>
      <c r="AJ527" s="19" t="s">
        <v>1533</v>
      </c>
      <c r="AK527" s="20" t="str">
        <f>HYPERLINK("https://docs.google.com/document/d/1OFTOfRzbVOT0chIp2JvpOjp3qyB-dRFsV1fMGvZ2YOc/edit?usp=drivesdk","Jessica Lee - 6/17/2020 7:15 AM")</f>
        <v>Jessica Lee - 6/17/2020 7:15 AM</v>
      </c>
      <c r="AL527" s="12" t="s">
        <v>1534</v>
      </c>
    </row>
    <row r="528" spans="1:38" ht="12.75">
      <c r="A528" s="10">
        <f ca="1">IFERROR(__xludf.DUMMYFUNCTION("""COMPUTED_VALUE"""),44000.4035817245)</f>
        <v>44000.403581724502</v>
      </c>
      <c r="B528" s="11" t="str">
        <f ca="1">IFERROR(__xludf.DUMMYFUNCTION("""COMPUTED_VALUE"""),"Pam Marcum")</f>
        <v>Pam Marcum</v>
      </c>
      <c r="C528" t="str">
        <f ca="1">IFERROR(__xludf.DUMMYFUNCTION("""COMPUTED_VALUE"""),"pamela.Marcum@floridadep.gov")</f>
        <v>pamela.Marcum@floridadep.gov</v>
      </c>
      <c r="D528" t="str">
        <f ca="1">IFERROR(__xludf.DUMMYFUNCTION("""COMPUTED_VALUE"""),"Research/Nikki")</f>
        <v>Research/Nikki</v>
      </c>
      <c r="E528" t="str">
        <f ca="1">IFERROR(__xludf.DUMMYFUNCTION("""COMPUTED_VALUE"""),"Faver-Dykes")</f>
        <v>Faver-Dykes</v>
      </c>
      <c r="F528" s="13">
        <f ca="1">IFERROR(__xludf.DUMMYFUNCTION("""COMPUTED_VALUE"""),0.402777777777373)</f>
        <v>0.402777777777373</v>
      </c>
      <c r="G528" s="14">
        <f ca="1">IFERROR(__xludf.DUMMYFUNCTION("""COMPUTED_VALUE"""),44000)</f>
        <v>44000</v>
      </c>
      <c r="H528" t="str">
        <f ca="1">IFERROR(__xludf.DUMMYFUNCTION("""COMPUTED_VALUE"""),"Pellicer Creek ")</f>
        <v xml:space="preserve">Pellicer Creek </v>
      </c>
      <c r="I528" s="15">
        <f ca="1">IFERROR(__xludf.DUMMYFUNCTION("""COMPUTED_VALUE"""),0.70833333333212)</f>
        <v>0.70833333333212001</v>
      </c>
      <c r="J528" s="16">
        <f ca="1">IFERROR(__xludf.DUMMYFUNCTION("""COMPUTED_VALUE"""),44000.75)</f>
        <v>44000.75</v>
      </c>
      <c r="K528" t="str">
        <f ca="1">IFERROR(__xludf.DUMMYFUNCTION("""COMPUTED_VALUE"""),"20ft Sea Ark FL5351SJ UNF 2015")</f>
        <v>20ft Sea Ark FL5351SJ UNF 2015</v>
      </c>
      <c r="M528" t="str">
        <f ca="1">IFERROR(__xludf.DUMMYFUNCTION("""COMPUTED_VALUE"""),"Ford F150 2015 (White) - DEP21448")</f>
        <v>Ford F150 2015 (White) - DEP21448</v>
      </c>
      <c r="N528" t="str">
        <f ca="1">IFERROR(__xludf.DUMMYFUNCTION("""COMPUTED_VALUE"""),"Pam Marcum, (480) 332-5414")</f>
        <v>Pam Marcum, (480) 332-5414</v>
      </c>
      <c r="O528" t="str">
        <f ca="1">IFERROR(__xludf.DUMMYFUNCTION("""COMPUTED_VALUE"""),"Alee Knoell, (619) 750-4833")</f>
        <v>Alee Knoell, (619) 750-4833</v>
      </c>
      <c r="P528" t="str">
        <f ca="1">IFERROR(__xludf.DUMMYFUNCTION("""COMPUTED_VALUE"""),"Pam")</f>
        <v>Pam</v>
      </c>
      <c r="Q528" t="str">
        <f ca="1">IFERROR(__xludf.DUMMYFUNCTION("""COMPUTED_VALUE"""),"All items in working order")</f>
        <v>All items in working order</v>
      </c>
      <c r="AE528" s="11"/>
      <c r="AF528" t="str">
        <v>Nikki.Dix@floridadep.gov</v>
      </c>
      <c r="AG528" s="17" t="s">
        <v>41</v>
      </c>
      <c r="AH528" s="12">
        <v>1708</v>
      </c>
      <c r="AI528" s="12" t="s">
        <v>1535</v>
      </c>
      <c r="AJ528" s="19" t="s">
        <v>1536</v>
      </c>
      <c r="AK528" s="20" t="str">
        <f>HYPERLINK("https://docs.google.com/document/d/1iz2Vel11zSDZsiIc26uFzdHrE5PzaLzl9KuvA_T_xSg/edit?usp=drivesdk","Pam Marcum - 6/18/2020 9:40 AM")</f>
        <v>Pam Marcum - 6/18/2020 9:40 AM</v>
      </c>
      <c r="AL528" s="12" t="s">
        <v>1537</v>
      </c>
    </row>
    <row r="529" spans="1:38" ht="12.75">
      <c r="A529" s="10">
        <f ca="1">IFERROR(__xludf.DUMMYFUNCTION("""COMPUTED_VALUE"""),44007.3319531944)</f>
        <v>44007.3319531944</v>
      </c>
      <c r="B529" s="11" t="str">
        <f ca="1">IFERROR(__xludf.DUMMYFUNCTION("""COMPUTED_VALUE"""),"Pam Marcum")</f>
        <v>Pam Marcum</v>
      </c>
      <c r="C529" t="str">
        <f ca="1">IFERROR(__xludf.DUMMYFUNCTION("""COMPUTED_VALUE"""),"pamela.marcum@floridadep.gov")</f>
        <v>pamela.marcum@floridadep.gov</v>
      </c>
      <c r="D529" t="str">
        <f ca="1">IFERROR(__xludf.DUMMYFUNCTION("""COMPUTED_VALUE"""),"Research/Nikki")</f>
        <v>Research/Nikki</v>
      </c>
      <c r="E529" t="str">
        <f ca="1">IFERROR(__xludf.DUMMYFUNCTION("""COMPUTED_VALUE"""),"Bing's")</f>
        <v>Bing's</v>
      </c>
      <c r="F529" s="13">
        <f ca="1">IFERROR(__xludf.DUMMYFUNCTION("""COMPUTED_VALUE"""),0.33333333333212)</f>
        <v>0.33333333333212001</v>
      </c>
      <c r="G529" s="14">
        <f ca="1">IFERROR(__xludf.DUMMYFUNCTION("""COMPUTED_VALUE"""),44007)</f>
        <v>44007</v>
      </c>
      <c r="H529" t="str">
        <f ca="1">IFERROR(__xludf.DUMMYFUNCTION("""COMPUTED_VALUE"""),"Wash oaks platforms")</f>
        <v>Wash oaks platforms</v>
      </c>
      <c r="I529" s="15">
        <f ca="1">IFERROR(__xludf.DUMMYFUNCTION("""COMPUTED_VALUE"""),0.541666666667879)</f>
        <v>0.54166666666787899</v>
      </c>
      <c r="J529" s="16">
        <f ca="1">IFERROR(__xludf.DUMMYFUNCTION("""COMPUTED_VALUE"""),44007.5833333333)</f>
        <v>44007.583333333299</v>
      </c>
      <c r="K529" t="str">
        <f ca="1">IFERROR(__xludf.DUMMYFUNCTION("""COMPUTED_VALUE"""),"20ft Sea Ark FL5351SJ UNF 2015")</f>
        <v>20ft Sea Ark FL5351SJ UNF 2015</v>
      </c>
      <c r="M529" t="str">
        <f ca="1">IFERROR(__xludf.DUMMYFUNCTION("""COMPUTED_VALUE"""),"Ford F150 2015 (White) - DEP21448")</f>
        <v>Ford F150 2015 (White) - DEP21448</v>
      </c>
      <c r="N529" t="str">
        <f ca="1">IFERROR(__xludf.DUMMYFUNCTION("""COMPUTED_VALUE"""),"Pam Marcum, (480) 332-5414")</f>
        <v>Pam Marcum, (480) 332-5414</v>
      </c>
      <c r="O529" t="str">
        <f ca="1">IFERROR(__xludf.DUMMYFUNCTION("""COMPUTED_VALUE"""),"Remo Mondazzi")</f>
        <v>Remo Mondazzi</v>
      </c>
      <c r="P529" t="str">
        <f ca="1">IFERROR(__xludf.DUMMYFUNCTION("""COMPUTED_VALUE"""),"Pam")</f>
        <v>Pam</v>
      </c>
      <c r="Q529" t="str">
        <f ca="1">IFERROR(__xludf.DUMMYFUNCTION("""COMPUTED_VALUE"""),"All items in working order")</f>
        <v>All items in working order</v>
      </c>
      <c r="AE529" s="11"/>
      <c r="AF529" t="str">
        <v>Nikki.Dix@floridadep.gov</v>
      </c>
      <c r="AG529" s="17" t="s">
        <v>41</v>
      </c>
      <c r="AH529" s="12">
        <v>1202</v>
      </c>
      <c r="AI529" s="12" t="s">
        <v>1538</v>
      </c>
      <c r="AJ529" s="19" t="s">
        <v>1539</v>
      </c>
      <c r="AK529" s="20" t="str">
        <f>HYPERLINK("https://docs.google.com/document/d/178BSnhvFwmawHY74F6CtrmORuUcjGy0ztrYJWIOp00s/edit?usp=drivesdk","Pam Marcum - 6/25/2020 8:00 AM")</f>
        <v>Pam Marcum - 6/25/2020 8:00 AM</v>
      </c>
      <c r="AL529" s="12" t="s">
        <v>1540</v>
      </c>
    </row>
    <row r="530" spans="1:38" ht="12.75">
      <c r="A530" s="10">
        <f ca="1">IFERROR(__xludf.DUMMYFUNCTION("""COMPUTED_VALUE"""),44012.3720971064)</f>
        <v>44012.372097106403</v>
      </c>
      <c r="B530" s="11" t="str">
        <f ca="1">IFERROR(__xludf.DUMMYFUNCTION("""COMPUTED_VALUE"""),"Pam Marcum")</f>
        <v>Pam Marcum</v>
      </c>
      <c r="C530" t="str">
        <f ca="1">IFERROR(__xludf.DUMMYFUNCTION("""COMPUTED_VALUE"""),"pamela.marcum@floridadep.gov")</f>
        <v>pamela.marcum@floridadep.gov</v>
      </c>
      <c r="D530" t="str">
        <f ca="1">IFERROR(__xludf.DUMMYFUNCTION("""COMPUTED_VALUE"""),"Research/Nikki")</f>
        <v>Research/Nikki</v>
      </c>
      <c r="E530" t="str">
        <f ca="1">IFERROR(__xludf.DUMMYFUNCTION("""COMPUTED_VALUE"""),"Aunt kates")</f>
        <v>Aunt kates</v>
      </c>
      <c r="F530" s="13">
        <f ca="1">IFERROR(__xludf.DUMMYFUNCTION("""COMPUTED_VALUE"""),0.375)</f>
        <v>0.375</v>
      </c>
      <c r="G530" s="14">
        <f ca="1">IFERROR(__xludf.DUMMYFUNCTION("""COMPUTED_VALUE"""),44012)</f>
        <v>44012</v>
      </c>
      <c r="H530" t="str">
        <f ca="1">IFERROR(__xludf.DUMMYFUNCTION("""COMPUTED_VALUE"""),"Pine island, hat island")</f>
        <v>Pine island, hat island</v>
      </c>
      <c r="I530" s="15">
        <f ca="1">IFERROR(__xludf.DUMMYFUNCTION("""COMPUTED_VALUE"""),0.5)</f>
        <v>0.5</v>
      </c>
      <c r="J530" s="16">
        <f ca="1">IFERROR(__xludf.DUMMYFUNCTION("""COMPUTED_VALUE"""),44012.5208333333)</f>
        <v>44012.520833333299</v>
      </c>
      <c r="K530" t="str">
        <f ca="1">IFERROR(__xludf.DUMMYFUNCTION("""COMPUTED_VALUE"""),"20ft Sea Ark FL5351SJ UNF 2015")</f>
        <v>20ft Sea Ark FL5351SJ UNF 2015</v>
      </c>
      <c r="M530" t="str">
        <f ca="1">IFERROR(__xludf.DUMMYFUNCTION("""COMPUTED_VALUE"""),"Ford F150 2015 (White) - DEP21448")</f>
        <v>Ford F150 2015 (White) - DEP21448</v>
      </c>
      <c r="N530" t="str">
        <f ca="1">IFERROR(__xludf.DUMMYFUNCTION("""COMPUTED_VALUE"""),"Pam Marcum, (480) 332-5414")</f>
        <v>Pam Marcum, (480) 332-5414</v>
      </c>
      <c r="O530" t="str">
        <f ca="1">IFERROR(__xludf.DUMMYFUNCTION("""COMPUTED_VALUE"""),"Alee Knoell, (619) 750-4833")</f>
        <v>Alee Knoell, (619) 750-4833</v>
      </c>
      <c r="P530" t="str">
        <f ca="1">IFERROR(__xludf.DUMMYFUNCTION("""COMPUTED_VALUE"""),"Pam")</f>
        <v>Pam</v>
      </c>
      <c r="Q530" t="str">
        <f ca="1">IFERROR(__xludf.DUMMYFUNCTION("""COMPUTED_VALUE"""),"All items in working order")</f>
        <v>All items in working order</v>
      </c>
      <c r="AE530" s="11"/>
      <c r="AF530" t="str">
        <v>Nikki.Dix@floridadep.gov</v>
      </c>
      <c r="AG530" s="17" t="s">
        <v>41</v>
      </c>
      <c r="AH530" s="12">
        <v>1310</v>
      </c>
      <c r="AI530" s="12" t="s">
        <v>1541</v>
      </c>
      <c r="AJ530" s="19" t="s">
        <v>1542</v>
      </c>
      <c r="AK530" s="20" t="str">
        <f>HYPERLINK("https://docs.google.com/document/d/1wBMLTcTzN9Zqq0u-IaOJHhOFQmOphW-iC0VzVbo5WnI/edit?usp=drivesdk","Pam Marcum - 6/30/2020 9:00 AM")</f>
        <v>Pam Marcum - 6/30/2020 9:00 AM</v>
      </c>
      <c r="AL530" s="12" t="s">
        <v>1543</v>
      </c>
    </row>
    <row r="531" spans="1:38" ht="12.75">
      <c r="A531" s="10">
        <f ca="1">IFERROR(__xludf.DUMMYFUNCTION("""COMPUTED_VALUE"""),44013.3821592361)</f>
        <v>44013.382159236098</v>
      </c>
      <c r="B531" s="11" t="str">
        <f ca="1">IFERROR(__xludf.DUMMYFUNCTION("""COMPUTED_VALUE"""),"Pam Marcum")</f>
        <v>Pam Marcum</v>
      </c>
      <c r="C531" t="str">
        <f ca="1">IFERROR(__xludf.DUMMYFUNCTION("""COMPUTED_VALUE"""),"pamela.marcum@floridadep.gov")</f>
        <v>pamela.marcum@floridadep.gov</v>
      </c>
      <c r="D531" t="str">
        <f ca="1">IFERROR(__xludf.DUMMYFUNCTION("""COMPUTED_VALUE"""),"Research/Nikki")</f>
        <v>Research/Nikki</v>
      </c>
      <c r="E531" t="str">
        <f ca="1">IFERROR(__xludf.DUMMYFUNCTION("""COMPUTED_VALUE"""),"Aunt kates")</f>
        <v>Aunt kates</v>
      </c>
      <c r="F531" s="13">
        <f ca="1">IFERROR(__xludf.DUMMYFUNCTION("""COMPUTED_VALUE"""),0.385416666667879)</f>
        <v>0.38541666666787899</v>
      </c>
      <c r="G531" s="14">
        <f ca="1">IFERROR(__xludf.DUMMYFUNCTION("""COMPUTED_VALUE"""),44013)</f>
        <v>44013</v>
      </c>
      <c r="H531" t="str">
        <f ca="1">IFERROR(__xludf.DUMMYFUNCTION("""COMPUTED_VALUE"""),"Spat run Sr-SA-FM-TR-GR")</f>
        <v>Spat run Sr-SA-FM-TR-GR</v>
      </c>
      <c r="I531" s="15">
        <f ca="1">IFERROR(__xludf.DUMMYFUNCTION("""COMPUTED_VALUE"""),0.666666666667879)</f>
        <v>0.66666666666787899</v>
      </c>
      <c r="J531" s="16">
        <f ca="1">IFERROR(__xludf.DUMMYFUNCTION("""COMPUTED_VALUE"""),44013.6875)</f>
        <v>44013.6875</v>
      </c>
      <c r="K531" t="str">
        <f ca="1">IFERROR(__xludf.DUMMYFUNCTION("""COMPUTED_VALUE"""),"20ft Sea Ark FL5351SJ UNF 2015")</f>
        <v>20ft Sea Ark FL5351SJ UNF 2015</v>
      </c>
      <c r="M531" t="str">
        <f ca="1">IFERROR(__xludf.DUMMYFUNCTION("""COMPUTED_VALUE"""),"Ford F150 2015 (White) - DEP21448")</f>
        <v>Ford F150 2015 (White) - DEP21448</v>
      </c>
      <c r="N531" t="str">
        <f ca="1">IFERROR(__xludf.DUMMYFUNCTION("""COMPUTED_VALUE"""),"Pam Marcum, (480) 332-5414")</f>
        <v>Pam Marcum, (480) 332-5414</v>
      </c>
      <c r="O531" t="str">
        <f ca="1">IFERROR(__xludf.DUMMYFUNCTION("""COMPUTED_VALUE"""),"Alee Knoell, (619) 750-4833")</f>
        <v>Alee Knoell, (619) 750-4833</v>
      </c>
      <c r="P531" t="str">
        <f ca="1">IFERROR(__xludf.DUMMYFUNCTION("""COMPUTED_VALUE"""),"Pam")</f>
        <v>Pam</v>
      </c>
      <c r="Q531" t="str">
        <f ca="1">IFERROR(__xludf.DUMMYFUNCTION("""COMPUTED_VALUE"""),"All items in working order")</f>
        <v>All items in working order</v>
      </c>
      <c r="AE531" s="11"/>
      <c r="AF531" t="str">
        <v>Nikki.Dix@floridadep.gov</v>
      </c>
      <c r="AG531" s="17" t="s">
        <v>41</v>
      </c>
      <c r="AH531" s="12">
        <v>1530</v>
      </c>
      <c r="AI531" s="12" t="s">
        <v>1544</v>
      </c>
      <c r="AJ531" s="19" t="s">
        <v>1545</v>
      </c>
      <c r="AK531" s="20" t="str">
        <f>HYPERLINK("https://docs.google.com/document/d/1sorxRew_pzwegTFEaF7rvDo2cZ-5GSHY1uilWuQtjWQ/edit?usp=drivesdk","Pam Marcum - 7/1/2020 9:15 AM")</f>
        <v>Pam Marcum - 7/1/2020 9:15 AM</v>
      </c>
      <c r="AL531" s="12" t="s">
        <v>1546</v>
      </c>
    </row>
    <row r="532" spans="1:38" ht="12.75">
      <c r="A532" s="10">
        <f ca="1">IFERROR(__xludf.DUMMYFUNCTION("""COMPUTED_VALUE"""),44014.3270940393)</f>
        <v>44014.327094039298</v>
      </c>
      <c r="B532" s="11" t="str">
        <f ca="1">IFERROR(__xludf.DUMMYFUNCTION("""COMPUTED_VALUE"""),"Pam Marcum")</f>
        <v>Pam Marcum</v>
      </c>
      <c r="C532" t="str">
        <f ca="1">IFERROR(__xludf.DUMMYFUNCTION("""COMPUTED_VALUE"""),"pamela.marcum@floridadep.gov")</f>
        <v>pamela.marcum@floridadep.gov</v>
      </c>
      <c r="D532" t="str">
        <f ca="1">IFERROR(__xludf.DUMMYFUNCTION("""COMPUTED_VALUE"""),"Research/Nikki")</f>
        <v>Research/Nikki</v>
      </c>
      <c r="E532" t="str">
        <f ca="1">IFERROR(__xludf.DUMMYFUNCTION("""COMPUTED_VALUE"""),"Bings")</f>
        <v>Bings</v>
      </c>
      <c r="F532" s="13">
        <f ca="1">IFERROR(__xludf.DUMMYFUNCTION("""COMPUTED_VALUE"""),0.3125)</f>
        <v>0.3125</v>
      </c>
      <c r="G532" s="14">
        <f ca="1">IFERROR(__xludf.DUMMYFUNCTION("""COMPUTED_VALUE"""),44014)</f>
        <v>44014</v>
      </c>
      <c r="H532" t="str">
        <f ca="1">IFERROR(__xludf.DUMMYFUNCTION("""COMPUTED_VALUE"""),"Washington oaks platform")</f>
        <v>Washington oaks platform</v>
      </c>
      <c r="I532" s="15">
        <f ca="1">IFERROR(__xludf.DUMMYFUNCTION("""COMPUTED_VALUE"""),0.5)</f>
        <v>0.5</v>
      </c>
      <c r="J532" s="16">
        <f ca="1">IFERROR(__xludf.DUMMYFUNCTION("""COMPUTED_VALUE"""),44014.5833333333)</f>
        <v>44014.583333333299</v>
      </c>
      <c r="K532" t="str">
        <f ca="1">IFERROR(__xludf.DUMMYFUNCTION("""COMPUTED_VALUE"""),"20ft Sea Ark FL5351SJ UNF 2015")</f>
        <v>20ft Sea Ark FL5351SJ UNF 2015</v>
      </c>
      <c r="M532" t="str">
        <f ca="1">IFERROR(__xludf.DUMMYFUNCTION("""COMPUTED_VALUE"""),"Ford F150 2015 (White) - DEP21448")</f>
        <v>Ford F150 2015 (White) - DEP21448</v>
      </c>
      <c r="N532" t="str">
        <f ca="1">IFERROR(__xludf.DUMMYFUNCTION("""COMPUTED_VALUE"""),"Pam Marcum, (480) 332-5414")</f>
        <v>Pam Marcum, (480) 332-5414</v>
      </c>
      <c r="O532" t="str">
        <f ca="1">IFERROR(__xludf.DUMMYFUNCTION("""COMPUTED_VALUE"""),"Alee Knoell, (619) 750-4833")</f>
        <v>Alee Knoell, (619) 750-4833</v>
      </c>
      <c r="P532" t="str">
        <f ca="1">IFERROR(__xludf.DUMMYFUNCTION("""COMPUTED_VALUE"""),"Pam")</f>
        <v>Pam</v>
      </c>
      <c r="Q532" t="str">
        <f ca="1">IFERROR(__xludf.DUMMYFUNCTION("""COMPUTED_VALUE"""),"All items in working order")</f>
        <v>All items in working order</v>
      </c>
      <c r="AE532" s="11"/>
      <c r="AF532" t="str">
        <v>Nikki.Dix@floridadep.gov</v>
      </c>
      <c r="AG532" s="17" t="s">
        <v>41</v>
      </c>
      <c r="AH532" s="12">
        <v>1001</v>
      </c>
      <c r="AI532" s="12" t="s">
        <v>1547</v>
      </c>
      <c r="AJ532" s="19" t="s">
        <v>1548</v>
      </c>
      <c r="AK532" s="20" t="str">
        <f>HYPERLINK("https://docs.google.com/document/d/1_E6_g5iposFy2WcBX--JAtTlDMw8mQI9CnaZjAGUTc4/edit?usp=drivesdk","Pam Marcum - 7/2/2020 7:30 AM")</f>
        <v>Pam Marcum - 7/2/2020 7:30 AM</v>
      </c>
      <c r="AL532" s="12" t="s">
        <v>1549</v>
      </c>
    </row>
    <row r="533" spans="1:38" ht="12.75">
      <c r="A533" s="10">
        <f ca="1">IFERROR(__xludf.DUMMYFUNCTION("""COMPUTED_VALUE"""),44019.3546791319)</f>
        <v>44019.354679131902</v>
      </c>
      <c r="B533" s="11" t="str">
        <f ca="1">IFERROR(__xludf.DUMMYFUNCTION("""COMPUTED_VALUE"""),"Silas Tanner")</f>
        <v>Silas Tanner</v>
      </c>
      <c r="C533" t="str">
        <f ca="1">IFERROR(__xludf.DUMMYFUNCTION("""COMPUTED_VALUE"""),"silas.tanner@floridadep.gov")</f>
        <v>silas.tanner@floridadep.gov</v>
      </c>
      <c r="D533" t="str">
        <f ca="1">IFERROR(__xludf.DUMMYFUNCTION("""COMPUTED_VALUE"""),"Research/Nikki")</f>
        <v>Research/Nikki</v>
      </c>
      <c r="E533" t="str">
        <f ca="1">IFERROR(__xludf.DUMMYFUNCTION("""COMPUTED_VALUE"""),"Vilano Landing")</f>
        <v>Vilano Landing</v>
      </c>
      <c r="F533" s="13">
        <f ca="1">IFERROR(__xludf.DUMMYFUNCTION("""COMPUTED_VALUE"""),0.39583333333212)</f>
        <v>0.39583333333212001</v>
      </c>
      <c r="G533" s="14">
        <f ca="1">IFERROR(__xludf.DUMMYFUNCTION("""COMPUTED_VALUE"""),44019)</f>
        <v>44019</v>
      </c>
      <c r="H533" t="str">
        <f ca="1">IFERROR(__xludf.DUMMYFUNCTION("""COMPUTED_VALUE"""),"ICW SWMP Sites")</f>
        <v>ICW SWMP Sites</v>
      </c>
      <c r="I533" s="15">
        <f ca="1">IFERROR(__xludf.DUMMYFUNCTION("""COMPUTED_VALUE"""),0.604166666667879)</f>
        <v>0.60416666666787899</v>
      </c>
      <c r="J533" s="16">
        <f ca="1">IFERROR(__xludf.DUMMYFUNCTION("""COMPUTED_VALUE"""),44019.625)</f>
        <v>44019.625</v>
      </c>
      <c r="K533" t="str">
        <f ca="1">IFERROR(__xludf.DUMMYFUNCTION("""COMPUTED_VALUE"""),"20ft Sea Ark FL5351SJ UNF 2015")</f>
        <v>20ft Sea Ark FL5351SJ UNF 2015</v>
      </c>
      <c r="M533" t="str">
        <f ca="1">IFERROR(__xludf.DUMMYFUNCTION("""COMPUTED_VALUE"""),"Ford F250 2017 (Moby Dix) - DEP0021578")</f>
        <v>Ford F250 2017 (Moby Dix) - DEP0021578</v>
      </c>
      <c r="N533" t="str">
        <f ca="1">IFERROR(__xludf.DUMMYFUNCTION("""COMPUTED_VALUE"""),"Silas Tanner, (904) 483-8423")</f>
        <v>Silas Tanner, (904) 483-8423</v>
      </c>
      <c r="O533" t="str">
        <f ca="1">IFERROR(__xludf.DUMMYFUNCTION("""COMPUTED_VALUE"""),"Alee Knoell, (619) 750-4833")</f>
        <v>Alee Knoell, (619) 750-4833</v>
      </c>
      <c r="P533" t="str">
        <f ca="1">IFERROR(__xludf.DUMMYFUNCTION("""COMPUTED_VALUE"""),"Tanner")</f>
        <v>Tanner</v>
      </c>
      <c r="Q533" t="str">
        <f ca="1">IFERROR(__xludf.DUMMYFUNCTION("""COMPUTED_VALUE"""),"All items in working order")</f>
        <v>All items in working order</v>
      </c>
      <c r="AE533" s="11"/>
      <c r="AF533" t="str">
        <v>Nikki.Dix@floridadep.gov</v>
      </c>
      <c r="AG533" s="17" t="s">
        <v>41</v>
      </c>
      <c r="AH533" s="12">
        <v>1600</v>
      </c>
      <c r="AI533" s="12" t="s">
        <v>1550</v>
      </c>
      <c r="AJ533" s="19" t="s">
        <v>1551</v>
      </c>
      <c r="AK533" s="20" t="str">
        <f>HYPERLINK("https://docs.google.com/document/d/1LKiFdPF2xoMtV-oMNwqBiUn6ICyiGtn1tnknYxYQ9Ls/edit?usp=drivesdk","Silas Tanner - 7/7/2020 9:30 AM")</f>
        <v>Silas Tanner - 7/7/2020 9:30 AM</v>
      </c>
      <c r="AL533" s="12" t="s">
        <v>1552</v>
      </c>
    </row>
    <row r="534" spans="1:38" ht="12.75">
      <c r="A534" s="10">
        <f ca="1">IFERROR(__xludf.DUMMYFUNCTION("""COMPUTED_VALUE"""),44026.3364468865)</f>
        <v>44026.336446886497</v>
      </c>
      <c r="B534" s="11" t="str">
        <f ca="1">IFERROR(__xludf.DUMMYFUNCTION("""COMPUTED_VALUE"""),"Pam Marcum")</f>
        <v>Pam Marcum</v>
      </c>
      <c r="C534" t="str">
        <f ca="1">IFERROR(__xludf.DUMMYFUNCTION("""COMPUTED_VALUE"""),"pamela.marcum@floridadep.gov")</f>
        <v>pamela.marcum@floridadep.gov</v>
      </c>
      <c r="D534" t="str">
        <f ca="1">IFERROR(__xludf.DUMMYFUNCTION("""COMPUTED_VALUE"""),"Research/Nikki")</f>
        <v>Research/Nikki</v>
      </c>
      <c r="E534" t="str">
        <f ca="1">IFERROR(__xludf.DUMMYFUNCTION("""COMPUTED_VALUE"""),"Butler")</f>
        <v>Butler</v>
      </c>
      <c r="F534" s="13">
        <f ca="1">IFERROR(__xludf.DUMMYFUNCTION("""COMPUTED_VALUE"""),0.3125)</f>
        <v>0.3125</v>
      </c>
      <c r="G534" s="14">
        <f ca="1">IFERROR(__xludf.DUMMYFUNCTION("""COMPUTED_VALUE"""),44026)</f>
        <v>44026</v>
      </c>
      <c r="H534" t="str">
        <f ca="1">IFERROR(__xludf.DUMMYFUNCTION("""COMPUTED_VALUE"""),"Moses Creek")</f>
        <v>Moses Creek</v>
      </c>
      <c r="I534" s="15">
        <f ca="1">IFERROR(__xludf.DUMMYFUNCTION("""COMPUTED_VALUE"""),0.58333333333212)</f>
        <v>0.58333333333212001</v>
      </c>
      <c r="J534" s="16">
        <f ca="1">IFERROR(__xludf.DUMMYFUNCTION("""COMPUTED_VALUE"""),44026.625)</f>
        <v>44026.625</v>
      </c>
      <c r="K534" t="str">
        <f ca="1">IFERROR(__xludf.DUMMYFUNCTION("""COMPUTED_VALUE"""),"20ft Sea Ark FL5351SJ UNF 2015")</f>
        <v>20ft Sea Ark FL5351SJ UNF 2015</v>
      </c>
      <c r="M534" t="str">
        <f ca="1">IFERROR(__xludf.DUMMYFUNCTION("""COMPUTED_VALUE"""),"Ford F150 2015 (White) - DEP21448")</f>
        <v>Ford F150 2015 (White) - DEP21448</v>
      </c>
      <c r="N534" t="str">
        <f ca="1">IFERROR(__xludf.DUMMYFUNCTION("""COMPUTED_VALUE"""),"Pam Marcum, (480) 332-5414")</f>
        <v>Pam Marcum, (480) 332-5414</v>
      </c>
      <c r="O534" t="str">
        <f ca="1">IFERROR(__xludf.DUMMYFUNCTION("""COMPUTED_VALUE"""),"Alee Knoell, (619) 750-4833")</f>
        <v>Alee Knoell, (619) 750-4833</v>
      </c>
      <c r="P534" t="str">
        <f ca="1">IFERROR(__xludf.DUMMYFUNCTION("""COMPUTED_VALUE"""),"Pam")</f>
        <v>Pam</v>
      </c>
      <c r="Q534" t="str">
        <f ca="1">IFERROR(__xludf.DUMMYFUNCTION("""COMPUTED_VALUE"""),"All items in working order")</f>
        <v>All items in working order</v>
      </c>
      <c r="AE534" s="11"/>
      <c r="AF534" t="str">
        <v>Nikki.Dix@floridadep.gov</v>
      </c>
      <c r="AG534" s="17" t="s">
        <v>41</v>
      </c>
      <c r="AH534" s="12">
        <v>1312</v>
      </c>
      <c r="AI534" s="12" t="s">
        <v>1553</v>
      </c>
      <c r="AJ534" s="19" t="s">
        <v>1554</v>
      </c>
      <c r="AK534" s="20" t="str">
        <f>HYPERLINK("https://docs.google.com/document/d/1m1C7qH-RvtISodVTzFnc0zCfaESvlpdUWqL7qXa2jAI/edit?usp=drivesdk","Pam Marcum - 7/14/2020 7:30 AM")</f>
        <v>Pam Marcum - 7/14/2020 7:30 AM</v>
      </c>
      <c r="AL534" s="12" t="s">
        <v>1555</v>
      </c>
    </row>
    <row r="535" spans="1:38" ht="12.75">
      <c r="A535" s="10">
        <f ca="1">IFERROR(__xludf.DUMMYFUNCTION("""COMPUTED_VALUE"""),44027.2680191319)</f>
        <v>44027.268019131901</v>
      </c>
      <c r="B535" s="11" t="str">
        <f ca="1">IFERROR(__xludf.DUMMYFUNCTION("""COMPUTED_VALUE"""),"Jessica Lee")</f>
        <v>Jessica Lee</v>
      </c>
      <c r="C535" t="str">
        <f ca="1">IFERROR(__xludf.DUMMYFUNCTION("""COMPUTED_VALUE"""),"jessica.lee@floridadep.gov")</f>
        <v>jessica.lee@floridadep.gov</v>
      </c>
      <c r="D535" t="str">
        <f ca="1">IFERROR(__xludf.DUMMYFUNCTION("""COMPUTED_VALUE"""),"Research/Nikki")</f>
        <v>Research/Nikki</v>
      </c>
      <c r="E535" t="str">
        <f ca="1">IFERROR(__xludf.DUMMYFUNCTION("""COMPUTED_VALUE"""),"Guana River")</f>
        <v>Guana River</v>
      </c>
      <c r="F535" s="13">
        <f ca="1">IFERROR(__xludf.DUMMYFUNCTION("""COMPUTED_VALUE"""),0.27083333333212)</f>
        <v>0.27083333333212001</v>
      </c>
      <c r="G535" s="14">
        <f ca="1">IFERROR(__xludf.DUMMYFUNCTION("""COMPUTED_VALUE"""),44027)</f>
        <v>44027</v>
      </c>
      <c r="H535" t="str">
        <f ca="1">IFERROR(__xludf.DUMMYFUNCTION("""COMPUTED_VALUE"""),"Guana River")</f>
        <v>Guana River</v>
      </c>
      <c r="I535" s="15">
        <f ca="1">IFERROR(__xludf.DUMMYFUNCTION("""COMPUTED_VALUE"""),0.33333333333212)</f>
        <v>0.33333333333212001</v>
      </c>
      <c r="J535" s="16">
        <f ca="1">IFERROR(__xludf.DUMMYFUNCTION("""COMPUTED_VALUE"""),44027.34375)</f>
        <v>44027.34375</v>
      </c>
      <c r="K535" t="str">
        <f ca="1">IFERROR(__xludf.DUMMYFUNCTION("""COMPUTED_VALUE"""),"John boat FL5992rr")</f>
        <v>John boat FL5992rr</v>
      </c>
      <c r="M535" t="str">
        <f ca="1">IFERROR(__xludf.DUMMYFUNCTION("""COMPUTED_VALUE"""),"Ford F250 2017 (Moby Dix) - DEP0021578")</f>
        <v>Ford F250 2017 (Moby Dix) - DEP0021578</v>
      </c>
      <c r="N535" t="str">
        <f ca="1">IFERROR(__xludf.DUMMYFUNCTION("""COMPUTED_VALUE"""),"Shannon Dunnigan, (803) 727-5734")</f>
        <v>Shannon Dunnigan, (803) 727-5734</v>
      </c>
      <c r="P535" t="str">
        <f ca="1">IFERROR(__xludf.DUMMYFUNCTION("""COMPUTED_VALUE"""),"Jess")</f>
        <v>Jess</v>
      </c>
      <c r="Q535" t="str">
        <f ca="1">IFERROR(__xludf.DUMMYFUNCTION("""COMPUTED_VALUE"""),"All items in working order")</f>
        <v>All items in working order</v>
      </c>
      <c r="AE535" s="11"/>
      <c r="AF535" t="str">
        <v>Nikki.Dix@floridadep.gov</v>
      </c>
      <c r="AG535" s="17" t="s">
        <v>41</v>
      </c>
      <c r="AH535" s="12">
        <v>808</v>
      </c>
      <c r="AI535" s="12" t="s">
        <v>1556</v>
      </c>
      <c r="AJ535" s="19" t="s">
        <v>1557</v>
      </c>
      <c r="AK535" s="20" t="str">
        <f>HYPERLINK("https://docs.google.com/document/d/1X9wfvTORjybGnVdhkI654jew_V9OeuF-Dtd6PT2PZgc/edit?usp=drivesdk","Jessica Lee - 7/15/2020 6:30 AM")</f>
        <v>Jessica Lee - 7/15/2020 6:30 AM</v>
      </c>
      <c r="AL535" s="12" t="s">
        <v>1558</v>
      </c>
    </row>
    <row r="536" spans="1:38" ht="12.75">
      <c r="A536" s="10">
        <f ca="1">IFERROR(__xludf.DUMMYFUNCTION("""COMPUTED_VALUE"""),44027.2774188194)</f>
        <v>44027.277418819402</v>
      </c>
      <c r="B536" s="11" t="str">
        <f ca="1">IFERROR(__xludf.DUMMYFUNCTION("""COMPUTED_VALUE"""),"Pam Marcum")</f>
        <v>Pam Marcum</v>
      </c>
      <c r="C536" t="str">
        <f ca="1">IFERROR(__xludf.DUMMYFUNCTION("""COMPUTED_VALUE"""),"pamela.marcum@floridadep.gov")</f>
        <v>pamela.marcum@floridadep.gov</v>
      </c>
      <c r="D536" t="str">
        <f ca="1">IFERROR(__xludf.DUMMYFUNCTION("""COMPUTED_VALUE"""),"Research/Nikki")</f>
        <v>Research/Nikki</v>
      </c>
      <c r="E536" t="str">
        <f ca="1">IFERROR(__xludf.DUMMYFUNCTION("""COMPUTED_VALUE"""),"Butler")</f>
        <v>Butler</v>
      </c>
      <c r="F536" s="13">
        <f ca="1">IFERROR(__xludf.DUMMYFUNCTION("""COMPUTED_VALUE"""),0.27083333333212)</f>
        <v>0.27083333333212001</v>
      </c>
      <c r="G536" s="14">
        <f ca="1">IFERROR(__xludf.DUMMYFUNCTION("""COMPUTED_VALUE"""),44027)</f>
        <v>44027</v>
      </c>
      <c r="H536" t="str">
        <f ca="1">IFERROR(__xludf.DUMMYFUNCTION("""COMPUTED_VALUE"""),"Moses creek")</f>
        <v>Moses creek</v>
      </c>
      <c r="I536" s="15">
        <f ca="1">IFERROR(__xludf.DUMMYFUNCTION("""COMPUTED_VALUE"""),0.58333333333212)</f>
        <v>0.58333333333212001</v>
      </c>
      <c r="J536" s="16">
        <f ca="1">IFERROR(__xludf.DUMMYFUNCTION("""COMPUTED_VALUE"""),44027.625)</f>
        <v>44027.625</v>
      </c>
      <c r="K536" t="str">
        <f ca="1">IFERROR(__xludf.DUMMYFUNCTION("""COMPUTED_VALUE"""),"20ft Sea Ark FL5351SJ UNF 2015")</f>
        <v>20ft Sea Ark FL5351SJ UNF 2015</v>
      </c>
      <c r="M536" t="str">
        <f ca="1">IFERROR(__xludf.DUMMYFUNCTION("""COMPUTED_VALUE"""),"Ford F150 2015 (White) - DEP21448")</f>
        <v>Ford F150 2015 (White) - DEP21448</v>
      </c>
      <c r="N536" t="str">
        <f ca="1">IFERROR(__xludf.DUMMYFUNCTION("""COMPUTED_VALUE"""),"Pam Marcum, (480) 332-5414")</f>
        <v>Pam Marcum, (480) 332-5414</v>
      </c>
      <c r="O536" t="str">
        <f ca="1">IFERROR(__xludf.DUMMYFUNCTION("""COMPUTED_VALUE"""),"Alee Knoell, (619) 750-4833")</f>
        <v>Alee Knoell, (619) 750-4833</v>
      </c>
      <c r="P536" t="str">
        <f ca="1">IFERROR(__xludf.DUMMYFUNCTION("""COMPUTED_VALUE"""),"Pam")</f>
        <v>Pam</v>
      </c>
      <c r="Q536" t="str">
        <f ca="1">IFERROR(__xludf.DUMMYFUNCTION("""COMPUTED_VALUE"""),"All items in working order")</f>
        <v>All items in working order</v>
      </c>
      <c r="AE536" s="11"/>
      <c r="AF536" t="str">
        <v>Nikki.Dix@floridadep.gov</v>
      </c>
      <c r="AG536" s="17" t="s">
        <v>41</v>
      </c>
      <c r="AH536" s="12">
        <v>1045</v>
      </c>
      <c r="AI536" s="12" t="s">
        <v>1559</v>
      </c>
      <c r="AJ536" s="19" t="s">
        <v>1560</v>
      </c>
      <c r="AK536" s="20" t="str">
        <f>HYPERLINK("https://docs.google.com/document/d/1fXMWL0MZGV41kK88Fec-z8NpdovkfB2-VJnskCTii8Y/edit?usp=drivesdk","Pam Marcum - 7/15/2020 6:30 AM")</f>
        <v>Pam Marcum - 7/15/2020 6:30 AM</v>
      </c>
      <c r="AL536" s="12" t="s">
        <v>1561</v>
      </c>
    </row>
    <row r="537" spans="1:38" ht="12.75">
      <c r="A537" s="10">
        <f ca="1">IFERROR(__xludf.DUMMYFUNCTION("""COMPUTED_VALUE"""),44027.7780759027)</f>
        <v>44027.778075902701</v>
      </c>
      <c r="B537" s="11" t="str">
        <f ca="1">IFERROR(__xludf.DUMMYFUNCTION("""COMPUTED_VALUE"""),"Jessica Lee")</f>
        <v>Jessica Lee</v>
      </c>
      <c r="C537" t="str">
        <f ca="1">IFERROR(__xludf.DUMMYFUNCTION("""COMPUTED_VALUE"""),"jessica.lee@floridadep.gov")</f>
        <v>jessica.lee@floridadep.gov</v>
      </c>
      <c r="D537" t="str">
        <f ca="1">IFERROR(__xludf.DUMMYFUNCTION("""COMPUTED_VALUE"""),"Research/Nikki")</f>
        <v>Research/Nikki</v>
      </c>
      <c r="E537" t="str">
        <f ca="1">IFERROR(__xludf.DUMMYFUNCTION("""COMPUTED_VALUE"""),"Guana River")</f>
        <v>Guana River</v>
      </c>
      <c r="F537" s="13">
        <f ca="1">IFERROR(__xludf.DUMMYFUNCTION("""COMPUTED_VALUE"""),0.27083333333212)</f>
        <v>0.27083333333212001</v>
      </c>
      <c r="G537" s="14">
        <f ca="1">IFERROR(__xludf.DUMMYFUNCTION("""COMPUTED_VALUE"""),44027)</f>
        <v>44027</v>
      </c>
      <c r="H537" t="str">
        <f ca="1">IFERROR(__xludf.DUMMYFUNCTION("""COMPUTED_VALUE"""),"Guana River")</f>
        <v>Guana River</v>
      </c>
      <c r="I537" s="15">
        <f ca="1">IFERROR(__xludf.DUMMYFUNCTION("""COMPUTED_VALUE"""),0.33333333333212)</f>
        <v>0.33333333333212001</v>
      </c>
      <c r="J537" s="16">
        <f ca="1">IFERROR(__xludf.DUMMYFUNCTION("""COMPUTED_VALUE"""),44027.34375)</f>
        <v>44027.34375</v>
      </c>
      <c r="K537" t="str">
        <f ca="1">IFERROR(__xludf.DUMMYFUNCTION("""COMPUTED_VALUE"""),"John boat FL5992rr")</f>
        <v>John boat FL5992rr</v>
      </c>
      <c r="M537" t="str">
        <f ca="1">IFERROR(__xludf.DUMMYFUNCTION("""COMPUTED_VALUE"""),"Ford F250 2017 (Moby Dix) - DEP0021578")</f>
        <v>Ford F250 2017 (Moby Dix) - DEP0021578</v>
      </c>
      <c r="N537" t="str">
        <f ca="1">IFERROR(__xludf.DUMMYFUNCTION("""COMPUTED_VALUE"""),"Shannon Dunnigan, (803) 727-5734")</f>
        <v>Shannon Dunnigan, (803) 727-5734</v>
      </c>
      <c r="P537" t="str">
        <f ca="1">IFERROR(__xludf.DUMMYFUNCTION("""COMPUTED_VALUE"""),"Jess")</f>
        <v>Jess</v>
      </c>
      <c r="Q537" t="str">
        <f ca="1">IFERROR(__xludf.DUMMYFUNCTION("""COMPUTED_VALUE"""),"All items in working order")</f>
        <v>All items in working order</v>
      </c>
      <c r="AE537" s="11"/>
      <c r="AF537" t="str">
        <v>Nikki.Dix@floridadep.gov</v>
      </c>
      <c r="AG537" s="17" t="s">
        <v>41</v>
      </c>
      <c r="AH537" s="12">
        <v>840</v>
      </c>
      <c r="AI537" s="12" t="s">
        <v>1562</v>
      </c>
      <c r="AJ537" s="19" t="s">
        <v>1563</v>
      </c>
      <c r="AK537" s="20" t="str">
        <f>HYPERLINK("https://docs.google.com/document/d/1RJLYcS9IsMyhVVNWNhAD2e09aoyEC06a4739oiXVskI/edit?usp=drivesdk","Jessica Lee - 7/15/2020 6:30 AM")</f>
        <v>Jessica Lee - 7/15/2020 6:30 AM</v>
      </c>
      <c r="AL537" s="12" t="s">
        <v>1564</v>
      </c>
    </row>
    <row r="538" spans="1:38" ht="12.75">
      <c r="A538" s="10">
        <f ca="1">IFERROR(__xludf.DUMMYFUNCTION("""COMPUTED_VALUE"""),44033.3992424305)</f>
        <v>44033.399242430503</v>
      </c>
      <c r="B538" s="11" t="str">
        <f ca="1">IFERROR(__xludf.DUMMYFUNCTION("""COMPUTED_VALUE"""),"Silas Tanner")</f>
        <v>Silas Tanner</v>
      </c>
      <c r="C538" t="str">
        <f ca="1">IFERROR(__xludf.DUMMYFUNCTION("""COMPUTED_VALUE"""),"silas.tanner@dep.state.fl.us")</f>
        <v>silas.tanner@dep.state.fl.us</v>
      </c>
      <c r="D538" t="str">
        <f ca="1">IFERROR(__xludf.DUMMYFUNCTION("""COMPUTED_VALUE"""),"Research/Pam")</f>
        <v>Research/Pam</v>
      </c>
      <c r="E538" t="str">
        <f ca="1">IFERROR(__xludf.DUMMYFUNCTION("""COMPUTED_VALUE"""),"Vilano Landing")</f>
        <v>Vilano Landing</v>
      </c>
      <c r="F538" s="13">
        <f ca="1">IFERROR(__xludf.DUMMYFUNCTION("""COMPUTED_VALUE"""),0.413194444445252)</f>
        <v>0.413194444445252</v>
      </c>
      <c r="G538" s="14">
        <f ca="1">IFERROR(__xludf.DUMMYFUNCTION("""COMPUTED_VALUE"""),44033)</f>
        <v>44033</v>
      </c>
      <c r="H538" t="str">
        <f ca="1">IFERROR(__xludf.DUMMYFUNCTION("""COMPUTED_VALUE"""),"ICW SWMP sites")</f>
        <v>ICW SWMP sites</v>
      </c>
      <c r="I538" s="15">
        <f ca="1">IFERROR(__xludf.DUMMYFUNCTION("""COMPUTED_VALUE"""),0.58333333333212)</f>
        <v>0.58333333333212001</v>
      </c>
      <c r="J538" s="16">
        <f ca="1">IFERROR(__xludf.DUMMYFUNCTION("""COMPUTED_VALUE"""),44033.6875)</f>
        <v>44033.6875</v>
      </c>
      <c r="K538" t="str">
        <f ca="1">IFERROR(__xludf.DUMMYFUNCTION("""COMPUTED_VALUE"""),"23ft Skiff (Bertha) FL7972LJ DEP07613")</f>
        <v>23ft Skiff (Bertha) FL7972LJ DEP07613</v>
      </c>
      <c r="M538" t="str">
        <f ca="1">IFERROR(__xludf.DUMMYFUNCTION("""COMPUTED_VALUE"""),"Ford F250 2017 (Moby Dix) - DEP0021578")</f>
        <v>Ford F250 2017 (Moby Dix) - DEP0021578</v>
      </c>
      <c r="N538" t="str">
        <f ca="1">IFERROR(__xludf.DUMMYFUNCTION("""COMPUTED_VALUE"""),"Shannon Dunnigan, (803) 727-5734, Silas Tanner, (904) 483-8423")</f>
        <v>Shannon Dunnigan, (803) 727-5734, Silas Tanner, (904) 483-8423</v>
      </c>
      <c r="P538" t="str">
        <f ca="1">IFERROR(__xludf.DUMMYFUNCTION("""COMPUTED_VALUE"""),"Silas Tanner")</f>
        <v>Silas Tanner</v>
      </c>
      <c r="Q538" t="str">
        <f ca="1">IFERROR(__xludf.DUMMYFUNCTION("""COMPUTED_VALUE"""),"All items in working order")</f>
        <v>All items in working order</v>
      </c>
      <c r="AE538" s="11"/>
      <c r="AF538" t="str">
        <v>Pamela.Marcum@floridadep.gov</v>
      </c>
      <c r="AG538" s="17" t="s">
        <v>139</v>
      </c>
      <c r="AH538" s="12">
        <v>1412</v>
      </c>
      <c r="AI538" s="12" t="s">
        <v>1565</v>
      </c>
      <c r="AJ538" s="19" t="s">
        <v>1566</v>
      </c>
      <c r="AK538" s="20" t="str">
        <f>HYPERLINK("https://docs.google.com/document/d/1nN7xLUceiqkgIR5qXSYfcLXQYVdvjss9mABDETalDM0/edit?usp=drivesdk","Silas Tanner - 7/21/2020 9:55 AM")</f>
        <v>Silas Tanner - 7/21/2020 9:55 AM</v>
      </c>
      <c r="AL538" s="12" t="s">
        <v>1567</v>
      </c>
    </row>
    <row r="539" spans="1:38" ht="12.75">
      <c r="A539" s="10">
        <f ca="1">IFERROR(__xludf.DUMMYFUNCTION("""COMPUTED_VALUE"""),44034.5334864699)</f>
        <v>44034.533486469903</v>
      </c>
      <c r="B539" s="11" t="str">
        <f ca="1">IFERROR(__xludf.DUMMYFUNCTION("""COMPUTED_VALUE"""),"Pamela Marcum")</f>
        <v>Pamela Marcum</v>
      </c>
      <c r="C539" t="str">
        <f ca="1">IFERROR(__xludf.DUMMYFUNCTION("""COMPUTED_VALUE"""),"pamela.marcum@floridadep.gov")</f>
        <v>pamela.marcum@floridadep.gov</v>
      </c>
      <c r="D539" t="str">
        <f ca="1">IFERROR(__xludf.DUMMYFUNCTION("""COMPUTED_VALUE"""),"Research/Silas")</f>
        <v>Research/Silas</v>
      </c>
      <c r="E539" t="str">
        <f ca="1">IFERROR(__xludf.DUMMYFUNCTION("""COMPUTED_VALUE"""),"Usina")</f>
        <v>Usina</v>
      </c>
      <c r="F539" s="13">
        <f ca="1">IFERROR(__xludf.DUMMYFUNCTION("""COMPUTED_VALUE"""),0.52083333333212)</f>
        <v>0.52083333333212001</v>
      </c>
      <c r="G539" s="14">
        <f ca="1">IFERROR(__xludf.DUMMYFUNCTION("""COMPUTED_VALUE"""),44034)</f>
        <v>44034</v>
      </c>
      <c r="H539" t="str">
        <f ca="1">IFERROR(__xludf.DUMMYFUNCTION("""COMPUTED_VALUE"""),"Hat island")</f>
        <v>Hat island</v>
      </c>
      <c r="I539" s="15">
        <f ca="1">IFERROR(__xludf.DUMMYFUNCTION("""COMPUTED_VALUE"""),0.541666666667879)</f>
        <v>0.54166666666787899</v>
      </c>
      <c r="J539" s="16">
        <f ca="1">IFERROR(__xludf.DUMMYFUNCTION("""COMPUTED_VALUE"""),44034.5625)</f>
        <v>44034.5625</v>
      </c>
      <c r="K539" t="str">
        <f ca="1">IFERROR(__xludf.DUMMYFUNCTION("""COMPUTED_VALUE"""),"20ft Sea Ark FL5351SJ UNF 2015")</f>
        <v>20ft Sea Ark FL5351SJ UNF 2015</v>
      </c>
      <c r="M539" t="str">
        <f ca="1">IFERROR(__xludf.DUMMYFUNCTION("""COMPUTED_VALUE"""),"Ford F150 2015 (White) - DEP21448")</f>
        <v>Ford F150 2015 (White) - DEP21448</v>
      </c>
      <c r="N539" t="str">
        <f ca="1">IFERROR(__xludf.DUMMYFUNCTION("""COMPUTED_VALUE"""),"Pam Marcum, (480) 332-5414")</f>
        <v>Pam Marcum, (480) 332-5414</v>
      </c>
      <c r="O539" t="str">
        <f ca="1">IFERROR(__xludf.DUMMYFUNCTION("""COMPUTED_VALUE"""),"Alee Knoell, (619) 750-4833")</f>
        <v>Alee Knoell, (619) 750-4833</v>
      </c>
      <c r="P539" t="str">
        <f ca="1">IFERROR(__xludf.DUMMYFUNCTION("""COMPUTED_VALUE"""),"Pam")</f>
        <v>Pam</v>
      </c>
      <c r="Q539" t="str">
        <f ca="1">IFERROR(__xludf.DUMMYFUNCTION("""COMPUTED_VALUE"""),"All items in working order")</f>
        <v>All items in working order</v>
      </c>
      <c r="AE539" s="11"/>
      <c r="AF539" t="str">
        <v>Silas.Tanner@floridadep.gov</v>
      </c>
      <c r="AG539" s="17" t="s">
        <v>1568</v>
      </c>
      <c r="AH539" s="12">
        <v>1216</v>
      </c>
      <c r="AI539" s="12" t="s">
        <v>1569</v>
      </c>
      <c r="AJ539" s="19" t="s">
        <v>1570</v>
      </c>
      <c r="AK539" s="20" t="str">
        <f>HYPERLINK("https://docs.google.com/document/d/14oulgEg-yJPFmQSY4bD3bdsJ4sA8mYaLqVL8UtUMh5E/edit?usp=drivesdk","Pamela Marcum - 7/22/2020 12:30 PM")</f>
        <v>Pamela Marcum - 7/22/2020 12:30 PM</v>
      </c>
      <c r="AL539" s="12" t="s">
        <v>1571</v>
      </c>
    </row>
    <row r="540" spans="1:38" ht="12.75">
      <c r="A540" s="10">
        <f ca="1">IFERROR(__xludf.DUMMYFUNCTION("""COMPUTED_VALUE"""),44039.4556611111)</f>
        <v>44039.455661111097</v>
      </c>
      <c r="B540" s="11" t="str">
        <f ca="1">IFERROR(__xludf.DUMMYFUNCTION("""COMPUTED_VALUE"""),"Test")</f>
        <v>Test</v>
      </c>
      <c r="C540" t="str">
        <f ca="1">IFERROR(__xludf.DUMMYFUNCTION("""COMPUTED_VALUE"""),"pamela.marcum@floridadep.gov")</f>
        <v>pamela.marcum@floridadep.gov</v>
      </c>
      <c r="D540" t="str">
        <f ca="1">IFERROR(__xludf.DUMMYFUNCTION("""COMPUTED_VALUE"""),"Pam Marcum")</f>
        <v>Pam Marcum</v>
      </c>
      <c r="E540" t="str">
        <f ca="1">IFERROR(__xludf.DUMMYFUNCTION("""COMPUTED_VALUE"""),"Test")</f>
        <v>Test</v>
      </c>
      <c r="F540" s="13">
        <f ca="1">IFERROR(__xludf.DUMMYFUNCTION("""COMPUTED_VALUE"""),0.0416666666678793)</f>
        <v>4.1666666667879299E-2</v>
      </c>
      <c r="G540" s="14">
        <f ca="1">IFERROR(__xludf.DUMMYFUNCTION("""COMPUTED_VALUE"""),44039)</f>
        <v>44039</v>
      </c>
      <c r="H540" t="str">
        <f ca="1">IFERROR(__xludf.DUMMYFUNCTION("""COMPUTED_VALUE"""),"Test")</f>
        <v>Test</v>
      </c>
      <c r="I540" s="15">
        <f ca="1">IFERROR(__xludf.DUMMYFUNCTION("""COMPUTED_VALUE"""),0.0416666666678793)</f>
        <v>4.1666666667879299E-2</v>
      </c>
      <c r="J540" s="16">
        <f ca="1">IFERROR(__xludf.DUMMYFUNCTION("""COMPUTED_VALUE"""),44039.0416666666)</f>
        <v>44039.041666666599</v>
      </c>
      <c r="K540" t="str">
        <f ca="1">IFERROR(__xludf.DUMMYFUNCTION("""COMPUTED_VALUE"""),"Test")</f>
        <v>Test</v>
      </c>
      <c r="M540" t="str">
        <f ca="1">IFERROR(__xludf.DUMMYFUNCTION("""COMPUTED_VALUE"""),"Test")</f>
        <v>Test</v>
      </c>
      <c r="N540" t="str">
        <f ca="1">IFERROR(__xludf.DUMMYFUNCTION("""COMPUTED_VALUE"""),"Test")</f>
        <v>Test</v>
      </c>
      <c r="O540" t="str">
        <f ca="1">IFERROR(__xludf.DUMMYFUNCTION("""COMPUTED_VALUE"""),"Test")</f>
        <v>Test</v>
      </c>
      <c r="P540" t="str">
        <f ca="1">IFERROR(__xludf.DUMMYFUNCTION("""COMPUTED_VALUE"""),"Test")</f>
        <v>Test</v>
      </c>
      <c r="Q540" t="str">
        <f ca="1">IFERROR(__xludf.DUMMYFUNCTION("""COMPUTED_VALUE"""),"All items in working order")</f>
        <v>All items in working order</v>
      </c>
      <c r="AE540" s="11"/>
      <c r="AF540" t="str">
        <v>Pamela.Marcum@floridadep.gov</v>
      </c>
      <c r="AG540" s="18"/>
      <c r="AI540" s="12" t="s">
        <v>1572</v>
      </c>
      <c r="AJ540" s="19" t="s">
        <v>1573</v>
      </c>
      <c r="AK540" s="20" t="str">
        <f>HYPERLINK("https://docs.google.com/document/d/1byzPSWRScHvsiX5XKkYHTFEcYBwG1NT4fDZv-yHyYEk/edit?usp=drivesdk","Test - 7/27/2020 1:00 AM")</f>
        <v>Test - 7/27/2020 1:00 AM</v>
      </c>
      <c r="AL540" s="12" t="s">
        <v>1574</v>
      </c>
    </row>
    <row r="541" spans="1:38" ht="12.75">
      <c r="A541" s="10">
        <f ca="1">IFERROR(__xludf.DUMMYFUNCTION("""COMPUTED_VALUE"""),44040.4095759953)</f>
        <v>44040.409575995298</v>
      </c>
      <c r="B541" s="11" t="str">
        <f ca="1">IFERROR(__xludf.DUMMYFUNCTION("""COMPUTED_VALUE"""),"Alexandria Knoell")</f>
        <v>Alexandria Knoell</v>
      </c>
      <c r="C541" t="str">
        <f ca="1">IFERROR(__xludf.DUMMYFUNCTION("""COMPUTED_VALUE"""),"alee.knoell@floridadep.gov")</f>
        <v>alee.knoell@floridadep.gov</v>
      </c>
      <c r="D541" t="str">
        <f ca="1">IFERROR(__xludf.DUMMYFUNCTION("""COMPUTED_VALUE"""),"Shannon Dunnigan")</f>
        <v>Shannon Dunnigan</v>
      </c>
      <c r="E541" t="str">
        <f ca="1">IFERROR(__xludf.DUMMYFUNCTION("""COMPUTED_VALUE"""),"Butler")</f>
        <v>Butler</v>
      </c>
      <c r="F541" s="13">
        <f ca="1">IFERROR(__xludf.DUMMYFUNCTION("""COMPUTED_VALUE"""),0.3125)</f>
        <v>0.3125</v>
      </c>
      <c r="G541" s="14">
        <f ca="1">IFERROR(__xludf.DUMMYFUNCTION("""COMPUTED_VALUE"""),44040)</f>
        <v>44040</v>
      </c>
      <c r="H541" t="str">
        <f ca="1">IFERROR(__xludf.DUMMYFUNCTION("""COMPUTED_VALUE"""),"Moses platforms ")</f>
        <v xml:space="preserve">Moses platforms </v>
      </c>
      <c r="I541" s="15">
        <f ca="1">IFERROR(__xludf.DUMMYFUNCTION("""COMPUTED_VALUE"""),0.58333333333212)</f>
        <v>0.58333333333212001</v>
      </c>
      <c r="J541" s="16">
        <f ca="1">IFERROR(__xludf.DUMMYFUNCTION("""COMPUTED_VALUE"""),44010.625)</f>
        <v>44010.625</v>
      </c>
      <c r="K541" t="str">
        <f ca="1">IFERROR(__xludf.DUMMYFUNCTION("""COMPUTED_VALUE"""),"20ft Sea Ark FL5351SJ UNF 2015")</f>
        <v>20ft Sea Ark FL5351SJ UNF 2015</v>
      </c>
      <c r="M541" t="str">
        <f ca="1">IFERROR(__xludf.DUMMYFUNCTION("""COMPUTED_VALUE"""),"Ford F150 2015 (White) - DEP21448")</f>
        <v>Ford F150 2015 (White) - DEP21448</v>
      </c>
      <c r="N541" t="str">
        <f ca="1">IFERROR(__xludf.DUMMYFUNCTION("""COMPUTED_VALUE"""),"Pam Marcum, (480) 332-5414")</f>
        <v>Pam Marcum, (480) 332-5414</v>
      </c>
      <c r="O541" t="str">
        <f ca="1">IFERROR(__xludf.DUMMYFUNCTION("""COMPUTED_VALUE"""),"Alee Knoell, (619) 750-4833")</f>
        <v>Alee Knoell, (619) 750-4833</v>
      </c>
      <c r="P541" t="str">
        <f ca="1">IFERROR(__xludf.DUMMYFUNCTION("""COMPUTED_VALUE"""),"Pam")</f>
        <v>Pam</v>
      </c>
      <c r="Q541" t="str">
        <f ca="1">IFERROR(__xludf.DUMMYFUNCTION("""COMPUTED_VALUE"""),"All items in working order")</f>
        <v>All items in working order</v>
      </c>
      <c r="AE541" s="11"/>
      <c r="AF541" t="str">
        <v>Shannon.Dunnigan@floridadep.gov</v>
      </c>
      <c r="AG541" s="17" t="s">
        <v>507</v>
      </c>
      <c r="AH541" s="12">
        <v>1405</v>
      </c>
      <c r="AI541" s="12" t="s">
        <v>1575</v>
      </c>
      <c r="AJ541" s="19" t="s">
        <v>1576</v>
      </c>
      <c r="AK541" s="20" t="str">
        <f>HYPERLINK("https://docs.google.com/document/d/141L8UhKJis0YSYB7-3YSCuAa6cFHq5iBXy0kgXy5xOI/edit?usp=drivesdk","Alexandria Knoell - 7/28/2020 7:30 AM")</f>
        <v>Alexandria Knoell - 7/28/2020 7:30 AM</v>
      </c>
      <c r="AL541" s="12" t="s">
        <v>1577</v>
      </c>
    </row>
    <row r="542" spans="1:38" ht="12.75">
      <c r="A542" s="10">
        <f ca="1">IFERROR(__xludf.DUMMYFUNCTION("""COMPUTED_VALUE"""),44040.9067579166)</f>
        <v>44040.9067579166</v>
      </c>
      <c r="B542" s="11" t="str">
        <f ca="1">IFERROR(__xludf.DUMMYFUNCTION("""COMPUTED_VALUE"""),"Alexandria Knoell")</f>
        <v>Alexandria Knoell</v>
      </c>
      <c r="C542" t="str">
        <f ca="1">IFERROR(__xludf.DUMMYFUNCTION("""COMPUTED_VALUE"""),"alee.knoell@floridadep.gov")</f>
        <v>alee.knoell@floridadep.gov</v>
      </c>
      <c r="D542" t="str">
        <f ca="1">IFERROR(__xludf.DUMMYFUNCTION("""COMPUTED_VALUE"""),"Shannon Dunnigan")</f>
        <v>Shannon Dunnigan</v>
      </c>
      <c r="E542" t="str">
        <f ca="1">IFERROR(__xludf.DUMMYFUNCTION("""COMPUTED_VALUE"""),"Butler")</f>
        <v>Butler</v>
      </c>
      <c r="F542" s="13">
        <f ca="1">IFERROR(__xludf.DUMMYFUNCTION("""COMPUTED_VALUE"""),0.3125)</f>
        <v>0.3125</v>
      </c>
      <c r="G542" s="14">
        <f ca="1">IFERROR(__xludf.DUMMYFUNCTION("""COMPUTED_VALUE"""),44040)</f>
        <v>44040</v>
      </c>
      <c r="H542" t="str">
        <f ca="1">IFERROR(__xludf.DUMMYFUNCTION("""COMPUTED_VALUE"""),"Moses platforms ")</f>
        <v xml:space="preserve">Moses platforms </v>
      </c>
      <c r="I542" s="15">
        <f ca="1">IFERROR(__xludf.DUMMYFUNCTION("""COMPUTED_VALUE"""),0.58333333333212)</f>
        <v>0.58333333333212001</v>
      </c>
      <c r="J542" s="16">
        <f ca="1">IFERROR(__xludf.DUMMYFUNCTION("""COMPUTED_VALUE"""),44010.625)</f>
        <v>44010.625</v>
      </c>
      <c r="K542" t="str">
        <f ca="1">IFERROR(__xludf.DUMMYFUNCTION("""COMPUTED_VALUE"""),"20ft Sea Ark FL5351SJ UNF 2015")</f>
        <v>20ft Sea Ark FL5351SJ UNF 2015</v>
      </c>
      <c r="M542" t="str">
        <f ca="1">IFERROR(__xludf.DUMMYFUNCTION("""COMPUTED_VALUE"""),"Ford F150 2015 (White) - DEP21448")</f>
        <v>Ford F150 2015 (White) - DEP21448</v>
      </c>
      <c r="N542" t="str">
        <f ca="1">IFERROR(__xludf.DUMMYFUNCTION("""COMPUTED_VALUE"""),"Pam Marcum, (480) 332-5414")</f>
        <v>Pam Marcum, (480) 332-5414</v>
      </c>
      <c r="O542" t="str">
        <f ca="1">IFERROR(__xludf.DUMMYFUNCTION("""COMPUTED_VALUE"""),"Alee Knoell, (619) 750-4833")</f>
        <v>Alee Knoell, (619) 750-4833</v>
      </c>
      <c r="P542" t="str">
        <f ca="1">IFERROR(__xludf.DUMMYFUNCTION("""COMPUTED_VALUE"""),"Pam")</f>
        <v>Pam</v>
      </c>
      <c r="Q542" t="str">
        <f ca="1">IFERROR(__xludf.DUMMYFUNCTION("""COMPUTED_VALUE"""),"All items in working order")</f>
        <v>All items in working order</v>
      </c>
      <c r="AE542" s="11"/>
      <c r="AF542" t="str">
        <v>Shannon.Dunnigan@floridadep.gov</v>
      </c>
      <c r="AG542" s="18"/>
      <c r="AI542" s="12" t="s">
        <v>1578</v>
      </c>
      <c r="AJ542" s="19" t="s">
        <v>1579</v>
      </c>
      <c r="AK542" s="20" t="str">
        <f>HYPERLINK("https://docs.google.com/document/d/1aYmJ0p8fesI4eujF2xZto-P721vPgu_tdrmmxkLjpus/edit?usp=drivesdk","Alexandria Knoell - 7/28/2020 7:30 AM")</f>
        <v>Alexandria Knoell - 7/28/2020 7:30 AM</v>
      </c>
      <c r="AL542" s="12" t="s">
        <v>1580</v>
      </c>
    </row>
    <row r="543" spans="1:38" ht="12.75">
      <c r="A543" s="10">
        <f ca="1">IFERROR(__xludf.DUMMYFUNCTION("""COMPUTED_VALUE"""),44041.5361819907)</f>
        <v>44041.536181990698</v>
      </c>
      <c r="B543" s="11" t="str">
        <f ca="1">IFERROR(__xludf.DUMMYFUNCTION("""COMPUTED_VALUE"""),"Gabriela Canas")</f>
        <v>Gabriela Canas</v>
      </c>
      <c r="C543" t="str">
        <f ca="1">IFERROR(__xludf.DUMMYFUNCTION("""COMPUTED_VALUE"""),"n00836133@unf.edu")</f>
        <v>n00836133@unf.edu</v>
      </c>
      <c r="D543" t="str">
        <f ca="1">IFERROR(__xludf.DUMMYFUNCTION("""COMPUTED_VALUE"""),"Shannon Dunnigan")</f>
        <v>Shannon Dunnigan</v>
      </c>
      <c r="E543" t="str">
        <f ca="1">IFERROR(__xludf.DUMMYFUNCTION("""COMPUTED_VALUE"""),"Douglas crane")</f>
        <v>Douglas crane</v>
      </c>
      <c r="F543" s="13">
        <f ca="1">IFERROR(__xludf.DUMMYFUNCTION("""COMPUTED_VALUE"""),0.541666666667879)</f>
        <v>0.54166666666787899</v>
      </c>
      <c r="G543" s="14"/>
      <c r="H543" t="str">
        <f ca="1">IFERROR(__xludf.DUMMYFUNCTION("""COMPUTED_VALUE"""),"Wetfeet middle site")</f>
        <v>Wetfeet middle site</v>
      </c>
      <c r="I543" s="15">
        <f ca="1">IFERROR(__xludf.DUMMYFUNCTION("""COMPUTED_VALUE"""),0.666666666667879)</f>
        <v>0.66666666666787899</v>
      </c>
      <c r="J543" s="16">
        <f ca="1">IFERROR(__xludf.DUMMYFUNCTION("""COMPUTED_VALUE"""),44041.7083333333)</f>
        <v>44041.708333333299</v>
      </c>
      <c r="K543" t="str">
        <f ca="1">IFERROR(__xludf.DUMMYFUNCTION("""COMPUTED_VALUE"""),"20ft Sea Ark FL5351SJ UNF 2015")</f>
        <v>20ft Sea Ark FL5351SJ UNF 2015</v>
      </c>
      <c r="M543" t="str">
        <f ca="1">IFERROR(__xludf.DUMMYFUNCTION("""COMPUTED_VALUE"""),"Ford F150 2015 (White) - DEP21448")</f>
        <v>Ford F150 2015 (White) - DEP21448</v>
      </c>
      <c r="N543" t="str">
        <f ca="1">IFERROR(__xludf.DUMMYFUNCTION("""COMPUTED_VALUE"""),"Pam Marcum, (480) 332-5414")</f>
        <v>Pam Marcum, (480) 332-5414</v>
      </c>
      <c r="O543" t="str">
        <f ca="1">IFERROR(__xludf.DUMMYFUNCTION("""COMPUTED_VALUE"""),"Gabriela Canas, (904) 891-9743")</f>
        <v>Gabriela Canas, (904) 891-9743</v>
      </c>
      <c r="P543" t="str">
        <f ca="1">IFERROR(__xludf.DUMMYFUNCTION("""COMPUTED_VALUE"""),"Pam")</f>
        <v>Pam</v>
      </c>
      <c r="Q543" t="str">
        <f ca="1">IFERROR(__xludf.DUMMYFUNCTION("""COMPUTED_VALUE"""),"All items in working order")</f>
        <v>All items in working order</v>
      </c>
      <c r="AE543" s="11"/>
      <c r="AF543" t="str">
        <v>Shannon.Dunnigan@floridadep.gov</v>
      </c>
      <c r="AG543" s="17" t="s">
        <v>507</v>
      </c>
      <c r="AH543" s="12">
        <v>1542</v>
      </c>
      <c r="AI543" s="12" t="s">
        <v>1581</v>
      </c>
      <c r="AJ543" s="19" t="s">
        <v>1582</v>
      </c>
      <c r="AK543" s="20" t="str">
        <f>HYPERLINK("https://docs.google.com/document/d/15R6KDcAgMg4g32JX0yb0OtN7Ba7cEz3LJa5uRR2T0aA/edit?usp=drivesdk","Gabriela Canas -  1:00 PM")</f>
        <v>Gabriela Canas -  1:00 PM</v>
      </c>
      <c r="AL543" s="12" t="s">
        <v>1583</v>
      </c>
    </row>
    <row r="544" spans="1:38" ht="12.75">
      <c r="A544" s="10">
        <f ca="1">IFERROR(__xludf.DUMMYFUNCTION("""COMPUTED_VALUE"""),44042.4999424074)</f>
        <v>44042.499942407398</v>
      </c>
      <c r="B544" s="11" t="str">
        <f ca="1">IFERROR(__xludf.DUMMYFUNCTION("""COMPUTED_VALUE"""),"Pam Marcum")</f>
        <v>Pam Marcum</v>
      </c>
      <c r="C544" t="str">
        <f ca="1">IFERROR(__xludf.DUMMYFUNCTION("""COMPUTED_VALUE"""),"pamela.marcum@floridadep.gov")</f>
        <v>pamela.marcum@floridadep.gov</v>
      </c>
      <c r="D544" t="str">
        <f ca="1">IFERROR(__xludf.DUMMYFUNCTION("""COMPUTED_VALUE"""),"Shannon Dunnigan")</f>
        <v>Shannon Dunnigan</v>
      </c>
      <c r="E544" t="str">
        <f ca="1">IFERROR(__xludf.DUMMYFUNCTION("""COMPUTED_VALUE"""),"Faver-Dykes")</f>
        <v>Faver-Dykes</v>
      </c>
      <c r="F544" s="13">
        <f ca="1">IFERROR(__xludf.DUMMYFUNCTION("""COMPUTED_VALUE"""),0.40625)</f>
        <v>0.40625</v>
      </c>
      <c r="G544" s="14">
        <f ca="1">IFERROR(__xludf.DUMMYFUNCTION("""COMPUTED_VALUE"""),44042)</f>
        <v>44042</v>
      </c>
      <c r="H544" t="str">
        <f ca="1">IFERROR(__xludf.DUMMYFUNCTION("""COMPUTED_VALUE"""),"Pellicer transects- up-mid-low")</f>
        <v>Pellicer transects- up-mid-low</v>
      </c>
      <c r="I544" s="15">
        <f ca="1">IFERROR(__xludf.DUMMYFUNCTION("""COMPUTED_VALUE"""),0.625)</f>
        <v>0.625</v>
      </c>
      <c r="J544" s="16">
        <f ca="1">IFERROR(__xludf.DUMMYFUNCTION("""COMPUTED_VALUE"""),44042.6666666666)</f>
        <v>44042.666666666599</v>
      </c>
      <c r="K544" t="str">
        <f ca="1">IFERROR(__xludf.DUMMYFUNCTION("""COMPUTED_VALUE"""),"20ft Sea Ark FL5351SJ UNF 2015")</f>
        <v>20ft Sea Ark FL5351SJ UNF 2015</v>
      </c>
      <c r="M544" t="str">
        <f ca="1">IFERROR(__xludf.DUMMYFUNCTION("""COMPUTED_VALUE"""),"Ford F150 2015 (White) - DEP21448")</f>
        <v>Ford F150 2015 (White) - DEP21448</v>
      </c>
      <c r="N544" t="str">
        <f ca="1">IFERROR(__xludf.DUMMYFUNCTION("""COMPUTED_VALUE"""),"Pam Marcum, (480) 332-5414")</f>
        <v>Pam Marcum, (480) 332-5414</v>
      </c>
      <c r="O544" t="str">
        <f ca="1">IFERROR(__xludf.DUMMYFUNCTION("""COMPUTED_VALUE"""),"Alee Knoell, (619) 750-4833")</f>
        <v>Alee Knoell, (619) 750-4833</v>
      </c>
      <c r="P544" t="str">
        <f ca="1">IFERROR(__xludf.DUMMYFUNCTION("""COMPUTED_VALUE"""),"Pam")</f>
        <v>Pam</v>
      </c>
      <c r="Q544" t="str">
        <f ca="1">IFERROR(__xludf.DUMMYFUNCTION("""COMPUTED_VALUE"""),"All items in working order")</f>
        <v>All items in working order</v>
      </c>
      <c r="AE544" s="11"/>
      <c r="AF544" t="str">
        <v>Shannon.Dunnigan@floridadep.gov</v>
      </c>
      <c r="AG544" s="17" t="s">
        <v>507</v>
      </c>
      <c r="AH544" s="12">
        <v>1456</v>
      </c>
      <c r="AI544" s="12" t="s">
        <v>1584</v>
      </c>
      <c r="AJ544" s="19" t="s">
        <v>1585</v>
      </c>
      <c r="AK544" s="20" t="str">
        <f>HYPERLINK("https://docs.google.com/document/d/17vF5QGJAdkXF0jo3cLrIkESTJgy6NnF64YSJHcPUJFw/edit?usp=drivesdk","Pam Marcum - 7/30/2020 9:45 AM")</f>
        <v>Pam Marcum - 7/30/2020 9:45 AM</v>
      </c>
      <c r="AL544" s="12" t="s">
        <v>1586</v>
      </c>
    </row>
    <row r="545" spans="1:38" ht="12.75">
      <c r="A545" s="10">
        <f ca="1">IFERROR(__xludf.DUMMYFUNCTION("""COMPUTED_VALUE"""),44043.4094300694)</f>
        <v>44043.409430069398</v>
      </c>
      <c r="B545" s="11" t="str">
        <f ca="1">IFERROR(__xludf.DUMMYFUNCTION("""COMPUTED_VALUE"""),"Pam Marcum")</f>
        <v>Pam Marcum</v>
      </c>
      <c r="C545" t="str">
        <f ca="1">IFERROR(__xludf.DUMMYFUNCTION("""COMPUTED_VALUE"""),"pamela.marcum@floridadep.gov")</f>
        <v>pamela.marcum@floridadep.gov</v>
      </c>
      <c r="D545" t="str">
        <f ca="1">IFERROR(__xludf.DUMMYFUNCTION("""COMPUTED_VALUE"""),"Scott Eastman")</f>
        <v>Scott Eastman</v>
      </c>
      <c r="E545" t="str">
        <f ca="1">IFERROR(__xludf.DUMMYFUNCTION("""COMPUTED_VALUE"""),"Aunt kates")</f>
        <v>Aunt kates</v>
      </c>
      <c r="F545" s="13">
        <f ca="1">IFERROR(__xludf.DUMMYFUNCTION("""COMPUTED_VALUE"""),0.354166666667879)</f>
        <v>0.35416666666787899</v>
      </c>
      <c r="G545" s="14">
        <f ca="1">IFERROR(__xludf.DUMMYFUNCTION("""COMPUTED_VALUE"""),44043)</f>
        <v>44043</v>
      </c>
      <c r="H545" t="str">
        <f ca="1">IFERROR(__xludf.DUMMYFUNCTION("""COMPUTED_VALUE"""),"Salt run")</f>
        <v>Salt run</v>
      </c>
      <c r="I545" s="15">
        <f ca="1">IFERROR(__xludf.DUMMYFUNCTION("""COMPUTED_VALUE"""),0.42708333333212)</f>
        <v>0.42708333333212001</v>
      </c>
      <c r="J545" s="16">
        <f ca="1">IFERROR(__xludf.DUMMYFUNCTION("""COMPUTED_VALUE"""),44043.4375)</f>
        <v>44043.4375</v>
      </c>
      <c r="K545" t="str">
        <f ca="1">IFERROR(__xludf.DUMMYFUNCTION("""COMPUTED_VALUE"""),"20ft Sea Ark FL5351SJ UNF 2015")</f>
        <v>20ft Sea Ark FL5351SJ UNF 2015</v>
      </c>
      <c r="M545" t="str">
        <f ca="1">IFERROR(__xludf.DUMMYFUNCTION("""COMPUTED_VALUE"""),"Ford F150 2015 (White) - DEP21448")</f>
        <v>Ford F150 2015 (White) - DEP21448</v>
      </c>
      <c r="N545" t="str">
        <f ca="1">IFERROR(__xludf.DUMMYFUNCTION("""COMPUTED_VALUE"""),"Pam Marcum, (480) 332-5414")</f>
        <v>Pam Marcum, (480) 332-5414</v>
      </c>
      <c r="O545" t="str">
        <f ca="1">IFERROR(__xludf.DUMMYFUNCTION("""COMPUTED_VALUE"""),"Remo Mondazzi")</f>
        <v>Remo Mondazzi</v>
      </c>
      <c r="P545" t="str">
        <f ca="1">IFERROR(__xludf.DUMMYFUNCTION("""COMPUTED_VALUE"""),"Pam")</f>
        <v>Pam</v>
      </c>
      <c r="Q545" t="str">
        <f ca="1">IFERROR(__xludf.DUMMYFUNCTION("""COMPUTED_VALUE"""),"All items in working order")</f>
        <v>All items in working order</v>
      </c>
      <c r="AE545" s="11"/>
      <c r="AF545" t="str">
        <v>Scott.Eastman@floridadep.gov</v>
      </c>
      <c r="AG545" s="17" t="s">
        <v>21</v>
      </c>
      <c r="AH545" s="12">
        <v>1040</v>
      </c>
      <c r="AI545" s="12" t="s">
        <v>1587</v>
      </c>
      <c r="AJ545" s="19" t="s">
        <v>1588</v>
      </c>
      <c r="AK545" s="20" t="str">
        <f>HYPERLINK("https://docs.google.com/document/d/1fXNdiViRN6z3y0xshseURKXRj9NzGXSu-PJTr5mB4Bo/edit?usp=drivesdk","Pam Marcum - 7/31/2020 8:30 AM")</f>
        <v>Pam Marcum - 7/31/2020 8:30 AM</v>
      </c>
      <c r="AL545" s="12" t="s">
        <v>1589</v>
      </c>
    </row>
    <row r="546" spans="1:38" ht="12.75">
      <c r="A546" s="10">
        <f ca="1">IFERROR(__xludf.DUMMYFUNCTION("""COMPUTED_VALUE"""),44043.4499481944)</f>
        <v>44043.4499481944</v>
      </c>
      <c r="B546" s="11" t="str">
        <f ca="1">IFERROR(__xludf.DUMMYFUNCTION("""COMPUTED_VALUE"""),"Pam Marcum")</f>
        <v>Pam Marcum</v>
      </c>
      <c r="C546" t="str">
        <f ca="1">IFERROR(__xludf.DUMMYFUNCTION("""COMPUTED_VALUE"""),"pamela.marcum@floridadep.gov")</f>
        <v>pamela.marcum@floridadep.gov</v>
      </c>
      <c r="D546" t="str">
        <f ca="1">IFERROR(__xludf.DUMMYFUNCTION("""COMPUTED_VALUE"""),"Pam Marcum")</f>
        <v>Pam Marcum</v>
      </c>
      <c r="E546" t="str">
        <f ca="1">IFERROR(__xludf.DUMMYFUNCTION("""COMPUTED_VALUE"""),"Aunt Kates")</f>
        <v>Aunt Kates</v>
      </c>
      <c r="F546" s="13">
        <f ca="1">IFERROR(__xludf.DUMMYFUNCTION("""COMPUTED_VALUE"""),0.430555555554747)</f>
        <v>0.430555555554747</v>
      </c>
      <c r="G546" s="14">
        <f ca="1">IFERROR(__xludf.DUMMYFUNCTION("""COMPUTED_VALUE"""),44043)</f>
        <v>44043</v>
      </c>
      <c r="H546" t="str">
        <f ca="1">IFERROR(__xludf.DUMMYFUNCTION("""COMPUTED_VALUE"""),"Spat trees sa-fm-gr-tr")</f>
        <v>Spat trees sa-fm-gr-tr</v>
      </c>
      <c r="I546" s="15">
        <f ca="1">IFERROR(__xludf.DUMMYFUNCTION("""COMPUTED_VALUE"""),0.64583333333212)</f>
        <v>0.64583333333212001</v>
      </c>
      <c r="J546" s="16">
        <f ca="1">IFERROR(__xludf.DUMMYFUNCTION("""COMPUTED_VALUE"""),44043.6666666666)</f>
        <v>44043.666666666599</v>
      </c>
      <c r="K546" t="str">
        <f ca="1">IFERROR(__xludf.DUMMYFUNCTION("""COMPUTED_VALUE"""),"20ft Sea Ark FL5351SJ UNF 2015")</f>
        <v>20ft Sea Ark FL5351SJ UNF 2015</v>
      </c>
      <c r="M546" t="str">
        <f ca="1">IFERROR(__xludf.DUMMYFUNCTION("""COMPUTED_VALUE"""),"Ford F150 2015 (White) - DEP21448")</f>
        <v>Ford F150 2015 (White) - DEP21448</v>
      </c>
      <c r="N546" t="str">
        <f ca="1">IFERROR(__xludf.DUMMYFUNCTION("""COMPUTED_VALUE"""),"Remo Mondazzi")</f>
        <v>Remo Mondazzi</v>
      </c>
      <c r="O546" t="str">
        <f ca="1">IFERROR(__xludf.DUMMYFUNCTION("""COMPUTED_VALUE"""),"Alee Knoell, (619) 750-4833")</f>
        <v>Alee Knoell, (619) 750-4833</v>
      </c>
      <c r="P546" t="str">
        <f ca="1">IFERROR(__xludf.DUMMYFUNCTION("""COMPUTED_VALUE"""),"Remo")</f>
        <v>Remo</v>
      </c>
      <c r="Q546" t="str">
        <f ca="1">IFERROR(__xludf.DUMMYFUNCTION("""COMPUTED_VALUE"""),"All items in working order")</f>
        <v>All items in working order</v>
      </c>
      <c r="AE546" s="11"/>
      <c r="AF546" t="str">
        <v>Pamela.Marcum@floridadep.gov</v>
      </c>
      <c r="AG546" s="18"/>
      <c r="AI546" s="12" t="s">
        <v>1590</v>
      </c>
      <c r="AJ546" s="19" t="s">
        <v>1591</v>
      </c>
      <c r="AK546" s="20" t="str">
        <f>HYPERLINK("https://docs.google.com/document/d/1feDKB5XJIcLW757JEVpNCpY7Nc9O763eK3hyEom3kzE/edit?usp=drivesdk","Pam Marcum - 7/31/2020 10:20 AM")</f>
        <v>Pam Marcum - 7/31/2020 10:20 AM</v>
      </c>
      <c r="AL546" s="12" t="s">
        <v>1592</v>
      </c>
    </row>
    <row r="547" spans="1:38" ht="12.75">
      <c r="A547" s="10">
        <f ca="1">IFERROR(__xludf.DUMMYFUNCTION("""COMPUTED_VALUE"""),44047.3828439236)</f>
        <v>44047.382843923602</v>
      </c>
      <c r="B547" s="11" t="str">
        <f ca="1">IFERROR(__xludf.DUMMYFUNCTION("""COMPUTED_VALUE"""),"Pamela Marcum")</f>
        <v>Pamela Marcum</v>
      </c>
      <c r="C547" t="str">
        <f ca="1">IFERROR(__xludf.DUMMYFUNCTION("""COMPUTED_VALUE"""),"pamela.marcum@floridadep.gov")</f>
        <v>pamela.marcum@floridadep.gov</v>
      </c>
      <c r="D547" t="str">
        <f ca="1">IFERROR(__xludf.DUMMYFUNCTION("""COMPUTED_VALUE"""),"Nikki Dix")</f>
        <v>Nikki Dix</v>
      </c>
      <c r="E547" t="str">
        <f ca="1">IFERROR(__xludf.DUMMYFUNCTION("""COMPUTED_VALUE"""),"Shore drive")</f>
        <v>Shore drive</v>
      </c>
      <c r="F547" s="13">
        <f ca="1">IFERROR(__xludf.DUMMYFUNCTION("""COMPUTED_VALUE"""),0.385416666667879)</f>
        <v>0.38541666666787899</v>
      </c>
      <c r="G547" s="14">
        <f ca="1">IFERROR(__xludf.DUMMYFUNCTION("""COMPUTED_VALUE"""),44047)</f>
        <v>44047</v>
      </c>
      <c r="H547" t="str">
        <f ca="1">IFERROR(__xludf.DUMMYFUNCTION("""COMPUTED_VALUE"""),"Gabbys creek")</f>
        <v>Gabbys creek</v>
      </c>
      <c r="I547" s="15">
        <f ca="1">IFERROR(__xludf.DUMMYFUNCTION("""COMPUTED_VALUE"""),0.479166666667879)</f>
        <v>0.47916666666787899</v>
      </c>
      <c r="J547" s="16">
        <f ca="1">IFERROR(__xludf.DUMMYFUNCTION("""COMPUTED_VALUE"""),44047.5)</f>
        <v>44047.5</v>
      </c>
      <c r="K547" t="str">
        <f ca="1">IFERROR(__xludf.DUMMYFUNCTION("""COMPUTED_VALUE"""),"Jon Boat 1 FL5992RR DEP154045")</f>
        <v>Jon Boat 1 FL5992RR DEP154045</v>
      </c>
      <c r="M547" t="str">
        <f ca="1">IFERROR(__xludf.DUMMYFUNCTION("""COMPUTED_VALUE"""),"Ford F150 2015 (White) - DEP21448")</f>
        <v>Ford F150 2015 (White) - DEP21448</v>
      </c>
      <c r="N547" t="str">
        <f ca="1">IFERROR(__xludf.DUMMYFUNCTION("""COMPUTED_VALUE"""),"Pam Marcum, (480) 332-5414")</f>
        <v>Pam Marcum, (480) 332-5414</v>
      </c>
      <c r="O547" t="str">
        <f ca="1">IFERROR(__xludf.DUMMYFUNCTION("""COMPUTED_VALUE"""),"Alee Knoell, (619) 750-4833")</f>
        <v>Alee Knoell, (619) 750-4833</v>
      </c>
      <c r="P547" t="str">
        <f ca="1">IFERROR(__xludf.DUMMYFUNCTION("""COMPUTED_VALUE"""),"Pam")</f>
        <v>Pam</v>
      </c>
      <c r="Q547" t="str">
        <f ca="1">IFERROR(__xludf.DUMMYFUNCTION("""COMPUTED_VALUE"""),"All items in working order")</f>
        <v>All items in working order</v>
      </c>
      <c r="AE547" s="11"/>
      <c r="AF547" t="str">
        <v>Nikki.Dix@floridadep.gov</v>
      </c>
      <c r="AG547" s="17" t="s">
        <v>41</v>
      </c>
      <c r="AH547" s="12">
        <v>1228</v>
      </c>
      <c r="AI547" s="12" t="s">
        <v>1593</v>
      </c>
      <c r="AJ547" s="19" t="s">
        <v>1594</v>
      </c>
      <c r="AK547" s="20" t="str">
        <f>HYPERLINK("https://docs.google.com/document/d/1S15ptbHUUJq9aFc4SGFo2_I2sySu_Y8qRzPSL60d2DI/edit?usp=drivesdk","Pamela Marcum - 8/4/2020 9:15 AM")</f>
        <v>Pamela Marcum - 8/4/2020 9:15 AM</v>
      </c>
      <c r="AL547" s="12" t="s">
        <v>1595</v>
      </c>
    </row>
    <row r="548" spans="1:38" ht="12.75">
      <c r="A548" s="10">
        <f ca="1">IFERROR(__xludf.DUMMYFUNCTION("""COMPUTED_VALUE"""),44048.2847687268)</f>
        <v>44048.2847687268</v>
      </c>
      <c r="B548" s="11" t="str">
        <f ca="1">IFERROR(__xludf.DUMMYFUNCTION("""COMPUTED_VALUE"""),"Silas Tanner")</f>
        <v>Silas Tanner</v>
      </c>
      <c r="C548" t="str">
        <f ca="1">IFERROR(__xludf.DUMMYFUNCTION("""COMPUTED_VALUE"""),"silas.tanner@floridadep.gov")</f>
        <v>silas.tanner@floridadep.gov</v>
      </c>
      <c r="D548" t="str">
        <f ca="1">IFERROR(__xludf.DUMMYFUNCTION("""COMPUTED_VALUE"""),"Nikki Dix")</f>
        <v>Nikki Dix</v>
      </c>
      <c r="E548" t="str">
        <f ca="1">IFERROR(__xludf.DUMMYFUNCTION("""COMPUTED_VALUE"""),"Vilano Landing ")</f>
        <v xml:space="preserve">Vilano Landing </v>
      </c>
      <c r="F548" s="13">
        <f ca="1">IFERROR(__xludf.DUMMYFUNCTION("""COMPUTED_VALUE"""),0.33333333333212)</f>
        <v>0.33333333333212001</v>
      </c>
      <c r="G548" s="14">
        <f ca="1">IFERROR(__xludf.DUMMYFUNCTION("""COMPUTED_VALUE"""),44048)</f>
        <v>44048</v>
      </c>
      <c r="H548" t="str">
        <f ca="1">IFERROR(__xludf.DUMMYFUNCTION("""COMPUTED_VALUE"""),"ICW SWMP sites")</f>
        <v>ICW SWMP sites</v>
      </c>
      <c r="I548" s="15">
        <f ca="1">IFERROR(__xludf.DUMMYFUNCTION("""COMPUTED_VALUE"""),0.52083333333212)</f>
        <v>0.52083333333212001</v>
      </c>
      <c r="J548" s="16">
        <f ca="1">IFERROR(__xludf.DUMMYFUNCTION("""COMPUTED_VALUE"""),44048.53125)</f>
        <v>44048.53125</v>
      </c>
      <c r="K548" t="str">
        <f ca="1">IFERROR(__xludf.DUMMYFUNCTION("""COMPUTED_VALUE"""),"20ft Sea Ark FL5351SJ UNF 2015")</f>
        <v>20ft Sea Ark FL5351SJ UNF 2015</v>
      </c>
      <c r="M548" t="str">
        <f ca="1">IFERROR(__xludf.DUMMYFUNCTION("""COMPUTED_VALUE"""),"Ford F250 2017 (Moby Dix) - DEP0021578")</f>
        <v>Ford F250 2017 (Moby Dix) - DEP0021578</v>
      </c>
      <c r="N548" t="str">
        <f ca="1">IFERROR(__xludf.DUMMYFUNCTION("""COMPUTED_VALUE"""),"Shannon Dunnigan, (803) 727-5734, Silas Tanner, (904) 483-8423")</f>
        <v>Shannon Dunnigan, (803) 727-5734, Silas Tanner, (904) 483-8423</v>
      </c>
      <c r="O548" t="str">
        <f ca="1">IFERROR(__xludf.DUMMYFUNCTION("""COMPUTED_VALUE"""),"None")</f>
        <v>None</v>
      </c>
      <c r="P548" t="str">
        <f ca="1">IFERROR(__xludf.DUMMYFUNCTION("""COMPUTED_VALUE"""),"Silas Tanner")</f>
        <v>Silas Tanner</v>
      </c>
      <c r="Q548" t="str">
        <f ca="1">IFERROR(__xludf.DUMMYFUNCTION("""COMPUTED_VALUE"""),"All items in working order")</f>
        <v>All items in working order</v>
      </c>
      <c r="AE548" s="11"/>
      <c r="AF548" t="str">
        <v>Nikki.Dix@floridadep.gov</v>
      </c>
      <c r="AG548" s="17" t="s">
        <v>41</v>
      </c>
      <c r="AH548" s="12">
        <v>1140</v>
      </c>
      <c r="AI548" s="12" t="s">
        <v>1596</v>
      </c>
      <c r="AJ548" s="19" t="s">
        <v>1597</v>
      </c>
      <c r="AK548" s="20" t="str">
        <f>HYPERLINK("https://docs.google.com/document/d/1Jfu7MNTZxcWqcdmbBNfPU9qElNTyO5e-_VHY7GnFWzY/edit?usp=drivesdk","Silas Tanner - 8/5/2020 8:00 AM")</f>
        <v>Silas Tanner - 8/5/2020 8:00 AM</v>
      </c>
      <c r="AL548" s="12" t="s">
        <v>1598</v>
      </c>
    </row>
    <row r="549" spans="1:38" ht="12.75">
      <c r="A549" s="10">
        <f ca="1">IFERROR(__xludf.DUMMYFUNCTION("""COMPUTED_VALUE"""),44050.3530449768)</f>
        <v>44050.3530449768</v>
      </c>
      <c r="B549" s="11" t="str">
        <f ca="1">IFERROR(__xludf.DUMMYFUNCTION("""COMPUTED_VALUE"""),"Pamela Marcum")</f>
        <v>Pamela Marcum</v>
      </c>
      <c r="C549" t="str">
        <f ca="1">IFERROR(__xludf.DUMMYFUNCTION("""COMPUTED_VALUE"""),"pamela.marcum@floridadep.gov")</f>
        <v>pamela.marcum@floridadep.gov</v>
      </c>
      <c r="D549" t="str">
        <f ca="1">IFERROR(__xludf.DUMMYFUNCTION("""COMPUTED_VALUE"""),"Nikki Dix")</f>
        <v>Nikki Dix</v>
      </c>
      <c r="E549" t="str">
        <f ca="1">IFERROR(__xludf.DUMMYFUNCTION("""COMPUTED_VALUE"""),"Faver-Dykes")</f>
        <v>Faver-Dykes</v>
      </c>
      <c r="F549" s="13">
        <f ca="1">IFERROR(__xludf.DUMMYFUNCTION("""COMPUTED_VALUE"""),0.354166666667879)</f>
        <v>0.35416666666787899</v>
      </c>
      <c r="G549" s="14">
        <f ca="1">IFERROR(__xludf.DUMMYFUNCTION("""COMPUTED_VALUE"""),44050)</f>
        <v>44050</v>
      </c>
      <c r="H549" t="str">
        <f ca="1">IFERROR(__xludf.DUMMYFUNCTION("""COMPUTED_VALUE"""),"Upper Pellicer Creek")</f>
        <v>Upper Pellicer Creek</v>
      </c>
      <c r="I549" s="15">
        <f ca="1">IFERROR(__xludf.DUMMYFUNCTION("""COMPUTED_VALUE"""),0.5)</f>
        <v>0.5</v>
      </c>
      <c r="J549" s="16">
        <f ca="1">IFERROR(__xludf.DUMMYFUNCTION("""COMPUTED_VALUE"""),44050.5416666666)</f>
        <v>44050.541666666599</v>
      </c>
      <c r="K549" t="str">
        <f ca="1">IFERROR(__xludf.DUMMYFUNCTION("""COMPUTED_VALUE"""),"23ft Skiff (Bertha) FL7972LJ DEP07613")</f>
        <v>23ft Skiff (Bertha) FL7972LJ DEP07613</v>
      </c>
      <c r="M549" t="str">
        <f ca="1">IFERROR(__xludf.DUMMYFUNCTION("""COMPUTED_VALUE"""),"Ford F150 2015 (White) - DEP21448")</f>
        <v>Ford F150 2015 (White) - DEP21448</v>
      </c>
      <c r="N549" t="str">
        <f ca="1">IFERROR(__xludf.DUMMYFUNCTION("""COMPUTED_VALUE"""),"Pam Marcum, (480) 332-5414")</f>
        <v>Pam Marcum, (480) 332-5414</v>
      </c>
      <c r="O549" t="str">
        <f ca="1">IFERROR(__xludf.DUMMYFUNCTION("""COMPUTED_VALUE"""),"Alee Knoell, (619) 750-4833")</f>
        <v>Alee Knoell, (619) 750-4833</v>
      </c>
      <c r="P549" t="str">
        <f ca="1">IFERROR(__xludf.DUMMYFUNCTION("""COMPUTED_VALUE"""),"Pam")</f>
        <v>Pam</v>
      </c>
      <c r="Q549" t="str">
        <f ca="1">IFERROR(__xludf.DUMMYFUNCTION("""COMPUTED_VALUE"""),"All items in working order")</f>
        <v>All items in working order</v>
      </c>
      <c r="AE549" s="11"/>
      <c r="AF549" t="str">
        <v>Nikki.Dix@floridadep.gov</v>
      </c>
      <c r="AG549" s="17" t="s">
        <v>41</v>
      </c>
      <c r="AH549" s="12">
        <v>1227</v>
      </c>
      <c r="AI549" s="12" t="s">
        <v>1599</v>
      </c>
      <c r="AJ549" s="19" t="s">
        <v>1600</v>
      </c>
      <c r="AK549" s="20" t="str">
        <f>HYPERLINK("https://docs.google.com/document/d/1qma6puFFrt7NQoTtPamEsdozsztZmfmVmZUqUh87Dek/edit?usp=drivesdk","Pamela Marcum - 8/7/2020 8:30 AM")</f>
        <v>Pamela Marcum - 8/7/2020 8:30 AM</v>
      </c>
      <c r="AL549" s="12" t="s">
        <v>1601</v>
      </c>
    </row>
    <row r="550" spans="1:38" ht="12.75">
      <c r="A550" s="10">
        <f ca="1">IFERROR(__xludf.DUMMYFUNCTION("""COMPUTED_VALUE"""),44053.4000948263)</f>
        <v>44053.400094826298</v>
      </c>
      <c r="B550" s="11" t="str">
        <f ca="1">IFERROR(__xludf.DUMMYFUNCTION("""COMPUTED_VALUE"""),"Gabriela Canas")</f>
        <v>Gabriela Canas</v>
      </c>
      <c r="C550" t="str">
        <f ca="1">IFERROR(__xludf.DUMMYFUNCTION("""COMPUTED_VALUE"""),"n00836133@unf.edu")</f>
        <v>n00836133@unf.edu</v>
      </c>
      <c r="D550" t="str">
        <f ca="1">IFERROR(__xludf.DUMMYFUNCTION("""COMPUTED_VALUE"""),"Shannon Dunnigan")</f>
        <v>Shannon Dunnigan</v>
      </c>
      <c r="E550" t="str">
        <f ca="1">IFERROR(__xludf.DUMMYFUNCTION("""COMPUTED_VALUE"""),"Douglas crane")</f>
        <v>Douglas crane</v>
      </c>
      <c r="F550" s="13">
        <f ca="1">IFERROR(__xludf.DUMMYFUNCTION("""COMPUTED_VALUE"""),0.541666666667879)</f>
        <v>0.54166666666787899</v>
      </c>
      <c r="G550" s="14"/>
      <c r="H550" t="str">
        <f ca="1">IFERROR(__xludf.DUMMYFUNCTION("""COMPUTED_VALUE"""),"Wetfeet middle site")</f>
        <v>Wetfeet middle site</v>
      </c>
      <c r="I550" s="15">
        <f ca="1">IFERROR(__xludf.DUMMYFUNCTION("""COMPUTED_VALUE"""),0.666666666667879)</f>
        <v>0.66666666666787899</v>
      </c>
      <c r="J550" s="16">
        <f ca="1">IFERROR(__xludf.DUMMYFUNCTION("""COMPUTED_VALUE"""),44041.7083333333)</f>
        <v>44041.708333333299</v>
      </c>
      <c r="K550" t="str">
        <f ca="1">IFERROR(__xludf.DUMMYFUNCTION("""COMPUTED_VALUE"""),"20ft Sea Ark FL5351SJ UNF 2015")</f>
        <v>20ft Sea Ark FL5351SJ UNF 2015</v>
      </c>
      <c r="M550" t="str">
        <f ca="1">IFERROR(__xludf.DUMMYFUNCTION("""COMPUTED_VALUE"""),"Ford F150 2015 (White) - DEP21448")</f>
        <v>Ford F150 2015 (White) - DEP21448</v>
      </c>
      <c r="N550" t="str">
        <f ca="1">IFERROR(__xludf.DUMMYFUNCTION("""COMPUTED_VALUE"""),"Pam Marcum, (480) 332-5414")</f>
        <v>Pam Marcum, (480) 332-5414</v>
      </c>
      <c r="O550" t="str">
        <f ca="1">IFERROR(__xludf.DUMMYFUNCTION("""COMPUTED_VALUE"""),"Gabriela Canas, (904) 891-9743")</f>
        <v>Gabriela Canas, (904) 891-9743</v>
      </c>
      <c r="P550" t="str">
        <f ca="1">IFERROR(__xludf.DUMMYFUNCTION("""COMPUTED_VALUE"""),"Pam")</f>
        <v>Pam</v>
      </c>
      <c r="Q550" t="str">
        <f ca="1">IFERROR(__xludf.DUMMYFUNCTION("""COMPUTED_VALUE"""),"All items in working order")</f>
        <v>All items in working order</v>
      </c>
      <c r="AE550" s="11"/>
      <c r="AF550" t="str">
        <v>Shannon.Dunnigan@floridadep.gov</v>
      </c>
      <c r="AG550" s="17" t="s">
        <v>507</v>
      </c>
      <c r="AH550" s="12" t="s">
        <v>1602</v>
      </c>
      <c r="AI550" s="12" t="s">
        <v>1603</v>
      </c>
      <c r="AJ550" s="19" t="s">
        <v>1604</v>
      </c>
      <c r="AK550" s="20" t="str">
        <f>HYPERLINK("https://docs.google.com/document/d/1THdyICZ1L8LA9MCvuwsx2tIuGityBrXTE6fqFyE5tQw/edit?usp=drivesdk","Gabriela Canas -  1:00 PM")</f>
        <v>Gabriela Canas -  1:00 PM</v>
      </c>
      <c r="AL550" s="12" t="s">
        <v>1605</v>
      </c>
    </row>
    <row r="551" spans="1:38" ht="12.75">
      <c r="A551" s="10">
        <f ca="1">IFERROR(__xludf.DUMMYFUNCTION("""COMPUTED_VALUE"""),44055.2984251967)</f>
        <v>44055.298425196699</v>
      </c>
      <c r="B551" s="11" t="str">
        <f ca="1">IFERROR(__xludf.DUMMYFUNCTION("""COMPUTED_VALUE"""),"Pam Marcum")</f>
        <v>Pam Marcum</v>
      </c>
      <c r="C551" t="str">
        <f ca="1">IFERROR(__xludf.DUMMYFUNCTION("""COMPUTED_VALUE"""),"pamela.marcum@floridadep.gov")</f>
        <v>pamela.marcum@floridadep.gov</v>
      </c>
      <c r="D551" t="str">
        <f ca="1">IFERROR(__xludf.DUMMYFUNCTION("""COMPUTED_VALUE"""),"Shannon Dunnigan")</f>
        <v>Shannon Dunnigan</v>
      </c>
      <c r="E551" t="str">
        <f ca="1">IFERROR(__xludf.DUMMYFUNCTION("""COMPUTED_VALUE"""),"Shore Dr")</f>
        <v>Shore Dr</v>
      </c>
      <c r="F551" s="13">
        <f ca="1">IFERROR(__xludf.DUMMYFUNCTION("""COMPUTED_VALUE"""),0.30208333333212)</f>
        <v>0.30208333333212001</v>
      </c>
      <c r="G551" s="14">
        <f ca="1">IFERROR(__xludf.DUMMYFUNCTION("""COMPUTED_VALUE"""),44055)</f>
        <v>44055</v>
      </c>
      <c r="H551" t="str">
        <f ca="1">IFERROR(__xludf.DUMMYFUNCTION("""COMPUTED_VALUE"""),"Gabby's Creek")</f>
        <v>Gabby's Creek</v>
      </c>
      <c r="I551" s="15">
        <f ca="1">IFERROR(__xludf.DUMMYFUNCTION("""COMPUTED_VALUE"""),0.58333333333212)</f>
        <v>0.58333333333212001</v>
      </c>
      <c r="J551" s="16">
        <f ca="1">IFERROR(__xludf.DUMMYFUNCTION("""COMPUTED_VALUE"""),44055.6041666666)</f>
        <v>44055.604166666599</v>
      </c>
      <c r="K551" t="str">
        <f ca="1">IFERROR(__xludf.DUMMYFUNCTION("""COMPUTED_VALUE"""),"23ft Skiff (Bertha) FL7972LJ DEP07613")</f>
        <v>23ft Skiff (Bertha) FL7972LJ DEP07613</v>
      </c>
      <c r="M551" t="str">
        <f ca="1">IFERROR(__xludf.DUMMYFUNCTION("""COMPUTED_VALUE"""),"Ford F150 2015 (White) - DEP21448")</f>
        <v>Ford F150 2015 (White) - DEP21448</v>
      </c>
      <c r="N551" t="str">
        <f ca="1">IFERROR(__xludf.DUMMYFUNCTION("""COMPUTED_VALUE"""),"Pam Marcum, (480) 332-5414")</f>
        <v>Pam Marcum, (480) 332-5414</v>
      </c>
      <c r="O551" t="str">
        <f ca="1">IFERROR(__xludf.DUMMYFUNCTION("""COMPUTED_VALUE"""),"Gabriela Canas, (904) 891-9743, Catherine Selin")</f>
        <v>Gabriela Canas, (904) 891-9743, Catherine Selin</v>
      </c>
      <c r="P551" t="str">
        <f ca="1">IFERROR(__xludf.DUMMYFUNCTION("""COMPUTED_VALUE"""),"Pam")</f>
        <v>Pam</v>
      </c>
      <c r="Q551" t="str">
        <f ca="1">IFERROR(__xludf.DUMMYFUNCTION("""COMPUTED_VALUE"""),"All items in working order")</f>
        <v>All items in working order</v>
      </c>
      <c r="AE551" s="11"/>
      <c r="AF551" t="str">
        <v>Shannon.Dunnigan@floridadep.gov</v>
      </c>
      <c r="AG551" s="17" t="s">
        <v>507</v>
      </c>
      <c r="AH551" s="12">
        <v>1514</v>
      </c>
      <c r="AI551" s="12" t="s">
        <v>1606</v>
      </c>
      <c r="AJ551" s="19" t="s">
        <v>1607</v>
      </c>
      <c r="AK551" s="20" t="str">
        <f>HYPERLINK("https://docs.google.com/document/d/146mwHouOjG7aheOjGaaxhClEhLGk3MCg5yq1yEL_oJI/edit?usp=drivesdk","Pam Marcum - 8/12/2020 7:15 AM")</f>
        <v>Pam Marcum - 8/12/2020 7:15 AM</v>
      </c>
      <c r="AL551" s="12" t="s">
        <v>1608</v>
      </c>
    </row>
    <row r="552" spans="1:38" ht="12.75">
      <c r="A552" s="10">
        <f ca="1">IFERROR(__xludf.DUMMYFUNCTION("""COMPUTED_VALUE"""),44056.3599490625)</f>
        <v>44056.359949062498</v>
      </c>
      <c r="B552" s="11" t="str">
        <f ca="1">IFERROR(__xludf.DUMMYFUNCTION("""COMPUTED_VALUE"""),"Pam Marcum")</f>
        <v>Pam Marcum</v>
      </c>
      <c r="C552" t="str">
        <f ca="1">IFERROR(__xludf.DUMMYFUNCTION("""COMPUTED_VALUE"""),"pamela.marcum@floridadep.gov")</f>
        <v>pamela.marcum@floridadep.gov</v>
      </c>
      <c r="D552" t="str">
        <f ca="1">IFERROR(__xludf.DUMMYFUNCTION("""COMPUTED_VALUE"""),"Shannon Dunnigan")</f>
        <v>Shannon Dunnigan</v>
      </c>
      <c r="E552" t="str">
        <f ca="1">IFERROR(__xludf.DUMMYFUNCTION("""COMPUTED_VALUE"""),"Shore Dr")</f>
        <v>Shore Dr</v>
      </c>
      <c r="F552" s="13">
        <f ca="1">IFERROR(__xludf.DUMMYFUNCTION("""COMPUTED_VALUE"""),0.30208333333212)</f>
        <v>0.30208333333212001</v>
      </c>
      <c r="G552" s="14">
        <f ca="1">IFERROR(__xludf.DUMMYFUNCTION("""COMPUTED_VALUE"""),44056)</f>
        <v>44056</v>
      </c>
      <c r="H552" t="str">
        <f ca="1">IFERROR(__xludf.DUMMYFUNCTION("""COMPUTED_VALUE"""),"Gabbys Creek")</f>
        <v>Gabbys Creek</v>
      </c>
      <c r="I552" s="15">
        <f ca="1">IFERROR(__xludf.DUMMYFUNCTION("""COMPUTED_VALUE"""),0.666666666667879)</f>
        <v>0.66666666666787899</v>
      </c>
      <c r="J552" s="16">
        <f ca="1">IFERROR(__xludf.DUMMYFUNCTION("""COMPUTED_VALUE"""),44056.6875)</f>
        <v>44056.6875</v>
      </c>
      <c r="K552" t="str">
        <f ca="1">IFERROR(__xludf.DUMMYFUNCTION("""COMPUTED_VALUE"""),"Jon Boat 1 FL5992RR DEP154045")</f>
        <v>Jon Boat 1 FL5992RR DEP154045</v>
      </c>
      <c r="M552" t="str">
        <f ca="1">IFERROR(__xludf.DUMMYFUNCTION("""COMPUTED_VALUE"""),"Ford F150 2008 (SWMP Thing) - DEP18041")</f>
        <v>Ford F150 2008 (SWMP Thing) - DEP18041</v>
      </c>
      <c r="N552" t="str">
        <f ca="1">IFERROR(__xludf.DUMMYFUNCTION("""COMPUTED_VALUE"""),"Pam Marcum, (480) 332-5414")</f>
        <v>Pam Marcum, (480) 332-5414</v>
      </c>
      <c r="O552" t="str">
        <f ca="1">IFERROR(__xludf.DUMMYFUNCTION("""COMPUTED_VALUE"""),"Cat Selin, Erin Tice")</f>
        <v>Cat Selin, Erin Tice</v>
      </c>
      <c r="P552" t="str">
        <f ca="1">IFERROR(__xludf.DUMMYFUNCTION("""COMPUTED_VALUE"""),"Pam")</f>
        <v>Pam</v>
      </c>
      <c r="Q552" t="str">
        <f ca="1">IFERROR(__xludf.DUMMYFUNCTION("""COMPUTED_VALUE"""),"All items in working order")</f>
        <v>All items in working order</v>
      </c>
      <c r="AE552" s="11"/>
      <c r="AF552" t="str">
        <v>Shannon.Dunnigan@floridadep.gov</v>
      </c>
      <c r="AG552" s="17" t="s">
        <v>1568</v>
      </c>
      <c r="AH552" s="12">
        <v>1428</v>
      </c>
      <c r="AI552" s="12" t="s">
        <v>1609</v>
      </c>
      <c r="AJ552" s="19" t="s">
        <v>1610</v>
      </c>
      <c r="AK552" s="20" t="str">
        <f>HYPERLINK("https://docs.google.com/document/d/1PZFxSVDVF3SJp95FztnTIEm9_SQlJX4zUpmcX1M4rdQ/edit?usp=drivesdk","Pam Marcum - 8/13/2020 7:15 AM")</f>
        <v>Pam Marcum - 8/13/2020 7:15 AM</v>
      </c>
      <c r="AL552" s="12" t="s">
        <v>1611</v>
      </c>
    </row>
    <row r="553" spans="1:38" ht="12.75">
      <c r="A553" s="10">
        <f ca="1">IFERROR(__xludf.DUMMYFUNCTION("""COMPUTED_VALUE"""),44056.3613481828)</f>
        <v>44056.3613481828</v>
      </c>
      <c r="B553" s="11" t="str">
        <f ca="1">IFERROR(__xludf.DUMMYFUNCTION("""COMPUTED_VALUE"""),"Pam Marcum")</f>
        <v>Pam Marcum</v>
      </c>
      <c r="C553" t="str">
        <f ca="1">IFERROR(__xludf.DUMMYFUNCTION("""COMPUTED_VALUE"""),"pamela.marcum@floridadep.gov")</f>
        <v>pamela.marcum@floridadep.gov</v>
      </c>
      <c r="D553" t="str">
        <f ca="1">IFERROR(__xludf.DUMMYFUNCTION("""COMPUTED_VALUE"""),"Shannon Dunnigan")</f>
        <v>Shannon Dunnigan</v>
      </c>
      <c r="E553" t="str">
        <f ca="1">IFERROR(__xludf.DUMMYFUNCTION("""COMPUTED_VALUE"""),"Shore Dr")</f>
        <v>Shore Dr</v>
      </c>
      <c r="F553" s="13">
        <f ca="1">IFERROR(__xludf.DUMMYFUNCTION("""COMPUTED_VALUE"""),0.30208333333212)</f>
        <v>0.30208333333212001</v>
      </c>
      <c r="G553" s="14">
        <f ca="1">IFERROR(__xludf.DUMMYFUNCTION("""COMPUTED_VALUE"""),44056)</f>
        <v>44056</v>
      </c>
      <c r="H553" t="str">
        <f ca="1">IFERROR(__xludf.DUMMYFUNCTION("""COMPUTED_VALUE"""),"Gabbys Creek")</f>
        <v>Gabbys Creek</v>
      </c>
      <c r="I553" s="15">
        <f ca="1">IFERROR(__xludf.DUMMYFUNCTION("""COMPUTED_VALUE"""),0.666666666667879)</f>
        <v>0.66666666666787899</v>
      </c>
      <c r="J553" s="16">
        <f ca="1">IFERROR(__xludf.DUMMYFUNCTION("""COMPUTED_VALUE"""),44056.6875)</f>
        <v>44056.6875</v>
      </c>
      <c r="K553" t="str">
        <f ca="1">IFERROR(__xludf.DUMMYFUNCTION("""COMPUTED_VALUE"""),"23ft Skiff (Bertha) FL7972LJ DEP07613")</f>
        <v>23ft Skiff (Bertha) FL7972LJ DEP07613</v>
      </c>
      <c r="M553" t="str">
        <f ca="1">IFERROR(__xludf.DUMMYFUNCTION("""COMPUTED_VALUE"""),"Ford F150 2015 (White) - DEP21448")</f>
        <v>Ford F150 2015 (White) - DEP21448</v>
      </c>
      <c r="N553" t="str">
        <f ca="1">IFERROR(__xludf.DUMMYFUNCTION("""COMPUTED_VALUE"""),"Remo Mondazzi")</f>
        <v>Remo Mondazzi</v>
      </c>
      <c r="O553" t="str">
        <f ca="1">IFERROR(__xludf.DUMMYFUNCTION("""COMPUTED_VALUE"""),"Gabriela Canas, (904) 891-9743, Alee Knoell, (619) 750-4833")</f>
        <v>Gabriela Canas, (904) 891-9743, Alee Knoell, (619) 750-4833</v>
      </c>
      <c r="P553" t="str">
        <f ca="1">IFERROR(__xludf.DUMMYFUNCTION("""COMPUTED_VALUE"""),"Remo")</f>
        <v>Remo</v>
      </c>
      <c r="Q553" t="str">
        <f ca="1">IFERROR(__xludf.DUMMYFUNCTION("""COMPUTED_VALUE"""),"All items in working order")</f>
        <v>All items in working order</v>
      </c>
      <c r="AE553" s="11"/>
      <c r="AF553" t="str">
        <v>Shannon.Dunnigan@floridadep.gov</v>
      </c>
      <c r="AG553" s="17" t="s">
        <v>1568</v>
      </c>
      <c r="AH553" s="12">
        <v>1500</v>
      </c>
      <c r="AI553" s="12" t="s">
        <v>1612</v>
      </c>
      <c r="AJ553" s="19" t="s">
        <v>1613</v>
      </c>
      <c r="AK553" s="20" t="str">
        <f>HYPERLINK("https://docs.google.com/document/d/1zkHBsV4qc-kLULeZhRe3eZljIkCzhWEvX5NqW3s8CUg/edit?usp=drivesdk","Pam Marcum - 8/13/2020 7:15 AM")</f>
        <v>Pam Marcum - 8/13/2020 7:15 AM</v>
      </c>
      <c r="AL553" s="12" t="s">
        <v>1614</v>
      </c>
    </row>
    <row r="554" spans="1:38" ht="12.75">
      <c r="A554" s="10">
        <f ca="1">IFERROR(__xludf.DUMMYFUNCTION("""COMPUTED_VALUE"""),44060.3374825578)</f>
        <v>44060.337482557799</v>
      </c>
      <c r="B554" s="11" t="str">
        <f ca="1">IFERROR(__xludf.DUMMYFUNCTION("""COMPUTED_VALUE"""),"Pam Marcum")</f>
        <v>Pam Marcum</v>
      </c>
      <c r="C554" t="str">
        <f ca="1">IFERROR(__xludf.DUMMYFUNCTION("""COMPUTED_VALUE"""),"pamela.marcum@floridadep.gov")</f>
        <v>pamela.marcum@floridadep.gov</v>
      </c>
      <c r="D554" t="str">
        <f ca="1">IFERROR(__xludf.DUMMYFUNCTION("""COMPUTED_VALUE"""),"Nikki Dix")</f>
        <v>Nikki Dix</v>
      </c>
      <c r="E554" t="str">
        <f ca="1">IFERROR(__xludf.DUMMYFUNCTION("""COMPUTED_VALUE"""),"Shore Dr")</f>
        <v>Shore Dr</v>
      </c>
      <c r="F554" s="13">
        <f ca="1">IFERROR(__xludf.DUMMYFUNCTION("""COMPUTED_VALUE"""),0.3125)</f>
        <v>0.3125</v>
      </c>
      <c r="G554" s="14">
        <f ca="1">IFERROR(__xludf.DUMMYFUNCTION("""COMPUTED_VALUE"""),44060)</f>
        <v>44060</v>
      </c>
      <c r="H554" t="str">
        <f ca="1">IFERROR(__xludf.DUMMYFUNCTION("""COMPUTED_VALUE"""),"Gabbys creek")</f>
        <v>Gabbys creek</v>
      </c>
      <c r="I554" s="15">
        <f ca="1">IFERROR(__xludf.DUMMYFUNCTION("""COMPUTED_VALUE"""),0.58333333333212)</f>
        <v>0.58333333333212001</v>
      </c>
      <c r="J554" s="16">
        <f ca="1">IFERROR(__xludf.DUMMYFUNCTION("""COMPUTED_VALUE"""),44060.625)</f>
        <v>44060.625</v>
      </c>
      <c r="K554" t="str">
        <f ca="1">IFERROR(__xludf.DUMMYFUNCTION("""COMPUTED_VALUE"""),"23ft Skiff (Bertha) FL7972LJ DEP07613")</f>
        <v>23ft Skiff (Bertha) FL7972LJ DEP07613</v>
      </c>
      <c r="M554" t="str">
        <f ca="1">IFERROR(__xludf.DUMMYFUNCTION("""COMPUTED_VALUE"""),"Ford F150 2015 (White) - DEP21448")</f>
        <v>Ford F150 2015 (White) - DEP21448</v>
      </c>
      <c r="N554" t="str">
        <f ca="1">IFERROR(__xludf.DUMMYFUNCTION("""COMPUTED_VALUE"""),"Pam Marcum, (480) 332-5414")</f>
        <v>Pam Marcum, (480) 332-5414</v>
      </c>
      <c r="O554" t="str">
        <f ca="1">IFERROR(__xludf.DUMMYFUNCTION("""COMPUTED_VALUE"""),"Ches, Sam, Adam, Nicole, Phil")</f>
        <v>Ches, Sam, Adam, Nicole, Phil</v>
      </c>
      <c r="P554" t="str">
        <f ca="1">IFERROR(__xludf.DUMMYFUNCTION("""COMPUTED_VALUE"""),"Pam")</f>
        <v>Pam</v>
      </c>
      <c r="Q554" t="str">
        <f ca="1">IFERROR(__xludf.DUMMYFUNCTION("""COMPUTED_VALUE"""),"All items in working order")</f>
        <v>All items in working order</v>
      </c>
      <c r="AE554" s="11"/>
      <c r="AF554" t="str">
        <v>Nikki.Dix@floridadep.gov</v>
      </c>
      <c r="AG554" s="17" t="s">
        <v>41</v>
      </c>
      <c r="AH554" s="12">
        <v>1422</v>
      </c>
      <c r="AI554" s="12" t="s">
        <v>1615</v>
      </c>
      <c r="AJ554" s="19" t="s">
        <v>1616</v>
      </c>
      <c r="AK554" s="20" t="str">
        <f>HYPERLINK("https://docs.google.com/document/d/1T0BVJzGfN8ijap99bejNCNJ_m3mJfzCO4wxnGf2pyO0/edit?usp=drivesdk","Pam Marcum - 8/17/2020 7:30 AM")</f>
        <v>Pam Marcum - 8/17/2020 7:30 AM</v>
      </c>
      <c r="AL554" s="12" t="s">
        <v>1617</v>
      </c>
    </row>
    <row r="555" spans="1:38" ht="12.75">
      <c r="A555" s="10">
        <f ca="1">IFERROR(__xludf.DUMMYFUNCTION("""COMPUTED_VALUE"""),44060.3385952083)</f>
        <v>44060.338595208297</v>
      </c>
      <c r="B555" s="11" t="str">
        <f ca="1">IFERROR(__xludf.DUMMYFUNCTION("""COMPUTED_VALUE"""),"Gabby Canas")</f>
        <v>Gabby Canas</v>
      </c>
      <c r="C555" t="str">
        <f ca="1">IFERROR(__xludf.DUMMYFUNCTION("""COMPUTED_VALUE"""),"gabby.canas@floridadep.gov")</f>
        <v>gabby.canas@floridadep.gov</v>
      </c>
      <c r="D555" t="str">
        <f ca="1">IFERROR(__xludf.DUMMYFUNCTION("""COMPUTED_VALUE"""),"Nikki Dix")</f>
        <v>Nikki Dix</v>
      </c>
      <c r="E555" t="str">
        <f ca="1">IFERROR(__xludf.DUMMYFUNCTION("""COMPUTED_VALUE"""),"Shore Dr")</f>
        <v>Shore Dr</v>
      </c>
      <c r="F555" s="13">
        <f ca="1">IFERROR(__xludf.DUMMYFUNCTION("""COMPUTED_VALUE"""),0.3125)</f>
        <v>0.3125</v>
      </c>
      <c r="G555" s="14">
        <f ca="1">IFERROR(__xludf.DUMMYFUNCTION("""COMPUTED_VALUE"""),44060)</f>
        <v>44060</v>
      </c>
      <c r="H555" t="str">
        <f ca="1">IFERROR(__xludf.DUMMYFUNCTION("""COMPUTED_VALUE"""),"Gabbys creek")</f>
        <v>Gabbys creek</v>
      </c>
      <c r="I555" s="15">
        <f ca="1">IFERROR(__xludf.DUMMYFUNCTION("""COMPUTED_VALUE"""),0.58333333333212)</f>
        <v>0.58333333333212001</v>
      </c>
      <c r="J555" s="16">
        <f ca="1">IFERROR(__xludf.DUMMYFUNCTION("""COMPUTED_VALUE"""),44060.625)</f>
        <v>44060.625</v>
      </c>
      <c r="K555" t="str">
        <f ca="1">IFERROR(__xludf.DUMMYFUNCTION("""COMPUTED_VALUE"""),"20ft Sea Ark FL5351SJ UNF 2015")</f>
        <v>20ft Sea Ark FL5351SJ UNF 2015</v>
      </c>
      <c r="M555" t="str">
        <f ca="1">IFERROR(__xludf.DUMMYFUNCTION("""COMPUTED_VALUE"""),"Ford F250 2017 (Moby Dix) - DEP0021578")</f>
        <v>Ford F250 2017 (Moby Dix) - DEP0021578</v>
      </c>
      <c r="N555" t="str">
        <f ca="1">IFERROR(__xludf.DUMMYFUNCTION("""COMPUTED_VALUE"""),"Gabby Canas")</f>
        <v>Gabby Canas</v>
      </c>
      <c r="O555" t="str">
        <f ca="1">IFERROR(__xludf.DUMMYFUNCTION("""COMPUTED_VALUE"""),"Demir")</f>
        <v>Demir</v>
      </c>
      <c r="P555" t="str">
        <f ca="1">IFERROR(__xludf.DUMMYFUNCTION("""COMPUTED_VALUE"""),"Gabby")</f>
        <v>Gabby</v>
      </c>
      <c r="Q555" t="str">
        <f ca="1">IFERROR(__xludf.DUMMYFUNCTION("""COMPUTED_VALUE"""),"All items in working order")</f>
        <v>All items in working order</v>
      </c>
      <c r="AE555" s="11"/>
      <c r="AF555" t="str">
        <v>Nikki.Dix@floridadep.gov</v>
      </c>
      <c r="AG555" s="17" t="s">
        <v>41</v>
      </c>
      <c r="AH555" s="12">
        <v>1422</v>
      </c>
      <c r="AI555" s="12" t="s">
        <v>1618</v>
      </c>
      <c r="AJ555" s="19" t="s">
        <v>1619</v>
      </c>
      <c r="AK555" s="20" t="str">
        <f>HYPERLINK("https://docs.google.com/document/d/1hPUo9axws3wB8I0xnB6B8DVDZrOClI1LSSWAHHnj03U/edit?usp=drivesdk","Gabby Canas - 8/17/2020 7:30 AM")</f>
        <v>Gabby Canas - 8/17/2020 7:30 AM</v>
      </c>
      <c r="AL555" s="12" t="s">
        <v>1620</v>
      </c>
    </row>
    <row r="556" spans="1:38" ht="12.75">
      <c r="A556" s="10">
        <f ca="1">IFERROR(__xludf.DUMMYFUNCTION("""COMPUTED_VALUE"""),44060.36530228)</f>
        <v>44060.365302279999</v>
      </c>
      <c r="B556" s="11" t="str">
        <f ca="1">IFERROR(__xludf.DUMMYFUNCTION("""COMPUTED_VALUE"""),"Jessica Lee")</f>
        <v>Jessica Lee</v>
      </c>
      <c r="C556" t="str">
        <f ca="1">IFERROR(__xludf.DUMMYFUNCTION("""COMPUTED_VALUE"""),"jessica.lee@floridadep.gov")</f>
        <v>jessica.lee@floridadep.gov</v>
      </c>
      <c r="D556" t="str">
        <f ca="1">IFERROR(__xludf.DUMMYFUNCTION("""COMPUTED_VALUE"""),"Nikki Dix")</f>
        <v>Nikki Dix</v>
      </c>
      <c r="E556" t="str">
        <f ca="1">IFERROR(__xludf.DUMMYFUNCTION("""COMPUTED_VALUE"""),"Guana")</f>
        <v>Guana</v>
      </c>
      <c r="F556" s="13">
        <f ca="1">IFERROR(__xludf.DUMMYFUNCTION("""COMPUTED_VALUE"""),0.409722222222626)</f>
        <v>0.409722222222626</v>
      </c>
      <c r="G556" s="14">
        <f ca="1">IFERROR(__xludf.DUMMYFUNCTION("""COMPUTED_VALUE"""),44060)</f>
        <v>44060</v>
      </c>
      <c r="H556" t="str">
        <f ca="1">IFERROR(__xludf.DUMMYFUNCTION("""COMPUTED_VALUE"""),"Guana River")</f>
        <v>Guana River</v>
      </c>
      <c r="I556" s="15">
        <f ca="1">IFERROR(__xludf.DUMMYFUNCTION("""COMPUTED_VALUE"""),0.4375)</f>
        <v>0.4375</v>
      </c>
      <c r="J556" s="16">
        <f ca="1">IFERROR(__xludf.DUMMYFUNCTION("""COMPUTED_VALUE"""),44060.4513888888)</f>
        <v>44060.451388888803</v>
      </c>
      <c r="K556" t="str">
        <f ca="1">IFERROR(__xludf.DUMMYFUNCTION("""COMPUTED_VALUE"""),"Jon Boat 2 FL4480RJ DEP152154")</f>
        <v>Jon Boat 2 FL4480RJ DEP152154</v>
      </c>
      <c r="M556" t="str">
        <f ca="1">IFERROR(__xludf.DUMMYFUNCTION("""COMPUTED_VALUE"""),"Ford F150 2008 (SWMP Thing) - DEP18041")</f>
        <v>Ford F150 2008 (SWMP Thing) - DEP18041</v>
      </c>
      <c r="N556" t="str">
        <f ca="1">IFERROR(__xludf.DUMMYFUNCTION("""COMPUTED_VALUE"""),"Jimmy Tomazinis, (904) 547-0094")</f>
        <v>Jimmy Tomazinis, (904) 547-0094</v>
      </c>
      <c r="O556" t="str">
        <f ca="1">IFERROR(__xludf.DUMMYFUNCTION("""COMPUTED_VALUE"""),"Jess")</f>
        <v>Jess</v>
      </c>
      <c r="P556" t="str">
        <f ca="1">IFERROR(__xludf.DUMMYFUNCTION("""COMPUTED_VALUE"""),"Jess")</f>
        <v>Jess</v>
      </c>
      <c r="Q556" t="str">
        <f ca="1">IFERROR(__xludf.DUMMYFUNCTION("""COMPUTED_VALUE"""),"All items in working order")</f>
        <v>All items in working order</v>
      </c>
      <c r="AE556" s="11"/>
      <c r="AF556" t="str">
        <v>Nikki.Dix@floridadep.gov</v>
      </c>
      <c r="AG556" s="17" t="s">
        <v>41</v>
      </c>
      <c r="AH556" s="12">
        <v>1020</v>
      </c>
      <c r="AI556" s="12" t="s">
        <v>1621</v>
      </c>
      <c r="AJ556" s="19" t="s">
        <v>1622</v>
      </c>
      <c r="AK556" s="20" t="str">
        <f>HYPERLINK("https://docs.google.com/document/d/1bpBNnEjekTILLoQsrtLwsvTXP7RiNHlmSJT6fKv6jds/edit?usp=drivesdk","Jessica Lee - 8/17/2020 9:50 AM")</f>
        <v>Jessica Lee - 8/17/2020 9:50 AM</v>
      </c>
      <c r="AL556" s="12" t="s">
        <v>1623</v>
      </c>
    </row>
    <row r="557" spans="1:38" ht="12.75">
      <c r="A557" s="10">
        <f ca="1">IFERROR(__xludf.DUMMYFUNCTION("""COMPUTED_VALUE"""),44061.3448520023)</f>
        <v>44061.344852002301</v>
      </c>
      <c r="B557" s="11" t="str">
        <f ca="1">IFERROR(__xludf.DUMMYFUNCTION("""COMPUTED_VALUE"""),"Pam Marcum")</f>
        <v>Pam Marcum</v>
      </c>
      <c r="C557" t="str">
        <f ca="1">IFERROR(__xludf.DUMMYFUNCTION("""COMPUTED_VALUE"""),"pamela.marcum@floridadep.gov")</f>
        <v>pamela.marcum@floridadep.gov</v>
      </c>
      <c r="D557" t="str">
        <f ca="1">IFERROR(__xludf.DUMMYFUNCTION("""COMPUTED_VALUE"""),"Silas Tanner")</f>
        <v>Silas Tanner</v>
      </c>
      <c r="E557" t="str">
        <f ca="1">IFERROR(__xludf.DUMMYFUNCTION("""COMPUTED_VALUE"""),"Vilano")</f>
        <v>Vilano</v>
      </c>
      <c r="F557" s="13">
        <f ca="1">IFERROR(__xludf.DUMMYFUNCTION("""COMPUTED_VALUE"""),0.34375)</f>
        <v>0.34375</v>
      </c>
      <c r="G557" s="14">
        <f ca="1">IFERROR(__xludf.DUMMYFUNCTION("""COMPUTED_VALUE"""),44061)</f>
        <v>44061</v>
      </c>
      <c r="H557" t="str">
        <f ca="1">IFERROR(__xludf.DUMMYFUNCTION("""COMPUTED_VALUE"""),"Nutrient Run")</f>
        <v>Nutrient Run</v>
      </c>
      <c r="I557" s="15">
        <f ca="1">IFERROR(__xludf.DUMMYFUNCTION("""COMPUTED_VALUE"""),0.541666666667879)</f>
        <v>0.54166666666787899</v>
      </c>
      <c r="J557" s="16">
        <f ca="1">IFERROR(__xludf.DUMMYFUNCTION("""COMPUTED_VALUE"""),44061.5625)</f>
        <v>44061.5625</v>
      </c>
      <c r="K557" t="str">
        <f ca="1">IFERROR(__xludf.DUMMYFUNCTION("""COMPUTED_VALUE"""),"23ft Skiff (Bertha) FL7972LJ DEP07613")</f>
        <v>23ft Skiff (Bertha) FL7972LJ DEP07613</v>
      </c>
      <c r="M557" t="str">
        <f ca="1">IFERROR(__xludf.DUMMYFUNCTION("""COMPUTED_VALUE"""),"Ford F150 2015 (White) - DEP21448")</f>
        <v>Ford F150 2015 (White) - DEP21448</v>
      </c>
      <c r="N557" t="str">
        <f ca="1">IFERROR(__xludf.DUMMYFUNCTION("""COMPUTED_VALUE"""),"Pam Marcum, (480) 332-5414")</f>
        <v>Pam Marcum, (480) 332-5414</v>
      </c>
      <c r="O557" t="str">
        <f ca="1">IFERROR(__xludf.DUMMYFUNCTION("""COMPUTED_VALUE"""),"Alee Knoell, (619) 750-4833")</f>
        <v>Alee Knoell, (619) 750-4833</v>
      </c>
      <c r="P557" t="str">
        <f ca="1">IFERROR(__xludf.DUMMYFUNCTION("""COMPUTED_VALUE"""),"Pam")</f>
        <v>Pam</v>
      </c>
      <c r="Q557" t="str">
        <f ca="1">IFERROR(__xludf.DUMMYFUNCTION("""COMPUTED_VALUE"""),"All items in working order")</f>
        <v>All items in working order</v>
      </c>
      <c r="AE557" s="11"/>
      <c r="AF557" t="str">
        <v>Silas.Tanner@floridadep.gov</v>
      </c>
      <c r="AG557" s="17" t="s">
        <v>1568</v>
      </c>
      <c r="AH557" s="12">
        <v>1313</v>
      </c>
      <c r="AI557" s="12" t="s">
        <v>1624</v>
      </c>
      <c r="AJ557" s="19" t="s">
        <v>1625</v>
      </c>
      <c r="AK557" s="20" t="str">
        <f>HYPERLINK("https://docs.google.com/document/d/1pkIBFW1gRbyD3YvB5xgGMFmoAjuEz1P_wLzVY3WATC0/edit?usp=drivesdk","Pam Marcum - 8/18/2020 8:15 AM")</f>
        <v>Pam Marcum - 8/18/2020 8:15 AM</v>
      </c>
      <c r="AL557" s="12" t="s">
        <v>1626</v>
      </c>
    </row>
    <row r="558" spans="1:38" ht="12.75">
      <c r="A558" s="10">
        <f ca="1">IFERROR(__xludf.DUMMYFUNCTION("""COMPUTED_VALUE"""),44062.4236901273)</f>
        <v>44062.423690127303</v>
      </c>
      <c r="B558" s="11" t="str">
        <f ca="1">IFERROR(__xludf.DUMMYFUNCTION("""COMPUTED_VALUE"""),"Jessica Lee")</f>
        <v>Jessica Lee</v>
      </c>
      <c r="C558" t="str">
        <f ca="1">IFERROR(__xludf.DUMMYFUNCTION("""COMPUTED_VALUE"""),"jessica.lee@floridadep.gov")</f>
        <v>jessica.lee@floridadep.gov</v>
      </c>
      <c r="D558" t="str">
        <f ca="1">IFERROR(__xludf.DUMMYFUNCTION("""COMPUTED_VALUE"""),"Nikki Dix")</f>
        <v>Nikki Dix</v>
      </c>
      <c r="E558" t="str">
        <f ca="1">IFERROR(__xludf.DUMMYFUNCTION("""COMPUTED_VALUE"""),"Guana")</f>
        <v>Guana</v>
      </c>
      <c r="F558" s="13">
        <f ca="1">IFERROR(__xludf.DUMMYFUNCTION("""COMPUTED_VALUE"""),0.409722222222626)</f>
        <v>0.409722222222626</v>
      </c>
      <c r="G558" s="14">
        <f ca="1">IFERROR(__xludf.DUMMYFUNCTION("""COMPUTED_VALUE"""),44060)</f>
        <v>44060</v>
      </c>
      <c r="H558" t="str">
        <f ca="1">IFERROR(__xludf.DUMMYFUNCTION("""COMPUTED_VALUE"""),"Guana River")</f>
        <v>Guana River</v>
      </c>
      <c r="I558" s="15">
        <f ca="1">IFERROR(__xludf.DUMMYFUNCTION("""COMPUTED_VALUE"""),0.4375)</f>
        <v>0.4375</v>
      </c>
      <c r="J558" s="16">
        <f ca="1">IFERROR(__xludf.DUMMYFUNCTION("""COMPUTED_VALUE"""),44060.4513888888)</f>
        <v>44060.451388888803</v>
      </c>
      <c r="K558" t="str">
        <f ca="1">IFERROR(__xludf.DUMMYFUNCTION("""COMPUTED_VALUE"""),"Jon Boat 2 FL4480RJ DEP152154")</f>
        <v>Jon Boat 2 FL4480RJ DEP152154</v>
      </c>
      <c r="M558" t="str">
        <f ca="1">IFERROR(__xludf.DUMMYFUNCTION("""COMPUTED_VALUE"""),"Ford F150 2008 (SWMP Thing) - DEP18041")</f>
        <v>Ford F150 2008 (SWMP Thing) - DEP18041</v>
      </c>
      <c r="N558" t="str">
        <f ca="1">IFERROR(__xludf.DUMMYFUNCTION("""COMPUTED_VALUE"""),"Jimmy Tomazinis, (904) 547-0094")</f>
        <v>Jimmy Tomazinis, (904) 547-0094</v>
      </c>
      <c r="O558" t="str">
        <f ca="1">IFERROR(__xludf.DUMMYFUNCTION("""COMPUTED_VALUE"""),"Jess")</f>
        <v>Jess</v>
      </c>
      <c r="P558" t="str">
        <f ca="1">IFERROR(__xludf.DUMMYFUNCTION("""COMPUTED_VALUE"""),"Jess")</f>
        <v>Jess</v>
      </c>
      <c r="Q558" t="str">
        <f ca="1">IFERROR(__xludf.DUMMYFUNCTION("""COMPUTED_VALUE"""),"All items in working order")</f>
        <v>All items in working order</v>
      </c>
      <c r="AE558" s="11"/>
      <c r="AF558" t="str">
        <v>Nikki.Dix@floridadep.gov</v>
      </c>
      <c r="AG558" s="17" t="s">
        <v>54</v>
      </c>
      <c r="AH558" s="12" t="s">
        <v>54</v>
      </c>
      <c r="AI558" s="12" t="s">
        <v>1627</v>
      </c>
      <c r="AJ558" s="19" t="s">
        <v>1628</v>
      </c>
      <c r="AK558" s="20" t="str">
        <f>HYPERLINK("https://docs.google.com/document/d/1rrSGmV68uISMAff0uk69jI2s34_Bevu1XfRtLGITDII/edit?usp=drivesdk","Jessica Lee - 8/17/2020 9:50 AM")</f>
        <v>Jessica Lee - 8/17/2020 9:50 AM</v>
      </c>
      <c r="AL558" s="12" t="s">
        <v>1629</v>
      </c>
    </row>
    <row r="559" spans="1:38" ht="12.75">
      <c r="A559" s="10">
        <f ca="1">IFERROR(__xludf.DUMMYFUNCTION("""COMPUTED_VALUE"""),44062.4252870254)</f>
        <v>44062.425287025399</v>
      </c>
      <c r="B559" s="11" t="str">
        <f ca="1">IFERROR(__xludf.DUMMYFUNCTION("""COMPUTED_VALUE"""),"Jessica Lee")</f>
        <v>Jessica Lee</v>
      </c>
      <c r="C559" t="str">
        <f ca="1">IFERROR(__xludf.DUMMYFUNCTION("""COMPUTED_VALUE"""),"jessica.lee@floridadep.gov")</f>
        <v>jessica.lee@floridadep.gov</v>
      </c>
      <c r="D559" t="str">
        <f ca="1">IFERROR(__xludf.DUMMYFUNCTION("""COMPUTED_VALUE"""),"Nikki Dix")</f>
        <v>Nikki Dix</v>
      </c>
      <c r="E559" t="str">
        <f ca="1">IFERROR(__xludf.DUMMYFUNCTION("""COMPUTED_VALUE"""),"Guana River")</f>
        <v>Guana River</v>
      </c>
      <c r="F559" s="13">
        <f ca="1">IFERROR(__xludf.DUMMYFUNCTION("""COMPUTED_VALUE"""),0.4375)</f>
        <v>0.4375</v>
      </c>
      <c r="G559" s="14">
        <f ca="1">IFERROR(__xludf.DUMMYFUNCTION("""COMPUTED_VALUE"""),44060)</f>
        <v>44060</v>
      </c>
      <c r="H559" t="str">
        <f ca="1">IFERROR(__xludf.DUMMYFUNCTION("""COMPUTED_VALUE"""),"Guana River")</f>
        <v>Guana River</v>
      </c>
      <c r="I559" s="15">
        <f ca="1">IFERROR(__xludf.DUMMYFUNCTION("""COMPUTED_VALUE"""),0.479166666667879)</f>
        <v>0.47916666666787899</v>
      </c>
      <c r="J559" s="16">
        <f ca="1">IFERROR(__xludf.DUMMYFUNCTION("""COMPUTED_VALUE"""),44060.4895833333)</f>
        <v>44060.489583333299</v>
      </c>
      <c r="K559" t="str">
        <f ca="1">IFERROR(__xludf.DUMMYFUNCTION("""COMPUTED_VALUE"""),"Jon Boat 2 FL4480RJ DEP152154")</f>
        <v>Jon Boat 2 FL4480RJ DEP152154</v>
      </c>
      <c r="M559" t="str">
        <f ca="1">IFERROR(__xludf.DUMMYFUNCTION("""COMPUTED_VALUE"""),"Ford F150 2008 (SWMP Thing) - DEP18041")</f>
        <v>Ford F150 2008 (SWMP Thing) - DEP18041</v>
      </c>
      <c r="N559" t="str">
        <f ca="1">IFERROR(__xludf.DUMMYFUNCTION("""COMPUTED_VALUE"""),"Jimmy Tomazinis, (904) 547-0094")</f>
        <v>Jimmy Tomazinis, (904) 547-0094</v>
      </c>
      <c r="O559" t="str">
        <f ca="1">IFERROR(__xludf.DUMMYFUNCTION("""COMPUTED_VALUE"""),"No")</f>
        <v>No</v>
      </c>
      <c r="P559" t="str">
        <f ca="1">IFERROR(__xludf.DUMMYFUNCTION("""COMPUTED_VALUE"""),"Jess")</f>
        <v>Jess</v>
      </c>
      <c r="Q559" t="str">
        <f ca="1">IFERROR(__xludf.DUMMYFUNCTION("""COMPUTED_VALUE"""),"All items in working order")</f>
        <v>All items in working order</v>
      </c>
      <c r="AE559" s="11"/>
      <c r="AF559" t="str">
        <v>Nikki.Dix@floridadep.gov</v>
      </c>
      <c r="AG559" s="17" t="s">
        <v>41</v>
      </c>
      <c r="AH559" s="12">
        <v>1144</v>
      </c>
      <c r="AI559" s="12" t="s">
        <v>1630</v>
      </c>
      <c r="AJ559" s="19" t="s">
        <v>1631</v>
      </c>
      <c r="AK559" s="20" t="str">
        <f>HYPERLINK("https://docs.google.com/document/d/1_Wz2iYYGxS3czoPUvpOlW6wXRw_EwOuHmPf2xF-kOyg/edit?usp=drivesdk","Jessica Lee - 8/17/2020 10:30 AM")</f>
        <v>Jessica Lee - 8/17/2020 10:30 AM</v>
      </c>
      <c r="AL559" s="12" t="s">
        <v>1632</v>
      </c>
    </row>
    <row r="560" spans="1:38" ht="12.75">
      <c r="A560" s="10">
        <f ca="1">IFERROR(__xludf.DUMMYFUNCTION("""COMPUTED_VALUE"""),44063.3717593634)</f>
        <v>44063.371759363399</v>
      </c>
      <c r="B560" s="11" t="str">
        <f ca="1">IFERROR(__xludf.DUMMYFUNCTION("""COMPUTED_VALUE"""),"Jessica Lee")</f>
        <v>Jessica Lee</v>
      </c>
      <c r="C560" t="str">
        <f ca="1">IFERROR(__xludf.DUMMYFUNCTION("""COMPUTED_VALUE"""),"jessica.lee@floridadep.gov")</f>
        <v>jessica.lee@floridadep.gov</v>
      </c>
      <c r="D560" t="str">
        <f ca="1">IFERROR(__xludf.DUMMYFUNCTION("""COMPUTED_VALUE"""),"Nikki Dix")</f>
        <v>Nikki Dix</v>
      </c>
      <c r="E560" t="str">
        <f ca="1">IFERROR(__xludf.DUMMYFUNCTION("""COMPUTED_VALUE"""),"Guana River")</f>
        <v>Guana River</v>
      </c>
      <c r="F560" s="13">
        <f ca="1">IFERROR(__xludf.DUMMYFUNCTION("""COMPUTED_VALUE"""),0.4375)</f>
        <v>0.4375</v>
      </c>
      <c r="G560" s="14">
        <f ca="1">IFERROR(__xludf.DUMMYFUNCTION("""COMPUTED_VALUE"""),44060)</f>
        <v>44060</v>
      </c>
      <c r="H560" t="str">
        <f ca="1">IFERROR(__xludf.DUMMYFUNCTION("""COMPUTED_VALUE"""),"Guana River")</f>
        <v>Guana River</v>
      </c>
      <c r="I560" s="15">
        <f ca="1">IFERROR(__xludf.DUMMYFUNCTION("""COMPUTED_VALUE"""),0.479166666667879)</f>
        <v>0.47916666666787899</v>
      </c>
      <c r="J560" s="16">
        <f ca="1">IFERROR(__xludf.DUMMYFUNCTION("""COMPUTED_VALUE"""),44060.4895833333)</f>
        <v>44060.489583333299</v>
      </c>
      <c r="K560" t="str">
        <f ca="1">IFERROR(__xludf.DUMMYFUNCTION("""COMPUTED_VALUE"""),"Jon Boat 2 FL4480RJ DEP152154")</f>
        <v>Jon Boat 2 FL4480RJ DEP152154</v>
      </c>
      <c r="M560" t="str">
        <f ca="1">IFERROR(__xludf.DUMMYFUNCTION("""COMPUTED_VALUE"""),"Ford F150 2008 (SWMP Thing) - DEP18041")</f>
        <v>Ford F150 2008 (SWMP Thing) - DEP18041</v>
      </c>
      <c r="N560" t="str">
        <f ca="1">IFERROR(__xludf.DUMMYFUNCTION("""COMPUTED_VALUE"""),"Jimmy Tomazinis, (904) 547-0094")</f>
        <v>Jimmy Tomazinis, (904) 547-0094</v>
      </c>
      <c r="O560" t="str">
        <f ca="1">IFERROR(__xludf.DUMMYFUNCTION("""COMPUTED_VALUE"""),"No")</f>
        <v>No</v>
      </c>
      <c r="P560" t="str">
        <f ca="1">IFERROR(__xludf.DUMMYFUNCTION("""COMPUTED_VALUE"""),"Jess")</f>
        <v>Jess</v>
      </c>
      <c r="Q560" t="str">
        <f ca="1">IFERROR(__xludf.DUMMYFUNCTION("""COMPUTED_VALUE"""),"All items in working order")</f>
        <v>All items in working order</v>
      </c>
      <c r="AE560" s="11"/>
      <c r="AF560" t="str">
        <v>Nikki.Dix@floridadep.gov</v>
      </c>
      <c r="AG560" s="17" t="s">
        <v>54</v>
      </c>
      <c r="AH560" s="12" t="s">
        <v>54</v>
      </c>
      <c r="AI560" s="12" t="s">
        <v>1633</v>
      </c>
      <c r="AJ560" s="19" t="s">
        <v>1634</v>
      </c>
      <c r="AK560" s="20" t="str">
        <f>HYPERLINK("https://docs.google.com/document/d/1w-Th4TS4zE-uQxUEca1oUVi6cxWjnzp7NZVAwNDQxfI/edit?usp=drivesdk","Jessica Lee - 8/17/2020 10:30 AM")</f>
        <v>Jessica Lee - 8/17/2020 10:30 AM</v>
      </c>
      <c r="AL560" s="12" t="s">
        <v>1635</v>
      </c>
    </row>
    <row r="561" spans="1:38" ht="12.75">
      <c r="A561" s="10">
        <f ca="1">IFERROR(__xludf.DUMMYFUNCTION("""COMPUTED_VALUE"""),44067.4455590162)</f>
        <v>44067.445559016203</v>
      </c>
      <c r="B561" s="11" t="str">
        <f ca="1">IFERROR(__xludf.DUMMYFUNCTION("""COMPUTED_VALUE"""),"Shannon Dunnigan")</f>
        <v>Shannon Dunnigan</v>
      </c>
      <c r="C561" t="str">
        <f ca="1">IFERROR(__xludf.DUMMYFUNCTION("""COMPUTED_VALUE"""),"shannon.dunnigan@floridadep.gov")</f>
        <v>shannon.dunnigan@floridadep.gov</v>
      </c>
      <c r="D561" t="str">
        <f ca="1">IFERROR(__xludf.DUMMYFUNCTION("""COMPUTED_VALUE"""),"Nikki Dix")</f>
        <v>Nikki Dix</v>
      </c>
      <c r="E561" t="str">
        <f ca="1">IFERROR(__xludf.DUMMYFUNCTION("""COMPUTED_VALUE"""),"Aunt Kates")</f>
        <v>Aunt Kates</v>
      </c>
      <c r="F561" s="13">
        <f ca="1">IFERROR(__xludf.DUMMYFUNCTION("""COMPUTED_VALUE"""),0.447916666667879)</f>
        <v>0.44791666666787899</v>
      </c>
      <c r="G561" s="14">
        <f ca="1">IFERROR(__xludf.DUMMYFUNCTION("""COMPUTED_VALUE"""),44067)</f>
        <v>44067</v>
      </c>
      <c r="H561" t="str">
        <f ca="1">IFERROR(__xludf.DUMMYFUNCTION("""COMPUTED_VALUE"""),"Pine island platforms")</f>
        <v>Pine island platforms</v>
      </c>
      <c r="I561" s="15">
        <f ca="1">IFERROR(__xludf.DUMMYFUNCTION("""COMPUTED_VALUE"""),0.625)</f>
        <v>0.625</v>
      </c>
      <c r="J561" s="16">
        <f ca="1">IFERROR(__xludf.DUMMYFUNCTION("""COMPUTED_VALUE"""),44067.6666666666)</f>
        <v>44067.666666666599</v>
      </c>
      <c r="K561" t="str">
        <f ca="1">IFERROR(__xludf.DUMMYFUNCTION("""COMPUTED_VALUE"""),"20ft Sea Ark FL5351SJ UNF 2015")</f>
        <v>20ft Sea Ark FL5351SJ UNF 2015</v>
      </c>
      <c r="M561" t="str">
        <f ca="1">IFERROR(__xludf.DUMMYFUNCTION("""COMPUTED_VALUE"""),"Ford F250 2017 (Moby Dix) - DEP0021578")</f>
        <v>Ford F250 2017 (Moby Dix) - DEP0021578</v>
      </c>
      <c r="N561" t="str">
        <f ca="1">IFERROR(__xludf.DUMMYFUNCTION("""COMPUTED_VALUE"""),"Shannon Dunnigan, (803) 727-5734, Silas Tanner, (904) 483-8423")</f>
        <v>Shannon Dunnigan, (803) 727-5734, Silas Tanner, (904) 483-8423</v>
      </c>
      <c r="O561" t="str">
        <f ca="1">IFERROR(__xludf.DUMMYFUNCTION("""COMPUTED_VALUE"""),"No one")</f>
        <v>No one</v>
      </c>
      <c r="P561" t="str">
        <f ca="1">IFERROR(__xludf.DUMMYFUNCTION("""COMPUTED_VALUE"""),"Silas")</f>
        <v>Silas</v>
      </c>
      <c r="Q561" t="str">
        <f ca="1">IFERROR(__xludf.DUMMYFUNCTION("""COMPUTED_VALUE"""),"All items in working order")</f>
        <v>All items in working order</v>
      </c>
      <c r="AE561" s="11"/>
      <c r="AF561" t="str">
        <v>Nikki.Dix@floridadep.gov</v>
      </c>
      <c r="AG561" s="17" t="s">
        <v>41</v>
      </c>
      <c r="AH561" s="12">
        <v>1315</v>
      </c>
      <c r="AI561" s="12" t="s">
        <v>1636</v>
      </c>
      <c r="AJ561" s="19" t="s">
        <v>1637</v>
      </c>
      <c r="AK561" s="20" t="str">
        <f>HYPERLINK("https://docs.google.com/document/d/15L_iCQOicXhAl3vT2wnaf11CQCwFh19IQjAbl8rU2LY/edit?usp=drivesdk","Shannon Dunnigan - 8/24/2020 10:45 AM")</f>
        <v>Shannon Dunnigan - 8/24/2020 10:45 AM</v>
      </c>
      <c r="AL561" s="12" t="s">
        <v>1638</v>
      </c>
    </row>
    <row r="562" spans="1:38" ht="12.75">
      <c r="A562" s="10">
        <f ca="1">IFERROR(__xludf.DUMMYFUNCTION("""COMPUTED_VALUE"""),44069.4196958796)</f>
        <v>44069.419695879602</v>
      </c>
      <c r="B562" s="11" t="str">
        <f ca="1">IFERROR(__xludf.DUMMYFUNCTION("""COMPUTED_VALUE"""),"Silas Tanner")</f>
        <v>Silas Tanner</v>
      </c>
      <c r="C562" t="str">
        <f ca="1">IFERROR(__xludf.DUMMYFUNCTION("""COMPUTED_VALUE"""),"silas.tanner@floridadep.gov")</f>
        <v>silas.tanner@floridadep.gov</v>
      </c>
      <c r="D562" t="str">
        <f ca="1">IFERROR(__xludf.DUMMYFUNCTION("""COMPUTED_VALUE"""),"Nikki Dix")</f>
        <v>Nikki Dix</v>
      </c>
      <c r="E562" t="str">
        <f ca="1">IFERROR(__xludf.DUMMYFUNCTION("""COMPUTED_VALUE"""),"Vilano Landing")</f>
        <v>Vilano Landing</v>
      </c>
      <c r="F562" s="13">
        <f ca="1">IFERROR(__xludf.DUMMYFUNCTION("""COMPUTED_VALUE"""),0.447916666667879)</f>
        <v>0.44791666666787899</v>
      </c>
      <c r="G562" s="14">
        <f ca="1">IFERROR(__xludf.DUMMYFUNCTION("""COMPUTED_VALUE"""),44069)</f>
        <v>44069</v>
      </c>
      <c r="H562" t="str">
        <f ca="1">IFERROR(__xludf.DUMMYFUNCTION("""COMPUTED_VALUE"""),"ICW SWMP Sites")</f>
        <v>ICW SWMP Sites</v>
      </c>
      <c r="I562" s="15">
        <f ca="1">IFERROR(__xludf.DUMMYFUNCTION("""COMPUTED_VALUE"""),0.6875)</f>
        <v>0.6875</v>
      </c>
      <c r="J562" s="16">
        <f ca="1">IFERROR(__xludf.DUMMYFUNCTION("""COMPUTED_VALUE"""),44069.6979166666)</f>
        <v>44069.697916666599</v>
      </c>
      <c r="K562" t="str">
        <f ca="1">IFERROR(__xludf.DUMMYFUNCTION("""COMPUTED_VALUE"""),"20ft Sea Ark FL5351SJ UNF 2015")</f>
        <v>20ft Sea Ark FL5351SJ UNF 2015</v>
      </c>
      <c r="M562" t="str">
        <f ca="1">IFERROR(__xludf.DUMMYFUNCTION("""COMPUTED_VALUE"""),"Ford F250 2017 (Moby Dix) - DEP0021578")</f>
        <v>Ford F250 2017 (Moby Dix) - DEP0021578</v>
      </c>
      <c r="N562" t="str">
        <f ca="1">IFERROR(__xludf.DUMMYFUNCTION("""COMPUTED_VALUE"""),"Shannon Dunnigan, (803) 727-5734, Silas Tanner, (904) 483-8423")</f>
        <v>Shannon Dunnigan, (803) 727-5734, Silas Tanner, (904) 483-8423</v>
      </c>
      <c r="O562" t="str">
        <f ca="1">IFERROR(__xludf.DUMMYFUNCTION("""COMPUTED_VALUE"""),"none")</f>
        <v>none</v>
      </c>
      <c r="P562" t="str">
        <f ca="1">IFERROR(__xludf.DUMMYFUNCTION("""COMPUTED_VALUE"""),"Silas Tanner")</f>
        <v>Silas Tanner</v>
      </c>
      <c r="Q562" t="str">
        <f ca="1">IFERROR(__xludf.DUMMYFUNCTION("""COMPUTED_VALUE"""),"All items in working order")</f>
        <v>All items in working order</v>
      </c>
      <c r="AE562" s="11"/>
      <c r="AF562" t="str">
        <v>Nikki.Dix@floridadep.gov</v>
      </c>
      <c r="AG562" s="17" t="s">
        <v>41</v>
      </c>
      <c r="AH562" s="12">
        <v>1625</v>
      </c>
      <c r="AI562" s="12" t="s">
        <v>1639</v>
      </c>
      <c r="AJ562" s="19" t="s">
        <v>1640</v>
      </c>
      <c r="AK562" s="20" t="str">
        <f>HYPERLINK("https://docs.google.com/document/d/1cqSJb_LUoFXMpxSrAgR_tyVbdhnOCkKSX-WcS6zC0IM/edit?usp=drivesdk","Silas Tanner - 8/26/2020 10:45 AM")</f>
        <v>Silas Tanner - 8/26/2020 10:45 AM</v>
      </c>
      <c r="AL562" s="12" t="s">
        <v>1641</v>
      </c>
    </row>
    <row r="563" spans="1:38" ht="12.75">
      <c r="A563" s="10">
        <f ca="1">IFERROR(__xludf.DUMMYFUNCTION("""COMPUTED_VALUE"""),44070.3840481828)</f>
        <v>44070.384048182801</v>
      </c>
      <c r="B563" s="11" t="str">
        <f ca="1">IFERROR(__xludf.DUMMYFUNCTION("""COMPUTED_VALUE"""),"Silas Tanner")</f>
        <v>Silas Tanner</v>
      </c>
      <c r="C563" t="str">
        <f ca="1">IFERROR(__xludf.DUMMYFUNCTION("""COMPUTED_VALUE"""),"silas.tanner@floridadep.gov")</f>
        <v>silas.tanner@floridadep.gov</v>
      </c>
      <c r="D563" t="str">
        <f ca="1">IFERROR(__xludf.DUMMYFUNCTION("""COMPUTED_VALUE"""),"Nikki Dix")</f>
        <v>Nikki Dix</v>
      </c>
      <c r="E563" t="str">
        <f ca="1">IFERROR(__xludf.DUMMYFUNCTION("""COMPUTED_VALUE"""),"Faver Dykes SP")</f>
        <v>Faver Dykes SP</v>
      </c>
      <c r="F563" s="13">
        <f ca="1">IFERROR(__xludf.DUMMYFUNCTION("""COMPUTED_VALUE"""),0.42708333333212)</f>
        <v>0.42708333333212001</v>
      </c>
      <c r="G563" s="14">
        <f ca="1">IFERROR(__xludf.DUMMYFUNCTION("""COMPUTED_VALUE"""),44070)</f>
        <v>44070</v>
      </c>
      <c r="H563" t="str">
        <f ca="1">IFERROR(__xludf.DUMMYFUNCTION("""COMPUTED_VALUE"""),"Pellicer marsh monitoring platforms")</f>
        <v>Pellicer marsh monitoring platforms</v>
      </c>
      <c r="I563" s="15">
        <f ca="1">IFERROR(__xludf.DUMMYFUNCTION("""COMPUTED_VALUE"""),0.53125)</f>
        <v>0.53125</v>
      </c>
      <c r="J563" s="16">
        <f ca="1">IFERROR(__xludf.DUMMYFUNCTION("""COMPUTED_VALUE"""),44070.6041666666)</f>
        <v>44070.604166666599</v>
      </c>
      <c r="K563" t="str">
        <f ca="1">IFERROR(__xludf.DUMMYFUNCTION("""COMPUTED_VALUE"""),"20ft Sea Ark FL5351SJ UNF 2015")</f>
        <v>20ft Sea Ark FL5351SJ UNF 2015</v>
      </c>
      <c r="M563" t="str">
        <f ca="1">IFERROR(__xludf.DUMMYFUNCTION("""COMPUTED_VALUE"""),"Ford F250 2017 (Moby Dix) - DEP0021578")</f>
        <v>Ford F250 2017 (Moby Dix) - DEP0021578</v>
      </c>
      <c r="N563" t="str">
        <f ca="1">IFERROR(__xludf.DUMMYFUNCTION("""COMPUTED_VALUE"""),"Shannon Dunnigan, (803) 727-5734, Silas Tanner, (904) 483-8423")</f>
        <v>Shannon Dunnigan, (803) 727-5734, Silas Tanner, (904) 483-8423</v>
      </c>
      <c r="O563" t="str">
        <f ca="1">IFERROR(__xludf.DUMMYFUNCTION("""COMPUTED_VALUE"""),"none")</f>
        <v>none</v>
      </c>
      <c r="P563" t="str">
        <f ca="1">IFERROR(__xludf.DUMMYFUNCTION("""COMPUTED_VALUE"""),"Silas Tanner")</f>
        <v>Silas Tanner</v>
      </c>
      <c r="Q563" t="str">
        <f ca="1">IFERROR(__xludf.DUMMYFUNCTION("""COMPUTED_VALUE"""),"All items in working order")</f>
        <v>All items in working order</v>
      </c>
      <c r="AE563" s="11"/>
      <c r="AF563" t="str">
        <v>Nikki.Dix@floridadep.gov</v>
      </c>
      <c r="AG563" s="17" t="s">
        <v>41</v>
      </c>
      <c r="AH563" s="12">
        <v>1145</v>
      </c>
      <c r="AI563" s="12" t="s">
        <v>1642</v>
      </c>
      <c r="AJ563" s="19" t="s">
        <v>1643</v>
      </c>
      <c r="AK563" s="20" t="str">
        <f>HYPERLINK("https://docs.google.com/document/d/1WXrznsaWYDGy2S6di5MDaVe9Y7EbAm73XW54OhLyVuk/edit?usp=drivesdk","Silas Tanner - 8/27/2020 10:15 AM")</f>
        <v>Silas Tanner - 8/27/2020 10:15 AM</v>
      </c>
      <c r="AL563" s="12" t="s">
        <v>1644</v>
      </c>
    </row>
    <row r="564" spans="1:38" ht="12.75">
      <c r="A564" s="10">
        <f ca="1">IFERROR(__xludf.DUMMYFUNCTION("""COMPUTED_VALUE"""),44071.3608786805)</f>
        <v>44071.360878680498</v>
      </c>
      <c r="B564" s="11" t="str">
        <f ca="1">IFERROR(__xludf.DUMMYFUNCTION("""COMPUTED_VALUE"""),"Shannon Dunnigan")</f>
        <v>Shannon Dunnigan</v>
      </c>
      <c r="C564" t="str">
        <f ca="1">IFERROR(__xludf.DUMMYFUNCTION("""COMPUTED_VALUE"""),"shannon.dunnigan@floridadep.gov")</f>
        <v>shannon.dunnigan@floridadep.gov</v>
      </c>
      <c r="D564" t="str">
        <f ca="1">IFERROR(__xludf.DUMMYFUNCTION("""COMPUTED_VALUE"""),"Nikki Dix")</f>
        <v>Nikki Dix</v>
      </c>
      <c r="E564" t="str">
        <f ca="1">IFERROR(__xludf.DUMMYFUNCTION("""COMPUTED_VALUE"""),"Bings Landing")</f>
        <v>Bings Landing</v>
      </c>
      <c r="F564" s="13">
        <f ca="1">IFERROR(__xludf.DUMMYFUNCTION("""COMPUTED_VALUE"""),0.36458333333212)</f>
        <v>0.36458333333212001</v>
      </c>
      <c r="G564" s="14">
        <f ca="1">IFERROR(__xludf.DUMMYFUNCTION("""COMPUTED_VALUE"""),44071)</f>
        <v>44071</v>
      </c>
      <c r="H564" t="str">
        <f ca="1">IFERROR(__xludf.DUMMYFUNCTION("""COMPUTED_VALUE"""),"Washington Oaks Platforms")</f>
        <v>Washington Oaks Platforms</v>
      </c>
      <c r="I564" s="15">
        <f ca="1">IFERROR(__xludf.DUMMYFUNCTION("""COMPUTED_VALUE"""),0.58333333333212)</f>
        <v>0.58333333333212001</v>
      </c>
      <c r="J564" s="16">
        <f ca="1">IFERROR(__xludf.DUMMYFUNCTION("""COMPUTED_VALUE"""),44071.6666666666)</f>
        <v>44071.666666666599</v>
      </c>
      <c r="K564" t="str">
        <f ca="1">IFERROR(__xludf.DUMMYFUNCTION("""COMPUTED_VALUE"""),"20ft Sea Ark FL5351SJ UNF 2015")</f>
        <v>20ft Sea Ark FL5351SJ UNF 2015</v>
      </c>
      <c r="M564" t="str">
        <f ca="1">IFERROR(__xludf.DUMMYFUNCTION("""COMPUTED_VALUE"""),"Ford F250 2017 (Moby Dix) - DEP0021578")</f>
        <v>Ford F250 2017 (Moby Dix) - DEP0021578</v>
      </c>
      <c r="N564" t="str">
        <f ca="1">IFERROR(__xludf.DUMMYFUNCTION("""COMPUTED_VALUE"""),"Shannon Dunnigan, (803) 727-5734, Silas Tanner, (904) 483-8423")</f>
        <v>Shannon Dunnigan, (803) 727-5734, Silas Tanner, (904) 483-8423</v>
      </c>
      <c r="O564" t="str">
        <f ca="1">IFERROR(__xludf.DUMMYFUNCTION("""COMPUTED_VALUE"""),"None")</f>
        <v>None</v>
      </c>
      <c r="P564" t="str">
        <f ca="1">IFERROR(__xludf.DUMMYFUNCTION("""COMPUTED_VALUE"""),"Shannon")</f>
        <v>Shannon</v>
      </c>
      <c r="Q564" t="str">
        <f ca="1">IFERROR(__xludf.DUMMYFUNCTION("""COMPUTED_VALUE"""),"All items in working order")</f>
        <v>All items in working order</v>
      </c>
      <c r="AE564" s="11"/>
      <c r="AF564" t="str">
        <v>Nikki.Dix@floridadep.gov</v>
      </c>
      <c r="AG564" s="17" t="s">
        <v>41</v>
      </c>
      <c r="AH564" s="12">
        <v>945</v>
      </c>
      <c r="AI564" s="12" t="s">
        <v>1645</v>
      </c>
      <c r="AJ564" s="19" t="s">
        <v>1646</v>
      </c>
      <c r="AK564" s="20" t="str">
        <f>HYPERLINK("https://docs.google.com/document/d/1qCN09ct_Tsryz4yKClFzpJh4Y6JG8whq1y02TnLoOqY/edit?usp=drivesdk","Shannon Dunnigan - 8/28/2020 8:45 AM")</f>
        <v>Shannon Dunnigan - 8/28/2020 8:45 AM</v>
      </c>
      <c r="AL564" s="12" t="s">
        <v>1647</v>
      </c>
    </row>
    <row r="565" spans="1:38" ht="12.75">
      <c r="A565" s="10">
        <f ca="1">IFERROR(__xludf.DUMMYFUNCTION("""COMPUTED_VALUE"""),44075.3843052661)</f>
        <v>44075.384305266198</v>
      </c>
      <c r="B565" s="11" t="str">
        <f ca="1">IFERROR(__xludf.DUMMYFUNCTION("""COMPUTED_VALUE"""),"Silas Tanner")</f>
        <v>Silas Tanner</v>
      </c>
      <c r="C565" t="str">
        <f ca="1">IFERROR(__xludf.DUMMYFUNCTION("""COMPUTED_VALUE"""),"silas.tanner@floridadep.gov")</f>
        <v>silas.tanner@floridadep.gov</v>
      </c>
      <c r="D565" t="str">
        <f ca="1">IFERROR(__xludf.DUMMYFUNCTION("""COMPUTED_VALUE"""),"Nikki Dix")</f>
        <v>Nikki Dix</v>
      </c>
      <c r="E565" t="str">
        <f ca="1">IFERROR(__xludf.DUMMYFUNCTION("""COMPUTED_VALUE"""),"Vilano Landing")</f>
        <v>Vilano Landing</v>
      </c>
      <c r="F565" s="13">
        <f ca="1">IFERROR(__xludf.DUMMYFUNCTION("""COMPUTED_VALUE"""),0.416666666667879)</f>
        <v>0.41666666666787899</v>
      </c>
      <c r="G565" s="14">
        <f ca="1">IFERROR(__xludf.DUMMYFUNCTION("""COMPUTED_VALUE"""),44075)</f>
        <v>44075</v>
      </c>
      <c r="H565" t="str">
        <f ca="1">IFERROR(__xludf.DUMMYFUNCTION("""COMPUTED_VALUE"""),"ICW Spat Run: Guana, Tolomato, Salt Run")</f>
        <v>ICW Spat Run: Guana, Tolomato, Salt Run</v>
      </c>
      <c r="I565" s="15">
        <f ca="1">IFERROR(__xludf.DUMMYFUNCTION("""COMPUTED_VALUE"""),0.625)</f>
        <v>0.625</v>
      </c>
      <c r="J565" s="16">
        <f ca="1">IFERROR(__xludf.DUMMYFUNCTION("""COMPUTED_VALUE"""),44075.6458333333)</f>
        <v>44075.645833333299</v>
      </c>
      <c r="K565" t="str">
        <f ca="1">IFERROR(__xludf.DUMMYFUNCTION("""COMPUTED_VALUE"""),"20ft Sea Ark FL5351SJ UNF 2015")</f>
        <v>20ft Sea Ark FL5351SJ UNF 2015</v>
      </c>
      <c r="M565" t="str">
        <f ca="1">IFERROR(__xludf.DUMMYFUNCTION("""COMPUTED_VALUE"""),"Ford F250 2017 (Moby Dix) - DEP0021578")</f>
        <v>Ford F250 2017 (Moby Dix) - DEP0021578</v>
      </c>
      <c r="N565" t="str">
        <f ca="1">IFERROR(__xludf.DUMMYFUNCTION("""COMPUTED_VALUE"""),"Silas Tanner, (904) 483-8423")</f>
        <v>Silas Tanner, (904) 483-8423</v>
      </c>
      <c r="O565" t="str">
        <f ca="1">IFERROR(__xludf.DUMMYFUNCTION("""COMPUTED_VALUE"""),"Alee Knoell, (619) 750-4833")</f>
        <v>Alee Knoell, (619) 750-4833</v>
      </c>
      <c r="P565" t="str">
        <f ca="1">IFERROR(__xludf.DUMMYFUNCTION("""COMPUTED_VALUE"""),"Silas Tanner")</f>
        <v>Silas Tanner</v>
      </c>
      <c r="Q565" t="str">
        <f ca="1">IFERROR(__xludf.DUMMYFUNCTION("""COMPUTED_VALUE"""),"All items in working order")</f>
        <v>All items in working order</v>
      </c>
      <c r="AE565" s="11"/>
      <c r="AF565" t="str">
        <v>Nikki.Dix@floridadep.gov</v>
      </c>
      <c r="AG565" s="17" t="s">
        <v>41</v>
      </c>
      <c r="AH565" s="12">
        <v>1348</v>
      </c>
      <c r="AI565" s="12" t="s">
        <v>1648</v>
      </c>
      <c r="AJ565" s="19" t="s">
        <v>1649</v>
      </c>
      <c r="AK565" s="20" t="str">
        <f>HYPERLINK("https://docs.google.com/document/d/1J3xLXhrXR36_4jQ6EunovXGNuHVzx2rMiTRe22qnvEM/edit?usp=drivesdk","Silas Tanner - 9/1/2020 10:00 AM")</f>
        <v>Silas Tanner - 9/1/2020 10:00 AM</v>
      </c>
      <c r="AL565" s="12" t="s">
        <v>1650</v>
      </c>
    </row>
    <row r="566" spans="1:38" ht="12.75">
      <c r="A566" s="10">
        <f ca="1">IFERROR(__xludf.DUMMYFUNCTION("""COMPUTED_VALUE"""),44075.4477851273)</f>
        <v>44075.447785127297</v>
      </c>
      <c r="B566" s="11" t="str">
        <f ca="1">IFERROR(__xludf.DUMMYFUNCTION("""COMPUTED_VALUE"""),"Pamela Marcum")</f>
        <v>Pamela Marcum</v>
      </c>
      <c r="C566" t="str">
        <f ca="1">IFERROR(__xludf.DUMMYFUNCTION("""COMPUTED_VALUE"""),"pamela.marcum@floridadep.gov")</f>
        <v>pamela.marcum@floridadep.gov</v>
      </c>
      <c r="D566" t="str">
        <f ca="1">IFERROR(__xludf.DUMMYFUNCTION("""COMPUTED_VALUE"""),"Shannon Dunnigan")</f>
        <v>Shannon Dunnigan</v>
      </c>
      <c r="E566" t="str">
        <f ca="1">IFERROR(__xludf.DUMMYFUNCTION("""COMPUTED_VALUE"""),"Shore Dr")</f>
        <v>Shore Dr</v>
      </c>
      <c r="F566" s="13">
        <f ca="1">IFERROR(__xludf.DUMMYFUNCTION("""COMPUTED_VALUE"""),0.45833333333212)</f>
        <v>0.45833333333212001</v>
      </c>
      <c r="G566" s="14">
        <f ca="1">IFERROR(__xludf.DUMMYFUNCTION("""COMPUTED_VALUE"""),44075)</f>
        <v>44075</v>
      </c>
      <c r="H566" t="str">
        <f ca="1">IFERROR(__xludf.DUMMYFUNCTION("""COMPUTED_VALUE"""),"Matanzas River")</f>
        <v>Matanzas River</v>
      </c>
      <c r="I566" s="15">
        <f ca="1">IFERROR(__xludf.DUMMYFUNCTION("""COMPUTED_VALUE"""),0.58333333333212)</f>
        <v>0.58333333333212001</v>
      </c>
      <c r="J566" s="16">
        <f ca="1">IFERROR(__xludf.DUMMYFUNCTION("""COMPUTED_VALUE"""),44075.7083333333)</f>
        <v>44075.708333333299</v>
      </c>
      <c r="K566" t="str">
        <f ca="1">IFERROR(__xludf.DUMMYFUNCTION("""COMPUTED_VALUE"""),"23ft Skiff (Bertha) FL7972LJ DEP07613")</f>
        <v>23ft Skiff (Bertha) FL7972LJ DEP07613</v>
      </c>
      <c r="M566" t="str">
        <f ca="1">IFERROR(__xludf.DUMMYFUNCTION("""COMPUTED_VALUE"""),"Ford F150 2015 (White) - DEP21448")</f>
        <v>Ford F150 2015 (White) - DEP21448</v>
      </c>
      <c r="N566" t="str">
        <f ca="1">IFERROR(__xludf.DUMMYFUNCTION("""COMPUTED_VALUE"""),"Pam Marcum, (480) 332-5414")</f>
        <v>Pam Marcum, (480) 332-5414</v>
      </c>
      <c r="O566" t="str">
        <f ca="1">IFERROR(__xludf.DUMMYFUNCTION("""COMPUTED_VALUE"""),"Brian Alexander")</f>
        <v>Brian Alexander</v>
      </c>
      <c r="P566" t="str">
        <f ca="1">IFERROR(__xludf.DUMMYFUNCTION("""COMPUTED_VALUE"""),"Pam")</f>
        <v>Pam</v>
      </c>
      <c r="Q566" t="str">
        <f ca="1">IFERROR(__xludf.DUMMYFUNCTION("""COMPUTED_VALUE"""),"All items in working order")</f>
        <v>All items in working order</v>
      </c>
      <c r="AE566" s="11"/>
      <c r="AF566" t="str">
        <v>Shannon.Dunnigan@floridadep.gov</v>
      </c>
      <c r="AG566" s="17" t="s">
        <v>639</v>
      </c>
      <c r="AH566" s="12">
        <v>1337</v>
      </c>
      <c r="AI566" s="12" t="s">
        <v>1651</v>
      </c>
      <c r="AJ566" s="19" t="s">
        <v>1652</v>
      </c>
      <c r="AK566" s="20" t="str">
        <f>HYPERLINK("https://docs.google.com/document/d/1yC4UVIif0xCVbtIX2EldANeYUVysjsww0mXc3cHc884/edit?usp=drivesdk","Pamela Marcum - 9/1/2020 11:00 AM")</f>
        <v>Pamela Marcum - 9/1/2020 11:00 AM</v>
      </c>
      <c r="AL566" s="12" t="s">
        <v>1653</v>
      </c>
    </row>
    <row r="567" spans="1:38" ht="12.75">
      <c r="A567" s="10">
        <f ca="1">IFERROR(__xludf.DUMMYFUNCTION("""COMPUTED_VALUE"""),44083.2869623495)</f>
        <v>44083.286962349499</v>
      </c>
      <c r="B567" s="11" t="str">
        <f ca="1">IFERROR(__xludf.DUMMYFUNCTION("""COMPUTED_VALUE"""),"Silas Tanner")</f>
        <v>Silas Tanner</v>
      </c>
      <c r="C567" t="str">
        <f ca="1">IFERROR(__xludf.DUMMYFUNCTION("""COMPUTED_VALUE"""),"silas.tanner@floridadep.gov")</f>
        <v>silas.tanner@floridadep.gov</v>
      </c>
      <c r="D567" t="str">
        <f ca="1">IFERROR(__xludf.DUMMYFUNCTION("""COMPUTED_VALUE"""),"Nikki Dix")</f>
        <v>Nikki Dix</v>
      </c>
      <c r="E567" t="str">
        <f ca="1">IFERROR(__xludf.DUMMYFUNCTION("""COMPUTED_VALUE"""),"Vilano Landing")</f>
        <v>Vilano Landing</v>
      </c>
      <c r="F567" s="13">
        <f ca="1">IFERROR(__xludf.DUMMYFUNCTION("""COMPUTED_VALUE"""),0.3125)</f>
        <v>0.3125</v>
      </c>
      <c r="G567" s="14">
        <f ca="1">IFERROR(__xludf.DUMMYFUNCTION("""COMPUTED_VALUE"""),44083)</f>
        <v>44083</v>
      </c>
      <c r="H567" t="str">
        <f ca="1">IFERROR(__xludf.DUMMYFUNCTION("""COMPUTED_VALUE"""),"ICW SWMP sites")</f>
        <v>ICW SWMP sites</v>
      </c>
      <c r="I567" s="15">
        <f ca="1">IFERROR(__xludf.DUMMYFUNCTION("""COMPUTED_VALUE"""),0.5625)</f>
        <v>0.5625</v>
      </c>
      <c r="J567" s="16">
        <f ca="1">IFERROR(__xludf.DUMMYFUNCTION("""COMPUTED_VALUE"""),44083.6666666666)</f>
        <v>44083.666666666599</v>
      </c>
      <c r="K567" t="str">
        <f ca="1">IFERROR(__xludf.DUMMYFUNCTION("""COMPUTED_VALUE"""),"23ft Skiff (Bertha) FL7972LJ DEP07613")</f>
        <v>23ft Skiff (Bertha) FL7972LJ DEP07613</v>
      </c>
      <c r="M567" t="str">
        <f ca="1">IFERROR(__xludf.DUMMYFUNCTION("""COMPUTED_VALUE"""),"Ford F250 2017 (Moby Dix) - DEP0021578")</f>
        <v>Ford F250 2017 (Moby Dix) - DEP0021578</v>
      </c>
      <c r="N567" t="str">
        <f ca="1">IFERROR(__xludf.DUMMYFUNCTION("""COMPUTED_VALUE"""),"Silas Tanner, (904) 483-8423, Remo Mondazi")</f>
        <v>Silas Tanner, (904) 483-8423, Remo Mondazi</v>
      </c>
      <c r="O567" t="str">
        <f ca="1">IFERROR(__xludf.DUMMYFUNCTION("""COMPUTED_VALUE"""),"none")</f>
        <v>none</v>
      </c>
      <c r="P567" t="str">
        <f ca="1">IFERROR(__xludf.DUMMYFUNCTION("""COMPUTED_VALUE"""),"Silas Tanner")</f>
        <v>Silas Tanner</v>
      </c>
      <c r="Q567" t="str">
        <f ca="1">IFERROR(__xludf.DUMMYFUNCTION("""COMPUTED_VALUE"""),"All items in working order")</f>
        <v>All items in working order</v>
      </c>
      <c r="AE567" s="11"/>
      <c r="AF567" t="str">
        <v>Nikki.Dix@floridadep.gov</v>
      </c>
      <c r="AG567" s="17" t="s">
        <v>41</v>
      </c>
      <c r="AH567" s="12">
        <v>1120</v>
      </c>
      <c r="AI567" s="12" t="s">
        <v>1654</v>
      </c>
      <c r="AJ567" s="19" t="s">
        <v>1655</v>
      </c>
      <c r="AK567" s="20" t="str">
        <f>HYPERLINK("https://docs.google.com/document/d/1ID7fg6s-G87iRU8MQEMC-vVBeHs2jN30ywiO1N8Mwc4/edit?usp=drivesdk","Silas Tanner - 9/9/2020 7:30 AM")</f>
        <v>Silas Tanner - 9/9/2020 7:30 AM</v>
      </c>
      <c r="AL567" s="12" t="s">
        <v>1656</v>
      </c>
    </row>
    <row r="568" spans="1:38" ht="12.75">
      <c r="A568" s="10">
        <f ca="1">IFERROR(__xludf.DUMMYFUNCTION("""COMPUTED_VALUE"""),44084.5808167939)</f>
        <v>44084.580816793903</v>
      </c>
      <c r="B568" s="11" t="str">
        <f ca="1">IFERROR(__xludf.DUMMYFUNCTION("""COMPUTED_VALUE"""),"Jessica Lee")</f>
        <v>Jessica Lee</v>
      </c>
      <c r="C568" t="str">
        <f ca="1">IFERROR(__xludf.DUMMYFUNCTION("""COMPUTED_VALUE"""),"jessica.lee@floridadep.gov")</f>
        <v>jessica.lee@floridadep.gov</v>
      </c>
      <c r="D568" t="str">
        <f ca="1">IFERROR(__xludf.DUMMYFUNCTION("""COMPUTED_VALUE"""),"Nikki Dix")</f>
        <v>Nikki Dix</v>
      </c>
      <c r="E568" t="str">
        <f ca="1">IFERROR(__xludf.DUMMYFUNCTION("""COMPUTED_VALUE"""),"Guana River")</f>
        <v>Guana River</v>
      </c>
      <c r="F568" s="13">
        <f ca="1">IFERROR(__xludf.DUMMYFUNCTION("""COMPUTED_VALUE"""),0.666666666667879)</f>
        <v>0.66666666666787899</v>
      </c>
      <c r="G568" s="14">
        <f ca="1">IFERROR(__xludf.DUMMYFUNCTION("""COMPUTED_VALUE"""),44084)</f>
        <v>44084</v>
      </c>
      <c r="H568" t="str">
        <f ca="1">IFERROR(__xludf.DUMMYFUNCTION("""COMPUTED_VALUE"""),"Guana River")</f>
        <v>Guana River</v>
      </c>
      <c r="I568" s="15">
        <f ca="1">IFERROR(__xludf.DUMMYFUNCTION("""COMPUTED_VALUE"""),0.70833333333212)</f>
        <v>0.70833333333212001</v>
      </c>
      <c r="J568" s="16">
        <f ca="1">IFERROR(__xludf.DUMMYFUNCTION("""COMPUTED_VALUE"""),44084.7291666666)</f>
        <v>44084.729166666599</v>
      </c>
      <c r="K568" t="str">
        <f ca="1">IFERROR(__xludf.DUMMYFUNCTION("""COMPUTED_VALUE"""),"Jon Boat 1 FL5992RR DEP154045")</f>
        <v>Jon Boat 1 FL5992RR DEP154045</v>
      </c>
      <c r="M568" t="str">
        <f ca="1">IFERROR(__xludf.DUMMYFUNCTION("""COMPUTED_VALUE"""),"Ford F250 2017 (Moby Dix) - DEP0021578")</f>
        <v>Ford F250 2017 (Moby Dix) - DEP0021578</v>
      </c>
      <c r="N568" t="str">
        <f ca="1">IFERROR(__xludf.DUMMYFUNCTION("""COMPUTED_VALUE"""),"Shannon Dunnigan, (803) 727-5734")</f>
        <v>Shannon Dunnigan, (803) 727-5734</v>
      </c>
      <c r="O568" t="str">
        <f ca="1">IFERROR(__xludf.DUMMYFUNCTION("""COMPUTED_VALUE"""),"Jessica Lee")</f>
        <v>Jessica Lee</v>
      </c>
      <c r="P568" t="str">
        <f ca="1">IFERROR(__xludf.DUMMYFUNCTION("""COMPUTED_VALUE"""),"Jessica Lee")</f>
        <v>Jessica Lee</v>
      </c>
      <c r="Q568" t="str">
        <f ca="1">IFERROR(__xludf.DUMMYFUNCTION("""COMPUTED_VALUE"""),"All items in working order")</f>
        <v>All items in working order</v>
      </c>
      <c r="AE568" s="11"/>
      <c r="AF568" t="str">
        <v>Nikki.Dix@floridadep.gov</v>
      </c>
      <c r="AG568" s="17" t="s">
        <v>41</v>
      </c>
      <c r="AH568" s="12">
        <v>1800</v>
      </c>
      <c r="AI568" s="12" t="s">
        <v>1657</v>
      </c>
      <c r="AJ568" s="19" t="s">
        <v>1658</v>
      </c>
      <c r="AK568" s="20" t="str">
        <f>HYPERLINK("https://docs.google.com/document/d/1A1qYUPKO5Wb8iRIfFTId93wLRSQa7adkF6FTHhgTtVk/edit?usp=drivesdk","Jessica Lee - 9/10/2020 4:00 PM")</f>
        <v>Jessica Lee - 9/10/2020 4:00 PM</v>
      </c>
      <c r="AL568" s="12" t="s">
        <v>1659</v>
      </c>
    </row>
    <row r="569" spans="1:38" ht="12.75">
      <c r="A569" s="10">
        <f ca="1">IFERROR(__xludf.DUMMYFUNCTION("""COMPUTED_VALUE"""),44086.7940231713)</f>
        <v>44086.7940231713</v>
      </c>
      <c r="B569" s="11" t="str">
        <f ca="1">IFERROR(__xludf.DUMMYFUNCTION("""COMPUTED_VALUE"""),"Jessica Lee")</f>
        <v>Jessica Lee</v>
      </c>
      <c r="C569" t="str">
        <f ca="1">IFERROR(__xludf.DUMMYFUNCTION("""COMPUTED_VALUE"""),"jessica.lee@floridadep.gov")</f>
        <v>jessica.lee@floridadep.gov</v>
      </c>
      <c r="D569" t="str">
        <f ca="1">IFERROR(__xludf.DUMMYFUNCTION("""COMPUTED_VALUE"""),"Nikki Dix")</f>
        <v>Nikki Dix</v>
      </c>
      <c r="E569" t="str">
        <f ca="1">IFERROR(__xludf.DUMMYFUNCTION("""COMPUTED_VALUE"""),"Guana River")</f>
        <v>Guana River</v>
      </c>
      <c r="F569" s="13">
        <f ca="1">IFERROR(__xludf.DUMMYFUNCTION("""COMPUTED_VALUE"""),0.666666666667879)</f>
        <v>0.66666666666787899</v>
      </c>
      <c r="G569" s="14">
        <f ca="1">IFERROR(__xludf.DUMMYFUNCTION("""COMPUTED_VALUE"""),44084)</f>
        <v>44084</v>
      </c>
      <c r="H569" t="str">
        <f ca="1">IFERROR(__xludf.DUMMYFUNCTION("""COMPUTED_VALUE"""),"Guana River")</f>
        <v>Guana River</v>
      </c>
      <c r="I569" s="15">
        <f ca="1">IFERROR(__xludf.DUMMYFUNCTION("""COMPUTED_VALUE"""),0.70833333333212)</f>
        <v>0.70833333333212001</v>
      </c>
      <c r="J569" s="16">
        <f ca="1">IFERROR(__xludf.DUMMYFUNCTION("""COMPUTED_VALUE"""),44084.7291666666)</f>
        <v>44084.729166666599</v>
      </c>
      <c r="K569" t="str">
        <f ca="1">IFERROR(__xludf.DUMMYFUNCTION("""COMPUTED_VALUE"""),"Jon Boat 1 FL5992RR DEP154045")</f>
        <v>Jon Boat 1 FL5992RR DEP154045</v>
      </c>
      <c r="M569" t="str">
        <f ca="1">IFERROR(__xludf.DUMMYFUNCTION("""COMPUTED_VALUE"""),"Ford F250 2017 (Moby Dix) - DEP0021578")</f>
        <v>Ford F250 2017 (Moby Dix) - DEP0021578</v>
      </c>
      <c r="N569" t="str">
        <f ca="1">IFERROR(__xludf.DUMMYFUNCTION("""COMPUTED_VALUE"""),"Shannon Dunnigan, (803) 727-5734")</f>
        <v>Shannon Dunnigan, (803) 727-5734</v>
      </c>
      <c r="O569" t="str">
        <f ca="1">IFERROR(__xludf.DUMMYFUNCTION("""COMPUTED_VALUE"""),"Jessica Lee")</f>
        <v>Jessica Lee</v>
      </c>
      <c r="P569" t="str">
        <f ca="1">IFERROR(__xludf.DUMMYFUNCTION("""COMPUTED_VALUE"""),"Jessica Lee")</f>
        <v>Jessica Lee</v>
      </c>
      <c r="Q569" t="str">
        <f ca="1">IFERROR(__xludf.DUMMYFUNCTION("""COMPUTED_VALUE"""),"All items in working order")</f>
        <v>All items in working order</v>
      </c>
      <c r="AE569" s="11"/>
      <c r="AF569" t="str">
        <v>Nikki.Dix@floridadep.gov</v>
      </c>
      <c r="AG569" s="17" t="s">
        <v>54</v>
      </c>
      <c r="AH569" s="12" t="s">
        <v>54</v>
      </c>
      <c r="AI569" s="12" t="s">
        <v>1660</v>
      </c>
      <c r="AJ569" s="19" t="s">
        <v>1661</v>
      </c>
      <c r="AK569" s="20" t="str">
        <f>HYPERLINK("https://docs.google.com/document/d/1zF7-f8NZ3AjVZikFt1vAssZO2nNxzuZw0VJUebF8-rg/edit?usp=drivesdk","Jessica Lee - 9/10/2020 4:00 PM")</f>
        <v>Jessica Lee - 9/10/2020 4:00 PM</v>
      </c>
      <c r="AL569" s="12" t="s">
        <v>1659</v>
      </c>
    </row>
    <row r="570" spans="1:38" ht="12.75">
      <c r="A570" s="10">
        <f ca="1">IFERROR(__xludf.DUMMYFUNCTION("""COMPUTED_VALUE"""),44088.2965503356)</f>
        <v>44088.296550335603</v>
      </c>
      <c r="B570" s="11" t="str">
        <f ca="1">IFERROR(__xludf.DUMMYFUNCTION("""COMPUTED_VALUE"""),"Jessica Lee")</f>
        <v>Jessica Lee</v>
      </c>
      <c r="C570" t="str">
        <f ca="1">IFERROR(__xludf.DUMMYFUNCTION("""COMPUTED_VALUE"""),"jessica.lee@floridadep.gov")</f>
        <v>jessica.lee@floridadep.gov</v>
      </c>
      <c r="D570" t="str">
        <f ca="1">IFERROR(__xludf.DUMMYFUNCTION("""COMPUTED_VALUE"""),"Nikki Dix")</f>
        <v>Nikki Dix</v>
      </c>
      <c r="E570" t="str">
        <f ca="1">IFERROR(__xludf.DUMMYFUNCTION("""COMPUTED_VALUE"""),"Guana River")</f>
        <v>Guana River</v>
      </c>
      <c r="F570" s="13">
        <f ca="1">IFERROR(__xludf.DUMMYFUNCTION("""COMPUTED_VALUE"""),0.3125)</f>
        <v>0.3125</v>
      </c>
      <c r="G570" s="14">
        <f ca="1">IFERROR(__xludf.DUMMYFUNCTION("""COMPUTED_VALUE"""),44088)</f>
        <v>44088</v>
      </c>
      <c r="H570" t="str">
        <f ca="1">IFERROR(__xludf.DUMMYFUNCTION("""COMPUTED_VALUE"""),"Guana River")</f>
        <v>Guana River</v>
      </c>
      <c r="I570" s="15">
        <f ca="1">IFERROR(__xludf.DUMMYFUNCTION("""COMPUTED_VALUE"""),0.39583333333212)</f>
        <v>0.39583333333212001</v>
      </c>
      <c r="J570" s="16">
        <f ca="1">IFERROR(__xludf.DUMMYFUNCTION("""COMPUTED_VALUE"""),44088.4166666666)</f>
        <v>44088.416666666599</v>
      </c>
      <c r="K570" t="str">
        <f ca="1">IFERROR(__xludf.DUMMYFUNCTION("""COMPUTED_VALUE"""),"Jon Boat 1 FL5992RR DEP154045")</f>
        <v>Jon Boat 1 FL5992RR DEP154045</v>
      </c>
      <c r="M570" t="str">
        <f ca="1">IFERROR(__xludf.DUMMYFUNCTION("""COMPUTED_VALUE"""),"Ford F250 2017 (Moby Dix) - DEP0021578")</f>
        <v>Ford F250 2017 (Moby Dix) - DEP0021578</v>
      </c>
      <c r="N570" t="str">
        <f ca="1">IFERROR(__xludf.DUMMYFUNCTION("""COMPUTED_VALUE"""),"Silas Tanner, (904) 483-8423")</f>
        <v>Silas Tanner, (904) 483-8423</v>
      </c>
      <c r="O570" t="str">
        <f ca="1">IFERROR(__xludf.DUMMYFUNCTION("""COMPUTED_VALUE"""),"Jessica Lee")</f>
        <v>Jessica Lee</v>
      </c>
      <c r="P570" t="str">
        <f ca="1">IFERROR(__xludf.DUMMYFUNCTION("""COMPUTED_VALUE"""),"Jessica Lee")</f>
        <v>Jessica Lee</v>
      </c>
      <c r="Q570" t="str">
        <f ca="1">IFERROR(__xludf.DUMMYFUNCTION("""COMPUTED_VALUE"""),"All items in working order")</f>
        <v>All items in working order</v>
      </c>
      <c r="AE570" s="11"/>
      <c r="AF570" t="str">
        <v>Nikki.Dix@floridadep.gov</v>
      </c>
      <c r="AG570" s="17" t="s">
        <v>41</v>
      </c>
      <c r="AH570" s="23">
        <v>0.38541666666666669</v>
      </c>
      <c r="AI570" s="12" t="s">
        <v>1662</v>
      </c>
      <c r="AJ570" s="19" t="s">
        <v>1663</v>
      </c>
      <c r="AK570" s="20" t="str">
        <f>HYPERLINK("https://docs.google.com/document/d/1t8PCzMtY-bxWrgPyelaUpH-ChTW3BmhoY3p8DzXwCP4/edit?usp=drivesdk","Jessica Lee - 9/14/2020 7:30 AM")</f>
        <v>Jessica Lee - 9/14/2020 7:30 AM</v>
      </c>
      <c r="AL570" s="12" t="s">
        <v>1664</v>
      </c>
    </row>
    <row r="571" spans="1:38" ht="12.75">
      <c r="A571" s="10">
        <f ca="1">IFERROR(__xludf.DUMMYFUNCTION("""COMPUTED_VALUE"""),44089.3097278009)</f>
        <v>44089.309727800901</v>
      </c>
      <c r="B571" s="11" t="str">
        <f ca="1">IFERROR(__xludf.DUMMYFUNCTION("""COMPUTED_VALUE"""),"Pam Marcum")</f>
        <v>Pam Marcum</v>
      </c>
      <c r="C571" t="str">
        <f ca="1">IFERROR(__xludf.DUMMYFUNCTION("""COMPUTED_VALUE"""),"pamela.marcum@floridadep.gov")</f>
        <v>pamela.marcum@floridadep.gov</v>
      </c>
      <c r="D571" t="str">
        <f ca="1">IFERROR(__xludf.DUMMYFUNCTION("""COMPUTED_VALUE"""),"Nikki Dix")</f>
        <v>Nikki Dix</v>
      </c>
      <c r="E571" t="str">
        <f ca="1">IFERROR(__xludf.DUMMYFUNCTION("""COMPUTED_VALUE"""),"Vilano")</f>
        <v>Vilano</v>
      </c>
      <c r="F571" s="13">
        <f ca="1">IFERROR(__xludf.DUMMYFUNCTION("""COMPUTED_VALUE"""),0.260416666667879)</f>
        <v>0.26041666666787899</v>
      </c>
      <c r="G571" s="14">
        <f ca="1">IFERROR(__xludf.DUMMYFUNCTION("""COMPUTED_VALUE"""),44089)</f>
        <v>44089</v>
      </c>
      <c r="H571" t="str">
        <f ca="1">IFERROR(__xludf.DUMMYFUNCTION("""COMPUTED_VALUE"""),"FM-SS-PI wq stations")</f>
        <v>FM-SS-PI wq stations</v>
      </c>
      <c r="I571" s="15">
        <f ca="1">IFERROR(__xludf.DUMMYFUNCTION("""COMPUTED_VALUE"""),0.541666666667879)</f>
        <v>0.54166666666787899</v>
      </c>
      <c r="J571" s="16">
        <f ca="1">IFERROR(__xludf.DUMMYFUNCTION("""COMPUTED_VALUE"""),44089.5625)</f>
        <v>44089.5625</v>
      </c>
      <c r="K571" t="str">
        <f ca="1">IFERROR(__xludf.DUMMYFUNCTION("""COMPUTED_VALUE"""),"23ft Skiff (Bertha) FL7972LJ DEP07613")</f>
        <v>23ft Skiff (Bertha) FL7972LJ DEP07613</v>
      </c>
      <c r="M571" t="str">
        <f ca="1">IFERROR(__xludf.DUMMYFUNCTION("""COMPUTED_VALUE"""),"Ford F150 2015 (White) - DEP21448")</f>
        <v>Ford F150 2015 (White) - DEP21448</v>
      </c>
      <c r="N571" t="str">
        <f ca="1">IFERROR(__xludf.DUMMYFUNCTION("""COMPUTED_VALUE"""),"Pam Marcum, (480) 332-5414")</f>
        <v>Pam Marcum, (480) 332-5414</v>
      </c>
      <c r="O571" t="str">
        <f ca="1">IFERROR(__xludf.DUMMYFUNCTION("""COMPUTED_VALUE"""),"Alee Knoell, (619) 750-4833, Ashley Reaume")</f>
        <v>Alee Knoell, (619) 750-4833, Ashley Reaume</v>
      </c>
      <c r="P571" t="str">
        <f ca="1">IFERROR(__xludf.DUMMYFUNCTION("""COMPUTED_VALUE"""),"Pam")</f>
        <v>Pam</v>
      </c>
      <c r="Q571" t="str">
        <f ca="1">IFERROR(__xludf.DUMMYFUNCTION("""COMPUTED_VALUE"""),"All items in working order")</f>
        <v>All items in working order</v>
      </c>
      <c r="AE571" s="11"/>
      <c r="AF571" t="str">
        <v>Nikki.Dix@floridadep.gov</v>
      </c>
      <c r="AG571" s="17" t="s">
        <v>41</v>
      </c>
      <c r="AH571" s="12">
        <v>1140</v>
      </c>
      <c r="AI571" s="12" t="s">
        <v>1665</v>
      </c>
      <c r="AJ571" s="19" t="s">
        <v>1666</v>
      </c>
      <c r="AK571" s="20" t="str">
        <f>HYPERLINK("https://docs.google.com/document/d/17YOndIeWKS2Vlzgq90Qn8xwwH2D8gJwRRBQD4mdkT-0/edit?usp=drivesdk","Pam Marcum - 9/15/2020 6:15 AM")</f>
        <v>Pam Marcum - 9/15/2020 6:15 AM</v>
      </c>
      <c r="AL571" s="12" t="s">
        <v>1667</v>
      </c>
    </row>
    <row r="572" spans="1:38" ht="12.75">
      <c r="A572" s="10">
        <f ca="1">IFERROR(__xludf.DUMMYFUNCTION("""COMPUTED_VALUE"""),44090.2662839004)</f>
        <v>44090.266283900397</v>
      </c>
      <c r="B572" s="11" t="str">
        <f ca="1">IFERROR(__xludf.DUMMYFUNCTION("""COMPUTED_VALUE"""),"Pam Marcum")</f>
        <v>Pam Marcum</v>
      </c>
      <c r="C572" t="str">
        <f ca="1">IFERROR(__xludf.DUMMYFUNCTION("""COMPUTED_VALUE"""),"Pamela.Marcum@floridadep.gov")</f>
        <v>Pamela.Marcum@floridadep.gov</v>
      </c>
      <c r="D572" t="str">
        <f ca="1">IFERROR(__xludf.DUMMYFUNCTION("""COMPUTED_VALUE"""),"Nikki Dix")</f>
        <v>Nikki Dix</v>
      </c>
      <c r="E572" t="str">
        <f ca="1">IFERROR(__xludf.DUMMYFUNCTION("""COMPUTED_VALUE"""),"Butler")</f>
        <v>Butler</v>
      </c>
      <c r="F572" s="13">
        <f ca="1">IFERROR(__xludf.DUMMYFUNCTION("""COMPUTED_VALUE"""),0.30208333333212)</f>
        <v>0.30208333333212001</v>
      </c>
      <c r="G572" s="14">
        <f ca="1">IFERROR(__xludf.DUMMYFUNCTION("""COMPUTED_VALUE"""),44090)</f>
        <v>44090</v>
      </c>
      <c r="H572" t="str">
        <f ca="1">IFERROR(__xludf.DUMMYFUNCTION("""COMPUTED_VALUE"""),"Moses Creek")</f>
        <v>Moses Creek</v>
      </c>
      <c r="I572" s="15">
        <f ca="1">IFERROR(__xludf.DUMMYFUNCTION("""COMPUTED_VALUE"""),0.541666666667879)</f>
        <v>0.54166666666787899</v>
      </c>
      <c r="J572" s="16">
        <f ca="1">IFERROR(__xludf.DUMMYFUNCTION("""COMPUTED_VALUE"""),44090.5833333333)</f>
        <v>44090.583333333299</v>
      </c>
      <c r="K572" t="str">
        <f ca="1">IFERROR(__xludf.DUMMYFUNCTION("""COMPUTED_VALUE"""),"23ft Skiff (Bertha) FL7972LJ DEP07613")</f>
        <v>23ft Skiff (Bertha) FL7972LJ DEP07613</v>
      </c>
      <c r="M572" t="str">
        <f ca="1">IFERROR(__xludf.DUMMYFUNCTION("""COMPUTED_VALUE"""),"Ford F150 2015 (White) - DEP21448")</f>
        <v>Ford F150 2015 (White) - DEP21448</v>
      </c>
      <c r="N572" t="str">
        <f ca="1">IFERROR(__xludf.DUMMYFUNCTION("""COMPUTED_VALUE"""),"Pam Marcum, (480) 332-5414")</f>
        <v>Pam Marcum, (480) 332-5414</v>
      </c>
      <c r="O572" t="str">
        <f ca="1">IFERROR(__xludf.DUMMYFUNCTION("""COMPUTED_VALUE"""),"Alee Knoell, (619) 750-4833")</f>
        <v>Alee Knoell, (619) 750-4833</v>
      </c>
      <c r="P572" t="str">
        <f ca="1">IFERROR(__xludf.DUMMYFUNCTION("""COMPUTED_VALUE"""),"Pam")</f>
        <v>Pam</v>
      </c>
      <c r="Q572" t="str">
        <f ca="1">IFERROR(__xludf.DUMMYFUNCTION("""COMPUTED_VALUE"""),"All items in working order")</f>
        <v>All items in working order</v>
      </c>
      <c r="AE572" s="11"/>
      <c r="AF572" t="str">
        <v>Nikki.Dix@floridadep.gov</v>
      </c>
      <c r="AG572" s="17" t="s">
        <v>41</v>
      </c>
      <c r="AH572" s="12">
        <v>1230</v>
      </c>
      <c r="AI572" s="12" t="s">
        <v>1668</v>
      </c>
      <c r="AJ572" s="19" t="s">
        <v>1669</v>
      </c>
      <c r="AK572" s="20" t="str">
        <f>HYPERLINK("https://docs.google.com/document/d/1kgGG-tmOF4vE1rwbJyS-NHuz4sIA_zAcScNG6fLNBzs/edit?usp=drivesdk","Pam Marcum - 9/16/2020 7:15 AM")</f>
        <v>Pam Marcum - 9/16/2020 7:15 AM</v>
      </c>
      <c r="AL572" s="12" t="s">
        <v>1670</v>
      </c>
    </row>
    <row r="573" spans="1:38" ht="12.75">
      <c r="A573" s="10">
        <f ca="1">IFERROR(__xludf.DUMMYFUNCTION("""COMPUTED_VALUE"""),44090.2777973379)</f>
        <v>44090.277797337898</v>
      </c>
      <c r="B573" s="11" t="str">
        <f ca="1">IFERROR(__xludf.DUMMYFUNCTION("""COMPUTED_VALUE"""),"Test")</f>
        <v>Test</v>
      </c>
      <c r="C573" t="str">
        <f ca="1">IFERROR(__xludf.DUMMYFUNCTION("""COMPUTED_VALUE"""),"pamela.marcum@floridadep.gov")</f>
        <v>pamela.marcum@floridadep.gov</v>
      </c>
      <c r="D573" t="str">
        <f ca="1">IFERROR(__xludf.DUMMYFUNCTION("""COMPUTED_VALUE"""),"Pam Marcum")</f>
        <v>Pam Marcum</v>
      </c>
      <c r="E573" t="str">
        <f ca="1">IFERROR(__xludf.DUMMYFUNCTION("""COMPUTED_VALUE"""),"Test")</f>
        <v>Test</v>
      </c>
      <c r="F573" s="13">
        <f ca="1">IFERROR(__xludf.DUMMYFUNCTION("""COMPUTED_VALUE"""),0)</f>
        <v>0</v>
      </c>
      <c r="G573" s="14">
        <f ca="1">IFERROR(__xludf.DUMMYFUNCTION("""COMPUTED_VALUE"""),44090)</f>
        <v>44090</v>
      </c>
      <c r="H573" t="str">
        <f ca="1">IFERROR(__xludf.DUMMYFUNCTION("""COMPUTED_VALUE"""),"Test")</f>
        <v>Test</v>
      </c>
      <c r="I573" s="15">
        <f ca="1">IFERROR(__xludf.DUMMYFUNCTION("""COMPUTED_VALUE"""),0)</f>
        <v>0</v>
      </c>
      <c r="J573" s="16">
        <f ca="1">IFERROR(__xludf.DUMMYFUNCTION("""COMPUTED_VALUE"""),44090)</f>
        <v>44090</v>
      </c>
      <c r="K573" t="str">
        <f ca="1">IFERROR(__xludf.DUMMYFUNCTION("""COMPUTED_VALUE"""),"F 20ft Sea Ark (Easy 200) FL8534PY DEP21451")</f>
        <v>F 20ft Sea Ark (Easy 200) FL8534PY DEP21451</v>
      </c>
      <c r="M573" t="str">
        <f ca="1">IFERROR(__xludf.DUMMYFUNCTION("""COMPUTED_VALUE"""),"Ford F250 2017 (Moby Dix) - DEP0021578")</f>
        <v>Ford F250 2017 (Moby Dix) - DEP0021578</v>
      </c>
      <c r="N573" t="str">
        <f ca="1">IFERROR(__xludf.DUMMYFUNCTION("""COMPUTED_VALUE"""),"Pam Marcum, (480) 332-5414")</f>
        <v>Pam Marcum, (480) 332-5414</v>
      </c>
      <c r="O573" t="str">
        <f ca="1">IFERROR(__xludf.DUMMYFUNCTION("""COMPUTED_VALUE"""),"Test")</f>
        <v>Test</v>
      </c>
      <c r="P573" t="str">
        <f ca="1">IFERROR(__xludf.DUMMYFUNCTION("""COMPUTED_VALUE"""),"Test")</f>
        <v>Test</v>
      </c>
      <c r="Q573" t="str">
        <f ca="1">IFERROR(__xludf.DUMMYFUNCTION("""COMPUTED_VALUE"""),"All items in working order")</f>
        <v>All items in working order</v>
      </c>
      <c r="AE573" s="11"/>
      <c r="AF573" t="str">
        <v>Pamela.Marcum@floridadep.gov</v>
      </c>
      <c r="AG573" s="17" t="s">
        <v>139</v>
      </c>
      <c r="AH573" s="12">
        <v>1200</v>
      </c>
      <c r="AI573" s="12" t="s">
        <v>1671</v>
      </c>
      <c r="AJ573" s="19" t="s">
        <v>1672</v>
      </c>
      <c r="AK573" s="20" t="str">
        <f>HYPERLINK("https://docs.google.com/document/d/1UM-tv4Autoa-LbBAytPK6GrjF7Dl4nDONos8fGnYw-I/edit?usp=drivesdk","Test - 9/16/2020 12:00 AM")</f>
        <v>Test - 9/16/2020 12:00 AM</v>
      </c>
      <c r="AL573" s="12" t="s">
        <v>1673</v>
      </c>
    </row>
    <row r="574" spans="1:38" ht="12.75">
      <c r="A574" s="10">
        <f ca="1">IFERROR(__xludf.DUMMYFUNCTION("""COMPUTED_VALUE"""),44090.5266282638)</f>
        <v>44090.526628263797</v>
      </c>
      <c r="B574" s="11" t="str">
        <f ca="1">IFERROR(__xludf.DUMMYFUNCTION("""COMPUTED_VALUE"""),"Shannon Dunnigan")</f>
        <v>Shannon Dunnigan</v>
      </c>
      <c r="C574" t="str">
        <f ca="1">IFERROR(__xludf.DUMMYFUNCTION("""COMPUTED_VALUE"""),"shannon.dunnigan@floridadep.gov")</f>
        <v>shannon.dunnigan@floridadep.gov</v>
      </c>
      <c r="D574" t="str">
        <f ca="1">IFERROR(__xludf.DUMMYFUNCTION("""COMPUTED_VALUE"""),"Nikki Dix")</f>
        <v>Nikki Dix</v>
      </c>
      <c r="E574" t="str">
        <f ca="1">IFERROR(__xludf.DUMMYFUNCTION("""COMPUTED_VALUE"""),"Green Road")</f>
        <v>Green Road</v>
      </c>
      <c r="F574" s="13">
        <f ca="1">IFERROR(__xludf.DUMMYFUNCTION("""COMPUTED_VALUE"""),0.53125)</f>
        <v>0.53125</v>
      </c>
      <c r="G574" s="14">
        <f ca="1">IFERROR(__xludf.DUMMYFUNCTION("""COMPUTED_VALUE"""),44090)</f>
        <v>44090</v>
      </c>
      <c r="H574" t="str">
        <f ca="1">IFERROR(__xludf.DUMMYFUNCTION("""COMPUTED_VALUE"""),"FM SWMP WQ site")</f>
        <v>FM SWMP WQ site</v>
      </c>
      <c r="I574" s="15">
        <f ca="1">IFERROR(__xludf.DUMMYFUNCTION("""COMPUTED_VALUE"""),0.604166666667879)</f>
        <v>0.60416666666787899</v>
      </c>
      <c r="J574" s="16">
        <f ca="1">IFERROR(__xludf.DUMMYFUNCTION("""COMPUTED_VALUE"""),44090.65625)</f>
        <v>44090.65625</v>
      </c>
      <c r="K574" t="str">
        <f ca="1">IFERROR(__xludf.DUMMYFUNCTION("""COMPUTED_VALUE"""),"20ft Sea Ark FL5351SJ UNF 2015")</f>
        <v>20ft Sea Ark FL5351SJ UNF 2015</v>
      </c>
      <c r="M574" t="str">
        <f ca="1">IFERROR(__xludf.DUMMYFUNCTION("""COMPUTED_VALUE"""),"Ford F250 2017 (Moby Dix) - DEP0021578")</f>
        <v>Ford F250 2017 (Moby Dix) - DEP0021578</v>
      </c>
      <c r="N574" t="str">
        <f ca="1">IFERROR(__xludf.DUMMYFUNCTION("""COMPUTED_VALUE"""),"Shannon Dunnigan, (803) 727-5734, Silas Tanner, (904) 483-8423")</f>
        <v>Shannon Dunnigan, (803) 727-5734, Silas Tanner, (904) 483-8423</v>
      </c>
      <c r="O574" t="str">
        <f ca="1">IFERROR(__xludf.DUMMYFUNCTION("""COMPUTED_VALUE"""),"No one. ")</f>
        <v xml:space="preserve">No one. </v>
      </c>
      <c r="P574" t="str">
        <f ca="1">IFERROR(__xludf.DUMMYFUNCTION("""COMPUTED_VALUE"""),"Silas")</f>
        <v>Silas</v>
      </c>
      <c r="Q574" t="str">
        <f ca="1">IFERROR(__xludf.DUMMYFUNCTION("""COMPUTED_VALUE"""),"All items in working order")</f>
        <v>All items in working order</v>
      </c>
      <c r="AE574" s="11"/>
      <c r="AF574" t="str">
        <v>Nikki.Dix@floridadep.gov</v>
      </c>
      <c r="AG574" s="17" t="s">
        <v>41</v>
      </c>
      <c r="AH574" s="12">
        <v>1332</v>
      </c>
      <c r="AI574" s="12" t="s">
        <v>1674</v>
      </c>
      <c r="AJ574" s="19" t="s">
        <v>1675</v>
      </c>
      <c r="AK574" s="20" t="str">
        <f>HYPERLINK("https://docs.google.com/document/d/1KJQZc7MWi31FUMQ6MoPimX10w3FqrKaw_GGEZsAsJxU/edit?usp=drivesdk","Shannon Dunnigan - 9/16/2020 12:45 PM")</f>
        <v>Shannon Dunnigan - 9/16/2020 12:45 PM</v>
      </c>
      <c r="AL574" s="12" t="s">
        <v>1676</v>
      </c>
    </row>
    <row r="575" spans="1:38" ht="12.75">
      <c r="A575" s="10">
        <f ca="1">IFERROR(__xludf.DUMMYFUNCTION("""COMPUTED_VALUE"""),44091.5265553472)</f>
        <v>44091.526555347198</v>
      </c>
      <c r="B575" s="11" t="str">
        <f ca="1">IFERROR(__xludf.DUMMYFUNCTION("""COMPUTED_VALUE"""),"Shannon Dunnigan")</f>
        <v>Shannon Dunnigan</v>
      </c>
      <c r="C575" t="str">
        <f ca="1">IFERROR(__xludf.DUMMYFUNCTION("""COMPUTED_VALUE"""),"shannon.dunnigan@floridadep.gov")</f>
        <v>shannon.dunnigan@floridadep.gov</v>
      </c>
      <c r="D575" t="str">
        <f ca="1">IFERROR(__xludf.DUMMYFUNCTION("""COMPUTED_VALUE"""),"Nikki Dix")</f>
        <v>Nikki Dix</v>
      </c>
      <c r="E575" t="str">
        <f ca="1">IFERROR(__xludf.DUMMYFUNCTION("""COMPUTED_VALUE"""),"Crane")</f>
        <v>Crane</v>
      </c>
      <c r="F575" s="13">
        <f ca="1">IFERROR(__xludf.DUMMYFUNCTION("""COMPUTED_VALUE"""),0.53125)</f>
        <v>0.53125</v>
      </c>
      <c r="G575" s="14">
        <f ca="1">IFERROR(__xludf.DUMMYFUNCTION("""COMPUTED_VALUE"""),44091)</f>
        <v>44091</v>
      </c>
      <c r="H575" t="str">
        <f ca="1">IFERROR(__xludf.DUMMYFUNCTION("""COMPUTED_VALUE"""),"East Creek")</f>
        <v>East Creek</v>
      </c>
      <c r="I575" s="15">
        <f ca="1">IFERROR(__xludf.DUMMYFUNCTION("""COMPUTED_VALUE"""),0.6875)</f>
        <v>0.6875</v>
      </c>
      <c r="J575" s="16">
        <f ca="1">IFERROR(__xludf.DUMMYFUNCTION("""COMPUTED_VALUE"""),44091.7291666666)</f>
        <v>44091.729166666599</v>
      </c>
      <c r="K575" t="str">
        <f ca="1">IFERROR(__xludf.DUMMYFUNCTION("""COMPUTED_VALUE"""),"20ft Sea Ark FL5351SJ UNF 2015")</f>
        <v>20ft Sea Ark FL5351SJ UNF 2015</v>
      </c>
      <c r="M575" t="str">
        <f ca="1">IFERROR(__xludf.DUMMYFUNCTION("""COMPUTED_VALUE"""),"Ford F250 2017 (Moby Dix) - DEP0021578")</f>
        <v>Ford F250 2017 (Moby Dix) - DEP0021578</v>
      </c>
      <c r="N575" t="str">
        <f ca="1">IFERROR(__xludf.DUMMYFUNCTION("""COMPUTED_VALUE"""),"Shannon Dunnigan, (803) 727-5734, Silas Tanner, (904) 483-8423")</f>
        <v>Shannon Dunnigan, (803) 727-5734, Silas Tanner, (904) 483-8423</v>
      </c>
      <c r="O575" t="str">
        <f ca="1">IFERROR(__xludf.DUMMYFUNCTION("""COMPUTED_VALUE"""),"No one")</f>
        <v>No one</v>
      </c>
      <c r="P575" t="str">
        <f ca="1">IFERROR(__xludf.DUMMYFUNCTION("""COMPUTED_VALUE"""),"Shannon")</f>
        <v>Shannon</v>
      </c>
      <c r="Q575" t="str">
        <f ca="1">IFERROR(__xludf.DUMMYFUNCTION("""COMPUTED_VALUE"""),"All items in working order")</f>
        <v>All items in working order</v>
      </c>
      <c r="AE575" s="11"/>
      <c r="AF575" t="str">
        <v>Nikki.Dix@floridadep.gov</v>
      </c>
      <c r="AG575" s="17" t="s">
        <v>54</v>
      </c>
      <c r="AH575" s="12" t="s">
        <v>54</v>
      </c>
      <c r="AI575" s="12" t="s">
        <v>1677</v>
      </c>
      <c r="AJ575" s="19" t="s">
        <v>1678</v>
      </c>
      <c r="AK575" s="20" t="str">
        <f>HYPERLINK("https://docs.google.com/document/d/1oqQhugOAMAiLjKVROUPEbrRT-TGBz8sePgq8nddUv9A/edit?usp=drivesdk","Shannon Dunnigan - 9/17/2020 12:45 PM")</f>
        <v>Shannon Dunnigan - 9/17/2020 12:45 PM</v>
      </c>
      <c r="AL575" s="12" t="s">
        <v>1679</v>
      </c>
    </row>
    <row r="576" spans="1:38" ht="12.75">
      <c r="A576" s="10">
        <f ca="1">IFERROR(__xludf.DUMMYFUNCTION("""COMPUTED_VALUE"""),44092.3472399652)</f>
        <v>44092.347239965202</v>
      </c>
      <c r="B576" s="11" t="str">
        <f ca="1">IFERROR(__xludf.DUMMYFUNCTION("""COMPUTED_VALUE"""),"Silas Tanner")</f>
        <v>Silas Tanner</v>
      </c>
      <c r="C576" t="str">
        <f ca="1">IFERROR(__xludf.DUMMYFUNCTION("""COMPUTED_VALUE"""),"silas.tanner@floridadep.gov")</f>
        <v>silas.tanner@floridadep.gov</v>
      </c>
      <c r="D576" t="str">
        <f ca="1">IFERROR(__xludf.DUMMYFUNCTION("""COMPUTED_VALUE"""),"Nikki Dix")</f>
        <v>Nikki Dix</v>
      </c>
      <c r="E576" t="str">
        <f ca="1">IFERROR(__xludf.DUMMYFUNCTION("""COMPUTED_VALUE"""),"Green Road")</f>
        <v>Green Road</v>
      </c>
      <c r="F576" s="13">
        <f ca="1">IFERROR(__xludf.DUMMYFUNCTION("""COMPUTED_VALUE"""),0.375)</f>
        <v>0.375</v>
      </c>
      <c r="G576" s="14">
        <f ca="1">IFERROR(__xludf.DUMMYFUNCTION("""COMPUTED_VALUE"""),44092)</f>
        <v>44092</v>
      </c>
      <c r="H576" t="str">
        <f ca="1">IFERROR(__xludf.DUMMYFUNCTION("""COMPUTED_VALUE"""),"Moses Creek platforms ")</f>
        <v xml:space="preserve">Moses Creek platforms </v>
      </c>
      <c r="I576" s="15">
        <f ca="1">IFERROR(__xludf.DUMMYFUNCTION("""COMPUTED_VALUE"""),0.625)</f>
        <v>0.625</v>
      </c>
      <c r="J576" s="16">
        <f ca="1">IFERROR(__xludf.DUMMYFUNCTION("""COMPUTED_VALUE"""),44092.6666666666)</f>
        <v>44092.666666666599</v>
      </c>
      <c r="K576" t="str">
        <f ca="1">IFERROR(__xludf.DUMMYFUNCTION("""COMPUTED_VALUE"""),"20ft Sea Ark FL5351SJ UNF 2015")</f>
        <v>20ft Sea Ark FL5351SJ UNF 2015</v>
      </c>
      <c r="M576" t="str">
        <f ca="1">IFERROR(__xludf.DUMMYFUNCTION("""COMPUTED_VALUE"""),"Ford F250 2017 (Moby Dix) - DEP0021578")</f>
        <v>Ford F250 2017 (Moby Dix) - DEP0021578</v>
      </c>
      <c r="N576" t="str">
        <f ca="1">IFERROR(__xludf.DUMMYFUNCTION("""COMPUTED_VALUE"""),"Shannon Dunnigan, (803) 727-5734, Silas Tanner, (904) 483-8423")</f>
        <v>Shannon Dunnigan, (803) 727-5734, Silas Tanner, (904) 483-8423</v>
      </c>
      <c r="O576" t="str">
        <f ca="1">IFERROR(__xludf.DUMMYFUNCTION("""COMPUTED_VALUE"""),"None")</f>
        <v>None</v>
      </c>
      <c r="P576" t="str">
        <f ca="1">IFERROR(__xludf.DUMMYFUNCTION("""COMPUTED_VALUE"""),"Dunnigan")</f>
        <v>Dunnigan</v>
      </c>
      <c r="Q576" t="str">
        <f ca="1">IFERROR(__xludf.DUMMYFUNCTION("""COMPUTED_VALUE"""),"All items in working order")</f>
        <v>All items in working order</v>
      </c>
      <c r="AE576" s="11"/>
      <c r="AF576" t="str">
        <v>Nikki.Dix@floridadep.gov</v>
      </c>
      <c r="AG576" s="17" t="s">
        <v>41</v>
      </c>
      <c r="AH576" s="12">
        <v>1440</v>
      </c>
      <c r="AI576" s="12" t="s">
        <v>1680</v>
      </c>
      <c r="AJ576" s="19" t="s">
        <v>1681</v>
      </c>
      <c r="AK576" s="20" t="str">
        <f>HYPERLINK("https://docs.google.com/document/d/1_NTRpo7Fe0NailxzsAMix3W_BroHBORKhMB7p6Te6hM/edit?usp=drivesdk","Silas Tanner - 9/18/2020 9:00 AM")</f>
        <v>Silas Tanner - 9/18/2020 9:00 AM</v>
      </c>
      <c r="AL576" s="12" t="s">
        <v>1682</v>
      </c>
    </row>
    <row r="577" spans="1:38" ht="12.75">
      <c r="A577" s="10">
        <f ca="1">IFERROR(__xludf.DUMMYFUNCTION("""COMPUTED_VALUE"""),44092.6318180439)</f>
        <v>44092.631818043898</v>
      </c>
      <c r="B577" s="11" t="str">
        <f ca="1">IFERROR(__xludf.DUMMYFUNCTION("""COMPUTED_VALUE"""),"test")</f>
        <v>test</v>
      </c>
      <c r="C577" t="str">
        <f ca="1">IFERROR(__xludf.DUMMYFUNCTION("""COMPUTED_VALUE"""),"pamelamarcum@hotmail.com")</f>
        <v>pamelamarcum@hotmail.com</v>
      </c>
      <c r="D577" t="str">
        <f ca="1">IFERROR(__xludf.DUMMYFUNCTION("""COMPUTED_VALUE"""),"Pam Marcum")</f>
        <v>Pam Marcum</v>
      </c>
      <c r="E577" t="str">
        <f ca="1">IFERROR(__xludf.DUMMYFUNCTION("""COMPUTED_VALUE"""),"test")</f>
        <v>test</v>
      </c>
      <c r="F577" s="13">
        <f ca="1">IFERROR(__xludf.DUMMYFUNCTION("""COMPUTED_VALUE"""),0)</f>
        <v>0</v>
      </c>
      <c r="G577" s="14">
        <f ca="1">IFERROR(__xludf.DUMMYFUNCTION("""COMPUTED_VALUE"""),36161)</f>
        <v>36161</v>
      </c>
      <c r="H577" t="str">
        <f ca="1">IFERROR(__xludf.DUMMYFUNCTION("""COMPUTED_VALUE"""),"test")</f>
        <v>test</v>
      </c>
      <c r="I577" s="15">
        <f ca="1">IFERROR(__xludf.DUMMYFUNCTION("""COMPUTED_VALUE"""),0)</f>
        <v>0</v>
      </c>
      <c r="J577" s="16">
        <f ca="1">IFERROR(__xludf.DUMMYFUNCTION("""COMPUTED_VALUE"""),36161)</f>
        <v>36161</v>
      </c>
      <c r="K577" t="str">
        <f ca="1">IFERROR(__xludf.DUMMYFUNCTION("""COMPUTED_VALUE"""),"F 20ft Sea Ark (Easy 200) FL8534PY DEP21451")</f>
        <v>F 20ft Sea Ark (Easy 200) FL8534PY DEP21451</v>
      </c>
      <c r="M577" t="str">
        <f ca="1">IFERROR(__xludf.DUMMYFUNCTION("""COMPUTED_VALUE"""),"Ford F250 2017 (Moby Dix) - DEP0021578")</f>
        <v>Ford F250 2017 (Moby Dix) - DEP0021578</v>
      </c>
      <c r="N577" t="str">
        <f ca="1">IFERROR(__xludf.DUMMYFUNCTION("""COMPUTED_VALUE"""),"Pam Marcum, (480) 332-5414")</f>
        <v>Pam Marcum, (480) 332-5414</v>
      </c>
      <c r="O577" t="str">
        <f ca="1">IFERROR(__xludf.DUMMYFUNCTION("""COMPUTED_VALUE"""),"test")</f>
        <v>test</v>
      </c>
      <c r="P577" t="str">
        <f ca="1">IFERROR(__xludf.DUMMYFUNCTION("""COMPUTED_VALUE"""),"test")</f>
        <v>test</v>
      </c>
      <c r="Q577" t="str">
        <f ca="1">IFERROR(__xludf.DUMMYFUNCTION("""COMPUTED_VALUE"""),"All items in working order")</f>
        <v>All items in working order</v>
      </c>
      <c r="AE577" s="11"/>
      <c r="AF577" t="str">
        <v>Pamela.Marcum@floridadep.gov</v>
      </c>
      <c r="AG577" s="17" t="s">
        <v>54</v>
      </c>
      <c r="AH577" s="12" t="s">
        <v>54</v>
      </c>
      <c r="AI577" s="12" t="s">
        <v>1683</v>
      </c>
      <c r="AJ577" s="19" t="s">
        <v>1684</v>
      </c>
      <c r="AK577" s="20" t="str">
        <f>HYPERLINK("https://docs.google.com/document/d/1nbL5P6Oo6a4QltxS3KZuALSx9YoVpCUbIVIJ8Xyf4xc/edit?usp=drivesdk","test - 1/1/1999 12:00 AM")</f>
        <v>test - 1/1/1999 12:00 AM</v>
      </c>
      <c r="AL577" s="12" t="s">
        <v>1685</v>
      </c>
    </row>
    <row r="578" spans="1:38" ht="12.75">
      <c r="A578" s="10">
        <f ca="1">IFERROR(__xludf.DUMMYFUNCTION("""COMPUTED_VALUE"""),44092.8022325694)</f>
        <v>44092.802232569396</v>
      </c>
      <c r="B578" s="11" t="str">
        <f ca="1">IFERROR(__xludf.DUMMYFUNCTION("""COMPUTED_VALUE"""),"Test")</f>
        <v>Test</v>
      </c>
      <c r="C578" t="str">
        <f ca="1">IFERROR(__xludf.DUMMYFUNCTION("""COMPUTED_VALUE"""),"pamela.marcum@floridadep.gov")</f>
        <v>pamela.marcum@floridadep.gov</v>
      </c>
      <c r="D578" t="str">
        <f ca="1">IFERROR(__xludf.DUMMYFUNCTION("""COMPUTED_VALUE"""),"Pam Marcum")</f>
        <v>Pam Marcum</v>
      </c>
      <c r="E578" t="str">
        <f ca="1">IFERROR(__xludf.DUMMYFUNCTION("""COMPUTED_VALUE"""),"test")</f>
        <v>test</v>
      </c>
      <c r="F578" s="13">
        <f ca="1">IFERROR(__xludf.DUMMYFUNCTION("""COMPUTED_VALUE"""),0)</f>
        <v>0</v>
      </c>
      <c r="G578" s="14">
        <f ca="1">IFERROR(__xludf.DUMMYFUNCTION("""COMPUTED_VALUE"""),44092)</f>
        <v>44092</v>
      </c>
      <c r="H578" t="str">
        <f ca="1">IFERROR(__xludf.DUMMYFUNCTION("""COMPUTED_VALUE"""),"test")</f>
        <v>test</v>
      </c>
      <c r="I578" s="15">
        <f ca="1">IFERROR(__xludf.DUMMYFUNCTION("""COMPUTED_VALUE"""),0)</f>
        <v>0</v>
      </c>
      <c r="J578" s="16">
        <f ca="1">IFERROR(__xludf.DUMMYFUNCTION("""COMPUTED_VALUE"""),44092)</f>
        <v>44092</v>
      </c>
      <c r="K578" t="str">
        <f ca="1">IFERROR(__xludf.DUMMYFUNCTION("""COMPUTED_VALUE"""),"Test")</f>
        <v>Test</v>
      </c>
      <c r="M578" t="str">
        <f ca="1">IFERROR(__xludf.DUMMYFUNCTION("""COMPUTED_VALUE"""),"Test")</f>
        <v>Test</v>
      </c>
      <c r="N578" t="str">
        <f ca="1">IFERROR(__xludf.DUMMYFUNCTION("""COMPUTED_VALUE"""),"Test")</f>
        <v>Test</v>
      </c>
      <c r="O578" t="str">
        <f ca="1">IFERROR(__xludf.DUMMYFUNCTION("""COMPUTED_VALUE"""),"Test")</f>
        <v>Test</v>
      </c>
      <c r="P578" t="str">
        <f ca="1">IFERROR(__xludf.DUMMYFUNCTION("""COMPUTED_VALUE"""),"Test")</f>
        <v>Test</v>
      </c>
      <c r="Q578" t="str">
        <f ca="1">IFERROR(__xludf.DUMMYFUNCTION("""COMPUTED_VALUE"""),"All items in working order")</f>
        <v>All items in working order</v>
      </c>
      <c r="AE578" s="11"/>
      <c r="AF578" t="str">
        <v>Pamela.Marcum@floridadep.gov</v>
      </c>
      <c r="AG578" s="17" t="s">
        <v>54</v>
      </c>
      <c r="AH578" s="12" t="s">
        <v>54</v>
      </c>
      <c r="AI578" s="12" t="s">
        <v>1686</v>
      </c>
      <c r="AJ578" s="19" t="s">
        <v>1687</v>
      </c>
      <c r="AK578" s="20" t="str">
        <f>HYPERLINK("https://docs.google.com/document/d/1inSaAuTtr9jzKd4uA5waRJvI8Dw1f1px2Is6n7ndkkI/edit?usp=drivesdk","Test - 9/18/2020 12:00 AM")</f>
        <v>Test - 9/18/2020 12:00 AM</v>
      </c>
      <c r="AL578" s="12" t="s">
        <v>1688</v>
      </c>
    </row>
    <row r="579" spans="1:38" ht="12.75">
      <c r="A579" s="10">
        <f ca="1">IFERROR(__xludf.DUMMYFUNCTION("""COMPUTED_VALUE"""),44096.0492731828)</f>
        <v>44096.049273182798</v>
      </c>
      <c r="B579" s="11" t="str">
        <f ca="1">IFERROR(__xludf.DUMMYFUNCTION("""COMPUTED_VALUE"""),"Jessica Lee")</f>
        <v>Jessica Lee</v>
      </c>
      <c r="C579" t="str">
        <f ca="1">IFERROR(__xludf.DUMMYFUNCTION("""COMPUTED_VALUE"""),"jessica.lee@floridadep.gov")</f>
        <v>jessica.lee@floridadep.gov</v>
      </c>
      <c r="D579" t="str">
        <f ca="1">IFERROR(__xludf.DUMMYFUNCTION("""COMPUTED_VALUE"""),"Nikki Dix")</f>
        <v>Nikki Dix</v>
      </c>
      <c r="E579" t="str">
        <f ca="1">IFERROR(__xludf.DUMMYFUNCTION("""COMPUTED_VALUE"""),"Guana River")</f>
        <v>Guana River</v>
      </c>
      <c r="F579" s="13">
        <f ca="1">IFERROR(__xludf.DUMMYFUNCTION("""COMPUTED_VALUE"""),0.3125)</f>
        <v>0.3125</v>
      </c>
      <c r="G579" s="14">
        <f ca="1">IFERROR(__xludf.DUMMYFUNCTION("""COMPUTED_VALUE"""),44088)</f>
        <v>44088</v>
      </c>
      <c r="H579" t="str">
        <f ca="1">IFERROR(__xludf.DUMMYFUNCTION("""COMPUTED_VALUE"""),"Guana River")</f>
        <v>Guana River</v>
      </c>
      <c r="I579" s="15">
        <f ca="1">IFERROR(__xludf.DUMMYFUNCTION("""COMPUTED_VALUE"""),0.39583333333212)</f>
        <v>0.39583333333212001</v>
      </c>
      <c r="J579" s="16">
        <f ca="1">IFERROR(__xludf.DUMMYFUNCTION("""COMPUTED_VALUE"""),44088.4166666666)</f>
        <v>44088.416666666599</v>
      </c>
      <c r="K579" t="str">
        <f ca="1">IFERROR(__xludf.DUMMYFUNCTION("""COMPUTED_VALUE"""),"Jon Boat 1 FL5992RR DEP154045")</f>
        <v>Jon Boat 1 FL5992RR DEP154045</v>
      </c>
      <c r="M579" t="str">
        <f ca="1">IFERROR(__xludf.DUMMYFUNCTION("""COMPUTED_VALUE"""),"Ford F250 2017 (Moby Dix) - DEP0021578")</f>
        <v>Ford F250 2017 (Moby Dix) - DEP0021578</v>
      </c>
      <c r="N579" t="str">
        <f ca="1">IFERROR(__xludf.DUMMYFUNCTION("""COMPUTED_VALUE"""),"Silas Tanner, (904) 483-8423")</f>
        <v>Silas Tanner, (904) 483-8423</v>
      </c>
      <c r="O579" t="str">
        <f ca="1">IFERROR(__xludf.DUMMYFUNCTION("""COMPUTED_VALUE"""),"Jessica Lee")</f>
        <v>Jessica Lee</v>
      </c>
      <c r="P579" t="str">
        <f ca="1">IFERROR(__xludf.DUMMYFUNCTION("""COMPUTED_VALUE"""),"Jessica Lee")</f>
        <v>Jessica Lee</v>
      </c>
      <c r="Q579" t="str">
        <f ca="1">IFERROR(__xludf.DUMMYFUNCTION("""COMPUTED_VALUE"""),"All items in working order")</f>
        <v>All items in working order</v>
      </c>
      <c r="AE579" s="11"/>
      <c r="AF579" t="str">
        <v>Nikki.Dix@floridadep.gov</v>
      </c>
      <c r="AG579" s="17" t="s">
        <v>54</v>
      </c>
      <c r="AH579" s="12" t="s">
        <v>54</v>
      </c>
      <c r="AI579" s="12" t="s">
        <v>1689</v>
      </c>
      <c r="AJ579" s="19" t="s">
        <v>1690</v>
      </c>
      <c r="AK579" s="20" t="str">
        <f>HYPERLINK("https://docs.google.com/document/d/12oEpuM28DHseLo4rhITNUOBHZoSLauObccYEJGAhUec/edit?usp=drivesdk","Jessica Lee - 9/14/2020 7:30 AM")</f>
        <v>Jessica Lee - 9/14/2020 7:30 AM</v>
      </c>
      <c r="AL579" s="12" t="s">
        <v>1691</v>
      </c>
    </row>
    <row r="580" spans="1:38" ht="12.75">
      <c r="A580" s="10">
        <f ca="1">IFERROR(__xludf.DUMMYFUNCTION("""COMPUTED_VALUE"""),44099.5185480671)</f>
        <v>44099.518548067099</v>
      </c>
      <c r="B580" s="11" t="str">
        <f ca="1">IFERROR(__xludf.DUMMYFUNCTION("""COMPUTED_VALUE"""),"Pamela Marcum")</f>
        <v>Pamela Marcum</v>
      </c>
      <c r="C580" t="str">
        <f ca="1">IFERROR(__xludf.DUMMYFUNCTION("""COMPUTED_VALUE"""),"pamela.Marcum@Floridadep.gov")</f>
        <v>pamela.Marcum@Floridadep.gov</v>
      </c>
      <c r="D580" t="str">
        <f ca="1">IFERROR(__xludf.DUMMYFUNCTION("""COMPUTED_VALUE"""),"Nikki Dix")</f>
        <v>Nikki Dix</v>
      </c>
      <c r="E580" t="str">
        <f ca="1">IFERROR(__xludf.DUMMYFUNCTION("""COMPUTED_VALUE"""),"Green Rd")</f>
        <v>Green Rd</v>
      </c>
      <c r="F580" s="13">
        <f ca="1">IFERROR(__xludf.DUMMYFUNCTION("""COMPUTED_VALUE"""),0.40625)</f>
        <v>0.40625</v>
      </c>
      <c r="G580" s="14">
        <f ca="1">IFERROR(__xludf.DUMMYFUNCTION("""COMPUTED_VALUE"""),44099)</f>
        <v>44099</v>
      </c>
      <c r="H580" t="str">
        <f ca="1">IFERROR(__xludf.DUMMYFUNCTION("""COMPUTED_VALUE"""),"Devil's elbow")</f>
        <v>Devil's elbow</v>
      </c>
      <c r="I580" s="15">
        <f ca="1">IFERROR(__xludf.DUMMYFUNCTION("""COMPUTED_VALUE"""),0.4375)</f>
        <v>0.4375</v>
      </c>
      <c r="J580" s="16">
        <f ca="1">IFERROR(__xludf.DUMMYFUNCTION("""COMPUTED_VALUE"""),44099.5833333333)</f>
        <v>44099.583333333299</v>
      </c>
      <c r="K580" t="str">
        <f ca="1">IFERROR(__xludf.DUMMYFUNCTION("""COMPUTED_VALUE"""),"Jon Boat 1 FL5992RR DEP154045")</f>
        <v>Jon Boat 1 FL5992RR DEP154045</v>
      </c>
      <c r="M580" t="str">
        <f ca="1">IFERROR(__xludf.DUMMYFUNCTION("""COMPUTED_VALUE"""),"Ford F150 2015 (White) - DEP21448")</f>
        <v>Ford F150 2015 (White) - DEP21448</v>
      </c>
      <c r="N580" t="str">
        <f ca="1">IFERROR(__xludf.DUMMYFUNCTION("""COMPUTED_VALUE"""),"Pam Marcum, (480) 332-5414")</f>
        <v>Pam Marcum, (480) 332-5414</v>
      </c>
      <c r="O580" t="str">
        <f ca="1">IFERROR(__xludf.DUMMYFUNCTION("""COMPUTED_VALUE"""),"Brian Alexander")</f>
        <v>Brian Alexander</v>
      </c>
      <c r="P580" t="str">
        <f ca="1">IFERROR(__xludf.DUMMYFUNCTION("""COMPUTED_VALUE"""),"Pam")</f>
        <v>Pam</v>
      </c>
      <c r="Q580" t="str">
        <f ca="1">IFERROR(__xludf.DUMMYFUNCTION("""COMPUTED_VALUE"""),"All items in working order")</f>
        <v>All items in working order</v>
      </c>
      <c r="AE580" s="11"/>
      <c r="AF580" t="str">
        <v>Nikki.Dix@floridadep.gov</v>
      </c>
      <c r="AG580" s="17" t="s">
        <v>41</v>
      </c>
      <c r="AH580" s="12">
        <v>1035</v>
      </c>
      <c r="AI580" s="12" t="s">
        <v>1692</v>
      </c>
      <c r="AJ580" s="19" t="s">
        <v>1693</v>
      </c>
      <c r="AK580" s="20" t="str">
        <f>HYPERLINK("https://docs.google.com/document/d/193RCU5aMClA-7dpfOEXam6HiYDyelIVdY52RcYkdoC8/edit?usp=drivesdk","Pamela Marcum - 9/25/2020 9:45 AM")</f>
        <v>Pamela Marcum - 9/25/2020 9:45 AM</v>
      </c>
      <c r="AL580" s="12" t="s">
        <v>1694</v>
      </c>
    </row>
    <row r="581" spans="1:38" ht="12.75">
      <c r="A581" s="10">
        <f ca="1">IFERROR(__xludf.DUMMYFUNCTION("""COMPUTED_VALUE"""),44099.5241780555)</f>
        <v>44099.524178055501</v>
      </c>
      <c r="B581" s="11" t="str">
        <f ca="1">IFERROR(__xludf.DUMMYFUNCTION("""COMPUTED_VALUE"""),"Pam Marcum")</f>
        <v>Pam Marcum</v>
      </c>
      <c r="C581" t="str">
        <f ca="1">IFERROR(__xludf.DUMMYFUNCTION("""COMPUTED_VALUE"""),"pamela.marcum@floridadep.gov")</f>
        <v>pamela.marcum@floridadep.gov</v>
      </c>
      <c r="D581" t="str">
        <f ca="1">IFERROR(__xludf.DUMMYFUNCTION("""COMPUTED_VALUE"""),"Nikki Dix")</f>
        <v>Nikki Dix</v>
      </c>
      <c r="E581" t="str">
        <f ca="1">IFERROR(__xludf.DUMMYFUNCTION("""COMPUTED_VALUE"""),"Faver Dykes")</f>
        <v>Faver Dykes</v>
      </c>
      <c r="F581" s="13">
        <f ca="1">IFERROR(__xludf.DUMMYFUNCTION("""COMPUTED_VALUE"""),0.46875)</f>
        <v>0.46875</v>
      </c>
      <c r="G581" s="14">
        <f ca="1">IFERROR(__xludf.DUMMYFUNCTION("""COMPUTED_VALUE"""),44099)</f>
        <v>44099</v>
      </c>
      <c r="H581" t="str">
        <f ca="1">IFERROR(__xludf.DUMMYFUNCTION("""COMPUTED_VALUE"""),"Pellicer Flats")</f>
        <v>Pellicer Flats</v>
      </c>
      <c r="I581" s="15">
        <f ca="1">IFERROR(__xludf.DUMMYFUNCTION("""COMPUTED_VALUE"""),0.541666666667879)</f>
        <v>0.54166666666787899</v>
      </c>
      <c r="J581" s="16">
        <f ca="1">IFERROR(__xludf.DUMMYFUNCTION("""COMPUTED_VALUE"""),44099.5833333333)</f>
        <v>44099.583333333299</v>
      </c>
      <c r="K581" t="str">
        <f ca="1">IFERROR(__xludf.DUMMYFUNCTION("""COMPUTED_VALUE"""),"Jon Boat 1 FL5992RR DEP154045")</f>
        <v>Jon Boat 1 FL5992RR DEP154045</v>
      </c>
      <c r="M581" t="str">
        <f ca="1">IFERROR(__xludf.DUMMYFUNCTION("""COMPUTED_VALUE"""),"Ford F150 2015 (White) - DEP21448")</f>
        <v>Ford F150 2015 (White) - DEP21448</v>
      </c>
      <c r="N581" t="str">
        <f ca="1">IFERROR(__xludf.DUMMYFUNCTION("""COMPUTED_VALUE"""),"Pam Marcum, (480) 332-5414")</f>
        <v>Pam Marcum, (480) 332-5414</v>
      </c>
      <c r="O581" t="str">
        <f ca="1">IFERROR(__xludf.DUMMYFUNCTION("""COMPUTED_VALUE"""),"Brian Alexander")</f>
        <v>Brian Alexander</v>
      </c>
      <c r="P581" t="str">
        <f ca="1">IFERROR(__xludf.DUMMYFUNCTION("""COMPUTED_VALUE"""),"Pam")</f>
        <v>Pam</v>
      </c>
      <c r="Q581" t="str">
        <f ca="1">IFERROR(__xludf.DUMMYFUNCTION("""COMPUTED_VALUE"""),"All items in working order")</f>
        <v>All items in working order</v>
      </c>
      <c r="AE581" s="11"/>
      <c r="AF581" t="str">
        <v>Nikki.Dix@floridadep.gov</v>
      </c>
      <c r="AG581" s="17" t="s">
        <v>41</v>
      </c>
      <c r="AH581" s="12">
        <v>1225</v>
      </c>
      <c r="AI581" s="12" t="s">
        <v>1695</v>
      </c>
      <c r="AJ581" s="19" t="s">
        <v>1696</v>
      </c>
      <c r="AK581" s="20" t="str">
        <f>HYPERLINK("https://docs.google.com/document/d/1M4VsU4s9QNEO5RqbkxtUqKB6O5EUCsaugCcgOh_4WmI/edit?usp=drivesdk","Pam Marcum - 9/25/2020 11:15 AM")</f>
        <v>Pam Marcum - 9/25/2020 11:15 AM</v>
      </c>
      <c r="AL581" s="12" t="s">
        <v>1697</v>
      </c>
    </row>
    <row r="582" spans="1:38" ht="12.75">
      <c r="A582" s="10">
        <f ca="1">IFERROR(__xludf.DUMMYFUNCTION("""COMPUTED_VALUE"""),44104.3089273611)</f>
        <v>44104.308927361097</v>
      </c>
      <c r="B582" s="11" t="str">
        <f ca="1">IFERROR(__xludf.DUMMYFUNCTION("""COMPUTED_VALUE"""),"Silas Tanner")</f>
        <v>Silas Tanner</v>
      </c>
      <c r="C582" t="str">
        <f ca="1">IFERROR(__xludf.DUMMYFUNCTION("""COMPUTED_VALUE"""),"silas.tanner@floridadep.gov")</f>
        <v>silas.tanner@floridadep.gov</v>
      </c>
      <c r="D582" t="str">
        <f ca="1">IFERROR(__xludf.DUMMYFUNCTION("""COMPUTED_VALUE"""),"Nikki Dix")</f>
        <v>Nikki Dix</v>
      </c>
      <c r="E582" t="str">
        <f ca="1">IFERROR(__xludf.DUMMYFUNCTION("""COMPUTED_VALUE"""),"Crane ramp")</f>
        <v>Crane ramp</v>
      </c>
      <c r="F582" s="13">
        <f ca="1">IFERROR(__xludf.DUMMYFUNCTION("""COMPUTED_VALUE"""),0.322916666667879)</f>
        <v>0.32291666666787899</v>
      </c>
      <c r="G582" s="14">
        <f ca="1">IFERROR(__xludf.DUMMYFUNCTION("""COMPUTED_VALUE"""),44104)</f>
        <v>44104</v>
      </c>
      <c r="H582" t="str">
        <f ca="1">IFERROR(__xludf.DUMMYFUNCTION("""COMPUTED_VALUE"""),"Icw swmp sites")</f>
        <v>Icw swmp sites</v>
      </c>
      <c r="I582" s="15">
        <f ca="1">IFERROR(__xludf.DUMMYFUNCTION("""COMPUTED_VALUE"""),0.541666666667879)</f>
        <v>0.54166666666787899</v>
      </c>
      <c r="J582" s="16">
        <f ca="1">IFERROR(__xludf.DUMMYFUNCTION("""COMPUTED_VALUE"""),44104.6458333333)</f>
        <v>44104.645833333299</v>
      </c>
      <c r="K582" t="str">
        <f ca="1">IFERROR(__xludf.DUMMYFUNCTION("""COMPUTED_VALUE"""),"23ft Skiff (Bertha) FL7972LJ DEP07613")</f>
        <v>23ft Skiff (Bertha) FL7972LJ DEP07613</v>
      </c>
      <c r="M582" t="str">
        <f ca="1">IFERROR(__xludf.DUMMYFUNCTION("""COMPUTED_VALUE"""),"Ford F250 2017 (Moby Dix) - DEP0021578")</f>
        <v>Ford F250 2017 (Moby Dix) - DEP0021578</v>
      </c>
      <c r="N582" t="str">
        <f ca="1">IFERROR(__xludf.DUMMYFUNCTION("""COMPUTED_VALUE"""),"Silas Tanner, (904) 483-8423, Remo")</f>
        <v>Silas Tanner, (904) 483-8423, Remo</v>
      </c>
      <c r="O582" t="str">
        <f ca="1">IFERROR(__xludf.DUMMYFUNCTION("""COMPUTED_VALUE"""),"None")</f>
        <v>None</v>
      </c>
      <c r="P582" t="str">
        <f ca="1">IFERROR(__xludf.DUMMYFUNCTION("""COMPUTED_VALUE"""),"Tanner")</f>
        <v>Tanner</v>
      </c>
      <c r="Q582" t="str">
        <f ca="1">IFERROR(__xludf.DUMMYFUNCTION("""COMPUTED_VALUE"""),"All items in working order")</f>
        <v>All items in working order</v>
      </c>
      <c r="AE582" s="11"/>
      <c r="AF582" t="str">
        <v>Nikki.Dix@floridadep.gov</v>
      </c>
      <c r="AG582" s="17" t="s">
        <v>41</v>
      </c>
      <c r="AH582" s="12">
        <v>1200</v>
      </c>
      <c r="AI582" s="12" t="s">
        <v>1698</v>
      </c>
      <c r="AJ582" s="19" t="s">
        <v>1699</v>
      </c>
      <c r="AK582" s="20" t="str">
        <f>HYPERLINK("https://docs.google.com/document/d/1v1d_ycMucf1LgqyFha5kYLpVsR2kxTPYqANN4NehAQk/edit?usp=drivesdk","Silas Tanner - 9/30/2020 7:45 AM")</f>
        <v>Silas Tanner - 9/30/2020 7:45 AM</v>
      </c>
      <c r="AL582" s="12" t="s">
        <v>1700</v>
      </c>
    </row>
    <row r="583" spans="1:38" ht="12.75">
      <c r="A583" s="10">
        <f ca="1">IFERROR(__xludf.DUMMYFUNCTION("""COMPUTED_VALUE"""),44104.3685452777)</f>
        <v>44104.368545277699</v>
      </c>
      <c r="B583" s="11" t="str">
        <f ca="1">IFERROR(__xludf.DUMMYFUNCTION("""COMPUTED_VALUE"""),"Pam Marcum")</f>
        <v>Pam Marcum</v>
      </c>
      <c r="C583" t="str">
        <f ca="1">IFERROR(__xludf.DUMMYFUNCTION("""COMPUTED_VALUE"""),"pamela.marcum@floridadep.gov")</f>
        <v>pamela.marcum@floridadep.gov</v>
      </c>
      <c r="D583" t="str">
        <f ca="1">IFERROR(__xludf.DUMMYFUNCTION("""COMPUTED_VALUE"""),"Nikki Dix")</f>
        <v>Nikki Dix</v>
      </c>
      <c r="E583" t="str">
        <f ca="1">IFERROR(__xludf.DUMMYFUNCTION("""COMPUTED_VALUE"""),"Shore Dr")</f>
        <v>Shore Dr</v>
      </c>
      <c r="F583" s="13">
        <f ca="1">IFERROR(__xludf.DUMMYFUNCTION("""COMPUTED_VALUE"""),0.368055555554747)</f>
        <v>0.368055555554747</v>
      </c>
      <c r="G583" s="14">
        <f ca="1">IFERROR(__xludf.DUMMYFUNCTION("""COMPUTED_VALUE"""),44104)</f>
        <v>44104</v>
      </c>
      <c r="H583" t="str">
        <f ca="1">IFERROR(__xludf.DUMMYFUNCTION("""COMPUTED_VALUE"""),"Gabby's Creek")</f>
        <v>Gabby's Creek</v>
      </c>
      <c r="I583" s="15">
        <f ca="1">IFERROR(__xludf.DUMMYFUNCTION("""COMPUTED_VALUE"""),0.541666666667879)</f>
        <v>0.54166666666787899</v>
      </c>
      <c r="J583" s="16">
        <f ca="1">IFERROR(__xludf.DUMMYFUNCTION("""COMPUTED_VALUE"""),44104.5416666666)</f>
        <v>44104.541666666599</v>
      </c>
      <c r="K583" t="str">
        <f ca="1">IFERROR(__xludf.DUMMYFUNCTION("""COMPUTED_VALUE"""),"20ft Sea Ark FL5351SJ UNF 2015")</f>
        <v>20ft Sea Ark FL5351SJ UNF 2015</v>
      </c>
      <c r="M583" t="str">
        <f ca="1">IFERROR(__xludf.DUMMYFUNCTION("""COMPUTED_VALUE"""),"Ford F150 2015 (White) - DEP21448")</f>
        <v>Ford F150 2015 (White) - DEP21448</v>
      </c>
      <c r="N583" t="str">
        <f ca="1">IFERROR(__xludf.DUMMYFUNCTION("""COMPUTED_VALUE"""),"Pam Marcum, (480) 332-5414")</f>
        <v>Pam Marcum, (480) 332-5414</v>
      </c>
      <c r="O583" t="str">
        <f ca="1">IFERROR(__xludf.DUMMYFUNCTION("""COMPUTED_VALUE"""),"Gabriela Canas, (904) 891-9743")</f>
        <v>Gabriela Canas, (904) 891-9743</v>
      </c>
      <c r="P583" t="str">
        <f ca="1">IFERROR(__xludf.DUMMYFUNCTION("""COMPUTED_VALUE"""),"Pam")</f>
        <v>Pam</v>
      </c>
      <c r="Q583" t="str">
        <f ca="1">IFERROR(__xludf.DUMMYFUNCTION("""COMPUTED_VALUE"""),"All items in working order")</f>
        <v>All items in working order</v>
      </c>
      <c r="AE583" s="11"/>
      <c r="AF583" t="str">
        <v>Nikki.Dix@floridadep.gov</v>
      </c>
      <c r="AG583" s="17" t="s">
        <v>41</v>
      </c>
      <c r="AH583" s="12">
        <v>1300</v>
      </c>
      <c r="AI583" s="12" t="s">
        <v>1701</v>
      </c>
      <c r="AJ583" s="19" t="s">
        <v>1702</v>
      </c>
      <c r="AK583" s="20" t="str">
        <f>HYPERLINK("https://docs.google.com/document/d/1ZGseZwHpr2fXn9K46E8ncC8WVsOQrNhgkb_tIOOwnEA/edit?usp=drivesdk","Pam Marcum - 9/30/2020 8:50 AM")</f>
        <v>Pam Marcum - 9/30/2020 8:50 AM</v>
      </c>
      <c r="AL583" s="12" t="s">
        <v>1703</v>
      </c>
    </row>
    <row r="584" spans="1:38" ht="12.75">
      <c r="A584" s="10">
        <f ca="1">IFERROR(__xludf.DUMMYFUNCTION("""COMPUTED_VALUE"""),44106.3478623263)</f>
        <v>44106.3478623263</v>
      </c>
      <c r="B584" s="11" t="str">
        <f ca="1">IFERROR(__xludf.DUMMYFUNCTION("""COMPUTED_VALUE"""),"Silas Tanner")</f>
        <v>Silas Tanner</v>
      </c>
      <c r="C584" t="str">
        <f ca="1">IFERROR(__xludf.DUMMYFUNCTION("""COMPUTED_VALUE"""),"silas.tanner@gmail.com")</f>
        <v>silas.tanner@gmail.com</v>
      </c>
      <c r="D584" t="str">
        <f ca="1">IFERROR(__xludf.DUMMYFUNCTION("""COMPUTED_VALUE"""),"Nikki Dix")</f>
        <v>Nikki Dix</v>
      </c>
      <c r="E584" t="str">
        <f ca="1">IFERROR(__xludf.DUMMYFUNCTION("""COMPUTED_VALUE"""),"Palm Valley")</f>
        <v>Palm Valley</v>
      </c>
      <c r="F584" s="13">
        <f ca="1">IFERROR(__xludf.DUMMYFUNCTION("""COMPUTED_VALUE"""),0.34375)</f>
        <v>0.34375</v>
      </c>
      <c r="G584" s="14">
        <f ca="1">IFERROR(__xludf.DUMMYFUNCTION("""COMPUTED_VALUE"""),44106)</f>
        <v>44106</v>
      </c>
      <c r="H584" t="str">
        <f ca="1">IFERROR(__xludf.DUMMYFUNCTION("""COMPUTED_VALUE"""),"Pine Island monitoring platforms")</f>
        <v>Pine Island monitoring platforms</v>
      </c>
      <c r="I584" s="15">
        <f ca="1">IFERROR(__xludf.DUMMYFUNCTION("""COMPUTED_VALUE"""),0.58333333333212)</f>
        <v>0.58333333333212001</v>
      </c>
      <c r="J584" s="16">
        <f ca="1">IFERROR(__xludf.DUMMYFUNCTION("""COMPUTED_VALUE"""),44106.6041666666)</f>
        <v>44106.604166666599</v>
      </c>
      <c r="K584" t="str">
        <f ca="1">IFERROR(__xludf.DUMMYFUNCTION("""COMPUTED_VALUE"""),"20ft Sea Ark FL5351SJ UNF 2015")</f>
        <v>20ft Sea Ark FL5351SJ UNF 2015</v>
      </c>
      <c r="M584" t="str">
        <f ca="1">IFERROR(__xludf.DUMMYFUNCTION("""COMPUTED_VALUE"""),"Ford F150 2015 (White) - DEP21448")</f>
        <v>Ford F150 2015 (White) - DEP21448</v>
      </c>
      <c r="N584" t="str">
        <f ca="1">IFERROR(__xludf.DUMMYFUNCTION("""COMPUTED_VALUE"""),"Shannon Dunnigan, (803) 727-5734, Silas Tanner, (904) 483-8423")</f>
        <v>Shannon Dunnigan, (803) 727-5734, Silas Tanner, (904) 483-8423</v>
      </c>
      <c r="O584" t="str">
        <f ca="1">IFERROR(__xludf.DUMMYFUNCTION("""COMPUTED_VALUE"""),"None")</f>
        <v>None</v>
      </c>
      <c r="P584" t="str">
        <f ca="1">IFERROR(__xludf.DUMMYFUNCTION("""COMPUTED_VALUE"""),"Dunnigan")</f>
        <v>Dunnigan</v>
      </c>
      <c r="Q584" t="str">
        <f ca="1">IFERROR(__xludf.DUMMYFUNCTION("""COMPUTED_VALUE"""),"All items in working order")</f>
        <v>All items in working order</v>
      </c>
      <c r="AE584" s="11"/>
      <c r="AF584" t="str">
        <v>Nikki.Dix@floridadep.gov</v>
      </c>
      <c r="AG584" s="17" t="s">
        <v>41</v>
      </c>
      <c r="AH584" s="12">
        <v>1510</v>
      </c>
      <c r="AI584" s="12" t="s">
        <v>1704</v>
      </c>
      <c r="AJ584" s="19" t="s">
        <v>1705</v>
      </c>
      <c r="AK584" s="20" t="str">
        <f>HYPERLINK("https://docs.google.com/document/d/1-DTv4tpnzAJLpiiq2bxbja_Q9n8aYizvebb8SQq0X6s/edit?usp=drivesdk","Silas Tanner - 10/2/2020 8:15 AM")</f>
        <v>Silas Tanner - 10/2/2020 8:15 AM</v>
      </c>
      <c r="AL584" s="12" t="s">
        <v>1706</v>
      </c>
    </row>
    <row r="585" spans="1:38" ht="12.75">
      <c r="A585" s="10">
        <f ca="1">IFERROR(__xludf.DUMMYFUNCTION("""COMPUTED_VALUE"""),44109.3218566435)</f>
        <v>44109.321856643503</v>
      </c>
      <c r="B585" s="11" t="str">
        <f ca="1">IFERROR(__xludf.DUMMYFUNCTION("""COMPUTED_VALUE"""),"Silas Tanner")</f>
        <v>Silas Tanner</v>
      </c>
      <c r="C585" t="str">
        <f ca="1">IFERROR(__xludf.DUMMYFUNCTION("""COMPUTED_VALUE"""),"silas.tanner@floridadep.gov")</f>
        <v>silas.tanner@floridadep.gov</v>
      </c>
      <c r="D585" t="str">
        <f ca="1">IFERROR(__xludf.DUMMYFUNCTION("""COMPUTED_VALUE"""),"Nikki Dix")</f>
        <v>Nikki Dix</v>
      </c>
      <c r="E585" t="str">
        <f ca="1">IFERROR(__xludf.DUMMYFUNCTION("""COMPUTED_VALUE"""),"FDSP")</f>
        <v>FDSP</v>
      </c>
      <c r="F585" s="13">
        <f ca="1">IFERROR(__xludf.DUMMYFUNCTION("""COMPUTED_VALUE"""),0.322916666667879)</f>
        <v>0.32291666666787899</v>
      </c>
      <c r="G585" s="14">
        <f ca="1">IFERROR(__xludf.DUMMYFUNCTION("""COMPUTED_VALUE"""),44109)</f>
        <v>44109</v>
      </c>
      <c r="H585" t="str">
        <f ca="1">IFERROR(__xludf.DUMMYFUNCTION("""COMPUTED_VALUE"""),"Pellicer MM platforms")</f>
        <v>Pellicer MM platforms</v>
      </c>
      <c r="I585" s="15">
        <f ca="1">IFERROR(__xludf.DUMMYFUNCTION("""COMPUTED_VALUE"""),0.64583333333212)</f>
        <v>0.64583333333212001</v>
      </c>
      <c r="J585" s="16">
        <f ca="1">IFERROR(__xludf.DUMMYFUNCTION("""COMPUTED_VALUE"""),44109.6875)</f>
        <v>44109.6875</v>
      </c>
      <c r="K585" t="str">
        <f ca="1">IFERROR(__xludf.DUMMYFUNCTION("""COMPUTED_VALUE"""),"20ft Sea Ark FL5351SJ UNF 2015")</f>
        <v>20ft Sea Ark FL5351SJ UNF 2015</v>
      </c>
      <c r="M585" t="str">
        <f ca="1">IFERROR(__xludf.DUMMYFUNCTION("""COMPUTED_VALUE"""),"Ford F250 2017 (Moby Dix) - DEP0021578")</f>
        <v>Ford F250 2017 (Moby Dix) - DEP0021578</v>
      </c>
      <c r="N585" t="str">
        <f ca="1">IFERROR(__xludf.DUMMYFUNCTION("""COMPUTED_VALUE"""),"Shannon Dunnigan, (803) 727-5734, Silas Tanner, (904) 483-8423")</f>
        <v>Shannon Dunnigan, (803) 727-5734, Silas Tanner, (904) 483-8423</v>
      </c>
      <c r="O585" t="str">
        <f ca="1">IFERROR(__xludf.DUMMYFUNCTION("""COMPUTED_VALUE"""),"None")</f>
        <v>None</v>
      </c>
      <c r="P585" t="str">
        <f ca="1">IFERROR(__xludf.DUMMYFUNCTION("""COMPUTED_VALUE"""),"Dunnigan")</f>
        <v>Dunnigan</v>
      </c>
      <c r="Q585" t="str">
        <f ca="1">IFERROR(__xludf.DUMMYFUNCTION("""COMPUTED_VALUE"""),"All items in working order")</f>
        <v>All items in working order</v>
      </c>
      <c r="AE585" s="11"/>
      <c r="AF585" t="str">
        <v>Nikki.Dix@floridadep.gov</v>
      </c>
      <c r="AG585" s="17" t="s">
        <v>41</v>
      </c>
      <c r="AH585" s="12">
        <v>935</v>
      </c>
      <c r="AI585" s="12" t="s">
        <v>1707</v>
      </c>
      <c r="AJ585" s="19" t="s">
        <v>1708</v>
      </c>
      <c r="AK585" s="20" t="str">
        <f>HYPERLINK("https://docs.google.com/document/d/1y5WTWFqifjETBG_YAtuc4ulueWqT6rTkgabXyZiXOrE/edit?usp=drivesdk","Silas Tanner - 10/5/2020 7:45 AM")</f>
        <v>Silas Tanner - 10/5/2020 7:45 AM</v>
      </c>
      <c r="AL585" s="12" t="s">
        <v>1709</v>
      </c>
    </row>
    <row r="586" spans="1:38" ht="12.75">
      <c r="A586" s="10">
        <f ca="1">IFERROR(__xludf.DUMMYFUNCTION("""COMPUTED_VALUE"""),44110.3581372453)</f>
        <v>44110.358137245297</v>
      </c>
      <c r="B586" s="11" t="str">
        <f ca="1">IFERROR(__xludf.DUMMYFUNCTION("""COMPUTED_VALUE"""),"Shannon Dunnigan")</f>
        <v>Shannon Dunnigan</v>
      </c>
      <c r="C586" t="str">
        <f ca="1">IFERROR(__xludf.DUMMYFUNCTION("""COMPUTED_VALUE"""),"shannon.dunnigan@floridadep.gov")</f>
        <v>shannon.dunnigan@floridadep.gov</v>
      </c>
      <c r="D586" t="str">
        <f ca="1">IFERROR(__xludf.DUMMYFUNCTION("""COMPUTED_VALUE"""),"Nikki Dix")</f>
        <v>Nikki Dix</v>
      </c>
      <c r="E586" t="str">
        <f ca="1">IFERROR(__xludf.DUMMYFUNCTION("""COMPUTED_VALUE"""),"Bings Landing")</f>
        <v>Bings Landing</v>
      </c>
      <c r="F586" s="13">
        <f ca="1">IFERROR(__xludf.DUMMYFUNCTION("""COMPUTED_VALUE"""),0.322916666667879)</f>
        <v>0.32291666666787899</v>
      </c>
      <c r="G586" s="14">
        <f ca="1">IFERROR(__xludf.DUMMYFUNCTION("""COMPUTED_VALUE"""),44110)</f>
        <v>44110</v>
      </c>
      <c r="H586" t="str">
        <f ca="1">IFERROR(__xludf.DUMMYFUNCTION("""COMPUTED_VALUE"""),"Wash oaks platforms")</f>
        <v>Wash oaks platforms</v>
      </c>
      <c r="I586" s="15">
        <f ca="1">IFERROR(__xludf.DUMMYFUNCTION("""COMPUTED_VALUE"""),0.541666666667879)</f>
        <v>0.54166666666787899</v>
      </c>
      <c r="J586" s="16">
        <f ca="1">IFERROR(__xludf.DUMMYFUNCTION("""COMPUTED_VALUE"""),44110.625)</f>
        <v>44110.625</v>
      </c>
      <c r="K586" t="str">
        <f ca="1">IFERROR(__xludf.DUMMYFUNCTION("""COMPUTED_VALUE"""),"20ft Sea Ark FL5351SJ UNF 2015")</f>
        <v>20ft Sea Ark FL5351SJ UNF 2015</v>
      </c>
      <c r="M586" t="str">
        <f ca="1">IFERROR(__xludf.DUMMYFUNCTION("""COMPUTED_VALUE"""),"Ford F250 2017 (Moby Dix) - DEP0021578")</f>
        <v>Ford F250 2017 (Moby Dix) - DEP0021578</v>
      </c>
      <c r="N586" t="str">
        <f ca="1">IFERROR(__xludf.DUMMYFUNCTION("""COMPUTED_VALUE"""),"Shannon Dunnigan, (803) 727-5734, Silas Tanner, (904) 483-8423")</f>
        <v>Shannon Dunnigan, (803) 727-5734, Silas Tanner, (904) 483-8423</v>
      </c>
      <c r="O586" t="str">
        <f ca="1">IFERROR(__xludf.DUMMYFUNCTION("""COMPUTED_VALUE"""),"No one")</f>
        <v>No one</v>
      </c>
      <c r="P586" t="str">
        <f ca="1">IFERROR(__xludf.DUMMYFUNCTION("""COMPUTED_VALUE"""),"Shannon")</f>
        <v>Shannon</v>
      </c>
      <c r="Q586" t="str">
        <f ca="1">IFERROR(__xludf.DUMMYFUNCTION("""COMPUTED_VALUE"""),"All items in working order")</f>
        <v>All items in working order</v>
      </c>
      <c r="AE586" s="11"/>
      <c r="AF586" t="str">
        <v>Nikki.Dix@floridadep.gov</v>
      </c>
      <c r="AG586" s="17" t="s">
        <v>41</v>
      </c>
      <c r="AH586" s="12">
        <v>1200</v>
      </c>
      <c r="AI586" s="12" t="s">
        <v>1710</v>
      </c>
      <c r="AJ586" s="19" t="s">
        <v>1711</v>
      </c>
      <c r="AK586" s="20" t="str">
        <f>HYPERLINK("https://docs.google.com/document/d/1YTxsxvQpkmQDEVI8_ZufADtHl0ik3MtOGt2A9H1NDrw/edit?usp=drivesdk","Shannon Dunnigan - 10/6/2020 7:45 AM")</f>
        <v>Shannon Dunnigan - 10/6/2020 7:45 AM</v>
      </c>
      <c r="AL586" s="12" t="s">
        <v>1712</v>
      </c>
    </row>
    <row r="587" spans="1:38" ht="12.75">
      <c r="A587" s="10">
        <f ca="1">IFERROR(__xludf.DUMMYFUNCTION("""COMPUTED_VALUE"""),44111.321376956)</f>
        <v>44111.321376956002</v>
      </c>
      <c r="B587" s="11" t="str">
        <f ca="1">IFERROR(__xludf.DUMMYFUNCTION("""COMPUTED_VALUE"""),"Shannon Dunnigan")</f>
        <v>Shannon Dunnigan</v>
      </c>
      <c r="C587" t="str">
        <f ca="1">IFERROR(__xludf.DUMMYFUNCTION("""COMPUTED_VALUE"""),"shannon.dunnigan@floridadep.gov")</f>
        <v>shannon.dunnigan@floridadep.gov</v>
      </c>
      <c r="D587" t="str">
        <f ca="1">IFERROR(__xludf.DUMMYFUNCTION("""COMPUTED_VALUE"""),"Nikki Dix")</f>
        <v>Nikki Dix</v>
      </c>
      <c r="E587" t="str">
        <f ca="1">IFERROR(__xludf.DUMMYFUNCTION("""COMPUTED_VALUE"""),"Crane")</f>
        <v>Crane</v>
      </c>
      <c r="F587" s="13">
        <f ca="1">IFERROR(__xludf.DUMMYFUNCTION("""COMPUTED_VALUE"""),0.322916666667879)</f>
        <v>0.32291666666787899</v>
      </c>
      <c r="G587" s="14">
        <f ca="1">IFERROR(__xludf.DUMMYFUNCTION("""COMPUTED_VALUE"""),44111)</f>
        <v>44111</v>
      </c>
      <c r="H587" t="str">
        <f ca="1">IFERROR(__xludf.DUMMYFUNCTION("""COMPUTED_VALUE"""),"East creek")</f>
        <v>East creek</v>
      </c>
      <c r="I587" s="15">
        <f ca="1">IFERROR(__xludf.DUMMYFUNCTION("""COMPUTED_VALUE"""),0.5)</f>
        <v>0.5</v>
      </c>
      <c r="J587" s="16">
        <f ca="1">IFERROR(__xludf.DUMMYFUNCTION("""COMPUTED_VALUE"""),44111.5833333333)</f>
        <v>44111.583333333299</v>
      </c>
      <c r="K587" t="str">
        <f ca="1">IFERROR(__xludf.DUMMYFUNCTION("""COMPUTED_VALUE"""),"20ft Sea Ark FL5351SJ UNF 2015")</f>
        <v>20ft Sea Ark FL5351SJ UNF 2015</v>
      </c>
      <c r="M587" t="str">
        <f ca="1">IFERROR(__xludf.DUMMYFUNCTION("""COMPUTED_VALUE"""),"Ford F250 2017 (Moby Dix) - DEP0021578")</f>
        <v>Ford F250 2017 (Moby Dix) - DEP0021578</v>
      </c>
      <c r="N587" t="str">
        <f ca="1">IFERROR(__xludf.DUMMYFUNCTION("""COMPUTED_VALUE"""),"Shannon Dunnigan, (803) 727-5734, Silas Tanner, (904) 483-8423")</f>
        <v>Shannon Dunnigan, (803) 727-5734, Silas Tanner, (904) 483-8423</v>
      </c>
      <c r="O587" t="str">
        <f ca="1">IFERROR(__xludf.DUMMYFUNCTION("""COMPUTED_VALUE"""),"No one")</f>
        <v>No one</v>
      </c>
      <c r="P587" t="str">
        <f ca="1">IFERROR(__xludf.DUMMYFUNCTION("""COMPUTED_VALUE"""),"Shannon")</f>
        <v>Shannon</v>
      </c>
      <c r="Q587" t="str">
        <f ca="1">IFERROR(__xludf.DUMMYFUNCTION("""COMPUTED_VALUE"""),"All items in working order")</f>
        <v>All items in working order</v>
      </c>
      <c r="AE587" s="11"/>
      <c r="AF587" t="str">
        <v>Nikki.Dix@floridadep.gov</v>
      </c>
      <c r="AG587" s="17" t="s">
        <v>54</v>
      </c>
      <c r="AH587" s="12" t="s">
        <v>54</v>
      </c>
      <c r="AI587" s="12" t="s">
        <v>1713</v>
      </c>
      <c r="AJ587" s="19" t="s">
        <v>1714</v>
      </c>
      <c r="AK587" s="20" t="str">
        <f>HYPERLINK("https://docs.google.com/document/d/1Nk3rB_8qh2IsB-pbaM3d-wH8zo1dMTNyZP-zXDfi7_4/edit?usp=drivesdk","Shannon Dunnigan - 10/7/2020 7:45 AM")</f>
        <v>Shannon Dunnigan - 10/7/2020 7:45 AM</v>
      </c>
      <c r="AL587" s="12" t="s">
        <v>1715</v>
      </c>
    </row>
    <row r="588" spans="1:38" ht="12.75">
      <c r="A588" s="10">
        <f ca="1">IFERROR(__xludf.DUMMYFUNCTION("""COMPUTED_VALUE"""),44111.3874565393)</f>
        <v>44111.387456539298</v>
      </c>
      <c r="B588" s="11" t="str">
        <f ca="1">IFERROR(__xludf.DUMMYFUNCTION("""COMPUTED_VALUE"""),"Pam Marcum")</f>
        <v>Pam Marcum</v>
      </c>
      <c r="C588" t="str">
        <f ca="1">IFERROR(__xludf.DUMMYFUNCTION("""COMPUTED_VALUE"""),"pamela.marcum@floridadep.gov")</f>
        <v>pamela.marcum@floridadep.gov</v>
      </c>
      <c r="D588" t="str">
        <f ca="1">IFERROR(__xludf.DUMMYFUNCTION("""COMPUTED_VALUE"""),"Nikki Dix")</f>
        <v>Nikki Dix</v>
      </c>
      <c r="E588" t="str">
        <f ca="1">IFERROR(__xludf.DUMMYFUNCTION("""COMPUTED_VALUE"""),"Faver Dykes")</f>
        <v>Faver Dykes</v>
      </c>
      <c r="F588" s="13">
        <f ca="1">IFERROR(__xludf.DUMMYFUNCTION("""COMPUTED_VALUE"""),0.385416666667879)</f>
        <v>0.38541666666787899</v>
      </c>
      <c r="G588" s="14">
        <f ca="1">IFERROR(__xludf.DUMMYFUNCTION("""COMPUTED_VALUE"""),44111)</f>
        <v>44111</v>
      </c>
      <c r="H588" t="str">
        <f ca="1">IFERROR(__xludf.DUMMYFUNCTION("""COMPUTED_VALUE"""),"Lower and Upper Pellicer transects")</f>
        <v>Lower and Upper Pellicer transects</v>
      </c>
      <c r="I588" s="15">
        <f ca="1">IFERROR(__xludf.DUMMYFUNCTION("""COMPUTED_VALUE"""),0.666666666667879)</f>
        <v>0.66666666666787899</v>
      </c>
      <c r="J588" s="16">
        <f ca="1">IFERROR(__xludf.DUMMYFUNCTION("""COMPUTED_VALUE"""),44111.7083333333)</f>
        <v>44111.708333333299</v>
      </c>
      <c r="K588" t="str">
        <f ca="1">IFERROR(__xludf.DUMMYFUNCTION("""COMPUTED_VALUE"""),"23ft Skiff (Bertha) FL7972LJ DEP07613")</f>
        <v>23ft Skiff (Bertha) FL7972LJ DEP07613</v>
      </c>
      <c r="M588" t="str">
        <f ca="1">IFERROR(__xludf.DUMMYFUNCTION("""COMPUTED_VALUE"""),"Ford F150 2015 (White) - DEP21448")</f>
        <v>Ford F150 2015 (White) - DEP21448</v>
      </c>
      <c r="N588" t="str">
        <f ca="1">IFERROR(__xludf.DUMMYFUNCTION("""COMPUTED_VALUE"""),"Pam Marcum, (480) 332-5414")</f>
        <v>Pam Marcum, (480) 332-5414</v>
      </c>
      <c r="O588" t="str">
        <f ca="1">IFERROR(__xludf.DUMMYFUNCTION("""COMPUTED_VALUE"""),"Alee Knoell, (619) 750-4833, Vincent McClure")</f>
        <v>Alee Knoell, (619) 750-4833, Vincent McClure</v>
      </c>
      <c r="P588" t="str">
        <f ca="1">IFERROR(__xludf.DUMMYFUNCTION("""COMPUTED_VALUE"""),"Pam")</f>
        <v>Pam</v>
      </c>
      <c r="Q588" t="str">
        <f ca="1">IFERROR(__xludf.DUMMYFUNCTION("""COMPUTED_VALUE"""),"All items in working order")</f>
        <v>All items in working order</v>
      </c>
      <c r="AE588" s="11"/>
      <c r="AF588" t="str">
        <v>Nikki.Dix@floridadep.gov</v>
      </c>
      <c r="AG588" s="17" t="s">
        <v>41</v>
      </c>
      <c r="AH588" s="12">
        <v>1410</v>
      </c>
      <c r="AI588" s="12" t="s">
        <v>1716</v>
      </c>
      <c r="AJ588" s="19" t="s">
        <v>1717</v>
      </c>
      <c r="AK588" s="20" t="str">
        <f>HYPERLINK("https://docs.google.com/document/d/1-r_DNoJo_KUQycyzLE_bEaa2Vn1rqABASHGTK6Z4Y6g/edit?usp=drivesdk","Pam Marcum - 10/7/2020 9:15 AM")</f>
        <v>Pam Marcum - 10/7/2020 9:15 AM</v>
      </c>
      <c r="AL588" s="12" t="s">
        <v>1718</v>
      </c>
    </row>
    <row r="589" spans="1:38" ht="12.75">
      <c r="A589" s="10">
        <f ca="1">IFERROR(__xludf.DUMMYFUNCTION("""COMPUTED_VALUE"""),44111.4118804629)</f>
        <v>44111.411880462903</v>
      </c>
      <c r="B589" s="11" t="str">
        <f ca="1">IFERROR(__xludf.DUMMYFUNCTION("""COMPUTED_VALUE"""),"Shannon Dunnigan")</f>
        <v>Shannon Dunnigan</v>
      </c>
      <c r="C589" t="str">
        <f ca="1">IFERROR(__xludf.DUMMYFUNCTION("""COMPUTED_VALUE"""),"shannon.dunnigan@floridadep.gov")</f>
        <v>shannon.dunnigan@floridadep.gov</v>
      </c>
      <c r="D589" t="str">
        <f ca="1">IFERROR(__xludf.DUMMYFUNCTION("""COMPUTED_VALUE"""),"Nikki Dix")</f>
        <v>Nikki Dix</v>
      </c>
      <c r="E589" t="str">
        <f ca="1">IFERROR(__xludf.DUMMYFUNCTION("""COMPUTED_VALUE"""),"Crane")</f>
        <v>Crane</v>
      </c>
      <c r="F589" s="13">
        <f ca="1">IFERROR(__xludf.DUMMYFUNCTION("""COMPUTED_VALUE"""),0.322916666667879)</f>
        <v>0.32291666666787899</v>
      </c>
      <c r="G589" s="14">
        <f ca="1">IFERROR(__xludf.DUMMYFUNCTION("""COMPUTED_VALUE"""),44111)</f>
        <v>44111</v>
      </c>
      <c r="H589" t="str">
        <f ca="1">IFERROR(__xludf.DUMMYFUNCTION("""COMPUTED_VALUE"""),"East creek")</f>
        <v>East creek</v>
      </c>
      <c r="I589" s="15">
        <f ca="1">IFERROR(__xludf.DUMMYFUNCTION("""COMPUTED_VALUE"""),0.5)</f>
        <v>0.5</v>
      </c>
      <c r="J589" s="16">
        <f ca="1">IFERROR(__xludf.DUMMYFUNCTION("""COMPUTED_VALUE"""),44111.5833333333)</f>
        <v>44111.583333333299</v>
      </c>
      <c r="K589" t="str">
        <f ca="1">IFERROR(__xludf.DUMMYFUNCTION("""COMPUTED_VALUE"""),"20ft Sea Ark FL5351SJ UNF 2015")</f>
        <v>20ft Sea Ark FL5351SJ UNF 2015</v>
      </c>
      <c r="M589" t="str">
        <f ca="1">IFERROR(__xludf.DUMMYFUNCTION("""COMPUTED_VALUE"""),"Ford F250 2017 (Moby Dix) - DEP0021578")</f>
        <v>Ford F250 2017 (Moby Dix) - DEP0021578</v>
      </c>
      <c r="N589" t="str">
        <f ca="1">IFERROR(__xludf.DUMMYFUNCTION("""COMPUTED_VALUE"""),"Shannon Dunnigan, (803) 727-5734, Silas Tanner, (904) 483-8423")</f>
        <v>Shannon Dunnigan, (803) 727-5734, Silas Tanner, (904) 483-8423</v>
      </c>
      <c r="O589" t="str">
        <f ca="1">IFERROR(__xludf.DUMMYFUNCTION("""COMPUTED_VALUE"""),"No one")</f>
        <v>No one</v>
      </c>
      <c r="P589" t="str">
        <f ca="1">IFERROR(__xludf.DUMMYFUNCTION("""COMPUTED_VALUE"""),"Shannon")</f>
        <v>Shannon</v>
      </c>
      <c r="Q589" t="str">
        <f ca="1">IFERROR(__xludf.DUMMYFUNCTION("""COMPUTED_VALUE"""),"All items in working order")</f>
        <v>All items in working order</v>
      </c>
      <c r="AE589" s="11"/>
      <c r="AF589" t="str">
        <v>Nikki.Dix@floridadep.gov</v>
      </c>
      <c r="AG589" s="17" t="s">
        <v>41</v>
      </c>
      <c r="AH589" s="12">
        <v>1125</v>
      </c>
      <c r="AI589" s="12" t="s">
        <v>1719</v>
      </c>
      <c r="AJ589" s="19" t="s">
        <v>1720</v>
      </c>
      <c r="AK589" s="20" t="str">
        <f>HYPERLINK("https://docs.google.com/document/d/16HOj7sJiyhbt6sq30ZdNBTCsEQockfYRpJK3a2FFmgQ/edit?usp=drivesdk","Shannon Dunnigan - 10/7/2020 7:45 AM")</f>
        <v>Shannon Dunnigan - 10/7/2020 7:45 AM</v>
      </c>
      <c r="AL589" s="12" t="s">
        <v>1721</v>
      </c>
    </row>
    <row r="590" spans="1:38" ht="12.75">
      <c r="A590" s="10">
        <f ca="1">IFERROR(__xludf.DUMMYFUNCTION("""COMPUTED_VALUE"""),44112.3019144212)</f>
        <v>44112.301914421201</v>
      </c>
      <c r="B590" s="11" t="str">
        <f ca="1">IFERROR(__xludf.DUMMYFUNCTION("""COMPUTED_VALUE"""),"Shannon Dunnigan")</f>
        <v>Shannon Dunnigan</v>
      </c>
      <c r="C590" t="str">
        <f ca="1">IFERROR(__xludf.DUMMYFUNCTION("""COMPUTED_VALUE"""),"shannon.dunnigan@floridadep.gov")</f>
        <v>shannon.dunnigan@floridadep.gov</v>
      </c>
      <c r="D590" t="str">
        <f ca="1">IFERROR(__xludf.DUMMYFUNCTION("""COMPUTED_VALUE"""),"Nikki Dix")</f>
        <v>Nikki Dix</v>
      </c>
      <c r="E590" t="str">
        <f ca="1">IFERROR(__xludf.DUMMYFUNCTION("""COMPUTED_VALUE"""),"Usina")</f>
        <v>Usina</v>
      </c>
      <c r="F590" s="13">
        <f ca="1">IFERROR(__xludf.DUMMYFUNCTION("""COMPUTED_VALUE"""),0.30208333333212)</f>
        <v>0.30208333333212001</v>
      </c>
      <c r="G590" s="14">
        <f ca="1">IFERROR(__xludf.DUMMYFUNCTION("""COMPUTED_VALUE"""),44112)</f>
        <v>44112</v>
      </c>
      <c r="H590" t="str">
        <f ca="1">IFERROR(__xludf.DUMMYFUNCTION("""COMPUTED_VALUE"""),"Hat Island")</f>
        <v>Hat Island</v>
      </c>
      <c r="I590" s="15">
        <f ca="1">IFERROR(__xludf.DUMMYFUNCTION("""COMPUTED_VALUE"""),0.541666666667879)</f>
        <v>0.54166666666787899</v>
      </c>
      <c r="J590" s="16">
        <f ca="1">IFERROR(__xludf.DUMMYFUNCTION("""COMPUTED_VALUE"""),44112.5833333333)</f>
        <v>44112.583333333299</v>
      </c>
      <c r="K590" t="str">
        <f ca="1">IFERROR(__xludf.DUMMYFUNCTION("""COMPUTED_VALUE"""),"20ft Sea Ark FL5351SJ UNF 2015")</f>
        <v>20ft Sea Ark FL5351SJ UNF 2015</v>
      </c>
      <c r="M590" t="str">
        <f ca="1">IFERROR(__xludf.DUMMYFUNCTION("""COMPUTED_VALUE"""),"Ford F250 2017 (Moby Dix) - DEP0021578")</f>
        <v>Ford F250 2017 (Moby Dix) - DEP0021578</v>
      </c>
      <c r="N590" t="str">
        <f ca="1">IFERROR(__xludf.DUMMYFUNCTION("""COMPUTED_VALUE"""),"Shannon Dunnigan, (803) 727-5734, Silas Tanner, (904) 483-8423")</f>
        <v>Shannon Dunnigan, (803) 727-5734, Silas Tanner, (904) 483-8423</v>
      </c>
      <c r="O590" t="str">
        <f ca="1">IFERROR(__xludf.DUMMYFUNCTION("""COMPUTED_VALUE"""),"No one")</f>
        <v>No one</v>
      </c>
      <c r="P590" t="str">
        <f ca="1">IFERROR(__xludf.DUMMYFUNCTION("""COMPUTED_VALUE"""),"Silas")</f>
        <v>Silas</v>
      </c>
      <c r="Q590" t="str">
        <f ca="1">IFERROR(__xludf.DUMMYFUNCTION("""COMPUTED_VALUE"""),"All items in working order")</f>
        <v>All items in working order</v>
      </c>
      <c r="AE590" s="11"/>
      <c r="AF590" t="str">
        <v>Nikki.Dix@floridadep.gov</v>
      </c>
      <c r="AG590" s="17" t="s">
        <v>41</v>
      </c>
      <c r="AH590" s="12">
        <v>1000</v>
      </c>
      <c r="AI590" s="12" t="s">
        <v>1722</v>
      </c>
      <c r="AJ590" s="19" t="s">
        <v>1723</v>
      </c>
      <c r="AK590" s="20" t="str">
        <f>HYPERLINK("https://docs.google.com/document/d/1wCAaC3FSDkVURqi_u3lTD-VMOlPEXHK4CgCm06OztsU/edit?usp=drivesdk","Shannon Dunnigan - 10/8/2020 7:15 AM")</f>
        <v>Shannon Dunnigan - 10/8/2020 7:15 AM</v>
      </c>
      <c r="AL590" s="12" t="s">
        <v>1724</v>
      </c>
    </row>
    <row r="591" spans="1:38" ht="12.75">
      <c r="A591" s="10">
        <f ca="1">IFERROR(__xludf.DUMMYFUNCTION("""COMPUTED_VALUE"""),44112.4960444444)</f>
        <v>44112.4960444444</v>
      </c>
      <c r="B591" s="11" t="str">
        <f ca="1">IFERROR(__xludf.DUMMYFUNCTION("""COMPUTED_VALUE"""),"Shannon Dunnigan")</f>
        <v>Shannon Dunnigan</v>
      </c>
      <c r="C591" t="str">
        <f ca="1">IFERROR(__xludf.DUMMYFUNCTION("""COMPUTED_VALUE"""),"shannon.dunnigan@floridadep.gov")</f>
        <v>shannon.dunnigan@floridadep.gov</v>
      </c>
      <c r="D591" t="str">
        <f ca="1">IFERROR(__xludf.DUMMYFUNCTION("""COMPUTED_VALUE"""),"Nikki Dix")</f>
        <v>Nikki Dix</v>
      </c>
      <c r="E591" t="str">
        <f ca="1">IFERROR(__xludf.DUMMYFUNCTION("""COMPUTED_VALUE"""),"Usina")</f>
        <v>Usina</v>
      </c>
      <c r="F591" s="13">
        <f ca="1">IFERROR(__xludf.DUMMYFUNCTION("""COMPUTED_VALUE"""),0.30208333333212)</f>
        <v>0.30208333333212001</v>
      </c>
      <c r="G591" s="14">
        <f ca="1">IFERROR(__xludf.DUMMYFUNCTION("""COMPUTED_VALUE"""),44112)</f>
        <v>44112</v>
      </c>
      <c r="H591" t="str">
        <f ca="1">IFERROR(__xludf.DUMMYFUNCTION("""COMPUTED_VALUE"""),"Hat Island")</f>
        <v>Hat Island</v>
      </c>
      <c r="I591" s="15">
        <f ca="1">IFERROR(__xludf.DUMMYFUNCTION("""COMPUTED_VALUE"""),0.541666666667879)</f>
        <v>0.54166666666787899</v>
      </c>
      <c r="J591" s="16">
        <f ca="1">IFERROR(__xludf.DUMMYFUNCTION("""COMPUTED_VALUE"""),44112.5833333333)</f>
        <v>44112.583333333299</v>
      </c>
      <c r="K591" t="str">
        <f ca="1">IFERROR(__xludf.DUMMYFUNCTION("""COMPUTED_VALUE"""),"20ft Sea Ark FL5351SJ UNF 2015")</f>
        <v>20ft Sea Ark FL5351SJ UNF 2015</v>
      </c>
      <c r="M591" t="str">
        <f ca="1">IFERROR(__xludf.DUMMYFUNCTION("""COMPUTED_VALUE"""),"Ford F250 2017 (Moby Dix) - DEP0021578")</f>
        <v>Ford F250 2017 (Moby Dix) - DEP0021578</v>
      </c>
      <c r="N591" t="str">
        <f ca="1">IFERROR(__xludf.DUMMYFUNCTION("""COMPUTED_VALUE"""),"Shannon Dunnigan, (803) 727-5734, Silas Tanner, (904) 483-8423")</f>
        <v>Shannon Dunnigan, (803) 727-5734, Silas Tanner, (904) 483-8423</v>
      </c>
      <c r="O591" t="str">
        <f ca="1">IFERROR(__xludf.DUMMYFUNCTION("""COMPUTED_VALUE"""),"No one")</f>
        <v>No one</v>
      </c>
      <c r="P591" t="str">
        <f ca="1">IFERROR(__xludf.DUMMYFUNCTION("""COMPUTED_VALUE"""),"Silas")</f>
        <v>Silas</v>
      </c>
      <c r="Q591" t="str">
        <f ca="1">IFERROR(__xludf.DUMMYFUNCTION("""COMPUTED_VALUE"""),"All items in working order")</f>
        <v>All items in working order</v>
      </c>
      <c r="AE591" s="11"/>
      <c r="AF591" t="str">
        <v>Nikki.Dix@floridadep.gov</v>
      </c>
      <c r="AG591" s="17" t="s">
        <v>54</v>
      </c>
      <c r="AH591" s="12" t="s">
        <v>54</v>
      </c>
      <c r="AI591" s="12" t="s">
        <v>1725</v>
      </c>
      <c r="AJ591" s="19" t="s">
        <v>1726</v>
      </c>
      <c r="AK591" s="20" t="str">
        <f>HYPERLINK("https://docs.google.com/document/d/1uLp9r3K9CtvAKCI_QmB6JCOX1g9O6BGV7jC-9aCCvwQ/edit?usp=drivesdk","Shannon Dunnigan - 10/8/2020 7:15 AM")</f>
        <v>Shannon Dunnigan - 10/8/2020 7:15 AM</v>
      </c>
      <c r="AL591" s="12" t="s">
        <v>1727</v>
      </c>
    </row>
    <row r="592" spans="1:38" ht="12.75">
      <c r="A592" s="10">
        <f ca="1">IFERROR(__xludf.DUMMYFUNCTION("""COMPUTED_VALUE"""),44112.6111494675)</f>
        <v>44112.611149467499</v>
      </c>
      <c r="B592" s="11" t="str">
        <f ca="1">IFERROR(__xludf.DUMMYFUNCTION("""COMPUTED_VALUE"""),"Pam Marcum")</f>
        <v>Pam Marcum</v>
      </c>
      <c r="C592" t="str">
        <f ca="1">IFERROR(__xludf.DUMMYFUNCTION("""COMPUTED_VALUE"""),"pamela.marcum@floridadep.gov")</f>
        <v>pamela.marcum@floridadep.gov</v>
      </c>
      <c r="D592" t="str">
        <f ca="1">IFERROR(__xludf.DUMMYFUNCTION("""COMPUTED_VALUE"""),"Nikki Dix")</f>
        <v>Nikki Dix</v>
      </c>
      <c r="E592" t="str">
        <f ca="1">IFERROR(__xludf.DUMMYFUNCTION("""COMPUTED_VALUE"""),"Faver Dykes")</f>
        <v>Faver Dykes</v>
      </c>
      <c r="F592" s="13">
        <f ca="1">IFERROR(__xludf.DUMMYFUNCTION("""COMPUTED_VALUE"""),0.42708333333212)</f>
        <v>0.42708333333212001</v>
      </c>
      <c r="G592" s="14">
        <f ca="1">IFERROR(__xludf.DUMMYFUNCTION("""COMPUTED_VALUE"""),44112)</f>
        <v>44112</v>
      </c>
      <c r="H592" t="str">
        <f ca="1">IFERROR(__xludf.DUMMYFUNCTION("""COMPUTED_VALUE"""),"Upper and middle pc creek")</f>
        <v>Upper and middle pc creek</v>
      </c>
      <c r="I592" s="15">
        <f ca="1">IFERROR(__xludf.DUMMYFUNCTION("""COMPUTED_VALUE"""),0.58333333333212)</f>
        <v>0.58333333333212001</v>
      </c>
      <c r="J592" s="16">
        <f ca="1">IFERROR(__xludf.DUMMYFUNCTION("""COMPUTED_VALUE"""),44112.625)</f>
        <v>44112.625</v>
      </c>
      <c r="K592" t="str">
        <f ca="1">IFERROR(__xludf.DUMMYFUNCTION("""COMPUTED_VALUE"""),"23ft Skiff (Bertha) FL7972LJ DEP07613")</f>
        <v>23ft Skiff (Bertha) FL7972LJ DEP07613</v>
      </c>
      <c r="M592" t="str">
        <f ca="1">IFERROR(__xludf.DUMMYFUNCTION("""COMPUTED_VALUE"""),"Ford F150 2015 (White) - DEP21448")</f>
        <v>Ford F150 2015 (White) - DEP21448</v>
      </c>
      <c r="N592" t="str">
        <f ca="1">IFERROR(__xludf.DUMMYFUNCTION("""COMPUTED_VALUE"""),"Pam Marcum, (480) 332-5414")</f>
        <v>Pam Marcum, (480) 332-5414</v>
      </c>
      <c r="O592" t="str">
        <f ca="1">IFERROR(__xludf.DUMMYFUNCTION("""COMPUTED_VALUE"""),"Alee Knoell, (619) 750-4833, Steve Brown")</f>
        <v>Alee Knoell, (619) 750-4833, Steve Brown</v>
      </c>
      <c r="P592" t="str">
        <f ca="1">IFERROR(__xludf.DUMMYFUNCTION("""COMPUTED_VALUE"""),"Pam")</f>
        <v>Pam</v>
      </c>
      <c r="Q592" t="str">
        <f ca="1">IFERROR(__xludf.DUMMYFUNCTION("""COMPUTED_VALUE"""),"All items in working order")</f>
        <v>All items in working order</v>
      </c>
      <c r="AE592" s="11"/>
      <c r="AF592" t="str">
        <v>Nikki.Dix@floridadep.gov</v>
      </c>
      <c r="AG592" s="17" t="s">
        <v>41</v>
      </c>
      <c r="AH592" s="12">
        <v>1440</v>
      </c>
      <c r="AI592" s="12" t="s">
        <v>1728</v>
      </c>
      <c r="AJ592" s="19" t="s">
        <v>1729</v>
      </c>
      <c r="AK592" s="20" t="str">
        <f>HYPERLINK("https://docs.google.com/document/d/1SVywOAuNEjqW8IQh0YKIPSY2_88qhUGL-fE5jS68AJk/edit?usp=drivesdk","Pam Marcum - 10/8/2020 10:15 AM")</f>
        <v>Pam Marcum - 10/8/2020 10:15 AM</v>
      </c>
      <c r="AL592" s="12" t="s">
        <v>1730</v>
      </c>
    </row>
    <row r="593" spans="1:38" ht="12.75">
      <c r="A593" s="10">
        <f ca="1">IFERROR(__xludf.DUMMYFUNCTION("""COMPUTED_VALUE"""),44112.6151769328)</f>
        <v>44112.615176932799</v>
      </c>
      <c r="B593" s="11" t="str">
        <f ca="1">IFERROR(__xludf.DUMMYFUNCTION("""COMPUTED_VALUE"""),"Shannon Dunnigan")</f>
        <v>Shannon Dunnigan</v>
      </c>
      <c r="C593" t="str">
        <f ca="1">IFERROR(__xludf.DUMMYFUNCTION("""COMPUTED_VALUE"""),"shannon.dunnigan@floridadep.gov")</f>
        <v>shannon.dunnigan@floridadep.gov</v>
      </c>
      <c r="D593" t="str">
        <f ca="1">IFERROR(__xludf.DUMMYFUNCTION("""COMPUTED_VALUE"""),"Nikki Dix")</f>
        <v>Nikki Dix</v>
      </c>
      <c r="E593" t="str">
        <f ca="1">IFERROR(__xludf.DUMMYFUNCTION("""COMPUTED_VALUE"""),"Usina")</f>
        <v>Usina</v>
      </c>
      <c r="F593" s="13">
        <f ca="1">IFERROR(__xludf.DUMMYFUNCTION("""COMPUTED_VALUE"""),0.30208333333212)</f>
        <v>0.30208333333212001</v>
      </c>
      <c r="G593" s="14">
        <f ca="1">IFERROR(__xludf.DUMMYFUNCTION("""COMPUTED_VALUE"""),44112)</f>
        <v>44112</v>
      </c>
      <c r="H593" t="str">
        <f ca="1">IFERROR(__xludf.DUMMYFUNCTION("""COMPUTED_VALUE"""),"Hat Island")</f>
        <v>Hat Island</v>
      </c>
      <c r="I593" s="15">
        <f ca="1">IFERROR(__xludf.DUMMYFUNCTION("""COMPUTED_VALUE"""),0.541666666667879)</f>
        <v>0.54166666666787899</v>
      </c>
      <c r="J593" s="16">
        <f ca="1">IFERROR(__xludf.DUMMYFUNCTION("""COMPUTED_VALUE"""),44112.5833333333)</f>
        <v>44112.583333333299</v>
      </c>
      <c r="K593" t="str">
        <f ca="1">IFERROR(__xludf.DUMMYFUNCTION("""COMPUTED_VALUE"""),"20ft Sea Ark FL5351SJ UNF 2015")</f>
        <v>20ft Sea Ark FL5351SJ UNF 2015</v>
      </c>
      <c r="M593" t="str">
        <f ca="1">IFERROR(__xludf.DUMMYFUNCTION("""COMPUTED_VALUE"""),"Ford F250 2017 (Moby Dix) - DEP0021578")</f>
        <v>Ford F250 2017 (Moby Dix) - DEP0021578</v>
      </c>
      <c r="N593" t="str">
        <f ca="1">IFERROR(__xludf.DUMMYFUNCTION("""COMPUTED_VALUE"""),"Shannon Dunnigan, (803) 727-5734, Silas Tanner, (904) 483-8423")</f>
        <v>Shannon Dunnigan, (803) 727-5734, Silas Tanner, (904) 483-8423</v>
      </c>
      <c r="O593" t="str">
        <f ca="1">IFERROR(__xludf.DUMMYFUNCTION("""COMPUTED_VALUE"""),"No one")</f>
        <v>No one</v>
      </c>
      <c r="P593" t="str">
        <f ca="1">IFERROR(__xludf.DUMMYFUNCTION("""COMPUTED_VALUE"""),"Silas")</f>
        <v>Silas</v>
      </c>
      <c r="Q593" t="str">
        <f ca="1">IFERROR(__xludf.DUMMYFUNCTION("""COMPUTED_VALUE"""),"All items in working order")</f>
        <v>All items in working order</v>
      </c>
      <c r="AE593" s="11"/>
      <c r="AF593" t="str">
        <v>Nikki.Dix@floridadep.gov</v>
      </c>
      <c r="AG593" s="17" t="s">
        <v>54</v>
      </c>
      <c r="AH593" s="12" t="s">
        <v>54</v>
      </c>
      <c r="AI593" s="12" t="s">
        <v>1731</v>
      </c>
      <c r="AJ593" s="19" t="s">
        <v>1732</v>
      </c>
      <c r="AK593" s="20" t="str">
        <f>HYPERLINK("https://docs.google.com/document/d/1L789FymMi2DngmcMH0taqrUpMK9Jscf1vat03FiTFSM/edit?usp=drivesdk","Shannon Dunnigan - 10/8/2020 7:15 AM")</f>
        <v>Shannon Dunnigan - 10/8/2020 7:15 AM</v>
      </c>
      <c r="AL593" s="12" t="s">
        <v>1733</v>
      </c>
    </row>
    <row r="594" spans="1:38" ht="12.75">
      <c r="A594" s="10">
        <f ca="1">IFERROR(__xludf.DUMMYFUNCTION("""COMPUTED_VALUE"""),44113.3304024189)</f>
        <v>44113.330402418898</v>
      </c>
      <c r="B594" s="11" t="str">
        <f ca="1">IFERROR(__xludf.DUMMYFUNCTION("""COMPUTED_VALUE"""),"Silas Tanner")</f>
        <v>Silas Tanner</v>
      </c>
      <c r="C594" t="str">
        <f ca="1">IFERROR(__xludf.DUMMYFUNCTION("""COMPUTED_VALUE"""),"silas.tanner@floridadep.gov")</f>
        <v>silas.tanner@floridadep.gov</v>
      </c>
      <c r="D594" t="str">
        <f ca="1">IFERROR(__xludf.DUMMYFUNCTION("""COMPUTED_VALUE"""),"Nikki Dix")</f>
        <v>Nikki Dix</v>
      </c>
      <c r="E594" t="str">
        <f ca="1">IFERROR(__xludf.DUMMYFUNCTION("""COMPUTED_VALUE"""),"Faver Dykes SP")</f>
        <v>Faver Dykes SP</v>
      </c>
      <c r="F594" s="13">
        <f ca="1">IFERROR(__xludf.DUMMYFUNCTION("""COMPUTED_VALUE"""),0.33333333333212)</f>
        <v>0.33333333333212001</v>
      </c>
      <c r="G594" s="14">
        <f ca="1">IFERROR(__xludf.DUMMYFUNCTION("""COMPUTED_VALUE"""),44113)</f>
        <v>44113</v>
      </c>
      <c r="H594" t="str">
        <f ca="1">IFERROR(__xludf.DUMMYFUNCTION("""COMPUTED_VALUE"""),"Pellicer MM platforms ")</f>
        <v xml:space="preserve">Pellicer MM platforms </v>
      </c>
      <c r="I594" s="15">
        <f ca="1">IFERROR(__xludf.DUMMYFUNCTION("""COMPUTED_VALUE"""),0.53125)</f>
        <v>0.53125</v>
      </c>
      <c r="J594" s="16">
        <f ca="1">IFERROR(__xludf.DUMMYFUNCTION("""COMPUTED_VALUE"""),44113.5833333333)</f>
        <v>44113.583333333299</v>
      </c>
      <c r="K594" t="str">
        <f ca="1">IFERROR(__xludf.DUMMYFUNCTION("""COMPUTED_VALUE"""),"20ft Sea Ark FL5351SJ UNF 2015")</f>
        <v>20ft Sea Ark FL5351SJ UNF 2015</v>
      </c>
      <c r="M594" t="str">
        <f ca="1">IFERROR(__xludf.DUMMYFUNCTION("""COMPUTED_VALUE"""),"Ford F250 2017 (Moby Dix) - DEP0021578")</f>
        <v>Ford F250 2017 (Moby Dix) - DEP0021578</v>
      </c>
      <c r="N594" t="str">
        <f ca="1">IFERROR(__xludf.DUMMYFUNCTION("""COMPUTED_VALUE"""),"Shannon Dunnigan, (803) 727-5734, Silas Tanner, (904) 483-8423")</f>
        <v>Shannon Dunnigan, (803) 727-5734, Silas Tanner, (904) 483-8423</v>
      </c>
      <c r="O594" t="str">
        <f ca="1">IFERROR(__xludf.DUMMYFUNCTION("""COMPUTED_VALUE"""),"None")</f>
        <v>None</v>
      </c>
      <c r="P594" t="str">
        <f ca="1">IFERROR(__xludf.DUMMYFUNCTION("""COMPUTED_VALUE"""),"Dunnigan")</f>
        <v>Dunnigan</v>
      </c>
      <c r="Q594" t="str">
        <f ca="1">IFERROR(__xludf.DUMMYFUNCTION("""COMPUTED_VALUE"""),"All items in working order")</f>
        <v>All items in working order</v>
      </c>
      <c r="AE594" s="11"/>
      <c r="AF594" t="str">
        <v>Nikki.Dix@floridadep.gov</v>
      </c>
      <c r="AG594" s="17" t="s">
        <v>41</v>
      </c>
      <c r="AH594" s="12">
        <v>1010</v>
      </c>
      <c r="AI594" s="12" t="s">
        <v>1734</v>
      </c>
      <c r="AJ594" s="19" t="s">
        <v>1735</v>
      </c>
      <c r="AK594" s="20" t="str">
        <f>HYPERLINK("https://docs.google.com/document/d/1ZJ_4v9rOEDVY1wjLCb3Zb4RGQysWf2bPIZ0l_jbWxxM/edit?usp=drivesdk","Silas Tanner - 10/9/2020 8:00 AM")</f>
        <v>Silas Tanner - 10/9/2020 8:00 AM</v>
      </c>
      <c r="AL594" s="12" t="s">
        <v>1736</v>
      </c>
    </row>
    <row r="595" spans="1:38" ht="12.75">
      <c r="A595" s="10">
        <f ca="1">IFERROR(__xludf.DUMMYFUNCTION("""COMPUTED_VALUE"""),44113.3543548842)</f>
        <v>44113.354354884199</v>
      </c>
      <c r="B595" s="11" t="str">
        <f ca="1">IFERROR(__xludf.DUMMYFUNCTION("""COMPUTED_VALUE"""),"Pam Marcum")</f>
        <v>Pam Marcum</v>
      </c>
      <c r="C595" t="str">
        <f ca="1">IFERROR(__xludf.DUMMYFUNCTION("""COMPUTED_VALUE"""),"pamela.marcum@floridadep.gov")</f>
        <v>pamela.marcum@floridadep.gov</v>
      </c>
      <c r="D595" t="str">
        <f ca="1">IFERROR(__xludf.DUMMYFUNCTION("""COMPUTED_VALUE"""),"Nikki Dix")</f>
        <v>Nikki Dix</v>
      </c>
      <c r="E595" t="str">
        <f ca="1">IFERROR(__xludf.DUMMYFUNCTION("""COMPUTED_VALUE"""),"Faver dykes")</f>
        <v>Faver dykes</v>
      </c>
      <c r="F595" s="13">
        <f ca="1">IFERROR(__xludf.DUMMYFUNCTION("""COMPUTED_VALUE"""),0.36458333333212)</f>
        <v>0.36458333333212001</v>
      </c>
      <c r="G595" s="14">
        <f ca="1">IFERROR(__xludf.DUMMYFUNCTION("""COMPUTED_VALUE"""),44113)</f>
        <v>44113</v>
      </c>
      <c r="H595" t="str">
        <f ca="1">IFERROR(__xludf.DUMMYFUNCTION("""COMPUTED_VALUE"""),"Lower, upper pc")</f>
        <v>Lower, upper pc</v>
      </c>
      <c r="I595" s="15">
        <f ca="1">IFERROR(__xludf.DUMMYFUNCTION("""COMPUTED_VALUE"""),0.58333333333212)</f>
        <v>0.58333333333212001</v>
      </c>
      <c r="J595" s="16">
        <f ca="1">IFERROR(__xludf.DUMMYFUNCTION("""COMPUTED_VALUE"""),44113.6458333333)</f>
        <v>44113.645833333299</v>
      </c>
      <c r="K595" t="str">
        <f ca="1">IFERROR(__xludf.DUMMYFUNCTION("""COMPUTED_VALUE"""),"23ft Skiff (Bertha) FL7972LJ DEP07613")</f>
        <v>23ft Skiff (Bertha) FL7972LJ DEP07613</v>
      </c>
      <c r="M595" t="str">
        <f ca="1">IFERROR(__xludf.DUMMYFUNCTION("""COMPUTED_VALUE"""),"Ford F150 2015 (White) - DEP21448")</f>
        <v>Ford F150 2015 (White) - DEP21448</v>
      </c>
      <c r="N595" t="str">
        <f ca="1">IFERROR(__xludf.DUMMYFUNCTION("""COMPUTED_VALUE"""),"Pam Marcum, (480) 332-5414")</f>
        <v>Pam Marcum, (480) 332-5414</v>
      </c>
      <c r="O595" t="str">
        <f ca="1">IFERROR(__xludf.DUMMYFUNCTION("""COMPUTED_VALUE"""),"Alee Knoell, (619) 750-4833, Steve Brow.")</f>
        <v>Alee Knoell, (619) 750-4833, Steve Brow.</v>
      </c>
      <c r="P595" t="str">
        <f ca="1">IFERROR(__xludf.DUMMYFUNCTION("""COMPUTED_VALUE"""),"Pam")</f>
        <v>Pam</v>
      </c>
      <c r="Q595" t="str">
        <f ca="1">IFERROR(__xludf.DUMMYFUNCTION("""COMPUTED_VALUE"""),"All items in working order")</f>
        <v>All items in working order</v>
      </c>
      <c r="AE595" s="11"/>
      <c r="AF595" t="str">
        <v>Nikki.Dix@floridadep.gov</v>
      </c>
      <c r="AG595" s="17" t="s">
        <v>41</v>
      </c>
      <c r="AH595" s="12">
        <v>1350</v>
      </c>
      <c r="AI595" s="12" t="s">
        <v>1737</v>
      </c>
      <c r="AJ595" s="19" t="s">
        <v>1738</v>
      </c>
      <c r="AK595" s="20" t="str">
        <f>HYPERLINK("https://docs.google.com/document/d/1GG45JwJCj6qjjnyoZcDEb3pcHAneGJOpHcTKu9x4jW0/edit?usp=drivesdk","Pam Marcum - 10/9/2020 8:45 AM")</f>
        <v>Pam Marcum - 10/9/2020 8:45 AM</v>
      </c>
      <c r="AL595" s="12" t="s">
        <v>1739</v>
      </c>
    </row>
    <row r="596" spans="1:38" ht="12.75">
      <c r="A596" s="10">
        <f ca="1">IFERROR(__xludf.DUMMYFUNCTION("""COMPUTED_VALUE"""),44116.6877138078)</f>
        <v>44116.687713807798</v>
      </c>
      <c r="B596" s="11" t="str">
        <f ca="1">IFERROR(__xludf.DUMMYFUNCTION("""COMPUTED_VALUE"""),"Silas Tanner")</f>
        <v>Silas Tanner</v>
      </c>
      <c r="C596" t="str">
        <f ca="1">IFERROR(__xludf.DUMMYFUNCTION("""COMPUTED_VALUE"""),"silas.tanner@floridadep.gov")</f>
        <v>silas.tanner@floridadep.gov</v>
      </c>
      <c r="D596" t="str">
        <f ca="1">IFERROR(__xludf.DUMMYFUNCTION("""COMPUTED_VALUE"""),"Nikki Dix")</f>
        <v>Nikki Dix</v>
      </c>
      <c r="E596" t="str">
        <f ca="1">IFERROR(__xludf.DUMMYFUNCTION("""COMPUTED_VALUE"""),"Vilano Landing")</f>
        <v>Vilano Landing</v>
      </c>
      <c r="F596" s="13">
        <f ca="1">IFERROR(__xludf.DUMMYFUNCTION("""COMPUTED_VALUE"""),0.291666666667879)</f>
        <v>0.29166666666787899</v>
      </c>
      <c r="G596" s="14">
        <f ca="1">IFERROR(__xludf.DUMMYFUNCTION("""COMPUTED_VALUE"""),44117)</f>
        <v>44117</v>
      </c>
      <c r="H596" t="str">
        <f ca="1">IFERROR(__xludf.DUMMYFUNCTION("""COMPUTED_VALUE"""),"ICW SWMP sites")</f>
        <v>ICW SWMP sites</v>
      </c>
      <c r="I596" s="15">
        <f ca="1">IFERROR(__xludf.DUMMYFUNCTION("""COMPUTED_VALUE"""),0.541666666667879)</f>
        <v>0.54166666666787899</v>
      </c>
      <c r="J596" s="16">
        <f ca="1">IFERROR(__xludf.DUMMYFUNCTION("""COMPUTED_VALUE"""),44117.5625)</f>
        <v>44117.5625</v>
      </c>
      <c r="K596" t="str">
        <f ca="1">IFERROR(__xludf.DUMMYFUNCTION("""COMPUTED_VALUE"""),"23ft Skiff (Bertha) FL7972LJ DEP07613")</f>
        <v>23ft Skiff (Bertha) FL7972LJ DEP07613</v>
      </c>
      <c r="M596" t="str">
        <f ca="1">IFERROR(__xludf.DUMMYFUNCTION("""COMPUTED_VALUE"""),"Ford F250 2017 (Moby Dix) - DEP0021578")</f>
        <v>Ford F250 2017 (Moby Dix) - DEP0021578</v>
      </c>
      <c r="N596" t="str">
        <f ca="1">IFERROR(__xludf.DUMMYFUNCTION("""COMPUTED_VALUE"""),"Silas Tanner, (904) 483-8423")</f>
        <v>Silas Tanner, (904) 483-8423</v>
      </c>
      <c r="O596" t="str">
        <f ca="1">IFERROR(__xludf.DUMMYFUNCTION("""COMPUTED_VALUE"""),"Alee Knoell, (619) 750-4833")</f>
        <v>Alee Knoell, (619) 750-4833</v>
      </c>
      <c r="P596" t="str">
        <f ca="1">IFERROR(__xludf.DUMMYFUNCTION("""COMPUTED_VALUE"""),"Silas Tanner")</f>
        <v>Silas Tanner</v>
      </c>
      <c r="Q596" t="str">
        <f ca="1">IFERROR(__xludf.DUMMYFUNCTION("""COMPUTED_VALUE"""),"All items in working order")</f>
        <v>All items in working order</v>
      </c>
      <c r="AE596" s="11"/>
      <c r="AF596" t="str">
        <v>Nikki.Dix@floridadep.gov</v>
      </c>
      <c r="AG596" s="17" t="s">
        <v>41</v>
      </c>
      <c r="AH596" s="12">
        <v>1206</v>
      </c>
      <c r="AI596" s="12" t="s">
        <v>1740</v>
      </c>
      <c r="AJ596" s="19" t="s">
        <v>1741</v>
      </c>
      <c r="AK596" s="20" t="str">
        <f>HYPERLINK("https://docs.google.com/document/d/1STug514pNmA1jmFzYNDK6Ks1zoH4pwoWkMHTJFin0z4/edit?usp=drivesdk","Silas Tanner - 10/13/2020 7:00 AM")</f>
        <v>Silas Tanner - 10/13/2020 7:00 AM</v>
      </c>
      <c r="AL596" s="12" t="s">
        <v>1742</v>
      </c>
    </row>
    <row r="597" spans="1:38" ht="12.75">
      <c r="A597" s="10">
        <f ca="1">IFERROR(__xludf.DUMMYFUNCTION("""COMPUTED_VALUE"""),44116.7800401157)</f>
        <v>44116.7800401157</v>
      </c>
      <c r="B597" s="11" t="str">
        <f ca="1">IFERROR(__xludf.DUMMYFUNCTION("""COMPUTED_VALUE"""),"Jessica Lee")</f>
        <v>Jessica Lee</v>
      </c>
      <c r="C597" t="str">
        <f ca="1">IFERROR(__xludf.DUMMYFUNCTION("""COMPUTED_VALUE"""),"jessica.lee@floridadep.gov")</f>
        <v>jessica.lee@floridadep.gov</v>
      </c>
      <c r="D597" t="str">
        <f ca="1">IFERROR(__xludf.DUMMYFUNCTION("""COMPUTED_VALUE"""),"Nikki Dix")</f>
        <v>Nikki Dix</v>
      </c>
      <c r="E597" t="str">
        <f ca="1">IFERROR(__xludf.DUMMYFUNCTION("""COMPUTED_VALUE"""),"Guana River")</f>
        <v>Guana River</v>
      </c>
      <c r="F597" s="13">
        <f ca="1">IFERROR(__xludf.DUMMYFUNCTION("""COMPUTED_VALUE"""),0.291666666667879)</f>
        <v>0.29166666666787899</v>
      </c>
      <c r="G597" s="14">
        <f ca="1">IFERROR(__xludf.DUMMYFUNCTION("""COMPUTED_VALUE"""),44117)</f>
        <v>44117</v>
      </c>
      <c r="H597" t="str">
        <f ca="1">IFERROR(__xludf.DUMMYFUNCTION("""COMPUTED_VALUE"""),"Guana River")</f>
        <v>Guana River</v>
      </c>
      <c r="I597" s="15">
        <f ca="1">IFERROR(__xludf.DUMMYFUNCTION("""COMPUTED_VALUE"""),0.375)</f>
        <v>0.375</v>
      </c>
      <c r="J597" s="16">
        <f ca="1">IFERROR(__xludf.DUMMYFUNCTION("""COMPUTED_VALUE"""),44117.3958333333)</f>
        <v>44117.395833333299</v>
      </c>
      <c r="K597" t="str">
        <f ca="1">IFERROR(__xludf.DUMMYFUNCTION("""COMPUTED_VALUE"""),"Jon Boat 1 FL5992RR DEP154045")</f>
        <v>Jon Boat 1 FL5992RR DEP154045</v>
      </c>
      <c r="M597" t="str">
        <f ca="1">IFERROR(__xludf.DUMMYFUNCTION("""COMPUTED_VALUE"""),"Ford F150 2008 (SWMP Thing) - DEP18041")</f>
        <v>Ford F150 2008 (SWMP Thing) - DEP18041</v>
      </c>
      <c r="N597" t="str">
        <f ca="1">IFERROR(__xludf.DUMMYFUNCTION("""COMPUTED_VALUE"""),"Pam Marcum, (480) 332-5414")</f>
        <v>Pam Marcum, (480) 332-5414</v>
      </c>
      <c r="O597" t="str">
        <f ca="1">IFERROR(__xludf.DUMMYFUNCTION("""COMPUTED_VALUE"""),"Jessica Lee")</f>
        <v>Jessica Lee</v>
      </c>
      <c r="P597" t="str">
        <f ca="1">IFERROR(__xludf.DUMMYFUNCTION("""COMPUTED_VALUE"""),"Jessica Lee")</f>
        <v>Jessica Lee</v>
      </c>
      <c r="Q597" t="str">
        <f ca="1">IFERROR(__xludf.DUMMYFUNCTION("""COMPUTED_VALUE"""),"All items in working order")</f>
        <v>All items in working order</v>
      </c>
      <c r="AE597" s="11"/>
      <c r="AF597" t="str">
        <v>Nikki.Dix@floridadep.gov</v>
      </c>
      <c r="AG597" s="17" t="s">
        <v>41</v>
      </c>
      <c r="AH597" s="12">
        <v>828</v>
      </c>
      <c r="AI597" s="12" t="s">
        <v>1743</v>
      </c>
      <c r="AJ597" s="19" t="s">
        <v>1744</v>
      </c>
      <c r="AK597" s="20" t="str">
        <f>HYPERLINK("https://docs.google.com/document/d/1gHgFgJT3c69j8bgWuRt8Qcizdn_c3Cb22fRg0SUqxSo/edit?usp=drivesdk","Jessica Lee - 10/13/2020 7:00 AM")</f>
        <v>Jessica Lee - 10/13/2020 7:00 AM</v>
      </c>
      <c r="AL597" s="12" t="s">
        <v>1745</v>
      </c>
    </row>
    <row r="598" spans="1:38" ht="12.75">
      <c r="A598" s="10">
        <f ca="1">IFERROR(__xludf.DUMMYFUNCTION("""COMPUTED_VALUE"""),44119.3211426157)</f>
        <v>44119.3211426157</v>
      </c>
      <c r="B598" s="11" t="str">
        <f ca="1">IFERROR(__xludf.DUMMYFUNCTION("""COMPUTED_VALUE"""),"Jessica Lee")</f>
        <v>Jessica Lee</v>
      </c>
      <c r="C598" t="str">
        <f ca="1">IFERROR(__xludf.DUMMYFUNCTION("""COMPUTED_VALUE"""),"jessica.lee@floridadep.gov")</f>
        <v>jessica.lee@floridadep.gov</v>
      </c>
      <c r="D598" t="str">
        <f ca="1">IFERROR(__xludf.DUMMYFUNCTION("""COMPUTED_VALUE"""),"Nikki Dix")</f>
        <v>Nikki Dix</v>
      </c>
      <c r="E598" t="str">
        <f ca="1">IFERROR(__xludf.DUMMYFUNCTION("""COMPUTED_VALUE"""),"Guana River")</f>
        <v>Guana River</v>
      </c>
      <c r="F598" s="13">
        <f ca="1">IFERROR(__xludf.DUMMYFUNCTION("""COMPUTED_VALUE"""),0.291666666667879)</f>
        <v>0.29166666666787899</v>
      </c>
      <c r="G598" s="14">
        <f ca="1">IFERROR(__xludf.DUMMYFUNCTION("""COMPUTED_VALUE"""),44117)</f>
        <v>44117</v>
      </c>
      <c r="H598" t="str">
        <f ca="1">IFERROR(__xludf.DUMMYFUNCTION("""COMPUTED_VALUE"""),"Guana River")</f>
        <v>Guana River</v>
      </c>
      <c r="I598" s="15">
        <f ca="1">IFERROR(__xludf.DUMMYFUNCTION("""COMPUTED_VALUE"""),0.375)</f>
        <v>0.375</v>
      </c>
      <c r="J598" s="16">
        <f ca="1">IFERROR(__xludf.DUMMYFUNCTION("""COMPUTED_VALUE"""),44117.3958333333)</f>
        <v>44117.395833333299</v>
      </c>
      <c r="K598" t="str">
        <f ca="1">IFERROR(__xludf.DUMMYFUNCTION("""COMPUTED_VALUE"""),"Jon Boat 1 FL5992RR DEP154045")</f>
        <v>Jon Boat 1 FL5992RR DEP154045</v>
      </c>
      <c r="M598" t="str">
        <f ca="1">IFERROR(__xludf.DUMMYFUNCTION("""COMPUTED_VALUE"""),"Ford F150 2008 (SWMP Thing) - DEP18041")</f>
        <v>Ford F150 2008 (SWMP Thing) - DEP18041</v>
      </c>
      <c r="N598" t="str">
        <f ca="1">IFERROR(__xludf.DUMMYFUNCTION("""COMPUTED_VALUE"""),"Pam Marcum, (480) 332-5414")</f>
        <v>Pam Marcum, (480) 332-5414</v>
      </c>
      <c r="O598" t="str">
        <f ca="1">IFERROR(__xludf.DUMMYFUNCTION("""COMPUTED_VALUE"""),"Jessica Lee")</f>
        <v>Jessica Lee</v>
      </c>
      <c r="P598" t="str">
        <f ca="1">IFERROR(__xludf.DUMMYFUNCTION("""COMPUTED_VALUE"""),"Jessica Lee")</f>
        <v>Jessica Lee</v>
      </c>
      <c r="Q598" t="str">
        <f ca="1">IFERROR(__xludf.DUMMYFUNCTION("""COMPUTED_VALUE"""),"All items in working order")</f>
        <v>All items in working order</v>
      </c>
      <c r="AE598" s="11"/>
      <c r="AF598" t="str">
        <v>Nikki.Dix@floridadep.gov</v>
      </c>
      <c r="AG598" s="17" t="s">
        <v>222</v>
      </c>
      <c r="AH598" s="12" t="s">
        <v>54</v>
      </c>
      <c r="AI598" s="12" t="s">
        <v>1746</v>
      </c>
      <c r="AJ598" s="19" t="s">
        <v>1747</v>
      </c>
      <c r="AK598" s="20" t="str">
        <f>HYPERLINK("https://docs.google.com/document/d/1_9TYzYNTexZWet25uDu5v-sa3zvx8p1b76jtzUnx3YU/edit?usp=drivesdk","Jessica Lee - 10/13/2020 7:00 AM")</f>
        <v>Jessica Lee - 10/13/2020 7:00 AM</v>
      </c>
      <c r="AL598" s="12" t="s">
        <v>1748</v>
      </c>
    </row>
    <row r="599" spans="1:38" ht="12.75">
      <c r="A599" s="10">
        <f ca="1">IFERROR(__xludf.DUMMYFUNCTION("""COMPUTED_VALUE"""),44119.3232404629)</f>
        <v>44119.323240462902</v>
      </c>
      <c r="B599" s="11" t="str">
        <f ca="1">IFERROR(__xludf.DUMMYFUNCTION("""COMPUTED_VALUE"""),"Jessica Lee")</f>
        <v>Jessica Lee</v>
      </c>
      <c r="C599" t="str">
        <f ca="1">IFERROR(__xludf.DUMMYFUNCTION("""COMPUTED_VALUE"""),"jessica.lee@floridadep.gov")</f>
        <v>jessica.lee@floridadep.gov</v>
      </c>
      <c r="D599" t="str">
        <f ca="1">IFERROR(__xludf.DUMMYFUNCTION("""COMPUTED_VALUE"""),"Nikki Dix")</f>
        <v>Nikki Dix</v>
      </c>
      <c r="E599" t="str">
        <f ca="1">IFERROR(__xludf.DUMMYFUNCTION("""COMPUTED_VALUE"""),"Guana River ")</f>
        <v xml:space="preserve">Guana River </v>
      </c>
      <c r="F599" s="13">
        <f ca="1">IFERROR(__xludf.DUMMYFUNCTION("""COMPUTED_VALUE"""),0.361111111109494)</f>
        <v>0.36111111110949401</v>
      </c>
      <c r="G599" s="14">
        <f ca="1">IFERROR(__xludf.DUMMYFUNCTION("""COMPUTED_VALUE"""),44119)</f>
        <v>44119</v>
      </c>
      <c r="H599" t="str">
        <f ca="1">IFERROR(__xludf.DUMMYFUNCTION("""COMPUTED_VALUE"""),"Guana River")</f>
        <v>Guana River</v>
      </c>
      <c r="I599" s="15">
        <f ca="1">IFERROR(__xludf.DUMMYFUNCTION("""COMPUTED_VALUE"""),0.416666666667879)</f>
        <v>0.41666666666787899</v>
      </c>
      <c r="J599" s="16">
        <f ca="1">IFERROR(__xludf.DUMMYFUNCTION("""COMPUTED_VALUE"""),44119.4375)</f>
        <v>44119.4375</v>
      </c>
      <c r="K599" t="str">
        <f ca="1">IFERROR(__xludf.DUMMYFUNCTION("""COMPUTED_VALUE"""),"Jon Boat 1 FL5992RR DEP154045")</f>
        <v>Jon Boat 1 FL5992RR DEP154045</v>
      </c>
      <c r="M599" t="str">
        <f ca="1">IFERROR(__xludf.DUMMYFUNCTION("""COMPUTED_VALUE"""),"Ford F250 2017 (Moby Dix) - DEP0021578")</f>
        <v>Ford F250 2017 (Moby Dix) - DEP0021578</v>
      </c>
      <c r="N599" t="str">
        <f ca="1">IFERROR(__xludf.DUMMYFUNCTION("""COMPUTED_VALUE"""),"Silas Tanner, (904) 483-8423")</f>
        <v>Silas Tanner, (904) 483-8423</v>
      </c>
      <c r="O599" t="str">
        <f ca="1">IFERROR(__xludf.DUMMYFUNCTION("""COMPUTED_VALUE"""),"Jess ")</f>
        <v xml:space="preserve">Jess </v>
      </c>
      <c r="P599" t="str">
        <f ca="1">IFERROR(__xludf.DUMMYFUNCTION("""COMPUTED_VALUE"""),"Jessica Lee")</f>
        <v>Jessica Lee</v>
      </c>
      <c r="Q599" t="str">
        <f ca="1">IFERROR(__xludf.DUMMYFUNCTION("""COMPUTED_VALUE"""),"All items in working order")</f>
        <v>All items in working order</v>
      </c>
      <c r="AE599" s="11"/>
      <c r="AF599" t="str">
        <v>Nikki.Dix@floridadep.gov</v>
      </c>
      <c r="AG599" s="17" t="s">
        <v>222</v>
      </c>
      <c r="AH599" s="12" t="s">
        <v>54</v>
      </c>
      <c r="AI599" s="12" t="s">
        <v>1749</v>
      </c>
      <c r="AJ599" s="19" t="s">
        <v>1750</v>
      </c>
      <c r="AK599" s="20" t="str">
        <f>HYPERLINK("https://docs.google.com/document/d/1E0Y7htd1WRAHZCyT7jglsno2V2-glfRZaXBZBxjLKbs/edit?usp=drivesdk","Jessica Lee - 10/15/2020 8:40 AM")</f>
        <v>Jessica Lee - 10/15/2020 8:40 AM</v>
      </c>
      <c r="AL599" s="12" t="s">
        <v>1751</v>
      </c>
    </row>
    <row r="600" spans="1:38" ht="12.75">
      <c r="A600" s="10">
        <f ca="1">IFERROR(__xludf.DUMMYFUNCTION("""COMPUTED_VALUE"""),44123.374907118)</f>
        <v>44123.374907117999</v>
      </c>
      <c r="B600" s="11" t="str">
        <f ca="1">IFERROR(__xludf.DUMMYFUNCTION("""COMPUTED_VALUE"""),"Pam Marcum")</f>
        <v>Pam Marcum</v>
      </c>
      <c r="C600" t="str">
        <f ca="1">IFERROR(__xludf.DUMMYFUNCTION("""COMPUTED_VALUE"""),"Pamela.Marcum@floridadep.gov")</f>
        <v>Pamela.Marcum@floridadep.gov</v>
      </c>
      <c r="D600" t="str">
        <f ca="1">IFERROR(__xludf.DUMMYFUNCTION("""COMPUTED_VALUE"""),"Nikki Dix")</f>
        <v>Nikki Dix</v>
      </c>
      <c r="E600" t="str">
        <f ca="1">IFERROR(__xludf.DUMMYFUNCTION("""COMPUTED_VALUE"""),"Faver-Dykes")</f>
        <v>Faver-Dykes</v>
      </c>
      <c r="F600" s="13">
        <f ca="1">IFERROR(__xludf.DUMMYFUNCTION("""COMPUTED_VALUE"""),0.375)</f>
        <v>0.375</v>
      </c>
      <c r="G600" s="14">
        <f ca="1">IFERROR(__xludf.DUMMYFUNCTION("""COMPUTED_VALUE"""),44123)</f>
        <v>44123</v>
      </c>
      <c r="H600" t="str">
        <f ca="1">IFERROR(__xludf.DUMMYFUNCTION("""COMPUTED_VALUE"""),"Pc platforms")</f>
        <v>Pc platforms</v>
      </c>
      <c r="I600" s="15">
        <f ca="1">IFERROR(__xludf.DUMMYFUNCTION("""COMPUTED_VALUE"""),0.5)</f>
        <v>0.5</v>
      </c>
      <c r="J600" s="16">
        <f ca="1">IFERROR(__xludf.DUMMYFUNCTION("""COMPUTED_VALUE"""),44123.5416666666)</f>
        <v>44123.541666666599</v>
      </c>
      <c r="K600" t="str">
        <f ca="1">IFERROR(__xludf.DUMMYFUNCTION("""COMPUTED_VALUE"""),"20ft Sea Ark FL5351SJ UNF 2015")</f>
        <v>20ft Sea Ark FL5351SJ UNF 2015</v>
      </c>
      <c r="M600" t="str">
        <f ca="1">IFERROR(__xludf.DUMMYFUNCTION("""COMPUTED_VALUE"""),"Ford F150 2015 (White) - DEP21448")</f>
        <v>Ford F150 2015 (White) - DEP21448</v>
      </c>
      <c r="N600" t="str">
        <f ca="1">IFERROR(__xludf.DUMMYFUNCTION("""COMPUTED_VALUE"""),"Pam Marcum, (480) 332-5414")</f>
        <v>Pam Marcum, (480) 332-5414</v>
      </c>
      <c r="O600" t="str">
        <f ca="1">IFERROR(__xludf.DUMMYFUNCTION("""COMPUTED_VALUE"""),"Alee Knoell, (619) 750-4833")</f>
        <v>Alee Knoell, (619) 750-4833</v>
      </c>
      <c r="P600" t="str">
        <f ca="1">IFERROR(__xludf.DUMMYFUNCTION("""COMPUTED_VALUE"""),"Pam")</f>
        <v>Pam</v>
      </c>
      <c r="Q600" t="str">
        <f ca="1">IFERROR(__xludf.DUMMYFUNCTION("""COMPUTED_VALUE"""),"All items in working order")</f>
        <v>All items in working order</v>
      </c>
      <c r="AE600" s="11"/>
      <c r="AF600" t="str">
        <v>Nikki.Dix@floridadep.gov</v>
      </c>
      <c r="AG600" s="17" t="s">
        <v>41</v>
      </c>
      <c r="AH600" s="12">
        <v>1230</v>
      </c>
      <c r="AI600" s="12" t="s">
        <v>1752</v>
      </c>
      <c r="AJ600" s="19" t="s">
        <v>1753</v>
      </c>
      <c r="AK600" s="20" t="str">
        <f>HYPERLINK("https://docs.google.com/document/d/1eu1FQ3sTJQE4ZLjtetUWmjcyzwJpUo10MFWKwvPurdc/edit?usp=drivesdk","Pam Marcum - 10/19/2020 9:00 AM")</f>
        <v>Pam Marcum - 10/19/2020 9:00 AM</v>
      </c>
      <c r="AL600" s="12" t="s">
        <v>1754</v>
      </c>
    </row>
    <row r="601" spans="1:38" ht="12.75">
      <c r="A601" s="10">
        <f ca="1">IFERROR(__xludf.DUMMYFUNCTION("""COMPUTED_VALUE"""),44126.2951049074)</f>
        <v>44126.295104907404</v>
      </c>
      <c r="B601" s="11" t="str">
        <f ca="1">IFERROR(__xludf.DUMMYFUNCTION("""COMPUTED_VALUE"""),"Shannon Dunnigan")</f>
        <v>Shannon Dunnigan</v>
      </c>
      <c r="C601" t="str">
        <f ca="1">IFERROR(__xludf.DUMMYFUNCTION("""COMPUTED_VALUE"""),"shannon.dunnigan@floridadep.gov")</f>
        <v>shannon.dunnigan@floridadep.gov</v>
      </c>
      <c r="D601" t="str">
        <f ca="1">IFERROR(__xludf.DUMMYFUNCTION("""COMPUTED_VALUE"""),"Nikki Dix")</f>
        <v>Nikki Dix</v>
      </c>
      <c r="E601" t="str">
        <f ca="1">IFERROR(__xludf.DUMMYFUNCTION("""COMPUTED_VALUE"""),"Greene Rd")</f>
        <v>Greene Rd</v>
      </c>
      <c r="F601" s="13">
        <f ca="1">IFERROR(__xludf.DUMMYFUNCTION("""COMPUTED_VALUE"""),0.30208333333212)</f>
        <v>0.30208333333212001</v>
      </c>
      <c r="G601" s="14">
        <f ca="1">IFERROR(__xludf.DUMMYFUNCTION("""COMPUTED_VALUE"""),44126)</f>
        <v>44126</v>
      </c>
      <c r="H601" t="str">
        <f ca="1">IFERROR(__xludf.DUMMYFUNCTION("""COMPUTED_VALUE"""),"Moses transects")</f>
        <v>Moses transects</v>
      </c>
      <c r="I601" s="15">
        <f ca="1">IFERROR(__xludf.DUMMYFUNCTION("""COMPUTED_VALUE"""),0.625)</f>
        <v>0.625</v>
      </c>
      <c r="J601" s="16">
        <f ca="1">IFERROR(__xludf.DUMMYFUNCTION("""COMPUTED_VALUE"""),44126.6875)</f>
        <v>44126.6875</v>
      </c>
      <c r="K601" t="str">
        <f ca="1">IFERROR(__xludf.DUMMYFUNCTION("""COMPUTED_VALUE"""),"20ft Sea Ark FL5351SJ UNF 2015")</f>
        <v>20ft Sea Ark FL5351SJ UNF 2015</v>
      </c>
      <c r="M601" t="str">
        <f ca="1">IFERROR(__xludf.DUMMYFUNCTION("""COMPUTED_VALUE"""),"Ford F250 2017 (Moby Dix) - DEP0021578")</f>
        <v>Ford F250 2017 (Moby Dix) - DEP0021578</v>
      </c>
      <c r="N601" t="str">
        <f ca="1">IFERROR(__xludf.DUMMYFUNCTION("""COMPUTED_VALUE"""),"Shannon Dunnigan, (803) 727-5734, Silas Tanner, (904) 483-8423")</f>
        <v>Shannon Dunnigan, (803) 727-5734, Silas Tanner, (904) 483-8423</v>
      </c>
      <c r="P601" t="str">
        <f ca="1">IFERROR(__xludf.DUMMYFUNCTION("""COMPUTED_VALUE"""),"Shannon")</f>
        <v>Shannon</v>
      </c>
      <c r="Q601" t="str">
        <f ca="1">IFERROR(__xludf.DUMMYFUNCTION("""COMPUTED_VALUE"""),"All items in working order")</f>
        <v>All items in working order</v>
      </c>
      <c r="AE601" s="11"/>
      <c r="AF601" t="str">
        <v>Nikki.Dix@floridadep.gov</v>
      </c>
      <c r="AG601" s="17" t="s">
        <v>41</v>
      </c>
      <c r="AH601" s="12">
        <v>1118</v>
      </c>
      <c r="AI601" s="12" t="s">
        <v>1755</v>
      </c>
      <c r="AJ601" s="19" t="s">
        <v>1756</v>
      </c>
      <c r="AK601" s="20" t="str">
        <f>HYPERLINK("https://docs.google.com/document/d/1MvlAKL96LDrRfUSWS-rFRacHhpjLC-Ft77AJyjsHHVY/edit?usp=drivesdk","Shannon Dunnigan - 10/22/2020 7:15 AM")</f>
        <v>Shannon Dunnigan - 10/22/2020 7:15 AM</v>
      </c>
      <c r="AL601" s="12" t="s">
        <v>1757</v>
      </c>
    </row>
    <row r="602" spans="1:38" ht="12.75">
      <c r="A602" s="10">
        <f ca="1">IFERROR(__xludf.DUMMYFUNCTION("""COMPUTED_VALUE"""),44130.6367741203)</f>
        <v>44130.636774120299</v>
      </c>
      <c r="B602" s="11" t="str">
        <f ca="1">IFERROR(__xludf.DUMMYFUNCTION("""COMPUTED_VALUE"""),"Pam Marcum")</f>
        <v>Pam Marcum</v>
      </c>
      <c r="C602" t="str">
        <f ca="1">IFERROR(__xludf.DUMMYFUNCTION("""COMPUTED_VALUE"""),"pamela.marcum@floridadep.gov")</f>
        <v>pamela.marcum@floridadep.gov</v>
      </c>
      <c r="D602" t="str">
        <f ca="1">IFERROR(__xludf.DUMMYFUNCTION("""COMPUTED_VALUE"""),"Nikki Dix")</f>
        <v>Nikki Dix</v>
      </c>
      <c r="E602" t="str">
        <f ca="1">IFERROR(__xludf.DUMMYFUNCTION("""COMPUTED_VALUE"""),"Faver dykes")</f>
        <v>Faver dykes</v>
      </c>
      <c r="F602" s="13">
        <f ca="1">IFERROR(__xludf.DUMMYFUNCTION("""COMPUTED_VALUE"""),0.64583333333212)</f>
        <v>0.64583333333212001</v>
      </c>
      <c r="G602" s="14">
        <f ca="1">IFERROR(__xludf.DUMMYFUNCTION("""COMPUTED_VALUE"""),44130)</f>
        <v>44130</v>
      </c>
      <c r="H602" t="str">
        <f ca="1">IFERROR(__xludf.DUMMYFUNCTION("""COMPUTED_VALUE"""),"Upper PC")</f>
        <v>Upper PC</v>
      </c>
      <c r="I602" s="15">
        <f ca="1">IFERROR(__xludf.DUMMYFUNCTION("""COMPUTED_VALUE"""),0.75)</f>
        <v>0.75</v>
      </c>
      <c r="J602" s="16">
        <f ca="1">IFERROR(__xludf.DUMMYFUNCTION("""COMPUTED_VALUE"""),44130.7708333333)</f>
        <v>44130.770833333299</v>
      </c>
      <c r="K602" t="str">
        <f ca="1">IFERROR(__xludf.DUMMYFUNCTION("""COMPUTED_VALUE"""),"17ft Skiff (Marsha) FL0642GW DEP07239")</f>
        <v>17ft Skiff (Marsha) FL0642GW DEP07239</v>
      </c>
      <c r="M602" t="str">
        <f ca="1">IFERROR(__xludf.DUMMYFUNCTION("""COMPUTED_VALUE"""),"Ford F150 2015 (White) - DEP21448")</f>
        <v>Ford F150 2015 (White) - DEP21448</v>
      </c>
      <c r="N602" t="str">
        <f ca="1">IFERROR(__xludf.DUMMYFUNCTION("""COMPUTED_VALUE"""),"Pam Marcum, (480) 332-5414")</f>
        <v>Pam Marcum, (480) 332-5414</v>
      </c>
      <c r="O602" t="str">
        <f ca="1">IFERROR(__xludf.DUMMYFUNCTION("""COMPUTED_VALUE"""),"Allix North")</f>
        <v>Allix North</v>
      </c>
      <c r="P602" t="str">
        <f ca="1">IFERROR(__xludf.DUMMYFUNCTION("""COMPUTED_VALUE"""),"Pam")</f>
        <v>Pam</v>
      </c>
      <c r="Q602" t="str">
        <f ca="1">IFERROR(__xludf.DUMMYFUNCTION("""COMPUTED_VALUE"""),"All items in working order")</f>
        <v>All items in working order</v>
      </c>
      <c r="AE602" s="11"/>
      <c r="AF602" t="str">
        <v>Nikki.Dix@floridadep.gov</v>
      </c>
      <c r="AG602" s="17" t="s">
        <v>41</v>
      </c>
      <c r="AH602" s="12">
        <v>1833</v>
      </c>
      <c r="AI602" s="12" t="s">
        <v>1758</v>
      </c>
      <c r="AJ602" s="19" t="s">
        <v>1759</v>
      </c>
      <c r="AK602" s="20" t="str">
        <f>HYPERLINK("https://docs.google.com/document/d/1jvH8r1Fpa1KBJ-q1DX7vnXuphAeceU8tQP7UXXboXes/edit?usp=drivesdk","Pam Marcum - 10/26/2020 3:30 PM")</f>
        <v>Pam Marcum - 10/26/2020 3:30 PM</v>
      </c>
      <c r="AL602" s="12" t="s">
        <v>1760</v>
      </c>
    </row>
    <row r="603" spans="1:38" ht="12.75">
      <c r="A603" s="10">
        <f ca="1">IFERROR(__xludf.DUMMYFUNCTION("""COMPUTED_VALUE"""),44132.459377037)</f>
        <v>44132.459377036997</v>
      </c>
      <c r="B603" s="11" t="str">
        <f ca="1">IFERROR(__xludf.DUMMYFUNCTION("""COMPUTED_VALUE"""),"Silas Tanner")</f>
        <v>Silas Tanner</v>
      </c>
      <c r="C603" t="str">
        <f ca="1">IFERROR(__xludf.DUMMYFUNCTION("""COMPUTED_VALUE"""),"silas.tanner@floridadep.gov")</f>
        <v>silas.tanner@floridadep.gov</v>
      </c>
      <c r="D603" t="str">
        <f ca="1">IFERROR(__xludf.DUMMYFUNCTION("""COMPUTED_VALUE"""),"Nikki Dix")</f>
        <v>Nikki Dix</v>
      </c>
      <c r="E603" t="str">
        <f ca="1">IFERROR(__xludf.DUMMYFUNCTION("""COMPUTED_VALUE"""),"Douglas Crane")</f>
        <v>Douglas Crane</v>
      </c>
      <c r="F603" s="13">
        <f ca="1">IFERROR(__xludf.DUMMYFUNCTION("""COMPUTED_VALUE"""),0.52083333333212)</f>
        <v>0.52083333333212001</v>
      </c>
      <c r="G603" s="14">
        <f ca="1">IFERROR(__xludf.DUMMYFUNCTION("""COMPUTED_VALUE"""),44132)</f>
        <v>44132</v>
      </c>
      <c r="H603" t="str">
        <f ca="1">IFERROR(__xludf.DUMMYFUNCTION("""COMPUTED_VALUE"""),"Site 22 platforms")</f>
        <v>Site 22 platforms</v>
      </c>
      <c r="I603" s="15">
        <f ca="1">IFERROR(__xludf.DUMMYFUNCTION("""COMPUTED_VALUE"""),0.58333333333212)</f>
        <v>0.58333333333212001</v>
      </c>
      <c r="J603" s="16">
        <f ca="1">IFERROR(__xludf.DUMMYFUNCTION("""COMPUTED_VALUE"""),44132.6041666666)</f>
        <v>44132.604166666599</v>
      </c>
      <c r="K603" t="str">
        <f ca="1">IFERROR(__xludf.DUMMYFUNCTION("""COMPUTED_VALUE"""),"20ft Sea Ark FL5351SJ UNF 2015")</f>
        <v>20ft Sea Ark FL5351SJ UNF 2015</v>
      </c>
      <c r="M603" t="str">
        <f ca="1">IFERROR(__xludf.DUMMYFUNCTION("""COMPUTED_VALUE"""),"Ford F250 2017 (Moby Dix) - DEP0021578")</f>
        <v>Ford F250 2017 (Moby Dix) - DEP0021578</v>
      </c>
      <c r="N603" t="str">
        <f ca="1">IFERROR(__xludf.DUMMYFUNCTION("""COMPUTED_VALUE"""),"Shannon Dunnigan, (803) 727-5734, Silas Tanner, (904) 483-8423")</f>
        <v>Shannon Dunnigan, (803) 727-5734, Silas Tanner, (904) 483-8423</v>
      </c>
      <c r="P603" t="str">
        <f ca="1">IFERROR(__xludf.DUMMYFUNCTION("""COMPUTED_VALUE"""),"S. Tanner")</f>
        <v>S. Tanner</v>
      </c>
      <c r="Q603" t="str">
        <f ca="1">IFERROR(__xludf.DUMMYFUNCTION("""COMPUTED_VALUE"""),"All items in working order")</f>
        <v>All items in working order</v>
      </c>
      <c r="AE603" s="11"/>
      <c r="AF603" t="str">
        <v>Nikki.Dix@floridadep.gov</v>
      </c>
      <c r="AG603" s="17" t="s">
        <v>41</v>
      </c>
      <c r="AH603" s="12">
        <v>1340</v>
      </c>
      <c r="AI603" s="12" t="s">
        <v>1761</v>
      </c>
      <c r="AJ603" s="19" t="s">
        <v>1762</v>
      </c>
      <c r="AK603" s="20" t="str">
        <f>HYPERLINK("https://docs.google.com/document/d/1EDMY_R8pHhhWthteTstMllE6C8RZfpEAqzU6qVACBhk/edit?usp=drivesdk","Silas Tanner - 10/28/2020 12:30 PM")</f>
        <v>Silas Tanner - 10/28/2020 12:30 PM</v>
      </c>
      <c r="AL603" s="12" t="s">
        <v>1763</v>
      </c>
    </row>
    <row r="604" spans="1:38" ht="12.75">
      <c r="A604" s="10">
        <f ca="1">IFERROR(__xludf.DUMMYFUNCTION("""COMPUTED_VALUE"""),44134.5113866435)</f>
        <v>44134.511386643499</v>
      </c>
      <c r="B604" s="11" t="str">
        <f ca="1">IFERROR(__xludf.DUMMYFUNCTION("""COMPUTED_VALUE"""),"Pam Marcum")</f>
        <v>Pam Marcum</v>
      </c>
      <c r="C604" t="str">
        <f ca="1">IFERROR(__xludf.DUMMYFUNCTION("""COMPUTED_VALUE"""),"pamela.marcum@floridadep.gov")</f>
        <v>pamela.marcum@floridadep.gov</v>
      </c>
      <c r="D604" t="str">
        <f ca="1">IFERROR(__xludf.DUMMYFUNCTION("""COMPUTED_VALUE"""),"Pam Marcum")</f>
        <v>Pam Marcum</v>
      </c>
      <c r="E604" t="str">
        <f ca="1">IFERROR(__xludf.DUMMYFUNCTION("""COMPUTED_VALUE"""),"Aunt Kate's")</f>
        <v>Aunt Kate's</v>
      </c>
      <c r="F604" s="13">
        <f ca="1">IFERROR(__xludf.DUMMYFUNCTION("""COMPUTED_VALUE"""),0.510416666667879)</f>
        <v>0.51041666666787899</v>
      </c>
      <c r="G604" s="14">
        <f ca="1">IFERROR(__xludf.DUMMYFUNCTION("""COMPUTED_VALUE"""),44134)</f>
        <v>44134</v>
      </c>
      <c r="H604" t="str">
        <f ca="1">IFERROR(__xludf.DUMMYFUNCTION("""COMPUTED_VALUE"""),"Spat trees SR-SA-FM-TR-GR")</f>
        <v>Spat trees SR-SA-FM-TR-GR</v>
      </c>
      <c r="I604" s="15">
        <f ca="1">IFERROR(__xludf.DUMMYFUNCTION("""COMPUTED_VALUE"""),0.77083333333212)</f>
        <v>0.77083333333212001</v>
      </c>
      <c r="J604" s="16">
        <f ca="1">IFERROR(__xludf.DUMMYFUNCTION("""COMPUTED_VALUE"""),44134.7916666666)</f>
        <v>44134.791666666599</v>
      </c>
      <c r="K604" t="str">
        <f ca="1">IFERROR(__xludf.DUMMYFUNCTION("""COMPUTED_VALUE"""),"20ft Sea Ark FL5351SJ UNF 2015")</f>
        <v>20ft Sea Ark FL5351SJ UNF 2015</v>
      </c>
      <c r="M604" t="str">
        <f ca="1">IFERROR(__xludf.DUMMYFUNCTION("""COMPUTED_VALUE"""),"Ford F150 2015 (White) - DEP21448")</f>
        <v>Ford F150 2015 (White) - DEP21448</v>
      </c>
      <c r="N604" t="str">
        <f ca="1">IFERROR(__xludf.DUMMYFUNCTION("""COMPUTED_VALUE"""),"Pam Marcum, (480) 332-5414")</f>
        <v>Pam Marcum, (480) 332-5414</v>
      </c>
      <c r="O604" t="str">
        <f ca="1">IFERROR(__xludf.DUMMYFUNCTION("""COMPUTED_VALUE"""),"Alee Knoell, (619) 750-4833")</f>
        <v>Alee Knoell, (619) 750-4833</v>
      </c>
      <c r="P604" t="str">
        <f ca="1">IFERROR(__xludf.DUMMYFUNCTION("""COMPUTED_VALUE"""),"Pam")</f>
        <v>Pam</v>
      </c>
      <c r="Q604" t="str">
        <f ca="1">IFERROR(__xludf.DUMMYFUNCTION("""COMPUTED_VALUE"""),"All items in working order")</f>
        <v>All items in working order</v>
      </c>
      <c r="AE604" s="11"/>
      <c r="AF604" t="str">
        <v>Pamela.Marcum@floridadep.gov</v>
      </c>
      <c r="AG604" s="17" t="s">
        <v>1764</v>
      </c>
      <c r="AH604" s="12">
        <v>1831</v>
      </c>
      <c r="AI604" s="12" t="s">
        <v>1765</v>
      </c>
      <c r="AJ604" s="19" t="s">
        <v>1766</v>
      </c>
      <c r="AK604" s="20" t="str">
        <f>HYPERLINK("https://docs.google.com/document/d/11G2NIvkxYhVMIfFC7TtPcuYqWq3dXscydx5rkc-BfL8/edit?usp=drivesdk","Pam Marcum - 10/30/2020 12:15 PM")</f>
        <v>Pam Marcum - 10/30/2020 12:15 PM</v>
      </c>
      <c r="AL604" s="12" t="s">
        <v>1767</v>
      </c>
    </row>
    <row r="605" spans="1:38" ht="12.75">
      <c r="A605" s="10">
        <f ca="1">IFERROR(__xludf.DUMMYFUNCTION("""COMPUTED_VALUE"""),44139.3488869907)</f>
        <v>44139.348886990701</v>
      </c>
      <c r="B605" s="11" t="str">
        <f ca="1">IFERROR(__xludf.DUMMYFUNCTION("""COMPUTED_VALUE"""),"Silas Tanner")</f>
        <v>Silas Tanner</v>
      </c>
      <c r="C605" t="str">
        <f ca="1">IFERROR(__xludf.DUMMYFUNCTION("""COMPUTED_VALUE"""),"silas.tanner@floridadep.gov")</f>
        <v>silas.tanner@floridadep.gov</v>
      </c>
      <c r="D605" t="str">
        <f ca="1">IFERROR(__xludf.DUMMYFUNCTION("""COMPUTED_VALUE"""),"Nikki Dix")</f>
        <v>Nikki Dix</v>
      </c>
      <c r="E605" t="str">
        <f ca="1">IFERROR(__xludf.DUMMYFUNCTION("""COMPUTED_VALUE"""),"Crane")</f>
        <v>Crane</v>
      </c>
      <c r="F605" s="13">
        <f ca="1">IFERROR(__xludf.DUMMYFUNCTION("""COMPUTED_VALUE"""),0.347222222222626)</f>
        <v>0.347222222222626</v>
      </c>
      <c r="G605" s="14">
        <f ca="1">IFERROR(__xludf.DUMMYFUNCTION("""COMPUTED_VALUE"""),44139)</f>
        <v>44139</v>
      </c>
      <c r="H605" t="str">
        <f ca="1">IFERROR(__xludf.DUMMYFUNCTION("""COMPUTED_VALUE"""),"ICW SWMP sites")</f>
        <v>ICW SWMP sites</v>
      </c>
      <c r="I605" s="15">
        <f ca="1">IFERROR(__xludf.DUMMYFUNCTION("""COMPUTED_VALUE"""),0.5625)</f>
        <v>0.5625</v>
      </c>
      <c r="J605" s="16">
        <f ca="1">IFERROR(__xludf.DUMMYFUNCTION("""COMPUTED_VALUE"""),44139.6041666666)</f>
        <v>44139.604166666599</v>
      </c>
      <c r="K605" t="str">
        <f ca="1">IFERROR(__xludf.DUMMYFUNCTION("""COMPUTED_VALUE"""),"20ft Sea Ark FL5351SJ UNF 2015")</f>
        <v>20ft Sea Ark FL5351SJ UNF 2015</v>
      </c>
      <c r="M605" t="str">
        <f ca="1">IFERROR(__xludf.DUMMYFUNCTION("""COMPUTED_VALUE"""),"Ford F250 2017 (Moby Dix) - DEP0021578")</f>
        <v>Ford F250 2017 (Moby Dix) - DEP0021578</v>
      </c>
      <c r="N605" t="str">
        <f ca="1">IFERROR(__xludf.DUMMYFUNCTION("""COMPUTED_VALUE"""),"Silas Tanner, (904) 483-8423, Remo Mondazi")</f>
        <v>Silas Tanner, (904) 483-8423, Remo Mondazi</v>
      </c>
      <c r="P605" t="str">
        <f ca="1">IFERROR(__xludf.DUMMYFUNCTION("""COMPUTED_VALUE"""),"S Tanner")</f>
        <v>S Tanner</v>
      </c>
      <c r="Q605" t="str">
        <f ca="1">IFERROR(__xludf.DUMMYFUNCTION("""COMPUTED_VALUE"""),"All items in working order")</f>
        <v>All items in working order</v>
      </c>
      <c r="AE605" s="11"/>
      <c r="AF605" t="str">
        <v>Nikki.Dix@floridadep.gov</v>
      </c>
      <c r="AG605" s="17" t="s">
        <v>41</v>
      </c>
      <c r="AH605" s="12">
        <v>1145</v>
      </c>
      <c r="AI605" s="12" t="s">
        <v>1768</v>
      </c>
      <c r="AJ605" s="19" t="s">
        <v>1769</v>
      </c>
      <c r="AK605" s="20" t="str">
        <f>HYPERLINK("https://docs.google.com/document/d/119RI9XLNctfmcjIUgZhLTr8MppA_bTUPhB_yDwqWXO4/edit?usp=drivesdk","Silas Tanner - 11/4/2020 8:20 AM")</f>
        <v>Silas Tanner - 11/4/2020 8:20 AM</v>
      </c>
      <c r="AL605" s="12" t="s">
        <v>1770</v>
      </c>
    </row>
    <row r="606" spans="1:38" ht="12.75">
      <c r="A606" s="10">
        <f ca="1">IFERROR(__xludf.DUMMYFUNCTION("""COMPUTED_VALUE"""),44151.3639589004)</f>
        <v>44151.363958900401</v>
      </c>
      <c r="B606" s="11" t="str">
        <f ca="1">IFERROR(__xludf.DUMMYFUNCTION("""COMPUTED_VALUE"""),"Jessica Lee")</f>
        <v>Jessica Lee</v>
      </c>
      <c r="C606" t="str">
        <f ca="1">IFERROR(__xludf.DUMMYFUNCTION("""COMPUTED_VALUE"""),"jessica.lee@floridadep.gov")</f>
        <v>jessica.lee@floridadep.gov</v>
      </c>
      <c r="D606" t="str">
        <f ca="1">IFERROR(__xludf.DUMMYFUNCTION("""COMPUTED_VALUE"""),"Shannon Dunnigan")</f>
        <v>Shannon Dunnigan</v>
      </c>
      <c r="E606" t="str">
        <f ca="1">IFERROR(__xludf.DUMMYFUNCTION("""COMPUTED_VALUE"""),"Guana River")</f>
        <v>Guana River</v>
      </c>
      <c r="F606" s="13">
        <f ca="1">IFERROR(__xludf.DUMMYFUNCTION("""COMPUTED_VALUE"""),0.39583333333212)</f>
        <v>0.39583333333212001</v>
      </c>
      <c r="G606" s="14">
        <f ca="1">IFERROR(__xludf.DUMMYFUNCTION("""COMPUTED_VALUE"""),44151)</f>
        <v>44151</v>
      </c>
      <c r="H606" t="str">
        <f ca="1">IFERROR(__xludf.DUMMYFUNCTION("""COMPUTED_VALUE"""),"Guana River ")</f>
        <v xml:space="preserve">Guana River </v>
      </c>
      <c r="I606" s="15">
        <f ca="1">IFERROR(__xludf.DUMMYFUNCTION("""COMPUTED_VALUE"""),0.45833333333212)</f>
        <v>0.45833333333212001</v>
      </c>
      <c r="J606" s="16">
        <f ca="1">IFERROR(__xludf.DUMMYFUNCTION("""COMPUTED_VALUE"""),44151.4791666666)</f>
        <v>44151.479166666599</v>
      </c>
      <c r="K606" t="str">
        <f ca="1">IFERROR(__xludf.DUMMYFUNCTION("""COMPUTED_VALUE"""),"Jon Boat 1 FL5992RR DEP154045")</f>
        <v>Jon Boat 1 FL5992RR DEP154045</v>
      </c>
      <c r="M606" t="str">
        <f ca="1">IFERROR(__xludf.DUMMYFUNCTION("""COMPUTED_VALUE"""),"Ford F150 2015 (White) - DEP21448")</f>
        <v>Ford F150 2015 (White) - DEP21448</v>
      </c>
      <c r="N606" t="str">
        <f ca="1">IFERROR(__xludf.DUMMYFUNCTION("""COMPUTED_VALUE"""),"Nikki Dix, (352) 219-4079")</f>
        <v>Nikki Dix, (352) 219-4079</v>
      </c>
      <c r="O606" t="str">
        <f ca="1">IFERROR(__xludf.DUMMYFUNCTION("""COMPUTED_VALUE"""),"Jessica Lee")</f>
        <v>Jessica Lee</v>
      </c>
      <c r="P606" t="str">
        <f ca="1">IFERROR(__xludf.DUMMYFUNCTION("""COMPUTED_VALUE"""),"Jessica Lee")</f>
        <v>Jessica Lee</v>
      </c>
      <c r="Q606" t="str">
        <f ca="1">IFERROR(__xludf.DUMMYFUNCTION("""COMPUTED_VALUE"""),"All items in working order")</f>
        <v>All items in working order</v>
      </c>
      <c r="AE606" s="11"/>
      <c r="AF606" t="str">
        <v>Shannon.Dunnigan@floridadep.gov</v>
      </c>
      <c r="AG606" s="17" t="s">
        <v>507</v>
      </c>
      <c r="AH606" s="12">
        <v>1115</v>
      </c>
      <c r="AI606" s="12" t="s">
        <v>1771</v>
      </c>
      <c r="AJ606" s="19" t="s">
        <v>1772</v>
      </c>
      <c r="AK606" s="20" t="str">
        <f>HYPERLINK("https://docs.google.com/document/d/1MOA6wmcI4F1idx-EVZBeVOzYSTahLpXJr5yC3C875tE/edit?usp=drivesdk","Jessica Lee - 11/16/2020 9:30 AM")</f>
        <v>Jessica Lee - 11/16/2020 9:30 AM</v>
      </c>
      <c r="AL606" s="12" t="s">
        <v>1773</v>
      </c>
    </row>
    <row r="607" spans="1:38" ht="12.75">
      <c r="A607" s="10">
        <f ca="1">IFERROR(__xludf.DUMMYFUNCTION("""COMPUTED_VALUE"""),44152.4874542245)</f>
        <v>44152.487454224502</v>
      </c>
      <c r="B607" s="11" t="str">
        <f ca="1">IFERROR(__xludf.DUMMYFUNCTION("""COMPUTED_VALUE"""),"Alexandria Knoell")</f>
        <v>Alexandria Knoell</v>
      </c>
      <c r="C607" t="str">
        <f ca="1">IFERROR(__xludf.DUMMYFUNCTION("""COMPUTED_VALUE"""),"alee.knoell@floridadep.gov")</f>
        <v>alee.knoell@floridadep.gov</v>
      </c>
      <c r="D607" t="str">
        <f ca="1">IFERROR(__xludf.DUMMYFUNCTION("""COMPUTED_VALUE"""),"Shannon Dunnigan")</f>
        <v>Shannon Dunnigan</v>
      </c>
      <c r="E607" t="str">
        <f ca="1">IFERROR(__xludf.DUMMYFUNCTION("""COMPUTED_VALUE"""),"Vilano ")</f>
        <v xml:space="preserve">Vilano </v>
      </c>
      <c r="F607" s="13">
        <f ca="1">IFERROR(__xludf.DUMMYFUNCTION("""COMPUTED_VALUE"""),0.375)</f>
        <v>0.375</v>
      </c>
      <c r="G607" s="14">
        <f ca="1">IFERROR(__xludf.DUMMYFUNCTION("""COMPUTED_VALUE"""),44152)</f>
        <v>44152</v>
      </c>
      <c r="H607" t="str">
        <f ca="1">IFERROR(__xludf.DUMMYFUNCTION("""COMPUTED_VALUE"""),"Icw swmp sites")</f>
        <v>Icw swmp sites</v>
      </c>
      <c r="I607" s="15">
        <f ca="1">IFERROR(__xludf.DUMMYFUNCTION("""COMPUTED_VALUE"""),0.58333333333212)</f>
        <v>0.58333333333212001</v>
      </c>
      <c r="J607" s="16">
        <f ca="1">IFERROR(__xludf.DUMMYFUNCTION("""COMPUTED_VALUE"""),44152.6145833333)</f>
        <v>44152.614583333299</v>
      </c>
      <c r="K607" t="str">
        <f ca="1">IFERROR(__xludf.DUMMYFUNCTION("""COMPUTED_VALUE"""),"20ft Sea Ark FL5351SJ UNF 2015")</f>
        <v>20ft Sea Ark FL5351SJ UNF 2015</v>
      </c>
      <c r="M607" t="str">
        <f ca="1">IFERROR(__xludf.DUMMYFUNCTION("""COMPUTED_VALUE"""),"Ford F250 2017 (Moby Dix) - DEP0021578")</f>
        <v>Ford F250 2017 (Moby Dix) - DEP0021578</v>
      </c>
      <c r="N607" t="str">
        <f ca="1">IFERROR(__xludf.DUMMYFUNCTION("""COMPUTED_VALUE"""),"Silas Tanner, (904) 483-8423")</f>
        <v>Silas Tanner, (904) 483-8423</v>
      </c>
      <c r="O607" t="str">
        <f ca="1">IFERROR(__xludf.DUMMYFUNCTION("""COMPUTED_VALUE"""),"Alee Knoell, (619) 750-4833, Ashley reaume ")</f>
        <v xml:space="preserve">Alee Knoell, (619) 750-4833, Ashley reaume </v>
      </c>
      <c r="P607" t="str">
        <f ca="1">IFERROR(__xludf.DUMMYFUNCTION("""COMPUTED_VALUE"""),"Silas tanner")</f>
        <v>Silas tanner</v>
      </c>
      <c r="Q607" t="str">
        <f ca="1">IFERROR(__xludf.DUMMYFUNCTION("""COMPUTED_VALUE"""),"All items in working order")</f>
        <v>All items in working order</v>
      </c>
      <c r="AE607" s="11"/>
      <c r="AF607" t="str">
        <v>Shannon.Dunnigan@floridadep.gov</v>
      </c>
      <c r="AG607" s="17" t="s">
        <v>507</v>
      </c>
      <c r="AH607" s="12">
        <v>1455</v>
      </c>
      <c r="AI607" s="12" t="s">
        <v>1774</v>
      </c>
      <c r="AJ607" s="19" t="s">
        <v>1775</v>
      </c>
      <c r="AK607" s="20" t="str">
        <f>HYPERLINK("https://docs.google.com/document/d/1IUrMPD6iBY5CZuIacNfiprrWSoMydBaNlySHM8X-Ljo/edit?usp=drivesdk","Alexandria Knoell - 11/17/2020 9:00 AM")</f>
        <v>Alexandria Knoell - 11/17/2020 9:00 AM</v>
      </c>
      <c r="AL607" s="12" t="s">
        <v>1776</v>
      </c>
    </row>
    <row r="608" spans="1:38" ht="12.75">
      <c r="A608" s="10">
        <f ca="1">IFERROR(__xludf.DUMMYFUNCTION("""COMPUTED_VALUE"""),44153.7167790509)</f>
        <v>44153.716779050897</v>
      </c>
      <c r="B608" s="11" t="str">
        <f ca="1">IFERROR(__xludf.DUMMYFUNCTION("""COMPUTED_VALUE"""),"Alexandria Knoell")</f>
        <v>Alexandria Knoell</v>
      </c>
      <c r="C608" t="str">
        <f ca="1">IFERROR(__xludf.DUMMYFUNCTION("""COMPUTED_VALUE"""),"alee.knoell@floridadep.gov")</f>
        <v>alee.knoell@floridadep.gov</v>
      </c>
      <c r="D608" t="str">
        <f ca="1">IFERROR(__xludf.DUMMYFUNCTION("""COMPUTED_VALUE"""),"Shannon Dunnigan")</f>
        <v>Shannon Dunnigan</v>
      </c>
      <c r="E608" t="str">
        <f ca="1">IFERROR(__xludf.DUMMYFUNCTION("""COMPUTED_VALUE"""),"Vilano ")</f>
        <v xml:space="preserve">Vilano </v>
      </c>
      <c r="F608" s="13">
        <f ca="1">IFERROR(__xludf.DUMMYFUNCTION("""COMPUTED_VALUE"""),0.375)</f>
        <v>0.375</v>
      </c>
      <c r="G608" s="14">
        <f ca="1">IFERROR(__xludf.DUMMYFUNCTION("""COMPUTED_VALUE"""),44152)</f>
        <v>44152</v>
      </c>
      <c r="H608" t="str">
        <f ca="1">IFERROR(__xludf.DUMMYFUNCTION("""COMPUTED_VALUE"""),"Icw swmp sites")</f>
        <v>Icw swmp sites</v>
      </c>
      <c r="I608" s="15">
        <f ca="1">IFERROR(__xludf.DUMMYFUNCTION("""COMPUTED_VALUE"""),0.58333333333212)</f>
        <v>0.58333333333212001</v>
      </c>
      <c r="J608" s="16">
        <f ca="1">IFERROR(__xludf.DUMMYFUNCTION("""COMPUTED_VALUE"""),44152.6145833333)</f>
        <v>44152.614583333299</v>
      </c>
      <c r="K608" t="str">
        <f ca="1">IFERROR(__xludf.DUMMYFUNCTION("""COMPUTED_VALUE"""),"20ft Sea Ark FL5351SJ UNF 2015")</f>
        <v>20ft Sea Ark FL5351SJ UNF 2015</v>
      </c>
      <c r="M608" t="str">
        <f ca="1">IFERROR(__xludf.DUMMYFUNCTION("""COMPUTED_VALUE"""),"Ford F250 2017 (Moby Dix) - DEP0021578")</f>
        <v>Ford F250 2017 (Moby Dix) - DEP0021578</v>
      </c>
      <c r="N608" t="str">
        <f ca="1">IFERROR(__xludf.DUMMYFUNCTION("""COMPUTED_VALUE"""),"Silas Tanner, (904) 483-8423")</f>
        <v>Silas Tanner, (904) 483-8423</v>
      </c>
      <c r="O608" t="str">
        <f ca="1">IFERROR(__xludf.DUMMYFUNCTION("""COMPUTED_VALUE"""),"Alee Knoell, (619) 750-4833, Ashley reaume ")</f>
        <v xml:space="preserve">Alee Knoell, (619) 750-4833, Ashley reaume </v>
      </c>
      <c r="P608" t="str">
        <f ca="1">IFERROR(__xludf.DUMMYFUNCTION("""COMPUTED_VALUE"""),"Silas tanner")</f>
        <v>Silas tanner</v>
      </c>
      <c r="Q608" t="str">
        <f ca="1">IFERROR(__xludf.DUMMYFUNCTION("""COMPUTED_VALUE"""),"All items in working order")</f>
        <v>All items in working order</v>
      </c>
      <c r="AE608" s="11"/>
      <c r="AF608" t="str">
        <v>Shannon.Dunnigan@floridadep.gov</v>
      </c>
      <c r="AG608" s="17" t="s">
        <v>507</v>
      </c>
      <c r="AH608" s="12">
        <v>1455</v>
      </c>
      <c r="AI608" s="12" t="s">
        <v>1777</v>
      </c>
      <c r="AJ608" s="19" t="s">
        <v>1778</v>
      </c>
      <c r="AK608" s="20" t="str">
        <f>HYPERLINK("https://docs.google.com/document/d/1pgBAQ2jvyC83rl8gPNXci-lhigGemBEY5qh7x8qNjsA/edit?usp=drivesdk","Alexandria Knoell - 11/17/2020 9:00 AM")</f>
        <v>Alexandria Knoell - 11/17/2020 9:00 AM</v>
      </c>
      <c r="AL608" s="12" t="s">
        <v>1779</v>
      </c>
    </row>
    <row r="609" spans="1:38" ht="12.75">
      <c r="A609" s="10">
        <f ca="1">IFERROR(__xludf.DUMMYFUNCTION("""COMPUTED_VALUE"""),44155.3977332986)</f>
        <v>44155.397733298603</v>
      </c>
      <c r="B609" s="11" t="str">
        <f ca="1">IFERROR(__xludf.DUMMYFUNCTION("""COMPUTED_VALUE"""),"Pam Marcum")</f>
        <v>Pam Marcum</v>
      </c>
      <c r="C609" t="str">
        <f ca="1">IFERROR(__xludf.DUMMYFUNCTION("""COMPUTED_VALUE"""),"pamela.marcum@floridadep.gov")</f>
        <v>pamela.marcum@floridadep.gov</v>
      </c>
      <c r="D609" t="str">
        <f ca="1">IFERROR(__xludf.DUMMYFUNCTION("""COMPUTED_VALUE"""),"Shannon Dunnigan")</f>
        <v>Shannon Dunnigan</v>
      </c>
      <c r="E609" t="str">
        <f ca="1">IFERROR(__xludf.DUMMYFUNCTION("""COMPUTED_VALUE"""),"Shore Dr")</f>
        <v>Shore Dr</v>
      </c>
      <c r="F609" s="13">
        <f ca="1">IFERROR(__xludf.DUMMYFUNCTION("""COMPUTED_VALUE"""),0.39583333333212)</f>
        <v>0.39583333333212001</v>
      </c>
      <c r="G609" s="14">
        <f ca="1">IFERROR(__xludf.DUMMYFUNCTION("""COMPUTED_VALUE"""),44155)</f>
        <v>44155</v>
      </c>
      <c r="H609" t="str">
        <f ca="1">IFERROR(__xludf.DUMMYFUNCTION("""COMPUTED_VALUE"""),"Gabby's Creek")</f>
        <v>Gabby's Creek</v>
      </c>
      <c r="I609" s="15">
        <f ca="1">IFERROR(__xludf.DUMMYFUNCTION("""COMPUTED_VALUE"""),0.541666666667879)</f>
        <v>0.54166666666787899</v>
      </c>
      <c r="J609" s="16">
        <f ca="1">IFERROR(__xludf.DUMMYFUNCTION("""COMPUTED_VALUE"""),44155.5833333333)</f>
        <v>44155.583333333299</v>
      </c>
      <c r="K609" t="str">
        <f ca="1">IFERROR(__xludf.DUMMYFUNCTION("""COMPUTED_VALUE"""),"20ft Sea Ark FL5351SJ UNF 2015")</f>
        <v>20ft Sea Ark FL5351SJ UNF 2015</v>
      </c>
      <c r="M609" t="str">
        <f ca="1">IFERROR(__xludf.DUMMYFUNCTION("""COMPUTED_VALUE"""),"Ford F150 2015 (White) - DEP21448")</f>
        <v>Ford F150 2015 (White) - DEP21448</v>
      </c>
      <c r="N609" t="str">
        <f ca="1">IFERROR(__xludf.DUMMYFUNCTION("""COMPUTED_VALUE"""),"Pam Marcum, (480) 332-5414, Gabby Canas")</f>
        <v>Pam Marcum, (480) 332-5414, Gabby Canas</v>
      </c>
      <c r="P609" t="str">
        <f ca="1">IFERROR(__xludf.DUMMYFUNCTION("""COMPUTED_VALUE"""),"Pam")</f>
        <v>Pam</v>
      </c>
      <c r="Q609" t="str">
        <f ca="1">IFERROR(__xludf.DUMMYFUNCTION("""COMPUTED_VALUE"""),"All items in working order")</f>
        <v>All items in working order</v>
      </c>
      <c r="AE609" s="11"/>
      <c r="AF609" t="str">
        <v>Shannon.Dunnigan@floridadep.gov</v>
      </c>
      <c r="AG609" s="17" t="s">
        <v>507</v>
      </c>
      <c r="AH609" s="12">
        <v>1307</v>
      </c>
      <c r="AI609" s="12" t="s">
        <v>1780</v>
      </c>
      <c r="AJ609" s="19" t="s">
        <v>1781</v>
      </c>
      <c r="AK609" s="20" t="str">
        <f>HYPERLINK("https://docs.google.com/document/d/1IpCUNTz-nrXo0XbxdOBvyZNhJC-jeDY3gBX6TvO3BIs/edit?usp=drivesdk","Pam Marcum - 11/20/2020 9:30 AM")</f>
        <v>Pam Marcum - 11/20/2020 9:30 AM</v>
      </c>
      <c r="AL609" s="12" t="s">
        <v>1782</v>
      </c>
    </row>
    <row r="610" spans="1:38" ht="12.75">
      <c r="A610" s="10">
        <f ca="1">IFERROR(__xludf.DUMMYFUNCTION("""COMPUTED_VALUE"""),44165.4827342129)</f>
        <v>44165.482734212899</v>
      </c>
      <c r="B610" s="11" t="str">
        <f ca="1">IFERROR(__xludf.DUMMYFUNCTION("""COMPUTED_VALUE"""),"Pamela Marcum")</f>
        <v>Pamela Marcum</v>
      </c>
      <c r="C610" t="str">
        <f ca="1">IFERROR(__xludf.DUMMYFUNCTION("""COMPUTED_VALUE"""),"pamela.marcum@floridadep.gov")</f>
        <v>pamela.marcum@floridadep.gov</v>
      </c>
      <c r="D610" t="str">
        <f ca="1">IFERROR(__xludf.DUMMYFUNCTION("""COMPUTED_VALUE"""),"Nikki Dix")</f>
        <v>Nikki Dix</v>
      </c>
      <c r="F610" s="13">
        <f ca="1">IFERROR(__xludf.DUMMYFUNCTION("""COMPUTED_VALUE"""),0.479166666667879)</f>
        <v>0.47916666666787899</v>
      </c>
      <c r="G610" s="14">
        <f ca="1">IFERROR(__xludf.DUMMYFUNCTION("""COMPUTED_VALUE"""),44165)</f>
        <v>44165</v>
      </c>
      <c r="H610" t="str">
        <f ca="1">IFERROR(__xludf.DUMMYFUNCTION("""COMPUTED_VALUE"""),"SA FM spat trees")</f>
        <v>SA FM spat trees</v>
      </c>
      <c r="I610" s="15">
        <f ca="1">IFERROR(__xludf.DUMMYFUNCTION("""COMPUTED_VALUE"""),0.625)</f>
        <v>0.625</v>
      </c>
      <c r="J610" s="16">
        <f ca="1">IFERROR(__xludf.DUMMYFUNCTION("""COMPUTED_VALUE"""),44165.6666666666)</f>
        <v>44165.666666666599</v>
      </c>
      <c r="K610" t="str">
        <f ca="1">IFERROR(__xludf.DUMMYFUNCTION("""COMPUTED_VALUE"""),"23ft Skiff (Bertha) FL7972LJ DEP07613")</f>
        <v>23ft Skiff (Bertha) FL7972LJ DEP07613</v>
      </c>
      <c r="M610" t="str">
        <f ca="1">IFERROR(__xludf.DUMMYFUNCTION("""COMPUTED_VALUE"""),"Ford F250 2017 (Moby Dix) - DEP0021578")</f>
        <v>Ford F250 2017 (Moby Dix) - DEP0021578</v>
      </c>
      <c r="N610" t="str">
        <f ca="1">IFERROR(__xludf.DUMMYFUNCTION("""COMPUTED_VALUE"""),"Pam Marcum, (480) 332-5414")</f>
        <v>Pam Marcum, (480) 332-5414</v>
      </c>
      <c r="O610" t="str">
        <f ca="1">IFERROR(__xludf.DUMMYFUNCTION("""COMPUTED_VALUE"""),"Allix North")</f>
        <v>Allix North</v>
      </c>
      <c r="P610" t="str">
        <f ca="1">IFERROR(__xludf.DUMMYFUNCTION("""COMPUTED_VALUE"""),"Pam")</f>
        <v>Pam</v>
      </c>
      <c r="Q610" t="str">
        <f ca="1">IFERROR(__xludf.DUMMYFUNCTION("""COMPUTED_VALUE"""),"All items in working order")</f>
        <v>All items in working order</v>
      </c>
      <c r="AE610" s="11"/>
      <c r="AF610" t="str">
        <v>Nikki.Dix@floridadep.gov</v>
      </c>
      <c r="AG610" s="17" t="s">
        <v>41</v>
      </c>
      <c r="AH610" s="12">
        <v>1441</v>
      </c>
      <c r="AI610" s="12" t="s">
        <v>1783</v>
      </c>
      <c r="AJ610" s="19" t="s">
        <v>1784</v>
      </c>
      <c r="AK610" s="20" t="str">
        <f>HYPERLINK("https://docs.google.com/document/d/1E-CD4sjerVVgprVtUwd_KzPzxuQxMZpRHPM_P2PT2i8/edit?usp=drivesdk","Pamela Marcum - 11/30/2020 11:30 AM")</f>
        <v>Pamela Marcum - 11/30/2020 11:30 AM</v>
      </c>
      <c r="AL610" s="12" t="s">
        <v>1785</v>
      </c>
    </row>
    <row r="611" spans="1:38" ht="12.75">
      <c r="A611" s="10">
        <f ca="1">IFERROR(__xludf.DUMMYFUNCTION("""COMPUTED_VALUE"""),44165.5035549768)</f>
        <v>44165.5035549768</v>
      </c>
      <c r="B611" s="11" t="str">
        <f ca="1">IFERROR(__xludf.DUMMYFUNCTION("""COMPUTED_VALUE"""),"Alexandria Knoell")</f>
        <v>Alexandria Knoell</v>
      </c>
      <c r="C611" t="str">
        <f ca="1">IFERROR(__xludf.DUMMYFUNCTION("""COMPUTED_VALUE"""),"alee.knoell@floridadep.gov")</f>
        <v>alee.knoell@floridadep.gov</v>
      </c>
      <c r="D611" t="str">
        <f ca="1">IFERROR(__xludf.DUMMYFUNCTION("""COMPUTED_VALUE"""),"Shannon Dunnigan")</f>
        <v>Shannon Dunnigan</v>
      </c>
      <c r="E611" t="str">
        <f ca="1">IFERROR(__xludf.DUMMYFUNCTION("""COMPUTED_VALUE"""),"Vilano")</f>
        <v>Vilano</v>
      </c>
      <c r="F611" s="13">
        <f ca="1">IFERROR(__xludf.DUMMYFUNCTION("""COMPUTED_VALUE"""),0.5)</f>
        <v>0.5</v>
      </c>
      <c r="G611" s="14">
        <f ca="1">IFERROR(__xludf.DUMMYFUNCTION("""COMPUTED_VALUE"""),44165)</f>
        <v>44165</v>
      </c>
      <c r="H611" t="str">
        <f ca="1">IFERROR(__xludf.DUMMYFUNCTION("""COMPUTED_VALUE"""),"Spat")</f>
        <v>Spat</v>
      </c>
      <c r="I611" s="15">
        <f ca="1">IFERROR(__xludf.DUMMYFUNCTION("""COMPUTED_VALUE"""),0.625)</f>
        <v>0.625</v>
      </c>
      <c r="J611" s="16">
        <f ca="1">IFERROR(__xludf.DUMMYFUNCTION("""COMPUTED_VALUE"""),44165.65625)</f>
        <v>44165.65625</v>
      </c>
      <c r="K611" t="str">
        <f ca="1">IFERROR(__xludf.DUMMYFUNCTION("""COMPUTED_VALUE"""),"20ft Sea Ark FL5351SJ UNF 2015")</f>
        <v>20ft Sea Ark FL5351SJ UNF 2015</v>
      </c>
      <c r="M611" t="str">
        <f ca="1">IFERROR(__xludf.DUMMYFUNCTION("""COMPUTED_VALUE"""),"Ford F150 2015 (White) - DEP21448")</f>
        <v>Ford F150 2015 (White) - DEP21448</v>
      </c>
      <c r="N611" t="str">
        <f ca="1">IFERROR(__xludf.DUMMYFUNCTION("""COMPUTED_VALUE"""),"Remo")</f>
        <v>Remo</v>
      </c>
      <c r="O611" t="str">
        <f ca="1">IFERROR(__xludf.DUMMYFUNCTION("""COMPUTED_VALUE"""),"Alee Knoell, (619) 750-4833")</f>
        <v>Alee Knoell, (619) 750-4833</v>
      </c>
      <c r="P611" t="str">
        <f ca="1">IFERROR(__xludf.DUMMYFUNCTION("""COMPUTED_VALUE"""),"Alee")</f>
        <v>Alee</v>
      </c>
      <c r="Q611" t="str">
        <f ca="1">IFERROR(__xludf.DUMMYFUNCTION("""COMPUTED_VALUE"""),"All items in working order")</f>
        <v>All items in working order</v>
      </c>
      <c r="AE611" s="11"/>
      <c r="AF611" t="str">
        <v>Shannon.Dunnigan@floridadep.gov</v>
      </c>
      <c r="AG611" s="17" t="s">
        <v>507</v>
      </c>
      <c r="AH611" s="12">
        <v>1454</v>
      </c>
      <c r="AI611" s="12" t="s">
        <v>1786</v>
      </c>
      <c r="AJ611" s="19" t="s">
        <v>1787</v>
      </c>
      <c r="AK611" s="20" t="str">
        <f>HYPERLINK("https://docs.google.com/document/d/1BayLoGvRo559NKAvGkryO6cFBrH2QW_I_JveRWh6FV4/edit?usp=drivesdk","Alexandria Knoell - 11/30/2020 12:00 PM")</f>
        <v>Alexandria Knoell - 11/30/2020 12:00 PM</v>
      </c>
      <c r="AL611" s="12" t="s">
        <v>1788</v>
      </c>
    </row>
    <row r="612" spans="1:38" ht="12.75">
      <c r="A612" s="10">
        <f ca="1">IFERROR(__xludf.DUMMYFUNCTION("""COMPUTED_VALUE"""),44166.3424239004)</f>
        <v>44166.342423900402</v>
      </c>
      <c r="B612" s="11" t="str">
        <f ca="1">IFERROR(__xludf.DUMMYFUNCTION("""COMPUTED_VALUE"""),"Silas Tanner")</f>
        <v>Silas Tanner</v>
      </c>
      <c r="C612" t="str">
        <f ca="1">IFERROR(__xludf.DUMMYFUNCTION("""COMPUTED_VALUE"""),"silas.tanner@floridadep.gov")</f>
        <v>silas.tanner@floridadep.gov</v>
      </c>
      <c r="D612" t="str">
        <f ca="1">IFERROR(__xludf.DUMMYFUNCTION("""COMPUTED_VALUE"""),"Nikki Dix")</f>
        <v>Nikki Dix</v>
      </c>
      <c r="E612" t="str">
        <f ca="1">IFERROR(__xludf.DUMMYFUNCTION("""COMPUTED_VALUE"""),"Green Road, Vilano, Aunt Kates")</f>
        <v>Green Road, Vilano, Aunt Kates</v>
      </c>
      <c r="F612" s="13">
        <f ca="1">IFERROR(__xludf.DUMMYFUNCTION("""COMPUTED_VALUE"""),0.39583333333212)</f>
        <v>0.39583333333212001</v>
      </c>
      <c r="G612" s="14">
        <f ca="1">IFERROR(__xludf.DUMMYFUNCTION("""COMPUTED_VALUE"""),44166)</f>
        <v>44166</v>
      </c>
      <c r="H612" t="str">
        <f ca="1">IFERROR(__xludf.DUMMYFUNCTION("""COMPUTED_VALUE"""),"ICW SWMP Sites")</f>
        <v>ICW SWMP Sites</v>
      </c>
      <c r="I612" s="15">
        <f ca="1">IFERROR(__xludf.DUMMYFUNCTION("""COMPUTED_VALUE"""),0.625)</f>
        <v>0.625</v>
      </c>
      <c r="J612" s="16">
        <f ca="1">IFERROR(__xludf.DUMMYFUNCTION("""COMPUTED_VALUE"""),44166.6458333333)</f>
        <v>44166.645833333299</v>
      </c>
      <c r="K612" t="str">
        <f ca="1">IFERROR(__xludf.DUMMYFUNCTION("""COMPUTED_VALUE"""),"20ft Sea Ark FL5351SJ UNF 2015")</f>
        <v>20ft Sea Ark FL5351SJ UNF 2015</v>
      </c>
      <c r="M612" t="str">
        <f ca="1">IFERROR(__xludf.DUMMYFUNCTION("""COMPUTED_VALUE"""),"Ford F150 2015 (White) - DEP21448")</f>
        <v>Ford F150 2015 (White) - DEP21448</v>
      </c>
      <c r="N612" t="str">
        <f ca="1">IFERROR(__xludf.DUMMYFUNCTION("""COMPUTED_VALUE"""),"Silas Tanner, (904) 483-8423")</f>
        <v>Silas Tanner, (904) 483-8423</v>
      </c>
      <c r="O612" t="str">
        <f ca="1">IFERROR(__xludf.DUMMYFUNCTION("""COMPUTED_VALUE"""),"Alee Knoell, (619) 750-4833")</f>
        <v>Alee Knoell, (619) 750-4833</v>
      </c>
      <c r="P612" t="str">
        <f ca="1">IFERROR(__xludf.DUMMYFUNCTION("""COMPUTED_VALUE"""),"S Tanner")</f>
        <v>S Tanner</v>
      </c>
      <c r="Q612" t="str">
        <f ca="1">IFERROR(__xludf.DUMMYFUNCTION("""COMPUTED_VALUE"""),"All items in working order")</f>
        <v>All items in working order</v>
      </c>
      <c r="AE612" s="11"/>
      <c r="AF612" t="str">
        <v>Nikki.Dix@floridadep.gov</v>
      </c>
      <c r="AG612" s="17" t="s">
        <v>41</v>
      </c>
      <c r="AH612" s="12">
        <v>1619</v>
      </c>
      <c r="AI612" s="12" t="s">
        <v>1789</v>
      </c>
      <c r="AJ612" s="19" t="s">
        <v>1790</v>
      </c>
      <c r="AK612" s="20" t="str">
        <f>HYPERLINK("https://docs.google.com/document/d/1Wbjnn0Vhj7oSUtgx1TRihhEjbS0AcCtX1r8B6Sbu4GM/edit?usp=drivesdk","Silas Tanner - 12/1/2020 9:30 AM")</f>
        <v>Silas Tanner - 12/1/2020 9:30 AM</v>
      </c>
      <c r="AL612" s="12" t="s">
        <v>1791</v>
      </c>
    </row>
    <row r="613" spans="1:38" ht="12.75">
      <c r="A613" s="10">
        <f ca="1">IFERROR(__xludf.DUMMYFUNCTION("""COMPUTED_VALUE"""),44166.377422037)</f>
        <v>44166.377422037003</v>
      </c>
      <c r="B613" s="11" t="str">
        <f ca="1">IFERROR(__xludf.DUMMYFUNCTION("""COMPUTED_VALUE"""),"Jessica Lee")</f>
        <v>Jessica Lee</v>
      </c>
      <c r="C613" t="str">
        <f ca="1">IFERROR(__xludf.DUMMYFUNCTION("""COMPUTED_VALUE"""),"jessica.lee@floridadep.gov")</f>
        <v>jessica.lee@floridadep.gov</v>
      </c>
      <c r="D613" t="str">
        <f ca="1">IFERROR(__xludf.DUMMYFUNCTION("""COMPUTED_VALUE"""),"Nikki Dix")</f>
        <v>Nikki Dix</v>
      </c>
      <c r="E613" t="str">
        <f ca="1">IFERROR(__xludf.DUMMYFUNCTION("""COMPUTED_VALUE"""),"Guana River")</f>
        <v>Guana River</v>
      </c>
      <c r="F613" s="13">
        <f ca="1">IFERROR(__xludf.DUMMYFUNCTION("""COMPUTED_VALUE"""),0.39583333333212)</f>
        <v>0.39583333333212001</v>
      </c>
      <c r="G613" s="14">
        <f ca="1">IFERROR(__xludf.DUMMYFUNCTION("""COMPUTED_VALUE"""),44166)</f>
        <v>44166</v>
      </c>
      <c r="H613" t="str">
        <f ca="1">IFERROR(__xludf.DUMMYFUNCTION("""COMPUTED_VALUE"""),"Guana River")</f>
        <v>Guana River</v>
      </c>
      <c r="I613" s="15">
        <f ca="1">IFERROR(__xludf.DUMMYFUNCTION("""COMPUTED_VALUE"""),0.479166666667879)</f>
        <v>0.47916666666787899</v>
      </c>
      <c r="J613" s="16">
        <f ca="1">IFERROR(__xludf.DUMMYFUNCTION("""COMPUTED_VALUE"""),44166.5)</f>
        <v>44166.5</v>
      </c>
      <c r="K613" t="str">
        <f ca="1">IFERROR(__xludf.DUMMYFUNCTION("""COMPUTED_VALUE"""),"Jon Boat 1 FL5992RR DEP154045")</f>
        <v>Jon Boat 1 FL5992RR DEP154045</v>
      </c>
      <c r="M613" t="str">
        <f ca="1">IFERROR(__xludf.DUMMYFUNCTION("""COMPUTED_VALUE"""),"Ford F250 2017 (Moby Dix) - DEP0021578")</f>
        <v>Ford F250 2017 (Moby Dix) - DEP0021578</v>
      </c>
      <c r="N613" t="str">
        <f ca="1">IFERROR(__xludf.DUMMYFUNCTION("""COMPUTED_VALUE"""),"Jessica Lee")</f>
        <v>Jessica Lee</v>
      </c>
      <c r="O613" t="str">
        <f ca="1">IFERROR(__xludf.DUMMYFUNCTION("""COMPUTED_VALUE"""),"Erin Ticr")</f>
        <v>Erin Ticr</v>
      </c>
      <c r="P613" t="str">
        <f ca="1">IFERROR(__xludf.DUMMYFUNCTION("""COMPUTED_VALUE"""),"Jessica Lee")</f>
        <v>Jessica Lee</v>
      </c>
      <c r="Q613" t="str">
        <f ca="1">IFERROR(__xludf.DUMMYFUNCTION("""COMPUTED_VALUE"""),"All items in working order")</f>
        <v>All items in working order</v>
      </c>
      <c r="AE613" s="11"/>
      <c r="AF613" t="str">
        <v>Nikki.Dix@floridadep.gov</v>
      </c>
      <c r="AG613" s="17" t="s">
        <v>41</v>
      </c>
      <c r="AH613" s="12">
        <v>1126</v>
      </c>
      <c r="AI613" s="12" t="s">
        <v>1792</v>
      </c>
      <c r="AJ613" s="19" t="s">
        <v>1793</v>
      </c>
      <c r="AK613" s="20" t="str">
        <f>HYPERLINK("https://docs.google.com/document/d/1BJmSLkKjFx_1sCbe0kzJ1-dpaH0_WwRn3EE7cA5XpV8/edit?usp=drivesdk","Jessica Lee - 12/1/2020 9:30 AM")</f>
        <v>Jessica Lee - 12/1/2020 9:30 AM</v>
      </c>
      <c r="AL613" s="12" t="s">
        <v>1794</v>
      </c>
    </row>
    <row r="614" spans="1:38" ht="12.75">
      <c r="A614" s="10">
        <f ca="1">IFERROR(__xludf.DUMMYFUNCTION("""COMPUTED_VALUE"""),44173.3744133333)</f>
        <v>44173.374413333302</v>
      </c>
      <c r="B614" s="11" t="str">
        <f ca="1">IFERROR(__xludf.DUMMYFUNCTION("""COMPUTED_VALUE"""),"Pamela Marcum")</f>
        <v>Pamela Marcum</v>
      </c>
      <c r="C614" t="str">
        <f ca="1">IFERROR(__xludf.DUMMYFUNCTION("""COMPUTED_VALUE"""),"pamela.marcum@floridadep.gov")</f>
        <v>pamela.marcum@floridadep.gov</v>
      </c>
      <c r="D614" t="str">
        <f ca="1">IFERROR(__xludf.DUMMYFUNCTION("""COMPUTED_VALUE"""),"Nikki Dix")</f>
        <v>Nikki Dix</v>
      </c>
      <c r="E614" t="str">
        <f ca="1">IFERROR(__xludf.DUMMYFUNCTION("""COMPUTED_VALUE"""),"Palm Valley")</f>
        <v>Palm Valley</v>
      </c>
      <c r="F614" s="13">
        <f ca="1">IFERROR(__xludf.DUMMYFUNCTION("""COMPUTED_VALUE"""),0.354166666667879)</f>
        <v>0.35416666666787899</v>
      </c>
      <c r="G614" s="14">
        <f ca="1">IFERROR(__xludf.DUMMYFUNCTION("""COMPUTED_VALUE"""),44173)</f>
        <v>44173</v>
      </c>
      <c r="H614" t="str">
        <f ca="1">IFERROR(__xludf.DUMMYFUNCTION("""COMPUTED_VALUE"""),"Angelini Northern Site")</f>
        <v>Angelini Northern Site</v>
      </c>
      <c r="I614" s="15">
        <f ca="1">IFERROR(__xludf.DUMMYFUNCTION("""COMPUTED_VALUE"""),0.5)</f>
        <v>0.5</v>
      </c>
      <c r="J614" s="16">
        <f ca="1">IFERROR(__xludf.DUMMYFUNCTION("""COMPUTED_VALUE"""),44173.5)</f>
        <v>44173.5</v>
      </c>
      <c r="K614" t="str">
        <f ca="1">IFERROR(__xludf.DUMMYFUNCTION("""COMPUTED_VALUE"""),"23ft Skiff (Bertha) FL7972LJ DEP07613")</f>
        <v>23ft Skiff (Bertha) FL7972LJ DEP07613</v>
      </c>
      <c r="M614" t="str">
        <f ca="1">IFERROR(__xludf.DUMMYFUNCTION("""COMPUTED_VALUE"""),"Ford F150 2015 (White) - DEP21448")</f>
        <v>Ford F150 2015 (White) - DEP21448</v>
      </c>
      <c r="N614" t="str">
        <f ca="1">IFERROR(__xludf.DUMMYFUNCTION("""COMPUTED_VALUE"""),"Pam Marcum, (480) 332-5414, Jimmy Tomazinis, (904) 547-0094")</f>
        <v>Pam Marcum, (480) 332-5414, Jimmy Tomazinis, (904) 547-0094</v>
      </c>
      <c r="O614" t="str">
        <f ca="1">IFERROR(__xludf.DUMMYFUNCTION("""COMPUTED_VALUE"""),"Patrick Norby")</f>
        <v>Patrick Norby</v>
      </c>
      <c r="P614" t="str">
        <f ca="1">IFERROR(__xludf.DUMMYFUNCTION("""COMPUTED_VALUE"""),"Jimmy")</f>
        <v>Jimmy</v>
      </c>
      <c r="Q614" t="str">
        <f ca="1">IFERROR(__xludf.DUMMYFUNCTION("""COMPUTED_VALUE"""),"All items in working order")</f>
        <v>All items in working order</v>
      </c>
      <c r="AE614" s="11"/>
      <c r="AF614" t="str">
        <v>Nikki.Dix@floridadep.gov</v>
      </c>
      <c r="AG614" s="17" t="s">
        <v>41</v>
      </c>
      <c r="AH614" s="12">
        <v>1146</v>
      </c>
      <c r="AI614" s="12" t="s">
        <v>1795</v>
      </c>
      <c r="AJ614" s="19" t="s">
        <v>1796</v>
      </c>
      <c r="AK614" s="20" t="str">
        <f>HYPERLINK("https://docs.google.com/document/d/1D5NuM5QHMUNjLHTG_vM5TPItsGAlpEoiW1qb3GRSDpo/edit?usp=drivesdk","Pamela Marcum - 12/8/2020 8:30 AM")</f>
        <v>Pamela Marcum - 12/8/2020 8:30 AM</v>
      </c>
      <c r="AL614" s="12" t="s">
        <v>1797</v>
      </c>
    </row>
    <row r="615" spans="1:38" ht="12.75">
      <c r="A615" s="10">
        <f ca="1">IFERROR(__xludf.DUMMYFUNCTION("""COMPUTED_VALUE"""),44173.5056762615)</f>
        <v>44173.505676261499</v>
      </c>
      <c r="B615" s="11" t="str">
        <f ca="1">IFERROR(__xludf.DUMMYFUNCTION("""COMPUTED_VALUE"""),"Pamela Marcum")</f>
        <v>Pamela Marcum</v>
      </c>
      <c r="C615" t="str">
        <f ca="1">IFERROR(__xludf.DUMMYFUNCTION("""COMPUTED_VALUE"""),"Pamela.Marcum@floridadep.gov")</f>
        <v>Pamela.Marcum@floridadep.gov</v>
      </c>
      <c r="D615" t="str">
        <f ca="1">IFERROR(__xludf.DUMMYFUNCTION("""COMPUTED_VALUE"""),"Nikki Dix")</f>
        <v>Nikki Dix</v>
      </c>
      <c r="E615" t="str">
        <f ca="1">IFERROR(__xludf.DUMMYFUNCTION("""COMPUTED_VALUE"""),"Palm Valley")</f>
        <v>Palm Valley</v>
      </c>
      <c r="F615" s="13">
        <f ca="1">IFERROR(__xludf.DUMMYFUNCTION("""COMPUTED_VALUE"""),0.504166666665696)</f>
        <v>0.50416666666569598</v>
      </c>
      <c r="G615" s="14">
        <f ca="1">IFERROR(__xludf.DUMMYFUNCTION("""COMPUTED_VALUE"""),44173)</f>
        <v>44173</v>
      </c>
      <c r="H615" t="str">
        <f ca="1">IFERROR(__xludf.DUMMYFUNCTION("""COMPUTED_VALUE"""),"Pine Island veg site")</f>
        <v>Pine Island veg site</v>
      </c>
      <c r="I615" s="15">
        <f ca="1">IFERROR(__xludf.DUMMYFUNCTION("""COMPUTED_VALUE"""),0.58333333333212)</f>
        <v>0.58333333333212001</v>
      </c>
      <c r="J615" s="16">
        <f ca="1">IFERROR(__xludf.DUMMYFUNCTION("""COMPUTED_VALUE"""),44173.625)</f>
        <v>44173.625</v>
      </c>
      <c r="K615" t="str">
        <f ca="1">IFERROR(__xludf.DUMMYFUNCTION("""COMPUTED_VALUE"""),"23ft Skiff (Bertha) FL7972LJ DEP07613")</f>
        <v>23ft Skiff (Bertha) FL7972LJ DEP07613</v>
      </c>
      <c r="M615" t="str">
        <f ca="1">IFERROR(__xludf.DUMMYFUNCTION("""COMPUTED_VALUE"""),"Ford F150 2015 (White) - DEP21448")</f>
        <v>Ford F150 2015 (White) - DEP21448</v>
      </c>
      <c r="N615" t="str">
        <f ca="1">IFERROR(__xludf.DUMMYFUNCTION("""COMPUTED_VALUE"""),"Pam Marcum, (480) 332-5414")</f>
        <v>Pam Marcum, (480) 332-5414</v>
      </c>
      <c r="O615" t="str">
        <f ca="1">IFERROR(__xludf.DUMMYFUNCTION("""COMPUTED_VALUE"""),"Alee Knoell, (619) 750-4833")</f>
        <v>Alee Knoell, (619) 750-4833</v>
      </c>
      <c r="P615" t="str">
        <f ca="1">IFERROR(__xludf.DUMMYFUNCTION("""COMPUTED_VALUE"""),"Pam")</f>
        <v>Pam</v>
      </c>
      <c r="Q615" t="str">
        <f ca="1">IFERROR(__xludf.DUMMYFUNCTION("""COMPUTED_VALUE"""),"All items in working order")</f>
        <v>All items in working order</v>
      </c>
      <c r="AE615" s="11"/>
      <c r="AF615" t="str">
        <v>Nikki.Dix@floridadep.gov</v>
      </c>
      <c r="AG615" s="17" t="s">
        <v>41</v>
      </c>
      <c r="AH615" s="12">
        <v>1341</v>
      </c>
      <c r="AI615" s="12" t="s">
        <v>1798</v>
      </c>
      <c r="AJ615" s="19" t="s">
        <v>1799</v>
      </c>
      <c r="AK615" s="20" t="str">
        <f>HYPERLINK("https://docs.google.com/document/d/1aTQ7YGe3tRxlPJOg63njfYo7QZVK1-wqIRVEKZ5pioA/edit?usp=drivesdk","Pamela Marcum - 12/8/2020 12:06 PM")</f>
        <v>Pamela Marcum - 12/8/2020 12:06 PM</v>
      </c>
      <c r="AL615" s="12" t="s">
        <v>1800</v>
      </c>
    </row>
    <row r="616" spans="1:38" ht="12.75">
      <c r="A616" s="10">
        <f ca="1">IFERROR(__xludf.DUMMYFUNCTION("""COMPUTED_VALUE"""),44174.5758160416)</f>
        <v>44174.575816041601</v>
      </c>
      <c r="B616" s="11" t="str">
        <f ca="1">IFERROR(__xludf.DUMMYFUNCTION("""COMPUTED_VALUE"""),"Pam Marcum")</f>
        <v>Pam Marcum</v>
      </c>
      <c r="C616" t="str">
        <f ca="1">IFERROR(__xludf.DUMMYFUNCTION("""COMPUTED_VALUE"""),"pamela.marcum@dep.state.fl.us")</f>
        <v>pamela.marcum@dep.state.fl.us</v>
      </c>
      <c r="D616" t="str">
        <f ca="1">IFERROR(__xludf.DUMMYFUNCTION("""COMPUTED_VALUE"""),"Nikki Dix")</f>
        <v>Nikki Dix</v>
      </c>
      <c r="E616" t="str">
        <f ca="1">IFERROR(__xludf.DUMMYFUNCTION("""COMPUTED_VALUE"""),"Palm valley")</f>
        <v>Palm valley</v>
      </c>
      <c r="F616" s="13">
        <f ca="1">IFERROR(__xludf.DUMMYFUNCTION("""COMPUTED_VALUE"""),0.572916666667879)</f>
        <v>0.57291666666787899</v>
      </c>
      <c r="G616" s="14">
        <f ca="1">IFERROR(__xludf.DUMMYFUNCTION("""COMPUTED_VALUE"""),44174)</f>
        <v>44174</v>
      </c>
      <c r="H616" t="str">
        <f ca="1">IFERROR(__xludf.DUMMYFUNCTION("""COMPUTED_VALUE"""),"Pine island")</f>
        <v>Pine island</v>
      </c>
      <c r="I616" s="15">
        <f ca="1">IFERROR(__xludf.DUMMYFUNCTION("""COMPUTED_VALUE"""),0.61458333333212)</f>
        <v>0.61458333333212001</v>
      </c>
      <c r="J616" s="16">
        <f ca="1">IFERROR(__xludf.DUMMYFUNCTION("""COMPUTED_VALUE"""),44174.6458333333)</f>
        <v>44174.645833333299</v>
      </c>
      <c r="K616" t="str">
        <f ca="1">IFERROR(__xludf.DUMMYFUNCTION("""COMPUTED_VALUE"""),"23ft Skiff (Bertha) FL7972LJ DEP07613")</f>
        <v>23ft Skiff (Bertha) FL7972LJ DEP07613</v>
      </c>
      <c r="M616" t="str">
        <f ca="1">IFERROR(__xludf.DUMMYFUNCTION("""COMPUTED_VALUE"""),"Ford F150 2015 (White) - DEP21448")</f>
        <v>Ford F150 2015 (White) - DEP21448</v>
      </c>
      <c r="N616" t="str">
        <f ca="1">IFERROR(__xludf.DUMMYFUNCTION("""COMPUTED_VALUE"""),"Pam Marcum, (480) 332-5414")</f>
        <v>Pam Marcum, (480) 332-5414</v>
      </c>
      <c r="O616" t="str">
        <f ca="1">IFERROR(__xludf.DUMMYFUNCTION("""COMPUTED_VALUE"""),"Alee Knoell, (619) 750-4833")</f>
        <v>Alee Knoell, (619) 750-4833</v>
      </c>
      <c r="P616" t="str">
        <f ca="1">IFERROR(__xludf.DUMMYFUNCTION("""COMPUTED_VALUE"""),"Pam")</f>
        <v>Pam</v>
      </c>
      <c r="Q616" t="str">
        <f ca="1">IFERROR(__xludf.DUMMYFUNCTION("""COMPUTED_VALUE"""),"All items in working order")</f>
        <v>All items in working order</v>
      </c>
      <c r="AE616" s="11"/>
      <c r="AF616" t="str">
        <v>Nikki.Dix@floridadep.gov</v>
      </c>
      <c r="AG616" s="17" t="s">
        <v>41</v>
      </c>
      <c r="AH616" s="12">
        <v>1438</v>
      </c>
      <c r="AI616" s="12" t="s">
        <v>1801</v>
      </c>
      <c r="AJ616" s="19" t="s">
        <v>1802</v>
      </c>
      <c r="AK616" s="20" t="str">
        <f>HYPERLINK("https://docs.google.com/document/d/1zfmqUNOfTYidIxcf3bAjnFIUUuYEyrKzNa1zayl2VXc/edit?usp=drivesdk","Pam Marcum - 12/9/2020 1:45 PM")</f>
        <v>Pam Marcum - 12/9/2020 1:45 PM</v>
      </c>
      <c r="AL616" s="12" t="s">
        <v>1803</v>
      </c>
    </row>
    <row r="617" spans="1:38" ht="12.75">
      <c r="A617" s="10">
        <f ca="1">IFERROR(__xludf.DUMMYFUNCTION("""COMPUTED_VALUE"""),44180.6589300115)</f>
        <v>44180.658930011501</v>
      </c>
      <c r="B617" s="11" t="str">
        <f ca="1">IFERROR(__xludf.DUMMYFUNCTION("""COMPUTED_VALUE"""),"Silas Tanner")</f>
        <v>Silas Tanner</v>
      </c>
      <c r="C617" t="str">
        <f ca="1">IFERROR(__xludf.DUMMYFUNCTION("""COMPUTED_VALUE"""),"silas.tanner@floridadep.gov")</f>
        <v>silas.tanner@floridadep.gov</v>
      </c>
      <c r="D617" t="str">
        <f ca="1">IFERROR(__xludf.DUMMYFUNCTION("""COMPUTED_VALUE"""),"Nikki Dix")</f>
        <v>Nikki Dix</v>
      </c>
      <c r="E617" t="str">
        <f ca="1">IFERROR(__xludf.DUMMYFUNCTION("""COMPUTED_VALUE"""),"Vilano Landing")</f>
        <v>Vilano Landing</v>
      </c>
      <c r="F617" s="13">
        <f ca="1">IFERROR(__xludf.DUMMYFUNCTION("""COMPUTED_VALUE"""),0.291666666667879)</f>
        <v>0.29166666666787899</v>
      </c>
      <c r="G617" s="14">
        <f ca="1">IFERROR(__xludf.DUMMYFUNCTION("""COMPUTED_VALUE"""),44181)</f>
        <v>44181</v>
      </c>
      <c r="H617" t="str">
        <f ca="1">IFERROR(__xludf.DUMMYFUNCTION("""COMPUTED_VALUE"""),"ICW SWMP sites")</f>
        <v>ICW SWMP sites</v>
      </c>
      <c r="I617" s="15">
        <f ca="1">IFERROR(__xludf.DUMMYFUNCTION("""COMPUTED_VALUE"""),0.5)</f>
        <v>0.5</v>
      </c>
      <c r="J617" s="16">
        <f ca="1">IFERROR(__xludf.DUMMYFUNCTION("""COMPUTED_VALUE"""),44181.5208333333)</f>
        <v>44181.520833333299</v>
      </c>
      <c r="K617" t="str">
        <f ca="1">IFERROR(__xludf.DUMMYFUNCTION("""COMPUTED_VALUE"""),"20ft Sea Ark FL5351SJ UNF 2015")</f>
        <v>20ft Sea Ark FL5351SJ UNF 2015</v>
      </c>
      <c r="M617" t="str">
        <f ca="1">IFERROR(__xludf.DUMMYFUNCTION("""COMPUTED_VALUE"""),"Ford F250 2017 (Moby Dix) - DEP0021578")</f>
        <v>Ford F250 2017 (Moby Dix) - DEP0021578</v>
      </c>
      <c r="N617" t="str">
        <f ca="1">IFERROR(__xludf.DUMMYFUNCTION("""COMPUTED_VALUE"""),"Silas Tanner, (904) 483-8423, Remo Mondazzi")</f>
        <v>Silas Tanner, (904) 483-8423, Remo Mondazzi</v>
      </c>
      <c r="P617" t="str">
        <f ca="1">IFERROR(__xludf.DUMMYFUNCTION("""COMPUTED_VALUE"""),"Silas Tanner")</f>
        <v>Silas Tanner</v>
      </c>
      <c r="Q617" t="str">
        <f ca="1">IFERROR(__xludf.DUMMYFUNCTION("""COMPUTED_VALUE"""),"All items in working order")</f>
        <v>All items in working order</v>
      </c>
      <c r="AE617" s="11"/>
      <c r="AF617" t="str">
        <v>Nikki.Dix@floridadep.gov</v>
      </c>
      <c r="AG617" s="17" t="s">
        <v>41</v>
      </c>
      <c r="AH617" s="12">
        <v>1046</v>
      </c>
      <c r="AI617" s="12" t="s">
        <v>1804</v>
      </c>
      <c r="AJ617" s="19" t="s">
        <v>1805</v>
      </c>
      <c r="AK617" s="20" t="str">
        <f>HYPERLINK("https://docs.google.com/document/d/1sDoSxpj6uiUxvHHddV8RSClFdRSmIw-6_SMBWjR1irk/edit?usp=drivesdk","Silas Tanner - 12/16/2020 7:00 AM")</f>
        <v>Silas Tanner - 12/16/2020 7:00 AM</v>
      </c>
      <c r="AL617" s="12" t="s">
        <v>1806</v>
      </c>
    </row>
    <row r="618" spans="1:38" ht="12.75">
      <c r="A618" s="10">
        <f ca="1">IFERROR(__xludf.DUMMYFUNCTION("""COMPUTED_VALUE"""),44182.4148059722)</f>
        <v>44182.414805972199</v>
      </c>
      <c r="B618" s="11" t="str">
        <f ca="1">IFERROR(__xludf.DUMMYFUNCTION("""COMPUTED_VALUE"""),"Gabriela Canas")</f>
        <v>Gabriela Canas</v>
      </c>
      <c r="C618" t="str">
        <f ca="1">IFERROR(__xludf.DUMMYFUNCTION("""COMPUTED_VALUE"""),"n00836133@unf.edu")</f>
        <v>n00836133@unf.edu</v>
      </c>
      <c r="D618" t="str">
        <f ca="1">IFERROR(__xludf.DUMMYFUNCTION("""COMPUTED_VALUE"""),"Pam Marcum")</f>
        <v>Pam Marcum</v>
      </c>
      <c r="E618" t="str">
        <f ca="1">IFERROR(__xludf.DUMMYFUNCTION("""COMPUTED_VALUE"""),"Douglas crane ")</f>
        <v xml:space="preserve">Douglas crane </v>
      </c>
      <c r="F618" s="13">
        <f ca="1">IFERROR(__xludf.DUMMYFUNCTION("""COMPUTED_VALUE"""),0.416666666667879)</f>
        <v>0.41666666666787899</v>
      </c>
      <c r="G618" s="14">
        <f ca="1">IFERROR(__xludf.DUMMYFUNCTION("""COMPUTED_VALUE"""),44182)</f>
        <v>44182</v>
      </c>
      <c r="H618" t="str">
        <f ca="1">IFERROR(__xludf.DUMMYFUNCTION("""COMPUTED_VALUE"""),"Wetfeet middle")</f>
        <v>Wetfeet middle</v>
      </c>
      <c r="I618" s="15">
        <f ca="1">IFERROR(__xludf.DUMMYFUNCTION("""COMPUTED_VALUE"""),0.625)</f>
        <v>0.625</v>
      </c>
      <c r="J618" s="16">
        <f ca="1">IFERROR(__xludf.DUMMYFUNCTION("""COMPUTED_VALUE"""),44182.6666666666)</f>
        <v>44182.666666666599</v>
      </c>
      <c r="K618" t="str">
        <f ca="1">IFERROR(__xludf.DUMMYFUNCTION("""COMPUTED_VALUE"""),"20ft Sea Ark FL5351SJ UNF 2015")</f>
        <v>20ft Sea Ark FL5351SJ UNF 2015</v>
      </c>
      <c r="M618" t="str">
        <f ca="1">IFERROR(__xludf.DUMMYFUNCTION("""COMPUTED_VALUE"""),"Ford F150 2015 (White) - DEP21448")</f>
        <v>Ford F150 2015 (White) - DEP21448</v>
      </c>
      <c r="N618" t="str">
        <f ca="1">IFERROR(__xludf.DUMMYFUNCTION("""COMPUTED_VALUE"""),"Gabriela canas")</f>
        <v>Gabriela canas</v>
      </c>
      <c r="O618" t="str">
        <f ca="1">IFERROR(__xludf.DUMMYFUNCTION("""COMPUTED_VALUE"""),"Gabriela Canas, (904) 891-9743, Sam chapman")</f>
        <v>Gabriela Canas, (904) 891-9743, Sam chapman</v>
      </c>
      <c r="P618" t="str">
        <f ca="1">IFERROR(__xludf.DUMMYFUNCTION("""COMPUTED_VALUE"""),"Gabby")</f>
        <v>Gabby</v>
      </c>
      <c r="Q618" t="str">
        <f ca="1">IFERROR(__xludf.DUMMYFUNCTION("""COMPUTED_VALUE"""),"All items in working order")</f>
        <v>All items in working order</v>
      </c>
      <c r="AE618" s="11"/>
      <c r="AF618" t="str">
        <v>Pamela.Marcum@floridadep.gov</v>
      </c>
      <c r="AG618" s="17" t="s">
        <v>139</v>
      </c>
      <c r="AH618" s="12">
        <v>1517</v>
      </c>
      <c r="AI618" s="12" t="s">
        <v>1807</v>
      </c>
      <c r="AJ618" s="19" t="s">
        <v>1808</v>
      </c>
      <c r="AK618" s="20" t="str">
        <f>HYPERLINK("https://docs.google.com/document/d/1qbYPgp2vi6CI_xpE0ANuNz8XsoLPePktMEZ4Ka9tVLw/edit?usp=drivesdk","Gabriela Canas - 12/17/2020 10:00 AM")</f>
        <v>Gabriela Canas - 12/17/2020 10:00 AM</v>
      </c>
      <c r="AL618" s="12" t="s">
        <v>1809</v>
      </c>
    </row>
    <row r="619" spans="1:38" ht="12.75">
      <c r="A619" s="10">
        <f ca="1">IFERROR(__xludf.DUMMYFUNCTION("""COMPUTED_VALUE"""),44182.8760216088)</f>
        <v>44182.876021608798</v>
      </c>
      <c r="B619" s="11" t="str">
        <f ca="1">IFERROR(__xludf.DUMMYFUNCTION("""COMPUTED_VALUE"""),"Gabriela Canas")</f>
        <v>Gabriela Canas</v>
      </c>
      <c r="C619" t="str">
        <f ca="1">IFERROR(__xludf.DUMMYFUNCTION("""COMPUTED_VALUE"""),"n00836133@unf.edu")</f>
        <v>n00836133@unf.edu</v>
      </c>
      <c r="D619" t="str">
        <f ca="1">IFERROR(__xludf.DUMMYFUNCTION("""COMPUTED_VALUE"""),"Pam Marcum")</f>
        <v>Pam Marcum</v>
      </c>
      <c r="E619" t="str">
        <f ca="1">IFERROR(__xludf.DUMMYFUNCTION("""COMPUTED_VALUE"""),"Douglas crane ")</f>
        <v xml:space="preserve">Douglas crane </v>
      </c>
      <c r="F619" s="13">
        <f ca="1">IFERROR(__xludf.DUMMYFUNCTION("""COMPUTED_VALUE"""),0.416666666667879)</f>
        <v>0.41666666666787899</v>
      </c>
      <c r="G619" s="14">
        <f ca="1">IFERROR(__xludf.DUMMYFUNCTION("""COMPUTED_VALUE"""),44182)</f>
        <v>44182</v>
      </c>
      <c r="H619" t="str">
        <f ca="1">IFERROR(__xludf.DUMMYFUNCTION("""COMPUTED_VALUE"""),"Wetfeet middle")</f>
        <v>Wetfeet middle</v>
      </c>
      <c r="I619" s="15">
        <f ca="1">IFERROR(__xludf.DUMMYFUNCTION("""COMPUTED_VALUE"""),0.625)</f>
        <v>0.625</v>
      </c>
      <c r="J619" s="16">
        <f ca="1">IFERROR(__xludf.DUMMYFUNCTION("""COMPUTED_VALUE"""),44182.6666666666)</f>
        <v>44182.666666666599</v>
      </c>
      <c r="K619" t="str">
        <f ca="1">IFERROR(__xludf.DUMMYFUNCTION("""COMPUTED_VALUE"""),"20ft Sea Ark FL5351SJ UNF 2015")</f>
        <v>20ft Sea Ark FL5351SJ UNF 2015</v>
      </c>
      <c r="M619" t="str">
        <f ca="1">IFERROR(__xludf.DUMMYFUNCTION("""COMPUTED_VALUE"""),"Ford F150 2015 (White) - DEP21448")</f>
        <v>Ford F150 2015 (White) - DEP21448</v>
      </c>
      <c r="N619" t="str">
        <f ca="1">IFERROR(__xludf.DUMMYFUNCTION("""COMPUTED_VALUE"""),"Gabriela canas")</f>
        <v>Gabriela canas</v>
      </c>
      <c r="O619" t="str">
        <f ca="1">IFERROR(__xludf.DUMMYFUNCTION("""COMPUTED_VALUE"""),"Gabriela Canas, (904) 891-9743, Sam chapman")</f>
        <v>Gabriela Canas, (904) 891-9743, Sam chapman</v>
      </c>
      <c r="P619" t="str">
        <f ca="1">IFERROR(__xludf.DUMMYFUNCTION("""COMPUTED_VALUE"""),"Gabby")</f>
        <v>Gabby</v>
      </c>
      <c r="Q619" t="str">
        <f ca="1">IFERROR(__xludf.DUMMYFUNCTION("""COMPUTED_VALUE"""),"All items in working order")</f>
        <v>All items in working order</v>
      </c>
      <c r="AE619" s="11"/>
      <c r="AF619" t="str">
        <v>Pamela.Marcum@floridadep.gov</v>
      </c>
      <c r="AG619" s="17" t="s">
        <v>54</v>
      </c>
      <c r="AH619" s="17" t="s">
        <v>54</v>
      </c>
      <c r="AI619" s="12" t="s">
        <v>1810</v>
      </c>
      <c r="AJ619" s="19" t="s">
        <v>1811</v>
      </c>
      <c r="AK619" s="20" t="str">
        <f>HYPERLINK("https://docs.google.com/document/d/1bclUXTG86OjgHqyxkTi2lEId8CAgzItkLc86Mo3T0Hs/edit?usp=drivesdk","Gabriela Canas - 12/17/2020 10:00 AM")</f>
        <v>Gabriela Canas - 12/17/2020 10:00 AM</v>
      </c>
      <c r="AL619" s="12" t="s">
        <v>1812</v>
      </c>
    </row>
    <row r="620" spans="1:38" ht="12.75">
      <c r="A620" s="10">
        <f ca="1">IFERROR(__xludf.DUMMYFUNCTION("""COMPUTED_VALUE"""),44182.8762378009)</f>
        <v>44182.876237800898</v>
      </c>
      <c r="B620" s="11" t="str">
        <f ca="1">IFERROR(__xludf.DUMMYFUNCTION("""COMPUTED_VALUE"""),"Gabriela Canas")</f>
        <v>Gabriela Canas</v>
      </c>
      <c r="C620" t="str">
        <f ca="1">IFERROR(__xludf.DUMMYFUNCTION("""COMPUTED_VALUE"""),"n00836133@unf.edu")</f>
        <v>n00836133@unf.edu</v>
      </c>
      <c r="D620" t="str">
        <f ca="1">IFERROR(__xludf.DUMMYFUNCTION("""COMPUTED_VALUE"""),"Pam Marcum")</f>
        <v>Pam Marcum</v>
      </c>
      <c r="E620" t="str">
        <f ca="1">IFERROR(__xludf.DUMMYFUNCTION("""COMPUTED_VALUE"""),"Douglas crane ")</f>
        <v xml:space="preserve">Douglas crane </v>
      </c>
      <c r="F620" s="13">
        <f ca="1">IFERROR(__xludf.DUMMYFUNCTION("""COMPUTED_VALUE"""),0.416666666667879)</f>
        <v>0.41666666666787899</v>
      </c>
      <c r="G620" s="14">
        <f ca="1">IFERROR(__xludf.DUMMYFUNCTION("""COMPUTED_VALUE"""),44182)</f>
        <v>44182</v>
      </c>
      <c r="H620" t="str">
        <f ca="1">IFERROR(__xludf.DUMMYFUNCTION("""COMPUTED_VALUE"""),"Wetfeet middle")</f>
        <v>Wetfeet middle</v>
      </c>
      <c r="I620" s="15">
        <f ca="1">IFERROR(__xludf.DUMMYFUNCTION("""COMPUTED_VALUE"""),0.625)</f>
        <v>0.625</v>
      </c>
      <c r="J620" s="16">
        <f ca="1">IFERROR(__xludf.DUMMYFUNCTION("""COMPUTED_VALUE"""),44182.6666666666)</f>
        <v>44182.666666666599</v>
      </c>
      <c r="K620" t="str">
        <f ca="1">IFERROR(__xludf.DUMMYFUNCTION("""COMPUTED_VALUE"""),"20ft Sea Ark FL5351SJ UNF 2015")</f>
        <v>20ft Sea Ark FL5351SJ UNF 2015</v>
      </c>
      <c r="M620" t="str">
        <f ca="1">IFERROR(__xludf.DUMMYFUNCTION("""COMPUTED_VALUE"""),"Ford F150 2015 (White) - DEP21448")</f>
        <v>Ford F150 2015 (White) - DEP21448</v>
      </c>
      <c r="N620" t="str">
        <f ca="1">IFERROR(__xludf.DUMMYFUNCTION("""COMPUTED_VALUE"""),"Gabriela canas")</f>
        <v>Gabriela canas</v>
      </c>
      <c r="O620" t="str">
        <f ca="1">IFERROR(__xludf.DUMMYFUNCTION("""COMPUTED_VALUE"""),"Gabriela Canas, (904) 891-9743, Sam chapman")</f>
        <v>Gabriela Canas, (904) 891-9743, Sam chapman</v>
      </c>
      <c r="P620" t="str">
        <f ca="1">IFERROR(__xludf.DUMMYFUNCTION("""COMPUTED_VALUE"""),"Gabby")</f>
        <v>Gabby</v>
      </c>
      <c r="Q620" t="str">
        <f ca="1">IFERROR(__xludf.DUMMYFUNCTION("""COMPUTED_VALUE"""),"All items in working order")</f>
        <v>All items in working order</v>
      </c>
      <c r="AE620" s="11"/>
      <c r="AF620" t="str">
        <v>Pamela.Marcum@floridadep.gov</v>
      </c>
      <c r="AG620" s="17" t="s">
        <v>54</v>
      </c>
      <c r="AH620" s="17" t="s">
        <v>54</v>
      </c>
      <c r="AI620" s="12" t="s">
        <v>1813</v>
      </c>
      <c r="AJ620" s="19" t="s">
        <v>1814</v>
      </c>
      <c r="AK620" s="20" t="str">
        <f>HYPERLINK("https://docs.google.com/document/d/1S5UXwtgI-UGlTvj6-7LNjO5pkrSsWf3PBkP2IaOClSQ/edit?usp=drivesdk","Gabriela Canas - 12/17/2020 10:00 AM")</f>
        <v>Gabriela Canas - 12/17/2020 10:00 AM</v>
      </c>
      <c r="AL620" s="12" t="s">
        <v>1815</v>
      </c>
    </row>
    <row r="621" spans="1:38" ht="12.75">
      <c r="A621" s="10">
        <f ca="1">IFERROR(__xludf.DUMMYFUNCTION("""COMPUTED_VALUE"""),44182.8762957175)</f>
        <v>44182.876295717499</v>
      </c>
      <c r="B621" s="11" t="str">
        <f ca="1">IFERROR(__xludf.DUMMYFUNCTION("""COMPUTED_VALUE"""),"Gabriela Canas")</f>
        <v>Gabriela Canas</v>
      </c>
      <c r="C621" t="str">
        <f ca="1">IFERROR(__xludf.DUMMYFUNCTION("""COMPUTED_VALUE"""),"n00836133@unf.edu")</f>
        <v>n00836133@unf.edu</v>
      </c>
      <c r="D621" t="str">
        <f ca="1">IFERROR(__xludf.DUMMYFUNCTION("""COMPUTED_VALUE"""),"Pam Marcum")</f>
        <v>Pam Marcum</v>
      </c>
      <c r="E621" t="str">
        <f ca="1">IFERROR(__xludf.DUMMYFUNCTION("""COMPUTED_VALUE"""),"Douglas crane ")</f>
        <v xml:space="preserve">Douglas crane </v>
      </c>
      <c r="F621" s="13">
        <f ca="1">IFERROR(__xludf.DUMMYFUNCTION("""COMPUTED_VALUE"""),0.416666666667879)</f>
        <v>0.41666666666787899</v>
      </c>
      <c r="G621" s="14">
        <f ca="1">IFERROR(__xludf.DUMMYFUNCTION("""COMPUTED_VALUE"""),44182)</f>
        <v>44182</v>
      </c>
      <c r="H621" t="str">
        <f ca="1">IFERROR(__xludf.DUMMYFUNCTION("""COMPUTED_VALUE"""),"Wetfeet middle")</f>
        <v>Wetfeet middle</v>
      </c>
      <c r="I621" s="15">
        <f ca="1">IFERROR(__xludf.DUMMYFUNCTION("""COMPUTED_VALUE"""),0.625)</f>
        <v>0.625</v>
      </c>
      <c r="J621" s="16">
        <f ca="1">IFERROR(__xludf.DUMMYFUNCTION("""COMPUTED_VALUE"""),44182.6666666666)</f>
        <v>44182.666666666599</v>
      </c>
      <c r="K621" t="str">
        <f ca="1">IFERROR(__xludf.DUMMYFUNCTION("""COMPUTED_VALUE"""),"20ft Sea Ark FL5351SJ UNF 2015")</f>
        <v>20ft Sea Ark FL5351SJ UNF 2015</v>
      </c>
      <c r="M621" t="str">
        <f ca="1">IFERROR(__xludf.DUMMYFUNCTION("""COMPUTED_VALUE"""),"Ford F150 2015 (White) - DEP21448")</f>
        <v>Ford F150 2015 (White) - DEP21448</v>
      </c>
      <c r="N621" t="str">
        <f ca="1">IFERROR(__xludf.DUMMYFUNCTION("""COMPUTED_VALUE"""),"Gabriela canas")</f>
        <v>Gabriela canas</v>
      </c>
      <c r="O621" t="str">
        <f ca="1">IFERROR(__xludf.DUMMYFUNCTION("""COMPUTED_VALUE"""),"Gabriela Canas, (904) 891-9743, Sam chapman")</f>
        <v>Gabriela Canas, (904) 891-9743, Sam chapman</v>
      </c>
      <c r="P621" t="str">
        <f ca="1">IFERROR(__xludf.DUMMYFUNCTION("""COMPUTED_VALUE"""),"Gabby")</f>
        <v>Gabby</v>
      </c>
      <c r="Q621" t="str">
        <f ca="1">IFERROR(__xludf.DUMMYFUNCTION("""COMPUTED_VALUE"""),"All items in working order")</f>
        <v>All items in working order</v>
      </c>
      <c r="AE621" s="11"/>
      <c r="AF621" t="str">
        <v>Pamela.Marcum@floridadep.gov</v>
      </c>
      <c r="AG621" s="17" t="s">
        <v>54</v>
      </c>
      <c r="AH621" s="17" t="s">
        <v>54</v>
      </c>
      <c r="AI621" s="12" t="s">
        <v>1816</v>
      </c>
      <c r="AJ621" s="19" t="s">
        <v>1817</v>
      </c>
      <c r="AK621" s="20" t="str">
        <f>HYPERLINK("https://docs.google.com/document/d/12Xh6PCNmuBUlDAzQSQeIvg_2kwveS3AgQxjGUTSrOSk/edit?usp=drivesdk","Gabriela Canas - 12/17/2020 10:00 AM")</f>
        <v>Gabriela Canas - 12/17/2020 10:00 AM</v>
      </c>
      <c r="AL621" s="12" t="s">
        <v>1815</v>
      </c>
    </row>
    <row r="622" spans="1:38" ht="12.75">
      <c r="A622" s="10">
        <f ca="1">IFERROR(__xludf.DUMMYFUNCTION("""COMPUTED_VALUE"""),44195.4228216319)</f>
        <v>44195.422821631902</v>
      </c>
      <c r="B622" s="11" t="str">
        <f ca="1">IFERROR(__xludf.DUMMYFUNCTION("""COMPUTED_VALUE"""),"Alexandria Knoell")</f>
        <v>Alexandria Knoell</v>
      </c>
      <c r="C622" t="str">
        <f ca="1">IFERROR(__xludf.DUMMYFUNCTION("""COMPUTED_VALUE"""),"allie.knoell@hotmail.com")</f>
        <v>allie.knoell@hotmail.com</v>
      </c>
      <c r="D622" t="str">
        <f ca="1">IFERROR(__xludf.DUMMYFUNCTION("""COMPUTED_VALUE"""),"Pam Marcum")</f>
        <v>Pam Marcum</v>
      </c>
      <c r="E622" t="str">
        <f ca="1">IFERROR(__xludf.DUMMYFUNCTION("""COMPUTED_VALUE"""),"Aunt Kate’s ")</f>
        <v xml:space="preserve">Aunt Kate’s </v>
      </c>
      <c r="F622" s="13">
        <f ca="1">IFERROR(__xludf.DUMMYFUNCTION("""COMPUTED_VALUE"""),0.479166666667879)</f>
        <v>0.47916666666787899</v>
      </c>
      <c r="G622" s="14">
        <f ca="1">IFERROR(__xludf.DUMMYFUNCTION("""COMPUTED_VALUE"""),44195)</f>
        <v>44195</v>
      </c>
      <c r="H622" t="str">
        <f ca="1">IFERROR(__xludf.DUMMYFUNCTION("""COMPUTED_VALUE"""),"Northern spat trees ")</f>
        <v xml:space="preserve">Northern spat trees </v>
      </c>
      <c r="I622" s="15">
        <f ca="1">IFERROR(__xludf.DUMMYFUNCTION("""COMPUTED_VALUE"""),0.64583333333212)</f>
        <v>0.64583333333212001</v>
      </c>
      <c r="J622" s="16">
        <f ca="1">IFERROR(__xludf.DUMMYFUNCTION("""COMPUTED_VALUE"""),44195.6875)</f>
        <v>44195.6875</v>
      </c>
      <c r="K622" t="str">
        <f ca="1">IFERROR(__xludf.DUMMYFUNCTION("""COMPUTED_VALUE"""),"23ft Skiff (Bertha) FL7972LJ DEP07613")</f>
        <v>23ft Skiff (Bertha) FL7972LJ DEP07613</v>
      </c>
      <c r="M622" t="str">
        <f ca="1">IFERROR(__xludf.DUMMYFUNCTION("""COMPUTED_VALUE"""),"Ford F150 2015 (White) - DEP21448")</f>
        <v>Ford F150 2015 (White) - DEP21448</v>
      </c>
      <c r="N622" t="str">
        <f ca="1">IFERROR(__xludf.DUMMYFUNCTION("""COMPUTED_VALUE"""),"Remo Mondazi ")</f>
        <v xml:space="preserve">Remo Mondazi </v>
      </c>
      <c r="O622" t="str">
        <f ca="1">IFERROR(__xludf.DUMMYFUNCTION("""COMPUTED_VALUE"""),"Alee Knoell, (619) 750-4833")</f>
        <v>Alee Knoell, (619) 750-4833</v>
      </c>
      <c r="P622" t="str">
        <f ca="1">IFERROR(__xludf.DUMMYFUNCTION("""COMPUTED_VALUE"""),"Remo Mondazi ")</f>
        <v xml:space="preserve">Remo Mondazi </v>
      </c>
      <c r="Q622" t="str">
        <f ca="1">IFERROR(__xludf.DUMMYFUNCTION("""COMPUTED_VALUE"""),"All items in working order")</f>
        <v>All items in working order</v>
      </c>
      <c r="AE622" s="11"/>
      <c r="AF622" t="str">
        <v>Pamela.Marcum@floridadep.gov</v>
      </c>
      <c r="AG622" s="17" t="s">
        <v>139</v>
      </c>
      <c r="AH622" s="12">
        <v>1437</v>
      </c>
      <c r="AI622" s="12" t="s">
        <v>1818</v>
      </c>
      <c r="AJ622" s="19" t="s">
        <v>1819</v>
      </c>
      <c r="AK622" s="20" t="str">
        <f>HYPERLINK("https://docs.google.com/document/d/156-PESRSxhrKbFjjSNL2hF0KI1smr4_Awd5_yna1gB0/edit?usp=drivesdk","Alexandria Knoell - 12/30/2020 11:30 AM")</f>
        <v>Alexandria Knoell - 12/30/2020 11:30 AM</v>
      </c>
      <c r="AL622" s="12" t="s">
        <v>1820</v>
      </c>
    </row>
    <row r="623" spans="1:38" ht="12.75">
      <c r="A623" s="10">
        <f ca="1">IFERROR(__xludf.DUMMYFUNCTION("""COMPUTED_VALUE"""),44195.534483993)</f>
        <v>44195.534483992997</v>
      </c>
      <c r="B623" s="11" t="str">
        <f ca="1">IFERROR(__xludf.DUMMYFUNCTION("""COMPUTED_VALUE"""),"Pam Marcum")</f>
        <v>Pam Marcum</v>
      </c>
      <c r="C623" t="str">
        <f ca="1">IFERROR(__xludf.DUMMYFUNCTION("""COMPUTED_VALUE"""),"Pamela.Marcum@FloridaDEP.gov")</f>
        <v>Pamela.Marcum@FloridaDEP.gov</v>
      </c>
      <c r="D623" t="str">
        <f ca="1">IFERROR(__xludf.DUMMYFUNCTION("""COMPUTED_VALUE"""),"Pam Marcum")</f>
        <v>Pam Marcum</v>
      </c>
      <c r="E623" t="str">
        <f ca="1">IFERROR(__xludf.DUMMYFUNCTION("""COMPUTED_VALUE"""),"Crane Park/Shore Dr")</f>
        <v>Crane Park/Shore Dr</v>
      </c>
      <c r="F623" s="13">
        <f ca="1">IFERROR(__xludf.DUMMYFUNCTION("""COMPUTED_VALUE"""),0.541666666667879)</f>
        <v>0.54166666666787899</v>
      </c>
      <c r="G623" s="14">
        <f ca="1">IFERROR(__xludf.DUMMYFUNCTION("""COMPUTED_VALUE"""),44195)</f>
        <v>44195</v>
      </c>
      <c r="H623" t="str">
        <f ca="1">IFERROR(__xludf.DUMMYFUNCTION("""COMPUTED_VALUE"""),"Devil's Elbow")</f>
        <v>Devil's Elbow</v>
      </c>
      <c r="I623" s="15">
        <f ca="1">IFERROR(__xludf.DUMMYFUNCTION("""COMPUTED_VALUE"""),0.666666666667879)</f>
        <v>0.66666666666787899</v>
      </c>
      <c r="J623" s="16">
        <f ca="1">IFERROR(__xludf.DUMMYFUNCTION("""COMPUTED_VALUE"""),44195.7083333333)</f>
        <v>44195.708333333299</v>
      </c>
      <c r="K623" t="str">
        <f ca="1">IFERROR(__xludf.DUMMYFUNCTION("""COMPUTED_VALUE"""),"17ft Skiff (Marsha) FL0642GW DEP07239")</f>
        <v>17ft Skiff (Marsha) FL0642GW DEP07239</v>
      </c>
      <c r="M623" t="str">
        <f ca="1">IFERROR(__xludf.DUMMYFUNCTION("""COMPUTED_VALUE"""),"Ford F250 2017 (Moby Dix) - DEP0021578")</f>
        <v>Ford F250 2017 (Moby Dix) - DEP0021578</v>
      </c>
      <c r="N623" t="str">
        <f ca="1">IFERROR(__xludf.DUMMYFUNCTION("""COMPUTED_VALUE"""),"Pam Marcum, (480) 332-5414")</f>
        <v>Pam Marcum, (480) 332-5414</v>
      </c>
      <c r="O623" t="str">
        <f ca="1">IFERROR(__xludf.DUMMYFUNCTION("""COMPUTED_VALUE"""),"Sara Marcum")</f>
        <v>Sara Marcum</v>
      </c>
      <c r="P623" t="str">
        <f ca="1">IFERROR(__xludf.DUMMYFUNCTION("""COMPUTED_VALUE"""),"Pam")</f>
        <v>Pam</v>
      </c>
      <c r="Q623" t="str">
        <f ca="1">IFERROR(__xludf.DUMMYFUNCTION("""COMPUTED_VALUE"""),"All items in working order")</f>
        <v>All items in working order</v>
      </c>
      <c r="AE623" s="11"/>
      <c r="AF623" t="str">
        <v>Pamela.Marcum@floridadep.gov</v>
      </c>
      <c r="AG623" s="17" t="s">
        <v>1821</v>
      </c>
      <c r="AH623" s="12">
        <v>1600</v>
      </c>
      <c r="AI623" s="12" t="s">
        <v>1822</v>
      </c>
      <c r="AJ623" s="19" t="s">
        <v>1823</v>
      </c>
      <c r="AK623" s="20" t="str">
        <f>HYPERLINK("https://docs.google.com/document/d/1BdQgdqFIL-GWM6dSSJcumLsPhQtGGYDS8sZVZhBC7dk/edit?usp=drivesdk","Pam Marcum - 12/30/2020 1:00 PM")</f>
        <v>Pam Marcum - 12/30/2020 1:00 PM</v>
      </c>
      <c r="AL623" s="12" t="s">
        <v>1824</v>
      </c>
    </row>
    <row r="624" spans="1:38" ht="12.75">
      <c r="A624" s="10">
        <f ca="1">IFERROR(__xludf.DUMMYFUNCTION("""COMPUTED_VALUE"""),44197.4982845949)</f>
        <v>44197.498284594898</v>
      </c>
      <c r="B624" s="11" t="str">
        <f ca="1">IFERROR(__xludf.DUMMYFUNCTION("""COMPUTED_VALUE"""),"Alexandria Knoell")</f>
        <v>Alexandria Knoell</v>
      </c>
      <c r="C624" t="str">
        <f ca="1">IFERROR(__xludf.DUMMYFUNCTION("""COMPUTED_VALUE"""),"allie.knoell@hotmail.com")</f>
        <v>allie.knoell@hotmail.com</v>
      </c>
      <c r="D624" t="str">
        <f ca="1">IFERROR(__xludf.DUMMYFUNCTION("""COMPUTED_VALUE"""),"Pam Marcum")</f>
        <v>Pam Marcum</v>
      </c>
      <c r="E624" t="str">
        <f ca="1">IFERROR(__xludf.DUMMYFUNCTION("""COMPUTED_VALUE"""),"Aunt Kate’s ")</f>
        <v xml:space="preserve">Aunt Kate’s </v>
      </c>
      <c r="F624" s="13">
        <f ca="1">IFERROR(__xludf.DUMMYFUNCTION("""COMPUTED_VALUE"""),0.479166666667879)</f>
        <v>0.47916666666787899</v>
      </c>
      <c r="G624" s="14">
        <f ca="1">IFERROR(__xludf.DUMMYFUNCTION("""COMPUTED_VALUE"""),44195)</f>
        <v>44195</v>
      </c>
      <c r="H624" t="str">
        <f ca="1">IFERROR(__xludf.DUMMYFUNCTION("""COMPUTED_VALUE"""),"Northern spat trees ")</f>
        <v xml:space="preserve">Northern spat trees </v>
      </c>
      <c r="I624" s="15">
        <f ca="1">IFERROR(__xludf.DUMMYFUNCTION("""COMPUTED_VALUE"""),0.64583333333212)</f>
        <v>0.64583333333212001</v>
      </c>
      <c r="J624" s="16">
        <f ca="1">IFERROR(__xludf.DUMMYFUNCTION("""COMPUTED_VALUE"""),44195.6875)</f>
        <v>44195.6875</v>
      </c>
      <c r="K624" t="str">
        <f ca="1">IFERROR(__xludf.DUMMYFUNCTION("""COMPUTED_VALUE"""),"23ft Skiff (Bertha) FL7972LJ DEP07613")</f>
        <v>23ft Skiff (Bertha) FL7972LJ DEP07613</v>
      </c>
      <c r="M624" t="str">
        <f ca="1">IFERROR(__xludf.DUMMYFUNCTION("""COMPUTED_VALUE"""),"Ford F150 2015 (White) - DEP21448")</f>
        <v>Ford F150 2015 (White) - DEP21448</v>
      </c>
      <c r="N624" t="str">
        <f ca="1">IFERROR(__xludf.DUMMYFUNCTION("""COMPUTED_VALUE"""),"Remo Mondazi ")</f>
        <v xml:space="preserve">Remo Mondazi </v>
      </c>
      <c r="O624" t="str">
        <f ca="1">IFERROR(__xludf.DUMMYFUNCTION("""COMPUTED_VALUE"""),"Alee Knoell, (619) 750-4833")</f>
        <v>Alee Knoell, (619) 750-4833</v>
      </c>
      <c r="P624" t="str">
        <f ca="1">IFERROR(__xludf.DUMMYFUNCTION("""COMPUTED_VALUE"""),"Remo Mondazi ")</f>
        <v xml:space="preserve">Remo Mondazi </v>
      </c>
      <c r="Q624" t="str">
        <f ca="1">IFERROR(__xludf.DUMMYFUNCTION("""COMPUTED_VALUE"""),"All items in working order")</f>
        <v>All items in working order</v>
      </c>
      <c r="AE624" s="11"/>
      <c r="AF624" t="str">
        <v>Pamela.Marcum@floridadep.gov</v>
      </c>
      <c r="AG624" s="17" t="s">
        <v>54</v>
      </c>
      <c r="AH624" s="17" t="s">
        <v>1825</v>
      </c>
      <c r="AI624" s="12" t="s">
        <v>1826</v>
      </c>
      <c r="AJ624" s="19" t="s">
        <v>1827</v>
      </c>
      <c r="AK624" s="20" t="str">
        <f>HYPERLINK("https://docs.google.com/document/d/1QvEU8ZgbIaydkHW7DKb620NOSlvCMul-bNvMGhlseqU/edit?usp=drivesdk","Alexandria Knoell - 12/30/2020 11:30 AM")</f>
        <v>Alexandria Knoell - 12/30/2020 11:30 AM</v>
      </c>
      <c r="AL624" s="12" t="s">
        <v>1828</v>
      </c>
    </row>
    <row r="625" spans="1:38" ht="12.75">
      <c r="A625" s="10">
        <f ca="1">IFERROR(__xludf.DUMMYFUNCTION("""COMPUTED_VALUE"""),44202.2585813773)</f>
        <v>44202.258581377297</v>
      </c>
      <c r="B625" s="11" t="str">
        <f ca="1">IFERROR(__xludf.DUMMYFUNCTION("""COMPUTED_VALUE"""),"Silas Tanner")</f>
        <v>Silas Tanner</v>
      </c>
      <c r="C625" t="str">
        <f ca="1">IFERROR(__xludf.DUMMYFUNCTION("""COMPUTED_VALUE"""),"silas.tanner@floridadep.gov")</f>
        <v>silas.tanner@floridadep.gov</v>
      </c>
      <c r="D625" t="str">
        <f ca="1">IFERROR(__xludf.DUMMYFUNCTION("""COMPUTED_VALUE"""),"Nikki Dix")</f>
        <v>Nikki Dix</v>
      </c>
      <c r="E625" t="str">
        <f ca="1">IFERROR(__xludf.DUMMYFUNCTION("""COMPUTED_VALUE"""),"Vilano Landing")</f>
        <v>Vilano Landing</v>
      </c>
      <c r="F625" s="13">
        <f ca="1">IFERROR(__xludf.DUMMYFUNCTION("""COMPUTED_VALUE"""),0.291666666667879)</f>
        <v>0.29166666666787899</v>
      </c>
      <c r="G625" s="14">
        <f ca="1">IFERROR(__xludf.DUMMYFUNCTION("""COMPUTED_VALUE"""),44202)</f>
        <v>44202</v>
      </c>
      <c r="H625" t="str">
        <f ca="1">IFERROR(__xludf.DUMMYFUNCTION("""COMPUTED_VALUE"""),"ICW SWMP sites")</f>
        <v>ICW SWMP sites</v>
      </c>
      <c r="I625" s="15">
        <f ca="1">IFERROR(__xludf.DUMMYFUNCTION("""COMPUTED_VALUE"""),0.479166666667879)</f>
        <v>0.47916666666787899</v>
      </c>
      <c r="J625" s="16">
        <f ca="1">IFERROR(__xludf.DUMMYFUNCTION("""COMPUTED_VALUE"""),44202.4895833333)</f>
        <v>44202.489583333299</v>
      </c>
      <c r="K625" t="str">
        <f ca="1">IFERROR(__xludf.DUMMYFUNCTION("""COMPUTED_VALUE"""),"23ft Skiff (Bertha) FL7972LJ DEP07613")</f>
        <v>23ft Skiff (Bertha) FL7972LJ DEP07613</v>
      </c>
      <c r="M625" t="str">
        <f ca="1">IFERROR(__xludf.DUMMYFUNCTION("""COMPUTED_VALUE"""),"Ford F250 2017 (Moby Dix) - DEP0021578")</f>
        <v>Ford F250 2017 (Moby Dix) - DEP0021578</v>
      </c>
      <c r="N625" t="str">
        <f ca="1">IFERROR(__xludf.DUMMYFUNCTION("""COMPUTED_VALUE"""),"Silas Tanner, (904) 483-8423, Remo Mondazzi")</f>
        <v>Silas Tanner, (904) 483-8423, Remo Mondazzi</v>
      </c>
      <c r="P625" t="str">
        <f ca="1">IFERROR(__xludf.DUMMYFUNCTION("""COMPUTED_VALUE"""),"Silas Tanner")</f>
        <v>Silas Tanner</v>
      </c>
      <c r="Q625" t="str">
        <f ca="1">IFERROR(__xludf.DUMMYFUNCTION("""COMPUTED_VALUE"""),"All items in working order")</f>
        <v>All items in working order</v>
      </c>
      <c r="AE625" s="11"/>
      <c r="AF625" t="str">
        <v>Nikki.Dix@floridadep.gov</v>
      </c>
      <c r="AG625" s="17" t="s">
        <v>41</v>
      </c>
      <c r="AH625" s="12">
        <v>1020</v>
      </c>
      <c r="AI625" s="12" t="s">
        <v>1829</v>
      </c>
      <c r="AJ625" s="19" t="s">
        <v>1830</v>
      </c>
      <c r="AK625" s="20" t="str">
        <f>HYPERLINK("https://docs.google.com/document/d/1I7LEisB-1pASg12QSSjk380h25k2tlfImd_bJKaRSGs/edit?usp=drivesdk","Silas Tanner - 1/6/2021 7:00 AM")</f>
        <v>Silas Tanner - 1/6/2021 7:00 AM</v>
      </c>
      <c r="AL625" s="12" t="s">
        <v>1831</v>
      </c>
    </row>
    <row r="626" spans="1:38" ht="12.75">
      <c r="A626" s="10">
        <f ca="1">IFERROR(__xludf.DUMMYFUNCTION("""COMPUTED_VALUE"""),44204.3560799189)</f>
        <v>44204.3560799189</v>
      </c>
      <c r="B626" s="11" t="str">
        <f ca="1">IFERROR(__xludf.DUMMYFUNCTION("""COMPUTED_VALUE"""),"Nikki Dix")</f>
        <v>Nikki Dix</v>
      </c>
      <c r="C626" t="str">
        <f ca="1">IFERROR(__xludf.DUMMYFUNCTION("""COMPUTED_VALUE"""),"nikki.dix@dep.state.fl.us")</f>
        <v>nikki.dix@dep.state.fl.us</v>
      </c>
      <c r="D626" t="str">
        <f ca="1">IFERROR(__xludf.DUMMYFUNCTION("""COMPUTED_VALUE"""),"Pam Marcum")</f>
        <v>Pam Marcum</v>
      </c>
      <c r="E626" t="str">
        <f ca="1">IFERROR(__xludf.DUMMYFUNCTION("""COMPUTED_VALUE"""),"Palm Valley ")</f>
        <v xml:space="preserve">Palm Valley </v>
      </c>
      <c r="F626" s="13">
        <f ca="1">IFERROR(__xludf.DUMMYFUNCTION("""COMPUTED_VALUE"""),0.354166666667879)</f>
        <v>0.35416666666787899</v>
      </c>
      <c r="G626" s="14">
        <f ca="1">IFERROR(__xludf.DUMMYFUNCTION("""COMPUTED_VALUE"""),44204)</f>
        <v>44204</v>
      </c>
      <c r="H626" t="str">
        <f ca="1">IFERROR(__xludf.DUMMYFUNCTION("""COMPUTED_VALUE"""),"Tolomato River")</f>
        <v>Tolomato River</v>
      </c>
      <c r="I626" s="15">
        <f ca="1">IFERROR(__xludf.DUMMYFUNCTION("""COMPUTED_VALUE"""),0.58333333333212)</f>
        <v>0.58333333333212001</v>
      </c>
      <c r="J626" s="16">
        <f ca="1">IFERROR(__xludf.DUMMYFUNCTION("""COMPUTED_VALUE"""),44204.6041666666)</f>
        <v>44204.604166666599</v>
      </c>
      <c r="K626" t="str">
        <f ca="1">IFERROR(__xludf.DUMMYFUNCTION("""COMPUTED_VALUE"""),"23ft Skiff (Bertha) FL7972LJ DEP07613")</f>
        <v>23ft Skiff (Bertha) FL7972LJ DEP07613</v>
      </c>
      <c r="M626" t="str">
        <f ca="1">IFERROR(__xludf.DUMMYFUNCTION("""COMPUTED_VALUE"""),"Ford F250 2017 (Moby Dix) - DEP0021578")</f>
        <v>Ford F250 2017 (Moby Dix) - DEP0021578</v>
      </c>
      <c r="N626" t="str">
        <f ca="1">IFERROR(__xludf.DUMMYFUNCTION("""COMPUTED_VALUE"""),"Nikki Dix, (352) 219-4079, Shannon Dunnigan, (803) 727-5734, Silas Tanner, (904) 483-8423")</f>
        <v>Nikki Dix, (352) 219-4079, Shannon Dunnigan, (803) 727-5734, Silas Tanner, (904) 483-8423</v>
      </c>
      <c r="P626" t="str">
        <f ca="1">IFERROR(__xludf.DUMMYFUNCTION("""COMPUTED_VALUE"""),"Shannon Dunnigan")</f>
        <v>Shannon Dunnigan</v>
      </c>
      <c r="Q626" t="str">
        <f ca="1">IFERROR(__xludf.DUMMYFUNCTION("""COMPUTED_VALUE"""),"All items in working order")</f>
        <v>All items in working order</v>
      </c>
      <c r="AE626" s="11"/>
      <c r="AF626" t="str">
        <v>Pamela.Marcum@floridadep.gov</v>
      </c>
      <c r="AG626" s="17" t="s">
        <v>139</v>
      </c>
      <c r="AH626" s="12">
        <v>1118</v>
      </c>
      <c r="AI626" s="12" t="s">
        <v>1832</v>
      </c>
      <c r="AJ626" s="19" t="s">
        <v>1833</v>
      </c>
      <c r="AK626" s="20" t="str">
        <f>HYPERLINK("https://docs.google.com/document/d/1fsmPwCnR-Gpjvdf97oiSrahoYo5h_yyHzbgNHqOtJLc/edit?usp=drivesdk","Nikki Dix - 1/8/2021 8:30 AM")</f>
        <v>Nikki Dix - 1/8/2021 8:30 AM</v>
      </c>
      <c r="AL626" s="12" t="s">
        <v>1834</v>
      </c>
    </row>
    <row r="627" spans="1:38" ht="12.75">
      <c r="A627" s="10">
        <f ca="1">IFERROR(__xludf.DUMMYFUNCTION("""COMPUTED_VALUE"""),44204.669520949)</f>
        <v>44204.669520948999</v>
      </c>
      <c r="B627" s="11" t="str">
        <f ca="1">IFERROR(__xludf.DUMMYFUNCTION("""COMPUTED_VALUE"""),"Nikki Dix")</f>
        <v>Nikki Dix</v>
      </c>
      <c r="C627" t="str">
        <f ca="1">IFERROR(__xludf.DUMMYFUNCTION("""COMPUTED_VALUE"""),"nikki.dix@dep.state.fl.us")</f>
        <v>nikki.dix@dep.state.fl.us</v>
      </c>
      <c r="D627" t="str">
        <f ca="1">IFERROR(__xludf.DUMMYFUNCTION("""COMPUTED_VALUE"""),"Pam Marcum")</f>
        <v>Pam Marcum</v>
      </c>
      <c r="E627" t="str">
        <f ca="1">IFERROR(__xludf.DUMMYFUNCTION("""COMPUTED_VALUE"""),"Palm Valley ")</f>
        <v xml:space="preserve">Palm Valley </v>
      </c>
      <c r="F627" s="13">
        <f ca="1">IFERROR(__xludf.DUMMYFUNCTION("""COMPUTED_VALUE"""),0.354166666667879)</f>
        <v>0.35416666666787899</v>
      </c>
      <c r="G627" s="14">
        <f ca="1">IFERROR(__xludf.DUMMYFUNCTION("""COMPUTED_VALUE"""),44204)</f>
        <v>44204</v>
      </c>
      <c r="H627" t="str">
        <f ca="1">IFERROR(__xludf.DUMMYFUNCTION("""COMPUTED_VALUE"""),"Tolomato River")</f>
        <v>Tolomato River</v>
      </c>
      <c r="I627" s="15">
        <f ca="1">IFERROR(__xludf.DUMMYFUNCTION("""COMPUTED_VALUE"""),0.58333333333212)</f>
        <v>0.58333333333212001</v>
      </c>
      <c r="J627" s="16">
        <f ca="1">IFERROR(__xludf.DUMMYFUNCTION("""COMPUTED_VALUE"""),44204.6041666666)</f>
        <v>44204.604166666599</v>
      </c>
      <c r="K627" t="str">
        <f ca="1">IFERROR(__xludf.DUMMYFUNCTION("""COMPUTED_VALUE"""),"23ft Skiff (Bertha) FL7972LJ DEP07613")</f>
        <v>23ft Skiff (Bertha) FL7972LJ DEP07613</v>
      </c>
      <c r="M627" t="str">
        <f ca="1">IFERROR(__xludf.DUMMYFUNCTION("""COMPUTED_VALUE"""),"Ford F250 2017 (Moby Dix) - DEP0021578")</f>
        <v>Ford F250 2017 (Moby Dix) - DEP0021578</v>
      </c>
      <c r="N627" t="str">
        <f ca="1">IFERROR(__xludf.DUMMYFUNCTION("""COMPUTED_VALUE"""),"Nikki Dix, (352) 219-4079, Shannon Dunnigan, (803) 727-5734, Silas Tanner, (904) 483-8423")</f>
        <v>Nikki Dix, (352) 219-4079, Shannon Dunnigan, (803) 727-5734, Silas Tanner, (904) 483-8423</v>
      </c>
      <c r="P627" t="str">
        <f ca="1">IFERROR(__xludf.DUMMYFUNCTION("""COMPUTED_VALUE"""),"Shannon Dunnigan")</f>
        <v>Shannon Dunnigan</v>
      </c>
      <c r="Q627" t="str">
        <f ca="1">IFERROR(__xludf.DUMMYFUNCTION("""COMPUTED_VALUE"""),"All items in working order")</f>
        <v>All items in working order</v>
      </c>
      <c r="AE627" s="11"/>
      <c r="AF627" t="str">
        <v>Pamela.Marcum@floridadep.gov</v>
      </c>
      <c r="AG627" s="17" t="s">
        <v>54</v>
      </c>
      <c r="AH627" s="17" t="s">
        <v>54</v>
      </c>
      <c r="AI627" s="12" t="s">
        <v>1835</v>
      </c>
      <c r="AJ627" s="19" t="s">
        <v>1836</v>
      </c>
      <c r="AK627" s="20" t="str">
        <f>HYPERLINK("https://docs.google.com/document/d/1EGTWDi6rArU3Jo1f4GPYovDwu6apKGJ1nxqVzwdqZ-Q/edit?usp=drivesdk","Nikki Dix - 1/8/2021 8:30 AM")</f>
        <v>Nikki Dix - 1/8/2021 8:30 AM</v>
      </c>
      <c r="AL627" s="12" t="s">
        <v>1837</v>
      </c>
    </row>
    <row r="628" spans="1:38" ht="12.75">
      <c r="A628" s="10">
        <f ca="1">IFERROR(__xludf.DUMMYFUNCTION("""COMPUTED_VALUE"""),44207.2986498379)</f>
        <v>44207.298649837903</v>
      </c>
      <c r="B628" s="11" t="str">
        <f ca="1">IFERROR(__xludf.DUMMYFUNCTION("""COMPUTED_VALUE"""),"Jessica Lee")</f>
        <v>Jessica Lee</v>
      </c>
      <c r="C628" t="str">
        <f ca="1">IFERROR(__xludf.DUMMYFUNCTION("""COMPUTED_VALUE"""),"jessica.lee@floridadep.gov")</f>
        <v>jessica.lee@floridadep.gov</v>
      </c>
      <c r="D628" t="str">
        <f ca="1">IFERROR(__xludf.DUMMYFUNCTION("""COMPUTED_VALUE"""),"Nikki Dix")</f>
        <v>Nikki Dix</v>
      </c>
      <c r="E628" t="str">
        <f ca="1">IFERROR(__xludf.DUMMYFUNCTION("""COMPUTED_VALUE"""),"Guana River")</f>
        <v>Guana River</v>
      </c>
      <c r="F628" s="13">
        <f ca="1">IFERROR(__xludf.DUMMYFUNCTION("""COMPUTED_VALUE"""),0.315972222222626)</f>
        <v>0.315972222222626</v>
      </c>
      <c r="G628" s="14">
        <f ca="1">IFERROR(__xludf.DUMMYFUNCTION("""COMPUTED_VALUE"""),44207)</f>
        <v>44207</v>
      </c>
      <c r="H628" t="str">
        <f ca="1">IFERROR(__xludf.DUMMYFUNCTION("""COMPUTED_VALUE"""),"Guana River ")</f>
        <v xml:space="preserve">Guana River </v>
      </c>
      <c r="I628" s="15">
        <f ca="1">IFERROR(__xludf.DUMMYFUNCTION("""COMPUTED_VALUE"""),0.375)</f>
        <v>0.375</v>
      </c>
      <c r="J628" s="16">
        <f ca="1">IFERROR(__xludf.DUMMYFUNCTION("""COMPUTED_VALUE"""),44217.3958333333)</f>
        <v>44217.395833333299</v>
      </c>
      <c r="K628" t="str">
        <f ca="1">IFERROR(__xludf.DUMMYFUNCTION("""COMPUTED_VALUE"""),"Jon Boat 1 FL5992RR DEP154045")</f>
        <v>Jon Boat 1 FL5992RR DEP154045</v>
      </c>
      <c r="M628" t="str">
        <f ca="1">IFERROR(__xludf.DUMMYFUNCTION("""COMPUTED_VALUE"""),"Ford F150 2015 (White) - DEP21448")</f>
        <v>Ford F150 2015 (White) - DEP21448</v>
      </c>
      <c r="N628" t="str">
        <f ca="1">IFERROR(__xludf.DUMMYFUNCTION("""COMPUTED_VALUE"""),"Shannon Dunnigan, (803) 727-5734, Jessica Lee")</f>
        <v>Shannon Dunnigan, (803) 727-5734, Jessica Lee</v>
      </c>
      <c r="P628" t="str">
        <f ca="1">IFERROR(__xludf.DUMMYFUNCTION("""COMPUTED_VALUE"""),"Jessica Lee")</f>
        <v>Jessica Lee</v>
      </c>
      <c r="Q628" t="str">
        <f ca="1">IFERROR(__xludf.DUMMYFUNCTION("""COMPUTED_VALUE"""),"All items in working order")</f>
        <v>All items in working order</v>
      </c>
      <c r="AE628" s="11"/>
      <c r="AF628" t="str">
        <v>Nikki.Dix@floridadep.gov</v>
      </c>
      <c r="AG628" s="17" t="s">
        <v>41</v>
      </c>
      <c r="AH628" s="12">
        <v>945</v>
      </c>
      <c r="AI628" s="12" t="s">
        <v>1838</v>
      </c>
      <c r="AJ628" s="19" t="s">
        <v>1839</v>
      </c>
      <c r="AK628" s="20" t="str">
        <f>HYPERLINK("https://docs.google.com/document/d/1Gn3ce4eF2_TQniGodtJS-zyBDXcXyTC6DufeG8v4j9U/edit?usp=drivesdk","Jessica Lee - 1/11/2021 7:35 AM")</f>
        <v>Jessica Lee - 1/11/2021 7:35 AM</v>
      </c>
      <c r="AL628" s="12" t="s">
        <v>1840</v>
      </c>
    </row>
    <row r="629" spans="1:38" ht="12.75">
      <c r="A629" s="10">
        <f ca="1">IFERROR(__xludf.DUMMYFUNCTION("""COMPUTED_VALUE"""),44208.3955013194)</f>
        <v>44208.395501319399</v>
      </c>
      <c r="B629" s="11" t="str">
        <f ca="1">IFERROR(__xludf.DUMMYFUNCTION("""COMPUTED_VALUE"""),"Alexandria Knoell")</f>
        <v>Alexandria Knoell</v>
      </c>
      <c r="C629" t="str">
        <f ca="1">IFERROR(__xludf.DUMMYFUNCTION("""COMPUTED_VALUE"""),"alee.knoell@hotmail.com")</f>
        <v>alee.knoell@hotmail.com</v>
      </c>
      <c r="D629" t="str">
        <f ca="1">IFERROR(__xludf.DUMMYFUNCTION("""COMPUTED_VALUE"""),"Pam Marcum")</f>
        <v>Pam Marcum</v>
      </c>
      <c r="E629" t="str">
        <f ca="1">IFERROR(__xludf.DUMMYFUNCTION("""COMPUTED_VALUE"""),"Green road ")</f>
        <v xml:space="preserve">Green road </v>
      </c>
      <c r="F629" s="13">
        <f ca="1">IFERROR(__xludf.DUMMYFUNCTION("""COMPUTED_VALUE"""),0.39583333333212)</f>
        <v>0.39583333333212001</v>
      </c>
      <c r="G629" s="14">
        <f ca="1">IFERROR(__xludf.DUMMYFUNCTION("""COMPUTED_VALUE"""),44208)</f>
        <v>44208</v>
      </c>
      <c r="H629" t="str">
        <f ca="1">IFERROR(__xludf.DUMMYFUNCTION("""COMPUTED_VALUE"""),"Nutrient run ")</f>
        <v xml:space="preserve">Nutrient run </v>
      </c>
      <c r="I629" s="15">
        <f ca="1">IFERROR(__xludf.DUMMYFUNCTION("""COMPUTED_VALUE"""),0.447916666667879)</f>
        <v>0.44791666666787899</v>
      </c>
      <c r="J629" s="16">
        <f ca="1">IFERROR(__xludf.DUMMYFUNCTION("""COMPUTED_VALUE"""),44208.5833333333)</f>
        <v>44208.583333333299</v>
      </c>
      <c r="K629" t="str">
        <f ca="1">IFERROR(__xludf.DUMMYFUNCTION("""COMPUTED_VALUE"""),"17ft Skiff (Marsha) FL0642GW DEP07239")</f>
        <v>17ft Skiff (Marsha) FL0642GW DEP07239</v>
      </c>
      <c r="M629" t="str">
        <f ca="1">IFERROR(__xludf.DUMMYFUNCTION("""COMPUTED_VALUE"""),"Ford F250 2017 (Moby Dix) - DEP0021578")</f>
        <v>Ford F250 2017 (Moby Dix) - DEP0021578</v>
      </c>
      <c r="N629" t="str">
        <f ca="1">IFERROR(__xludf.DUMMYFUNCTION("""COMPUTED_VALUE"""),"Shannon Dunnigan, (803) 727-5734")</f>
        <v>Shannon Dunnigan, (803) 727-5734</v>
      </c>
      <c r="O629" t="str">
        <f ca="1">IFERROR(__xludf.DUMMYFUNCTION("""COMPUTED_VALUE"""),"Alee Knoell, (619) 750-4833")</f>
        <v>Alee Knoell, (619) 750-4833</v>
      </c>
      <c r="P629" t="str">
        <f ca="1">IFERROR(__xludf.DUMMYFUNCTION("""COMPUTED_VALUE"""),"Shannon")</f>
        <v>Shannon</v>
      </c>
      <c r="Q629" t="str">
        <f ca="1">IFERROR(__xludf.DUMMYFUNCTION("""COMPUTED_VALUE"""),"All items in working order")</f>
        <v>All items in working order</v>
      </c>
      <c r="AE629" s="11"/>
      <c r="AF629" t="str">
        <v>Pamela.Marcum@floridadep.gov</v>
      </c>
      <c r="AG629" s="17" t="s">
        <v>139</v>
      </c>
      <c r="AH629" s="12">
        <v>1047</v>
      </c>
      <c r="AI629" s="12" t="s">
        <v>1841</v>
      </c>
      <c r="AJ629" s="19" t="s">
        <v>1842</v>
      </c>
      <c r="AK629" s="20" t="str">
        <f>HYPERLINK("https://docs.google.com/document/d/1crtF05F3q5CAMEyM-5WMtJzayv4sDJC-8hgNvvAP3dA/edit?usp=drivesdk","Alexandria Knoell - 1/12/2021 9:30 AM")</f>
        <v>Alexandria Knoell - 1/12/2021 9:30 AM</v>
      </c>
      <c r="AL629" s="12" t="s">
        <v>1843</v>
      </c>
    </row>
    <row r="630" spans="1:38" ht="12.75">
      <c r="A630" s="10">
        <f ca="1">IFERROR(__xludf.DUMMYFUNCTION("""COMPUTED_VALUE"""),44208.4575249074)</f>
        <v>44208.457524907397</v>
      </c>
      <c r="B630" s="11" t="str">
        <f ca="1">IFERROR(__xludf.DUMMYFUNCTION("""COMPUTED_VALUE"""),"Alexandria Knoell")</f>
        <v>Alexandria Knoell</v>
      </c>
      <c r="C630" t="str">
        <f ca="1">IFERROR(__xludf.DUMMYFUNCTION("""COMPUTED_VALUE"""),"alee.knoell@hotmail.com")</f>
        <v>alee.knoell@hotmail.com</v>
      </c>
      <c r="D630" t="str">
        <f ca="1">IFERROR(__xludf.DUMMYFUNCTION("""COMPUTED_VALUE"""),"Pam Marcum")</f>
        <v>Pam Marcum</v>
      </c>
      <c r="E630" t="str">
        <f ca="1">IFERROR(__xludf.DUMMYFUNCTION("""COMPUTED_VALUE"""),"Green road ")</f>
        <v xml:space="preserve">Green road </v>
      </c>
      <c r="F630" s="13">
        <f ca="1">IFERROR(__xludf.DUMMYFUNCTION("""COMPUTED_VALUE"""),0.39583333333212)</f>
        <v>0.39583333333212001</v>
      </c>
      <c r="G630" s="14">
        <f ca="1">IFERROR(__xludf.DUMMYFUNCTION("""COMPUTED_VALUE"""),44208)</f>
        <v>44208</v>
      </c>
      <c r="H630" t="str">
        <f ca="1">IFERROR(__xludf.DUMMYFUNCTION("""COMPUTED_VALUE"""),"Nutrient run ")</f>
        <v xml:space="preserve">Nutrient run </v>
      </c>
      <c r="I630" s="15">
        <f ca="1">IFERROR(__xludf.DUMMYFUNCTION("""COMPUTED_VALUE"""),0.447916666667879)</f>
        <v>0.44791666666787899</v>
      </c>
      <c r="J630" s="16">
        <f ca="1">IFERROR(__xludf.DUMMYFUNCTION("""COMPUTED_VALUE"""),44208.5833333333)</f>
        <v>44208.583333333299</v>
      </c>
      <c r="K630" t="str">
        <f ca="1">IFERROR(__xludf.DUMMYFUNCTION("""COMPUTED_VALUE"""),"17ft Skiff (Marsha) FL0642GW DEP07239")</f>
        <v>17ft Skiff (Marsha) FL0642GW DEP07239</v>
      </c>
      <c r="M630" t="str">
        <f ca="1">IFERROR(__xludf.DUMMYFUNCTION("""COMPUTED_VALUE"""),"Ford F250 2017 (Moby Dix) - DEP0021578")</f>
        <v>Ford F250 2017 (Moby Dix) - DEP0021578</v>
      </c>
      <c r="N630" t="str">
        <f ca="1">IFERROR(__xludf.DUMMYFUNCTION("""COMPUTED_VALUE"""),"Shannon Dunnigan, (803) 727-5734")</f>
        <v>Shannon Dunnigan, (803) 727-5734</v>
      </c>
      <c r="O630" t="str">
        <f ca="1">IFERROR(__xludf.DUMMYFUNCTION("""COMPUTED_VALUE"""),"Alee Knoell, (619) 750-4833")</f>
        <v>Alee Knoell, (619) 750-4833</v>
      </c>
      <c r="P630" t="str">
        <f ca="1">IFERROR(__xludf.DUMMYFUNCTION("""COMPUTED_VALUE"""),"Shannon")</f>
        <v>Shannon</v>
      </c>
      <c r="Q630" t="str">
        <f ca="1">IFERROR(__xludf.DUMMYFUNCTION("""COMPUTED_VALUE"""),"All items in working order")</f>
        <v>All items in working order</v>
      </c>
      <c r="AE630" s="11"/>
      <c r="AF630" t="str">
        <v>Pamela.Marcum@floridadep.gov</v>
      </c>
      <c r="AG630" s="17" t="s">
        <v>54</v>
      </c>
      <c r="AH630" s="17" t="s">
        <v>54</v>
      </c>
      <c r="AI630" s="12" t="s">
        <v>1844</v>
      </c>
      <c r="AJ630" s="19" t="s">
        <v>1845</v>
      </c>
      <c r="AK630" s="20" t="str">
        <f>HYPERLINK("https://docs.google.com/document/d/1fp3M7lZP4AKNZunJEtxpBIXW6vynbXglsC04sK0zXY0/edit?usp=drivesdk","Alexandria Knoell - 1/12/2021 9:30 AM")</f>
        <v>Alexandria Knoell - 1/12/2021 9:30 AM</v>
      </c>
      <c r="AL630" s="12" t="s">
        <v>1846</v>
      </c>
    </row>
    <row r="631" spans="1:38" ht="12.75">
      <c r="A631" s="10">
        <f ca="1">IFERROR(__xludf.DUMMYFUNCTION("""COMPUTED_VALUE"""),44208.4597168981)</f>
        <v>44208.459716898098</v>
      </c>
      <c r="B631" s="11" t="str">
        <f ca="1">IFERROR(__xludf.DUMMYFUNCTION("""COMPUTED_VALUE"""),"Alexandria Knoell")</f>
        <v>Alexandria Knoell</v>
      </c>
      <c r="C631" t="str">
        <f ca="1">IFERROR(__xludf.DUMMYFUNCTION("""COMPUTED_VALUE"""),"alee.knoell@floridadep.gov")</f>
        <v>alee.knoell@floridadep.gov</v>
      </c>
      <c r="D631" t="str">
        <f ca="1">IFERROR(__xludf.DUMMYFUNCTION("""COMPUTED_VALUE"""),"Pam Marcum")</f>
        <v>Pam Marcum</v>
      </c>
      <c r="E631" t="str">
        <f ca="1">IFERROR(__xludf.DUMMYFUNCTION("""COMPUTED_VALUE"""),"Crane")</f>
        <v>Crane</v>
      </c>
      <c r="F631" s="13">
        <f ca="1">IFERROR(__xludf.DUMMYFUNCTION("""COMPUTED_VALUE"""),0.46875)</f>
        <v>0.46875</v>
      </c>
      <c r="G631" s="14">
        <f ca="1">IFERROR(__xludf.DUMMYFUNCTION("""COMPUTED_VALUE"""),44208)</f>
        <v>44208</v>
      </c>
      <c r="H631" t="str">
        <f ca="1">IFERROR(__xludf.DUMMYFUNCTION("""COMPUTED_VALUE"""),"Nutrients ")</f>
        <v xml:space="preserve">Nutrients </v>
      </c>
      <c r="I631" s="15">
        <f ca="1">IFERROR(__xludf.DUMMYFUNCTION("""COMPUTED_VALUE"""),0.510416666667879)</f>
        <v>0.51041666666787899</v>
      </c>
      <c r="J631" s="16">
        <f ca="1">IFERROR(__xludf.DUMMYFUNCTION("""COMPUTED_VALUE"""),44208.6041666666)</f>
        <v>44208.604166666599</v>
      </c>
      <c r="K631" t="str">
        <f ca="1">IFERROR(__xludf.DUMMYFUNCTION("""COMPUTED_VALUE"""),"17ft Skiff (Marsha) FL0642GW DEP07239")</f>
        <v>17ft Skiff (Marsha) FL0642GW DEP07239</v>
      </c>
      <c r="M631" t="str">
        <f ca="1">IFERROR(__xludf.DUMMYFUNCTION("""COMPUTED_VALUE"""),"Ford F250 2017 (Moby Dix) - DEP0021578")</f>
        <v>Ford F250 2017 (Moby Dix) - DEP0021578</v>
      </c>
      <c r="N631" t="str">
        <f ca="1">IFERROR(__xludf.DUMMYFUNCTION("""COMPUTED_VALUE"""),"Shannon Dunnigan, (803) 727-5734")</f>
        <v>Shannon Dunnigan, (803) 727-5734</v>
      </c>
      <c r="O631" t="str">
        <f ca="1">IFERROR(__xludf.DUMMYFUNCTION("""COMPUTED_VALUE"""),"Alee Knoell, (619) 750-4833")</f>
        <v>Alee Knoell, (619) 750-4833</v>
      </c>
      <c r="P631" t="str">
        <f ca="1">IFERROR(__xludf.DUMMYFUNCTION("""COMPUTED_VALUE"""),"Shannon")</f>
        <v>Shannon</v>
      </c>
      <c r="Q631" t="str">
        <f ca="1">IFERROR(__xludf.DUMMYFUNCTION("""COMPUTED_VALUE"""),"All items in working order")</f>
        <v>All items in working order</v>
      </c>
      <c r="AE631" s="11"/>
      <c r="AF631" t="str">
        <v>Pamela.Marcum@floridadep.gov</v>
      </c>
      <c r="AG631" s="17" t="s">
        <v>139</v>
      </c>
      <c r="AH631" s="12">
        <v>1210</v>
      </c>
      <c r="AI631" s="12" t="s">
        <v>1847</v>
      </c>
      <c r="AJ631" s="19" t="s">
        <v>1848</v>
      </c>
      <c r="AK631" s="20" t="str">
        <f>HYPERLINK("https://docs.google.com/document/d/1Q9AR0hNi5W1l_JNEA55q1a385woNROh6LEzaMqLZCXk/edit?usp=drivesdk","Alexandria Knoell - 1/12/2021 11:15 AM")</f>
        <v>Alexandria Knoell - 1/12/2021 11:15 AM</v>
      </c>
      <c r="AL631" s="12" t="s">
        <v>1849</v>
      </c>
    </row>
    <row r="632" spans="1:38" ht="12.75">
      <c r="A632" s="10">
        <f ca="1">IFERROR(__xludf.DUMMYFUNCTION("""COMPUTED_VALUE"""),44208.5235924652)</f>
        <v>44208.523592465201</v>
      </c>
      <c r="B632" s="11" t="str">
        <f ca="1">IFERROR(__xludf.DUMMYFUNCTION("""COMPUTED_VALUE"""),"Alexandria Knoell")</f>
        <v>Alexandria Knoell</v>
      </c>
      <c r="C632" t="str">
        <f ca="1">IFERROR(__xludf.DUMMYFUNCTION("""COMPUTED_VALUE"""),"alee.knoell@floridadep.gov")</f>
        <v>alee.knoell@floridadep.gov</v>
      </c>
      <c r="D632" t="str">
        <f ca="1">IFERROR(__xludf.DUMMYFUNCTION("""COMPUTED_VALUE"""),"Pam Marcum")</f>
        <v>Pam Marcum</v>
      </c>
      <c r="E632" t="str">
        <f ca="1">IFERROR(__xludf.DUMMYFUNCTION("""COMPUTED_VALUE"""),"Kate’s ")</f>
        <v xml:space="preserve">Kate’s </v>
      </c>
      <c r="F632" s="13">
        <f ca="1">IFERROR(__xludf.DUMMYFUNCTION("""COMPUTED_VALUE"""),0.527777777777373)</f>
        <v>0.527777777777373</v>
      </c>
      <c r="G632" s="14">
        <f ca="1">IFERROR(__xludf.DUMMYFUNCTION("""COMPUTED_VALUE"""),44208)</f>
        <v>44208</v>
      </c>
      <c r="H632" t="str">
        <f ca="1">IFERROR(__xludf.DUMMYFUNCTION("""COMPUTED_VALUE"""),"Nutrients")</f>
        <v>Nutrients</v>
      </c>
      <c r="I632" s="15">
        <f ca="1">IFERROR(__xludf.DUMMYFUNCTION("""COMPUTED_VALUE"""),0.604166666667879)</f>
        <v>0.60416666666787899</v>
      </c>
      <c r="J632" s="16">
        <f ca="1">IFERROR(__xludf.DUMMYFUNCTION("""COMPUTED_VALUE"""),44208.6458333333)</f>
        <v>44208.645833333299</v>
      </c>
      <c r="K632" t="str">
        <f ca="1">IFERROR(__xludf.DUMMYFUNCTION("""COMPUTED_VALUE"""),"17ft Skiff (Marsha) FL0642GW DEP07239")</f>
        <v>17ft Skiff (Marsha) FL0642GW DEP07239</v>
      </c>
      <c r="M632" t="str">
        <f ca="1">IFERROR(__xludf.DUMMYFUNCTION("""COMPUTED_VALUE"""),"Ford F250 2017 (Moby Dix) - DEP0021578")</f>
        <v>Ford F250 2017 (Moby Dix) - DEP0021578</v>
      </c>
      <c r="N632" t="str">
        <f ca="1">IFERROR(__xludf.DUMMYFUNCTION("""COMPUTED_VALUE"""),"Shannon Dunnigan, (803) 727-5734")</f>
        <v>Shannon Dunnigan, (803) 727-5734</v>
      </c>
      <c r="O632" t="str">
        <f ca="1">IFERROR(__xludf.DUMMYFUNCTION("""COMPUTED_VALUE"""),"Alee Knoell, (619) 750-4833")</f>
        <v>Alee Knoell, (619) 750-4833</v>
      </c>
      <c r="P632" t="str">
        <f ca="1">IFERROR(__xludf.DUMMYFUNCTION("""COMPUTED_VALUE"""),"Shannon")</f>
        <v>Shannon</v>
      </c>
      <c r="Q632" t="str">
        <f ca="1">IFERROR(__xludf.DUMMYFUNCTION("""COMPUTED_VALUE"""),"All items in working order")</f>
        <v>All items in working order</v>
      </c>
      <c r="AE632" s="11"/>
      <c r="AF632" t="str">
        <v>Pamela.Marcum@floridadep.gov</v>
      </c>
      <c r="AG632" s="17" t="s">
        <v>139</v>
      </c>
      <c r="AH632" s="12">
        <v>1416</v>
      </c>
      <c r="AI632" s="12" t="s">
        <v>1850</v>
      </c>
      <c r="AJ632" s="19" t="s">
        <v>1851</v>
      </c>
      <c r="AK632" s="20" t="str">
        <f>HYPERLINK("https://docs.google.com/document/d/1_QL2GWUsfZlzAGXgUOXLioeNaCl-VQI4XH56wGvnpDo/edit?usp=drivesdk","Alexandria Knoell - 1/12/2021 12:40 PM")</f>
        <v>Alexandria Knoell - 1/12/2021 12:40 PM</v>
      </c>
      <c r="AL632" s="12" t="s">
        <v>1852</v>
      </c>
    </row>
    <row r="633" spans="1:38" ht="12.75">
      <c r="A633" s="10">
        <f ca="1">IFERROR(__xludf.DUMMYFUNCTION("""COMPUTED_VALUE"""),44223.3463412962)</f>
        <v>44223.346341296201</v>
      </c>
      <c r="B633" s="11" t="str">
        <f ca="1">IFERROR(__xludf.DUMMYFUNCTION("""COMPUTED_VALUE"""),"Alexandria Knoell")</f>
        <v>Alexandria Knoell</v>
      </c>
      <c r="C633" t="str">
        <f ca="1">IFERROR(__xludf.DUMMYFUNCTION("""COMPUTED_VALUE"""),"alee.knoell@floridadep.gov")</f>
        <v>alee.knoell@floridadep.gov</v>
      </c>
      <c r="D633" t="str">
        <f ca="1">IFERROR(__xludf.DUMMYFUNCTION("""COMPUTED_VALUE"""),"Nikki Dix")</f>
        <v>Nikki Dix</v>
      </c>
      <c r="E633" t="str">
        <f ca="1">IFERROR(__xludf.DUMMYFUNCTION("""COMPUTED_VALUE"""),"Vilano")</f>
        <v>Vilano</v>
      </c>
      <c r="F633" s="13">
        <f ca="1">IFERROR(__xludf.DUMMYFUNCTION("""COMPUTED_VALUE"""),0.354166666667879)</f>
        <v>0.35416666666787899</v>
      </c>
      <c r="G633" s="14">
        <f ca="1">IFERROR(__xludf.DUMMYFUNCTION("""COMPUTED_VALUE"""),44223)</f>
        <v>44223</v>
      </c>
      <c r="H633" t="str">
        <f ca="1">IFERROR(__xludf.DUMMYFUNCTION("""COMPUTED_VALUE"""),"Sonde swap")</f>
        <v>Sonde swap</v>
      </c>
      <c r="I633" s="15">
        <f ca="1">IFERROR(__xludf.DUMMYFUNCTION("""COMPUTED_VALUE"""),0.541666666667879)</f>
        <v>0.54166666666787899</v>
      </c>
      <c r="J633" s="16">
        <f ca="1">IFERROR(__xludf.DUMMYFUNCTION("""COMPUTED_VALUE"""),44223.625)</f>
        <v>44223.625</v>
      </c>
      <c r="K633" t="str">
        <f ca="1">IFERROR(__xludf.DUMMYFUNCTION("""COMPUTED_VALUE"""),"23ft Skiff (Bertha) FL7972LJ DEP07613")</f>
        <v>23ft Skiff (Bertha) FL7972LJ DEP07613</v>
      </c>
      <c r="M633" t="str">
        <f ca="1">IFERROR(__xludf.DUMMYFUNCTION("""COMPUTED_VALUE"""),"Ford F150 2015 (White) - DEP21448")</f>
        <v>Ford F150 2015 (White) - DEP21448</v>
      </c>
      <c r="N633" t="str">
        <f ca="1">IFERROR(__xludf.DUMMYFUNCTION("""COMPUTED_VALUE"""),"Silas Tanner, (904) 483-8423")</f>
        <v>Silas Tanner, (904) 483-8423</v>
      </c>
      <c r="O633" t="str">
        <f ca="1">IFERROR(__xludf.DUMMYFUNCTION("""COMPUTED_VALUE"""),"Alee Knoell, (619) 750-4833")</f>
        <v>Alee Knoell, (619) 750-4833</v>
      </c>
      <c r="P633" t="str">
        <f ca="1">IFERROR(__xludf.DUMMYFUNCTION("""COMPUTED_VALUE"""),"Silas")</f>
        <v>Silas</v>
      </c>
      <c r="Q633" t="str">
        <f ca="1">IFERROR(__xludf.DUMMYFUNCTION("""COMPUTED_VALUE"""),"All items in working order")</f>
        <v>All items in working order</v>
      </c>
      <c r="AE633" s="11"/>
      <c r="AF633" t="str">
        <v>Nikki.Dix@floridadep.gov</v>
      </c>
      <c r="AG633" s="17" t="s">
        <v>54</v>
      </c>
      <c r="AH633" s="17" t="s">
        <v>54</v>
      </c>
      <c r="AI633" s="12" t="s">
        <v>1853</v>
      </c>
      <c r="AJ633" s="19" t="s">
        <v>1854</v>
      </c>
      <c r="AK633" s="20" t="str">
        <f>HYPERLINK("https://docs.google.com/document/d/1myxKeon_x40RgP9PvrOf6lZzxP-gH7adTtx-_gxaK-s/edit?usp=drivesdk","Alexandria Knoell - 1/27/2021 8:30 AM")</f>
        <v>Alexandria Knoell - 1/27/2021 8:30 AM</v>
      </c>
      <c r="AL633" s="12" t="s">
        <v>1855</v>
      </c>
    </row>
    <row r="634" spans="1:38" ht="12.75">
      <c r="A634" s="10">
        <f ca="1">IFERROR(__xludf.DUMMYFUNCTION("""COMPUTED_VALUE"""),44223.4786781713)</f>
        <v>44223.478678171297</v>
      </c>
      <c r="B634" s="11" t="str">
        <f ca="1">IFERROR(__xludf.DUMMYFUNCTION("""COMPUTED_VALUE"""),"Alexandria Knoell")</f>
        <v>Alexandria Knoell</v>
      </c>
      <c r="C634" t="str">
        <f ca="1">IFERROR(__xludf.DUMMYFUNCTION("""COMPUTED_VALUE"""),"alee.knoell@floridadep.gov")</f>
        <v>alee.knoell@floridadep.gov</v>
      </c>
      <c r="D634" t="str">
        <f ca="1">IFERROR(__xludf.DUMMYFUNCTION("""COMPUTED_VALUE"""),"Nikki Dix")</f>
        <v>Nikki Dix</v>
      </c>
      <c r="E634" t="str">
        <f ca="1">IFERROR(__xludf.DUMMYFUNCTION("""COMPUTED_VALUE"""),"Vilano")</f>
        <v>Vilano</v>
      </c>
      <c r="F634" s="13">
        <f ca="1">IFERROR(__xludf.DUMMYFUNCTION("""COMPUTED_VALUE"""),0.42708333333212)</f>
        <v>0.42708333333212001</v>
      </c>
      <c r="G634" s="14">
        <f ca="1">IFERROR(__xludf.DUMMYFUNCTION("""COMPUTED_VALUE"""),44223)</f>
        <v>44223</v>
      </c>
      <c r="H634" t="str">
        <f ca="1">IFERROR(__xludf.DUMMYFUNCTION("""COMPUTED_VALUE"""),"Sonde swap")</f>
        <v>Sonde swap</v>
      </c>
      <c r="I634" s="15">
        <f ca="1">IFERROR(__xludf.DUMMYFUNCTION("""COMPUTED_VALUE"""),0.58333333333212)</f>
        <v>0.58333333333212001</v>
      </c>
      <c r="J634" s="16">
        <f ca="1">IFERROR(__xludf.DUMMYFUNCTION("""COMPUTED_VALUE"""),44223.6041666666)</f>
        <v>44223.604166666599</v>
      </c>
      <c r="K634" t="str">
        <f ca="1">IFERROR(__xludf.DUMMYFUNCTION("""COMPUTED_VALUE"""),"23ft Skiff (Bertha) FL7972LJ DEP07613")</f>
        <v>23ft Skiff (Bertha) FL7972LJ DEP07613</v>
      </c>
      <c r="M634" t="str">
        <f ca="1">IFERROR(__xludf.DUMMYFUNCTION("""COMPUTED_VALUE"""),"Ford F150 2015 (White) - DEP21448")</f>
        <v>Ford F150 2015 (White) - DEP21448</v>
      </c>
      <c r="N634" t="str">
        <f ca="1">IFERROR(__xludf.DUMMYFUNCTION("""COMPUTED_VALUE"""),"Silas Tanner, (904) 483-8423")</f>
        <v>Silas Tanner, (904) 483-8423</v>
      </c>
      <c r="O634" t="str">
        <f ca="1">IFERROR(__xludf.DUMMYFUNCTION("""COMPUTED_VALUE"""),"Alee Knoell, (619) 750-4833")</f>
        <v>Alee Knoell, (619) 750-4833</v>
      </c>
      <c r="P634" t="str">
        <f ca="1">IFERROR(__xludf.DUMMYFUNCTION("""COMPUTED_VALUE"""),"Silas")</f>
        <v>Silas</v>
      </c>
      <c r="Q634" t="str">
        <f ca="1">IFERROR(__xludf.DUMMYFUNCTION("""COMPUTED_VALUE"""),"All items in working order")</f>
        <v>All items in working order</v>
      </c>
      <c r="AE634" s="11"/>
      <c r="AF634" t="str">
        <v>Nikki.Dix@floridadep.gov</v>
      </c>
      <c r="AG634" s="17" t="s">
        <v>41</v>
      </c>
      <c r="AH634" s="12">
        <v>1345</v>
      </c>
      <c r="AI634" s="12" t="s">
        <v>1856</v>
      </c>
      <c r="AJ634" s="19" t="s">
        <v>1857</v>
      </c>
      <c r="AK634" s="20" t="str">
        <f>HYPERLINK("https://docs.google.com/document/d/18ith3gtCPg5SHCe5eL28SQzY5fegvioTEbixkzDvkF4/edit?usp=drivesdk","Alexandria Knoell - 1/27/2021 10:15 AM")</f>
        <v>Alexandria Knoell - 1/27/2021 10:15 AM</v>
      </c>
      <c r="AL634" s="12" t="s">
        <v>1858</v>
      </c>
    </row>
    <row r="635" spans="1:38" ht="12.75">
      <c r="A635" s="10">
        <f ca="1">IFERROR(__xludf.DUMMYFUNCTION("""COMPUTED_VALUE"""),44231.4519963657)</f>
        <v>44231.4519963657</v>
      </c>
      <c r="B635" s="11" t="str">
        <f ca="1">IFERROR(__xludf.DUMMYFUNCTION("""COMPUTED_VALUE"""),"Pamela Marcum")</f>
        <v>Pamela Marcum</v>
      </c>
      <c r="C635" t="str">
        <f ca="1">IFERROR(__xludf.DUMMYFUNCTION("""COMPUTED_VALUE"""),"pamela.marcum@floridadep.gov")</f>
        <v>pamela.marcum@floridadep.gov</v>
      </c>
      <c r="D635" t="str">
        <f ca="1">IFERROR(__xludf.DUMMYFUNCTION("""COMPUTED_VALUE"""),"Nikki Dix")</f>
        <v>Nikki Dix</v>
      </c>
      <c r="E635" t="str">
        <f ca="1">IFERROR(__xludf.DUMMYFUNCTION("""COMPUTED_VALUE"""),"Aunt kates")</f>
        <v>Aunt kates</v>
      </c>
      <c r="F635" s="13">
        <f ca="1">IFERROR(__xludf.DUMMYFUNCTION("""COMPUTED_VALUE"""),0.451388888890505)</f>
        <v>0.45138888889050499</v>
      </c>
      <c r="G635" s="14">
        <f ca="1">IFERROR(__xludf.DUMMYFUNCTION("""COMPUTED_VALUE"""),44231)</f>
        <v>44231</v>
      </c>
      <c r="H635" t="str">
        <f ca="1">IFERROR(__xludf.DUMMYFUNCTION("""COMPUTED_VALUE"""),"Hat island")</f>
        <v>Hat island</v>
      </c>
      <c r="I635" s="15">
        <f ca="1">IFERROR(__xludf.DUMMYFUNCTION("""COMPUTED_VALUE"""),0.58333333333212)</f>
        <v>0.58333333333212001</v>
      </c>
      <c r="J635" s="16">
        <f ca="1">IFERROR(__xludf.DUMMYFUNCTION("""COMPUTED_VALUE"""),44231.6041666666)</f>
        <v>44231.604166666599</v>
      </c>
      <c r="K635" t="str">
        <f ca="1">IFERROR(__xludf.DUMMYFUNCTION("""COMPUTED_VALUE"""),"23ft Skiff (Bertha) FL7972LJ DEP07613")</f>
        <v>23ft Skiff (Bertha) FL7972LJ DEP07613</v>
      </c>
      <c r="M635" t="str">
        <f ca="1">IFERROR(__xludf.DUMMYFUNCTION("""COMPUTED_VALUE"""),"Ford F150 2015 (White) - DEP21448")</f>
        <v>Ford F150 2015 (White) - DEP21448</v>
      </c>
      <c r="N635" t="str">
        <f ca="1">IFERROR(__xludf.DUMMYFUNCTION("""COMPUTED_VALUE"""),"Pam Marcum, (480) 332-5414")</f>
        <v>Pam Marcum, (480) 332-5414</v>
      </c>
      <c r="O635" t="str">
        <f ca="1">IFERROR(__xludf.DUMMYFUNCTION("""COMPUTED_VALUE"""),"Alee Knoell, (619) 750-4833")</f>
        <v>Alee Knoell, (619) 750-4833</v>
      </c>
      <c r="P635" t="str">
        <f ca="1">IFERROR(__xludf.DUMMYFUNCTION("""COMPUTED_VALUE"""),"Pam")</f>
        <v>Pam</v>
      </c>
      <c r="Q635" t="str">
        <f ca="1">IFERROR(__xludf.DUMMYFUNCTION("""COMPUTED_VALUE"""),"All items in working order")</f>
        <v>All items in working order</v>
      </c>
      <c r="AE635" s="11"/>
      <c r="AF635" t="str">
        <v>Nikki.Dix@floridadep.gov</v>
      </c>
      <c r="AG635" s="17" t="s">
        <v>41</v>
      </c>
      <c r="AH635" s="12">
        <v>1235</v>
      </c>
      <c r="AI635" s="12" t="s">
        <v>1859</v>
      </c>
      <c r="AJ635" s="19" t="s">
        <v>1860</v>
      </c>
      <c r="AK635" s="20" t="str">
        <f>HYPERLINK("https://docs.google.com/document/d/15ryWPaEC9QD9CGo79CYeu5aO05GgMvH3od9_9mdrlP0/edit?usp=drivesdk","Pamela Marcum - 2/4/2021 10:50 AM")</f>
        <v>Pamela Marcum - 2/4/2021 10:50 AM</v>
      </c>
      <c r="AL635" s="12" t="s">
        <v>1861</v>
      </c>
    </row>
    <row r="636" spans="1:38" ht="12.75">
      <c r="A636" s="10">
        <f ca="1">IFERROR(__xludf.DUMMYFUNCTION("""COMPUTED_VALUE"""),44232.5586479745)</f>
        <v>44232.558647974503</v>
      </c>
      <c r="B636" s="11" t="str">
        <f ca="1">IFERROR(__xludf.DUMMYFUNCTION("""COMPUTED_VALUE"""),"Pamela Marcum")</f>
        <v>Pamela Marcum</v>
      </c>
      <c r="C636" t="str">
        <f ca="1">IFERROR(__xludf.DUMMYFUNCTION("""COMPUTED_VALUE"""),"pamela.marcum@floridadep.gov")</f>
        <v>pamela.marcum@floridadep.gov</v>
      </c>
      <c r="D636" t="str">
        <f ca="1">IFERROR(__xludf.DUMMYFUNCTION("""COMPUTED_VALUE"""),"Nikki Dix")</f>
        <v>Nikki Dix</v>
      </c>
      <c r="E636" t="str">
        <f ca="1">IFERROR(__xludf.DUMMYFUNCTION("""COMPUTED_VALUE"""),"Aunt Kates")</f>
        <v>Aunt Kates</v>
      </c>
      <c r="F636" s="13">
        <f ca="1">IFERROR(__xludf.DUMMYFUNCTION("""COMPUTED_VALUE"""),0.559027777777373)</f>
        <v>0.559027777777373</v>
      </c>
      <c r="G636" s="14">
        <f ca="1">IFERROR(__xludf.DUMMYFUNCTION("""COMPUTED_VALUE"""),44232)</f>
        <v>44232</v>
      </c>
      <c r="H636" t="str">
        <f ca="1">IFERROR(__xludf.DUMMYFUNCTION("""COMPUTED_VALUE"""),"Hat Island then Pine Island")</f>
        <v>Hat Island then Pine Island</v>
      </c>
      <c r="I636" s="15">
        <f ca="1">IFERROR(__xludf.DUMMYFUNCTION("""COMPUTED_VALUE"""),0.625)</f>
        <v>0.625</v>
      </c>
      <c r="J636" s="16">
        <f ca="1">IFERROR(__xludf.DUMMYFUNCTION("""COMPUTED_VALUE"""),44232.6458333333)</f>
        <v>44232.645833333299</v>
      </c>
      <c r="K636" t="str">
        <f ca="1">IFERROR(__xludf.DUMMYFUNCTION("""COMPUTED_VALUE"""),"23ft Skiff (Bertha) FL7972LJ DEP07613")</f>
        <v>23ft Skiff (Bertha) FL7972LJ DEP07613</v>
      </c>
      <c r="M636" t="str">
        <f ca="1">IFERROR(__xludf.DUMMYFUNCTION("""COMPUTED_VALUE"""),"Ford F150 2015 (White) - DEP21448")</f>
        <v>Ford F150 2015 (White) - DEP21448</v>
      </c>
      <c r="N636" t="str">
        <f ca="1">IFERROR(__xludf.DUMMYFUNCTION("""COMPUTED_VALUE"""),"Pam Marcum, (480) 332-5414")</f>
        <v>Pam Marcum, (480) 332-5414</v>
      </c>
      <c r="O636" t="str">
        <f ca="1">IFERROR(__xludf.DUMMYFUNCTION("""COMPUTED_VALUE"""),"Alee Knoell, (619) 750-4833")</f>
        <v>Alee Knoell, (619) 750-4833</v>
      </c>
      <c r="P636" t="str">
        <f ca="1">IFERROR(__xludf.DUMMYFUNCTION("""COMPUTED_VALUE"""),"Pam")</f>
        <v>Pam</v>
      </c>
      <c r="Q636" t="str">
        <f ca="1">IFERROR(__xludf.DUMMYFUNCTION("""COMPUTED_VALUE"""),"All items in working order")</f>
        <v>All items in working order</v>
      </c>
      <c r="AE636" s="11"/>
      <c r="AF636" t="str">
        <v>Nikki.Dix@floridadep.gov</v>
      </c>
      <c r="AG636" s="17" t="s">
        <v>41</v>
      </c>
      <c r="AH636" s="12">
        <v>1535</v>
      </c>
      <c r="AI636" s="12" t="s">
        <v>1862</v>
      </c>
      <c r="AJ636" s="19" t="s">
        <v>1863</v>
      </c>
      <c r="AK636" s="20" t="str">
        <f>HYPERLINK("https://docs.google.com/document/d/1jwuxhnk9VZeVeotGbhWE7_YtYkY4YoqlLNAIHsRPF0U/edit?usp=drivesdk","Pamela Marcum - 2/5/2021 1:25 PM")</f>
        <v>Pamela Marcum - 2/5/2021 1:25 PM</v>
      </c>
      <c r="AL636" s="12" t="s">
        <v>1864</v>
      </c>
    </row>
    <row r="637" spans="1:38" ht="12.75">
      <c r="A637" s="10">
        <f ca="1">IFERROR(__xludf.DUMMYFUNCTION("""COMPUTED_VALUE"""),44236.3300973726)</f>
        <v>44236.3300973726</v>
      </c>
      <c r="B637" s="11" t="str">
        <f ca="1">IFERROR(__xludf.DUMMYFUNCTION("""COMPUTED_VALUE"""),"Pam Marcum")</f>
        <v>Pam Marcum</v>
      </c>
      <c r="C637" t="str">
        <f ca="1">IFERROR(__xludf.DUMMYFUNCTION("""COMPUTED_VALUE"""),"pamela.marcum@floridadep.gov")</f>
        <v>pamela.marcum@floridadep.gov</v>
      </c>
      <c r="D637" t="str">
        <f ca="1">IFERROR(__xludf.DUMMYFUNCTION("""COMPUTED_VALUE"""),"Shannon Dunnigan")</f>
        <v>Shannon Dunnigan</v>
      </c>
      <c r="E637" t="str">
        <f ca="1">IFERROR(__xludf.DUMMYFUNCTION("""COMPUTED_VALUE"""),"Butler, Shore, Vilano")</f>
        <v>Butler, Shore, Vilano</v>
      </c>
      <c r="F637" s="13">
        <f ca="1">IFERROR(__xludf.DUMMYFUNCTION("""COMPUTED_VALUE"""),0.329861111109494)</f>
        <v>0.32986111110949401</v>
      </c>
      <c r="G637" s="14">
        <f ca="1">IFERROR(__xludf.DUMMYFUNCTION("""COMPUTED_VALUE"""),44236)</f>
        <v>44236</v>
      </c>
      <c r="H637" t="str">
        <f ca="1">IFERROR(__xludf.DUMMYFUNCTION("""COMPUTED_VALUE"""),"FM, SS, PI SWMP stations")</f>
        <v>FM, SS, PI SWMP stations</v>
      </c>
      <c r="I637" s="15">
        <f ca="1">IFERROR(__xludf.DUMMYFUNCTION("""COMPUTED_VALUE"""),0.58333333333212)</f>
        <v>0.58333333333212001</v>
      </c>
      <c r="J637" s="16">
        <f ca="1">IFERROR(__xludf.DUMMYFUNCTION("""COMPUTED_VALUE"""),44236.625)</f>
        <v>44236.625</v>
      </c>
      <c r="K637" t="str">
        <f ca="1">IFERROR(__xludf.DUMMYFUNCTION("""COMPUTED_VALUE"""),"23ft Skiff (Bertha) FL7972LJ DEP07613")</f>
        <v>23ft Skiff (Bertha) FL7972LJ DEP07613</v>
      </c>
      <c r="M637" t="str">
        <f ca="1">IFERROR(__xludf.DUMMYFUNCTION("""COMPUTED_VALUE"""),"Ford F250 2017 (Moby Dix) - DEP0021578")</f>
        <v>Ford F250 2017 (Moby Dix) - DEP0021578</v>
      </c>
      <c r="N637" t="str">
        <f ca="1">IFERROR(__xludf.DUMMYFUNCTION("""COMPUTED_VALUE"""),"Pam Marcum, (480) 332-5414")</f>
        <v>Pam Marcum, (480) 332-5414</v>
      </c>
      <c r="O637" t="str">
        <f ca="1">IFERROR(__xludf.DUMMYFUNCTION("""COMPUTED_VALUE"""),"Alee Knoell, (619) 750-4833, Ashley Reaume")</f>
        <v>Alee Knoell, (619) 750-4833, Ashley Reaume</v>
      </c>
      <c r="P637" t="str">
        <f ca="1">IFERROR(__xludf.DUMMYFUNCTION("""COMPUTED_VALUE"""),"Pam")</f>
        <v>Pam</v>
      </c>
      <c r="Q637" t="str">
        <f ca="1">IFERROR(__xludf.DUMMYFUNCTION("""COMPUTED_VALUE"""),"All items in working order")</f>
        <v>All items in working order</v>
      </c>
      <c r="AE637" s="11"/>
      <c r="AF637" t="str">
        <v>Shannon.Dunnigan@floridadep.gov</v>
      </c>
      <c r="AG637" s="17" t="s">
        <v>620</v>
      </c>
      <c r="AH637" s="12">
        <v>1241</v>
      </c>
      <c r="AI637" s="12" t="s">
        <v>1865</v>
      </c>
      <c r="AJ637" s="19" t="s">
        <v>1866</v>
      </c>
      <c r="AK637" s="20" t="str">
        <f>HYPERLINK("https://docs.google.com/document/d/17N_ylvr_yUkSNe6xKQXU0mqwMZ1yslteAdiu1dDQRTs/edit?usp=drivesdk","Pam Marcum - 2/9/2021 7:55 AM")</f>
        <v>Pam Marcum - 2/9/2021 7:55 AM</v>
      </c>
      <c r="AL637" s="12" t="s">
        <v>1867</v>
      </c>
    </row>
    <row r="638" spans="1:38" ht="12.75">
      <c r="A638" s="10">
        <f ca="1">IFERROR(__xludf.DUMMYFUNCTION("""COMPUTED_VALUE"""),44242.9540619675)</f>
        <v>44242.954061967503</v>
      </c>
      <c r="B638" s="11" t="str">
        <f ca="1">IFERROR(__xludf.DUMMYFUNCTION("""COMPUTED_VALUE"""),"Jessica Lee")</f>
        <v>Jessica Lee</v>
      </c>
      <c r="C638" t="str">
        <f ca="1">IFERROR(__xludf.DUMMYFUNCTION("""COMPUTED_VALUE"""),"jessica.lee@floridadep.gov")</f>
        <v>jessica.lee@floridadep.gov</v>
      </c>
      <c r="D638" t="str">
        <f ca="1">IFERROR(__xludf.DUMMYFUNCTION("""COMPUTED_VALUE"""),"Nikki Dix")</f>
        <v>Nikki Dix</v>
      </c>
      <c r="E638" t="str">
        <f ca="1">IFERROR(__xludf.DUMMYFUNCTION("""COMPUTED_VALUE"""),"Guana River")</f>
        <v>Guana River</v>
      </c>
      <c r="F638" s="13">
        <f ca="1">IFERROR(__xludf.DUMMYFUNCTION("""COMPUTED_VALUE"""),0.315972222222626)</f>
        <v>0.315972222222626</v>
      </c>
      <c r="G638" s="14">
        <f ca="1">IFERROR(__xludf.DUMMYFUNCTION("""COMPUTED_VALUE"""),44207)</f>
        <v>44207</v>
      </c>
      <c r="H638" t="str">
        <f ca="1">IFERROR(__xludf.DUMMYFUNCTION("""COMPUTED_VALUE"""),"Guana River ")</f>
        <v xml:space="preserve">Guana River </v>
      </c>
      <c r="I638" s="15">
        <f ca="1">IFERROR(__xludf.DUMMYFUNCTION("""COMPUTED_VALUE"""),0.375)</f>
        <v>0.375</v>
      </c>
      <c r="J638" s="16">
        <f ca="1">IFERROR(__xludf.DUMMYFUNCTION("""COMPUTED_VALUE"""),44217.3958333333)</f>
        <v>44217.395833333299</v>
      </c>
      <c r="K638" t="str">
        <f ca="1">IFERROR(__xludf.DUMMYFUNCTION("""COMPUTED_VALUE"""),"Jon Boat 1 FL5992RR DEP154045")</f>
        <v>Jon Boat 1 FL5992RR DEP154045</v>
      </c>
      <c r="M638" t="str">
        <f ca="1">IFERROR(__xludf.DUMMYFUNCTION("""COMPUTED_VALUE"""),"Ford F150 2015 (White) - DEP21448")</f>
        <v>Ford F150 2015 (White) - DEP21448</v>
      </c>
      <c r="N638" t="str">
        <f ca="1">IFERROR(__xludf.DUMMYFUNCTION("""COMPUTED_VALUE"""),"Shannon Dunnigan, (803) 727-5734, Jessica Lee")</f>
        <v>Shannon Dunnigan, (803) 727-5734, Jessica Lee</v>
      </c>
      <c r="P638" t="str">
        <f ca="1">IFERROR(__xludf.DUMMYFUNCTION("""COMPUTED_VALUE"""),"Jessica Lee")</f>
        <v>Jessica Lee</v>
      </c>
      <c r="Q638" t="str">
        <f ca="1">IFERROR(__xludf.DUMMYFUNCTION("""COMPUTED_VALUE"""),"All items in working order")</f>
        <v>All items in working order</v>
      </c>
      <c r="AE638" s="11"/>
      <c r="AF638" t="str">
        <v>Nikki.Dix@floridadep.gov</v>
      </c>
      <c r="AG638" s="17" t="s">
        <v>54</v>
      </c>
      <c r="AH638" s="17" t="s">
        <v>54</v>
      </c>
      <c r="AI638" s="12" t="s">
        <v>1868</v>
      </c>
      <c r="AJ638" s="19" t="s">
        <v>1869</v>
      </c>
      <c r="AK638" s="20" t="str">
        <f>HYPERLINK("https://docs.google.com/document/d/1LHaIygzSkWWa9gPRBovnDwiixCsnsg4ZaWHIN3lgKSg/edit?usp=drivesdk","Jessica Lee - 1/11/2021 7:35 AM")</f>
        <v>Jessica Lee - 1/11/2021 7:35 AM</v>
      </c>
      <c r="AL638" s="12" t="s">
        <v>1870</v>
      </c>
    </row>
    <row r="639" spans="1:38" ht="12.75">
      <c r="A639" s="10">
        <f ca="1">IFERROR(__xludf.DUMMYFUNCTION("""COMPUTED_VALUE"""),44244.3066419213)</f>
        <v>44244.306641921299</v>
      </c>
      <c r="B639" s="11" t="str">
        <f ca="1">IFERROR(__xludf.DUMMYFUNCTION("""COMPUTED_VALUE"""),"Alexandria Knoell")</f>
        <v>Alexandria Knoell</v>
      </c>
      <c r="C639" t="str">
        <f ca="1">IFERROR(__xludf.DUMMYFUNCTION("""COMPUTED_VALUE"""),"alee.knoell@floridadep.gov")</f>
        <v>alee.knoell@floridadep.gov</v>
      </c>
      <c r="D639" t="str">
        <f ca="1">IFERROR(__xludf.DUMMYFUNCTION("""COMPUTED_VALUE"""),"Nikki Dix")</f>
        <v>Nikki Dix</v>
      </c>
      <c r="E639" t="str">
        <f ca="1">IFERROR(__xludf.DUMMYFUNCTION("""COMPUTED_VALUE"""),"Palm valley")</f>
        <v>Palm valley</v>
      </c>
      <c r="F639" s="13">
        <f ca="1">IFERROR(__xludf.DUMMYFUNCTION("""COMPUTED_VALUE"""),0.3125)</f>
        <v>0.3125</v>
      </c>
      <c r="G639" s="14">
        <f ca="1">IFERROR(__xludf.DUMMYFUNCTION("""COMPUTED_VALUE"""),44244)</f>
        <v>44244</v>
      </c>
      <c r="H639" t="str">
        <f ca="1">IFERROR(__xludf.DUMMYFUNCTION("""COMPUTED_VALUE"""),"ICW swmp sites")</f>
        <v>ICW swmp sites</v>
      </c>
      <c r="I639" s="15">
        <f ca="1">IFERROR(__xludf.DUMMYFUNCTION("""COMPUTED_VALUE"""),0.58333333333212)</f>
        <v>0.58333333333212001</v>
      </c>
      <c r="J639" s="16">
        <f ca="1">IFERROR(__xludf.DUMMYFUNCTION("""COMPUTED_VALUE"""),44231.6875)</f>
        <v>44231.6875</v>
      </c>
      <c r="K639" t="str">
        <f ca="1">IFERROR(__xludf.DUMMYFUNCTION("""COMPUTED_VALUE"""),"20ft Sea Ark FL5351SJ UNF 2015")</f>
        <v>20ft Sea Ark FL5351SJ UNF 2015</v>
      </c>
      <c r="M639" t="str">
        <f ca="1">IFERROR(__xludf.DUMMYFUNCTION("""COMPUTED_VALUE"""),"Ford F250 2017 (Moby Dix) - DEP0021578")</f>
        <v>Ford F250 2017 (Moby Dix) - DEP0021578</v>
      </c>
      <c r="N639" t="str">
        <f ca="1">IFERROR(__xludf.DUMMYFUNCTION("""COMPUTED_VALUE"""),"Silas Tanner, (904) 483-8423")</f>
        <v>Silas Tanner, (904) 483-8423</v>
      </c>
      <c r="O639" t="str">
        <f ca="1">IFERROR(__xludf.DUMMYFUNCTION("""COMPUTED_VALUE"""),"Alee Knoell, (619) 750-4833")</f>
        <v>Alee Knoell, (619) 750-4833</v>
      </c>
      <c r="P639" t="str">
        <f ca="1">IFERROR(__xludf.DUMMYFUNCTION("""COMPUTED_VALUE"""),"James Silas tanner")</f>
        <v>James Silas tanner</v>
      </c>
      <c r="Q639" t="str">
        <f ca="1">IFERROR(__xludf.DUMMYFUNCTION("""COMPUTED_VALUE"""),"All items in working order")</f>
        <v>All items in working order</v>
      </c>
      <c r="AE639" s="11"/>
      <c r="AF639" t="str">
        <v>Nikki.Dix@floridadep.gov</v>
      </c>
      <c r="AG639" s="17" t="s">
        <v>41</v>
      </c>
      <c r="AH639" s="12">
        <v>1145</v>
      </c>
      <c r="AI639" s="12" t="s">
        <v>1871</v>
      </c>
      <c r="AJ639" s="19" t="s">
        <v>1872</v>
      </c>
      <c r="AK639" s="20" t="str">
        <f>HYPERLINK("https://docs.google.com/document/d/1zQ2OPNTBGvQK_WZ8BbS8vVDDUAaIHBqqAQBeIg9UfJ0/edit?usp=drivesdk","Alexandria Knoell - 2/17/2021 7:30 AM")</f>
        <v>Alexandria Knoell - 2/17/2021 7:30 AM</v>
      </c>
      <c r="AL639" s="12" t="s">
        <v>1873</v>
      </c>
    </row>
    <row r="640" spans="1:38" ht="12.75">
      <c r="A640" s="10">
        <f ca="1">IFERROR(__xludf.DUMMYFUNCTION("""COMPUTED_VALUE"""),44250.3599342592)</f>
        <v>44250.359934259199</v>
      </c>
      <c r="B640" s="11" t="str">
        <f ca="1">IFERROR(__xludf.DUMMYFUNCTION("""COMPUTED_VALUE"""),"Pamela Marcum")</f>
        <v>Pamela Marcum</v>
      </c>
      <c r="C640" t="str">
        <f ca="1">IFERROR(__xludf.DUMMYFUNCTION("""COMPUTED_VALUE"""),"pamela.marcum@floridadep.gov")</f>
        <v>pamela.marcum@floridadep.gov</v>
      </c>
      <c r="D640" t="str">
        <f ca="1">IFERROR(__xludf.DUMMYFUNCTION("""COMPUTED_VALUE"""),"Pam Marcum")</f>
        <v>Pam Marcum</v>
      </c>
      <c r="E640" t="str">
        <f ca="1">IFERROR(__xludf.DUMMYFUNCTION("""COMPUTED_VALUE"""),"Shore")</f>
        <v>Shore</v>
      </c>
      <c r="F640" s="13">
        <f ca="1">IFERROR(__xludf.DUMMYFUNCTION("""COMPUTED_VALUE"""),0.34375)</f>
        <v>0.34375</v>
      </c>
      <c r="G640" s="14">
        <f ca="1">IFERROR(__xludf.DUMMYFUNCTION("""COMPUTED_VALUE"""),44250)</f>
        <v>44250</v>
      </c>
      <c r="H640" t="str">
        <f ca="1">IFERROR(__xludf.DUMMYFUNCTION("""COMPUTED_VALUE"""),"22then gabby creek")</f>
        <v>22then gabby creek</v>
      </c>
      <c r="I640" s="15">
        <f ca="1">IFERROR(__xludf.DUMMYFUNCTION("""COMPUTED_VALUE"""),0.5)</f>
        <v>0.5</v>
      </c>
      <c r="J640" s="16">
        <f ca="1">IFERROR(__xludf.DUMMYFUNCTION("""COMPUTED_VALUE"""),44250.5833333333)</f>
        <v>44250.583333333299</v>
      </c>
      <c r="K640" t="str">
        <f ca="1">IFERROR(__xludf.DUMMYFUNCTION("""COMPUTED_VALUE"""),"17ft Skiff (Marsha) FL0642GW DEP07239")</f>
        <v>17ft Skiff (Marsha) FL0642GW DEP07239</v>
      </c>
      <c r="M640" t="str">
        <f ca="1">IFERROR(__xludf.DUMMYFUNCTION("""COMPUTED_VALUE"""),"Ford F150 2015 (White) - DEP21448")</f>
        <v>Ford F150 2015 (White) - DEP21448</v>
      </c>
      <c r="N640" t="str">
        <f ca="1">IFERROR(__xludf.DUMMYFUNCTION("""COMPUTED_VALUE"""),"Pam Marcum, (480) 332-5414")</f>
        <v>Pam Marcum, (480) 332-5414</v>
      </c>
      <c r="O640" t="str">
        <f ca="1">IFERROR(__xludf.DUMMYFUNCTION("""COMPUTED_VALUE"""),"Gabriela Canas, (904) 891-9743")</f>
        <v>Gabriela Canas, (904) 891-9743</v>
      </c>
      <c r="P640" t="str">
        <f ca="1">IFERROR(__xludf.DUMMYFUNCTION("""COMPUTED_VALUE"""),"Pam")</f>
        <v>Pam</v>
      </c>
      <c r="Q640" t="str">
        <f ca="1">IFERROR(__xludf.DUMMYFUNCTION("""COMPUTED_VALUE"""),"All items in working order")</f>
        <v>All items in working order</v>
      </c>
      <c r="AE640" s="11"/>
      <c r="AF640" t="str">
        <v>Pamela.Marcum@floridadep.gov</v>
      </c>
      <c r="AG640" s="17" t="s">
        <v>41</v>
      </c>
      <c r="AH640" s="12">
        <v>1255</v>
      </c>
      <c r="AI640" s="12" t="s">
        <v>1874</v>
      </c>
      <c r="AJ640" s="19" t="s">
        <v>1875</v>
      </c>
      <c r="AK640" s="20" t="str">
        <f>HYPERLINK("https://docs.google.com/document/d/1MP60ilCjVEwOAG1TTQJKcVrj8LBuGw_aE8o6gk6K4UI/edit?usp=drivesdk","Pamela Marcum - 2/23/2021 8:15 AM")</f>
        <v>Pamela Marcum - 2/23/2021 8:15 AM</v>
      </c>
      <c r="AL640" s="12" t="s">
        <v>1876</v>
      </c>
    </row>
    <row r="641" spans="1:38" ht="12.75">
      <c r="A641" s="10">
        <f ca="1">IFERROR(__xludf.DUMMYFUNCTION("""COMPUTED_VALUE"""),44251.3479623958)</f>
        <v>44251.347962395797</v>
      </c>
      <c r="B641" s="11" t="str">
        <f ca="1">IFERROR(__xludf.DUMMYFUNCTION("""COMPUTED_VALUE"""),"Alexandria Knoell")</f>
        <v>Alexandria Knoell</v>
      </c>
      <c r="C641" t="str">
        <f ca="1">IFERROR(__xludf.DUMMYFUNCTION("""COMPUTED_VALUE"""),"alee.knoell@floridadep.gov")</f>
        <v>alee.knoell@floridadep.gov</v>
      </c>
      <c r="D641" t="str">
        <f ca="1">IFERROR(__xludf.DUMMYFUNCTION("""COMPUTED_VALUE"""),"Nikki Dix")</f>
        <v>Nikki Dix</v>
      </c>
      <c r="E641" t="str">
        <f ca="1">IFERROR(__xludf.DUMMYFUNCTION("""COMPUTED_VALUE"""),"Vilano ")</f>
        <v xml:space="preserve">Vilano </v>
      </c>
      <c r="F641" s="13">
        <f ca="1">IFERROR(__xludf.DUMMYFUNCTION("""COMPUTED_VALUE"""),0.354166666667879)</f>
        <v>0.35416666666787899</v>
      </c>
      <c r="G641" s="14">
        <f ca="1">IFERROR(__xludf.DUMMYFUNCTION("""COMPUTED_VALUE"""),44251)</f>
        <v>44251</v>
      </c>
      <c r="H641" t="str">
        <f ca="1">IFERROR(__xludf.DUMMYFUNCTION("""COMPUTED_VALUE"""),"Pine island")</f>
        <v>Pine island</v>
      </c>
      <c r="I641" s="15">
        <f ca="1">IFERROR(__xludf.DUMMYFUNCTION("""COMPUTED_VALUE"""),0.479166666667879)</f>
        <v>0.47916666666787899</v>
      </c>
      <c r="J641" s="16">
        <f ca="1">IFERROR(__xludf.DUMMYFUNCTION("""COMPUTED_VALUE"""),44251.0208333333)</f>
        <v>44251.020833333299</v>
      </c>
      <c r="K641" t="str">
        <f ca="1">IFERROR(__xludf.DUMMYFUNCTION("""COMPUTED_VALUE"""),"20ft Sea Ark FL5351SJ UNF 2015")</f>
        <v>20ft Sea Ark FL5351SJ UNF 2015</v>
      </c>
      <c r="M641" t="str">
        <f ca="1">IFERROR(__xludf.DUMMYFUNCTION("""COMPUTED_VALUE"""),"Ford F250 2017 (Moby Dix) - DEP0021578")</f>
        <v>Ford F250 2017 (Moby Dix) - DEP0021578</v>
      </c>
      <c r="N641" t="str">
        <f ca="1">IFERROR(__xludf.DUMMYFUNCTION("""COMPUTED_VALUE"""),"Shannon Dunnigan, (803) 727-5734")</f>
        <v>Shannon Dunnigan, (803) 727-5734</v>
      </c>
      <c r="O641" t="str">
        <f ca="1">IFERROR(__xludf.DUMMYFUNCTION("""COMPUTED_VALUE"""),"Alee Knoell, (619) 750-4833")</f>
        <v>Alee Knoell, (619) 750-4833</v>
      </c>
      <c r="P641" t="str">
        <f ca="1">IFERROR(__xludf.DUMMYFUNCTION("""COMPUTED_VALUE"""),"Shannon")</f>
        <v>Shannon</v>
      </c>
      <c r="Q641" t="str">
        <f ca="1">IFERROR(__xludf.DUMMYFUNCTION("""COMPUTED_VALUE"""),"All items in working order")</f>
        <v>All items in working order</v>
      </c>
      <c r="AE641" s="11"/>
      <c r="AF641" t="str">
        <v>Nikki.Dix@floridadep.gov</v>
      </c>
      <c r="AG641" s="17" t="s">
        <v>41</v>
      </c>
      <c r="AH641" s="12">
        <v>1013</v>
      </c>
      <c r="AI641" s="12" t="s">
        <v>1877</v>
      </c>
      <c r="AJ641" s="19" t="s">
        <v>1878</v>
      </c>
      <c r="AK641" s="20" t="str">
        <f>HYPERLINK("https://docs.google.com/document/d/1X29Blr7Ms-Gv4TqA3MWy6JeS3NmGfdpiiIDbw-bzfYw/edit?usp=drivesdk","Alexandria Knoell - 2/24/2021 8:30 AM")</f>
        <v>Alexandria Knoell - 2/24/2021 8:30 AM</v>
      </c>
      <c r="AL641" s="12" t="s">
        <v>1879</v>
      </c>
    </row>
    <row r="642" spans="1:38" ht="12.75">
      <c r="A642" s="10">
        <f ca="1">IFERROR(__xludf.DUMMYFUNCTION("""COMPUTED_VALUE"""),44251.43180375)</f>
        <v>44251.431803749998</v>
      </c>
      <c r="B642" s="11" t="str">
        <f ca="1">IFERROR(__xludf.DUMMYFUNCTION("""COMPUTED_VALUE"""),"Pam Marcum")</f>
        <v>Pam Marcum</v>
      </c>
      <c r="C642" t="str">
        <f ca="1">IFERROR(__xludf.DUMMYFUNCTION("""COMPUTED_VALUE"""),"pamela.marcum@floridadep.gov")</f>
        <v>pamela.marcum@floridadep.gov</v>
      </c>
      <c r="D642" t="str">
        <f ca="1">IFERROR(__xludf.DUMMYFUNCTION("""COMPUTED_VALUE"""),"Nikki Dix")</f>
        <v>Nikki Dix</v>
      </c>
      <c r="E642" t="str">
        <f ca="1">IFERROR(__xludf.DUMMYFUNCTION("""COMPUTED_VALUE"""),"Shore Dr")</f>
        <v>Shore Dr</v>
      </c>
      <c r="F642" s="13">
        <f ca="1">IFERROR(__xludf.DUMMYFUNCTION("""COMPUTED_VALUE"""),0.42708333333212)</f>
        <v>0.42708333333212001</v>
      </c>
      <c r="G642" s="14">
        <f ca="1">IFERROR(__xludf.DUMMYFUNCTION("""COMPUTED_VALUE"""),44251)</f>
        <v>44251</v>
      </c>
      <c r="H642" t="str">
        <f ca="1">IFERROR(__xludf.DUMMYFUNCTION("""COMPUTED_VALUE"""),"Site 22")</f>
        <v>Site 22</v>
      </c>
      <c r="I642" s="15">
        <f ca="1">IFERROR(__xludf.DUMMYFUNCTION("""COMPUTED_VALUE"""),0.45833333333212)</f>
        <v>0.45833333333212001</v>
      </c>
      <c r="J642" s="16">
        <f ca="1">IFERROR(__xludf.DUMMYFUNCTION("""COMPUTED_VALUE"""),44251.5833333333)</f>
        <v>44251.583333333299</v>
      </c>
      <c r="K642" t="str">
        <f ca="1">IFERROR(__xludf.DUMMYFUNCTION("""COMPUTED_VALUE"""),"17ft Skiff (Marsha) FL0642GW DEP07239")</f>
        <v>17ft Skiff (Marsha) FL0642GW DEP07239</v>
      </c>
      <c r="M642" t="str">
        <f ca="1">IFERROR(__xludf.DUMMYFUNCTION("""COMPUTED_VALUE"""),"Ford F150 2015 (White) - DEP21448")</f>
        <v>Ford F150 2015 (White) - DEP21448</v>
      </c>
      <c r="N642" t="str">
        <f ca="1">IFERROR(__xludf.DUMMYFUNCTION("""COMPUTED_VALUE"""),"Pam Marcum, (480) 332-5414")</f>
        <v>Pam Marcum, (480) 332-5414</v>
      </c>
      <c r="O642" t="str">
        <f ca="1">IFERROR(__xludf.DUMMYFUNCTION("""COMPUTED_VALUE"""),"Caitlin Campbell")</f>
        <v>Caitlin Campbell</v>
      </c>
      <c r="P642" t="str">
        <f ca="1">IFERROR(__xludf.DUMMYFUNCTION("""COMPUTED_VALUE"""),"Pam")</f>
        <v>Pam</v>
      </c>
      <c r="Q642" t="str">
        <f ca="1">IFERROR(__xludf.DUMMYFUNCTION("""COMPUTED_VALUE"""),"All items in working order")</f>
        <v>All items in working order</v>
      </c>
      <c r="AE642" s="11"/>
      <c r="AF642" t="str">
        <v>Nikki.Dix@floridadep.gov</v>
      </c>
      <c r="AG642" s="17" t="s">
        <v>41</v>
      </c>
      <c r="AH642" s="12">
        <v>1119</v>
      </c>
      <c r="AI642" s="12" t="s">
        <v>1880</v>
      </c>
      <c r="AJ642" s="19" t="s">
        <v>1881</v>
      </c>
      <c r="AK642" s="20" t="str">
        <f>HYPERLINK("https://docs.google.com/document/d/1Nw7EJM7t_j9vhqZSHgk3rEK6VHR3PwtNLff2zjJgJGI/edit?usp=drivesdk","Pam Marcum - 2/24/2021 10:15 AM")</f>
        <v>Pam Marcum - 2/24/2021 10:15 AM</v>
      </c>
      <c r="AL642" s="12" t="s">
        <v>1882</v>
      </c>
    </row>
    <row r="643" spans="1:38" ht="12.75">
      <c r="A643" s="10">
        <f ca="1">IFERROR(__xludf.DUMMYFUNCTION("""COMPUTED_VALUE"""),44251.5055256134)</f>
        <v>44251.5055256134</v>
      </c>
      <c r="B643" s="11" t="str">
        <f ca="1">IFERROR(__xludf.DUMMYFUNCTION("""COMPUTED_VALUE"""),"Pam Marcum")</f>
        <v>Pam Marcum</v>
      </c>
      <c r="C643" t="str">
        <f ca="1">IFERROR(__xludf.DUMMYFUNCTION("""COMPUTED_VALUE"""),"pamela.marcum@floridadep.gov")</f>
        <v>pamela.marcum@floridadep.gov</v>
      </c>
      <c r="D643" t="str">
        <f ca="1">IFERROR(__xludf.DUMMYFUNCTION("""COMPUTED_VALUE"""),"Nikki Dix")</f>
        <v>Nikki Dix</v>
      </c>
      <c r="E643" t="str">
        <f ca="1">IFERROR(__xludf.DUMMYFUNCTION("""COMPUTED_VALUE"""),"Bings landing")</f>
        <v>Bings landing</v>
      </c>
      <c r="F643" s="13">
        <f ca="1">IFERROR(__xludf.DUMMYFUNCTION("""COMPUTED_VALUE"""),0.5)</f>
        <v>0.5</v>
      </c>
      <c r="G643" s="14">
        <f ca="1">IFERROR(__xludf.DUMMYFUNCTION("""COMPUTED_VALUE"""),44251)</f>
        <v>44251</v>
      </c>
      <c r="H643" t="str">
        <f ca="1">IFERROR(__xludf.DUMMYFUNCTION("""COMPUTED_VALUE"""),"Wash Oaks platforms")</f>
        <v>Wash Oaks platforms</v>
      </c>
      <c r="I643" s="15">
        <f ca="1">IFERROR(__xludf.DUMMYFUNCTION("""COMPUTED_VALUE"""),0.58333333333212)</f>
        <v>0.58333333333212001</v>
      </c>
      <c r="J643" s="16">
        <f ca="1">IFERROR(__xludf.DUMMYFUNCTION("""COMPUTED_VALUE"""),44251.625)</f>
        <v>44251.625</v>
      </c>
      <c r="K643" t="str">
        <f ca="1">IFERROR(__xludf.DUMMYFUNCTION("""COMPUTED_VALUE"""),"17ft Skiff (Marsha) FL0642GW DEP07239")</f>
        <v>17ft Skiff (Marsha) FL0642GW DEP07239</v>
      </c>
      <c r="M643" t="str">
        <f ca="1">IFERROR(__xludf.DUMMYFUNCTION("""COMPUTED_VALUE"""),"Ford F150 2015 (White) - DEP21448")</f>
        <v>Ford F150 2015 (White) - DEP21448</v>
      </c>
      <c r="N643" t="str">
        <f ca="1">IFERROR(__xludf.DUMMYFUNCTION("""COMPUTED_VALUE"""),"Pam Marcum, (480) 332-5414")</f>
        <v>Pam Marcum, (480) 332-5414</v>
      </c>
      <c r="O643" t="str">
        <f ca="1">IFERROR(__xludf.DUMMYFUNCTION("""COMPUTED_VALUE"""),"Caitlin Campbell")</f>
        <v>Caitlin Campbell</v>
      </c>
      <c r="P643" t="str">
        <f ca="1">IFERROR(__xludf.DUMMYFUNCTION("""COMPUTED_VALUE"""),"Pam")</f>
        <v>Pam</v>
      </c>
      <c r="Q643" t="str">
        <f ca="1">IFERROR(__xludf.DUMMYFUNCTION("""COMPUTED_VALUE"""),"All items in working order")</f>
        <v>All items in working order</v>
      </c>
      <c r="AE643" s="11"/>
      <c r="AF643" t="str">
        <v>Nikki.Dix@floridadep.gov</v>
      </c>
      <c r="AG643" s="17" t="s">
        <v>41</v>
      </c>
      <c r="AH643" s="12">
        <v>1344</v>
      </c>
      <c r="AI643" s="12" t="s">
        <v>1883</v>
      </c>
      <c r="AJ643" s="19" t="s">
        <v>1884</v>
      </c>
      <c r="AK643" s="20" t="str">
        <f>HYPERLINK("https://docs.google.com/document/d/1GLkHyx96fjLQQp8wkpzq0eODy3ErqntnD24uni6JNcI/edit?usp=drivesdk","Pam Marcum - 2/24/2021 12:00 PM")</f>
        <v>Pam Marcum - 2/24/2021 12:00 PM</v>
      </c>
      <c r="AL643" s="12" t="s">
        <v>1885</v>
      </c>
    </row>
    <row r="644" spans="1:38" ht="12.75">
      <c r="A644" s="10">
        <f ca="1">IFERROR(__xludf.DUMMYFUNCTION("""COMPUTED_VALUE"""),44252.5029895833)</f>
        <v>44252.502989583299</v>
      </c>
      <c r="B644" s="11" t="str">
        <f ca="1">IFERROR(__xludf.DUMMYFUNCTION("""COMPUTED_VALUE"""),"Pam Marcum")</f>
        <v>Pam Marcum</v>
      </c>
      <c r="C644" t="str">
        <f ca="1">IFERROR(__xludf.DUMMYFUNCTION("""COMPUTED_VALUE"""),"pamela.marcum@floridadep.gov")</f>
        <v>pamela.marcum@floridadep.gov</v>
      </c>
      <c r="D644" t="str">
        <f ca="1">IFERROR(__xludf.DUMMYFUNCTION("""COMPUTED_VALUE"""),"Nikki Dix")</f>
        <v>Nikki Dix</v>
      </c>
      <c r="E644" t="str">
        <f ca="1">IFERROR(__xludf.DUMMYFUNCTION("""COMPUTED_VALUE"""),"Bings")</f>
        <v>Bings</v>
      </c>
      <c r="F644" s="13">
        <f ca="1">IFERROR(__xludf.DUMMYFUNCTION("""COMPUTED_VALUE"""),0.5)</f>
        <v>0.5</v>
      </c>
      <c r="G644" s="14">
        <f ca="1">IFERROR(__xludf.DUMMYFUNCTION("""COMPUTED_VALUE"""),44252)</f>
        <v>44252</v>
      </c>
      <c r="H644" t="str">
        <f ca="1">IFERROR(__xludf.DUMMYFUNCTION("""COMPUTED_VALUE"""),"Wash oaks platforms")</f>
        <v>Wash oaks platforms</v>
      </c>
      <c r="I644" s="15">
        <f ca="1">IFERROR(__xludf.DUMMYFUNCTION("""COMPUTED_VALUE"""),0.5625)</f>
        <v>0.5625</v>
      </c>
      <c r="J644" s="16">
        <f ca="1">IFERROR(__xludf.DUMMYFUNCTION("""COMPUTED_VALUE"""),44252.5833333333)</f>
        <v>44252.583333333299</v>
      </c>
      <c r="K644" t="str">
        <f ca="1">IFERROR(__xludf.DUMMYFUNCTION("""COMPUTED_VALUE"""),"17ft Skiff (Marsha) FL0642GW DEP07239")</f>
        <v>17ft Skiff (Marsha) FL0642GW DEP07239</v>
      </c>
      <c r="M644" t="str">
        <f ca="1">IFERROR(__xludf.DUMMYFUNCTION("""COMPUTED_VALUE"""),"Ford F150 2015 (White) - DEP21448")</f>
        <v>Ford F150 2015 (White) - DEP21448</v>
      </c>
      <c r="N644" t="str">
        <f ca="1">IFERROR(__xludf.DUMMYFUNCTION("""COMPUTED_VALUE"""),"Pam Marcum, (480) 332-5414")</f>
        <v>Pam Marcum, (480) 332-5414</v>
      </c>
      <c r="O644" t="str">
        <f ca="1">IFERROR(__xludf.DUMMYFUNCTION("""COMPUTED_VALUE"""),"Madison Skidmore")</f>
        <v>Madison Skidmore</v>
      </c>
      <c r="P644" t="str">
        <f ca="1">IFERROR(__xludf.DUMMYFUNCTION("""COMPUTED_VALUE"""),"Pam")</f>
        <v>Pam</v>
      </c>
      <c r="Q644" t="str">
        <f ca="1">IFERROR(__xludf.DUMMYFUNCTION("""COMPUTED_VALUE"""),"All items in working order")</f>
        <v>All items in working order</v>
      </c>
      <c r="AE644" s="11"/>
      <c r="AF644" t="str">
        <v>Nikki.Dix@floridadep.gov</v>
      </c>
      <c r="AG644" s="17" t="s">
        <v>41</v>
      </c>
      <c r="AH644" s="12">
        <v>1338</v>
      </c>
      <c r="AI644" s="12" t="s">
        <v>1886</v>
      </c>
      <c r="AJ644" s="19" t="s">
        <v>1887</v>
      </c>
      <c r="AK644" s="20" t="str">
        <f>HYPERLINK("https://docs.google.com/document/d/1LelJQCt9xhCaCvWsqB5qcSlE51HDB-stfFAndoITg9w/edit?usp=drivesdk","Pam Marcum - 2/25/2021 12:00 PM")</f>
        <v>Pam Marcum - 2/25/2021 12:00 PM</v>
      </c>
      <c r="AL644" s="12" t="s">
        <v>1888</v>
      </c>
    </row>
    <row r="645" spans="1:38" ht="12.75">
      <c r="A645" s="10">
        <f ca="1">IFERROR(__xludf.DUMMYFUNCTION("""COMPUTED_VALUE"""),44258.3114460879)</f>
        <v>44258.311446087901</v>
      </c>
      <c r="B645" s="11" t="str">
        <f ca="1">IFERROR(__xludf.DUMMYFUNCTION("""COMPUTED_VALUE"""),"Silas Tanner")</f>
        <v>Silas Tanner</v>
      </c>
      <c r="C645" t="str">
        <f ca="1">IFERROR(__xludf.DUMMYFUNCTION("""COMPUTED_VALUE"""),"silas.tanner@floridadep.gov")</f>
        <v>silas.tanner@floridadep.gov</v>
      </c>
      <c r="D645" t="str">
        <f ca="1">IFERROR(__xludf.DUMMYFUNCTION("""COMPUTED_VALUE"""),"Nikki Dix")</f>
        <v>Nikki Dix</v>
      </c>
      <c r="E645" t="str">
        <f ca="1">IFERROR(__xludf.DUMMYFUNCTION("""COMPUTED_VALUE"""),"Vilano Landing")</f>
        <v>Vilano Landing</v>
      </c>
      <c r="F645" s="13">
        <f ca="1">IFERROR(__xludf.DUMMYFUNCTION("""COMPUTED_VALUE"""),0.30208333333212)</f>
        <v>0.30208333333212001</v>
      </c>
      <c r="G645" s="14">
        <f ca="1">IFERROR(__xludf.DUMMYFUNCTION("""COMPUTED_VALUE"""),44258)</f>
        <v>44258</v>
      </c>
      <c r="H645" t="str">
        <f ca="1">IFERROR(__xludf.DUMMYFUNCTION("""COMPUTED_VALUE"""),"Icw swmp sites")</f>
        <v>Icw swmp sites</v>
      </c>
      <c r="I645" s="15">
        <f ca="1">IFERROR(__xludf.DUMMYFUNCTION("""COMPUTED_VALUE"""),0.479166666667879)</f>
        <v>0.47916666666787899</v>
      </c>
      <c r="J645" s="16">
        <f ca="1">IFERROR(__xludf.DUMMYFUNCTION("""COMPUTED_VALUE"""),44258.4895833333)</f>
        <v>44258.489583333299</v>
      </c>
      <c r="K645" t="str">
        <f ca="1">IFERROR(__xludf.DUMMYFUNCTION("""COMPUTED_VALUE"""),"20ft Sea Ark FL5351SJ UNF 2015")</f>
        <v>20ft Sea Ark FL5351SJ UNF 2015</v>
      </c>
      <c r="M645" t="str">
        <f ca="1">IFERROR(__xludf.DUMMYFUNCTION("""COMPUTED_VALUE"""),"Ford F250 2017 (Moby Dix) - DEP0021578")</f>
        <v>Ford F250 2017 (Moby Dix) - DEP0021578</v>
      </c>
      <c r="N645" t="str">
        <f ca="1">IFERROR(__xludf.DUMMYFUNCTION("""COMPUTED_VALUE"""),"Shannon Dunnigan, (803) 727-5734, Silas Tanner, (904) 483-8423")</f>
        <v>Shannon Dunnigan, (803) 727-5734, Silas Tanner, (904) 483-8423</v>
      </c>
      <c r="P645" t="str">
        <f ca="1">IFERROR(__xludf.DUMMYFUNCTION("""COMPUTED_VALUE"""),"Tanner")</f>
        <v>Tanner</v>
      </c>
      <c r="Q645" t="str">
        <f ca="1">IFERROR(__xludf.DUMMYFUNCTION("""COMPUTED_VALUE"""),"All items in working order")</f>
        <v>All items in working order</v>
      </c>
      <c r="AE645" s="11"/>
      <c r="AF645" t="str">
        <v>Nikki.Dix@floridadep.gov</v>
      </c>
      <c r="AG645" s="17" t="s">
        <v>41</v>
      </c>
      <c r="AH645" s="12">
        <v>1051</v>
      </c>
      <c r="AI645" s="12" t="s">
        <v>1889</v>
      </c>
      <c r="AJ645" s="19" t="s">
        <v>1890</v>
      </c>
      <c r="AK645" s="20" t="str">
        <f>HYPERLINK("https://docs.google.com/document/d/1IpvBzYhsibNEy6YAc7s2ivWn_xlPRXOVrvABIOJqkBQ/edit?usp=drivesdk","Silas Tanner - 3/3/2021 7:15 AM")</f>
        <v>Silas Tanner - 3/3/2021 7:15 AM</v>
      </c>
      <c r="AL645" s="12" t="s">
        <v>1891</v>
      </c>
    </row>
    <row r="646" spans="1:38" ht="12.75">
      <c r="A646" s="10">
        <f ca="1">IFERROR(__xludf.DUMMYFUNCTION("""COMPUTED_VALUE"""),44259.3273786458)</f>
        <v>44259.327378645801</v>
      </c>
      <c r="B646" s="11" t="str">
        <f ca="1">IFERROR(__xludf.DUMMYFUNCTION("""COMPUTED_VALUE"""),"Pamela Marcum")</f>
        <v>Pamela Marcum</v>
      </c>
      <c r="C646" t="str">
        <f ca="1">IFERROR(__xludf.DUMMYFUNCTION("""COMPUTED_VALUE"""),"pamela.marcum@floridadep.gov")</f>
        <v>pamela.marcum@floridadep.gov</v>
      </c>
      <c r="D646" t="str">
        <f ca="1">IFERROR(__xludf.DUMMYFUNCTION("""COMPUTED_VALUE"""),"Nikki Dix")</f>
        <v>Nikki Dix</v>
      </c>
      <c r="E646" t="str">
        <f ca="1">IFERROR(__xludf.DUMMYFUNCTION("""COMPUTED_VALUE"""),"Bings Landing")</f>
        <v>Bings Landing</v>
      </c>
      <c r="F646" s="13">
        <f ca="1">IFERROR(__xludf.DUMMYFUNCTION("""COMPUTED_VALUE"""),0.33333333333212)</f>
        <v>0.33333333333212001</v>
      </c>
      <c r="G646" s="14">
        <f ca="1">IFERROR(__xludf.DUMMYFUNCTION("""COMPUTED_VALUE"""),44259)</f>
        <v>44259</v>
      </c>
      <c r="H646" t="str">
        <f ca="1">IFERROR(__xludf.DUMMYFUNCTION("""COMPUTED_VALUE"""),"Wash oaks")</f>
        <v>Wash oaks</v>
      </c>
      <c r="I646" s="15">
        <f ca="1">IFERROR(__xludf.DUMMYFUNCTION("""COMPUTED_VALUE"""),0.39583333333212)</f>
        <v>0.39583333333212001</v>
      </c>
      <c r="J646" s="16">
        <f ca="1">IFERROR(__xludf.DUMMYFUNCTION("""COMPUTED_VALUE"""),44259.5833333333)</f>
        <v>44259.583333333299</v>
      </c>
      <c r="K646" t="str">
        <f ca="1">IFERROR(__xludf.DUMMYFUNCTION("""COMPUTED_VALUE"""),"17ft Skiff (Marsha) FL0642GW DEP07239")</f>
        <v>17ft Skiff (Marsha) FL0642GW DEP07239</v>
      </c>
      <c r="M646" t="str">
        <f ca="1">IFERROR(__xludf.DUMMYFUNCTION("""COMPUTED_VALUE"""),"Ford F150 2015 (White) - DEP21448")</f>
        <v>Ford F150 2015 (White) - DEP21448</v>
      </c>
      <c r="N646" t="str">
        <f ca="1">IFERROR(__xludf.DUMMYFUNCTION("""COMPUTED_VALUE"""),"Pam Marcum, (480) 332-5414")</f>
        <v>Pam Marcum, (480) 332-5414</v>
      </c>
      <c r="O646" t="str">
        <f ca="1">IFERROR(__xludf.DUMMYFUNCTION("""COMPUTED_VALUE"""),"Alee Knoell, (619) 750-4833")</f>
        <v>Alee Knoell, (619) 750-4833</v>
      </c>
      <c r="P646" t="str">
        <f ca="1">IFERROR(__xludf.DUMMYFUNCTION("""COMPUTED_VALUE"""),"Pam")</f>
        <v>Pam</v>
      </c>
      <c r="Q646" t="str">
        <f ca="1">IFERROR(__xludf.DUMMYFUNCTION("""COMPUTED_VALUE"""),"All items in working order")</f>
        <v>All items in working order</v>
      </c>
      <c r="AE646" s="11"/>
      <c r="AF646" t="str">
        <v>Nikki.Dix@floridadep.gov</v>
      </c>
      <c r="AG646" s="17" t="s">
        <v>41</v>
      </c>
      <c r="AH646" s="12">
        <v>947</v>
      </c>
      <c r="AI646" s="12" t="s">
        <v>1892</v>
      </c>
      <c r="AJ646" s="19" t="s">
        <v>1893</v>
      </c>
      <c r="AK646" s="20" t="str">
        <f>HYPERLINK("https://docs.google.com/document/d/1zbyf1Ti39tstyzZoENWWgRG16TpZdz6rKhveKnCd6u8/edit?usp=drivesdk","Pamela Marcum - 3/4/2021 8:00 AM")</f>
        <v>Pamela Marcum - 3/4/2021 8:00 AM</v>
      </c>
      <c r="AL646" s="12" t="s">
        <v>1894</v>
      </c>
    </row>
    <row r="647" spans="1:38" ht="12.75">
      <c r="A647" s="10">
        <f ca="1">IFERROR(__xludf.DUMMYFUNCTION("""COMPUTED_VALUE"""),44259.4322260878)</f>
        <v>44259.432226087898</v>
      </c>
      <c r="B647" s="11" t="str">
        <f ca="1">IFERROR(__xludf.DUMMYFUNCTION("""COMPUTED_VALUE"""),"Pamela Marcum")</f>
        <v>Pamela Marcum</v>
      </c>
      <c r="C647" t="str">
        <f ca="1">IFERROR(__xludf.DUMMYFUNCTION("""COMPUTED_VALUE"""),"pamela.marcum@floridadep.gov")</f>
        <v>pamela.marcum@floridadep.gov</v>
      </c>
      <c r="D647" t="str">
        <f ca="1">IFERROR(__xludf.DUMMYFUNCTION("""COMPUTED_VALUE"""),"Nikki Dix")</f>
        <v>Nikki Dix</v>
      </c>
      <c r="E647" t="str">
        <f ca="1">IFERROR(__xludf.DUMMYFUNCTION("""COMPUTED_VALUE"""),"Butler")</f>
        <v>Butler</v>
      </c>
      <c r="F647" s="13">
        <f ca="1">IFERROR(__xludf.DUMMYFUNCTION("""COMPUTED_VALUE"""),0.4375)</f>
        <v>0.4375</v>
      </c>
      <c r="G647" s="14">
        <f ca="1">IFERROR(__xludf.DUMMYFUNCTION("""COMPUTED_VALUE"""),44259)</f>
        <v>44259</v>
      </c>
      <c r="H647" t="str">
        <f ca="1">IFERROR(__xludf.DUMMYFUNCTION("""COMPUTED_VALUE"""),"Moses Creek")</f>
        <v>Moses Creek</v>
      </c>
      <c r="I647" s="15">
        <f ca="1">IFERROR(__xludf.DUMMYFUNCTION("""COMPUTED_VALUE"""),0.604166666667879)</f>
        <v>0.60416666666787899</v>
      </c>
      <c r="J647" s="16">
        <f ca="1">IFERROR(__xludf.DUMMYFUNCTION("""COMPUTED_VALUE"""),44259.6458333333)</f>
        <v>44259.645833333299</v>
      </c>
      <c r="K647" t="str">
        <f ca="1">IFERROR(__xludf.DUMMYFUNCTION("""COMPUTED_VALUE"""),"17ft Skiff (Marsha) FL0642GW DEP07239")</f>
        <v>17ft Skiff (Marsha) FL0642GW DEP07239</v>
      </c>
      <c r="M647" t="str">
        <f ca="1">IFERROR(__xludf.DUMMYFUNCTION("""COMPUTED_VALUE"""),"Ford F150 2015 (White) - DEP21448")</f>
        <v>Ford F150 2015 (White) - DEP21448</v>
      </c>
      <c r="N647" t="str">
        <f ca="1">IFERROR(__xludf.DUMMYFUNCTION("""COMPUTED_VALUE"""),"Pam Marcum, (480) 332-5414")</f>
        <v>Pam Marcum, (480) 332-5414</v>
      </c>
      <c r="O647" t="str">
        <f ca="1">IFERROR(__xludf.DUMMYFUNCTION("""COMPUTED_VALUE"""),"Alee Knoell, (619) 750-4833")</f>
        <v>Alee Knoell, (619) 750-4833</v>
      </c>
      <c r="P647" t="str">
        <f ca="1">IFERROR(__xludf.DUMMYFUNCTION("""COMPUTED_VALUE"""),"Pam")</f>
        <v>Pam</v>
      </c>
      <c r="Q647" t="str">
        <f ca="1">IFERROR(__xludf.DUMMYFUNCTION("""COMPUTED_VALUE"""),"All items in working order")</f>
        <v>All items in working order</v>
      </c>
      <c r="AE647" s="11"/>
      <c r="AF647" t="str">
        <v>Nikki.Dix@floridadep.gov</v>
      </c>
      <c r="AG647" s="17" t="s">
        <v>41</v>
      </c>
      <c r="AH647" s="12">
        <v>1254</v>
      </c>
      <c r="AI647" s="12" t="s">
        <v>1895</v>
      </c>
      <c r="AJ647" s="19" t="s">
        <v>1896</v>
      </c>
      <c r="AK647" s="20" t="str">
        <f>HYPERLINK("https://docs.google.com/document/d/17ESLUd8LiCXpXnTLrCmLNuNBsD_kBxz56Og2l48ESxk/edit?usp=drivesdk","Pamela Marcum - 3/4/2021 10:30 AM")</f>
        <v>Pamela Marcum - 3/4/2021 10:30 AM</v>
      </c>
      <c r="AL647" s="12" t="s">
        <v>1897</v>
      </c>
    </row>
    <row r="648" spans="1:38" ht="12.75">
      <c r="A648" s="10">
        <f ca="1">IFERROR(__xludf.DUMMYFUNCTION("""COMPUTED_VALUE"""),44260.364634618)</f>
        <v>44260.364634618003</v>
      </c>
      <c r="B648" s="11" t="str">
        <f ca="1">IFERROR(__xludf.DUMMYFUNCTION("""COMPUTED_VALUE"""),"Pam Marcum")</f>
        <v>Pam Marcum</v>
      </c>
      <c r="C648" t="str">
        <f ca="1">IFERROR(__xludf.DUMMYFUNCTION("""COMPUTED_VALUE"""),"pamela.marcum@floridadep.gov")</f>
        <v>pamela.marcum@floridadep.gov</v>
      </c>
      <c r="D648" t="str">
        <f ca="1">IFERROR(__xludf.DUMMYFUNCTION("""COMPUTED_VALUE"""),"Nikki Dix")</f>
        <v>Nikki Dix</v>
      </c>
      <c r="E648" t="str">
        <f ca="1">IFERROR(__xludf.DUMMYFUNCTION("""COMPUTED_VALUE"""),"Bings")</f>
        <v>Bings</v>
      </c>
      <c r="F648" s="13">
        <f ca="1">IFERROR(__xludf.DUMMYFUNCTION("""COMPUTED_VALUE"""),0.36458333333212)</f>
        <v>0.36458333333212001</v>
      </c>
      <c r="G648" s="14">
        <f ca="1">IFERROR(__xludf.DUMMYFUNCTION("""COMPUTED_VALUE"""),44260)</f>
        <v>44260</v>
      </c>
      <c r="H648" t="str">
        <f ca="1">IFERROR(__xludf.DUMMYFUNCTION("""COMPUTED_VALUE"""),"Wash oaks")</f>
        <v>Wash oaks</v>
      </c>
      <c r="I648" s="15">
        <f ca="1">IFERROR(__xludf.DUMMYFUNCTION("""COMPUTED_VALUE"""),0.416666666667879)</f>
        <v>0.41666666666787899</v>
      </c>
      <c r="J648" s="16">
        <f ca="1">IFERROR(__xludf.DUMMYFUNCTION("""COMPUTED_VALUE"""),44260.4166666666)</f>
        <v>44260.416666666599</v>
      </c>
      <c r="K648" t="str">
        <f ca="1">IFERROR(__xludf.DUMMYFUNCTION("""COMPUTED_VALUE"""),"17ft Skiff (Marsha) FL0642GW DEP07239")</f>
        <v>17ft Skiff (Marsha) FL0642GW DEP07239</v>
      </c>
      <c r="M648" t="str">
        <f ca="1">IFERROR(__xludf.DUMMYFUNCTION("""COMPUTED_VALUE"""),"Ford F150 2015 (White) - DEP21448")</f>
        <v>Ford F150 2015 (White) - DEP21448</v>
      </c>
      <c r="N648" t="str">
        <f ca="1">IFERROR(__xludf.DUMMYFUNCTION("""COMPUTED_VALUE"""),"Pam Marcum, (480) 332-5414")</f>
        <v>Pam Marcum, (480) 332-5414</v>
      </c>
      <c r="O648" t="str">
        <f ca="1">IFERROR(__xludf.DUMMYFUNCTION("""COMPUTED_VALUE"""),"Savanna Mathis")</f>
        <v>Savanna Mathis</v>
      </c>
      <c r="P648" t="str">
        <f ca="1">IFERROR(__xludf.DUMMYFUNCTION("""COMPUTED_VALUE"""),"Pam")</f>
        <v>Pam</v>
      </c>
      <c r="Q648" t="str">
        <f ca="1">IFERROR(__xludf.DUMMYFUNCTION("""COMPUTED_VALUE"""),"All items in working order")</f>
        <v>All items in working order</v>
      </c>
      <c r="AE648" s="11"/>
      <c r="AF648" t="str">
        <v>Nikki.Dix@floridadep.gov</v>
      </c>
      <c r="AG648" s="17" t="s">
        <v>41</v>
      </c>
      <c r="AH648" s="12">
        <v>957</v>
      </c>
      <c r="AI648" s="12" t="s">
        <v>1898</v>
      </c>
      <c r="AJ648" s="19" t="s">
        <v>1899</v>
      </c>
      <c r="AK648" s="20" t="str">
        <f>HYPERLINK("https://docs.google.com/document/d/15ByomRlQMROlCgizmLzxCdO8MylRBYZcT1KY5d413W4/edit?usp=drivesdk","Pam Marcum - 3/5/2021 8:45 AM")</f>
        <v>Pam Marcum - 3/5/2021 8:45 AM</v>
      </c>
      <c r="AL648" s="12" t="s">
        <v>1900</v>
      </c>
    </row>
    <row r="649" spans="1:38" ht="12.75">
      <c r="A649" s="10">
        <f ca="1">IFERROR(__xludf.DUMMYFUNCTION("""COMPUTED_VALUE"""),44260.479294699)</f>
        <v>44260.479294698998</v>
      </c>
      <c r="B649" s="11" t="str">
        <f ca="1">IFERROR(__xludf.DUMMYFUNCTION("""COMPUTED_VALUE"""),"Pam Marcum")</f>
        <v>Pam Marcum</v>
      </c>
      <c r="C649" t="str">
        <f ca="1">IFERROR(__xludf.DUMMYFUNCTION("""COMPUTED_VALUE"""),"pamela.marcum@floridadep.gov")</f>
        <v>pamela.marcum@floridadep.gov</v>
      </c>
      <c r="D649" t="str">
        <f ca="1">IFERROR(__xludf.DUMMYFUNCTION("""COMPUTED_VALUE"""),"Nikki Dix")</f>
        <v>Nikki Dix</v>
      </c>
      <c r="E649" t="str">
        <f ca="1">IFERROR(__xludf.DUMMYFUNCTION("""COMPUTED_VALUE"""),"Butler")</f>
        <v>Butler</v>
      </c>
      <c r="F649" s="13">
        <f ca="1">IFERROR(__xludf.DUMMYFUNCTION("""COMPUTED_VALUE"""),0.447916666667879)</f>
        <v>0.44791666666787899</v>
      </c>
      <c r="G649" s="14">
        <f ca="1">IFERROR(__xludf.DUMMYFUNCTION("""COMPUTED_VALUE"""),44260)</f>
        <v>44260</v>
      </c>
      <c r="H649" t="str">
        <f ca="1">IFERROR(__xludf.DUMMYFUNCTION("""COMPUTED_VALUE"""),"Moses Creek")</f>
        <v>Moses Creek</v>
      </c>
      <c r="I649" s="15">
        <f ca="1">IFERROR(__xludf.DUMMYFUNCTION("""COMPUTED_VALUE"""),0.541666666667879)</f>
        <v>0.54166666666787899</v>
      </c>
      <c r="J649" s="16">
        <f ca="1">IFERROR(__xludf.DUMMYFUNCTION("""COMPUTED_VALUE"""),44260.5625)</f>
        <v>44260.5625</v>
      </c>
      <c r="K649" t="str">
        <f ca="1">IFERROR(__xludf.DUMMYFUNCTION("""COMPUTED_VALUE"""),"17ft Skiff (Marsha) FL0642GW DEP07239")</f>
        <v>17ft Skiff (Marsha) FL0642GW DEP07239</v>
      </c>
      <c r="M649" t="str">
        <f ca="1">IFERROR(__xludf.DUMMYFUNCTION("""COMPUTED_VALUE"""),"Ford F150 2015 (White) - DEP21448")</f>
        <v>Ford F150 2015 (White) - DEP21448</v>
      </c>
      <c r="N649" t="str">
        <f ca="1">IFERROR(__xludf.DUMMYFUNCTION("""COMPUTED_VALUE"""),"Pam Marcum, (480) 332-5414")</f>
        <v>Pam Marcum, (480) 332-5414</v>
      </c>
      <c r="O649" t="str">
        <f ca="1">IFERROR(__xludf.DUMMYFUNCTION("""COMPUTED_VALUE"""),"Britanny Wussick")</f>
        <v>Britanny Wussick</v>
      </c>
      <c r="P649" t="str">
        <f ca="1">IFERROR(__xludf.DUMMYFUNCTION("""COMPUTED_VALUE"""),"Pam")</f>
        <v>Pam</v>
      </c>
      <c r="Q649" t="str">
        <f ca="1">IFERROR(__xludf.DUMMYFUNCTION("""COMPUTED_VALUE"""),"All items in working order")</f>
        <v>All items in working order</v>
      </c>
      <c r="AE649" s="11"/>
      <c r="AF649" t="str">
        <v>Nikki.Dix@floridadep.gov</v>
      </c>
      <c r="AG649" s="17" t="s">
        <v>41</v>
      </c>
      <c r="AH649" s="12">
        <v>1315</v>
      </c>
      <c r="AI649" s="12" t="s">
        <v>1901</v>
      </c>
      <c r="AJ649" s="19" t="s">
        <v>1902</v>
      </c>
      <c r="AK649" s="20" t="str">
        <f>HYPERLINK("https://docs.google.com/document/d/1FKAqMEY_g_rya7YlNv19G33M5CA5yaNeQJYdoczRH0M/edit?usp=drivesdk","Pam Marcum - 3/5/2021 10:45 AM")</f>
        <v>Pam Marcum - 3/5/2021 10:45 AM</v>
      </c>
      <c r="AL649" s="12" t="s">
        <v>1903</v>
      </c>
    </row>
    <row r="650" spans="1:38" ht="12.75">
      <c r="A650" s="10">
        <f ca="1">IFERROR(__xludf.DUMMYFUNCTION("""COMPUTED_VALUE"""),44265.2974134027)</f>
        <v>44265.297413402703</v>
      </c>
      <c r="B650" s="11" t="str">
        <f ca="1">IFERROR(__xludf.DUMMYFUNCTION("""COMPUTED_VALUE"""),"Alexandria Knoell")</f>
        <v>Alexandria Knoell</v>
      </c>
      <c r="C650" t="str">
        <f ca="1">IFERROR(__xludf.DUMMYFUNCTION("""COMPUTED_VALUE"""),"alee.knoell@hotmail.com")</f>
        <v>alee.knoell@hotmail.com</v>
      </c>
      <c r="D650" t="str">
        <f ca="1">IFERROR(__xludf.DUMMYFUNCTION("""COMPUTED_VALUE"""),"Nikki Dix")</f>
        <v>Nikki Dix</v>
      </c>
      <c r="E650" t="str">
        <f ca="1">IFERROR(__xludf.DUMMYFUNCTION("""COMPUTED_VALUE"""),"Vilano")</f>
        <v>Vilano</v>
      </c>
      <c r="F650" s="13">
        <f ca="1">IFERROR(__xludf.DUMMYFUNCTION("""COMPUTED_VALUE"""),0.291666666667879)</f>
        <v>0.29166666666787899</v>
      </c>
      <c r="G650" s="14">
        <f ca="1">IFERROR(__xludf.DUMMYFUNCTION("""COMPUTED_VALUE"""),44265)</f>
        <v>44265</v>
      </c>
      <c r="H650" t="str">
        <f ca="1">IFERROR(__xludf.DUMMYFUNCTION("""COMPUTED_VALUE"""),"ICW nutrients ")</f>
        <v xml:space="preserve">ICW nutrients </v>
      </c>
      <c r="I650" s="15">
        <f ca="1">IFERROR(__xludf.DUMMYFUNCTION("""COMPUTED_VALUE"""),0.5)</f>
        <v>0.5</v>
      </c>
      <c r="J650" s="16">
        <f ca="1">IFERROR(__xludf.DUMMYFUNCTION("""COMPUTED_VALUE"""),44265.5208333333)</f>
        <v>44265.520833333299</v>
      </c>
      <c r="K650" t="str">
        <f ca="1">IFERROR(__xludf.DUMMYFUNCTION("""COMPUTED_VALUE"""),"23ft Skiff (Bertha) FL7972LJ DEP07613")</f>
        <v>23ft Skiff (Bertha) FL7972LJ DEP07613</v>
      </c>
      <c r="M650" t="str">
        <f ca="1">IFERROR(__xludf.DUMMYFUNCTION("""COMPUTED_VALUE"""),"Ford F250 2017 (Moby Dix) - DEP0021578")</f>
        <v>Ford F250 2017 (Moby Dix) - DEP0021578</v>
      </c>
      <c r="N650" t="str">
        <f ca="1">IFERROR(__xludf.DUMMYFUNCTION("""COMPUTED_VALUE"""),"Shannon Dunnigan, (803) 727-5734")</f>
        <v>Shannon Dunnigan, (803) 727-5734</v>
      </c>
      <c r="O650" t="str">
        <f ca="1">IFERROR(__xludf.DUMMYFUNCTION("""COMPUTED_VALUE"""),"Alee Knoell, (619) 750-4833, Ashley reaume ")</f>
        <v xml:space="preserve">Alee Knoell, (619) 750-4833, Ashley reaume </v>
      </c>
      <c r="P650" t="str">
        <f ca="1">IFERROR(__xludf.DUMMYFUNCTION("""COMPUTED_VALUE"""),"Shannon")</f>
        <v>Shannon</v>
      </c>
      <c r="Q650" t="str">
        <f ca="1">IFERROR(__xludf.DUMMYFUNCTION("""COMPUTED_VALUE"""),"All items in working order")</f>
        <v>All items in working order</v>
      </c>
      <c r="AE650" s="11"/>
      <c r="AF650" t="str">
        <v>Nikki.Dix@floridadep.gov</v>
      </c>
      <c r="AG650" s="17" t="s">
        <v>41</v>
      </c>
      <c r="AH650" s="12">
        <v>1100</v>
      </c>
      <c r="AI650" s="12" t="s">
        <v>1904</v>
      </c>
      <c r="AJ650" s="19" t="s">
        <v>1905</v>
      </c>
      <c r="AK650" s="20" t="str">
        <f>HYPERLINK("https://docs.google.com/document/d/1obr-jGW9cIwNGsODO7PY8lMWa6oFoNT8h5C0AMSDqhA/edit?usp=drivesdk","Alexandria Knoell - 3/10/2021 7:00 AM")</f>
        <v>Alexandria Knoell - 3/10/2021 7:00 AM</v>
      </c>
      <c r="AL650" s="12" t="s">
        <v>1906</v>
      </c>
    </row>
    <row r="651" spans="1:38" ht="12.75">
      <c r="A651" s="10">
        <f ca="1">IFERROR(__xludf.DUMMYFUNCTION("""COMPUTED_VALUE"""),44266.3152118287)</f>
        <v>44266.315211828703</v>
      </c>
      <c r="B651" s="11" t="str">
        <f ca="1">IFERROR(__xludf.DUMMYFUNCTION("""COMPUTED_VALUE"""),"Jessica Lee")</f>
        <v>Jessica Lee</v>
      </c>
      <c r="C651" t="str">
        <f ca="1">IFERROR(__xludf.DUMMYFUNCTION("""COMPUTED_VALUE"""),"jessica.lee@floridadep.gov")</f>
        <v>jessica.lee@floridadep.gov</v>
      </c>
      <c r="D651" t="str">
        <f ca="1">IFERROR(__xludf.DUMMYFUNCTION("""COMPUTED_VALUE"""),"Shannon Dunnigan")</f>
        <v>Shannon Dunnigan</v>
      </c>
      <c r="E651" t="str">
        <f ca="1">IFERROR(__xludf.DUMMYFUNCTION("""COMPUTED_VALUE"""),"Guana River")</f>
        <v>Guana River</v>
      </c>
      <c r="F651" s="13">
        <f ca="1">IFERROR(__xludf.DUMMYFUNCTION("""COMPUTED_VALUE"""),0.33333333333212)</f>
        <v>0.33333333333212001</v>
      </c>
      <c r="G651" s="14">
        <f ca="1">IFERROR(__xludf.DUMMYFUNCTION("""COMPUTED_VALUE"""),44266)</f>
        <v>44266</v>
      </c>
      <c r="H651" t="str">
        <f ca="1">IFERROR(__xludf.DUMMYFUNCTION("""COMPUTED_VALUE"""),"Guana River")</f>
        <v>Guana River</v>
      </c>
      <c r="I651" s="15">
        <f ca="1">IFERROR(__xludf.DUMMYFUNCTION("""COMPUTED_VALUE"""),0.40625)</f>
        <v>0.40625</v>
      </c>
      <c r="J651" s="16">
        <f ca="1">IFERROR(__xludf.DUMMYFUNCTION("""COMPUTED_VALUE"""),44266.4166666666)</f>
        <v>44266.416666666599</v>
      </c>
      <c r="K651" t="str">
        <f ca="1">IFERROR(__xludf.DUMMYFUNCTION("""COMPUTED_VALUE"""),"Jon Boat 1 FL5992RR DEP154045")</f>
        <v>Jon Boat 1 FL5992RR DEP154045</v>
      </c>
      <c r="M651" t="str">
        <f ca="1">IFERROR(__xludf.DUMMYFUNCTION("""COMPUTED_VALUE"""),"Ford F150 2015 (White) - DEP21448")</f>
        <v>Ford F150 2015 (White) - DEP21448</v>
      </c>
      <c r="N651" t="str">
        <f ca="1">IFERROR(__xludf.DUMMYFUNCTION("""COMPUTED_VALUE"""),"Jessica Lee")</f>
        <v>Jessica Lee</v>
      </c>
      <c r="O651" t="str">
        <f ca="1">IFERROR(__xludf.DUMMYFUNCTION("""COMPUTED_VALUE"""),"Ashley")</f>
        <v>Ashley</v>
      </c>
      <c r="P651" t="str">
        <f ca="1">IFERROR(__xludf.DUMMYFUNCTION("""COMPUTED_VALUE"""),"Jessica Lee")</f>
        <v>Jessica Lee</v>
      </c>
      <c r="Q651" t="str">
        <f ca="1">IFERROR(__xludf.DUMMYFUNCTION("""COMPUTED_VALUE"""),"All items in working order")</f>
        <v>All items in working order</v>
      </c>
      <c r="AE651" s="11"/>
      <c r="AF651" t="str">
        <v>Shannon.Dunnigan@floridadep.gov</v>
      </c>
      <c r="AG651" s="18"/>
      <c r="AI651" s="12" t="s">
        <v>1907</v>
      </c>
      <c r="AJ651" s="19" t="s">
        <v>1908</v>
      </c>
      <c r="AK651" s="20" t="str">
        <f>HYPERLINK("https://docs.google.com/document/d/1zYVTfIrPvK_uRD84Bt1UP_XagwKsuCgN-ntGvUkIvXA/edit?usp=drivesdk","Jessica Lee - 3/11/2021 8:00 AM")</f>
        <v>Jessica Lee - 3/11/2021 8:00 AM</v>
      </c>
      <c r="AL651" s="12" t="s">
        <v>1909</v>
      </c>
    </row>
    <row r="652" spans="1:38" ht="12.75">
      <c r="A652" s="10">
        <f ca="1">IFERROR(__xludf.DUMMYFUNCTION("""COMPUTED_VALUE"""),44272.2586983796)</f>
        <v>44272.258698379599</v>
      </c>
      <c r="B652" s="11" t="str">
        <f ca="1">IFERROR(__xludf.DUMMYFUNCTION("""COMPUTED_VALUE"""),"Silas Tanner")</f>
        <v>Silas Tanner</v>
      </c>
      <c r="C652" t="str">
        <f ca="1">IFERROR(__xludf.DUMMYFUNCTION("""COMPUTED_VALUE"""),"silas.tanner@floridadep.gov")</f>
        <v>silas.tanner@floridadep.gov</v>
      </c>
      <c r="D652" t="str">
        <f ca="1">IFERROR(__xludf.DUMMYFUNCTION("""COMPUTED_VALUE"""),"Nikki Dix")</f>
        <v>Nikki Dix</v>
      </c>
      <c r="E652" t="str">
        <f ca="1">IFERROR(__xludf.DUMMYFUNCTION("""COMPUTED_VALUE"""),"Vilano Landing")</f>
        <v>Vilano Landing</v>
      </c>
      <c r="F652" s="13">
        <f ca="1">IFERROR(__xludf.DUMMYFUNCTION("""COMPUTED_VALUE"""),0.30208333333212)</f>
        <v>0.30208333333212001</v>
      </c>
      <c r="G652" s="14">
        <f ca="1">IFERROR(__xludf.DUMMYFUNCTION("""COMPUTED_VALUE"""),44272)</f>
        <v>44272</v>
      </c>
      <c r="H652" t="str">
        <f ca="1">IFERROR(__xludf.DUMMYFUNCTION("""COMPUTED_VALUE"""),"ICW SWMP sites")</f>
        <v>ICW SWMP sites</v>
      </c>
      <c r="I652" s="15">
        <f ca="1">IFERROR(__xludf.DUMMYFUNCTION("""COMPUTED_VALUE"""),0.479166666667879)</f>
        <v>0.47916666666787899</v>
      </c>
      <c r="J652" s="16">
        <f ca="1">IFERROR(__xludf.DUMMYFUNCTION("""COMPUTED_VALUE"""),44272.5006944444)</f>
        <v>44272.500694444403</v>
      </c>
      <c r="K652" t="str">
        <f ca="1">IFERROR(__xludf.DUMMYFUNCTION("""COMPUTED_VALUE"""),"20ft Sea Ark FL5351SJ UNF 2015")</f>
        <v>20ft Sea Ark FL5351SJ UNF 2015</v>
      </c>
      <c r="M652" t="str">
        <f ca="1">IFERROR(__xludf.DUMMYFUNCTION("""COMPUTED_VALUE"""),"Ford F250 2017 (Moby Dix) - DEP0021578")</f>
        <v>Ford F250 2017 (Moby Dix) - DEP0021578</v>
      </c>
      <c r="N652" t="str">
        <f ca="1">IFERROR(__xludf.DUMMYFUNCTION("""COMPUTED_VALUE"""),"Silas Tanner, (904) 483-8423")</f>
        <v>Silas Tanner, (904) 483-8423</v>
      </c>
      <c r="O652" t="str">
        <f ca="1">IFERROR(__xludf.DUMMYFUNCTION("""COMPUTED_VALUE"""),"Alee Knoell, (619) 750-4833")</f>
        <v>Alee Knoell, (619) 750-4833</v>
      </c>
      <c r="P652" t="str">
        <f ca="1">IFERROR(__xludf.DUMMYFUNCTION("""COMPUTED_VALUE"""),"Silas Tanner")</f>
        <v>Silas Tanner</v>
      </c>
      <c r="Q652" t="str">
        <f ca="1">IFERROR(__xludf.DUMMYFUNCTION("""COMPUTED_VALUE"""),"All items in working order")</f>
        <v>All items in working order</v>
      </c>
      <c r="AE652" s="11"/>
      <c r="AF652" t="str">
        <v>Nikki.Dix@floridadep.gov</v>
      </c>
      <c r="AG652" s="17" t="s">
        <v>41</v>
      </c>
      <c r="AH652" s="12">
        <v>1047</v>
      </c>
      <c r="AI652" s="12" t="s">
        <v>1910</v>
      </c>
      <c r="AJ652" s="19" t="s">
        <v>1911</v>
      </c>
      <c r="AK652" s="20" t="str">
        <f>HYPERLINK("https://docs.google.com/document/d/1ilfIZrvO62UzSBALOu1mbx74xPf85fISvVYwYPw9Nj0/edit?usp=drivesdk","Silas Tanner - 3/17/2021 7:15 AM")</f>
        <v>Silas Tanner - 3/17/2021 7:15 AM</v>
      </c>
      <c r="AL652" s="12" t="s">
        <v>1912</v>
      </c>
    </row>
    <row r="653" spans="1:38" ht="12.75">
      <c r="A653" s="10">
        <f ca="1">IFERROR(__xludf.DUMMYFUNCTION("""COMPUTED_VALUE"""),44285.3381422569)</f>
        <v>44285.3381422569</v>
      </c>
      <c r="B653" s="11" t="str">
        <f ca="1">IFERROR(__xludf.DUMMYFUNCTION("""COMPUTED_VALUE"""),"Pam Marcum")</f>
        <v>Pam Marcum</v>
      </c>
      <c r="C653" t="str">
        <f ca="1">IFERROR(__xludf.DUMMYFUNCTION("""COMPUTED_VALUE"""),"pamela.Marcum@floridadep.gov")</f>
        <v>pamela.Marcum@floridadep.gov</v>
      </c>
      <c r="D653" t="str">
        <f ca="1">IFERROR(__xludf.DUMMYFUNCTION("""COMPUTED_VALUE"""),"Nikki Dix")</f>
        <v>Nikki Dix</v>
      </c>
      <c r="E653" t="str">
        <f ca="1">IFERROR(__xludf.DUMMYFUNCTION("""COMPUTED_VALUE"""),"Shore")</f>
        <v>Shore</v>
      </c>
      <c r="F653" s="13">
        <f ca="1">IFERROR(__xludf.DUMMYFUNCTION("""COMPUTED_VALUE"""),0.34375)</f>
        <v>0.34375</v>
      </c>
      <c r="G653" s="14">
        <f ca="1">IFERROR(__xludf.DUMMYFUNCTION("""COMPUTED_VALUE"""),44285)</f>
        <v>44285</v>
      </c>
      <c r="H653" t="str">
        <f ca="1">IFERROR(__xludf.DUMMYFUNCTION("""COMPUTED_VALUE"""),"Gabbys Creek")</f>
        <v>Gabbys Creek</v>
      </c>
      <c r="I653" s="15">
        <f ca="1">IFERROR(__xludf.DUMMYFUNCTION("""COMPUTED_VALUE"""),0.625)</f>
        <v>0.625</v>
      </c>
      <c r="J653" s="16">
        <f ca="1">IFERROR(__xludf.DUMMYFUNCTION("""COMPUTED_VALUE"""),44285.6666666666)</f>
        <v>44285.666666666599</v>
      </c>
      <c r="K653" t="str">
        <f ca="1">IFERROR(__xludf.DUMMYFUNCTION("""COMPUTED_VALUE"""),"23ft Skiff (Bertha) FL7972LJ DEP07613")</f>
        <v>23ft Skiff (Bertha) FL7972LJ DEP07613</v>
      </c>
      <c r="M653" t="str">
        <f ca="1">IFERROR(__xludf.DUMMYFUNCTION("""COMPUTED_VALUE"""),"Ford F150 2015 (White) - DEP21448")</f>
        <v>Ford F150 2015 (White) - DEP21448</v>
      </c>
      <c r="N653" t="str">
        <f ca="1">IFERROR(__xludf.DUMMYFUNCTION("""COMPUTED_VALUE"""),"Pam Marcum, (480) 332-5414")</f>
        <v>Pam Marcum, (480) 332-5414</v>
      </c>
      <c r="O653" t="str">
        <f ca="1">IFERROR(__xludf.DUMMYFUNCTION("""COMPUTED_VALUE"""),"Sam Chapman, Nicole Spanier, Ches Vervaeke, Tom Chapman")</f>
        <v>Sam Chapman, Nicole Spanier, Ches Vervaeke, Tom Chapman</v>
      </c>
      <c r="P653" t="str">
        <f ca="1">IFERROR(__xludf.DUMMYFUNCTION("""COMPUTED_VALUE"""),"Pam")</f>
        <v>Pam</v>
      </c>
      <c r="Q653" t="str">
        <f ca="1">IFERROR(__xludf.DUMMYFUNCTION("""COMPUTED_VALUE"""),"All items in working order")</f>
        <v>All items in working order</v>
      </c>
      <c r="AE653" s="11"/>
      <c r="AF653" t="str">
        <v>Nikki.Dix@floridadep.gov</v>
      </c>
      <c r="AG653" s="17" t="s">
        <v>41</v>
      </c>
      <c r="AH653" s="12">
        <v>1357</v>
      </c>
      <c r="AI653" s="12" t="s">
        <v>1913</v>
      </c>
      <c r="AJ653" s="19" t="s">
        <v>1914</v>
      </c>
      <c r="AK653" s="20" t="str">
        <f>HYPERLINK("https://docs.google.com/document/d/1tTskTDAxujyZNr6Clu2EYfrHeo7SloH0j4KWIqM9LoQ/edit?usp=drivesdk","Pam Marcum - 3/30/2021 8:15 AM")</f>
        <v>Pam Marcum - 3/30/2021 8:15 AM</v>
      </c>
      <c r="AL653" s="12" t="s">
        <v>1915</v>
      </c>
    </row>
    <row r="654" spans="1:38" ht="12.75">
      <c r="A654" s="10">
        <f ca="1">IFERROR(__xludf.DUMMYFUNCTION("""COMPUTED_VALUE"""),44285.3637130208)</f>
        <v>44285.363713020801</v>
      </c>
      <c r="B654" s="11" t="str">
        <f ca="1">IFERROR(__xludf.DUMMYFUNCTION("""COMPUTED_VALUE"""),"Gabriela Canas")</f>
        <v>Gabriela Canas</v>
      </c>
      <c r="C654" t="str">
        <f ca="1">IFERROR(__xludf.DUMMYFUNCTION("""COMPUTED_VALUE"""),"n00836133@unf.edu")</f>
        <v>n00836133@unf.edu</v>
      </c>
      <c r="D654" t="str">
        <f ca="1">IFERROR(__xludf.DUMMYFUNCTION("""COMPUTED_VALUE"""),"Nikki Dix")</f>
        <v>Nikki Dix</v>
      </c>
      <c r="E654" t="str">
        <f ca="1">IFERROR(__xludf.DUMMYFUNCTION("""COMPUTED_VALUE"""),"Douglas crane")</f>
        <v>Douglas crane</v>
      </c>
      <c r="F654" s="13">
        <f ca="1">IFERROR(__xludf.DUMMYFUNCTION("""COMPUTED_VALUE"""),0.36458333333212)</f>
        <v>0.36458333333212001</v>
      </c>
      <c r="G654" s="14"/>
      <c r="H654" t="str">
        <f ca="1">IFERROR(__xludf.DUMMYFUNCTION("""COMPUTED_VALUE"""),"Wetfeet middle site")</f>
        <v>Wetfeet middle site</v>
      </c>
      <c r="I654" s="15">
        <f ca="1">IFERROR(__xludf.DUMMYFUNCTION("""COMPUTED_VALUE"""),0.625)</f>
        <v>0.625</v>
      </c>
      <c r="J654" s="16">
        <f ca="1">IFERROR(__xludf.DUMMYFUNCTION("""COMPUTED_VALUE"""),44285.7083333333)</f>
        <v>44285.708333333299</v>
      </c>
      <c r="K654" t="str">
        <f ca="1">IFERROR(__xludf.DUMMYFUNCTION("""COMPUTED_VALUE"""),"F 20ft Sea Ark (Easy 200) FL8534PY DEP21451")</f>
        <v>F 20ft Sea Ark (Easy 200) FL8534PY DEP21451</v>
      </c>
      <c r="M654" t="str">
        <f ca="1">IFERROR(__xludf.DUMMYFUNCTION("""COMPUTED_VALUE"""),"Ford F250 2017 (Moby Dix) - DEP0021578")</f>
        <v>Ford F250 2017 (Moby Dix) - DEP0021578</v>
      </c>
      <c r="N654" t="str">
        <f ca="1">IFERROR(__xludf.DUMMYFUNCTION("""COMPUTED_VALUE"""),"Nikki Dix, (352) 219-4079, Gabriela Canas ")</f>
        <v xml:space="preserve">Nikki Dix, (352) 219-4079, Gabriela Canas </v>
      </c>
      <c r="O654" t="str">
        <f ca="1">IFERROR(__xludf.DUMMYFUNCTION("""COMPUTED_VALUE"""),"Kaitlyn campbell")</f>
        <v>Kaitlyn campbell</v>
      </c>
      <c r="P654" t="str">
        <f ca="1">IFERROR(__xludf.DUMMYFUNCTION("""COMPUTED_VALUE"""),"Gabby")</f>
        <v>Gabby</v>
      </c>
      <c r="Q654" t="str">
        <f ca="1">IFERROR(__xludf.DUMMYFUNCTION("""COMPUTED_VALUE"""),"All items in working order")</f>
        <v>All items in working order</v>
      </c>
      <c r="AE654" s="11"/>
      <c r="AF654" t="str">
        <v>Nikki.Dix@floridadep.gov</v>
      </c>
      <c r="AG654" s="17" t="s">
        <v>41</v>
      </c>
      <c r="AH654" s="12">
        <v>1500</v>
      </c>
      <c r="AI654" s="12" t="s">
        <v>1916</v>
      </c>
      <c r="AJ654" s="19" t="s">
        <v>1917</v>
      </c>
      <c r="AK654" s="20" t="str">
        <f>HYPERLINK("https://docs.google.com/document/d/1yRN5WZ2bCkiqgVZYjeW2Q_xF52lxdbO9mVIC4drDNzo/edit?usp=drivesdk","Gabriela Canas -  8:45 AM")</f>
        <v>Gabriela Canas -  8:45 AM</v>
      </c>
      <c r="AL654" s="12" t="s">
        <v>1918</v>
      </c>
    </row>
    <row r="655" spans="1:38" ht="12.75">
      <c r="A655" s="10">
        <f ca="1">IFERROR(__xludf.DUMMYFUNCTION("""COMPUTED_VALUE"""),44285.9666070254)</f>
        <v>44285.966607025402</v>
      </c>
      <c r="B655" s="11" t="str">
        <f ca="1">IFERROR(__xludf.DUMMYFUNCTION("""COMPUTED_VALUE"""),"Gabriela Canas")</f>
        <v>Gabriela Canas</v>
      </c>
      <c r="C655" t="str">
        <f ca="1">IFERROR(__xludf.DUMMYFUNCTION("""COMPUTED_VALUE"""),"n00836133@unf.edu")</f>
        <v>n00836133@unf.edu</v>
      </c>
      <c r="D655" t="str">
        <f ca="1">IFERROR(__xludf.DUMMYFUNCTION("""COMPUTED_VALUE"""),"Nikki Dix")</f>
        <v>Nikki Dix</v>
      </c>
      <c r="E655" t="str">
        <f ca="1">IFERROR(__xludf.DUMMYFUNCTION("""COMPUTED_VALUE"""),"Douglas crane")</f>
        <v>Douglas crane</v>
      </c>
      <c r="F655" s="13">
        <f ca="1">IFERROR(__xludf.DUMMYFUNCTION("""COMPUTED_VALUE"""),0.36458333333212)</f>
        <v>0.36458333333212001</v>
      </c>
      <c r="G655" s="14"/>
      <c r="H655" t="str">
        <f ca="1">IFERROR(__xludf.DUMMYFUNCTION("""COMPUTED_VALUE"""),"Wetfeet middle site")</f>
        <v>Wetfeet middle site</v>
      </c>
      <c r="I655" s="15">
        <f ca="1">IFERROR(__xludf.DUMMYFUNCTION("""COMPUTED_VALUE"""),0.625)</f>
        <v>0.625</v>
      </c>
      <c r="J655" s="16">
        <f ca="1">IFERROR(__xludf.DUMMYFUNCTION("""COMPUTED_VALUE"""),44285.7083333333)</f>
        <v>44285.708333333299</v>
      </c>
      <c r="K655" t="str">
        <f ca="1">IFERROR(__xludf.DUMMYFUNCTION("""COMPUTED_VALUE"""),"F 20ft Sea Ark (Easy 200) FL8534PY DEP21451")</f>
        <v>F 20ft Sea Ark (Easy 200) FL8534PY DEP21451</v>
      </c>
      <c r="M655" t="str">
        <f ca="1">IFERROR(__xludf.DUMMYFUNCTION("""COMPUTED_VALUE"""),"Ford F250 2017 (Moby Dix) - DEP0021578")</f>
        <v>Ford F250 2017 (Moby Dix) - DEP0021578</v>
      </c>
      <c r="N655" t="str">
        <f ca="1">IFERROR(__xludf.DUMMYFUNCTION("""COMPUTED_VALUE"""),"Nikki Dix, (352) 219-4079, Gabriela Canas ")</f>
        <v xml:space="preserve">Nikki Dix, (352) 219-4079, Gabriela Canas </v>
      </c>
      <c r="O655" t="str">
        <f ca="1">IFERROR(__xludf.DUMMYFUNCTION("""COMPUTED_VALUE"""),"Kaitlyn campbell")</f>
        <v>Kaitlyn campbell</v>
      </c>
      <c r="P655" t="str">
        <f ca="1">IFERROR(__xludf.DUMMYFUNCTION("""COMPUTED_VALUE"""),"Gabby")</f>
        <v>Gabby</v>
      </c>
      <c r="Q655" t="str">
        <f ca="1">IFERROR(__xludf.DUMMYFUNCTION("""COMPUTED_VALUE"""),"All items in working order")</f>
        <v>All items in working order</v>
      </c>
      <c r="AE655" s="11"/>
      <c r="AF655" t="str">
        <v>Nikki.Dix@floridadep.gov</v>
      </c>
      <c r="AG655" s="17" t="s">
        <v>54</v>
      </c>
      <c r="AH655" s="17" t="s">
        <v>54</v>
      </c>
      <c r="AI655" s="12" t="s">
        <v>1919</v>
      </c>
      <c r="AJ655" s="19" t="s">
        <v>1920</v>
      </c>
      <c r="AK655" s="20" t="str">
        <f>HYPERLINK("https://docs.google.com/document/d/1v6kVTGJ7y-AZCLEEsRweiQiMwBSa8h09Stv1Nc3ILb4/edit?usp=drivesdk","Gabriela Canas -  8:45 AM")</f>
        <v>Gabriela Canas -  8:45 AM</v>
      </c>
      <c r="AL655" s="12" t="s">
        <v>1921</v>
      </c>
    </row>
    <row r="656" spans="1:38" ht="12.75">
      <c r="A656" s="10">
        <f ca="1">IFERROR(__xludf.DUMMYFUNCTION("""COMPUTED_VALUE"""),44286.2954706018)</f>
        <v>44286.295470601799</v>
      </c>
      <c r="B656" s="11" t="str">
        <f ca="1">IFERROR(__xludf.DUMMYFUNCTION("""COMPUTED_VALUE"""),"Shannon Dunnigan")</f>
        <v>Shannon Dunnigan</v>
      </c>
      <c r="C656" t="str">
        <f ca="1">IFERROR(__xludf.DUMMYFUNCTION("""COMPUTED_VALUE"""),"shannon.dunnigan@floridadep.gov")</f>
        <v>shannon.dunnigan@floridadep.gov</v>
      </c>
      <c r="D656" t="str">
        <f ca="1">IFERROR(__xludf.DUMMYFUNCTION("""COMPUTED_VALUE"""),"Nikki Dix")</f>
        <v>Nikki Dix</v>
      </c>
      <c r="E656" t="str">
        <f ca="1">IFERROR(__xludf.DUMMYFUNCTION("""COMPUTED_VALUE"""),"Shore Drive")</f>
        <v>Shore Drive</v>
      </c>
      <c r="F656" s="13">
        <f ca="1">IFERROR(__xludf.DUMMYFUNCTION("""COMPUTED_VALUE"""),0.3125)</f>
        <v>0.3125</v>
      </c>
      <c r="G656" s="14">
        <f ca="1">IFERROR(__xludf.DUMMYFUNCTION("""COMPUTED_VALUE"""),44286)</f>
        <v>44286</v>
      </c>
      <c r="H656" t="str">
        <f ca="1">IFERROR(__xludf.DUMMYFUNCTION("""COMPUTED_VALUE"""),"ICW sondes")</f>
        <v>ICW sondes</v>
      </c>
      <c r="I656" s="15">
        <f ca="1">IFERROR(__xludf.DUMMYFUNCTION("""COMPUTED_VALUE"""),0.479166666667879)</f>
        <v>0.47916666666787899</v>
      </c>
      <c r="J656" s="16">
        <f ca="1">IFERROR(__xludf.DUMMYFUNCTION("""COMPUTED_VALUE"""),44286.5625)</f>
        <v>44286.5625</v>
      </c>
      <c r="K656" t="str">
        <f ca="1">IFERROR(__xludf.DUMMYFUNCTION("""COMPUTED_VALUE"""),"20ft Sea Ark FL5351SJ UNF 2015")</f>
        <v>20ft Sea Ark FL5351SJ UNF 2015</v>
      </c>
      <c r="M656" t="str">
        <f ca="1">IFERROR(__xludf.DUMMYFUNCTION("""COMPUTED_VALUE"""),"Ford F250 2017 (Moby Dix) - DEP0021578")</f>
        <v>Ford F250 2017 (Moby Dix) - DEP0021578</v>
      </c>
      <c r="N656" t="str">
        <f ca="1">IFERROR(__xludf.DUMMYFUNCTION("""COMPUTED_VALUE"""),"Shannon Dunnigan, (803) 727-5734, Silas Tanner, (904) 483-8423")</f>
        <v>Shannon Dunnigan, (803) 727-5734, Silas Tanner, (904) 483-8423</v>
      </c>
      <c r="P656" t="str">
        <f ca="1">IFERROR(__xludf.DUMMYFUNCTION("""COMPUTED_VALUE"""),"Silas")</f>
        <v>Silas</v>
      </c>
      <c r="Q656" t="str">
        <f ca="1">IFERROR(__xludf.DUMMYFUNCTION("""COMPUTED_VALUE"""),"All items in working order")</f>
        <v>All items in working order</v>
      </c>
      <c r="AE656" s="11"/>
      <c r="AF656" t="str">
        <v>Nikki.Dix@floridadep.gov</v>
      </c>
      <c r="AG656" s="17" t="s">
        <v>41</v>
      </c>
      <c r="AH656" s="12">
        <v>1311</v>
      </c>
      <c r="AI656" s="12" t="s">
        <v>1922</v>
      </c>
      <c r="AJ656" s="19" t="s">
        <v>1923</v>
      </c>
      <c r="AK656" s="20" t="str">
        <f>HYPERLINK("https://docs.google.com/document/d/1twDCYSGGFpjl3D-p31e3FyoXOxFRS9v116t7vvqrBoA/edit?usp=drivesdk","Shannon Dunnigan - 3/31/2021 7:30 AM")</f>
        <v>Shannon Dunnigan - 3/31/2021 7:30 AM</v>
      </c>
      <c r="AL656" s="12" t="s">
        <v>1924</v>
      </c>
    </row>
    <row r="657" spans="1:38" ht="12.75">
      <c r="A657" s="10">
        <f ca="1">IFERROR(__xludf.DUMMYFUNCTION("""COMPUTED_VALUE"""),44286.3304190393)</f>
        <v>44286.330419039303</v>
      </c>
      <c r="B657" s="11" t="str">
        <f ca="1">IFERROR(__xludf.DUMMYFUNCTION("""COMPUTED_VALUE"""),"Pam Marcum")</f>
        <v>Pam Marcum</v>
      </c>
      <c r="C657" t="str">
        <f ca="1">IFERROR(__xludf.DUMMYFUNCTION("""COMPUTED_VALUE"""),"Pamela.Marcum@floridadep.gov")</f>
        <v>Pamela.Marcum@floridadep.gov</v>
      </c>
      <c r="D657" t="str">
        <f ca="1">IFERROR(__xludf.DUMMYFUNCTION("""COMPUTED_VALUE"""),"Nikki Dix")</f>
        <v>Nikki Dix</v>
      </c>
      <c r="E657" t="str">
        <f ca="1">IFERROR(__xludf.DUMMYFUNCTION("""COMPUTED_VALUE"""),"Aunt Kate's")</f>
        <v>Aunt Kate's</v>
      </c>
      <c r="F657" s="13">
        <f ca="1">IFERROR(__xludf.DUMMYFUNCTION("""COMPUTED_VALUE"""),0.33333333333212)</f>
        <v>0.33333333333212001</v>
      </c>
      <c r="G657" s="14">
        <f ca="1">IFERROR(__xludf.DUMMYFUNCTION("""COMPUTED_VALUE"""),44286)</f>
        <v>44286</v>
      </c>
      <c r="H657" t="str">
        <f ca="1">IFERROR(__xludf.DUMMYFUNCTION("""COMPUTED_VALUE"""),"Hat Island, Pine Island")</f>
        <v>Hat Island, Pine Island</v>
      </c>
      <c r="I657" s="15">
        <f ca="1">IFERROR(__xludf.DUMMYFUNCTION("""COMPUTED_VALUE"""),0.58333333333212)</f>
        <v>0.58333333333212001</v>
      </c>
      <c r="J657" s="16">
        <f ca="1">IFERROR(__xludf.DUMMYFUNCTION("""COMPUTED_VALUE"""),44286.6041666666)</f>
        <v>44286.604166666599</v>
      </c>
      <c r="K657" t="str">
        <f ca="1">IFERROR(__xludf.DUMMYFUNCTION("""COMPUTED_VALUE"""),"23ft Skiff (Bertha) FL7972LJ DEP07613")</f>
        <v>23ft Skiff (Bertha) FL7972LJ DEP07613</v>
      </c>
      <c r="M657" t="str">
        <f ca="1">IFERROR(__xludf.DUMMYFUNCTION("""COMPUTED_VALUE"""),"Ford F150 2015 (White) - DEP21448")</f>
        <v>Ford F150 2015 (White) - DEP21448</v>
      </c>
      <c r="N657" t="str">
        <f ca="1">IFERROR(__xludf.DUMMYFUNCTION("""COMPUTED_VALUE"""),"Pam Marcum, (480) 332-5414")</f>
        <v>Pam Marcum, (480) 332-5414</v>
      </c>
      <c r="O657" t="str">
        <f ca="1">IFERROR(__xludf.DUMMYFUNCTION("""COMPUTED_VALUE"""),"Alee Knoell, (619) 750-4833")</f>
        <v>Alee Knoell, (619) 750-4833</v>
      </c>
      <c r="P657" t="str">
        <f ca="1">IFERROR(__xludf.DUMMYFUNCTION("""COMPUTED_VALUE"""),"Alee")</f>
        <v>Alee</v>
      </c>
      <c r="Q657" t="str">
        <f ca="1">IFERROR(__xludf.DUMMYFUNCTION("""COMPUTED_VALUE"""),"All items in working order")</f>
        <v>All items in working order</v>
      </c>
      <c r="AE657" s="11"/>
      <c r="AF657" t="str">
        <v>Nikki.Dix@floridadep.gov</v>
      </c>
      <c r="AG657" s="17" t="s">
        <v>41</v>
      </c>
      <c r="AH657" s="12">
        <v>1154</v>
      </c>
      <c r="AI657" s="12" t="s">
        <v>1925</v>
      </c>
      <c r="AJ657" s="19" t="s">
        <v>1926</v>
      </c>
      <c r="AK657" s="20" t="str">
        <f>HYPERLINK("https://docs.google.com/document/d/1vUaCgm5Vq08qt30h83-tm3hv4O_T8KMl-U0Dn1Y-IJk/edit?usp=drivesdk","Pam Marcum - 3/31/2021 8:00 AM")</f>
        <v>Pam Marcum - 3/31/2021 8:00 AM</v>
      </c>
      <c r="AL657" s="12" t="s">
        <v>1927</v>
      </c>
    </row>
    <row r="658" spans="1:38" ht="12.75">
      <c r="A658" s="10">
        <f ca="1">IFERROR(__xludf.DUMMYFUNCTION("""COMPUTED_VALUE"""),44287.3255568171)</f>
        <v>44287.325556817101</v>
      </c>
      <c r="B658" s="11" t="str">
        <f ca="1">IFERROR(__xludf.DUMMYFUNCTION("""COMPUTED_VALUE"""),"Pam Marcum")</f>
        <v>Pam Marcum</v>
      </c>
      <c r="C658" t="str">
        <f ca="1">IFERROR(__xludf.DUMMYFUNCTION("""COMPUTED_VALUE"""),"pamela.marcum@floridadep.gov")</f>
        <v>pamela.marcum@floridadep.gov</v>
      </c>
      <c r="D658" t="str">
        <f ca="1">IFERROR(__xludf.DUMMYFUNCTION("""COMPUTED_VALUE"""),"Nikki Dix")</f>
        <v>Nikki Dix</v>
      </c>
      <c r="E658" t="str">
        <f ca="1">IFERROR(__xludf.DUMMYFUNCTION("""COMPUTED_VALUE"""),"Shore Dr")</f>
        <v>Shore Dr</v>
      </c>
      <c r="F658" s="13">
        <f ca="1">IFERROR(__xludf.DUMMYFUNCTION("""COMPUTED_VALUE"""),0.322916666667879)</f>
        <v>0.32291666666787899</v>
      </c>
      <c r="G658" s="14">
        <f ca="1">IFERROR(__xludf.DUMMYFUNCTION("""COMPUTED_VALUE"""),44287)</f>
        <v>44287</v>
      </c>
      <c r="H658" t="str">
        <f ca="1">IFERROR(__xludf.DUMMYFUNCTION("""COMPUTED_VALUE"""),"Site 22")</f>
        <v>Site 22</v>
      </c>
      <c r="I658" s="15">
        <f ca="1">IFERROR(__xludf.DUMMYFUNCTION("""COMPUTED_VALUE"""),0.5)</f>
        <v>0.5</v>
      </c>
      <c r="J658" s="16">
        <f ca="1">IFERROR(__xludf.DUMMYFUNCTION("""COMPUTED_VALUE"""),44287.5416666666)</f>
        <v>44287.541666666599</v>
      </c>
      <c r="K658" t="str">
        <f ca="1">IFERROR(__xludf.DUMMYFUNCTION("""COMPUTED_VALUE"""),"23ft Skiff (Bertha) FL7972LJ DEP07613")</f>
        <v>23ft Skiff (Bertha) FL7972LJ DEP07613</v>
      </c>
      <c r="M658" t="str">
        <f ca="1">IFERROR(__xludf.DUMMYFUNCTION("""COMPUTED_VALUE"""),"Ford F150 2015 (White) - DEP21448")</f>
        <v>Ford F150 2015 (White) - DEP21448</v>
      </c>
      <c r="N658" t="str">
        <f ca="1">IFERROR(__xludf.DUMMYFUNCTION("""COMPUTED_VALUE"""),"Pam Marcum, (480) 332-5414")</f>
        <v>Pam Marcum, (480) 332-5414</v>
      </c>
      <c r="O658" t="str">
        <f ca="1">IFERROR(__xludf.DUMMYFUNCTION("""COMPUTED_VALUE"""),"Alee Knoell, (619) 750-4833")</f>
        <v>Alee Knoell, (619) 750-4833</v>
      </c>
      <c r="P658" t="str">
        <f ca="1">IFERROR(__xludf.DUMMYFUNCTION("""COMPUTED_VALUE"""),"Alee")</f>
        <v>Alee</v>
      </c>
      <c r="Q658" t="str">
        <f ca="1">IFERROR(__xludf.DUMMYFUNCTION("""COMPUTED_VALUE"""),"All items in working order")</f>
        <v>All items in working order</v>
      </c>
      <c r="AE658" s="11"/>
      <c r="AF658" t="str">
        <v>Nikki.Dix@floridadep.gov</v>
      </c>
      <c r="AG658" s="17" t="s">
        <v>41</v>
      </c>
      <c r="AH658" s="12">
        <v>1035</v>
      </c>
      <c r="AI658" s="12" t="s">
        <v>1928</v>
      </c>
      <c r="AJ658" s="19" t="s">
        <v>1929</v>
      </c>
      <c r="AK658" s="20" t="str">
        <f>HYPERLINK("https://docs.google.com/document/d/1tMLiDIv4S7n30K1CYh_PT1j3tTcs7bR906peSLT1gOI/edit?usp=drivesdk","Pam Marcum - 4/1/2021 7:45 AM")</f>
        <v>Pam Marcum - 4/1/2021 7:45 AM</v>
      </c>
      <c r="AL658" s="12" t="s">
        <v>1930</v>
      </c>
    </row>
    <row r="659" spans="1:38" ht="12.75">
      <c r="A659" s="10">
        <f ca="1">IFERROR(__xludf.DUMMYFUNCTION("""COMPUTED_VALUE"""),44293.3257537268)</f>
        <v>44293.3257537268</v>
      </c>
      <c r="B659" s="11" t="str">
        <f ca="1">IFERROR(__xludf.DUMMYFUNCTION("""COMPUTED_VALUE"""),"Alexandria Knoell")</f>
        <v>Alexandria Knoell</v>
      </c>
      <c r="C659" t="str">
        <f ca="1">IFERROR(__xludf.DUMMYFUNCTION("""COMPUTED_VALUE"""),"alee.knoell@floridadep.gov")</f>
        <v>alee.knoell@floridadep.gov</v>
      </c>
      <c r="D659" t="str">
        <f ca="1">IFERROR(__xludf.DUMMYFUNCTION("""COMPUTED_VALUE"""),"Nikki Dix")</f>
        <v>Nikki Dix</v>
      </c>
      <c r="E659" t="str">
        <f ca="1">IFERROR(__xludf.DUMMYFUNCTION("""COMPUTED_VALUE"""),"Vilano")</f>
        <v>Vilano</v>
      </c>
      <c r="F659" s="13">
        <f ca="1">IFERROR(__xludf.DUMMYFUNCTION("""COMPUTED_VALUE"""),0.322916666667879)</f>
        <v>0.32291666666787899</v>
      </c>
      <c r="G659" s="14">
        <f ca="1">IFERROR(__xludf.DUMMYFUNCTION("""COMPUTED_VALUE"""),44293)</f>
        <v>44293</v>
      </c>
      <c r="H659" t="str">
        <f ca="1">IFERROR(__xludf.DUMMYFUNCTION("""COMPUTED_VALUE"""),"SWMP stations ")</f>
        <v xml:space="preserve">SWMP stations </v>
      </c>
      <c r="I659" s="15">
        <f ca="1">IFERROR(__xludf.DUMMYFUNCTION("""COMPUTED_VALUE"""),0.541666666667879)</f>
        <v>0.54166666666787899</v>
      </c>
      <c r="J659" s="16">
        <f ca="1">IFERROR(__xludf.DUMMYFUNCTION("""COMPUTED_VALUE"""),44293.5833333333)</f>
        <v>44293.583333333299</v>
      </c>
      <c r="K659" t="str">
        <f ca="1">IFERROR(__xludf.DUMMYFUNCTION("""COMPUTED_VALUE"""),"23ft Skiff (Bertha) FL7972LJ DEP07613")</f>
        <v>23ft Skiff (Bertha) FL7972LJ DEP07613</v>
      </c>
      <c r="M659" t="str">
        <f ca="1">IFERROR(__xludf.DUMMYFUNCTION("""COMPUTED_VALUE"""),"Ford F250 2017 (Moby Dix) - DEP0021578")</f>
        <v>Ford F250 2017 (Moby Dix) - DEP0021578</v>
      </c>
      <c r="N659" t="str">
        <f ca="1">IFERROR(__xludf.DUMMYFUNCTION("""COMPUTED_VALUE"""),"Shannon Dunnigan, (803) 727-5734")</f>
        <v>Shannon Dunnigan, (803) 727-5734</v>
      </c>
      <c r="O659" t="str">
        <f ca="1">IFERROR(__xludf.DUMMYFUNCTION("""COMPUTED_VALUE"""),"Alee Knoell, (619) 750-4833")</f>
        <v>Alee Knoell, (619) 750-4833</v>
      </c>
      <c r="P659" t="str">
        <f ca="1">IFERROR(__xludf.DUMMYFUNCTION("""COMPUTED_VALUE"""),"Shannon dunnigan")</f>
        <v>Shannon dunnigan</v>
      </c>
      <c r="Q659" t="str">
        <f ca="1">IFERROR(__xludf.DUMMYFUNCTION("""COMPUTED_VALUE"""),"All items in working order")</f>
        <v>All items in working order</v>
      </c>
      <c r="AE659" s="11"/>
      <c r="AF659" t="str">
        <v>Nikki.Dix@floridadep.gov</v>
      </c>
      <c r="AG659" s="17" t="s">
        <v>41</v>
      </c>
      <c r="AH659" s="12">
        <v>1300</v>
      </c>
      <c r="AI659" s="12" t="s">
        <v>1931</v>
      </c>
      <c r="AJ659" s="19" t="s">
        <v>1932</v>
      </c>
      <c r="AK659" s="20" t="str">
        <f>HYPERLINK("https://docs.google.com/document/d/1YFxxQk4D0EGT_2gH6-8FYC6Fn9CtgINpzLrbTsWW8DY/edit?usp=drivesdk","Alexandria Knoell - 4/7/2021 7:45 AM")</f>
        <v>Alexandria Knoell - 4/7/2021 7:45 AM</v>
      </c>
      <c r="AL659" s="12" t="s">
        <v>1933</v>
      </c>
    </row>
    <row r="660" spans="1:38" ht="12.75">
      <c r="A660" s="10">
        <f ca="1">IFERROR(__xludf.DUMMYFUNCTION("""COMPUTED_VALUE"""),44293.3876509953)</f>
        <v>44293.387650995297</v>
      </c>
      <c r="B660" s="11" t="str">
        <f ca="1">IFERROR(__xludf.DUMMYFUNCTION("""COMPUTED_VALUE"""),"Jessica Lee")</f>
        <v>Jessica Lee</v>
      </c>
      <c r="C660" t="str">
        <f ca="1">IFERROR(__xludf.DUMMYFUNCTION("""COMPUTED_VALUE"""),"jessica.lee@floridadep.gov")</f>
        <v>jessica.lee@floridadep.gov</v>
      </c>
      <c r="D660" t="str">
        <f ca="1">IFERROR(__xludf.DUMMYFUNCTION("""COMPUTED_VALUE"""),"Nikki Dix")</f>
        <v>Nikki Dix</v>
      </c>
      <c r="E660" t="str">
        <f ca="1">IFERROR(__xludf.DUMMYFUNCTION("""COMPUTED_VALUE"""),"Guana River")</f>
        <v>Guana River</v>
      </c>
      <c r="F660" s="13">
        <f ca="1">IFERROR(__xludf.DUMMYFUNCTION("""COMPUTED_VALUE"""),0.291666666667879)</f>
        <v>0.29166666666787899</v>
      </c>
      <c r="G660" s="14">
        <f ca="1">IFERROR(__xludf.DUMMYFUNCTION("""COMPUTED_VALUE"""),44293)</f>
        <v>44293</v>
      </c>
      <c r="H660" t="str">
        <f ca="1">IFERROR(__xludf.DUMMYFUNCTION("""COMPUTED_VALUE"""),"Guana River")</f>
        <v>Guana River</v>
      </c>
      <c r="I660" s="15">
        <f ca="1">IFERROR(__xludf.DUMMYFUNCTION("""COMPUTED_VALUE"""),0.354166666667879)</f>
        <v>0.35416666666787899</v>
      </c>
      <c r="J660" s="16">
        <f ca="1">IFERROR(__xludf.DUMMYFUNCTION("""COMPUTED_VALUE"""),44293.3645833333)</f>
        <v>44293.364583333299</v>
      </c>
      <c r="K660" t="str">
        <f ca="1">IFERROR(__xludf.DUMMYFUNCTION("""COMPUTED_VALUE"""),"Jon Boat 1 FL5992RR DEP154045")</f>
        <v>Jon Boat 1 FL5992RR DEP154045</v>
      </c>
      <c r="M660" t="str">
        <f ca="1">IFERROR(__xludf.DUMMYFUNCTION("""COMPUTED_VALUE"""),"Ford F150 2015 (White) - DEP21448")</f>
        <v>Ford F150 2015 (White) - DEP21448</v>
      </c>
      <c r="N660" t="str">
        <f ca="1">IFERROR(__xludf.DUMMYFUNCTION("""COMPUTED_VALUE"""),"Jessica Lee")</f>
        <v>Jessica Lee</v>
      </c>
      <c r="O660" t="str">
        <f ca="1">IFERROR(__xludf.DUMMYFUNCTION("""COMPUTED_VALUE"""),"Ashley ")</f>
        <v xml:space="preserve">Ashley </v>
      </c>
      <c r="P660" t="str">
        <f ca="1">IFERROR(__xludf.DUMMYFUNCTION("""COMPUTED_VALUE"""),"Jessica Lee")</f>
        <v>Jessica Lee</v>
      </c>
      <c r="Q660" t="str">
        <f ca="1">IFERROR(__xludf.DUMMYFUNCTION("""COMPUTED_VALUE"""),"All items in working order")</f>
        <v>All items in working order</v>
      </c>
      <c r="AE660" s="11"/>
      <c r="AF660" t="str">
        <v>Nikki.Dix@floridadep.gov</v>
      </c>
      <c r="AG660" s="17" t="s">
        <v>41</v>
      </c>
      <c r="AH660" s="12">
        <v>845</v>
      </c>
      <c r="AI660" s="12" t="s">
        <v>1934</v>
      </c>
      <c r="AJ660" s="19" t="s">
        <v>1935</v>
      </c>
      <c r="AK660" s="20" t="str">
        <f>HYPERLINK("https://docs.google.com/document/d/1CpOtr1dPIVZTlrRt4dFAvLFBIKCcDrIQYfPTFZo3Hsg/edit?usp=drivesdk","Jessica Lee - 4/7/2021 7:00 AM")</f>
        <v>Jessica Lee - 4/7/2021 7:00 AM</v>
      </c>
      <c r="AL660" s="12" t="s">
        <v>1936</v>
      </c>
    </row>
    <row r="661" spans="1:38" ht="12.75">
      <c r="A661" s="10">
        <f ca="1">IFERROR(__xludf.DUMMYFUNCTION("""COMPUTED_VALUE"""),44294.3917436921)</f>
        <v>44294.391743692096</v>
      </c>
      <c r="B661" s="11" t="str">
        <f ca="1">IFERROR(__xludf.DUMMYFUNCTION("""COMPUTED_VALUE"""),"Pam Marcum")</f>
        <v>Pam Marcum</v>
      </c>
      <c r="C661" t="str">
        <f ca="1">IFERROR(__xludf.DUMMYFUNCTION("""COMPUTED_VALUE"""),"pamela.marcum@floridadep.gov")</f>
        <v>pamela.marcum@floridadep.gov</v>
      </c>
      <c r="D661" t="str">
        <f ca="1">IFERROR(__xludf.DUMMYFUNCTION("""COMPUTED_VALUE"""),"Nikki Dix")</f>
        <v>Nikki Dix</v>
      </c>
      <c r="E661" t="str">
        <f ca="1">IFERROR(__xludf.DUMMYFUNCTION("""COMPUTED_VALUE"""),"Butler")</f>
        <v>Butler</v>
      </c>
      <c r="F661" s="13">
        <f ca="1">IFERROR(__xludf.DUMMYFUNCTION("""COMPUTED_VALUE"""),0.385416666667879)</f>
        <v>0.38541666666787899</v>
      </c>
      <c r="G661" s="14">
        <f ca="1">IFERROR(__xludf.DUMMYFUNCTION("""COMPUTED_VALUE"""),44294)</f>
        <v>44294</v>
      </c>
      <c r="H661" t="str">
        <f ca="1">IFERROR(__xludf.DUMMYFUNCTION("""COMPUTED_VALUE"""),"Moses Creek")</f>
        <v>Moses Creek</v>
      </c>
      <c r="I661" s="15">
        <f ca="1">IFERROR(__xludf.DUMMYFUNCTION("""COMPUTED_VALUE"""),0.625)</f>
        <v>0.625</v>
      </c>
      <c r="J661" s="16">
        <f ca="1">IFERROR(__xludf.DUMMYFUNCTION("""COMPUTED_VALUE"""),44294.6666666666)</f>
        <v>44294.666666666599</v>
      </c>
      <c r="K661" t="str">
        <f ca="1">IFERROR(__xludf.DUMMYFUNCTION("""COMPUTED_VALUE"""),"20ft Sea Ark FL5351SJ UNF 2015")</f>
        <v>20ft Sea Ark FL5351SJ UNF 2015</v>
      </c>
      <c r="M661" t="str">
        <f ca="1">IFERROR(__xludf.DUMMYFUNCTION("""COMPUTED_VALUE"""),"Ford F150 2015 (White) - DEP21448")</f>
        <v>Ford F150 2015 (White) - DEP21448</v>
      </c>
      <c r="N661" t="str">
        <f ca="1">IFERROR(__xludf.DUMMYFUNCTION("""COMPUTED_VALUE"""),"Pam Marcum, (480) 332-5414")</f>
        <v>Pam Marcum, (480) 332-5414</v>
      </c>
      <c r="O661" t="str">
        <f ca="1">IFERROR(__xludf.DUMMYFUNCTION("""COMPUTED_VALUE"""),"Alee Knoell, (619) 750-4833")</f>
        <v>Alee Knoell, (619) 750-4833</v>
      </c>
      <c r="P661" t="str">
        <f ca="1">IFERROR(__xludf.DUMMYFUNCTION("""COMPUTED_VALUE"""),"Alee")</f>
        <v>Alee</v>
      </c>
      <c r="Q661" t="str">
        <f ca="1">IFERROR(__xludf.DUMMYFUNCTION("""COMPUTED_VALUE"""),"All items in working order")</f>
        <v>All items in working order</v>
      </c>
      <c r="AE661" s="11"/>
      <c r="AF661" t="str">
        <v>Nikki.Dix@floridadep.gov</v>
      </c>
      <c r="AG661" s="17" t="s">
        <v>41</v>
      </c>
      <c r="AH661" s="23">
        <v>0.73958333333333337</v>
      </c>
      <c r="AI661" s="12" t="s">
        <v>1937</v>
      </c>
      <c r="AJ661" s="19" t="s">
        <v>1938</v>
      </c>
      <c r="AK661" s="20" t="str">
        <f>HYPERLINK("https://docs.google.com/document/d/1Q5RQ6-0RoiSNWrs2IBjnfOVehYFzS128DUtEWeQ_JcA/edit?usp=drivesdk","Pam Marcum - 4/8/2021 9:15 AM")</f>
        <v>Pam Marcum - 4/8/2021 9:15 AM</v>
      </c>
      <c r="AL661" s="12" t="s">
        <v>1939</v>
      </c>
    </row>
    <row r="662" spans="1:38" ht="12.75">
      <c r="A662" s="10">
        <f ca="1">IFERROR(__xludf.DUMMYFUNCTION("""COMPUTED_VALUE"""),44299.4246105092)</f>
        <v>44299.424610509202</v>
      </c>
      <c r="B662" s="11" t="str">
        <f ca="1">IFERROR(__xludf.DUMMYFUNCTION("""COMPUTED_VALUE"""),"Pam Marcum")</f>
        <v>Pam Marcum</v>
      </c>
      <c r="C662" t="str">
        <f ca="1">IFERROR(__xludf.DUMMYFUNCTION("""COMPUTED_VALUE"""),"pamela.marcum@floridadep.gov")</f>
        <v>pamela.marcum@floridadep.gov</v>
      </c>
      <c r="D662" t="str">
        <f ca="1">IFERROR(__xludf.DUMMYFUNCTION("""COMPUTED_VALUE"""),"Nikki Dix")</f>
        <v>Nikki Dix</v>
      </c>
      <c r="E662" t="str">
        <f ca="1">IFERROR(__xludf.DUMMYFUNCTION("""COMPUTED_VALUE"""),"Bings")</f>
        <v>Bings</v>
      </c>
      <c r="F662" s="13">
        <f ca="1">IFERROR(__xludf.DUMMYFUNCTION("""COMPUTED_VALUE"""),0.416666666667879)</f>
        <v>0.41666666666787899</v>
      </c>
      <c r="G662" s="14">
        <f ca="1">IFERROR(__xludf.DUMMYFUNCTION("""COMPUTED_VALUE"""),44299)</f>
        <v>44299</v>
      </c>
      <c r="H662" t="str">
        <f ca="1">IFERROR(__xludf.DUMMYFUNCTION("""COMPUTED_VALUE"""),"Wash oaks")</f>
        <v>Wash oaks</v>
      </c>
      <c r="I662" s="15">
        <f ca="1">IFERROR(__xludf.DUMMYFUNCTION("""COMPUTED_VALUE"""),0.541666666667879)</f>
        <v>0.54166666666787899</v>
      </c>
      <c r="J662" s="16">
        <f ca="1">IFERROR(__xludf.DUMMYFUNCTION("""COMPUTED_VALUE"""),44299.5833333333)</f>
        <v>44299.583333333299</v>
      </c>
      <c r="K662" t="str">
        <f ca="1">IFERROR(__xludf.DUMMYFUNCTION("""COMPUTED_VALUE"""),"23ft Skiff (Bertha) FL7972LJ DEP07613")</f>
        <v>23ft Skiff (Bertha) FL7972LJ DEP07613</v>
      </c>
      <c r="M662" t="str">
        <f ca="1">IFERROR(__xludf.DUMMYFUNCTION("""COMPUTED_VALUE"""),"Ford F150 2015 (White) - DEP21448")</f>
        <v>Ford F150 2015 (White) - DEP21448</v>
      </c>
      <c r="N662" t="str">
        <f ca="1">IFERROR(__xludf.DUMMYFUNCTION("""COMPUTED_VALUE"""),"Pam Marcum, (480) 332-5414")</f>
        <v>Pam Marcum, (480) 332-5414</v>
      </c>
      <c r="O662" t="str">
        <f ca="1">IFERROR(__xludf.DUMMYFUNCTION("""COMPUTED_VALUE"""),"Alee Knoell, (619) 750-4833")</f>
        <v>Alee Knoell, (619) 750-4833</v>
      </c>
      <c r="P662" t="str">
        <f ca="1">IFERROR(__xludf.DUMMYFUNCTION("""COMPUTED_VALUE"""),"Alee")</f>
        <v>Alee</v>
      </c>
      <c r="Q662" t="str">
        <f ca="1">IFERROR(__xludf.DUMMYFUNCTION("""COMPUTED_VALUE"""),"All items in working order")</f>
        <v>All items in working order</v>
      </c>
      <c r="AE662" s="11"/>
      <c r="AF662" t="str">
        <v>Nikki.Dix@floridadep.gov</v>
      </c>
      <c r="AG662" s="17" t="s">
        <v>41</v>
      </c>
      <c r="AH662" s="12">
        <v>1300</v>
      </c>
      <c r="AI662" s="12" t="s">
        <v>1940</v>
      </c>
      <c r="AJ662" s="19" t="s">
        <v>1941</v>
      </c>
      <c r="AK662" s="20" t="str">
        <f>HYPERLINK("https://docs.google.com/document/d/1ELAjhbKfJ6dxjIxIiB9pk-rrnV9g09_ZJTrVlDo-Rm0/edit?usp=drivesdk","Pam Marcum - 4/13/2021 10:00 AM")</f>
        <v>Pam Marcum - 4/13/2021 10:00 AM</v>
      </c>
      <c r="AL662" s="12" t="s">
        <v>1942</v>
      </c>
    </row>
    <row r="663" spans="1:38" ht="12.75">
      <c r="A663" s="10">
        <f ca="1">IFERROR(__xludf.DUMMYFUNCTION("""COMPUTED_VALUE"""),44300.3089471179)</f>
        <v>44300.308947117999</v>
      </c>
      <c r="B663" s="11" t="str">
        <f ca="1">IFERROR(__xludf.DUMMYFUNCTION("""COMPUTED_VALUE"""),"Pam Marcum")</f>
        <v>Pam Marcum</v>
      </c>
      <c r="C663" t="str">
        <f ca="1">IFERROR(__xludf.DUMMYFUNCTION("""COMPUTED_VALUE"""),"pamela.marcum@floridadep.gov")</f>
        <v>pamela.marcum@floridadep.gov</v>
      </c>
      <c r="D663" t="str">
        <f ca="1">IFERROR(__xludf.DUMMYFUNCTION("""COMPUTED_VALUE"""),"Nikki Dix")</f>
        <v>Nikki Dix</v>
      </c>
      <c r="E663" t="str">
        <f ca="1">IFERROR(__xludf.DUMMYFUNCTION("""COMPUTED_VALUE"""),"Faver-Dykes")</f>
        <v>Faver-Dykes</v>
      </c>
      <c r="F663" s="13">
        <f ca="1">IFERROR(__xludf.DUMMYFUNCTION("""COMPUTED_VALUE"""),0.3125)</f>
        <v>0.3125</v>
      </c>
      <c r="G663" s="14">
        <f ca="1">IFERROR(__xludf.DUMMYFUNCTION("""COMPUTED_VALUE"""),44300)</f>
        <v>44300</v>
      </c>
      <c r="H663" t="str">
        <f ca="1">IFERROR(__xludf.DUMMYFUNCTION("""COMPUTED_VALUE"""),"Pellicer mouth")</f>
        <v>Pellicer mouth</v>
      </c>
      <c r="I663" s="15">
        <f ca="1">IFERROR(__xludf.DUMMYFUNCTION("""COMPUTED_VALUE"""),0.541666666667879)</f>
        <v>0.54166666666787899</v>
      </c>
      <c r="J663" s="16">
        <f ca="1">IFERROR(__xludf.DUMMYFUNCTION("""COMPUTED_VALUE"""),44300.5833333333)</f>
        <v>44300.583333333299</v>
      </c>
      <c r="K663" t="str">
        <f ca="1">IFERROR(__xludf.DUMMYFUNCTION("""COMPUTED_VALUE"""),"Jon Boat 1 FL5992RR DEP154045")</f>
        <v>Jon Boat 1 FL5992RR DEP154045</v>
      </c>
      <c r="M663" t="str">
        <f ca="1">IFERROR(__xludf.DUMMYFUNCTION("""COMPUTED_VALUE"""),"Ford F150 2015 (White) - DEP21448")</f>
        <v>Ford F150 2015 (White) - DEP21448</v>
      </c>
      <c r="N663" t="str">
        <f ca="1">IFERROR(__xludf.DUMMYFUNCTION("""COMPUTED_VALUE"""),"Pam Marcum, (480) 332-5414")</f>
        <v>Pam Marcum, (480) 332-5414</v>
      </c>
      <c r="O663" t="str">
        <f ca="1">IFERROR(__xludf.DUMMYFUNCTION("""COMPUTED_VALUE"""),"Alee Knoell, (619) 750-4833")</f>
        <v>Alee Knoell, (619) 750-4833</v>
      </c>
      <c r="P663" t="str">
        <f ca="1">IFERROR(__xludf.DUMMYFUNCTION("""COMPUTED_VALUE"""),"Pam")</f>
        <v>Pam</v>
      </c>
      <c r="Q663" t="str">
        <f ca="1">IFERROR(__xludf.DUMMYFUNCTION("""COMPUTED_VALUE"""),"All items in working order")</f>
        <v>All items in working order</v>
      </c>
      <c r="AE663" s="11"/>
      <c r="AF663" t="str">
        <v>Nikki.Dix@floridadep.gov</v>
      </c>
      <c r="AG663" s="17" t="s">
        <v>41</v>
      </c>
      <c r="AH663" s="12">
        <v>1247</v>
      </c>
      <c r="AI663" s="12" t="s">
        <v>1943</v>
      </c>
      <c r="AJ663" s="19" t="s">
        <v>1944</v>
      </c>
      <c r="AK663" s="20" t="str">
        <f>HYPERLINK("https://docs.google.com/document/d/1-N7ObJnoiZ6WWTtQgIBBqcnMXL7_PPljaPW9vRpIXN8/edit?usp=drivesdk","Pam Marcum - 4/14/2021 7:30 AM")</f>
        <v>Pam Marcum - 4/14/2021 7:30 AM</v>
      </c>
      <c r="AL663" s="12" t="s">
        <v>1945</v>
      </c>
    </row>
    <row r="664" spans="1:38" ht="12.75">
      <c r="A664" s="10">
        <f ca="1">IFERROR(__xludf.DUMMYFUNCTION("""COMPUTED_VALUE"""),44301.2933457754)</f>
        <v>44301.293345775397</v>
      </c>
      <c r="B664" s="11" t="str">
        <f ca="1">IFERROR(__xludf.DUMMYFUNCTION("""COMPUTED_VALUE"""),"Pam Marcum")</f>
        <v>Pam Marcum</v>
      </c>
      <c r="C664" t="str">
        <f ca="1">IFERROR(__xludf.DUMMYFUNCTION("""COMPUTED_VALUE"""),"pamela.marcum@floridadep.gov")</f>
        <v>pamela.marcum@floridadep.gov</v>
      </c>
      <c r="D664" t="str">
        <f ca="1">IFERROR(__xludf.DUMMYFUNCTION("""COMPUTED_VALUE"""),"Nikki Dix")</f>
        <v>Nikki Dix</v>
      </c>
      <c r="E664" t="str">
        <f ca="1">IFERROR(__xludf.DUMMYFUNCTION("""COMPUTED_VALUE"""),"Bings")</f>
        <v>Bings</v>
      </c>
      <c r="F664" s="13">
        <f ca="1">IFERROR(__xludf.DUMMYFUNCTION("""COMPUTED_VALUE"""),0.30208333333212)</f>
        <v>0.30208333333212001</v>
      </c>
      <c r="G664" s="14">
        <f ca="1">IFERROR(__xludf.DUMMYFUNCTION("""COMPUTED_VALUE"""),44301)</f>
        <v>44301</v>
      </c>
      <c r="H664" t="str">
        <f ca="1">IFERROR(__xludf.DUMMYFUNCTION("""COMPUTED_VALUE"""),"Wash oaks ")</f>
        <v xml:space="preserve">Wash oaks </v>
      </c>
      <c r="I664" s="15">
        <f ca="1">IFERROR(__xludf.DUMMYFUNCTION("""COMPUTED_VALUE"""),0.5)</f>
        <v>0.5</v>
      </c>
      <c r="J664" s="16">
        <f ca="1">IFERROR(__xludf.DUMMYFUNCTION("""COMPUTED_VALUE"""),44301.5416666666)</f>
        <v>44301.541666666599</v>
      </c>
      <c r="K664" t="str">
        <f ca="1">IFERROR(__xludf.DUMMYFUNCTION("""COMPUTED_VALUE"""),"23ft Skiff (Bertha) FL7972LJ DEP07613")</f>
        <v>23ft Skiff (Bertha) FL7972LJ DEP07613</v>
      </c>
      <c r="M664" t="str">
        <f ca="1">IFERROR(__xludf.DUMMYFUNCTION("""COMPUTED_VALUE"""),"Ford F150 2015 (White) - DEP21448")</f>
        <v>Ford F150 2015 (White) - DEP21448</v>
      </c>
      <c r="N664" t="str">
        <f ca="1">IFERROR(__xludf.DUMMYFUNCTION("""COMPUTED_VALUE"""),"Pam Marcum, (480) 332-5414")</f>
        <v>Pam Marcum, (480) 332-5414</v>
      </c>
      <c r="O664" t="str">
        <f ca="1">IFERROR(__xludf.DUMMYFUNCTION("""COMPUTED_VALUE"""),"Alee Knoell, (619) 750-4833, Savanna Mathis")</f>
        <v>Alee Knoell, (619) 750-4833, Savanna Mathis</v>
      </c>
      <c r="P664" t="str">
        <f ca="1">IFERROR(__xludf.DUMMYFUNCTION("""COMPUTED_VALUE"""),"Alee")</f>
        <v>Alee</v>
      </c>
      <c r="Q664" t="str">
        <f ca="1">IFERROR(__xludf.DUMMYFUNCTION("""COMPUTED_VALUE"""),"All items in working order")</f>
        <v>All items in working order</v>
      </c>
      <c r="AE664" s="11"/>
      <c r="AF664" t="str">
        <v>Nikki.Dix@floridadep.gov</v>
      </c>
      <c r="AG664" s="17" t="s">
        <v>41</v>
      </c>
      <c r="AH664" s="12">
        <v>1156</v>
      </c>
      <c r="AI664" s="12" t="s">
        <v>1946</v>
      </c>
      <c r="AJ664" s="19" t="s">
        <v>1947</v>
      </c>
      <c r="AK664" s="20" t="str">
        <f>HYPERLINK("https://docs.google.com/document/d/1LC04Ch1QGfkdW8eVl1oyjdPmP16OZnx4YKzo0egSr7c/edit?usp=drivesdk","Pam Marcum - 4/15/2021 7:15 AM")</f>
        <v>Pam Marcum - 4/15/2021 7:15 AM</v>
      </c>
      <c r="AL664" s="12" t="s">
        <v>1948</v>
      </c>
    </row>
    <row r="665" spans="1:38" ht="12.75">
      <c r="A665" s="10">
        <f ca="1">IFERROR(__xludf.DUMMYFUNCTION("""COMPUTED_VALUE"""),44302.3038791435)</f>
        <v>44302.303879143503</v>
      </c>
      <c r="B665" s="11" t="str">
        <f ca="1">IFERROR(__xludf.DUMMYFUNCTION("""COMPUTED_VALUE"""),"Alexandria Knoell")</f>
        <v>Alexandria Knoell</v>
      </c>
      <c r="C665" t="str">
        <f ca="1">IFERROR(__xludf.DUMMYFUNCTION("""COMPUTED_VALUE"""),"alee.knoell@floridadep.gov")</f>
        <v>alee.knoell@floridadep.gov</v>
      </c>
      <c r="D665" t="str">
        <f ca="1">IFERROR(__xludf.DUMMYFUNCTION("""COMPUTED_VALUE"""),"Nikki Dix")</f>
        <v>Nikki Dix</v>
      </c>
      <c r="E665" t="str">
        <f ca="1">IFERROR(__xludf.DUMMYFUNCTION("""COMPUTED_VALUE"""),"Butler")</f>
        <v>Butler</v>
      </c>
      <c r="F665" s="13">
        <f ca="1">IFERROR(__xludf.DUMMYFUNCTION("""COMPUTED_VALUE"""),0.30208333333212)</f>
        <v>0.30208333333212001</v>
      </c>
      <c r="G665" s="14">
        <f ca="1">IFERROR(__xludf.DUMMYFUNCTION("""COMPUTED_VALUE"""),44302)</f>
        <v>44302</v>
      </c>
      <c r="H665" t="str">
        <f ca="1">IFERROR(__xludf.DUMMYFUNCTION("""COMPUTED_VALUE"""),"Moses")</f>
        <v>Moses</v>
      </c>
      <c r="I665" s="15">
        <f ca="1">IFERROR(__xludf.DUMMYFUNCTION("""COMPUTED_VALUE"""),0.625)</f>
        <v>0.625</v>
      </c>
      <c r="J665" s="16">
        <f ca="1">IFERROR(__xludf.DUMMYFUNCTION("""COMPUTED_VALUE"""),44302.6458333333)</f>
        <v>44302.645833333299</v>
      </c>
      <c r="K665" t="str">
        <f ca="1">IFERROR(__xludf.DUMMYFUNCTION("""COMPUTED_VALUE"""),"23ft Skiff (Bertha) FL7972LJ DEP07613")</f>
        <v>23ft Skiff (Bertha) FL7972LJ DEP07613</v>
      </c>
      <c r="M665" t="str">
        <f ca="1">IFERROR(__xludf.DUMMYFUNCTION("""COMPUTED_VALUE"""),"Ford F150 2015 (White) - DEP21448")</f>
        <v>Ford F150 2015 (White) - DEP21448</v>
      </c>
      <c r="N665" t="str">
        <f ca="1">IFERROR(__xludf.DUMMYFUNCTION("""COMPUTED_VALUE"""),"Pam Marcum, (480) 332-5414")</f>
        <v>Pam Marcum, (480) 332-5414</v>
      </c>
      <c r="O665" t="str">
        <f ca="1">IFERROR(__xludf.DUMMYFUNCTION("""COMPUTED_VALUE"""),"Alee Knoell, (619) 750-4833")</f>
        <v>Alee Knoell, (619) 750-4833</v>
      </c>
      <c r="P665" t="str">
        <f ca="1">IFERROR(__xludf.DUMMYFUNCTION("""COMPUTED_VALUE"""),"Pam")</f>
        <v>Pam</v>
      </c>
      <c r="Q665" t="str">
        <f ca="1">IFERROR(__xludf.DUMMYFUNCTION("""COMPUTED_VALUE"""),"All items in working order")</f>
        <v>All items in working order</v>
      </c>
      <c r="AE665" s="11"/>
      <c r="AF665" t="str">
        <v>Nikki.Dix@floridadep.gov</v>
      </c>
      <c r="AG665" s="17" t="s">
        <v>41</v>
      </c>
      <c r="AH665" s="12">
        <v>1355</v>
      </c>
      <c r="AI665" s="12" t="s">
        <v>1949</v>
      </c>
      <c r="AJ665" s="19" t="s">
        <v>1950</v>
      </c>
      <c r="AK665" s="20" t="str">
        <f>HYPERLINK("https://docs.google.com/document/d/1ocg5_VguQ-eWqasvlpE9eF4YbobMluuDifsIm8x1hjs/edit?usp=drivesdk","Alexandria Knoell - 4/16/2021 7:15 AM")</f>
        <v>Alexandria Knoell - 4/16/2021 7:15 AM</v>
      </c>
      <c r="AL665" s="12" t="s">
        <v>1951</v>
      </c>
    </row>
    <row r="666" spans="1:38" ht="12.75">
      <c r="A666" s="10">
        <f ca="1">IFERROR(__xludf.DUMMYFUNCTION("""COMPUTED_VALUE"""),44305.3903140625)</f>
        <v>44305.390314062497</v>
      </c>
      <c r="B666" s="11" t="str">
        <f ca="1">IFERROR(__xludf.DUMMYFUNCTION("""COMPUTED_VALUE"""),"Pamela Marcum")</f>
        <v>Pamela Marcum</v>
      </c>
      <c r="C666" t="str">
        <f ca="1">IFERROR(__xludf.DUMMYFUNCTION("""COMPUTED_VALUE"""),"pamela.marcum@floridadep.gov")</f>
        <v>pamela.marcum@floridadep.gov</v>
      </c>
      <c r="D666" t="str">
        <f ca="1">IFERROR(__xludf.DUMMYFUNCTION("""COMPUTED_VALUE"""),"Nikki Dix")</f>
        <v>Nikki Dix</v>
      </c>
      <c r="E666" t="str">
        <f ca="1">IFERROR(__xludf.DUMMYFUNCTION("""COMPUTED_VALUE"""),"Palm Valley")</f>
        <v>Palm Valley</v>
      </c>
      <c r="F666" s="13">
        <f ca="1">IFERROR(__xludf.DUMMYFUNCTION("""COMPUTED_VALUE"""),0.354166666667879)</f>
        <v>0.35416666666787899</v>
      </c>
      <c r="G666" s="14">
        <f ca="1">IFERROR(__xludf.DUMMYFUNCTION("""COMPUTED_VALUE"""),44305)</f>
        <v>44305</v>
      </c>
      <c r="H666" t="str">
        <f ca="1">IFERROR(__xludf.DUMMYFUNCTION("""COMPUTED_VALUE"""),"Pine island")</f>
        <v>Pine island</v>
      </c>
      <c r="I666" s="15">
        <f ca="1">IFERROR(__xludf.DUMMYFUNCTION("""COMPUTED_VALUE"""),0.58333333333212)</f>
        <v>0.58333333333212001</v>
      </c>
      <c r="J666" s="16">
        <f ca="1">IFERROR(__xludf.DUMMYFUNCTION("""COMPUTED_VALUE"""),44305.6041666666)</f>
        <v>44305.604166666599</v>
      </c>
      <c r="K666" t="str">
        <f ca="1">IFERROR(__xludf.DUMMYFUNCTION("""COMPUTED_VALUE"""),"23ft Skiff (Bertha) FL7972LJ DEP07613")</f>
        <v>23ft Skiff (Bertha) FL7972LJ DEP07613</v>
      </c>
      <c r="M666" t="str">
        <f ca="1">IFERROR(__xludf.DUMMYFUNCTION("""COMPUTED_VALUE"""),"Ford F150 2015 (White) - DEP21448")</f>
        <v>Ford F150 2015 (White) - DEP21448</v>
      </c>
      <c r="N666" t="str">
        <f ca="1">IFERROR(__xludf.DUMMYFUNCTION("""COMPUTED_VALUE"""),"Pam Marcum, (480) 332-5414")</f>
        <v>Pam Marcum, (480) 332-5414</v>
      </c>
      <c r="O666" t="str">
        <f ca="1">IFERROR(__xludf.DUMMYFUNCTION("""COMPUTED_VALUE"""),"Alee Knoell, (619) 750-4833, Hunter Matthews")</f>
        <v>Alee Knoell, (619) 750-4833, Hunter Matthews</v>
      </c>
      <c r="P666" t="str">
        <f ca="1">IFERROR(__xludf.DUMMYFUNCTION("""COMPUTED_VALUE"""),"Pam")</f>
        <v>Pam</v>
      </c>
      <c r="Q666" t="str">
        <f ca="1">IFERROR(__xludf.DUMMYFUNCTION("""COMPUTED_VALUE"""),"All items in working order")</f>
        <v>All items in working order</v>
      </c>
      <c r="AE666" s="11"/>
      <c r="AF666" t="str">
        <v>Nikki.Dix@floridadep.gov</v>
      </c>
      <c r="AG666" s="17" t="s">
        <v>41</v>
      </c>
      <c r="AH666" s="12">
        <v>1412</v>
      </c>
      <c r="AI666" s="12" t="s">
        <v>1952</v>
      </c>
      <c r="AJ666" s="19" t="s">
        <v>1953</v>
      </c>
      <c r="AK666" s="20" t="str">
        <f>HYPERLINK("https://docs.google.com/document/d/1uRhHSAGCJ80NopkLKRzX-7mrl_FPkcOqqzu9Kt-w3Y4/edit?usp=drivesdk","Pamela Marcum - 4/19/2021 8:30 AM")</f>
        <v>Pamela Marcum - 4/19/2021 8:30 AM</v>
      </c>
      <c r="AL666" s="12" t="s">
        <v>1954</v>
      </c>
    </row>
    <row r="667" spans="1:38" ht="12.75">
      <c r="A667" s="10">
        <f ca="1">IFERROR(__xludf.DUMMYFUNCTION("""COMPUTED_VALUE"""),44306.3599660995)</f>
        <v>44306.359966099502</v>
      </c>
      <c r="B667" s="11" t="str">
        <f ca="1">IFERROR(__xludf.DUMMYFUNCTION("""COMPUTED_VALUE"""),"Pam Marcum")</f>
        <v>Pam Marcum</v>
      </c>
      <c r="C667" t="str">
        <f ca="1">IFERROR(__xludf.DUMMYFUNCTION("""COMPUTED_VALUE"""),"pamela.marcum@floridadep.gov")</f>
        <v>pamela.marcum@floridadep.gov</v>
      </c>
      <c r="D667" t="str">
        <f ca="1">IFERROR(__xludf.DUMMYFUNCTION("""COMPUTED_VALUE"""),"Nikki Dix")</f>
        <v>Nikki Dix</v>
      </c>
      <c r="E667" t="str">
        <f ca="1">IFERROR(__xludf.DUMMYFUNCTION("""COMPUTED_VALUE"""),"Shore Dr")</f>
        <v>Shore Dr</v>
      </c>
      <c r="F667" s="13">
        <f ca="1">IFERROR(__xludf.DUMMYFUNCTION("""COMPUTED_VALUE"""),0.361111111109494)</f>
        <v>0.36111111110949401</v>
      </c>
      <c r="G667" s="14">
        <f ca="1">IFERROR(__xludf.DUMMYFUNCTION("""COMPUTED_VALUE"""),44306)</f>
        <v>44306</v>
      </c>
      <c r="H667" t="str">
        <f ca="1">IFERROR(__xludf.DUMMYFUNCTION("""COMPUTED_VALUE"""),"Site 22")</f>
        <v>Site 22</v>
      </c>
      <c r="I667" s="15">
        <f ca="1">IFERROR(__xludf.DUMMYFUNCTION("""COMPUTED_VALUE"""),0.541666666667879)</f>
        <v>0.54166666666787899</v>
      </c>
      <c r="J667" s="16">
        <f ca="1">IFERROR(__xludf.DUMMYFUNCTION("""COMPUTED_VALUE"""),44306.5625)</f>
        <v>44306.5625</v>
      </c>
      <c r="K667" t="str">
        <f ca="1">IFERROR(__xludf.DUMMYFUNCTION("""COMPUTED_VALUE"""),"23ft Skiff (Bertha) FL7972LJ DEP07613")</f>
        <v>23ft Skiff (Bertha) FL7972LJ DEP07613</v>
      </c>
      <c r="M667" t="str">
        <f ca="1">IFERROR(__xludf.DUMMYFUNCTION("""COMPUTED_VALUE"""),"Ford F150 2015 (White) - DEP21448")</f>
        <v>Ford F150 2015 (White) - DEP21448</v>
      </c>
      <c r="N667" t="str">
        <f ca="1">IFERROR(__xludf.DUMMYFUNCTION("""COMPUTED_VALUE"""),"Pam Marcum, (480) 332-5414")</f>
        <v>Pam Marcum, (480) 332-5414</v>
      </c>
      <c r="O667" t="str">
        <f ca="1">IFERROR(__xludf.DUMMYFUNCTION("""COMPUTED_VALUE"""),"Alee Knoell, (619) 750-4833")</f>
        <v>Alee Knoell, (619) 750-4833</v>
      </c>
      <c r="P667" t="str">
        <f ca="1">IFERROR(__xludf.DUMMYFUNCTION("""COMPUTED_VALUE"""),"Pam")</f>
        <v>Pam</v>
      </c>
      <c r="Q667" t="str">
        <f ca="1">IFERROR(__xludf.DUMMYFUNCTION("""COMPUTED_VALUE"""),"All items in working order")</f>
        <v>All items in working order</v>
      </c>
      <c r="AE667" s="11"/>
      <c r="AF667" t="str">
        <v>Nikki.Dix@floridadep.gov</v>
      </c>
      <c r="AG667" s="17" t="s">
        <v>41</v>
      </c>
      <c r="AH667" s="12">
        <v>1307</v>
      </c>
      <c r="AI667" s="12" t="s">
        <v>1955</v>
      </c>
      <c r="AJ667" s="19" t="s">
        <v>1956</v>
      </c>
      <c r="AK667" s="20" t="str">
        <f>HYPERLINK("https://docs.google.com/document/d/1OY1u1kAzGZswOAH1f0ciSguY53h0a1Tkr5T1dwo-nf8/edit?usp=drivesdk","Pam Marcum - 4/20/2021 8:40 AM")</f>
        <v>Pam Marcum - 4/20/2021 8:40 AM</v>
      </c>
      <c r="AL667" s="12" t="s">
        <v>1957</v>
      </c>
    </row>
    <row r="668" spans="1:38" ht="12.75">
      <c r="A668" s="10">
        <f ca="1">IFERROR(__xludf.DUMMYFUNCTION("""COMPUTED_VALUE"""),44307.3737870023)</f>
        <v>44307.373787002303</v>
      </c>
      <c r="B668" s="11" t="str">
        <f ca="1">IFERROR(__xludf.DUMMYFUNCTION("""COMPUTED_VALUE"""),"Pam Marcum")</f>
        <v>Pam Marcum</v>
      </c>
      <c r="C668" t="str">
        <f ca="1">IFERROR(__xludf.DUMMYFUNCTION("""COMPUTED_VALUE"""),"Pamela.Marcum@FloridaDEP.gov")</f>
        <v>Pamela.Marcum@FloridaDEP.gov</v>
      </c>
      <c r="D668" t="str">
        <f ca="1">IFERROR(__xludf.DUMMYFUNCTION("""COMPUTED_VALUE"""),"Nikki Dix")</f>
        <v>Nikki Dix</v>
      </c>
      <c r="E668" t="str">
        <f ca="1">IFERROR(__xludf.DUMMYFUNCTION("""COMPUTED_VALUE"""),"Aunt Kate's")</f>
        <v>Aunt Kate's</v>
      </c>
      <c r="F668" s="13">
        <f ca="1">IFERROR(__xludf.DUMMYFUNCTION("""COMPUTED_VALUE"""),0.39583333333212)</f>
        <v>0.39583333333212001</v>
      </c>
      <c r="G668" s="14">
        <f ca="1">IFERROR(__xludf.DUMMYFUNCTION("""COMPUTED_VALUE"""),44307)</f>
        <v>44307</v>
      </c>
      <c r="H668" t="str">
        <f ca="1">IFERROR(__xludf.DUMMYFUNCTION("""COMPUTED_VALUE"""),"Hat Island")</f>
        <v>Hat Island</v>
      </c>
      <c r="I668" s="15">
        <f ca="1">IFERROR(__xludf.DUMMYFUNCTION("""COMPUTED_VALUE"""),0.58333333333212)</f>
        <v>0.58333333333212001</v>
      </c>
      <c r="J668" s="16">
        <f ca="1">IFERROR(__xludf.DUMMYFUNCTION("""COMPUTED_VALUE"""),44307.625)</f>
        <v>44307.625</v>
      </c>
      <c r="K668" t="str">
        <f ca="1">IFERROR(__xludf.DUMMYFUNCTION("""COMPUTED_VALUE"""),"23ft Skiff (Bertha) FL7972LJ DEP07613")</f>
        <v>23ft Skiff (Bertha) FL7972LJ DEP07613</v>
      </c>
      <c r="M668" t="str">
        <f ca="1">IFERROR(__xludf.DUMMYFUNCTION("""COMPUTED_VALUE"""),"Ford F150 2015 (White) - DEP21448")</f>
        <v>Ford F150 2015 (White) - DEP21448</v>
      </c>
      <c r="N668" t="str">
        <f ca="1">IFERROR(__xludf.DUMMYFUNCTION("""COMPUTED_VALUE"""),"Pam Marcum, (480) 332-5414")</f>
        <v>Pam Marcum, (480) 332-5414</v>
      </c>
      <c r="O668" t="str">
        <f ca="1">IFERROR(__xludf.DUMMYFUNCTION("""COMPUTED_VALUE"""),"Alee Knoell, (619) 750-4833")</f>
        <v>Alee Knoell, (619) 750-4833</v>
      </c>
      <c r="P668" t="str">
        <f ca="1">IFERROR(__xludf.DUMMYFUNCTION("""COMPUTED_VALUE"""),"Pam")</f>
        <v>Pam</v>
      </c>
      <c r="Q668" t="str">
        <f ca="1">IFERROR(__xludf.DUMMYFUNCTION("""COMPUTED_VALUE"""),"All items in working order")</f>
        <v>All items in working order</v>
      </c>
      <c r="AE668" s="11"/>
      <c r="AF668" t="str">
        <v>Nikki.Dix@floridadep.gov</v>
      </c>
      <c r="AG668" s="17" t="s">
        <v>41</v>
      </c>
      <c r="AH668" s="12">
        <v>1310</v>
      </c>
      <c r="AI668" s="12" t="s">
        <v>1958</v>
      </c>
      <c r="AJ668" s="19" t="s">
        <v>1959</v>
      </c>
      <c r="AK668" s="20" t="str">
        <f>HYPERLINK("https://docs.google.com/document/d/1F_A1Sdi5q3ONoxUN0nG0uquujAIUcQzwOq3TlHfElTs/edit?usp=drivesdk","Pam Marcum - 4/21/2021 9:30 AM")</f>
        <v>Pam Marcum - 4/21/2021 9:30 AM</v>
      </c>
      <c r="AL668" s="12" t="s">
        <v>1960</v>
      </c>
    </row>
    <row r="669" spans="1:38" ht="12.75">
      <c r="A669" s="10">
        <f ca="1">IFERROR(__xludf.DUMMYFUNCTION("""COMPUTED_VALUE"""),44313.3680976041)</f>
        <v>44313.3680976041</v>
      </c>
      <c r="B669" s="11" t="str">
        <f ca="1">IFERROR(__xludf.DUMMYFUNCTION("""COMPUTED_VALUE"""),"Pamela Marcum")</f>
        <v>Pamela Marcum</v>
      </c>
      <c r="C669" t="str">
        <f ca="1">IFERROR(__xludf.DUMMYFUNCTION("""COMPUTED_VALUE"""),"pamela.marcum@floridadep.gov")</f>
        <v>pamela.marcum@floridadep.gov</v>
      </c>
      <c r="D669" t="str">
        <f ca="1">IFERROR(__xludf.DUMMYFUNCTION("""COMPUTED_VALUE"""),"Pam Marcum")</f>
        <v>Pam Marcum</v>
      </c>
      <c r="E669" t="str">
        <f ca="1">IFERROR(__xludf.DUMMYFUNCTION("""COMPUTED_VALUE"""),"Faver-Dykes state park")</f>
        <v>Faver-Dykes state park</v>
      </c>
      <c r="F669" s="13">
        <f ca="1">IFERROR(__xludf.DUMMYFUNCTION("""COMPUTED_VALUE"""),0.36458333333212)</f>
        <v>0.36458333333212001</v>
      </c>
      <c r="G669" s="14">
        <f ca="1">IFERROR(__xludf.DUMMYFUNCTION("""COMPUTED_VALUE"""),44313)</f>
        <v>44313</v>
      </c>
      <c r="H669" t="str">
        <f ca="1">IFERROR(__xludf.DUMMYFUNCTION("""COMPUTED_VALUE"""),"Pellicer Creek")</f>
        <v>Pellicer Creek</v>
      </c>
      <c r="I669" s="15">
        <f ca="1">IFERROR(__xludf.DUMMYFUNCTION("""COMPUTED_VALUE"""),0.791666666667879)</f>
        <v>0.79166666666787899</v>
      </c>
      <c r="J669" s="16">
        <f ca="1">IFERROR(__xludf.DUMMYFUNCTION("""COMPUTED_VALUE"""),44313.8125)</f>
        <v>44313.8125</v>
      </c>
      <c r="K669" t="str">
        <f ca="1">IFERROR(__xludf.DUMMYFUNCTION("""COMPUTED_VALUE"""),"23ft Skiff (Bertha) FL7972LJ DEP07613")</f>
        <v>23ft Skiff (Bertha) FL7972LJ DEP07613</v>
      </c>
      <c r="M669" t="str">
        <f ca="1">IFERROR(__xludf.DUMMYFUNCTION("""COMPUTED_VALUE"""),"Ford F150 2015 (White) - DEP21448")</f>
        <v>Ford F150 2015 (White) - DEP21448</v>
      </c>
      <c r="N669" t="str">
        <f ca="1">IFERROR(__xludf.DUMMYFUNCTION("""COMPUTED_VALUE"""),"Pam Marcum, (480) 332-5414")</f>
        <v>Pam Marcum, (480) 332-5414</v>
      </c>
      <c r="O669" t="str">
        <f ca="1">IFERROR(__xludf.DUMMYFUNCTION("""COMPUTED_VALUE"""),"Vitalii Sheremet")</f>
        <v>Vitalii Sheremet</v>
      </c>
      <c r="P669" t="str">
        <f ca="1">IFERROR(__xludf.DUMMYFUNCTION("""COMPUTED_VALUE"""),"Pam")</f>
        <v>Pam</v>
      </c>
      <c r="Q669" t="str">
        <f ca="1">IFERROR(__xludf.DUMMYFUNCTION("""COMPUTED_VALUE"""),"All items in working order")</f>
        <v>All items in working order</v>
      </c>
      <c r="AE669" s="11"/>
      <c r="AF669" t="str">
        <v>Pamela.Marcum@floridadep.gov</v>
      </c>
      <c r="AG669" s="17" t="s">
        <v>1821</v>
      </c>
      <c r="AH669" s="12">
        <v>1447</v>
      </c>
      <c r="AI669" s="12" t="s">
        <v>1961</v>
      </c>
      <c r="AJ669" s="19" t="s">
        <v>1962</v>
      </c>
      <c r="AK669" s="20" t="str">
        <f>HYPERLINK("https://docs.google.com/document/d/1UB-RFFrqN11JjwZn9UkiVebnT_rlycn7dUeaSiN5c88/edit?usp=drivesdk","Pamela Marcum - 4/27/2021 8:45 AM")</f>
        <v>Pamela Marcum - 4/27/2021 8:45 AM</v>
      </c>
      <c r="AL669" s="12" t="s">
        <v>1963</v>
      </c>
    </row>
    <row r="670" spans="1:38" ht="12.75">
      <c r="A670" s="10">
        <f ca="1">IFERROR(__xludf.DUMMYFUNCTION("""COMPUTED_VALUE"""),44313.6971871643)</f>
        <v>44313.697187164304</v>
      </c>
      <c r="B670" s="11" t="str">
        <f ca="1">IFERROR(__xludf.DUMMYFUNCTION("""COMPUTED_VALUE"""),"Silas Tanner")</f>
        <v>Silas Tanner</v>
      </c>
      <c r="C670" t="str">
        <f ca="1">IFERROR(__xludf.DUMMYFUNCTION("""COMPUTED_VALUE"""),"silas.tanner@floridadep.gov")</f>
        <v>silas.tanner@floridadep.gov</v>
      </c>
      <c r="D670" t="str">
        <f ca="1">IFERROR(__xludf.DUMMYFUNCTION("""COMPUTED_VALUE"""),"Nikki Dix")</f>
        <v>Nikki Dix</v>
      </c>
      <c r="E670" t="str">
        <f ca="1">IFERROR(__xludf.DUMMYFUNCTION("""COMPUTED_VALUE"""),"Vilano Landing")</f>
        <v>Vilano Landing</v>
      </c>
      <c r="F670" s="13">
        <f ca="1">IFERROR(__xludf.DUMMYFUNCTION("""COMPUTED_VALUE"""),0.354166666667879)</f>
        <v>0.35416666666787899</v>
      </c>
      <c r="G670" s="14">
        <f ca="1">IFERROR(__xludf.DUMMYFUNCTION("""COMPUTED_VALUE"""),44314)</f>
        <v>44314</v>
      </c>
      <c r="H670" t="str">
        <f ca="1">IFERROR(__xludf.DUMMYFUNCTION("""COMPUTED_VALUE"""),"ICW SWMP Sites")</f>
        <v>ICW SWMP Sites</v>
      </c>
      <c r="I670" s="15">
        <f ca="1">IFERROR(__xludf.DUMMYFUNCTION("""COMPUTED_VALUE"""),0.604166666667879)</f>
        <v>0.60416666666787899</v>
      </c>
      <c r="J670" s="16">
        <f ca="1">IFERROR(__xludf.DUMMYFUNCTION("""COMPUTED_VALUE"""),44314.6875)</f>
        <v>44314.6875</v>
      </c>
      <c r="K670" t="str">
        <f ca="1">IFERROR(__xludf.DUMMYFUNCTION("""COMPUTED_VALUE"""),"20ft Sea Ark FL5351SJ UNF 2015")</f>
        <v>20ft Sea Ark FL5351SJ UNF 2015</v>
      </c>
      <c r="M670" t="str">
        <f ca="1">IFERROR(__xludf.DUMMYFUNCTION("""COMPUTED_VALUE"""),"Ford F250 2017 (Moby Dix) - DEP0021578")</f>
        <v>Ford F250 2017 (Moby Dix) - DEP0021578</v>
      </c>
      <c r="N670" t="str">
        <f ca="1">IFERROR(__xludf.DUMMYFUNCTION("""COMPUTED_VALUE"""),"Shannon Dunnigan, (803) 727-5734, Silas Tanner, (904) 483-8423")</f>
        <v>Shannon Dunnigan, (803) 727-5734, Silas Tanner, (904) 483-8423</v>
      </c>
      <c r="P670" t="str">
        <f ca="1">IFERROR(__xludf.DUMMYFUNCTION("""COMPUTED_VALUE"""),"Silas Tanner")</f>
        <v>Silas Tanner</v>
      </c>
      <c r="Q670" t="str">
        <f ca="1">IFERROR(__xludf.DUMMYFUNCTION("""COMPUTED_VALUE"""),"All items in working order")</f>
        <v>All items in working order</v>
      </c>
      <c r="AE670" s="11"/>
      <c r="AF670" t="str">
        <v>Nikki.Dix@floridadep.gov</v>
      </c>
      <c r="AG670" s="17" t="s">
        <v>41</v>
      </c>
      <c r="AH670" s="12">
        <v>1242</v>
      </c>
      <c r="AI670" s="12" t="s">
        <v>1964</v>
      </c>
      <c r="AJ670" s="19" t="s">
        <v>1965</v>
      </c>
      <c r="AK670" s="20" t="str">
        <f>HYPERLINK("https://docs.google.com/document/d/1OBpBycc2MsHQzx0oGoIdhCX8jbPw7eMcLWlrrKwiONA/edit?usp=drivesdk","Silas Tanner - 4/28/2021 8:30 AM")</f>
        <v>Silas Tanner - 4/28/2021 8:30 AM</v>
      </c>
      <c r="AL670" s="12" t="s">
        <v>1966</v>
      </c>
    </row>
    <row r="671" spans="1:38" ht="12.75">
      <c r="A671" s="10">
        <f ca="1">IFERROR(__xludf.DUMMYFUNCTION("""COMPUTED_VALUE"""),44314.3128484837)</f>
        <v>44314.3128484837</v>
      </c>
      <c r="B671" s="11" t="str">
        <f ca="1">IFERROR(__xludf.DUMMYFUNCTION("""COMPUTED_VALUE"""),"Pamela Marcum")</f>
        <v>Pamela Marcum</v>
      </c>
      <c r="C671" t="str">
        <f ca="1">IFERROR(__xludf.DUMMYFUNCTION("""COMPUTED_VALUE"""),"pamela.marcum@floridadep.gov")</f>
        <v>pamela.marcum@floridadep.gov</v>
      </c>
      <c r="D671" t="str">
        <f ca="1">IFERROR(__xludf.DUMMYFUNCTION("""COMPUTED_VALUE"""),"Nikki Dix")</f>
        <v>Nikki Dix</v>
      </c>
      <c r="E671" t="str">
        <f ca="1">IFERROR(__xludf.DUMMYFUNCTION("""COMPUTED_VALUE"""),"Faver-dykes")</f>
        <v>Faver-dykes</v>
      </c>
      <c r="F671" s="13">
        <f ca="1">IFERROR(__xludf.DUMMYFUNCTION("""COMPUTED_VALUE"""),0.3125)</f>
        <v>0.3125</v>
      </c>
      <c r="G671" s="14">
        <f ca="1">IFERROR(__xludf.DUMMYFUNCTION("""COMPUTED_VALUE"""),44314)</f>
        <v>44314</v>
      </c>
      <c r="H671" t="str">
        <f ca="1">IFERROR(__xludf.DUMMYFUNCTION("""COMPUTED_VALUE"""),"Pellicer transects")</f>
        <v>Pellicer transects</v>
      </c>
      <c r="I671" s="15">
        <f ca="1">IFERROR(__xludf.DUMMYFUNCTION("""COMPUTED_VALUE"""),0.541666666667879)</f>
        <v>0.54166666666787899</v>
      </c>
      <c r="J671" s="16">
        <f ca="1">IFERROR(__xludf.DUMMYFUNCTION("""COMPUTED_VALUE"""),44314.5833333333)</f>
        <v>44314.583333333299</v>
      </c>
      <c r="K671" t="str">
        <f ca="1">IFERROR(__xludf.DUMMYFUNCTION("""COMPUTED_VALUE"""),"23ft Skiff (Bertha) FL7972LJ DEP07613")</f>
        <v>23ft Skiff (Bertha) FL7972LJ DEP07613</v>
      </c>
      <c r="M671" t="str">
        <f ca="1">IFERROR(__xludf.DUMMYFUNCTION("""COMPUTED_VALUE"""),"Ford F150 2015 (White) - DEP21448")</f>
        <v>Ford F150 2015 (White) - DEP21448</v>
      </c>
      <c r="N671" t="str">
        <f ca="1">IFERROR(__xludf.DUMMYFUNCTION("""COMPUTED_VALUE"""),"Pam Marcum, (480) 332-5414")</f>
        <v>Pam Marcum, (480) 332-5414</v>
      </c>
      <c r="O671" t="str">
        <f ca="1">IFERROR(__xludf.DUMMYFUNCTION("""COMPUTED_VALUE"""),"Alee Knoell, (619) 750-4833, Vitalii Sheremet")</f>
        <v>Alee Knoell, (619) 750-4833, Vitalii Sheremet</v>
      </c>
      <c r="P671" t="str">
        <f ca="1">IFERROR(__xludf.DUMMYFUNCTION("""COMPUTED_VALUE"""),"Pam")</f>
        <v>Pam</v>
      </c>
      <c r="Q671" t="str">
        <f ca="1">IFERROR(__xludf.DUMMYFUNCTION("""COMPUTED_VALUE"""),"All items in working order")</f>
        <v>All items in working order</v>
      </c>
      <c r="AE671" s="11"/>
      <c r="AF671" t="str">
        <v>Nikki.Dix@floridadep.gov</v>
      </c>
      <c r="AG671" s="17" t="s">
        <v>41</v>
      </c>
      <c r="AH671" s="12">
        <v>1219</v>
      </c>
      <c r="AI671" s="12" t="s">
        <v>1967</v>
      </c>
      <c r="AJ671" s="19" t="s">
        <v>1968</v>
      </c>
      <c r="AK671" s="20" t="str">
        <f>HYPERLINK("https://docs.google.com/document/d/179EwcNsSeb5b-4mufHGtmSQB11MCBJG9X_-GaLVF65A/edit?usp=drivesdk","Pamela Marcum - 4/28/2021 7:30 AM")</f>
        <v>Pamela Marcum - 4/28/2021 7:30 AM</v>
      </c>
      <c r="AL671" s="12" t="s">
        <v>1969</v>
      </c>
    </row>
    <row r="672" spans="1:38" ht="12.75">
      <c r="A672" s="10">
        <f ca="1">IFERROR(__xludf.DUMMYFUNCTION("""COMPUTED_VALUE"""),44326.3619516319)</f>
        <v>44326.361951631901</v>
      </c>
      <c r="B672" s="11" t="str">
        <f ca="1">IFERROR(__xludf.DUMMYFUNCTION("""COMPUTED_VALUE"""),"Jessica Lee")</f>
        <v>Jessica Lee</v>
      </c>
      <c r="C672" t="str">
        <f ca="1">IFERROR(__xludf.DUMMYFUNCTION("""COMPUTED_VALUE"""),"jessica.lee@floridadep.gov")</f>
        <v>jessica.lee@floridadep.gov</v>
      </c>
      <c r="D672" t="str">
        <f ca="1">IFERROR(__xludf.DUMMYFUNCTION("""COMPUTED_VALUE"""),"Shannon Dunnigan")</f>
        <v>Shannon Dunnigan</v>
      </c>
      <c r="E672" t="str">
        <f ca="1">IFERROR(__xludf.DUMMYFUNCTION("""COMPUTED_VALUE"""),"Guana River")</f>
        <v>Guana River</v>
      </c>
      <c r="F672" s="13">
        <f ca="1">IFERROR(__xludf.DUMMYFUNCTION("""COMPUTED_VALUE"""),0.385416666667879)</f>
        <v>0.38541666666787899</v>
      </c>
      <c r="G672" s="14">
        <f ca="1">IFERROR(__xludf.DUMMYFUNCTION("""COMPUTED_VALUE"""),44326)</f>
        <v>44326</v>
      </c>
      <c r="H672" t="str">
        <f ca="1">IFERROR(__xludf.DUMMYFUNCTION("""COMPUTED_VALUE"""),"Guana River")</f>
        <v>Guana River</v>
      </c>
      <c r="I672" s="15">
        <f ca="1">IFERROR(__xludf.DUMMYFUNCTION("""COMPUTED_VALUE"""),0.447916666667879)</f>
        <v>0.44791666666787899</v>
      </c>
      <c r="J672" s="16">
        <f ca="1">IFERROR(__xludf.DUMMYFUNCTION("""COMPUTED_VALUE"""),44326.4583333333)</f>
        <v>44326.458333333299</v>
      </c>
      <c r="K672" t="str">
        <f ca="1">IFERROR(__xludf.DUMMYFUNCTION("""COMPUTED_VALUE"""),"Jon Boat 1 FL5992RR DEP154045")</f>
        <v>Jon Boat 1 FL5992RR DEP154045</v>
      </c>
      <c r="M672" t="str">
        <f ca="1">IFERROR(__xludf.DUMMYFUNCTION("""COMPUTED_VALUE"""),"Ford F150 2015 (White) - DEP21448")</f>
        <v>Ford F150 2015 (White) - DEP21448</v>
      </c>
      <c r="N672" t="str">
        <f ca="1">IFERROR(__xludf.DUMMYFUNCTION("""COMPUTED_VALUE"""),"Jessica Lee")</f>
        <v>Jessica Lee</v>
      </c>
      <c r="O672" t="str">
        <f ca="1">IFERROR(__xludf.DUMMYFUNCTION("""COMPUTED_VALUE"""),"Ashley Smyth, AJ")</f>
        <v>Ashley Smyth, AJ</v>
      </c>
      <c r="P672" t="str">
        <f ca="1">IFERROR(__xludf.DUMMYFUNCTION("""COMPUTED_VALUE"""),"Jessica Lee")</f>
        <v>Jessica Lee</v>
      </c>
      <c r="Q672" t="str">
        <f ca="1">IFERROR(__xludf.DUMMYFUNCTION("""COMPUTED_VALUE"""),"All items in working order")</f>
        <v>All items in working order</v>
      </c>
      <c r="AE672" s="11"/>
      <c r="AF672" t="str">
        <v>Shannon.Dunnigan@floridadep.gov</v>
      </c>
      <c r="AG672" s="17" t="s">
        <v>507</v>
      </c>
      <c r="AH672" s="12">
        <v>1112</v>
      </c>
      <c r="AI672" s="12" t="s">
        <v>1970</v>
      </c>
      <c r="AJ672" s="19" t="s">
        <v>1971</v>
      </c>
      <c r="AK672" s="20" t="str">
        <f>HYPERLINK("https://docs.google.com/document/d/1NSXCOMs-mZ8gMXSva1KviVW_Iy7SaZL7JgeQ9duT2Dc/edit?usp=drivesdk","Jessica Lee - 5/10/2021 9:15 AM")</f>
        <v>Jessica Lee - 5/10/2021 9:15 AM</v>
      </c>
      <c r="AL672" s="12" t="s">
        <v>1972</v>
      </c>
    </row>
    <row r="673" spans="1:38" ht="12.75">
      <c r="A673" s="10">
        <f ca="1">IFERROR(__xludf.DUMMYFUNCTION("""COMPUTED_VALUE"""),44327.3569298032)</f>
        <v>44327.356929803202</v>
      </c>
      <c r="B673" s="11" t="str">
        <f ca="1">IFERROR(__xludf.DUMMYFUNCTION("""COMPUTED_VALUE"""),"Shannon Dunnigan")</f>
        <v>Shannon Dunnigan</v>
      </c>
      <c r="C673" t="str">
        <f ca="1">IFERROR(__xludf.DUMMYFUNCTION("""COMPUTED_VALUE"""),"shannon.dunnigan@floridadep.gov")</f>
        <v>shannon.dunnigan@floridadep.gov</v>
      </c>
      <c r="D673" t="str">
        <f ca="1">IFERROR(__xludf.DUMMYFUNCTION("""COMPUTED_VALUE"""),"Nikki Dix")</f>
        <v>Nikki Dix</v>
      </c>
      <c r="E673" t="str">
        <f ca="1">IFERROR(__xludf.DUMMYFUNCTION("""COMPUTED_VALUE"""),"Vilano")</f>
        <v>Vilano</v>
      </c>
      <c r="F673" s="13">
        <f ca="1">IFERROR(__xludf.DUMMYFUNCTION("""COMPUTED_VALUE"""),0.36458333333212)</f>
        <v>0.36458333333212001</v>
      </c>
      <c r="G673" s="14">
        <f ca="1">IFERROR(__xludf.DUMMYFUNCTION("""COMPUTED_VALUE"""),44327)</f>
        <v>44327</v>
      </c>
      <c r="H673" t="str">
        <f ca="1">IFERROR(__xludf.DUMMYFUNCTION("""COMPUTED_VALUE"""),"SWMP sites")</f>
        <v>SWMP sites</v>
      </c>
      <c r="I673" s="15">
        <f ca="1">IFERROR(__xludf.DUMMYFUNCTION("""COMPUTED_VALUE"""),0.541666666667879)</f>
        <v>0.54166666666787899</v>
      </c>
      <c r="J673" s="16">
        <f ca="1">IFERROR(__xludf.DUMMYFUNCTION("""COMPUTED_VALUE"""),44327.6041666666)</f>
        <v>44327.604166666599</v>
      </c>
      <c r="K673" t="str">
        <f ca="1">IFERROR(__xludf.DUMMYFUNCTION("""COMPUTED_VALUE"""),"20ft Sea Ark FL5351SJ UNF 2015")</f>
        <v>20ft Sea Ark FL5351SJ UNF 2015</v>
      </c>
      <c r="M673" t="str">
        <f ca="1">IFERROR(__xludf.DUMMYFUNCTION("""COMPUTED_VALUE"""),"Ford F150 2015 (White) - DEP21448")</f>
        <v>Ford F150 2015 (White) - DEP21448</v>
      </c>
      <c r="N673" t="str">
        <f ca="1">IFERROR(__xludf.DUMMYFUNCTION("""COMPUTED_VALUE"""),"Shannon Dunnigan, (803) 727-5734")</f>
        <v>Shannon Dunnigan, (803) 727-5734</v>
      </c>
      <c r="O673" t="str">
        <f ca="1">IFERROR(__xludf.DUMMYFUNCTION("""COMPUTED_VALUE"""),"Jason Lynn")</f>
        <v>Jason Lynn</v>
      </c>
      <c r="P673" t="str">
        <f ca="1">IFERROR(__xludf.DUMMYFUNCTION("""COMPUTED_VALUE"""),"Shannon")</f>
        <v>Shannon</v>
      </c>
      <c r="Q673" t="str">
        <f ca="1">IFERROR(__xludf.DUMMYFUNCTION("""COMPUTED_VALUE"""),"All items in working order")</f>
        <v>All items in working order</v>
      </c>
      <c r="AE673" s="11"/>
      <c r="AF673" t="str">
        <v>Nikki.Dix@floridadep.gov</v>
      </c>
      <c r="AG673" s="17" t="s">
        <v>41</v>
      </c>
      <c r="AH673" s="12">
        <v>1337</v>
      </c>
      <c r="AI673" s="12" t="s">
        <v>1973</v>
      </c>
      <c r="AJ673" s="19" t="s">
        <v>1974</v>
      </c>
      <c r="AK673" s="20" t="str">
        <f>HYPERLINK("https://docs.google.com/document/d/11sRqTN3oRi0sr1ZNX-xmrrCRHXjR6DpZqWWdHWDM8PE/edit?usp=drivesdk","Shannon Dunnigan - 5/11/2021 8:45 AM")</f>
        <v>Shannon Dunnigan - 5/11/2021 8:45 AM</v>
      </c>
      <c r="AL673" s="12" t="s">
        <v>1975</v>
      </c>
    </row>
    <row r="674" spans="1:38" ht="12.75">
      <c r="A674" s="10">
        <f ca="1">IFERROR(__xludf.DUMMYFUNCTION("""COMPUTED_VALUE"""),44327.665355787)</f>
        <v>44327.665355787001</v>
      </c>
      <c r="B674" s="11" t="str">
        <f ca="1">IFERROR(__xludf.DUMMYFUNCTION("""COMPUTED_VALUE"""),"Shannon Dunnigan")</f>
        <v>Shannon Dunnigan</v>
      </c>
      <c r="C674" t="str">
        <f ca="1">IFERROR(__xludf.DUMMYFUNCTION("""COMPUTED_VALUE"""),"shannon.dunnigan@floridadep.gov")</f>
        <v>shannon.dunnigan@floridadep.gov</v>
      </c>
      <c r="D674" t="str">
        <f ca="1">IFERROR(__xludf.DUMMYFUNCTION("""COMPUTED_VALUE"""),"Nikki Dix")</f>
        <v>Nikki Dix</v>
      </c>
      <c r="E674" t="str">
        <f ca="1">IFERROR(__xludf.DUMMYFUNCTION("""COMPUTED_VALUE"""),"Vilano")</f>
        <v>Vilano</v>
      </c>
      <c r="F674" s="13">
        <f ca="1">IFERROR(__xludf.DUMMYFUNCTION("""COMPUTED_VALUE"""),0.36458333333212)</f>
        <v>0.36458333333212001</v>
      </c>
      <c r="G674" s="14">
        <f ca="1">IFERROR(__xludf.DUMMYFUNCTION("""COMPUTED_VALUE"""),44327)</f>
        <v>44327</v>
      </c>
      <c r="H674" t="str">
        <f ca="1">IFERROR(__xludf.DUMMYFUNCTION("""COMPUTED_VALUE"""),"SWMP sites")</f>
        <v>SWMP sites</v>
      </c>
      <c r="I674" s="15">
        <f ca="1">IFERROR(__xludf.DUMMYFUNCTION("""COMPUTED_VALUE"""),0.541666666667879)</f>
        <v>0.54166666666787899</v>
      </c>
      <c r="J674" s="16">
        <f ca="1">IFERROR(__xludf.DUMMYFUNCTION("""COMPUTED_VALUE"""),44327.6041666666)</f>
        <v>44327.604166666599</v>
      </c>
      <c r="K674" t="str">
        <f ca="1">IFERROR(__xludf.DUMMYFUNCTION("""COMPUTED_VALUE"""),"20ft Sea Ark FL5351SJ UNF 2015")</f>
        <v>20ft Sea Ark FL5351SJ UNF 2015</v>
      </c>
      <c r="M674" t="str">
        <f ca="1">IFERROR(__xludf.DUMMYFUNCTION("""COMPUTED_VALUE"""),"Ford F150 2015 (White) - DEP21448")</f>
        <v>Ford F150 2015 (White) - DEP21448</v>
      </c>
      <c r="N674" t="str">
        <f ca="1">IFERROR(__xludf.DUMMYFUNCTION("""COMPUTED_VALUE"""),"Shannon Dunnigan, (803) 727-5734")</f>
        <v>Shannon Dunnigan, (803) 727-5734</v>
      </c>
      <c r="O674" t="str">
        <f ca="1">IFERROR(__xludf.DUMMYFUNCTION("""COMPUTED_VALUE"""),"Jason Lynn")</f>
        <v>Jason Lynn</v>
      </c>
      <c r="P674" t="str">
        <f ca="1">IFERROR(__xludf.DUMMYFUNCTION("""COMPUTED_VALUE"""),"Shannon")</f>
        <v>Shannon</v>
      </c>
      <c r="Q674" t="str">
        <f ca="1">IFERROR(__xludf.DUMMYFUNCTION("""COMPUTED_VALUE"""),"All items in working order")</f>
        <v>All items in working order</v>
      </c>
      <c r="AE674" s="11"/>
      <c r="AF674" t="str">
        <v>Nikki.Dix@floridadep.gov</v>
      </c>
      <c r="AG674" s="17" t="s">
        <v>54</v>
      </c>
      <c r="AH674" s="17" t="s">
        <v>54</v>
      </c>
      <c r="AI674" s="12" t="s">
        <v>1976</v>
      </c>
      <c r="AJ674" s="19" t="s">
        <v>1977</v>
      </c>
      <c r="AK674" s="20" t="str">
        <f>HYPERLINK("https://docs.google.com/document/d/1TaU5Q6Q7dqu44JV_8zNyJ2TrqrIGaPAwiQWNiqgtWx4/edit?usp=drivesdk","Shannon Dunnigan - 5/11/2021 8:45 AM")</f>
        <v>Shannon Dunnigan - 5/11/2021 8:45 AM</v>
      </c>
      <c r="AL674" s="12" t="s">
        <v>1978</v>
      </c>
    </row>
    <row r="675" spans="1:38" ht="12.75">
      <c r="A675" s="10">
        <f ca="1">IFERROR(__xludf.DUMMYFUNCTION("""COMPUTED_VALUE"""),44330.3900261342)</f>
        <v>44330.390026134199</v>
      </c>
      <c r="B675" s="11" t="str">
        <f ca="1">IFERROR(__xludf.DUMMYFUNCTION("""COMPUTED_VALUE"""),"Silas Tanner")</f>
        <v>Silas Tanner</v>
      </c>
      <c r="C675" t="str">
        <f ca="1">IFERROR(__xludf.DUMMYFUNCTION("""COMPUTED_VALUE"""),"silas.tanner@floridadep.gov")</f>
        <v>silas.tanner@floridadep.gov</v>
      </c>
      <c r="D675" t="str">
        <f ca="1">IFERROR(__xludf.DUMMYFUNCTION("""COMPUTED_VALUE"""),"Alee Knoell")</f>
        <v>Alee Knoell</v>
      </c>
      <c r="E675" t="str">
        <f ca="1">IFERROR(__xludf.DUMMYFUNCTION("""COMPUTED_VALUE"""),"FDSP")</f>
        <v>FDSP</v>
      </c>
      <c r="F675" s="13">
        <f ca="1">IFERROR(__xludf.DUMMYFUNCTION("""COMPUTED_VALUE"""),0.416666666667879)</f>
        <v>0.41666666666787899</v>
      </c>
      <c r="G675" s="14">
        <f ca="1">IFERROR(__xludf.DUMMYFUNCTION("""COMPUTED_VALUE"""),44330)</f>
        <v>44330</v>
      </c>
      <c r="H675" t="str">
        <f ca="1">IFERROR(__xludf.DUMMYFUNCTION("""COMPUTED_VALUE"""),"Pellicer Creek")</f>
        <v>Pellicer Creek</v>
      </c>
      <c r="I675" s="15">
        <f ca="1">IFERROR(__xludf.DUMMYFUNCTION("""COMPUTED_VALUE"""),0.625)</f>
        <v>0.625</v>
      </c>
      <c r="J675" s="16">
        <f ca="1">IFERROR(__xludf.DUMMYFUNCTION("""COMPUTED_VALUE"""),44330.6666666666)</f>
        <v>44330.666666666599</v>
      </c>
      <c r="K675" t="str">
        <f ca="1">IFERROR(__xludf.DUMMYFUNCTION("""COMPUTED_VALUE"""),"20ft Sea Ark FL5351SJ UNF 2015")</f>
        <v>20ft Sea Ark FL5351SJ UNF 2015</v>
      </c>
      <c r="M675" t="str">
        <f ca="1">IFERROR(__xludf.DUMMYFUNCTION("""COMPUTED_VALUE"""),"Ford F250 2017 (Moby Dix) - DEP0021578")</f>
        <v>Ford F250 2017 (Moby Dix) - DEP0021578</v>
      </c>
      <c r="N675" t="str">
        <f ca="1">IFERROR(__xludf.DUMMYFUNCTION("""COMPUTED_VALUE"""),"Silas Tanner, (904) 483-8423")</f>
        <v>Silas Tanner, (904) 483-8423</v>
      </c>
      <c r="O675" t="str">
        <f ca="1">IFERROR(__xludf.DUMMYFUNCTION("""COMPUTED_VALUE"""),"Jessica Lee")</f>
        <v>Jessica Lee</v>
      </c>
      <c r="P675" t="str">
        <f ca="1">IFERROR(__xludf.DUMMYFUNCTION("""COMPUTED_VALUE"""),"Silas Tanner")</f>
        <v>Silas Tanner</v>
      </c>
      <c r="Q675" t="str">
        <f ca="1">IFERROR(__xludf.DUMMYFUNCTION("""COMPUTED_VALUE"""),"All items in working order")</f>
        <v>All items in working order</v>
      </c>
      <c r="AE675" s="11"/>
      <c r="AF675" t="str">
        <v>Alee.Knoell@floridadep.gov</v>
      </c>
      <c r="AG675" s="17" t="s">
        <v>1821</v>
      </c>
      <c r="AH675" s="12">
        <v>1159</v>
      </c>
      <c r="AI675" s="12" t="s">
        <v>1979</v>
      </c>
      <c r="AJ675" s="19" t="s">
        <v>1980</v>
      </c>
      <c r="AK675" s="20" t="str">
        <f>HYPERLINK("https://docs.google.com/document/d/1uacCpT17Uvo2Shbv0SkaCBW-M-J5taDBnBKyZXZ-gQs/edit?usp=drivesdk","Silas Tanner - 5/14/2021 10:00 AM")</f>
        <v>Silas Tanner - 5/14/2021 10:00 AM</v>
      </c>
      <c r="AL675" s="12" t="s">
        <v>1981</v>
      </c>
    </row>
    <row r="676" spans="1:38" ht="12.75">
      <c r="A676" s="10">
        <f ca="1">IFERROR(__xludf.DUMMYFUNCTION("""COMPUTED_VALUE"""),44341.3382158101)</f>
        <v>44341.338215810101</v>
      </c>
      <c r="B676" s="11" t="str">
        <f ca="1">IFERROR(__xludf.DUMMYFUNCTION("""COMPUTED_VALUE"""),"Alexandria Knoell")</f>
        <v>Alexandria Knoell</v>
      </c>
      <c r="C676" t="str">
        <f ca="1">IFERROR(__xludf.DUMMYFUNCTION("""COMPUTED_VALUE"""),"alee.knoell@floridadep.gov")</f>
        <v>alee.knoell@floridadep.gov</v>
      </c>
      <c r="D676" t="str">
        <f ca="1">IFERROR(__xludf.DUMMYFUNCTION("""COMPUTED_VALUE"""),"Pam Marcum")</f>
        <v>Pam Marcum</v>
      </c>
      <c r="E676" t="str">
        <f ca="1">IFERROR(__xludf.DUMMYFUNCTION("""COMPUTED_VALUE"""),"Crane")</f>
        <v>Crane</v>
      </c>
      <c r="F676" s="13">
        <f ca="1">IFERROR(__xludf.DUMMYFUNCTION("""COMPUTED_VALUE"""),0.34375)</f>
        <v>0.34375</v>
      </c>
      <c r="G676" s="14">
        <f ca="1">IFERROR(__xludf.DUMMYFUNCTION("""COMPUTED_VALUE"""),44341)</f>
        <v>44341</v>
      </c>
      <c r="H676" t="str">
        <f ca="1">IFERROR(__xludf.DUMMYFUNCTION("""COMPUTED_VALUE"""),"Gabbys creek")</f>
        <v>Gabbys creek</v>
      </c>
      <c r="I676" s="15">
        <f ca="1">IFERROR(__xludf.DUMMYFUNCTION("""COMPUTED_VALUE"""),0.541666666667879)</f>
        <v>0.54166666666787899</v>
      </c>
      <c r="J676" s="16">
        <f ca="1">IFERROR(__xludf.DUMMYFUNCTION("""COMPUTED_VALUE"""),44341.5729166666)</f>
        <v>44341.572916666599</v>
      </c>
      <c r="K676" t="str">
        <f ca="1">IFERROR(__xludf.DUMMYFUNCTION("""COMPUTED_VALUE"""),"20ft Sea Ark FL5351SJ UNF 2015")</f>
        <v>20ft Sea Ark FL5351SJ UNF 2015</v>
      </c>
      <c r="M676" t="str">
        <f ca="1">IFERROR(__xludf.DUMMYFUNCTION("""COMPUTED_VALUE"""),"Ford F150 2015 (White) - DEP21448")</f>
        <v>Ford F150 2015 (White) - DEP21448</v>
      </c>
      <c r="N676" t="str">
        <f ca="1">IFERROR(__xludf.DUMMYFUNCTION("""COMPUTED_VALUE"""),"Gabriela canas")</f>
        <v>Gabriela canas</v>
      </c>
      <c r="O676" t="str">
        <f ca="1">IFERROR(__xludf.DUMMYFUNCTION("""COMPUTED_VALUE"""),"Alee Knoell, (619) 750-4833, Ches, WETFEET crew")</f>
        <v>Alee Knoell, (619) 750-4833, Ches, WETFEET crew</v>
      </c>
      <c r="P676" t="str">
        <f ca="1">IFERROR(__xludf.DUMMYFUNCTION("""COMPUTED_VALUE"""),"Gabby canas")</f>
        <v>Gabby canas</v>
      </c>
      <c r="Q676" t="str">
        <f ca="1">IFERROR(__xludf.DUMMYFUNCTION("""COMPUTED_VALUE"""),"All items in working order")</f>
        <v>All items in working order</v>
      </c>
      <c r="AE676" s="11"/>
      <c r="AF676" t="str">
        <v>Pamela.Marcum@floridadep.gov</v>
      </c>
      <c r="AG676" s="17" t="s">
        <v>139</v>
      </c>
      <c r="AH676" s="12">
        <v>1256</v>
      </c>
      <c r="AI676" s="12" t="s">
        <v>1982</v>
      </c>
      <c r="AJ676" s="19" t="s">
        <v>1983</v>
      </c>
      <c r="AK676" s="20" t="str">
        <f>HYPERLINK("https://docs.google.com/document/d/1-HvzEkSelyXUpFWJkXgpVQCY3lfHfeKWT0TzFXeO9dc/edit?usp=drivesdk","Alexandria Knoell - 5/25/2021 8:15 AM")</f>
        <v>Alexandria Knoell - 5/25/2021 8:15 AM</v>
      </c>
      <c r="AL676" s="12" t="s">
        <v>1984</v>
      </c>
    </row>
    <row r="677" spans="1:38" ht="12.75">
      <c r="A677" s="10">
        <f ca="1">IFERROR(__xludf.DUMMYFUNCTION("""COMPUTED_VALUE"""),44349.2854167592)</f>
        <v>44349.285416759201</v>
      </c>
      <c r="B677" s="11" t="str">
        <f ca="1">IFERROR(__xludf.DUMMYFUNCTION("""COMPUTED_VALUE"""),"Silas Tanner")</f>
        <v>Silas Tanner</v>
      </c>
      <c r="C677" t="str">
        <f ca="1">IFERROR(__xludf.DUMMYFUNCTION("""COMPUTED_VALUE"""),"silas.tanner@floridadep.gov")</f>
        <v>silas.tanner@floridadep.gov</v>
      </c>
      <c r="D677" t="str">
        <f ca="1">IFERROR(__xludf.DUMMYFUNCTION("""COMPUTED_VALUE"""),"Shannon Dunnigan")</f>
        <v>Shannon Dunnigan</v>
      </c>
      <c r="E677" t="str">
        <f ca="1">IFERROR(__xludf.DUMMYFUNCTION("""COMPUTED_VALUE"""),"Crane ")</f>
        <v xml:space="preserve">Crane </v>
      </c>
      <c r="F677" s="13">
        <f ca="1">IFERROR(__xludf.DUMMYFUNCTION("""COMPUTED_VALUE"""),0.36458333333212)</f>
        <v>0.36458333333212001</v>
      </c>
      <c r="G677" s="14">
        <f ca="1">IFERROR(__xludf.DUMMYFUNCTION("""COMPUTED_VALUE"""),44349)</f>
        <v>44349</v>
      </c>
      <c r="H677" t="str">
        <f ca="1">IFERROR(__xludf.DUMMYFUNCTION("""COMPUTED_VALUE"""),"ICW SWMP sites ")</f>
        <v xml:space="preserve">ICW SWMP sites </v>
      </c>
      <c r="I677" s="15">
        <f ca="1">IFERROR(__xludf.DUMMYFUNCTION("""COMPUTED_VALUE"""),0.58333333333212)</f>
        <v>0.58333333333212001</v>
      </c>
      <c r="J677" s="16">
        <f ca="1">IFERROR(__xludf.DUMMYFUNCTION("""COMPUTED_VALUE"""),44349.6666666666)</f>
        <v>44349.666666666599</v>
      </c>
      <c r="K677" t="str">
        <f ca="1">IFERROR(__xludf.DUMMYFUNCTION("""COMPUTED_VALUE"""),"20ft Sea Ark FL5351SJ UNF 2015")</f>
        <v>20ft Sea Ark FL5351SJ UNF 2015</v>
      </c>
      <c r="M677" t="str">
        <f ca="1">IFERROR(__xludf.DUMMYFUNCTION("""COMPUTED_VALUE"""),"Ford F250 2017 (Moby Dix) - DEP0021578")</f>
        <v>Ford F250 2017 (Moby Dix) - DEP0021578</v>
      </c>
      <c r="N677" t="str">
        <f ca="1">IFERROR(__xludf.DUMMYFUNCTION("""COMPUTED_VALUE"""),"Silas Tanner, (904) 483-8423, Remo Mondazzi ")</f>
        <v xml:space="preserve">Silas Tanner, (904) 483-8423, Remo Mondazzi </v>
      </c>
      <c r="O677" t="str">
        <f ca="1">IFERROR(__xludf.DUMMYFUNCTION("""COMPUTED_VALUE"""),"Kayla Hughes")</f>
        <v>Kayla Hughes</v>
      </c>
      <c r="P677" t="str">
        <f ca="1">IFERROR(__xludf.DUMMYFUNCTION("""COMPUTED_VALUE"""),"S Tanner")</f>
        <v>S Tanner</v>
      </c>
      <c r="Q677" t="str">
        <f ca="1">IFERROR(__xludf.DUMMYFUNCTION("""COMPUTED_VALUE"""),"All items in working order")</f>
        <v>All items in working order</v>
      </c>
      <c r="AE677" s="11"/>
      <c r="AF677" t="str">
        <v>Shannon.Dunnigan@floridadep.gov</v>
      </c>
      <c r="AG677" s="17" t="s">
        <v>507</v>
      </c>
      <c r="AH677" s="12">
        <v>1155</v>
      </c>
      <c r="AI677" s="12" t="s">
        <v>1985</v>
      </c>
      <c r="AJ677" s="19" t="s">
        <v>1986</v>
      </c>
      <c r="AK677" s="20" t="str">
        <f>HYPERLINK("https://docs.google.com/document/d/1QVWN5IMPmVwsi0ToyQccgphuzufNnTdYPlN02idb2i4/edit?usp=drivesdk","Silas Tanner - 6/2/2021 8:45 AM")</f>
        <v>Silas Tanner - 6/2/2021 8:45 AM</v>
      </c>
      <c r="AL677" s="12" t="s">
        <v>1987</v>
      </c>
    </row>
    <row r="678" spans="1:38" ht="12.75">
      <c r="A678" s="10">
        <f ca="1">IFERROR(__xludf.DUMMYFUNCTION("""COMPUTED_VALUE"""),44354.3459795949)</f>
        <v>44354.345979594902</v>
      </c>
      <c r="B678" s="11" t="str">
        <f ca="1">IFERROR(__xludf.DUMMYFUNCTION("""COMPUTED_VALUE"""),"Pamela Marcum")</f>
        <v>Pamela Marcum</v>
      </c>
      <c r="C678" t="str">
        <f ca="1">IFERROR(__xludf.DUMMYFUNCTION("""COMPUTED_VALUE"""),"pamela.marcum@floridadep.gov")</f>
        <v>pamela.marcum@floridadep.gov</v>
      </c>
      <c r="D678" t="str">
        <f ca="1">IFERROR(__xludf.DUMMYFUNCTION("""COMPUTED_VALUE"""),"Silas Tanner")</f>
        <v>Silas Tanner</v>
      </c>
      <c r="E678" t="str">
        <f ca="1">IFERROR(__xludf.DUMMYFUNCTION("""COMPUTED_VALUE"""),"Guana dam")</f>
        <v>Guana dam</v>
      </c>
      <c r="F678" s="13">
        <f ca="1">IFERROR(__xludf.DUMMYFUNCTION("""COMPUTED_VALUE"""),0.34375)</f>
        <v>0.34375</v>
      </c>
      <c r="G678" s="14">
        <f ca="1">IFERROR(__xludf.DUMMYFUNCTION("""COMPUTED_VALUE"""),44354)</f>
        <v>44354</v>
      </c>
      <c r="H678" t="str">
        <f ca="1">IFERROR(__xludf.DUMMYFUNCTION("""COMPUTED_VALUE"""),"Guana River")</f>
        <v>Guana River</v>
      </c>
      <c r="I678" s="15">
        <f ca="1">IFERROR(__xludf.DUMMYFUNCTION("""COMPUTED_VALUE"""),0.39583333333212)</f>
        <v>0.39583333333212001</v>
      </c>
      <c r="J678" s="16">
        <f ca="1">IFERROR(__xludf.DUMMYFUNCTION("""COMPUTED_VALUE"""),44354.3958333333)</f>
        <v>44354.395833333299</v>
      </c>
      <c r="K678" t="str">
        <f ca="1">IFERROR(__xludf.DUMMYFUNCTION("""COMPUTED_VALUE"""),"Jon Boat 1 FL5992RR DEP154045")</f>
        <v>Jon Boat 1 FL5992RR DEP154045</v>
      </c>
      <c r="M678" t="str">
        <f ca="1">IFERROR(__xludf.DUMMYFUNCTION("""COMPUTED_VALUE"""),"Ford F150 2015 (White) - DEP21448")</f>
        <v>Ford F150 2015 (White) - DEP21448</v>
      </c>
      <c r="N678" t="str">
        <f ca="1">IFERROR(__xludf.DUMMYFUNCTION("""COMPUTED_VALUE"""),"Nikki Dix, (352) 219-4079, Pam Marcum, (480) 332-5414")</f>
        <v>Nikki Dix, (352) 219-4079, Pam Marcum, (480) 332-5414</v>
      </c>
      <c r="O678" t="str">
        <f ca="1">IFERROR(__xludf.DUMMYFUNCTION("""COMPUTED_VALUE"""),"Olivia Roorbach")</f>
        <v>Olivia Roorbach</v>
      </c>
      <c r="P678" t="str">
        <f ca="1">IFERROR(__xludf.DUMMYFUNCTION("""COMPUTED_VALUE"""),"Pam")</f>
        <v>Pam</v>
      </c>
      <c r="Q678" t="str">
        <f ca="1">IFERROR(__xludf.DUMMYFUNCTION("""COMPUTED_VALUE"""),"All items in working order")</f>
        <v>All items in working order</v>
      </c>
      <c r="AE678" s="11"/>
      <c r="AF678" t="str">
        <v>Silas.Tanner@floridadep.gov</v>
      </c>
      <c r="AG678" s="17" t="s">
        <v>1568</v>
      </c>
      <c r="AH678" s="12">
        <v>1000</v>
      </c>
      <c r="AI678" s="12" t="s">
        <v>1988</v>
      </c>
      <c r="AJ678" s="19" t="s">
        <v>1989</v>
      </c>
      <c r="AK678" s="20" t="str">
        <f>HYPERLINK("https://docs.google.com/document/d/1OXE2gmbJ2i6Ig_wjJoHe7NUwlbbuni5X2FYkzMzd0-o/edit?usp=drivesdk","Pamela Marcum - 6/7/2021 8:15 AM")</f>
        <v>Pamela Marcum - 6/7/2021 8:15 AM</v>
      </c>
      <c r="AL678" s="12" t="s">
        <v>1990</v>
      </c>
    </row>
    <row r="679" spans="1:38" ht="12.75">
      <c r="A679" s="10">
        <f ca="1">IFERROR(__xludf.DUMMYFUNCTION("""COMPUTED_VALUE"""),44355.2707065972)</f>
        <v>44355.270706597199</v>
      </c>
      <c r="B679" s="11" t="str">
        <f ca="1">IFERROR(__xludf.DUMMYFUNCTION("""COMPUTED_VALUE"""),"Pamela Marcum")</f>
        <v>Pamela Marcum</v>
      </c>
      <c r="C679" t="str">
        <f ca="1">IFERROR(__xludf.DUMMYFUNCTION("""COMPUTED_VALUE"""),"pamela.marcum@floridadep.gov")</f>
        <v>pamela.marcum@floridadep.gov</v>
      </c>
      <c r="D679" t="str">
        <f ca="1">IFERROR(__xludf.DUMMYFUNCTION("""COMPUTED_VALUE"""),"Nikki Dix")</f>
        <v>Nikki Dix</v>
      </c>
      <c r="E679" t="str">
        <f ca="1">IFERROR(__xludf.DUMMYFUNCTION("""COMPUTED_VALUE"""),"Faver-Dykes")</f>
        <v>Faver-Dykes</v>
      </c>
      <c r="F679" s="13">
        <f ca="1">IFERROR(__xludf.DUMMYFUNCTION("""COMPUTED_VALUE"""),0.27083333333212)</f>
        <v>0.27083333333212001</v>
      </c>
      <c r="G679" s="14">
        <f ca="1">IFERROR(__xludf.DUMMYFUNCTION("""COMPUTED_VALUE"""),44355)</f>
        <v>44355</v>
      </c>
      <c r="H679" t="str">
        <f ca="1">IFERROR(__xludf.DUMMYFUNCTION("""COMPUTED_VALUE"""),"Pellicer upper transect")</f>
        <v>Pellicer upper transect</v>
      </c>
      <c r="I679" s="15">
        <f ca="1">IFERROR(__xludf.DUMMYFUNCTION("""COMPUTED_VALUE"""),0.416666666667879)</f>
        <v>0.41666666666787899</v>
      </c>
      <c r="J679" s="16">
        <f ca="1">IFERROR(__xludf.DUMMYFUNCTION("""COMPUTED_VALUE"""),44355.4583333333)</f>
        <v>44355.458333333299</v>
      </c>
      <c r="K679" t="str">
        <f ca="1">IFERROR(__xludf.DUMMYFUNCTION("""COMPUTED_VALUE"""),"20ft Sea Ark FL5351SJ UNF 2015")</f>
        <v>20ft Sea Ark FL5351SJ UNF 2015</v>
      </c>
      <c r="M679" t="str">
        <f ca="1">IFERROR(__xludf.DUMMYFUNCTION("""COMPUTED_VALUE"""),"Marineland AP truck")</f>
        <v>Marineland AP truck</v>
      </c>
      <c r="N679" t="str">
        <f ca="1">IFERROR(__xludf.DUMMYFUNCTION("""COMPUTED_VALUE"""),"Pam Marcum, (480) 332-5414")</f>
        <v>Pam Marcum, (480) 332-5414</v>
      </c>
      <c r="O679" t="str">
        <f ca="1">IFERROR(__xludf.DUMMYFUNCTION("""COMPUTED_VALUE"""),"Allix North")</f>
        <v>Allix North</v>
      </c>
      <c r="P679" t="str">
        <f ca="1">IFERROR(__xludf.DUMMYFUNCTION("""COMPUTED_VALUE"""),"Pam")</f>
        <v>Pam</v>
      </c>
      <c r="Q679" t="str">
        <f ca="1">IFERROR(__xludf.DUMMYFUNCTION("""COMPUTED_VALUE"""),"All items in working order")</f>
        <v>All items in working order</v>
      </c>
      <c r="AE679" s="11"/>
      <c r="AF679" t="str">
        <v>Nikki.Dix@floridadep.gov</v>
      </c>
      <c r="AG679" s="17" t="s">
        <v>41</v>
      </c>
      <c r="AH679" s="12">
        <v>833</v>
      </c>
      <c r="AI679" s="12" t="s">
        <v>1991</v>
      </c>
      <c r="AJ679" s="19" t="s">
        <v>1992</v>
      </c>
      <c r="AK679" s="20" t="str">
        <f>HYPERLINK("https://docs.google.com/document/d/1MhDUCG80v0Brcr6OO5iaJpQMB3G1L1mtGvU2n3_UN4s/edit?usp=drivesdk","Pamela Marcum - 6/8/2021 6:30 AM")</f>
        <v>Pamela Marcum - 6/8/2021 6:30 AM</v>
      </c>
      <c r="AL679" s="12" t="s">
        <v>1993</v>
      </c>
    </row>
    <row r="680" spans="1:38" ht="12.75">
      <c r="A680" s="10">
        <f ca="1">IFERROR(__xludf.DUMMYFUNCTION("""COMPUTED_VALUE"""),44355.3130798032)</f>
        <v>44355.3130798032</v>
      </c>
      <c r="B680" s="11" t="str">
        <f ca="1">IFERROR(__xludf.DUMMYFUNCTION("""COMPUTED_VALUE"""),"Alexandria Knoell")</f>
        <v>Alexandria Knoell</v>
      </c>
      <c r="C680" t="str">
        <f ca="1">IFERROR(__xludf.DUMMYFUNCTION("""COMPUTED_VALUE"""),"aknoell@hotmail.com")</f>
        <v>aknoell@hotmail.com</v>
      </c>
      <c r="D680" t="str">
        <f ca="1">IFERROR(__xludf.DUMMYFUNCTION("""COMPUTED_VALUE"""),"Nikki Dix")</f>
        <v>Nikki Dix</v>
      </c>
      <c r="E680" t="str">
        <f ca="1">IFERROR(__xludf.DUMMYFUNCTION("""COMPUTED_VALUE"""),"Vilano")</f>
        <v>Vilano</v>
      </c>
      <c r="F680" s="13">
        <f ca="1">IFERROR(__xludf.DUMMYFUNCTION("""COMPUTED_VALUE"""),0.322916666667879)</f>
        <v>0.32291666666787899</v>
      </c>
      <c r="G680" s="14">
        <f ca="1">IFERROR(__xludf.DUMMYFUNCTION("""COMPUTED_VALUE"""),44355)</f>
        <v>44355</v>
      </c>
      <c r="H680" t="str">
        <f ca="1">IFERROR(__xludf.DUMMYFUNCTION("""COMPUTED_VALUE"""),"SWMP stations ")</f>
        <v xml:space="preserve">SWMP stations </v>
      </c>
      <c r="I680" s="15">
        <f ca="1">IFERROR(__xludf.DUMMYFUNCTION("""COMPUTED_VALUE"""),0.541666666667879)</f>
        <v>0.54166666666787899</v>
      </c>
      <c r="J680" s="16">
        <f ca="1">IFERROR(__xludf.DUMMYFUNCTION("""COMPUTED_VALUE"""),44355.5729166666)</f>
        <v>44355.572916666599</v>
      </c>
      <c r="K680" t="str">
        <f ca="1">IFERROR(__xludf.DUMMYFUNCTION("""COMPUTED_VALUE"""),"23ft Skiff (Bertha) FL7972LJ DEP07613")</f>
        <v>23ft Skiff (Bertha) FL7972LJ DEP07613</v>
      </c>
      <c r="M680" t="str">
        <f ca="1">IFERROR(__xludf.DUMMYFUNCTION("""COMPUTED_VALUE"""),"Ford F150 2015 (White) - DEP21448")</f>
        <v>Ford F150 2015 (White) - DEP21448</v>
      </c>
      <c r="N680" t="str">
        <f ca="1">IFERROR(__xludf.DUMMYFUNCTION("""COMPUTED_VALUE"""),"Silas Tanner, (904) 483-8423")</f>
        <v>Silas Tanner, (904) 483-8423</v>
      </c>
      <c r="O680" t="str">
        <f ca="1">IFERROR(__xludf.DUMMYFUNCTION("""COMPUTED_VALUE"""),"Alee Knoell, (619) 750-4833, Ashley R")</f>
        <v>Alee Knoell, (619) 750-4833, Ashley R</v>
      </c>
      <c r="P680" t="str">
        <f ca="1">IFERROR(__xludf.DUMMYFUNCTION("""COMPUTED_VALUE"""),"Silas tanner ")</f>
        <v xml:space="preserve">Silas tanner </v>
      </c>
      <c r="Q680" t="str">
        <f ca="1">IFERROR(__xludf.DUMMYFUNCTION("""COMPUTED_VALUE"""),"All items in working order")</f>
        <v>All items in working order</v>
      </c>
      <c r="AE680" s="11"/>
      <c r="AF680" t="str">
        <v>Nikki.Dix@floridadep.gov</v>
      </c>
      <c r="AG680" s="17" t="s">
        <v>41</v>
      </c>
      <c r="AH680" s="12">
        <v>1250</v>
      </c>
      <c r="AI680" s="12" t="s">
        <v>1994</v>
      </c>
      <c r="AJ680" s="19" t="s">
        <v>1995</v>
      </c>
      <c r="AK680" s="20" t="str">
        <f>HYPERLINK("https://docs.google.com/document/d/1zC7icpZm6yNw-ML3h72vj-DHn7e8tsTP-avrs4nv6IU/edit?usp=drivesdk","Alexandria Knoell - 6/8/2021 7:45 AM")</f>
        <v>Alexandria Knoell - 6/8/2021 7:45 AM</v>
      </c>
      <c r="AL680" s="12" t="s">
        <v>1996</v>
      </c>
    </row>
    <row r="681" spans="1:38" ht="12.75">
      <c r="A681" s="10">
        <f ca="1">IFERROR(__xludf.DUMMYFUNCTION("""COMPUTED_VALUE"""),44356.2596123495)</f>
        <v>44356.259612349502</v>
      </c>
      <c r="B681" s="11" t="str">
        <f ca="1">IFERROR(__xludf.DUMMYFUNCTION("""COMPUTED_VALUE"""),"Pam Marcum")</f>
        <v>Pam Marcum</v>
      </c>
      <c r="C681" t="str">
        <f ca="1">IFERROR(__xludf.DUMMYFUNCTION("""COMPUTED_VALUE"""),"pamela.marcum@floridadep.gov")</f>
        <v>pamela.marcum@floridadep.gov</v>
      </c>
      <c r="D681" t="str">
        <f ca="1">IFERROR(__xludf.DUMMYFUNCTION("""COMPUTED_VALUE"""),"Nikki Dix")</f>
        <v>Nikki Dix</v>
      </c>
      <c r="E681" t="str">
        <f ca="1">IFERROR(__xludf.DUMMYFUNCTION("""COMPUTED_VALUE"""),"Faver-Dykes")</f>
        <v>Faver-Dykes</v>
      </c>
      <c r="F681" s="13">
        <f ca="1">IFERROR(__xludf.DUMMYFUNCTION("""COMPUTED_VALUE"""),0.260416666667879)</f>
        <v>0.26041666666787899</v>
      </c>
      <c r="G681" s="14">
        <f ca="1">IFERROR(__xludf.DUMMYFUNCTION("""COMPUTED_VALUE"""),44356)</f>
        <v>44356</v>
      </c>
      <c r="H681" t="str">
        <f ca="1">IFERROR(__xludf.DUMMYFUNCTION("""COMPUTED_VALUE"""),"Middle Pellicer Creek")</f>
        <v>Middle Pellicer Creek</v>
      </c>
      <c r="I681" s="15">
        <f ca="1">IFERROR(__xludf.DUMMYFUNCTION("""COMPUTED_VALUE"""),0.375)</f>
        <v>0.375</v>
      </c>
      <c r="J681" s="16">
        <f ca="1">IFERROR(__xludf.DUMMYFUNCTION("""COMPUTED_VALUE"""),44356.3958333333)</f>
        <v>44356.395833333299</v>
      </c>
      <c r="K681" t="str">
        <f ca="1">IFERROR(__xludf.DUMMYFUNCTION("""COMPUTED_VALUE"""),"20ft Sea Ark FL5351SJ UNF 2015")</f>
        <v>20ft Sea Ark FL5351SJ UNF 2015</v>
      </c>
      <c r="M681" t="str">
        <f ca="1">IFERROR(__xludf.DUMMYFUNCTION("""COMPUTED_VALUE"""),"Marineland AP truck")</f>
        <v>Marineland AP truck</v>
      </c>
      <c r="N681" t="str">
        <f ca="1">IFERROR(__xludf.DUMMYFUNCTION("""COMPUTED_VALUE"""),"Pam Marcum, (480) 332-5414")</f>
        <v>Pam Marcum, (480) 332-5414</v>
      </c>
      <c r="O681" t="str">
        <f ca="1">IFERROR(__xludf.DUMMYFUNCTION("""COMPUTED_VALUE"""),"Allix North")</f>
        <v>Allix North</v>
      </c>
      <c r="P681" t="str">
        <f ca="1">IFERROR(__xludf.DUMMYFUNCTION("""COMPUTED_VALUE"""),"Pam")</f>
        <v>Pam</v>
      </c>
      <c r="Q681" t="str">
        <f ca="1">IFERROR(__xludf.DUMMYFUNCTION("""COMPUTED_VALUE"""),"All items in working order")</f>
        <v>All items in working order</v>
      </c>
      <c r="AE681" s="11"/>
      <c r="AF681" t="str">
        <v>Nikki.Dix@floridadep.gov</v>
      </c>
      <c r="AG681" s="17" t="s">
        <v>41</v>
      </c>
      <c r="AH681" s="12">
        <v>800</v>
      </c>
      <c r="AI681" s="12" t="s">
        <v>1997</v>
      </c>
      <c r="AJ681" s="19" t="s">
        <v>1998</v>
      </c>
      <c r="AK681" s="20" t="str">
        <f>HYPERLINK("https://docs.google.com/document/d/1i68mLHJDHXNCzhURt3YtetfOjf4I85zzPmJ7Z6D1lkM/edit?usp=drivesdk","Pam Marcum - 6/9/2021 6:15 AM")</f>
        <v>Pam Marcum - 6/9/2021 6:15 AM</v>
      </c>
      <c r="AL681" s="12" t="s">
        <v>1999</v>
      </c>
    </row>
    <row r="682" spans="1:38" ht="12.75">
      <c r="A682" s="10">
        <f ca="1">IFERROR(__xludf.DUMMYFUNCTION("""COMPUTED_VALUE"""),44357.2845134722)</f>
        <v>44357.284513472201</v>
      </c>
      <c r="B682" s="11" t="str">
        <f ca="1">IFERROR(__xludf.DUMMYFUNCTION("""COMPUTED_VALUE"""),"Pam Marcum")</f>
        <v>Pam Marcum</v>
      </c>
      <c r="C682" t="str">
        <f ca="1">IFERROR(__xludf.DUMMYFUNCTION("""COMPUTED_VALUE"""),"pamela.marcum@floridadep.gov")</f>
        <v>pamela.marcum@floridadep.gov</v>
      </c>
      <c r="D682" t="str">
        <f ca="1">IFERROR(__xludf.DUMMYFUNCTION("""COMPUTED_VALUE"""),"Nikki Dix")</f>
        <v>Nikki Dix</v>
      </c>
      <c r="E682" t="str">
        <f ca="1">IFERROR(__xludf.DUMMYFUNCTION("""COMPUTED_VALUE"""),"Faver-Dykes")</f>
        <v>Faver-Dykes</v>
      </c>
      <c r="F682" s="13">
        <f ca="1">IFERROR(__xludf.DUMMYFUNCTION("""COMPUTED_VALUE"""),0.28125)</f>
        <v>0.28125</v>
      </c>
      <c r="G682" s="14">
        <f ca="1">IFERROR(__xludf.DUMMYFUNCTION("""COMPUTED_VALUE"""),44357)</f>
        <v>44357</v>
      </c>
      <c r="H682" t="str">
        <f ca="1">IFERROR(__xludf.DUMMYFUNCTION("""COMPUTED_VALUE"""),"Lower pellicer creek")</f>
        <v>Lower pellicer creek</v>
      </c>
      <c r="I682" s="15">
        <f ca="1">IFERROR(__xludf.DUMMYFUNCTION("""COMPUTED_VALUE"""),0.375)</f>
        <v>0.375</v>
      </c>
      <c r="J682" s="16">
        <f ca="1">IFERROR(__xludf.DUMMYFUNCTION("""COMPUTED_VALUE"""),44357.3958333333)</f>
        <v>44357.395833333299</v>
      </c>
      <c r="K682" t="str">
        <f ca="1">IFERROR(__xludf.DUMMYFUNCTION("""COMPUTED_VALUE"""),"20ft Sea Ark FL5351SJ UNF 2015")</f>
        <v>20ft Sea Ark FL5351SJ UNF 2015</v>
      </c>
      <c r="M682" t="str">
        <f ca="1">IFERROR(__xludf.DUMMYFUNCTION("""COMPUTED_VALUE"""),"ML AP F150")</f>
        <v>ML AP F150</v>
      </c>
      <c r="N682" t="str">
        <f ca="1">IFERROR(__xludf.DUMMYFUNCTION("""COMPUTED_VALUE"""),"Pam Marcum, (480) 332-5414")</f>
        <v>Pam Marcum, (480) 332-5414</v>
      </c>
      <c r="O682" t="str">
        <f ca="1">IFERROR(__xludf.DUMMYFUNCTION("""COMPUTED_VALUE"""),"Allix North")</f>
        <v>Allix North</v>
      </c>
      <c r="P682" t="str">
        <f ca="1">IFERROR(__xludf.DUMMYFUNCTION("""COMPUTED_VALUE"""),"Pam")</f>
        <v>Pam</v>
      </c>
      <c r="Q682" t="str">
        <f ca="1">IFERROR(__xludf.DUMMYFUNCTION("""COMPUTED_VALUE"""),"All items in working order")</f>
        <v>All items in working order</v>
      </c>
      <c r="AE682" s="11"/>
      <c r="AF682" t="str">
        <v>Nikki.Dix@floridadep.gov</v>
      </c>
      <c r="AG682" s="17" t="s">
        <v>41</v>
      </c>
      <c r="AH682" s="12">
        <v>806</v>
      </c>
      <c r="AI682" s="12" t="s">
        <v>2000</v>
      </c>
      <c r="AJ682" s="19" t="s">
        <v>2001</v>
      </c>
      <c r="AK682" s="20" t="str">
        <f>HYPERLINK("https://docs.google.com/document/d/1GxIs9p5uXK7zmSAlxjBRO0VxTiyBWhyxQkf29B3ufqI/edit?usp=drivesdk","Pam Marcum - 6/10/2021 6:45 AM")</f>
        <v>Pam Marcum - 6/10/2021 6:45 AM</v>
      </c>
      <c r="AL682" s="12" t="s">
        <v>2002</v>
      </c>
    </row>
    <row r="683" spans="1:38" ht="12.75">
      <c r="A683" s="10">
        <f ca="1">IFERROR(__xludf.DUMMYFUNCTION("""COMPUTED_VALUE"""),44361.3578292476)</f>
        <v>44361.357829247601</v>
      </c>
      <c r="B683" s="11" t="str">
        <f ca="1">IFERROR(__xludf.DUMMYFUNCTION("""COMPUTED_VALUE"""),"Alexandria Knoell")</f>
        <v>Alexandria Knoell</v>
      </c>
      <c r="C683" t="str">
        <f ca="1">IFERROR(__xludf.DUMMYFUNCTION("""COMPUTED_VALUE"""),"aknoell@floridadep.gov")</f>
        <v>aknoell@floridadep.gov</v>
      </c>
      <c r="D683" t="str">
        <f ca="1">IFERROR(__xludf.DUMMYFUNCTION("""COMPUTED_VALUE"""),"Silas Tanner")</f>
        <v>Silas Tanner</v>
      </c>
      <c r="E683" t="str">
        <f ca="1">IFERROR(__xludf.DUMMYFUNCTION("""COMPUTED_VALUE"""),"Faver dykes")</f>
        <v>Faver dykes</v>
      </c>
      <c r="F683" s="13">
        <f ca="1">IFERROR(__xludf.DUMMYFUNCTION("""COMPUTED_VALUE"""),0.354166666667879)</f>
        <v>0.35416666666787899</v>
      </c>
      <c r="G683" s="14">
        <f ca="1">IFERROR(__xludf.DUMMYFUNCTION("""COMPUTED_VALUE"""),44361)</f>
        <v>44361</v>
      </c>
      <c r="H683" t="str">
        <f ca="1">IFERROR(__xludf.DUMMYFUNCTION("""COMPUTED_VALUE"""),"Ssam 1 transects")</f>
        <v>Ssam 1 transects</v>
      </c>
      <c r="I683" s="15">
        <f ca="1">IFERROR(__xludf.DUMMYFUNCTION("""COMPUTED_VALUE"""),0.5)</f>
        <v>0.5</v>
      </c>
      <c r="J683" s="16">
        <f ca="1">IFERROR(__xludf.DUMMYFUNCTION("""COMPUTED_VALUE"""),44361.5625)</f>
        <v>44361.5625</v>
      </c>
      <c r="K683" t="str">
        <f ca="1">IFERROR(__xludf.DUMMYFUNCTION("""COMPUTED_VALUE"""),"20ft Sea Ark FL5351SJ UNF 2015")</f>
        <v>20ft Sea Ark FL5351SJ UNF 2015</v>
      </c>
      <c r="M683" t="str">
        <f ca="1">IFERROR(__xludf.DUMMYFUNCTION("""COMPUTED_VALUE"""),"Ford F150 2015 (White) - DEP21448")</f>
        <v>Ford F150 2015 (White) - DEP21448</v>
      </c>
      <c r="N683" t="str">
        <f ca="1">IFERROR(__xludf.DUMMYFUNCTION("""COMPUTED_VALUE"""),"Pam Marcum, (480) 332-5414")</f>
        <v>Pam Marcum, (480) 332-5414</v>
      </c>
      <c r="O683" t="str">
        <f ca="1">IFERROR(__xludf.DUMMYFUNCTION("""COMPUTED_VALUE"""),"Alee Knoell, (619) 750-4833, Molly, Olivia")</f>
        <v>Alee Knoell, (619) 750-4833, Molly, Olivia</v>
      </c>
      <c r="P683" t="str">
        <f ca="1">IFERROR(__xludf.DUMMYFUNCTION("""COMPUTED_VALUE"""),"Pam")</f>
        <v>Pam</v>
      </c>
      <c r="Q683" t="str">
        <f ca="1">IFERROR(__xludf.DUMMYFUNCTION("""COMPUTED_VALUE"""),"All items in working order")</f>
        <v>All items in working order</v>
      </c>
      <c r="AE683" s="11"/>
      <c r="AF683" t="str">
        <v>Silas.Tanner@floridadep.gov</v>
      </c>
      <c r="AG683" s="17" t="s">
        <v>1568</v>
      </c>
      <c r="AH683" s="12">
        <v>1205</v>
      </c>
      <c r="AI683" s="12" t="s">
        <v>2003</v>
      </c>
      <c r="AJ683" s="19" t="s">
        <v>2004</v>
      </c>
      <c r="AK683" s="20" t="str">
        <f>HYPERLINK("https://docs.google.com/document/d/1B6B6QtkGCAY1L3PnzTUl2BQ-wHzBgYmWN4hIEw06Ra4/edit?usp=drivesdk","Alexandria Knoell - 6/14/2021 8:30 AM")</f>
        <v>Alexandria Knoell - 6/14/2021 8:30 AM</v>
      </c>
      <c r="AL683" s="12" t="s">
        <v>2005</v>
      </c>
    </row>
    <row r="684" spans="1:38" ht="12.75">
      <c r="A684" s="10">
        <f ca="1">IFERROR(__xludf.DUMMYFUNCTION("""COMPUTED_VALUE"""),44362.3322087152)</f>
        <v>44362.332208715197</v>
      </c>
      <c r="B684" s="11" t="str">
        <f ca="1">IFERROR(__xludf.DUMMYFUNCTION("""COMPUTED_VALUE"""),"Pam Marcum")</f>
        <v>Pam Marcum</v>
      </c>
      <c r="C684" t="str">
        <f ca="1">IFERROR(__xludf.DUMMYFUNCTION("""COMPUTED_VALUE"""),"Pamela.Marcum@FloridaDEP.gov")</f>
        <v>Pamela.Marcum@FloridaDEP.gov</v>
      </c>
      <c r="D684" t="str">
        <f ca="1">IFERROR(__xludf.DUMMYFUNCTION("""COMPUTED_VALUE"""),"Silas Tanner")</f>
        <v>Silas Tanner</v>
      </c>
      <c r="E684" t="str">
        <f ca="1">IFERROR(__xludf.DUMMYFUNCTION("""COMPUTED_VALUE"""),"Faver-Dykes")</f>
        <v>Faver-Dykes</v>
      </c>
      <c r="F684" s="13">
        <f ca="1">IFERROR(__xludf.DUMMYFUNCTION("""COMPUTED_VALUE"""),0.375)</f>
        <v>0.375</v>
      </c>
      <c r="G684" s="14">
        <f ca="1">IFERROR(__xludf.DUMMYFUNCTION("""COMPUTED_VALUE"""),44362)</f>
        <v>44362</v>
      </c>
      <c r="H684" t="str">
        <f ca="1">IFERROR(__xludf.DUMMYFUNCTION("""COMPUTED_VALUE"""),"Upper Pellicer Creek")</f>
        <v>Upper Pellicer Creek</v>
      </c>
      <c r="I684" s="15">
        <f ca="1">IFERROR(__xludf.DUMMYFUNCTION("""COMPUTED_VALUE"""),0)</f>
        <v>0</v>
      </c>
      <c r="J684" s="16">
        <f ca="1">IFERROR(__xludf.DUMMYFUNCTION("""COMPUTED_VALUE"""),44362.5625)</f>
        <v>44362.5625</v>
      </c>
      <c r="K684" t="str">
        <f ca="1">IFERROR(__xludf.DUMMYFUNCTION("""COMPUTED_VALUE"""),"20ft Sea Ark FL5351SJ UNF 2015")</f>
        <v>20ft Sea Ark FL5351SJ UNF 2015</v>
      </c>
      <c r="M684" t="str">
        <f ca="1">IFERROR(__xludf.DUMMYFUNCTION("""COMPUTED_VALUE"""),"Ford F150 2015 (White) - DEP21448")</f>
        <v>Ford F150 2015 (White) - DEP21448</v>
      </c>
      <c r="N684" t="str">
        <f ca="1">IFERROR(__xludf.DUMMYFUNCTION("""COMPUTED_VALUE"""),"Pam Marcum, (480) 332-5414")</f>
        <v>Pam Marcum, (480) 332-5414</v>
      </c>
      <c r="O684" t="str">
        <f ca="1">IFERROR(__xludf.DUMMYFUNCTION("""COMPUTED_VALUE"""),"Alee Knoell, (619) 750-4833, Olivia Roorbach, Connor Kelly")</f>
        <v>Alee Knoell, (619) 750-4833, Olivia Roorbach, Connor Kelly</v>
      </c>
      <c r="P684" t="str">
        <f ca="1">IFERROR(__xludf.DUMMYFUNCTION("""COMPUTED_VALUE"""),"Pam")</f>
        <v>Pam</v>
      </c>
      <c r="Q684" t="str">
        <f ca="1">IFERROR(__xludf.DUMMYFUNCTION("""COMPUTED_VALUE"""),"All items in working order")</f>
        <v>All items in working order</v>
      </c>
      <c r="AE684" s="11"/>
      <c r="AF684" t="str">
        <v>Silas.Tanner@floridadep.gov</v>
      </c>
      <c r="AG684" s="17" t="s">
        <v>1568</v>
      </c>
      <c r="AH684" s="12">
        <v>1504</v>
      </c>
      <c r="AI684" s="12" t="s">
        <v>2006</v>
      </c>
      <c r="AJ684" s="19" t="s">
        <v>2007</v>
      </c>
      <c r="AK684" s="20" t="str">
        <f>HYPERLINK("https://docs.google.com/document/d/1gvuC5caiDoExiO12fjDGLugLCZVhCZhuajekqhHA3SM/edit?usp=drivesdk","Pam Marcum - 6/15/2021 9:00 AM")</f>
        <v>Pam Marcum - 6/15/2021 9:00 AM</v>
      </c>
      <c r="AL684" s="12" t="s">
        <v>2008</v>
      </c>
    </row>
    <row r="685" spans="1:38" ht="12.75">
      <c r="A685" s="10">
        <f ca="1">IFERROR(__xludf.DUMMYFUNCTION("""COMPUTED_VALUE"""),44363.2991996527)</f>
        <v>44363.299199652698</v>
      </c>
      <c r="B685" s="11" t="str">
        <f ca="1">IFERROR(__xludf.DUMMYFUNCTION("""COMPUTED_VALUE"""),"Silas Tanner")</f>
        <v>Silas Tanner</v>
      </c>
      <c r="C685" t="str">
        <f ca="1">IFERROR(__xludf.DUMMYFUNCTION("""COMPUTED_VALUE"""),"silas.tanner@floridadep.gov")</f>
        <v>silas.tanner@floridadep.gov</v>
      </c>
      <c r="D685" t="str">
        <f ca="1">IFERROR(__xludf.DUMMYFUNCTION("""COMPUTED_VALUE"""),"Pam Marcum")</f>
        <v>Pam Marcum</v>
      </c>
      <c r="E685" t="str">
        <f ca="1">IFERROR(__xludf.DUMMYFUNCTION("""COMPUTED_VALUE"""),"Vilano")</f>
        <v>Vilano</v>
      </c>
      <c r="F685" s="13">
        <f ca="1">IFERROR(__xludf.DUMMYFUNCTION("""COMPUTED_VALUE"""),0.3125)</f>
        <v>0.3125</v>
      </c>
      <c r="G685" s="14">
        <f ca="1">IFERROR(__xludf.DUMMYFUNCTION("""COMPUTED_VALUE"""),44363)</f>
        <v>44363</v>
      </c>
      <c r="H685" t="str">
        <f ca="1">IFERROR(__xludf.DUMMYFUNCTION("""COMPUTED_VALUE"""),"ICW SWMP Sites")</f>
        <v>ICW SWMP Sites</v>
      </c>
      <c r="I685" s="15">
        <f ca="1">IFERROR(__xludf.DUMMYFUNCTION("""COMPUTED_VALUE"""),0.572916666667879)</f>
        <v>0.57291666666787899</v>
      </c>
      <c r="J685" s="16">
        <f ca="1">IFERROR(__xludf.DUMMYFUNCTION("""COMPUTED_VALUE"""),44363.6666666666)</f>
        <v>44363.666666666599</v>
      </c>
      <c r="K685" t="str">
        <f ca="1">IFERROR(__xludf.DUMMYFUNCTION("""COMPUTED_VALUE"""),"20ft Sea Ark FL5351SJ UNF 2015")</f>
        <v>20ft Sea Ark FL5351SJ UNF 2015</v>
      </c>
      <c r="M685" t="str">
        <f ca="1">IFERROR(__xludf.DUMMYFUNCTION("""COMPUTED_VALUE"""),"Ford F150 2015 (White) - DEP21448")</f>
        <v>Ford F150 2015 (White) - DEP21448</v>
      </c>
      <c r="N685" t="str">
        <f ca="1">IFERROR(__xludf.DUMMYFUNCTION("""COMPUTED_VALUE"""),"Silas Tanner, (904) 483-8423")</f>
        <v>Silas Tanner, (904) 483-8423</v>
      </c>
      <c r="O685" t="str">
        <f ca="1">IFERROR(__xludf.DUMMYFUNCTION("""COMPUTED_VALUE"""),"Kayla Hughes")</f>
        <v>Kayla Hughes</v>
      </c>
      <c r="P685" t="str">
        <f ca="1">IFERROR(__xludf.DUMMYFUNCTION("""COMPUTED_VALUE"""),"Silas Tanner")</f>
        <v>Silas Tanner</v>
      </c>
      <c r="Q685" t="str">
        <f ca="1">IFERROR(__xludf.DUMMYFUNCTION("""COMPUTED_VALUE"""),"All items in working order")</f>
        <v>All items in working order</v>
      </c>
      <c r="AE685" s="11"/>
      <c r="AF685" t="str">
        <v>Pamela.Marcum@floridadep.gov</v>
      </c>
      <c r="AG685" s="17" t="s">
        <v>139</v>
      </c>
      <c r="AH685" s="12">
        <v>1040</v>
      </c>
      <c r="AI685" s="12" t="s">
        <v>2009</v>
      </c>
      <c r="AJ685" s="19" t="s">
        <v>2010</v>
      </c>
      <c r="AK685" s="20" t="str">
        <f>HYPERLINK("https://docs.google.com/document/d/13wQtzPBxDz9vVoPf8NMtxXTTHP3iJk71Maci3COefXs/edit?usp=drivesdk","Silas Tanner - 6/16/2021 7:30 AM")</f>
        <v>Silas Tanner - 6/16/2021 7:30 AM</v>
      </c>
      <c r="AL685" s="12" t="s">
        <v>2011</v>
      </c>
    </row>
    <row r="686" spans="1:38" ht="12.75">
      <c r="A686" s="10">
        <f ca="1">IFERROR(__xludf.DUMMYFUNCTION("""COMPUTED_VALUE"""),44365.2703520023)</f>
        <v>44365.270352002299</v>
      </c>
      <c r="B686" s="11" t="str">
        <f ca="1">IFERROR(__xludf.DUMMYFUNCTION("""COMPUTED_VALUE"""),"Pamela Marcum")</f>
        <v>Pamela Marcum</v>
      </c>
      <c r="C686" t="str">
        <f ca="1">IFERROR(__xludf.DUMMYFUNCTION("""COMPUTED_VALUE"""),"Pamela.Marcum@FloridaDEP.gov")</f>
        <v>Pamela.Marcum@FloridaDEP.gov</v>
      </c>
      <c r="D686" t="str">
        <f ca="1">IFERROR(__xludf.DUMMYFUNCTION("""COMPUTED_VALUE"""),"Katie Petrinec")</f>
        <v>Katie Petrinec</v>
      </c>
      <c r="E686" t="str">
        <f ca="1">IFERROR(__xludf.DUMMYFUNCTION("""COMPUTED_VALUE"""),"Faver-Dykes")</f>
        <v>Faver-Dykes</v>
      </c>
      <c r="F686" s="13">
        <f ca="1">IFERROR(__xludf.DUMMYFUNCTION("""COMPUTED_VALUE"""),0.3125)</f>
        <v>0.3125</v>
      </c>
      <c r="G686" s="14">
        <f ca="1">IFERROR(__xludf.DUMMYFUNCTION("""COMPUTED_VALUE"""),44365)</f>
        <v>44365</v>
      </c>
      <c r="H686" t="str">
        <f ca="1">IFERROR(__xludf.DUMMYFUNCTION("""COMPUTED_VALUE"""),"Pellicer Creek")</f>
        <v>Pellicer Creek</v>
      </c>
      <c r="I686" s="15">
        <f ca="1">IFERROR(__xludf.DUMMYFUNCTION("""COMPUTED_VALUE"""),0.625)</f>
        <v>0.625</v>
      </c>
      <c r="J686" s="16">
        <f ca="1">IFERROR(__xludf.DUMMYFUNCTION("""COMPUTED_VALUE"""),44365.6666666666)</f>
        <v>44365.666666666599</v>
      </c>
      <c r="K686" t="str">
        <f ca="1">IFERROR(__xludf.DUMMYFUNCTION("""COMPUTED_VALUE"""),"20ft Sea Ark FL5351SJ UNF 2015")</f>
        <v>20ft Sea Ark FL5351SJ UNF 2015</v>
      </c>
      <c r="M686" t="str">
        <f ca="1">IFERROR(__xludf.DUMMYFUNCTION("""COMPUTED_VALUE"""),"Ford F150 2015 (White) - DEP21448")</f>
        <v>Ford F150 2015 (White) - DEP21448</v>
      </c>
      <c r="N686" t="str">
        <f ca="1">IFERROR(__xludf.DUMMYFUNCTION("""COMPUTED_VALUE"""),"Pam Marcum, (480) 332-5414")</f>
        <v>Pam Marcum, (480) 332-5414</v>
      </c>
      <c r="O686" t="str">
        <f ca="1">IFERROR(__xludf.DUMMYFUNCTION("""COMPUTED_VALUE"""),"Alee Knoell, (619) 750-4833, Olivia Roorbach")</f>
        <v>Alee Knoell, (619) 750-4833, Olivia Roorbach</v>
      </c>
      <c r="P686" t="str">
        <f ca="1">IFERROR(__xludf.DUMMYFUNCTION("""COMPUTED_VALUE"""),"Pam")</f>
        <v>Pam</v>
      </c>
      <c r="Q686" t="str">
        <f ca="1">IFERROR(__xludf.DUMMYFUNCTION("""COMPUTED_VALUE"""),"All items in working order")</f>
        <v>All items in working order</v>
      </c>
      <c r="AE686" s="11"/>
      <c r="AF686" t="str">
        <v>Kathryn.Petrinec@floridadep.gov</v>
      </c>
      <c r="AG686" s="17" t="s">
        <v>1764</v>
      </c>
      <c r="AH686" s="12">
        <v>1330</v>
      </c>
      <c r="AI686" s="12" t="s">
        <v>2012</v>
      </c>
      <c r="AJ686" s="19" t="s">
        <v>2013</v>
      </c>
      <c r="AK686" s="20" t="str">
        <f>HYPERLINK("https://docs.google.com/document/d/1hed7KvFcn3BsHc1lgAORkSljv9JYt2q2ixsyaM6glHU/edit?usp=drivesdk","Pamela Marcum - 6/18/2021 7:30 AM")</f>
        <v>Pamela Marcum - 6/18/2021 7:30 AM</v>
      </c>
      <c r="AL686" s="12" t="s">
        <v>2014</v>
      </c>
    </row>
    <row r="687" spans="1:38" ht="12.75">
      <c r="A687" s="10">
        <f ca="1">IFERROR(__xludf.DUMMYFUNCTION("""COMPUTED_VALUE"""),44375.3637062384)</f>
        <v>44375.3637062384</v>
      </c>
      <c r="B687" s="11" t="str">
        <f ca="1">IFERROR(__xludf.DUMMYFUNCTION("""COMPUTED_VALUE"""),"Alexandria Knoell")</f>
        <v>Alexandria Knoell</v>
      </c>
      <c r="C687" t="str">
        <f ca="1">IFERROR(__xludf.DUMMYFUNCTION("""COMPUTED_VALUE"""),"alee.knoell@floridadep.gov")</f>
        <v>alee.knoell@floridadep.gov</v>
      </c>
      <c r="D687" t="str">
        <f ca="1">IFERROR(__xludf.DUMMYFUNCTION("""COMPUTED_VALUE"""),"Nikki Dix")</f>
        <v>Nikki Dix</v>
      </c>
      <c r="E687" t="str">
        <f ca="1">IFERROR(__xludf.DUMMYFUNCTION("""COMPUTED_VALUE"""),"Aunt kates")</f>
        <v>Aunt kates</v>
      </c>
      <c r="F687" s="13">
        <f ca="1">IFERROR(__xludf.DUMMYFUNCTION("""COMPUTED_VALUE"""),0.375)</f>
        <v>0.375</v>
      </c>
      <c r="G687" s="14">
        <f ca="1">IFERROR(__xludf.DUMMYFUNCTION("""COMPUTED_VALUE"""),44375)</f>
        <v>44375</v>
      </c>
      <c r="H687" t="str">
        <f ca="1">IFERROR(__xludf.DUMMYFUNCTION("""COMPUTED_VALUE"""),"Training")</f>
        <v>Training</v>
      </c>
      <c r="I687" s="15">
        <f ca="1">IFERROR(__xludf.DUMMYFUNCTION("""COMPUTED_VALUE"""),0.48958333333212)</f>
        <v>0.48958333333212001</v>
      </c>
      <c r="J687" s="16">
        <f ca="1">IFERROR(__xludf.DUMMYFUNCTION("""COMPUTED_VALUE"""),44375.5)</f>
        <v>44375.5</v>
      </c>
      <c r="K687" t="str">
        <f ca="1">IFERROR(__xludf.DUMMYFUNCTION("""COMPUTED_VALUE"""),"20ft Sea Ark FL5351SJ UNF 2015")</f>
        <v>20ft Sea Ark FL5351SJ UNF 2015</v>
      </c>
      <c r="M687" t="str">
        <f ca="1">IFERROR(__xludf.DUMMYFUNCTION("""COMPUTED_VALUE"""),"Ford F150 2015 (White) - DEP21448")</f>
        <v>Ford F150 2015 (White) - DEP21448</v>
      </c>
      <c r="N687" t="str">
        <f ca="1">IFERROR(__xludf.DUMMYFUNCTION("""COMPUTED_VALUE"""),"Pam Marcum, (480) 332-5414")</f>
        <v>Pam Marcum, (480) 332-5414</v>
      </c>
      <c r="O687" t="str">
        <f ca="1">IFERROR(__xludf.DUMMYFUNCTION("""COMPUTED_VALUE"""),"Alee Knoell, (619) 750-4833")</f>
        <v>Alee Knoell, (619) 750-4833</v>
      </c>
      <c r="P687" t="str">
        <f ca="1">IFERROR(__xludf.DUMMYFUNCTION("""COMPUTED_VALUE"""),"Pam Marcum")</f>
        <v>Pam Marcum</v>
      </c>
      <c r="Q687" t="str">
        <f ca="1">IFERROR(__xludf.DUMMYFUNCTION("""COMPUTED_VALUE"""),"All items in working order")</f>
        <v>All items in working order</v>
      </c>
      <c r="AE687" s="11"/>
      <c r="AF687" t="str">
        <v>Nikki.Dix@floridadep.gov</v>
      </c>
      <c r="AG687" s="17" t="s">
        <v>41</v>
      </c>
      <c r="AH687" s="12">
        <v>1100</v>
      </c>
      <c r="AI687" s="12" t="s">
        <v>2015</v>
      </c>
      <c r="AJ687" s="19" t="s">
        <v>2016</v>
      </c>
      <c r="AK687" s="20" t="str">
        <f>HYPERLINK("https://docs.google.com/document/d/1DTuAK5qRGgWYbUbBaRiKz06NBbtl_a8ZdN6wbZqmm4s/edit?usp=drivesdk","Alexandria Knoell - 6/28/2021 9:00 AM")</f>
        <v>Alexandria Knoell - 6/28/2021 9:00 AM</v>
      </c>
      <c r="AL687" s="12" t="s">
        <v>2017</v>
      </c>
    </row>
    <row r="688" spans="1:38" ht="12.75">
      <c r="A688" s="10">
        <f ca="1">IFERROR(__xludf.DUMMYFUNCTION("""COMPUTED_VALUE"""),44376.4939014814)</f>
        <v>44376.493901481401</v>
      </c>
      <c r="B688" s="11" t="str">
        <f ca="1">IFERROR(__xludf.DUMMYFUNCTION("""COMPUTED_VALUE"""),"Olivia Roorbach")</f>
        <v>Olivia Roorbach</v>
      </c>
      <c r="C688" t="str">
        <f ca="1">IFERROR(__xludf.DUMMYFUNCTION("""COMPUTED_VALUE"""),"olivia.roorbach@floridadep.gov")</f>
        <v>olivia.roorbach@floridadep.gov</v>
      </c>
      <c r="D688" t="str">
        <f ca="1">IFERROR(__xludf.DUMMYFUNCTION("""COMPUTED_VALUE"""),"Nikki Dix")</f>
        <v>Nikki Dix</v>
      </c>
      <c r="E688" t="str">
        <f ca="1">IFERROR(__xludf.DUMMYFUNCTION("""COMPUTED_VALUE"""),"Guana Dam")</f>
        <v>Guana Dam</v>
      </c>
      <c r="F688" s="13">
        <f ca="1">IFERROR(__xludf.DUMMYFUNCTION("""COMPUTED_VALUE"""),0.5)</f>
        <v>0.5</v>
      </c>
      <c r="G688" s="14">
        <f ca="1">IFERROR(__xludf.DUMMYFUNCTION("""COMPUTED_VALUE"""),44376)</f>
        <v>44376</v>
      </c>
      <c r="H688" t="str">
        <f ca="1">IFERROR(__xludf.DUMMYFUNCTION("""COMPUTED_VALUE"""),"Guana River")</f>
        <v>Guana River</v>
      </c>
      <c r="I688" s="15">
        <f ca="1">IFERROR(__xludf.DUMMYFUNCTION("""COMPUTED_VALUE"""),0.58333333333212)</f>
        <v>0.58333333333212001</v>
      </c>
      <c r="J688" s="16">
        <f ca="1">IFERROR(__xludf.DUMMYFUNCTION("""COMPUTED_VALUE"""),44376.5833333333)</f>
        <v>44376.583333333299</v>
      </c>
      <c r="K688" t="str">
        <f ca="1">IFERROR(__xludf.DUMMYFUNCTION("""COMPUTED_VALUE"""),"Jon Boat 1 FL5992RR DEP154045")</f>
        <v>Jon Boat 1 FL5992RR DEP154045</v>
      </c>
      <c r="M688" t="str">
        <f ca="1">IFERROR(__xludf.DUMMYFUNCTION("""COMPUTED_VALUE"""),"Ford F150 2015 (White) - DEP21448")</f>
        <v>Ford F150 2015 (White) - DEP21448</v>
      </c>
      <c r="N688" t="str">
        <f ca="1">IFERROR(__xludf.DUMMYFUNCTION("""COMPUTED_VALUE"""),"Pam Marcum, (480) 332-5414")</f>
        <v>Pam Marcum, (480) 332-5414</v>
      </c>
      <c r="O688" t="str">
        <f ca="1">IFERROR(__xludf.DUMMYFUNCTION("""COMPUTED_VALUE"""),"Olivia Roorbach, (404) 694-2653")</f>
        <v>Olivia Roorbach, (404) 694-2653</v>
      </c>
      <c r="P688" t="str">
        <f ca="1">IFERROR(__xludf.DUMMYFUNCTION("""COMPUTED_VALUE"""),"Olivia Roorbach")</f>
        <v>Olivia Roorbach</v>
      </c>
      <c r="Q688" t="str">
        <f ca="1">IFERROR(__xludf.DUMMYFUNCTION("""COMPUTED_VALUE"""),"All items in working order")</f>
        <v>All items in working order</v>
      </c>
      <c r="AE688" s="11"/>
      <c r="AF688" t="str">
        <v>Nikki.Dix@floridadep.gov</v>
      </c>
      <c r="AG688" s="17" t="s">
        <v>41</v>
      </c>
      <c r="AH688" s="12">
        <v>1445</v>
      </c>
      <c r="AL688" s="12" t="s">
        <v>2018</v>
      </c>
    </row>
    <row r="689" spans="1:38" ht="12.75">
      <c r="A689" s="10">
        <f ca="1">IFERROR(__xludf.DUMMYFUNCTION("""COMPUTED_VALUE"""),44377.3609931944)</f>
        <v>44377.360993194401</v>
      </c>
      <c r="B689" s="11" t="str">
        <f ca="1">IFERROR(__xludf.DUMMYFUNCTION("""COMPUTED_VALUE"""),"Silas Tanner")</f>
        <v>Silas Tanner</v>
      </c>
      <c r="C689" t="str">
        <f ca="1">IFERROR(__xludf.DUMMYFUNCTION("""COMPUTED_VALUE"""),"silas.tanner@floridadep.gov")</f>
        <v>silas.tanner@floridadep.gov</v>
      </c>
      <c r="D689" t="str">
        <f ca="1">IFERROR(__xludf.DUMMYFUNCTION("""COMPUTED_VALUE"""),"Nikki Dix")</f>
        <v>Nikki Dix</v>
      </c>
      <c r="E689" t="str">
        <f ca="1">IFERROR(__xludf.DUMMYFUNCTION("""COMPUTED_VALUE"""),"Green Rd, Villano")</f>
        <v>Green Rd, Villano</v>
      </c>
      <c r="F689" s="13">
        <f ca="1">IFERROR(__xludf.DUMMYFUNCTION("""COMPUTED_VALUE"""),0.4375)</f>
        <v>0.4375</v>
      </c>
      <c r="G689" s="14">
        <f ca="1">IFERROR(__xludf.DUMMYFUNCTION("""COMPUTED_VALUE"""),44377)</f>
        <v>44377</v>
      </c>
      <c r="H689" t="str">
        <f ca="1">IFERROR(__xludf.DUMMYFUNCTION("""COMPUTED_VALUE"""),"ICW SWMP sites")</f>
        <v>ICW SWMP sites</v>
      </c>
      <c r="I689" s="15">
        <f ca="1">IFERROR(__xludf.DUMMYFUNCTION("""COMPUTED_VALUE"""),0.64583333333212)</f>
        <v>0.64583333333212001</v>
      </c>
      <c r="J689" s="16">
        <f ca="1">IFERROR(__xludf.DUMMYFUNCTION("""COMPUTED_VALUE"""),44377.6875)</f>
        <v>44377.6875</v>
      </c>
      <c r="K689" t="str">
        <f ca="1">IFERROR(__xludf.DUMMYFUNCTION("""COMPUTED_VALUE"""),"20ft Sea Ark FL5351SJ UNF 2015")</f>
        <v>20ft Sea Ark FL5351SJ UNF 2015</v>
      </c>
      <c r="M689" t="str">
        <f ca="1">IFERROR(__xludf.DUMMYFUNCTION("""COMPUTED_VALUE"""),"Ford F150 2015 (White) - DEP21448")</f>
        <v>Ford F150 2015 (White) - DEP21448</v>
      </c>
      <c r="N689" t="str">
        <f ca="1">IFERROR(__xludf.DUMMYFUNCTION("""COMPUTED_VALUE"""),"Silas Tanner, (904) 483-8423")</f>
        <v>Silas Tanner, (904) 483-8423</v>
      </c>
      <c r="O689" t="str">
        <f ca="1">IFERROR(__xludf.DUMMYFUNCTION("""COMPUTED_VALUE"""),"Kayla Hughes")</f>
        <v>Kayla Hughes</v>
      </c>
      <c r="P689" t="str">
        <f ca="1">IFERROR(__xludf.DUMMYFUNCTION("""COMPUTED_VALUE"""),"Silas Tanner")</f>
        <v>Silas Tanner</v>
      </c>
      <c r="Q689" t="str">
        <f ca="1">IFERROR(__xludf.DUMMYFUNCTION("""COMPUTED_VALUE"""),"All items in working order")</f>
        <v>All items in working order</v>
      </c>
      <c r="AE689" s="11"/>
      <c r="AF689" t="str">
        <v>Nikki.Dix@floridadep.gov</v>
      </c>
      <c r="AG689" s="17" t="s">
        <v>41</v>
      </c>
      <c r="AH689" s="12">
        <v>1420</v>
      </c>
      <c r="AL689" s="12" t="s">
        <v>2019</v>
      </c>
    </row>
    <row r="690" spans="1:38" ht="12.75">
      <c r="A690" s="10">
        <f ca="1">IFERROR(__xludf.DUMMYFUNCTION("""COMPUTED_VALUE"""),44386.4375624999)</f>
        <v>44386.437562499901</v>
      </c>
      <c r="B690" s="11" t="str">
        <f ca="1">IFERROR(__xludf.DUMMYFUNCTION("""COMPUTED_VALUE"""),"Pam Marcum")</f>
        <v>Pam Marcum</v>
      </c>
      <c r="C690" t="str">
        <f ca="1">IFERROR(__xludf.DUMMYFUNCTION("""COMPUTED_VALUE"""),"pamela.marcum@floridadep.gov")</f>
        <v>pamela.marcum@floridadep.gov</v>
      </c>
      <c r="D690" t="str">
        <f ca="1">IFERROR(__xludf.DUMMYFUNCTION("""COMPUTED_VALUE"""),"Nikki Dix")</f>
        <v>Nikki Dix</v>
      </c>
      <c r="E690" t="str">
        <f ca="1">IFERROR(__xludf.DUMMYFUNCTION("""COMPUTED_VALUE"""),"Faver dykes")</f>
        <v>Faver dykes</v>
      </c>
      <c r="F690" s="13">
        <f ca="1">IFERROR(__xludf.DUMMYFUNCTION("""COMPUTED_VALUE"""),0.434027777777373)</f>
        <v>0.434027777777373</v>
      </c>
      <c r="G690" s="14">
        <f ca="1">IFERROR(__xludf.DUMMYFUNCTION("""COMPUTED_VALUE"""),44386)</f>
        <v>44386</v>
      </c>
      <c r="H690" t="str">
        <f ca="1">IFERROR(__xludf.DUMMYFUNCTION("""COMPUTED_VALUE"""),"Upper pellicer creek")</f>
        <v>Upper pellicer creek</v>
      </c>
      <c r="I690" s="15">
        <f ca="1">IFERROR(__xludf.DUMMYFUNCTION("""COMPUTED_VALUE"""),0.541666666667879)</f>
        <v>0.54166666666787899</v>
      </c>
      <c r="J690" s="16">
        <f ca="1">IFERROR(__xludf.DUMMYFUNCTION("""COMPUTED_VALUE"""),44386.5625)</f>
        <v>44386.5625</v>
      </c>
      <c r="K690" t="str">
        <f ca="1">IFERROR(__xludf.DUMMYFUNCTION("""COMPUTED_VALUE"""),"17ft Skiff (Marsha) FL0642GW DEP07239")</f>
        <v>17ft Skiff (Marsha) FL0642GW DEP07239</v>
      </c>
      <c r="M690" t="str">
        <f ca="1">IFERROR(__xludf.DUMMYFUNCTION("""COMPUTED_VALUE"""),"Ap explorer")</f>
        <v>Ap explorer</v>
      </c>
      <c r="N690" t="str">
        <f ca="1">IFERROR(__xludf.DUMMYFUNCTION("""COMPUTED_VALUE"""),"Pam Marcum, (480) 332-5414")</f>
        <v>Pam Marcum, (480) 332-5414</v>
      </c>
      <c r="O690" t="str">
        <f ca="1">IFERROR(__xludf.DUMMYFUNCTION("""COMPUTED_VALUE"""),"Allix north, erick rivuelta, megan mason")</f>
        <v>Allix north, erick rivuelta, megan mason</v>
      </c>
      <c r="P690" t="str">
        <f ca="1">IFERROR(__xludf.DUMMYFUNCTION("""COMPUTED_VALUE"""),"Pam")</f>
        <v>Pam</v>
      </c>
      <c r="Q690" t="str">
        <f ca="1">IFERROR(__xludf.DUMMYFUNCTION("""COMPUTED_VALUE"""),"All items in working order")</f>
        <v>All items in working order</v>
      </c>
      <c r="AE690" s="11"/>
      <c r="AF690" t="str">
        <v>Nikki.Dix@floridadep.gov</v>
      </c>
      <c r="AG690" s="17" t="s">
        <v>41</v>
      </c>
      <c r="AH690" s="12">
        <v>1330</v>
      </c>
      <c r="AI690" s="12" t="s">
        <v>2020</v>
      </c>
      <c r="AJ690" s="19" t="s">
        <v>2021</v>
      </c>
      <c r="AK690" s="20" t="str">
        <f>HYPERLINK("https://docs.google.com/document/d/1ZdmjKKdJiREnW5Ncq3ZwQuf2ZogrztDCw_xRnm51fNA/edit?usp=drivesdk","Pam Marcum - 7/9/2021 10:25 AM")</f>
        <v>Pam Marcum - 7/9/2021 10:25 AM</v>
      </c>
      <c r="AL690" s="12" t="s">
        <v>2022</v>
      </c>
    </row>
    <row r="691" spans="1:38" ht="12.75">
      <c r="A691" s="10">
        <f ca="1">IFERROR(__xludf.DUMMYFUNCTION("""COMPUTED_VALUE"""),44390.4696999074)</f>
        <v>44390.4696999074</v>
      </c>
      <c r="B691" s="11" t="str">
        <f ca="1">IFERROR(__xludf.DUMMYFUNCTION("""COMPUTED_VALUE"""),"Pam Marcum")</f>
        <v>Pam Marcum</v>
      </c>
      <c r="C691" t="str">
        <f ca="1">IFERROR(__xludf.DUMMYFUNCTION("""COMPUTED_VALUE"""),"pamela.marcum@floridadep.gov")</f>
        <v>pamela.marcum@floridadep.gov</v>
      </c>
      <c r="D691" t="str">
        <f ca="1">IFERROR(__xludf.DUMMYFUNCTION("""COMPUTED_VALUE"""),"Nikki Dix")</f>
        <v>Nikki Dix</v>
      </c>
      <c r="E691" t="str">
        <f ca="1">IFERROR(__xludf.DUMMYFUNCTION("""COMPUTED_VALUE"""),"Faver dykes")</f>
        <v>Faver dykes</v>
      </c>
      <c r="F691" s="13">
        <f ca="1">IFERROR(__xludf.DUMMYFUNCTION("""COMPUTED_VALUE"""),0.46875)</f>
        <v>0.46875</v>
      </c>
      <c r="G691" s="14">
        <f ca="1">IFERROR(__xludf.DUMMYFUNCTION("""COMPUTED_VALUE"""),44390)</f>
        <v>44390</v>
      </c>
      <c r="H691" t="str">
        <f ca="1">IFERROR(__xludf.DUMMYFUNCTION("""COMPUTED_VALUE"""),"Pellicer transects")</f>
        <v>Pellicer transects</v>
      </c>
      <c r="I691" s="15">
        <f ca="1">IFERROR(__xludf.DUMMYFUNCTION("""COMPUTED_VALUE"""),0.625)</f>
        <v>0.625</v>
      </c>
      <c r="J691" s="16">
        <f ca="1">IFERROR(__xludf.DUMMYFUNCTION("""COMPUTED_VALUE"""),44390.6458333333)</f>
        <v>44390.645833333299</v>
      </c>
      <c r="K691" t="str">
        <f ca="1">IFERROR(__xludf.DUMMYFUNCTION("""COMPUTED_VALUE"""),"17ft Skiff (Marsha) FL0642GW DEP07239")</f>
        <v>17ft Skiff (Marsha) FL0642GW DEP07239</v>
      </c>
      <c r="M691" t="str">
        <f ca="1">IFERROR(__xludf.DUMMYFUNCTION("""COMPUTED_VALUE"""),"Ap explorer")</f>
        <v>Ap explorer</v>
      </c>
      <c r="N691" t="str">
        <f ca="1">IFERROR(__xludf.DUMMYFUNCTION("""COMPUTED_VALUE"""),"Pam Marcum, (480) 332-5414")</f>
        <v>Pam Marcum, (480) 332-5414</v>
      </c>
      <c r="O691" t="str">
        <f ca="1">IFERROR(__xludf.DUMMYFUNCTION("""COMPUTED_VALUE"""),"Allix north")</f>
        <v>Allix north</v>
      </c>
      <c r="P691" t="str">
        <f ca="1">IFERROR(__xludf.DUMMYFUNCTION("""COMPUTED_VALUE"""),"Pam")</f>
        <v>Pam</v>
      </c>
      <c r="Q691" t="str">
        <f ca="1">IFERROR(__xludf.DUMMYFUNCTION("""COMPUTED_VALUE"""),"All items in working order")</f>
        <v>All items in working order</v>
      </c>
      <c r="AE691" s="11"/>
      <c r="AF691" t="str">
        <v>Nikki.Dix@floridadep.gov</v>
      </c>
      <c r="AG691" s="17" t="s">
        <v>41</v>
      </c>
      <c r="AH691" s="12">
        <v>1441</v>
      </c>
      <c r="AI691" s="12" t="s">
        <v>2023</v>
      </c>
      <c r="AJ691" s="19" t="s">
        <v>2024</v>
      </c>
      <c r="AK691" s="20" t="str">
        <f>HYPERLINK("https://docs.google.com/document/d/196g3nB_MsP2IVrGSLLlSQJL7veNpCGVYW-s9YNQQ9yQ/edit?usp=drivesdk","Pam Marcum - 7/13/2021 11:15 AM")</f>
        <v>Pam Marcum - 7/13/2021 11:15 AM</v>
      </c>
      <c r="AL691" s="12" t="s">
        <v>2025</v>
      </c>
    </row>
    <row r="692" spans="1:38" ht="12.75">
      <c r="A692" s="10">
        <f ca="1">IFERROR(__xludf.DUMMYFUNCTION("""COMPUTED_VALUE"""),44391.3088711111)</f>
        <v>44391.308871111098</v>
      </c>
      <c r="B692" s="11" t="str">
        <f ca="1">IFERROR(__xludf.DUMMYFUNCTION("""COMPUTED_VALUE"""),"Silas Tanner")</f>
        <v>Silas Tanner</v>
      </c>
      <c r="C692" t="str">
        <f ca="1">IFERROR(__xludf.DUMMYFUNCTION("""COMPUTED_VALUE"""),"silas.tanner@floridadep.gov")</f>
        <v>silas.tanner@floridadep.gov</v>
      </c>
      <c r="D692" t="str">
        <f ca="1">IFERROR(__xludf.DUMMYFUNCTION("""COMPUTED_VALUE"""),"Nikki Dix")</f>
        <v>Nikki Dix</v>
      </c>
      <c r="E692" t="str">
        <f ca="1">IFERROR(__xludf.DUMMYFUNCTION("""COMPUTED_VALUE"""),"Crane")</f>
        <v>Crane</v>
      </c>
      <c r="F692" s="13">
        <f ca="1">IFERROR(__xludf.DUMMYFUNCTION("""COMPUTED_VALUE"""),0.33333333333212)</f>
        <v>0.33333333333212001</v>
      </c>
      <c r="G692" s="14">
        <f ca="1">IFERROR(__xludf.DUMMYFUNCTION("""COMPUTED_VALUE"""),44391)</f>
        <v>44391</v>
      </c>
      <c r="H692" t="str">
        <f ca="1">IFERROR(__xludf.DUMMYFUNCTION("""COMPUTED_VALUE"""),"ICW SWMP sites")</f>
        <v>ICW SWMP sites</v>
      </c>
      <c r="I692" s="15">
        <f ca="1">IFERROR(__xludf.DUMMYFUNCTION("""COMPUTED_VALUE"""),0.58333333333212)</f>
        <v>0.58333333333212001</v>
      </c>
      <c r="J692" s="16">
        <f ca="1">IFERROR(__xludf.DUMMYFUNCTION("""COMPUTED_VALUE"""),44391.625)</f>
        <v>44391.625</v>
      </c>
      <c r="K692" t="str">
        <f ca="1">IFERROR(__xludf.DUMMYFUNCTION("""COMPUTED_VALUE"""),"20ft Sea Ark FL5351SJ UNF 2015")</f>
        <v>20ft Sea Ark FL5351SJ UNF 2015</v>
      </c>
      <c r="M692" t="str">
        <f ca="1">IFERROR(__xludf.DUMMYFUNCTION("""COMPUTED_VALUE"""),"Ford F250 2017 (Moby Dix) - DEP0021578")</f>
        <v>Ford F250 2017 (Moby Dix) - DEP0021578</v>
      </c>
      <c r="N692" t="str">
        <f ca="1">IFERROR(__xludf.DUMMYFUNCTION("""COMPUTED_VALUE"""),"Silas Tanner, (904) 483-8423")</f>
        <v>Silas Tanner, (904) 483-8423</v>
      </c>
      <c r="O692" t="str">
        <f ca="1">IFERROR(__xludf.DUMMYFUNCTION("""COMPUTED_VALUE"""),"Kayla Hughes")</f>
        <v>Kayla Hughes</v>
      </c>
      <c r="P692" t="str">
        <f ca="1">IFERROR(__xludf.DUMMYFUNCTION("""COMPUTED_VALUE"""),"Silas Tanner")</f>
        <v>Silas Tanner</v>
      </c>
      <c r="Q692" t="str">
        <f ca="1">IFERROR(__xludf.DUMMYFUNCTION("""COMPUTED_VALUE"""),"All items in working order")</f>
        <v>All items in working order</v>
      </c>
      <c r="AE692" s="11"/>
      <c r="AF692" t="str">
        <v>Nikki.Dix@floridadep.gov</v>
      </c>
      <c r="AG692" s="17" t="s">
        <v>41</v>
      </c>
      <c r="AH692" s="12">
        <v>1209</v>
      </c>
      <c r="AI692" s="12" t="s">
        <v>2026</v>
      </c>
      <c r="AJ692" s="19" t="s">
        <v>2027</v>
      </c>
      <c r="AK692" s="20" t="str">
        <f>HYPERLINK("https://docs.google.com/document/d/1Zs4KvJUKej0kkdrjCl5G6ohzBkxJFk15bC8U2eliQDI/edit?usp=drivesdk","Silas Tanner - 7/14/2021 8:00 AM")</f>
        <v>Silas Tanner - 7/14/2021 8:00 AM</v>
      </c>
      <c r="AL692" s="12" t="s">
        <v>2028</v>
      </c>
    </row>
    <row r="693" spans="1:38" ht="12.75">
      <c r="A693" s="10">
        <f ca="1">IFERROR(__xludf.DUMMYFUNCTION("""COMPUTED_VALUE"""),44391.4515884027)</f>
        <v>44391.451588402699</v>
      </c>
      <c r="B693" s="11" t="str">
        <f ca="1">IFERROR(__xludf.DUMMYFUNCTION("""COMPUTED_VALUE"""),"Alexandria Knoell")</f>
        <v>Alexandria Knoell</v>
      </c>
      <c r="C693" t="str">
        <f ca="1">IFERROR(__xludf.DUMMYFUNCTION("""COMPUTED_VALUE"""),"alee.knoell@floridadep.gov")</f>
        <v>alee.knoell@floridadep.gov</v>
      </c>
      <c r="D693" t="str">
        <f ca="1">IFERROR(__xludf.DUMMYFUNCTION("""COMPUTED_VALUE"""),"Nikki Dix")</f>
        <v>Nikki Dix</v>
      </c>
      <c r="E693" t="str">
        <f ca="1">IFERROR(__xludf.DUMMYFUNCTION("""COMPUTED_VALUE"""),"Pellicer")</f>
        <v>Pellicer</v>
      </c>
      <c r="F693" s="13">
        <f ca="1">IFERROR(__xludf.DUMMYFUNCTION("""COMPUTED_VALUE"""),0.447916666667879)</f>
        <v>0.44791666666787899</v>
      </c>
      <c r="G693" s="14">
        <f ca="1">IFERROR(__xludf.DUMMYFUNCTION("""COMPUTED_VALUE"""),44391)</f>
        <v>44391</v>
      </c>
      <c r="H693" t="str">
        <f ca="1">IFERROR(__xludf.DUMMYFUNCTION("""COMPUTED_VALUE"""),"Upper transect")</f>
        <v>Upper transect</v>
      </c>
      <c r="I693" s="15">
        <f ca="1">IFERROR(__xludf.DUMMYFUNCTION("""COMPUTED_VALUE"""),0.58333333333212)</f>
        <v>0.58333333333212001</v>
      </c>
      <c r="J693" s="16">
        <f ca="1">IFERROR(__xludf.DUMMYFUNCTION("""COMPUTED_VALUE"""),44391.6666666666)</f>
        <v>44391.666666666599</v>
      </c>
      <c r="K693" t="str">
        <f ca="1">IFERROR(__xludf.DUMMYFUNCTION("""COMPUTED_VALUE"""),"17ft Skiff (Marsha) FL0642GW DEP07239")</f>
        <v>17ft Skiff (Marsha) FL0642GW DEP07239</v>
      </c>
      <c r="M693" t="str">
        <f ca="1">IFERROR(__xludf.DUMMYFUNCTION("""COMPUTED_VALUE"""),"Ford F150 2015 (White) - DEP21448")</f>
        <v>Ford F150 2015 (White) - DEP21448</v>
      </c>
      <c r="N693" t="str">
        <f ca="1">IFERROR(__xludf.DUMMYFUNCTION("""COMPUTED_VALUE"""),"Pam Marcum, (480) 332-5414, Alee Knoell, (619) 750-4833")</f>
        <v>Pam Marcum, (480) 332-5414, Alee Knoell, (619) 750-4833</v>
      </c>
      <c r="P693" t="str">
        <f ca="1">IFERROR(__xludf.DUMMYFUNCTION("""COMPUTED_VALUE"""),"Pam marcum ")</f>
        <v xml:space="preserve">Pam marcum </v>
      </c>
      <c r="Q693" t="str">
        <f ca="1">IFERROR(__xludf.DUMMYFUNCTION("""COMPUTED_VALUE"""),"All items in working order")</f>
        <v>All items in working order</v>
      </c>
      <c r="AE693" s="11"/>
      <c r="AF693" t="str">
        <v>Nikki.Dix@floridadep.gov</v>
      </c>
      <c r="AG693" s="17" t="s">
        <v>41</v>
      </c>
      <c r="AH693" s="12">
        <v>1308</v>
      </c>
      <c r="AI693" s="12" t="s">
        <v>2029</v>
      </c>
      <c r="AJ693" s="19" t="s">
        <v>2030</v>
      </c>
      <c r="AK693" s="20" t="str">
        <f>HYPERLINK("https://docs.google.com/document/d/1ycI5xEFf1yEBO7dDvNut7gMIfOuux3hRYHJqrjI0Aik/edit?usp=drivesdk","Alexandria Knoell - 7/14/2021 10:45 AM")</f>
        <v>Alexandria Knoell - 7/14/2021 10:45 AM</v>
      </c>
      <c r="AL693" s="12" t="s">
        <v>2031</v>
      </c>
    </row>
    <row r="694" spans="1:38" ht="12.75">
      <c r="A694" s="10">
        <f ca="1">IFERROR(__xludf.DUMMYFUNCTION("""COMPUTED_VALUE"""),44392.2850839814)</f>
        <v>44392.285083981398</v>
      </c>
      <c r="B694" s="11" t="str">
        <f ca="1">IFERROR(__xludf.DUMMYFUNCTION("""COMPUTED_VALUE"""),"Pam Marcum")</f>
        <v>Pam Marcum</v>
      </c>
      <c r="C694" t="str">
        <f ca="1">IFERROR(__xludf.DUMMYFUNCTION("""COMPUTED_VALUE"""),"pamela.marcum@floridadep.gov")</f>
        <v>pamela.marcum@floridadep.gov</v>
      </c>
      <c r="D694" t="str">
        <f ca="1">IFERROR(__xludf.DUMMYFUNCTION("""COMPUTED_VALUE"""),"Pam Marcum")</f>
        <v>Pam Marcum</v>
      </c>
      <c r="E694" t="str">
        <f ca="1">IFERROR(__xludf.DUMMYFUNCTION("""COMPUTED_VALUE"""),"Shore")</f>
        <v>Shore</v>
      </c>
      <c r="F694" s="13">
        <f ca="1">IFERROR(__xludf.DUMMYFUNCTION("""COMPUTED_VALUE"""),0.28125)</f>
        <v>0.28125</v>
      </c>
      <c r="G694" s="14">
        <f ca="1">IFERROR(__xludf.DUMMYFUNCTION("""COMPUTED_VALUE"""),44392)</f>
        <v>44392</v>
      </c>
      <c r="H694" t="str">
        <f ca="1">IFERROR(__xludf.DUMMYFUNCTION("""COMPUTED_VALUE"""),"312 bridge")</f>
        <v>312 bridge</v>
      </c>
      <c r="I694" s="15">
        <f ca="1">IFERROR(__xludf.DUMMYFUNCTION("""COMPUTED_VALUE"""),0.416666666667879)</f>
        <v>0.41666666666787899</v>
      </c>
      <c r="J694" s="16">
        <f ca="1">IFERROR(__xludf.DUMMYFUNCTION("""COMPUTED_VALUE"""),44392.4583333333)</f>
        <v>44392.458333333299</v>
      </c>
      <c r="K694" t="str">
        <f ca="1">IFERROR(__xludf.DUMMYFUNCTION("""COMPUTED_VALUE"""),"17ft Skiff (Marsha) FL0642GW DEP07239")</f>
        <v>17ft Skiff (Marsha) FL0642GW DEP07239</v>
      </c>
      <c r="M694" t="str">
        <f ca="1">IFERROR(__xludf.DUMMYFUNCTION("""COMPUTED_VALUE"""),"Ford F150 2015 (White) - DEP21448")</f>
        <v>Ford F150 2015 (White) - DEP21448</v>
      </c>
      <c r="N694" t="str">
        <f ca="1">IFERROR(__xludf.DUMMYFUNCTION("""COMPUTED_VALUE"""),"Pam Marcum, (480) 332-5414")</f>
        <v>Pam Marcum, (480) 332-5414</v>
      </c>
      <c r="O694" t="str">
        <f ca="1">IFERROR(__xludf.DUMMYFUNCTION("""COMPUTED_VALUE"""),"Allix North")</f>
        <v>Allix North</v>
      </c>
      <c r="P694" t="str">
        <f ca="1">IFERROR(__xludf.DUMMYFUNCTION("""COMPUTED_VALUE"""),"Pam")</f>
        <v>Pam</v>
      </c>
      <c r="Q694" t="str">
        <f ca="1">IFERROR(__xludf.DUMMYFUNCTION("""COMPUTED_VALUE"""),"All items in working order")</f>
        <v>All items in working order</v>
      </c>
      <c r="AE694" s="11"/>
      <c r="AF694" t="str">
        <v>Pamela.Marcum@floridadep.gov</v>
      </c>
      <c r="AG694" s="17" t="s">
        <v>41</v>
      </c>
      <c r="AH694" s="12">
        <v>1004</v>
      </c>
      <c r="AI694" s="12" t="s">
        <v>2032</v>
      </c>
      <c r="AJ694" s="19" t="s">
        <v>2033</v>
      </c>
      <c r="AK694" s="20" t="str">
        <f>HYPERLINK("https://docs.google.com/document/d/12fJKM8lnurmQLuj1oOk8vdzxrAlW_bVorBDrEpoRF6M/edit?usp=drivesdk","Pam Marcum - 7/15/2021 6:45 AM")</f>
        <v>Pam Marcum - 7/15/2021 6:45 AM</v>
      </c>
      <c r="AL694" s="12" t="s">
        <v>2034</v>
      </c>
    </row>
    <row r="695" spans="1:38" ht="12.75">
      <c r="A695" s="10">
        <f ca="1">IFERROR(__xludf.DUMMYFUNCTION("""COMPUTED_VALUE"""),44398.2870595601)</f>
        <v>44398.287059560098</v>
      </c>
      <c r="B695" s="11" t="str">
        <f ca="1">IFERROR(__xludf.DUMMYFUNCTION("""COMPUTED_VALUE"""),"Shannon Dunnigan")</f>
        <v>Shannon Dunnigan</v>
      </c>
      <c r="C695" t="str">
        <f ca="1">IFERROR(__xludf.DUMMYFUNCTION("""COMPUTED_VALUE"""),"shannon.dunnigan@floridadep.gov")</f>
        <v>shannon.dunnigan@floridadep.gov</v>
      </c>
      <c r="D695" t="str">
        <f ca="1">IFERROR(__xludf.DUMMYFUNCTION("""COMPUTED_VALUE"""),"Shannon Dunnigan")</f>
        <v>Shannon Dunnigan</v>
      </c>
      <c r="E695" t="str">
        <f ca="1">IFERROR(__xludf.DUMMYFUNCTION("""COMPUTED_VALUE"""),"Vilano")</f>
        <v>Vilano</v>
      </c>
      <c r="F695" s="13">
        <f ca="1">IFERROR(__xludf.DUMMYFUNCTION("""COMPUTED_VALUE"""),0.284722222222626)</f>
        <v>0.284722222222626</v>
      </c>
      <c r="G695" s="14">
        <f ca="1">IFERROR(__xludf.DUMMYFUNCTION("""COMPUTED_VALUE"""),44398)</f>
        <v>44398</v>
      </c>
      <c r="H695" t="str">
        <f ca="1">IFERROR(__xludf.DUMMYFUNCTION("""COMPUTED_VALUE"""),"ICW SWMP Sites")</f>
        <v>ICW SWMP Sites</v>
      </c>
      <c r="I695" s="15">
        <f ca="1">IFERROR(__xludf.DUMMYFUNCTION("""COMPUTED_VALUE"""),0.479166666667879)</f>
        <v>0.47916666666787899</v>
      </c>
      <c r="J695" s="16">
        <f ca="1">IFERROR(__xludf.DUMMYFUNCTION("""COMPUTED_VALUE"""),44398.5208333333)</f>
        <v>44398.520833333299</v>
      </c>
      <c r="K695" t="str">
        <f ca="1">IFERROR(__xludf.DUMMYFUNCTION("""COMPUTED_VALUE"""),"20ft Sea Ark FL5351SJ UNF 2015")</f>
        <v>20ft Sea Ark FL5351SJ UNF 2015</v>
      </c>
      <c r="M695" t="str">
        <f ca="1">IFERROR(__xludf.DUMMYFUNCTION("""COMPUTED_VALUE"""),"Ford F250 2017 (Moby Dix) - DEP0021578")</f>
        <v>Ford F250 2017 (Moby Dix) - DEP0021578</v>
      </c>
      <c r="N695" t="str">
        <f ca="1">IFERROR(__xludf.DUMMYFUNCTION("""COMPUTED_VALUE"""),"Shannon Dunnigan, (803) 727-5734")</f>
        <v>Shannon Dunnigan, (803) 727-5734</v>
      </c>
      <c r="O695" t="str">
        <f ca="1">IFERROR(__xludf.DUMMYFUNCTION("""COMPUTED_VALUE"""),"Abigail Kuhn, Kayla Hughes")</f>
        <v>Abigail Kuhn, Kayla Hughes</v>
      </c>
      <c r="P695" t="str">
        <f ca="1">IFERROR(__xludf.DUMMYFUNCTION("""COMPUTED_VALUE"""),"Shannon Dunnigan")</f>
        <v>Shannon Dunnigan</v>
      </c>
      <c r="Q695" t="str">
        <f ca="1">IFERROR(__xludf.DUMMYFUNCTION("""COMPUTED_VALUE"""),"All items in working order")</f>
        <v>All items in working order</v>
      </c>
      <c r="AE695" s="11"/>
      <c r="AF695" t="str">
        <v>Shannon.Dunnigan@floridadep.gov</v>
      </c>
      <c r="AG695" s="17" t="s">
        <v>139</v>
      </c>
      <c r="AH695" s="12">
        <v>1033</v>
      </c>
      <c r="AI695" s="12" t="s">
        <v>2035</v>
      </c>
      <c r="AJ695" s="19" t="s">
        <v>2036</v>
      </c>
      <c r="AK695" s="20" t="str">
        <f>HYPERLINK("https://docs.google.com/document/d/1qyUjwT3iwzNGQaHgNFOes6d3yMk-RoO2aAXz47estPY/edit?usp=drivesdk","Shannon Dunnigan - 7/21/2021 6:50 AM")</f>
        <v>Shannon Dunnigan - 7/21/2021 6:50 AM</v>
      </c>
      <c r="AL695" s="12" t="s">
        <v>2037</v>
      </c>
    </row>
    <row r="696" spans="1:38" ht="12.75">
      <c r="A696" s="10">
        <f ca="1">IFERROR(__xludf.DUMMYFUNCTION("""COMPUTED_VALUE"""),44398.2993967592)</f>
        <v>44398.299396759197</v>
      </c>
      <c r="B696" s="11" t="str">
        <f ca="1">IFERROR(__xludf.DUMMYFUNCTION("""COMPUTED_VALUE"""),"Olivia Roorbach")</f>
        <v>Olivia Roorbach</v>
      </c>
      <c r="C696" t="str">
        <f ca="1">IFERROR(__xludf.DUMMYFUNCTION("""COMPUTED_VALUE"""),"olivia.roorbach@floridadep.gov")</f>
        <v>olivia.roorbach@floridadep.gov</v>
      </c>
      <c r="D696" t="str">
        <f ca="1">IFERROR(__xludf.DUMMYFUNCTION("""COMPUTED_VALUE"""),"Nikki Dix")</f>
        <v>Nikki Dix</v>
      </c>
      <c r="E696" t="str">
        <f ca="1">IFERROR(__xludf.DUMMYFUNCTION("""COMPUTED_VALUE"""),"Dam")</f>
        <v>Dam</v>
      </c>
      <c r="F696" s="13">
        <f ca="1">IFERROR(__xludf.DUMMYFUNCTION("""COMPUTED_VALUE"""),0.30208333333212)</f>
        <v>0.30208333333212001</v>
      </c>
      <c r="G696" s="14">
        <f ca="1">IFERROR(__xludf.DUMMYFUNCTION("""COMPUTED_VALUE"""),44398)</f>
        <v>44398</v>
      </c>
      <c r="H696" t="str">
        <f ca="1">IFERROR(__xludf.DUMMYFUNCTION("""COMPUTED_VALUE"""),"Guana river")</f>
        <v>Guana river</v>
      </c>
      <c r="I696" s="15">
        <f ca="1">IFERROR(__xludf.DUMMYFUNCTION("""COMPUTED_VALUE"""),0.375)</f>
        <v>0.375</v>
      </c>
      <c r="J696" s="16">
        <f ca="1">IFERROR(__xludf.DUMMYFUNCTION("""COMPUTED_VALUE"""),44398.3854166666)</f>
        <v>44398.385416666599</v>
      </c>
      <c r="K696" t="str">
        <f ca="1">IFERROR(__xludf.DUMMYFUNCTION("""COMPUTED_VALUE"""),"Jon Boat 1 FL5992RR DEP154045")</f>
        <v>Jon Boat 1 FL5992RR DEP154045</v>
      </c>
      <c r="M696" t="str">
        <f ca="1">IFERROR(__xludf.DUMMYFUNCTION("""COMPUTED_VALUE"""),"Ford F150 2015 (White) - DEP21448")</f>
        <v>Ford F150 2015 (White) - DEP21448</v>
      </c>
      <c r="N696" t="str">
        <f ca="1">IFERROR(__xludf.DUMMYFUNCTION("""COMPUTED_VALUE"""),"Olivia Roorbach")</f>
        <v>Olivia Roorbach</v>
      </c>
      <c r="O696" t="str">
        <f ca="1">IFERROR(__xludf.DUMMYFUNCTION("""COMPUTED_VALUE"""),"Ashely Reaume")</f>
        <v>Ashely Reaume</v>
      </c>
      <c r="P696" t="str">
        <f ca="1">IFERROR(__xludf.DUMMYFUNCTION("""COMPUTED_VALUE"""),"Olivia Roorbach ")</f>
        <v xml:space="preserve">Olivia Roorbach </v>
      </c>
      <c r="Q696" t="str">
        <f ca="1">IFERROR(__xludf.DUMMYFUNCTION("""COMPUTED_VALUE"""),"All items in working order")</f>
        <v>All items in working order</v>
      </c>
      <c r="AE696" s="11"/>
      <c r="AF696" t="str">
        <v>Nikki.Dix@floridadep.gov</v>
      </c>
      <c r="AG696" s="17" t="s">
        <v>139</v>
      </c>
      <c r="AH696" s="12">
        <v>915</v>
      </c>
      <c r="AI696" s="12" t="s">
        <v>2038</v>
      </c>
      <c r="AJ696" s="19" t="s">
        <v>2039</v>
      </c>
      <c r="AK696" s="20" t="str">
        <f>HYPERLINK("https://docs.google.com/document/d/1HzeuGXGV-RGYfPnn_4g7ezUAcz9GWFOlUNvh7Yr_Ixc/edit?usp=drivesdk","Olivia Roorbach - 7/21/2021 7:15 AM")</f>
        <v>Olivia Roorbach - 7/21/2021 7:15 AM</v>
      </c>
      <c r="AL696" s="12" t="s">
        <v>2040</v>
      </c>
    </row>
    <row r="697" spans="1:38" ht="12.75">
      <c r="A697" s="10">
        <f ca="1">IFERROR(__xludf.DUMMYFUNCTION("""COMPUTED_VALUE"""),44398.5114175347)</f>
        <v>44398.511417534697</v>
      </c>
      <c r="B697" s="11" t="str">
        <f ca="1">IFERROR(__xludf.DUMMYFUNCTION("""COMPUTED_VALUE"""),"Pam Marcum")</f>
        <v>Pam Marcum</v>
      </c>
      <c r="C697" t="str">
        <f ca="1">IFERROR(__xludf.DUMMYFUNCTION("""COMPUTED_VALUE"""),"pamela.marcum@floridadep.gov")</f>
        <v>pamela.marcum@floridadep.gov</v>
      </c>
      <c r="D697" t="str">
        <f ca="1">IFERROR(__xludf.DUMMYFUNCTION("""COMPUTED_VALUE"""),"Shannon Dunnigan")</f>
        <v>Shannon Dunnigan</v>
      </c>
      <c r="E697" t="str">
        <f ca="1">IFERROR(__xludf.DUMMYFUNCTION("""COMPUTED_VALUE"""),"Aunt kates")</f>
        <v>Aunt kates</v>
      </c>
      <c r="F697" s="13">
        <f ca="1">IFERROR(__xludf.DUMMYFUNCTION("""COMPUTED_VALUE"""),0.5)</f>
        <v>0.5</v>
      </c>
      <c r="G697" s="14">
        <f ca="1">IFERROR(__xludf.DUMMYFUNCTION("""COMPUTED_VALUE"""),44398)</f>
        <v>44398</v>
      </c>
      <c r="H697" t="str">
        <f ca="1">IFERROR(__xludf.DUMMYFUNCTION("""COMPUTED_VALUE"""),"Guana River")</f>
        <v>Guana River</v>
      </c>
      <c r="I697" s="15">
        <f ca="1">IFERROR(__xludf.DUMMYFUNCTION("""COMPUTED_VALUE"""),0.666666666667879)</f>
        <v>0.66666666666787899</v>
      </c>
      <c r="J697" s="16">
        <f ca="1">IFERROR(__xludf.DUMMYFUNCTION("""COMPUTED_VALUE"""),44398.6875)</f>
        <v>44398.6875</v>
      </c>
      <c r="K697" t="str">
        <f ca="1">IFERROR(__xludf.DUMMYFUNCTION("""COMPUTED_VALUE"""),"20ft Sea Ark FL5351SJ UNF 2015")</f>
        <v>20ft Sea Ark FL5351SJ UNF 2015</v>
      </c>
      <c r="M697" t="str">
        <f ca="1">IFERROR(__xludf.DUMMYFUNCTION("""COMPUTED_VALUE"""),"Ford F250 2017 (Moby Dix) - DEP0021578")</f>
        <v>Ford F250 2017 (Moby Dix) - DEP0021578</v>
      </c>
      <c r="N697" t="str">
        <f ca="1">IFERROR(__xludf.DUMMYFUNCTION("""COMPUTED_VALUE"""),"Pam Marcum, (480) 332-5414")</f>
        <v>Pam Marcum, (480) 332-5414</v>
      </c>
      <c r="O697" t="str">
        <f ca="1">IFERROR(__xludf.DUMMYFUNCTION("""COMPUTED_VALUE"""),"Hallie Fischman, Andrew, Orlando")</f>
        <v>Hallie Fischman, Andrew, Orlando</v>
      </c>
      <c r="P697" t="str">
        <f ca="1">IFERROR(__xludf.DUMMYFUNCTION("""COMPUTED_VALUE"""),"Pam")</f>
        <v>Pam</v>
      </c>
      <c r="Q697" t="str">
        <f ca="1">IFERROR(__xludf.DUMMYFUNCTION("""COMPUTED_VALUE"""),"All items in working order")</f>
        <v>All items in working order</v>
      </c>
      <c r="AE697" s="11"/>
      <c r="AF697" t="str">
        <v>Shannon.Dunnigan@floridadep.gov</v>
      </c>
      <c r="AG697" s="17" t="s">
        <v>507</v>
      </c>
      <c r="AH697" s="12">
        <v>1514</v>
      </c>
      <c r="AI697" s="12" t="s">
        <v>2041</v>
      </c>
      <c r="AJ697" s="19" t="s">
        <v>2042</v>
      </c>
      <c r="AK697" s="20" t="str">
        <f>HYPERLINK("https://docs.google.com/document/d/1_t8gru1uuPW1CkoHi4MrxR1KKtoPb6q_NSp-naY5gso/edit?usp=drivesdk","Pam Marcum - 7/21/2021 12:00 PM")</f>
        <v>Pam Marcum - 7/21/2021 12:00 PM</v>
      </c>
      <c r="AL697" s="12" t="s">
        <v>2043</v>
      </c>
    </row>
    <row r="698" spans="1:38" ht="12.75">
      <c r="A698" s="10">
        <f ca="1">IFERROR(__xludf.DUMMYFUNCTION("""COMPUTED_VALUE"""),44398.6266221527)</f>
        <v>44398.626622152697</v>
      </c>
      <c r="B698" s="11" t="str">
        <f ca="1">IFERROR(__xludf.DUMMYFUNCTION("""COMPUTED_VALUE"""),"Olivia Roorbach")</f>
        <v>Olivia Roorbach</v>
      </c>
      <c r="C698" t="str">
        <f ca="1">IFERROR(__xludf.DUMMYFUNCTION("""COMPUTED_VALUE"""),"olivia.roorbach@floridadep.gov")</f>
        <v>olivia.roorbach@floridadep.gov</v>
      </c>
      <c r="D698" t="str">
        <f ca="1">IFERROR(__xludf.DUMMYFUNCTION("""COMPUTED_VALUE"""),"Nikki Dix")</f>
        <v>Nikki Dix</v>
      </c>
      <c r="E698" t="str">
        <f ca="1">IFERROR(__xludf.DUMMYFUNCTION("""COMPUTED_VALUE"""),"Dam")</f>
        <v>Dam</v>
      </c>
      <c r="F698" s="13">
        <f ca="1">IFERROR(__xludf.DUMMYFUNCTION("""COMPUTED_VALUE"""),0.30208333333212)</f>
        <v>0.30208333333212001</v>
      </c>
      <c r="G698" s="14">
        <f ca="1">IFERROR(__xludf.DUMMYFUNCTION("""COMPUTED_VALUE"""),44398)</f>
        <v>44398</v>
      </c>
      <c r="H698" t="str">
        <f ca="1">IFERROR(__xludf.DUMMYFUNCTION("""COMPUTED_VALUE"""),"Guana river")</f>
        <v>Guana river</v>
      </c>
      <c r="I698" s="15">
        <f ca="1">IFERROR(__xludf.DUMMYFUNCTION("""COMPUTED_VALUE"""),0.375)</f>
        <v>0.375</v>
      </c>
      <c r="J698" s="16">
        <f ca="1">IFERROR(__xludf.DUMMYFUNCTION("""COMPUTED_VALUE"""),44398.3854166666)</f>
        <v>44398.385416666599</v>
      </c>
      <c r="K698" t="str">
        <f ca="1">IFERROR(__xludf.DUMMYFUNCTION("""COMPUTED_VALUE"""),"Jon Boat 1 FL5992RR DEP154045")</f>
        <v>Jon Boat 1 FL5992RR DEP154045</v>
      </c>
      <c r="M698" t="str">
        <f ca="1">IFERROR(__xludf.DUMMYFUNCTION("""COMPUTED_VALUE"""),"Ford F150 2015 (White) - DEP21448")</f>
        <v>Ford F150 2015 (White) - DEP21448</v>
      </c>
      <c r="N698" t="str">
        <f ca="1">IFERROR(__xludf.DUMMYFUNCTION("""COMPUTED_VALUE"""),"Olivia Roorbach")</f>
        <v>Olivia Roorbach</v>
      </c>
      <c r="O698" t="str">
        <f ca="1">IFERROR(__xludf.DUMMYFUNCTION("""COMPUTED_VALUE"""),"Ashely Reaume")</f>
        <v>Ashely Reaume</v>
      </c>
      <c r="P698" t="str">
        <f ca="1">IFERROR(__xludf.DUMMYFUNCTION("""COMPUTED_VALUE"""),"Olivia Roorbach ")</f>
        <v xml:space="preserve">Olivia Roorbach </v>
      </c>
      <c r="Q698" t="str">
        <f ca="1">IFERROR(__xludf.DUMMYFUNCTION("""COMPUTED_VALUE"""),"All items in working order")</f>
        <v>All items in working order</v>
      </c>
      <c r="AE698" s="11"/>
      <c r="AF698" t="str">
        <v>Nikki.Dix@floridadep.gov</v>
      </c>
      <c r="AG698" s="17" t="s">
        <v>54</v>
      </c>
      <c r="AH698" s="17" t="s">
        <v>54</v>
      </c>
      <c r="AI698" s="12" t="s">
        <v>2044</v>
      </c>
      <c r="AJ698" s="19" t="s">
        <v>2045</v>
      </c>
      <c r="AK698" s="20" t="str">
        <f>HYPERLINK("https://docs.google.com/document/d/1dBz4Scn8VY86c8Wql_fPiGbg4CHmPEk4l1foY2JKT80/edit?usp=drivesdk","Olivia Roorbach - 7/21/2021 7:15 AM")</f>
        <v>Olivia Roorbach - 7/21/2021 7:15 AM</v>
      </c>
      <c r="AL698" s="12" t="s">
        <v>2046</v>
      </c>
    </row>
    <row r="699" spans="1:38" ht="12.75">
      <c r="A699" s="10">
        <f ca="1">IFERROR(__xludf.DUMMYFUNCTION("""COMPUTED_VALUE"""),44399.4390206481)</f>
        <v>44399.439020648097</v>
      </c>
      <c r="B699" s="11" t="str">
        <f ca="1">IFERROR(__xludf.DUMMYFUNCTION("""COMPUTED_VALUE"""),"Pam Marcum")</f>
        <v>Pam Marcum</v>
      </c>
      <c r="C699" t="str">
        <f ca="1">IFERROR(__xludf.DUMMYFUNCTION("""COMPUTED_VALUE"""),"Pamela.Marcum@FloridaDEP.gov")</f>
        <v>Pamela.Marcum@FloridaDEP.gov</v>
      </c>
      <c r="D699" t="str">
        <f ca="1">IFERROR(__xludf.DUMMYFUNCTION("""COMPUTED_VALUE"""),"Nikki Dix")</f>
        <v>Nikki Dix</v>
      </c>
      <c r="E699" t="str">
        <f ca="1">IFERROR(__xludf.DUMMYFUNCTION("""COMPUTED_VALUE"""),"Aunt Kate's")</f>
        <v>Aunt Kate's</v>
      </c>
      <c r="F699" s="13">
        <f ca="1">IFERROR(__xludf.DUMMYFUNCTION("""COMPUTED_VALUE"""),0.5)</f>
        <v>0.5</v>
      </c>
      <c r="G699" s="14"/>
      <c r="H699" t="str">
        <f ca="1">IFERROR(__xludf.DUMMYFUNCTION("""COMPUTED_VALUE"""),"Guana River")</f>
        <v>Guana River</v>
      </c>
      <c r="I699" s="15">
        <f ca="1">IFERROR(__xludf.DUMMYFUNCTION("""COMPUTED_VALUE"""),0.666666666667879)</f>
        <v>0.66666666666787899</v>
      </c>
      <c r="J699" s="16"/>
      <c r="K699" t="str">
        <f ca="1">IFERROR(__xludf.DUMMYFUNCTION("""COMPUTED_VALUE"""),"20ft Sea Ark FL5351SJ UNF 2015")</f>
        <v>20ft Sea Ark FL5351SJ UNF 2015</v>
      </c>
      <c r="M699" t="str">
        <f ca="1">IFERROR(__xludf.DUMMYFUNCTION("""COMPUTED_VALUE"""),"Ford F250 2017 (Moby Dix) - DEP0021578")</f>
        <v>Ford F250 2017 (Moby Dix) - DEP0021578</v>
      </c>
      <c r="N699" t="str">
        <f ca="1">IFERROR(__xludf.DUMMYFUNCTION("""COMPUTED_VALUE"""),"Pam Marcum, (480) 332-5414")</f>
        <v>Pam Marcum, (480) 332-5414</v>
      </c>
      <c r="O699" t="str">
        <f ca="1">IFERROR(__xludf.DUMMYFUNCTION("""COMPUTED_VALUE"""),"Halliee Fischman, Orlando Cordero, Andrew")</f>
        <v>Halliee Fischman, Orlando Cordero, Andrew</v>
      </c>
      <c r="P699" t="str">
        <f ca="1">IFERROR(__xludf.DUMMYFUNCTION("""COMPUTED_VALUE"""),"Pam")</f>
        <v>Pam</v>
      </c>
      <c r="Q699" t="str">
        <f ca="1">IFERROR(__xludf.DUMMYFUNCTION("""COMPUTED_VALUE"""),"All items in working order")</f>
        <v>All items in working order</v>
      </c>
      <c r="AE699" s="11"/>
      <c r="AF699" t="str">
        <v>Nikki.Dix@floridadep.gov</v>
      </c>
      <c r="AG699" s="17" t="s">
        <v>41</v>
      </c>
      <c r="AH699" s="12">
        <v>1443</v>
      </c>
      <c r="AI699" s="12" t="s">
        <v>2047</v>
      </c>
      <c r="AJ699" s="19" t="s">
        <v>2048</v>
      </c>
      <c r="AK699" s="20" t="str">
        <f>HYPERLINK("https://docs.google.com/document/d/1McYH7tSGP2luoR6sjuQCc2xH_rUQmHJkYi_wUAjnrbc/edit?usp=drivesdk","Pam Marcum -  12:00 PM")</f>
        <v>Pam Marcum -  12:00 PM</v>
      </c>
      <c r="AL699" s="12" t="s">
        <v>2049</v>
      </c>
    </row>
    <row r="700" spans="1:38" ht="12.75">
      <c r="A700" s="10">
        <f ca="1">IFERROR(__xludf.DUMMYFUNCTION("""COMPUTED_VALUE"""),44405.3204045023)</f>
        <v>44405.320404502301</v>
      </c>
      <c r="B700" s="11" t="str">
        <f ca="1">IFERROR(__xludf.DUMMYFUNCTION("""COMPUTED_VALUE"""),"Silas Tanner")</f>
        <v>Silas Tanner</v>
      </c>
      <c r="C700" t="str">
        <f ca="1">IFERROR(__xludf.DUMMYFUNCTION("""COMPUTED_VALUE"""),"silas.tanner@floridadep.gov")</f>
        <v>silas.tanner@floridadep.gov</v>
      </c>
      <c r="D700" t="str">
        <f ca="1">IFERROR(__xludf.DUMMYFUNCTION("""COMPUTED_VALUE"""),"Nikki Dix")</f>
        <v>Nikki Dix</v>
      </c>
      <c r="E700" t="str">
        <f ca="1">IFERROR(__xludf.DUMMYFUNCTION("""COMPUTED_VALUE"""),"Vilano")</f>
        <v>Vilano</v>
      </c>
      <c r="F700" s="13">
        <f ca="1">IFERROR(__xludf.DUMMYFUNCTION("""COMPUTED_VALUE"""),0.375)</f>
        <v>0.375</v>
      </c>
      <c r="G700" s="14">
        <f ca="1">IFERROR(__xludf.DUMMYFUNCTION("""COMPUTED_VALUE"""),44405)</f>
        <v>44405</v>
      </c>
      <c r="H700" t="str">
        <f ca="1">IFERROR(__xludf.DUMMYFUNCTION("""COMPUTED_VALUE"""),"ICW SWMP Sites")</f>
        <v>ICW SWMP Sites</v>
      </c>
      <c r="I700" s="15">
        <f ca="1">IFERROR(__xludf.DUMMYFUNCTION("""COMPUTED_VALUE"""),0.625)</f>
        <v>0.625</v>
      </c>
      <c r="J700" s="16">
        <f ca="1">IFERROR(__xludf.DUMMYFUNCTION("""COMPUTED_VALUE"""),44405.6458333333)</f>
        <v>44405.645833333299</v>
      </c>
      <c r="K700" t="str">
        <f ca="1">IFERROR(__xludf.DUMMYFUNCTION("""COMPUTED_VALUE"""),"23ft Skiff (Bertha) FL7972LJ DEP07613")</f>
        <v>23ft Skiff (Bertha) FL7972LJ DEP07613</v>
      </c>
      <c r="M700" t="str">
        <f ca="1">IFERROR(__xludf.DUMMYFUNCTION("""COMPUTED_VALUE"""),"Ford F250 2017 (Moby Dix) - DEP0021578")</f>
        <v>Ford F250 2017 (Moby Dix) - DEP0021578</v>
      </c>
      <c r="N700" t="str">
        <f ca="1">IFERROR(__xludf.DUMMYFUNCTION("""COMPUTED_VALUE"""),"Silas Tanner, (904) 483-8423, Remo Mondazzi")</f>
        <v>Silas Tanner, (904) 483-8423, Remo Mondazzi</v>
      </c>
      <c r="O700" t="str">
        <f ca="1">IFERROR(__xludf.DUMMYFUNCTION("""COMPUTED_VALUE"""),"Kayla Hughes, Kaitlyn Campbell")</f>
        <v>Kayla Hughes, Kaitlyn Campbell</v>
      </c>
      <c r="P700" t="str">
        <f ca="1">IFERROR(__xludf.DUMMYFUNCTION("""COMPUTED_VALUE"""),"Silas Tanner")</f>
        <v>Silas Tanner</v>
      </c>
      <c r="Q700" t="str">
        <f ca="1">IFERROR(__xludf.DUMMYFUNCTION("""COMPUTED_VALUE"""),"All items in working order")</f>
        <v>All items in working order</v>
      </c>
      <c r="AE700" s="11"/>
      <c r="AF700" t="str">
        <v>Nikki.Dix@floridadep.gov</v>
      </c>
      <c r="AG700" s="17" t="s">
        <v>41</v>
      </c>
      <c r="AH700" s="12">
        <v>1233</v>
      </c>
      <c r="AI700" s="12" t="s">
        <v>2050</v>
      </c>
      <c r="AJ700" s="19" t="s">
        <v>2051</v>
      </c>
      <c r="AK700" s="20" t="str">
        <f>HYPERLINK("https://docs.google.com/document/d/1TQc4i12uH_161xXRN94WnjeTOLbwCwcuBfx7NrfkX28/edit?usp=drivesdk","Silas Tanner - 7/28/2021 9:00 AM")</f>
        <v>Silas Tanner - 7/28/2021 9:00 AM</v>
      </c>
      <c r="AL700" s="12" t="s">
        <v>2052</v>
      </c>
    </row>
    <row r="701" spans="1:38" ht="12.75">
      <c r="A701" s="10">
        <f ca="1">IFERROR(__xludf.DUMMYFUNCTION("""COMPUTED_VALUE"""),44411.4252721643)</f>
        <v>44411.425272164299</v>
      </c>
      <c r="B701" s="11" t="str">
        <f ca="1">IFERROR(__xludf.DUMMYFUNCTION("""COMPUTED_VALUE"""),"Gabriela Canas")</f>
        <v>Gabriela Canas</v>
      </c>
      <c r="C701" t="str">
        <f ca="1">IFERROR(__xludf.DUMMYFUNCTION("""COMPUTED_VALUE"""),"gabriela.canas@dep.state.fl.us")</f>
        <v>gabriela.canas@dep.state.fl.us</v>
      </c>
      <c r="D701" t="str">
        <f ca="1">IFERROR(__xludf.DUMMYFUNCTION("""COMPUTED_VALUE"""),"Shannon Dunnigan")</f>
        <v>Shannon Dunnigan</v>
      </c>
      <c r="E701" t="str">
        <f ca="1">IFERROR(__xludf.DUMMYFUNCTION("""COMPUTED_VALUE"""),"Aunt kates")</f>
        <v>Aunt kates</v>
      </c>
      <c r="F701" s="13">
        <f ca="1">IFERROR(__xludf.DUMMYFUNCTION("""COMPUTED_VALUE"""),0.4375)</f>
        <v>0.4375</v>
      </c>
      <c r="G701" s="14">
        <f ca="1">IFERROR(__xludf.DUMMYFUNCTION("""COMPUTED_VALUE"""),44410)</f>
        <v>44410</v>
      </c>
      <c r="H701" t="str">
        <f ca="1">IFERROR(__xludf.DUMMYFUNCTION("""COMPUTED_VALUE"""),"Guana")</f>
        <v>Guana</v>
      </c>
      <c r="I701" s="15">
        <f ca="1">IFERROR(__xludf.DUMMYFUNCTION("""COMPUTED_VALUE"""),0.5)</f>
        <v>0.5</v>
      </c>
      <c r="J701" s="16">
        <f ca="1">IFERROR(__xludf.DUMMYFUNCTION("""COMPUTED_VALUE"""),44410.0416666666)</f>
        <v>44410.041666666599</v>
      </c>
      <c r="K701" t="str">
        <f ca="1">IFERROR(__xludf.DUMMYFUNCTION("""COMPUTED_VALUE"""),"23ft Skiff (Bertha) FL7972LJ DEP07613")</f>
        <v>23ft Skiff (Bertha) FL7972LJ DEP07613</v>
      </c>
      <c r="M701" t="str">
        <f ca="1">IFERROR(__xludf.DUMMYFUNCTION("""COMPUTED_VALUE"""),"Ford F150 2015 (White) - DEP21448")</f>
        <v>Ford F150 2015 (White) - DEP21448</v>
      </c>
      <c r="N701" t="str">
        <f ca="1">IFERROR(__xludf.DUMMYFUNCTION("""COMPUTED_VALUE"""),"Pam Marcum, (480) 332-5414")</f>
        <v>Pam Marcum, (480) 332-5414</v>
      </c>
      <c r="O701" t="str">
        <f ca="1">IFERROR(__xludf.DUMMYFUNCTION("""COMPUTED_VALUE"""),"Gabriela Canas, (904) 891-9743")</f>
        <v>Gabriela Canas, (904) 891-9743</v>
      </c>
      <c r="P701" t="str">
        <f ca="1">IFERROR(__xludf.DUMMYFUNCTION("""COMPUTED_VALUE"""),"Pam")</f>
        <v>Pam</v>
      </c>
      <c r="Q701" t="str">
        <f ca="1">IFERROR(__xludf.DUMMYFUNCTION("""COMPUTED_VALUE"""),"All items in working order")</f>
        <v>All items in working order</v>
      </c>
      <c r="AD701" t="str">
        <f ca="1">IFERROR(__xludf.DUMMYFUNCTION("""COMPUTED_VALUE"""),"Afternoon storms ")</f>
        <v xml:space="preserve">Afternoon storms </v>
      </c>
      <c r="AE701" s="11" t="str">
        <f ca="1">IFERROR(__xludf.DUMMYFUNCTION("""COMPUTED_VALUE"""),"Outgoing. ")</f>
        <v xml:space="preserve">Outgoing. </v>
      </c>
      <c r="AF701" t="str">
        <v>Shannon.Dunnigan@floridadep.gov</v>
      </c>
      <c r="AG701" s="17" t="s">
        <v>507</v>
      </c>
      <c r="AH701" s="12">
        <v>1203</v>
      </c>
      <c r="AI701" s="12" t="s">
        <v>2053</v>
      </c>
      <c r="AJ701" s="19" t="s">
        <v>2054</v>
      </c>
      <c r="AK701" s="20" t="str">
        <f>HYPERLINK("https://docs.google.com/document/d/1Z1JJQsQxov90O7KDYQkzO9IJgFs8Rdut8_rF5OImVCc/edit?usp=drivesdk","Gabriela Canas - 8/2/2021 10:30 AM")</f>
        <v>Gabriela Canas - 8/2/2021 10:30 AM</v>
      </c>
      <c r="AL701" s="12" t="s">
        <v>2055</v>
      </c>
    </row>
    <row r="702" spans="1:38" ht="12.75">
      <c r="A702" s="10">
        <f ca="1">IFERROR(__xludf.DUMMYFUNCTION("""COMPUTED_VALUE"""),44418.3901823958)</f>
        <v>44418.3901823958</v>
      </c>
      <c r="B702" s="11" t="str">
        <f ca="1">IFERROR(__xludf.DUMMYFUNCTION("""COMPUTED_VALUE"""),"Alexandria Knoell")</f>
        <v>Alexandria Knoell</v>
      </c>
      <c r="C702" t="str">
        <f ca="1">IFERROR(__xludf.DUMMYFUNCTION("""COMPUTED_VALUE"""),"alee.knoell@floridadep.gov")</f>
        <v>alee.knoell@floridadep.gov</v>
      </c>
      <c r="D702" t="str">
        <f ca="1">IFERROR(__xludf.DUMMYFUNCTION("""COMPUTED_VALUE"""),"Pam Marcum")</f>
        <v>Pam Marcum</v>
      </c>
      <c r="E702" t="str">
        <f ca="1">IFERROR(__xludf.DUMMYFUNCTION("""COMPUTED_VALUE"""),"Shore drive")</f>
        <v>Shore drive</v>
      </c>
      <c r="F702" s="13">
        <f ca="1">IFERROR(__xludf.DUMMYFUNCTION("""COMPUTED_VALUE"""),0.416666666667879)</f>
        <v>0.41666666666787899</v>
      </c>
      <c r="G702" s="14">
        <f ca="1">IFERROR(__xludf.DUMMYFUNCTION("""COMPUTED_VALUE"""),44418)</f>
        <v>44418</v>
      </c>
      <c r="H702" t="str">
        <f ca="1">IFERROR(__xludf.DUMMYFUNCTION("""COMPUTED_VALUE"""),"Gabbys creek")</f>
        <v>Gabbys creek</v>
      </c>
      <c r="I702" s="15">
        <f ca="1">IFERROR(__xludf.DUMMYFUNCTION("""COMPUTED_VALUE"""),0.58333333333212)</f>
        <v>0.58333333333212001</v>
      </c>
      <c r="J702" s="16">
        <f ca="1">IFERROR(__xludf.DUMMYFUNCTION("""COMPUTED_VALUE"""),44418.6041666666)</f>
        <v>44418.604166666599</v>
      </c>
      <c r="K702" t="str">
        <f ca="1">IFERROR(__xludf.DUMMYFUNCTION("""COMPUTED_VALUE"""),"23ft Skiff (Bertha) FL7972LJ DEP07613")</f>
        <v>23ft Skiff (Bertha) FL7972LJ DEP07613</v>
      </c>
      <c r="M702" t="str">
        <f ca="1">IFERROR(__xludf.DUMMYFUNCTION("""COMPUTED_VALUE"""),"Ford F150 2015 (White) - DEP21448")</f>
        <v>Ford F150 2015 (White) - DEP21448</v>
      </c>
      <c r="N702" t="str">
        <f ca="1">IFERROR(__xludf.DUMMYFUNCTION("""COMPUTED_VALUE"""),"Alee Knoell, (619) 750-4833")</f>
        <v>Alee Knoell, (619) 750-4833</v>
      </c>
      <c r="O702" t="str">
        <f ca="1">IFERROR(__xludf.DUMMYFUNCTION("""COMPUTED_VALUE"""),"Gabriela Canas, (904) 891-9743")</f>
        <v>Gabriela Canas, (904) 891-9743</v>
      </c>
      <c r="P702" t="str">
        <f ca="1">IFERROR(__xludf.DUMMYFUNCTION("""COMPUTED_VALUE"""),"Alee ")</f>
        <v xml:space="preserve">Alee </v>
      </c>
      <c r="Q702" t="str">
        <f ca="1">IFERROR(__xludf.DUMMYFUNCTION("""COMPUTED_VALUE"""),"All items in working order")</f>
        <v>All items in working order</v>
      </c>
      <c r="AE702" s="11"/>
      <c r="AF702" t="str">
        <v>Pamela.Marcum@floridadep.gov</v>
      </c>
      <c r="AG702" s="17" t="s">
        <v>139</v>
      </c>
      <c r="AH702" s="12">
        <v>1236</v>
      </c>
      <c r="AI702" s="12" t="s">
        <v>2056</v>
      </c>
      <c r="AJ702" s="19" t="s">
        <v>2057</v>
      </c>
      <c r="AK702" s="20" t="str">
        <f>HYPERLINK("https://docs.google.com/document/d/1NcjAe9J8MUl4hmY5gz32nPkoxrf1ZRydBqUWoudG8C4/edit?usp=drivesdk","Alexandria Knoell - 8/10/2021 10:00 AM")</f>
        <v>Alexandria Knoell - 8/10/2021 10:00 AM</v>
      </c>
      <c r="AL702" s="12" t="s">
        <v>2058</v>
      </c>
    </row>
    <row r="703" spans="1:38" ht="12.75">
      <c r="A703" s="10">
        <f ca="1">IFERROR(__xludf.DUMMYFUNCTION("""COMPUTED_VALUE"""),44419.3505307986)</f>
        <v>44419.350530798598</v>
      </c>
      <c r="B703" s="11" t="str">
        <f ca="1">IFERROR(__xludf.DUMMYFUNCTION("""COMPUTED_VALUE"""),"Silas Tanner")</f>
        <v>Silas Tanner</v>
      </c>
      <c r="C703" t="str">
        <f ca="1">IFERROR(__xludf.DUMMYFUNCTION("""COMPUTED_VALUE"""),"silas.tanner@dep.state.fl.us")</f>
        <v>silas.tanner@dep.state.fl.us</v>
      </c>
      <c r="D703" t="str">
        <f ca="1">IFERROR(__xludf.DUMMYFUNCTION("""COMPUTED_VALUE"""),"Silas Tanner")</f>
        <v>Silas Tanner</v>
      </c>
      <c r="E703" t="str">
        <f ca="1">IFERROR(__xludf.DUMMYFUNCTION("""COMPUTED_VALUE"""),"Crane")</f>
        <v>Crane</v>
      </c>
      <c r="F703" s="13">
        <f ca="1">IFERROR(__xludf.DUMMYFUNCTION("""COMPUTED_VALUE"""),0.42708333333212)</f>
        <v>0.42708333333212001</v>
      </c>
      <c r="G703" s="14">
        <f ca="1">IFERROR(__xludf.DUMMYFUNCTION("""COMPUTED_VALUE"""),44419)</f>
        <v>44419</v>
      </c>
      <c r="H703" t="str">
        <f ca="1">IFERROR(__xludf.DUMMYFUNCTION("""COMPUTED_VALUE"""),"ICW SWMP sites")</f>
        <v>ICW SWMP sites</v>
      </c>
      <c r="I703" s="15">
        <f ca="1">IFERROR(__xludf.DUMMYFUNCTION("""COMPUTED_VALUE"""),0.61458333333212)</f>
        <v>0.61458333333212001</v>
      </c>
      <c r="J703" s="16">
        <f ca="1">IFERROR(__xludf.DUMMYFUNCTION("""COMPUTED_VALUE"""),44419.6458333333)</f>
        <v>44419.645833333299</v>
      </c>
      <c r="K703" t="str">
        <f ca="1">IFERROR(__xludf.DUMMYFUNCTION("""COMPUTED_VALUE"""),"23ft Skiff (Bertha) FL7972LJ DEP07613")</f>
        <v>23ft Skiff (Bertha) FL7972LJ DEP07613</v>
      </c>
      <c r="M703" t="str">
        <f ca="1">IFERROR(__xludf.DUMMYFUNCTION("""COMPUTED_VALUE"""),"Ford F150 2015 (White) - DEP21448")</f>
        <v>Ford F150 2015 (White) - DEP21448</v>
      </c>
      <c r="N703" t="str">
        <f ca="1">IFERROR(__xludf.DUMMYFUNCTION("""COMPUTED_VALUE"""),"Silas Tanner, (904) 483-8423, Remo Mondazzi")</f>
        <v>Silas Tanner, (904) 483-8423, Remo Mondazzi</v>
      </c>
      <c r="P703" t="str">
        <f ca="1">IFERROR(__xludf.DUMMYFUNCTION("""COMPUTED_VALUE"""),"Silas Tanner")</f>
        <v>Silas Tanner</v>
      </c>
      <c r="Q703" t="str">
        <f ca="1">IFERROR(__xludf.DUMMYFUNCTION("""COMPUTED_VALUE"""),"All items in working order")</f>
        <v>All items in working order</v>
      </c>
      <c r="AE703" s="11"/>
      <c r="AF703" t="str">
        <v>Silas.Tanner@floridadep.gov</v>
      </c>
      <c r="AG703" s="17" t="s">
        <v>41</v>
      </c>
      <c r="AH703" s="12">
        <v>1325</v>
      </c>
      <c r="AI703" s="12" t="s">
        <v>2059</v>
      </c>
      <c r="AJ703" s="19" t="s">
        <v>2060</v>
      </c>
      <c r="AK703" s="20" t="str">
        <f>HYPERLINK("https://docs.google.com/document/d/1DBlv64wyERSQ3DgN89FZCMQAkqKdXAak9Ukf97Oz2-M/edit?usp=drivesdk","Silas Tanner - 8/11/2021 10:15 AM")</f>
        <v>Silas Tanner - 8/11/2021 10:15 AM</v>
      </c>
      <c r="AL703" s="12" t="s">
        <v>2061</v>
      </c>
    </row>
    <row r="704" spans="1:38" ht="12.75">
      <c r="A704" s="10">
        <f ca="1">IFERROR(__xludf.DUMMYFUNCTION("""COMPUTED_VALUE"""),44425.2770468171)</f>
        <v>44425.2770468171</v>
      </c>
      <c r="B704" s="11" t="str">
        <f ca="1">IFERROR(__xludf.DUMMYFUNCTION("""COMPUTED_VALUE"""),"Jimmy")</f>
        <v>Jimmy</v>
      </c>
      <c r="C704" t="str">
        <f ca="1">IFERROR(__xludf.DUMMYFUNCTION("""COMPUTED_VALUE"""),"james.tomazinis@floridadep.gov")</f>
        <v>james.tomazinis@floridadep.gov</v>
      </c>
      <c r="D704" t="str">
        <f ca="1">IFERROR(__xludf.DUMMYFUNCTION("""COMPUTED_VALUE"""),"Scott Eastman")</f>
        <v>Scott Eastman</v>
      </c>
      <c r="E704" t="str">
        <f ca="1">IFERROR(__xludf.DUMMYFUNCTION("""COMPUTED_VALUE"""),"Whitney")</f>
        <v>Whitney</v>
      </c>
      <c r="F704" s="13">
        <f ca="1">IFERROR(__xludf.DUMMYFUNCTION("""COMPUTED_VALUE"""),0.4375)</f>
        <v>0.4375</v>
      </c>
      <c r="G704" s="14">
        <f ca="1">IFERROR(__xludf.DUMMYFUNCTION("""COMPUTED_VALUE"""),44425)</f>
        <v>44425</v>
      </c>
      <c r="H704" t="str">
        <f ca="1">IFERROR(__xludf.DUMMYFUNCTION("""COMPUTED_VALUE"""),"Summerhaven and back")</f>
        <v>Summerhaven and back</v>
      </c>
      <c r="I704" s="15">
        <f ca="1">IFERROR(__xludf.DUMMYFUNCTION("""COMPUTED_VALUE"""),0.0833333333321206)</f>
        <v>8.3333333332120604E-2</v>
      </c>
      <c r="J704" s="16"/>
      <c r="K704" t="str">
        <f ca="1">IFERROR(__xludf.DUMMYFUNCTION("""COMPUTED_VALUE"""),"Kayak(s)")</f>
        <v>Kayak(s)</v>
      </c>
      <c r="L704">
        <f ca="1">IFERROR(__xludf.DUMMYFUNCTION("""COMPUTED_VALUE"""),6)</f>
        <v>6</v>
      </c>
      <c r="M704" t="str">
        <f ca="1">IFERROR(__xludf.DUMMYFUNCTION("""COMPUTED_VALUE"""),"F-bomb")</f>
        <v>F-bomb</v>
      </c>
      <c r="N704" t="str">
        <f ca="1">IFERROR(__xludf.DUMMYFUNCTION("""COMPUTED_VALUE"""),"Jimmy Tomazinis, (904) 547-0094")</f>
        <v>Jimmy Tomazinis, (904) 547-0094</v>
      </c>
      <c r="O704" t="str">
        <f ca="1">IFERROR(__xludf.DUMMYFUNCTION("""COMPUTED_VALUE"""),"Gabriela Canas, (904) 891-9743, Candace, Olivia, Sean, Zach ")</f>
        <v xml:space="preserve">Gabriela Canas, (904) 891-9743, Candace, Olivia, Sean, Zach </v>
      </c>
      <c r="P704" t="str">
        <f ca="1">IFERROR(__xludf.DUMMYFUNCTION("""COMPUTED_VALUE"""),"Jimmy")</f>
        <v>Jimmy</v>
      </c>
      <c r="Q704" t="str">
        <f ca="1">IFERROR(__xludf.DUMMYFUNCTION("""COMPUTED_VALUE"""),"All items in working order")</f>
        <v>All items in working order</v>
      </c>
      <c r="AE704" s="11"/>
      <c r="AF704" t="str">
        <v>Scott.Eastman@floridadep.gov</v>
      </c>
      <c r="AG704" s="18"/>
      <c r="AI704" s="12" t="s">
        <v>2062</v>
      </c>
      <c r="AJ704" s="19" t="s">
        <v>2063</v>
      </c>
      <c r="AK704" s="20" t="str">
        <f>HYPERLINK("https://docs.google.com/document/d/1EPlJPHUcZdFYl2FAAXzx5mCYJyVFid6O0-u_9hsdwGY/edit?usp=drivesdk","Jimmy - 8/17/2021 10:30 AM")</f>
        <v>Jimmy - 8/17/2021 10:30 AM</v>
      </c>
      <c r="AL704" s="12" t="s">
        <v>2064</v>
      </c>
    </row>
    <row r="705" spans="1:38" ht="12.75">
      <c r="A705" s="10">
        <f ca="1">IFERROR(__xludf.DUMMYFUNCTION("""COMPUTED_VALUE"""),44426.2627060532)</f>
        <v>44426.262706053203</v>
      </c>
      <c r="B705" s="11" t="str">
        <f ca="1">IFERROR(__xludf.DUMMYFUNCTION("""COMPUTED_VALUE"""),"Olivia Roorbach")</f>
        <v>Olivia Roorbach</v>
      </c>
      <c r="C705" t="str">
        <f ca="1">IFERROR(__xludf.DUMMYFUNCTION("""COMPUTED_VALUE"""),"olivia.roorbach@floridadep.gov")</f>
        <v>olivia.roorbach@floridadep.gov</v>
      </c>
      <c r="D705" t="str">
        <f ca="1">IFERROR(__xludf.DUMMYFUNCTION("""COMPUTED_VALUE"""),"Pam Marcum")</f>
        <v>Pam Marcum</v>
      </c>
      <c r="E705" t="str">
        <f ca="1">IFERROR(__xludf.DUMMYFUNCTION("""COMPUTED_VALUE"""),"Dam")</f>
        <v>Dam</v>
      </c>
      <c r="F705" s="13">
        <f ca="1">IFERROR(__xludf.DUMMYFUNCTION("""COMPUTED_VALUE"""),0.27083333333212)</f>
        <v>0.27083333333212001</v>
      </c>
      <c r="G705" s="14">
        <f ca="1">IFERROR(__xludf.DUMMYFUNCTION("""COMPUTED_VALUE"""),44426)</f>
        <v>44426</v>
      </c>
      <c r="H705" t="str">
        <f ca="1">IFERROR(__xludf.DUMMYFUNCTION("""COMPUTED_VALUE"""),"Guana River and Guana Lake")</f>
        <v>Guana River and Guana Lake</v>
      </c>
      <c r="I705" s="15">
        <f ca="1">IFERROR(__xludf.DUMMYFUNCTION("""COMPUTED_VALUE"""),0.39583333333212)</f>
        <v>0.39583333333212001</v>
      </c>
      <c r="J705" s="16">
        <f ca="1">IFERROR(__xludf.DUMMYFUNCTION("""COMPUTED_VALUE"""),44426.4166666666)</f>
        <v>44426.416666666599</v>
      </c>
      <c r="K705" t="str">
        <f ca="1">IFERROR(__xludf.DUMMYFUNCTION("""COMPUTED_VALUE"""),"Jon Boat 1 FL5992RR DEP154045")</f>
        <v>Jon Boat 1 FL5992RR DEP154045</v>
      </c>
      <c r="M705" t="str">
        <f ca="1">IFERROR(__xludf.DUMMYFUNCTION("""COMPUTED_VALUE"""),"Ford F150 2015 (White) - DEP21448")</f>
        <v>Ford F150 2015 (White) - DEP21448</v>
      </c>
      <c r="N705" t="str">
        <f ca="1">IFERROR(__xludf.DUMMYFUNCTION("""COMPUTED_VALUE"""),"Olivia Roorbach, (404) 694-2653")</f>
        <v>Olivia Roorbach, (404) 694-2653</v>
      </c>
      <c r="O705" t="str">
        <f ca="1">IFERROR(__xludf.DUMMYFUNCTION("""COMPUTED_VALUE"""),"Ashley Reaume ")</f>
        <v xml:space="preserve">Ashley Reaume </v>
      </c>
      <c r="P705" t="str">
        <f ca="1">IFERROR(__xludf.DUMMYFUNCTION("""COMPUTED_VALUE"""),"Olivia Roorbach")</f>
        <v>Olivia Roorbach</v>
      </c>
      <c r="Q705" t="str">
        <f ca="1">IFERROR(__xludf.DUMMYFUNCTION("""COMPUTED_VALUE"""),"All items in working order")</f>
        <v>All items in working order</v>
      </c>
      <c r="AE705" s="11"/>
      <c r="AF705" t="str">
        <v>Pamela.Marcum@floridadep.gov</v>
      </c>
      <c r="AG705" s="17" t="s">
        <v>139</v>
      </c>
      <c r="AH705" s="12">
        <v>1136</v>
      </c>
      <c r="AI705" s="12" t="s">
        <v>2065</v>
      </c>
      <c r="AJ705" s="19" t="s">
        <v>2066</v>
      </c>
      <c r="AK705" s="20" t="str">
        <f>HYPERLINK("https://docs.google.com/document/d/1Er-7G1hF-ryAb4u0yaNJXpwrtmmFUiji8neCakCNuN4/edit?usp=drivesdk","Olivia Roorbach - 8/18/2021 6:30 AM")</f>
        <v>Olivia Roorbach - 8/18/2021 6:30 AM</v>
      </c>
      <c r="AL705" s="12" t="s">
        <v>2067</v>
      </c>
    </row>
    <row r="706" spans="1:38" ht="12.75">
      <c r="A706" s="10">
        <f ca="1">IFERROR(__xludf.DUMMYFUNCTION("""COMPUTED_VALUE"""),44426.3038889236)</f>
        <v>44426.303888923598</v>
      </c>
      <c r="B706" s="11" t="str">
        <f ca="1">IFERROR(__xludf.DUMMYFUNCTION("""COMPUTED_VALUE"""),"Jimmy")</f>
        <v>Jimmy</v>
      </c>
      <c r="C706" t="str">
        <f ca="1">IFERROR(__xludf.DUMMYFUNCTION("""COMPUTED_VALUE"""),"james.tomazinis@floridadep.gov")</f>
        <v>james.tomazinis@floridadep.gov</v>
      </c>
      <c r="D706" t="str">
        <f ca="1">IFERROR(__xludf.DUMMYFUNCTION("""COMPUTED_VALUE"""),"Scott Eastman")</f>
        <v>Scott Eastman</v>
      </c>
      <c r="E706" t="str">
        <f ca="1">IFERROR(__xludf.DUMMYFUNCTION("""COMPUTED_VALUE"""),"Whitney ")</f>
        <v xml:space="preserve">Whitney </v>
      </c>
      <c r="F706" s="13">
        <f ca="1">IFERROR(__xludf.DUMMYFUNCTION("""COMPUTED_VALUE"""),0.4375)</f>
        <v>0.4375</v>
      </c>
      <c r="G706" s="14">
        <f ca="1">IFERROR(__xludf.DUMMYFUNCTION("""COMPUTED_VALUE"""),44426)</f>
        <v>44426</v>
      </c>
      <c r="H706" t="str">
        <f ca="1">IFERROR(__xludf.DUMMYFUNCTION("""COMPUTED_VALUE"""),"ICW around Marineland")</f>
        <v>ICW around Marineland</v>
      </c>
      <c r="I706" s="15">
        <f ca="1">IFERROR(__xludf.DUMMYFUNCTION("""COMPUTED_VALUE"""),0.58333333333212)</f>
        <v>0.58333333333212001</v>
      </c>
      <c r="J706" s="16"/>
      <c r="K706" t="str">
        <f ca="1">IFERROR(__xludf.DUMMYFUNCTION("""COMPUTED_VALUE"""),"Kayak(s)")</f>
        <v>Kayak(s)</v>
      </c>
      <c r="L706">
        <f ca="1">IFERROR(__xludf.DUMMYFUNCTION("""COMPUTED_VALUE"""),4)</f>
        <v>4</v>
      </c>
      <c r="M706" t="str">
        <f ca="1">IFERROR(__xludf.DUMMYFUNCTION("""COMPUTED_VALUE"""),"F-bomb")</f>
        <v>F-bomb</v>
      </c>
      <c r="N706" t="str">
        <f ca="1">IFERROR(__xludf.DUMMYFUNCTION("""COMPUTED_VALUE"""),"Jimmy Tomazinis, (904) 547-0094")</f>
        <v>Jimmy Tomazinis, (904) 547-0094</v>
      </c>
      <c r="O706" t="str">
        <f ca="1">IFERROR(__xludf.DUMMYFUNCTION("""COMPUTED_VALUE"""),"Rauney, Courtney, Alyssa")</f>
        <v>Rauney, Courtney, Alyssa</v>
      </c>
      <c r="P706" t="str">
        <f ca="1">IFERROR(__xludf.DUMMYFUNCTION("""COMPUTED_VALUE"""),"Jimmy")</f>
        <v>Jimmy</v>
      </c>
      <c r="Q706" t="str">
        <f ca="1">IFERROR(__xludf.DUMMYFUNCTION("""COMPUTED_VALUE"""),"All items in working order")</f>
        <v>All items in working order</v>
      </c>
      <c r="AE706" s="11"/>
      <c r="AF706" t="str">
        <v>Scott.Eastman@floridadep.gov</v>
      </c>
      <c r="AG706" s="18"/>
      <c r="AI706" s="12" t="s">
        <v>2068</v>
      </c>
      <c r="AJ706" s="19" t="s">
        <v>2069</v>
      </c>
      <c r="AK706" s="20" t="str">
        <f>HYPERLINK("https://docs.google.com/document/d/1zzyALf_i9LQ3GrwWeJ38Atu3isOdvJBSEYTzU8TCpgc/edit?usp=drivesdk","Jimmy - 8/18/2021 10:30 AM")</f>
        <v>Jimmy - 8/18/2021 10:30 AM</v>
      </c>
      <c r="AL706" s="12" t="s">
        <v>2070</v>
      </c>
    </row>
    <row r="707" spans="1:38" ht="12.75">
      <c r="A707" s="10">
        <f ca="1">IFERROR(__xludf.DUMMYFUNCTION("""COMPUTED_VALUE"""),44427.2717670949)</f>
        <v>44427.271767094899</v>
      </c>
      <c r="B707" s="11" t="str">
        <f ca="1">IFERROR(__xludf.DUMMYFUNCTION("""COMPUTED_VALUE"""),"Olivia Roorbach ")</f>
        <v xml:space="preserve">Olivia Roorbach </v>
      </c>
      <c r="C707" t="str">
        <f ca="1">IFERROR(__xludf.DUMMYFUNCTION("""COMPUTED_VALUE"""),"olivia.roorbach@floridadep.gov")</f>
        <v>olivia.roorbach@floridadep.gov</v>
      </c>
      <c r="D707" t="str">
        <f ca="1">IFERROR(__xludf.DUMMYFUNCTION("""COMPUTED_VALUE"""),"Shannon Dunnigan")</f>
        <v>Shannon Dunnigan</v>
      </c>
      <c r="E707" t="str">
        <f ca="1">IFERROR(__xludf.DUMMYFUNCTION("""COMPUTED_VALUE"""),"Vilano ")</f>
        <v xml:space="preserve">Vilano </v>
      </c>
      <c r="F707" s="13">
        <f ca="1">IFERROR(__xludf.DUMMYFUNCTION("""COMPUTED_VALUE"""),0.28125)</f>
        <v>0.28125</v>
      </c>
      <c r="G707" s="14">
        <f ca="1">IFERROR(__xludf.DUMMYFUNCTION("""COMPUTED_VALUE"""),44427)</f>
        <v>44427</v>
      </c>
      <c r="H707" t="str">
        <f ca="1">IFERROR(__xludf.DUMMYFUNCTION("""COMPUTED_VALUE"""),"SWMP sites")</f>
        <v>SWMP sites</v>
      </c>
      <c r="I707" s="15">
        <f ca="1">IFERROR(__xludf.DUMMYFUNCTION("""COMPUTED_VALUE"""),0.58333333333212)</f>
        <v>0.58333333333212001</v>
      </c>
      <c r="J707" s="16">
        <f ca="1">IFERROR(__xludf.DUMMYFUNCTION("""COMPUTED_VALUE"""),44427.6041666666)</f>
        <v>44427.604166666599</v>
      </c>
      <c r="K707" t="str">
        <f ca="1">IFERROR(__xludf.DUMMYFUNCTION("""COMPUTED_VALUE"""),"23ft Skiff (Bertha) FL7972LJ DEP07613")</f>
        <v>23ft Skiff (Bertha) FL7972LJ DEP07613</v>
      </c>
      <c r="M707" t="str">
        <f ca="1">IFERROR(__xludf.DUMMYFUNCTION("""COMPUTED_VALUE"""),"Ford F150 2015 (White) - DEP21448")</f>
        <v>Ford F150 2015 (White) - DEP21448</v>
      </c>
      <c r="N707" t="str">
        <f ca="1">IFERROR(__xludf.DUMMYFUNCTION("""COMPUTED_VALUE"""),"Alee Knoell, (619) 750-4833")</f>
        <v>Alee Knoell, (619) 750-4833</v>
      </c>
      <c r="O707" t="str">
        <f ca="1">IFERROR(__xludf.DUMMYFUNCTION("""COMPUTED_VALUE"""),"Olivia Roorbach, Ashley Reaume")</f>
        <v>Olivia Roorbach, Ashley Reaume</v>
      </c>
      <c r="P707" t="str">
        <f ca="1">IFERROR(__xludf.DUMMYFUNCTION("""COMPUTED_VALUE"""),"Alee Knoell ")</f>
        <v xml:space="preserve">Alee Knoell </v>
      </c>
      <c r="Q707" t="str">
        <f ca="1">IFERROR(__xludf.DUMMYFUNCTION("""COMPUTED_VALUE"""),"All items in working order")</f>
        <v>All items in working order</v>
      </c>
      <c r="AE707" s="11"/>
      <c r="AF707" t="str">
        <v>Shannon.Dunnigan@floridadep.gov</v>
      </c>
      <c r="AG707" s="18"/>
      <c r="AI707" s="12" t="s">
        <v>2071</v>
      </c>
      <c r="AJ707" s="19" t="s">
        <v>2072</v>
      </c>
      <c r="AK707" s="20" t="str">
        <f>HYPERLINK("https://docs.google.com/document/d/1f9yAsZP_FphQOEaj_lW8tiYXaPado21emEUnLiPvMsw/edit?usp=drivesdk","Olivia Roorbach  - 8/19/2021 6:45 AM")</f>
        <v>Olivia Roorbach  - 8/19/2021 6:45 AM</v>
      </c>
      <c r="AL707" s="12" t="s">
        <v>2073</v>
      </c>
    </row>
    <row r="708" spans="1:38" ht="12.75">
      <c r="A708" s="10">
        <f ca="1">IFERROR(__xludf.DUMMYFUNCTION("""COMPUTED_VALUE"""),44432.326996412)</f>
        <v>44432.326996411997</v>
      </c>
      <c r="B708" s="11" t="str">
        <f ca="1">IFERROR(__xludf.DUMMYFUNCTION("""COMPUTED_VALUE"""),"Alexandria Knoell ")</f>
        <v xml:space="preserve">Alexandria Knoell </v>
      </c>
      <c r="C708" t="str">
        <f ca="1">IFERROR(__xludf.DUMMYFUNCTION("""COMPUTED_VALUE"""),"alee.knoell@floridadep.gov")</f>
        <v>alee.knoell@floridadep.gov</v>
      </c>
      <c r="D708" t="str">
        <f ca="1">IFERROR(__xludf.DUMMYFUNCTION("""COMPUTED_VALUE"""),"Nikki Dix")</f>
        <v>Nikki Dix</v>
      </c>
      <c r="E708" t="str">
        <f ca="1">IFERROR(__xludf.DUMMYFUNCTION("""COMPUTED_VALUE"""),"Faver dykes")</f>
        <v>Faver dykes</v>
      </c>
      <c r="F708" s="13">
        <f ca="1">IFERROR(__xludf.DUMMYFUNCTION("""COMPUTED_VALUE"""),0.322916666667879)</f>
        <v>0.32291666666787899</v>
      </c>
      <c r="G708" s="14">
        <f ca="1">IFERROR(__xludf.DUMMYFUNCTION("""COMPUTED_VALUE"""),44432)</f>
        <v>44432</v>
      </c>
      <c r="H708" t="str">
        <f ca="1">IFERROR(__xludf.DUMMYFUNCTION("""COMPUTED_VALUE"""),"Platforms")</f>
        <v>Platforms</v>
      </c>
      <c r="I708" s="15">
        <f ca="1">IFERROR(__xludf.DUMMYFUNCTION("""COMPUTED_VALUE"""),0.45833333333212)</f>
        <v>0.45833333333212001</v>
      </c>
      <c r="J708" s="16">
        <f ca="1">IFERROR(__xludf.DUMMYFUNCTION("""COMPUTED_VALUE"""),44432.5)</f>
        <v>44432.5</v>
      </c>
      <c r="K708" t="str">
        <f ca="1">IFERROR(__xludf.DUMMYFUNCTION("""COMPUTED_VALUE"""),"23ft Skiff (Bertha) FL7972LJ DEP07613")</f>
        <v>23ft Skiff (Bertha) FL7972LJ DEP07613</v>
      </c>
      <c r="M708" t="str">
        <f ca="1">IFERROR(__xludf.DUMMYFUNCTION("""COMPUTED_VALUE"""),"Ford F150 2015 (White) - DEP21448")</f>
        <v>Ford F150 2015 (White) - DEP21448</v>
      </c>
      <c r="N708" t="str">
        <f ca="1">IFERROR(__xludf.DUMMYFUNCTION("""COMPUTED_VALUE"""),"Pam Marcum, (480) 332-5414, Alee Knoell, (619) 750-4833")</f>
        <v>Pam Marcum, (480) 332-5414, Alee Knoell, (619) 750-4833</v>
      </c>
      <c r="P708" t="str">
        <f ca="1">IFERROR(__xludf.DUMMYFUNCTION("""COMPUTED_VALUE"""),"Pam Marcum")</f>
        <v>Pam Marcum</v>
      </c>
      <c r="Q708" t="str">
        <f ca="1">IFERROR(__xludf.DUMMYFUNCTION("""COMPUTED_VALUE"""),"All items in working order")</f>
        <v>All items in working order</v>
      </c>
      <c r="AE708" s="11"/>
      <c r="AF708" t="str">
        <v>Nikki.Dix@floridadep.gov</v>
      </c>
      <c r="AG708" s="17" t="s">
        <v>41</v>
      </c>
      <c r="AH708" s="12">
        <v>1057</v>
      </c>
      <c r="AI708" s="12" t="s">
        <v>2074</v>
      </c>
      <c r="AJ708" s="19" t="s">
        <v>2075</v>
      </c>
      <c r="AK708" s="20" t="str">
        <f>HYPERLINK("https://docs.google.com/document/d/1TOtIhy5bi63YpQKzPOqGlXNXn4B_-5wK-uBhz5TiVS0/edit?usp=drivesdk","Alexandria Knoell  - 8/24/2021 7:45 AM")</f>
        <v>Alexandria Knoell  - 8/24/2021 7:45 AM</v>
      </c>
      <c r="AL708" s="12" t="s">
        <v>2076</v>
      </c>
    </row>
    <row r="709" spans="1:38" ht="12.75">
      <c r="A709" s="10">
        <f ca="1">IFERROR(__xludf.DUMMYFUNCTION("""COMPUTED_VALUE"""),44433.3021493171)</f>
        <v>44433.302149317104</v>
      </c>
      <c r="B709" s="11" t="str">
        <f ca="1">IFERROR(__xludf.DUMMYFUNCTION("""COMPUTED_VALUE"""),"Shannon Dunnigan")</f>
        <v>Shannon Dunnigan</v>
      </c>
      <c r="C709" t="str">
        <f ca="1">IFERROR(__xludf.DUMMYFUNCTION("""COMPUTED_VALUE"""),"shannon.dunnigan@floridadep.gov")</f>
        <v>shannon.dunnigan@floridadep.gov</v>
      </c>
      <c r="D709" t="str">
        <f ca="1">IFERROR(__xludf.DUMMYFUNCTION("""COMPUTED_VALUE"""),"Pam Marcum")</f>
        <v>Pam Marcum</v>
      </c>
      <c r="E709" t="str">
        <f ca="1">IFERROR(__xludf.DUMMYFUNCTION("""COMPUTED_VALUE"""),"Vilano")</f>
        <v>Vilano</v>
      </c>
      <c r="F709" s="13">
        <f ca="1">IFERROR(__xludf.DUMMYFUNCTION("""COMPUTED_VALUE"""),0.3125)</f>
        <v>0.3125</v>
      </c>
      <c r="G709" s="14">
        <f ca="1">IFERROR(__xludf.DUMMYFUNCTION("""COMPUTED_VALUE"""),44433)</f>
        <v>44433</v>
      </c>
      <c r="H709" t="str">
        <f ca="1">IFERROR(__xludf.DUMMYFUNCTION("""COMPUTED_VALUE"""),"ICW SWMP sites")</f>
        <v>ICW SWMP sites</v>
      </c>
      <c r="I709" s="15">
        <f ca="1">IFERROR(__xludf.DUMMYFUNCTION("""COMPUTED_VALUE"""),0.52083333333212)</f>
        <v>0.52083333333212001</v>
      </c>
      <c r="J709" s="16">
        <f ca="1">IFERROR(__xludf.DUMMYFUNCTION("""COMPUTED_VALUE"""),44433.5520833333)</f>
        <v>44433.552083333299</v>
      </c>
      <c r="K709" t="str">
        <f ca="1">IFERROR(__xludf.DUMMYFUNCTION("""COMPUTED_VALUE"""),"23ft Skiff (Bertha) FL7972LJ DEP07613")</f>
        <v>23ft Skiff (Bertha) FL7972LJ DEP07613</v>
      </c>
      <c r="M709" t="str">
        <f ca="1">IFERROR(__xludf.DUMMYFUNCTION("""COMPUTED_VALUE"""),"Ford F250 2017 (Moby Dix) - DEP0021578")</f>
        <v>Ford F250 2017 (Moby Dix) - DEP0021578</v>
      </c>
      <c r="N709" t="str">
        <f ca="1">IFERROR(__xludf.DUMMYFUNCTION("""COMPUTED_VALUE"""),"Shannon Dunnigan, (803) 727-5734, Silas Tanner, (904) 483-8423")</f>
        <v>Shannon Dunnigan, (803) 727-5734, Silas Tanner, (904) 483-8423</v>
      </c>
      <c r="O709" t="str">
        <f ca="1">IFERROR(__xludf.DUMMYFUNCTION("""COMPUTED_VALUE"""),"Emma Wilkinson (intern)")</f>
        <v>Emma Wilkinson (intern)</v>
      </c>
      <c r="P709" t="str">
        <f ca="1">IFERROR(__xludf.DUMMYFUNCTION("""COMPUTED_VALUE"""),"Silas")</f>
        <v>Silas</v>
      </c>
      <c r="Q709" t="str">
        <f ca="1">IFERROR(__xludf.DUMMYFUNCTION("""COMPUTED_VALUE"""),"All items in working order")</f>
        <v>All items in working order</v>
      </c>
      <c r="AE709" s="11"/>
      <c r="AF709" t="str">
        <v>Pamela.Marcum@floridadep.gov</v>
      </c>
      <c r="AG709" s="17" t="s">
        <v>139</v>
      </c>
      <c r="AH709" s="12">
        <v>1105</v>
      </c>
      <c r="AI709" s="12" t="s">
        <v>2077</v>
      </c>
      <c r="AJ709" s="19" t="s">
        <v>2078</v>
      </c>
      <c r="AK709" s="20" t="str">
        <f>HYPERLINK("https://docs.google.com/document/d/1U2zr6yNIxrnxjOGZZeBvisj7kkOCD3qMatYYN0LeKEE/edit?usp=drivesdk","Shannon Dunnigan - 8/25/2021 7:30 AM")</f>
        <v>Shannon Dunnigan - 8/25/2021 7:30 AM</v>
      </c>
      <c r="AL709" s="12" t="s">
        <v>2079</v>
      </c>
    </row>
    <row r="710" spans="1:38" ht="12.75">
      <c r="A710" s="10">
        <f ca="1">IFERROR(__xludf.DUMMYFUNCTION("""COMPUTED_VALUE"""),44434.3392420486)</f>
        <v>44434.339242048598</v>
      </c>
      <c r="B710" s="11" t="str">
        <f ca="1">IFERROR(__xludf.DUMMYFUNCTION("""COMPUTED_VALUE"""),"Pam Marcum")</f>
        <v>Pam Marcum</v>
      </c>
      <c r="C710" t="str">
        <f ca="1">IFERROR(__xludf.DUMMYFUNCTION("""COMPUTED_VALUE"""),"pamela.marcum@floridadep.gov")</f>
        <v>pamela.marcum@floridadep.gov</v>
      </c>
      <c r="D710" t="str">
        <f ca="1">IFERROR(__xludf.DUMMYFUNCTION("""COMPUTED_VALUE"""),"Nikki Dix")</f>
        <v>Nikki Dix</v>
      </c>
      <c r="E710" t="str">
        <f ca="1">IFERROR(__xludf.DUMMYFUNCTION("""COMPUTED_VALUE"""),"Shore dr")</f>
        <v>Shore dr</v>
      </c>
      <c r="F710" s="13">
        <f ca="1">IFERROR(__xludf.DUMMYFUNCTION("""COMPUTED_VALUE"""),0.33333333333212)</f>
        <v>0.33333333333212001</v>
      </c>
      <c r="G710" s="14">
        <f ca="1">IFERROR(__xludf.DUMMYFUNCTION("""COMPUTED_VALUE"""),44434)</f>
        <v>44434</v>
      </c>
      <c r="H710" t="str">
        <f ca="1">IFERROR(__xludf.DUMMYFUNCTION("""COMPUTED_VALUE"""),"Site 22")</f>
        <v>Site 22</v>
      </c>
      <c r="I710" s="15">
        <f ca="1">IFERROR(__xludf.DUMMYFUNCTION("""COMPUTED_VALUE"""),0.45833333333212)</f>
        <v>0.45833333333212001</v>
      </c>
      <c r="J710" s="16">
        <f ca="1">IFERROR(__xludf.DUMMYFUNCTION("""COMPUTED_VALUE"""),44434.4791666666)</f>
        <v>44434.479166666599</v>
      </c>
      <c r="K710" t="str">
        <f ca="1">IFERROR(__xludf.DUMMYFUNCTION("""COMPUTED_VALUE"""),"23ft Skiff (Bertha) FL7972LJ DEP07613")</f>
        <v>23ft Skiff (Bertha) FL7972LJ DEP07613</v>
      </c>
      <c r="M710" t="str">
        <f ca="1">IFERROR(__xludf.DUMMYFUNCTION("""COMPUTED_VALUE"""),"Ford F150 2015 (White) - DEP21448")</f>
        <v>Ford F150 2015 (White) - DEP21448</v>
      </c>
      <c r="N710" t="str">
        <f ca="1">IFERROR(__xludf.DUMMYFUNCTION("""COMPUTED_VALUE"""),"Pam Marcum, (480) 332-5414, Alee Knoell, (619) 750-4833")</f>
        <v>Pam Marcum, (480) 332-5414, Alee Knoell, (619) 750-4833</v>
      </c>
      <c r="P710" t="str">
        <f ca="1">IFERROR(__xludf.DUMMYFUNCTION("""COMPUTED_VALUE"""),"Pam")</f>
        <v>Pam</v>
      </c>
      <c r="Q710" t="str">
        <f ca="1">IFERROR(__xludf.DUMMYFUNCTION("""COMPUTED_VALUE"""),"All items in working order")</f>
        <v>All items in working order</v>
      </c>
      <c r="AE710" s="11"/>
      <c r="AF710" t="str">
        <v>Nikki.Dix@floridadep.gov</v>
      </c>
      <c r="AG710" s="17" t="s">
        <v>41</v>
      </c>
      <c r="AH710" s="12">
        <v>1207</v>
      </c>
      <c r="AI710" s="12" t="s">
        <v>2080</v>
      </c>
      <c r="AJ710" s="19" t="s">
        <v>2081</v>
      </c>
      <c r="AK710" s="20" t="str">
        <f>HYPERLINK("https://docs.google.com/document/d/1AK89D3zATwCbB9j94cgqzUMBGJ-NNLW-U1t8PCqZwmI/edit?usp=drivesdk","Pam Marcum - 8/26/2021 8:00 AM")</f>
        <v>Pam Marcum - 8/26/2021 8:00 AM</v>
      </c>
      <c r="AL710" s="12" t="s">
        <v>2082</v>
      </c>
    </row>
    <row r="711" spans="1:38" ht="12.75">
      <c r="A711" s="10">
        <f ca="1">IFERROR(__xludf.DUMMYFUNCTION("""COMPUTED_VALUE"""),44435.5500709953)</f>
        <v>44435.550070995298</v>
      </c>
      <c r="B711" s="11" t="str">
        <f ca="1">IFERROR(__xludf.DUMMYFUNCTION("""COMPUTED_VALUE"""),"Alexandria Knoell ")</f>
        <v xml:space="preserve">Alexandria Knoell </v>
      </c>
      <c r="C711" t="str">
        <f ca="1">IFERROR(__xludf.DUMMYFUNCTION("""COMPUTED_VALUE"""),"alee.knoell@floridadep.gov")</f>
        <v>alee.knoell@floridadep.gov</v>
      </c>
      <c r="D711" t="str">
        <f ca="1">IFERROR(__xludf.DUMMYFUNCTION("""COMPUTED_VALUE"""),"Nikki Dix")</f>
        <v>Nikki Dix</v>
      </c>
      <c r="E711" t="str">
        <f ca="1">IFERROR(__xludf.DUMMYFUNCTION("""COMPUTED_VALUE"""),"Bings")</f>
        <v>Bings</v>
      </c>
      <c r="F711" s="13">
        <f ca="1">IFERROR(__xludf.DUMMYFUNCTION("""COMPUTED_VALUE"""),0.548611111109494)</f>
        <v>0.54861111110949401</v>
      </c>
      <c r="G711" s="14">
        <f ca="1">IFERROR(__xludf.DUMMYFUNCTION("""COMPUTED_VALUE"""),44435)</f>
        <v>44435</v>
      </c>
      <c r="H711" t="str">
        <f ca="1">IFERROR(__xludf.DUMMYFUNCTION("""COMPUTED_VALUE"""),"Platforms ")</f>
        <v xml:space="preserve">Platforms </v>
      </c>
      <c r="I711" s="15">
        <f ca="1">IFERROR(__xludf.DUMMYFUNCTION("""COMPUTED_VALUE"""),0.666666666667879)</f>
        <v>0.66666666666787899</v>
      </c>
      <c r="J711" s="16">
        <f ca="1">IFERROR(__xludf.DUMMYFUNCTION("""COMPUTED_VALUE"""),44435.7083333333)</f>
        <v>44435.708333333299</v>
      </c>
      <c r="K711" t="str">
        <f ca="1">IFERROR(__xludf.DUMMYFUNCTION("""COMPUTED_VALUE"""),"23ft Skiff (Bertha) FL7972LJ DEP07613")</f>
        <v>23ft Skiff (Bertha) FL7972LJ DEP07613</v>
      </c>
      <c r="M711" t="str">
        <f ca="1">IFERROR(__xludf.DUMMYFUNCTION("""COMPUTED_VALUE"""),"Ford F150 2015 (White) - DEP21448")</f>
        <v>Ford F150 2015 (White) - DEP21448</v>
      </c>
      <c r="N711" t="str">
        <f ca="1">IFERROR(__xludf.DUMMYFUNCTION("""COMPUTED_VALUE"""),"Pam Marcum, (480) 332-5414, Alee Knoell, (619) 750-4833")</f>
        <v>Pam Marcum, (480) 332-5414, Alee Knoell, (619) 750-4833</v>
      </c>
      <c r="P711" t="str">
        <f ca="1">IFERROR(__xludf.DUMMYFUNCTION("""COMPUTED_VALUE"""),"Alee")</f>
        <v>Alee</v>
      </c>
      <c r="Q711" t="str">
        <f ca="1">IFERROR(__xludf.DUMMYFUNCTION("""COMPUTED_VALUE"""),"All items in working order")</f>
        <v>All items in working order</v>
      </c>
      <c r="AE711" s="11"/>
      <c r="AF711" t="str">
        <v>Nikki.Dix@floridadep.gov</v>
      </c>
      <c r="AG711" s="17" t="s">
        <v>41</v>
      </c>
      <c r="AH711" s="12">
        <v>1506</v>
      </c>
      <c r="AI711" s="12" t="s">
        <v>2083</v>
      </c>
      <c r="AJ711" s="19" t="s">
        <v>2084</v>
      </c>
      <c r="AK711" s="20" t="str">
        <f>HYPERLINK("https://docs.google.com/document/d/1Dx45YFxdcrVQmOj-PypztBtJxF-9MY31ZN-X_QDW7IA/edit?usp=drivesdk","Alexandria Knoell  - 8/27/2021 1:10 PM")</f>
        <v>Alexandria Knoell  - 8/27/2021 1:10 PM</v>
      </c>
      <c r="AL711" s="12" t="s">
        <v>2085</v>
      </c>
    </row>
    <row r="712" spans="1:38" ht="12.75">
      <c r="A712" s="10">
        <f ca="1">IFERROR(__xludf.DUMMYFUNCTION("""COMPUTED_VALUE"""),44439.2890620138)</f>
        <v>44439.289062013799</v>
      </c>
      <c r="B712" s="11" t="str">
        <f ca="1">IFERROR(__xludf.DUMMYFUNCTION("""COMPUTED_VALUE"""),"Pam Marcum")</f>
        <v>Pam Marcum</v>
      </c>
      <c r="C712" t="str">
        <f ca="1">IFERROR(__xludf.DUMMYFUNCTION("""COMPUTED_VALUE"""),"pamela.marcum@floridadep.gov")</f>
        <v>pamela.marcum@floridadep.gov</v>
      </c>
      <c r="D712" t="str">
        <f ca="1">IFERROR(__xludf.DUMMYFUNCTION("""COMPUTED_VALUE"""),"Nikki Dix")</f>
        <v>Nikki Dix</v>
      </c>
      <c r="E712" t="str">
        <f ca="1">IFERROR(__xludf.DUMMYFUNCTION("""COMPUTED_VALUE"""),"Butler")</f>
        <v>Butler</v>
      </c>
      <c r="F712" s="13">
        <f ca="1">IFERROR(__xludf.DUMMYFUNCTION("""COMPUTED_VALUE"""),0.291666666667879)</f>
        <v>0.29166666666787899</v>
      </c>
      <c r="G712" s="14">
        <f ca="1">IFERROR(__xludf.DUMMYFUNCTION("""COMPUTED_VALUE"""),44439)</f>
        <v>44439</v>
      </c>
      <c r="H712" t="str">
        <f ca="1">IFERROR(__xludf.DUMMYFUNCTION("""COMPUTED_VALUE"""),"Moses creek")</f>
        <v>Moses creek</v>
      </c>
      <c r="I712" s="15">
        <f ca="1">IFERROR(__xludf.DUMMYFUNCTION("""COMPUTED_VALUE"""),0.45833333333212)</f>
        <v>0.45833333333212001</v>
      </c>
      <c r="J712" s="16">
        <f ca="1">IFERROR(__xludf.DUMMYFUNCTION("""COMPUTED_VALUE"""),44439.5833333333)</f>
        <v>44439.583333333299</v>
      </c>
      <c r="K712" t="str">
        <f ca="1">IFERROR(__xludf.DUMMYFUNCTION("""COMPUTED_VALUE"""),"23ft Skiff (Bertha) FL7972LJ DEP07613")</f>
        <v>23ft Skiff (Bertha) FL7972LJ DEP07613</v>
      </c>
      <c r="M712" t="str">
        <f ca="1">IFERROR(__xludf.DUMMYFUNCTION("""COMPUTED_VALUE"""),"Ford F150 2015 (White) - DEP21448")</f>
        <v>Ford F150 2015 (White) - DEP21448</v>
      </c>
      <c r="N712" t="str">
        <f ca="1">IFERROR(__xludf.DUMMYFUNCTION("""COMPUTED_VALUE"""),"Pam Marcum, (480) 332-5414")</f>
        <v>Pam Marcum, (480) 332-5414</v>
      </c>
      <c r="O712" t="str">
        <f ca="1">IFERROR(__xludf.DUMMYFUNCTION("""COMPUTED_VALUE"""),"Brian Alexander")</f>
        <v>Brian Alexander</v>
      </c>
      <c r="P712" t="str">
        <f ca="1">IFERROR(__xludf.DUMMYFUNCTION("""COMPUTED_VALUE"""),"Pam")</f>
        <v>Pam</v>
      </c>
      <c r="Q712" t="str">
        <f ca="1">IFERROR(__xludf.DUMMYFUNCTION("""COMPUTED_VALUE"""),"All items in working order")</f>
        <v>All items in working order</v>
      </c>
      <c r="AE712" s="11"/>
      <c r="AF712" t="str">
        <v>Nikki.Dix@floridadep.gov</v>
      </c>
      <c r="AG712" s="17" t="s">
        <v>41</v>
      </c>
      <c r="AH712" s="12">
        <v>1112</v>
      </c>
      <c r="AI712" s="12" t="s">
        <v>2086</v>
      </c>
      <c r="AJ712" s="19" t="s">
        <v>2087</v>
      </c>
      <c r="AK712" s="20" t="str">
        <f>HYPERLINK("https://docs.google.com/document/d/1t_uYYgm0MStimQ49VYj0hyFu-JZaIofMV-1KXOhk0iM/edit?usp=drivesdk","Pam Marcum - 8/31/2021 7:00 AM")</f>
        <v>Pam Marcum - 8/31/2021 7:00 AM</v>
      </c>
      <c r="AL712" s="12" t="s">
        <v>2088</v>
      </c>
    </row>
    <row r="713" spans="1:38" ht="12.75">
      <c r="A713" s="10">
        <f ca="1">IFERROR(__xludf.DUMMYFUNCTION("""COMPUTED_VALUE"""),44439.4985228935)</f>
        <v>44439.498522893497</v>
      </c>
      <c r="B713" s="11" t="str">
        <f ca="1">IFERROR(__xludf.DUMMYFUNCTION("""COMPUTED_VALUE"""),"Pam Marcum")</f>
        <v>Pam Marcum</v>
      </c>
      <c r="C713" t="str">
        <f ca="1">IFERROR(__xludf.DUMMYFUNCTION("""COMPUTED_VALUE"""),"pamela.Marcum@floridadep.gov")</f>
        <v>pamela.Marcum@floridadep.gov</v>
      </c>
      <c r="D713" t="str">
        <f ca="1">IFERROR(__xludf.DUMMYFUNCTION("""COMPUTED_VALUE"""),"Nikki Dix")</f>
        <v>Nikki Dix</v>
      </c>
      <c r="E713" t="str">
        <f ca="1">IFERROR(__xludf.DUMMYFUNCTION("""COMPUTED_VALUE"""),"Bings")</f>
        <v>Bings</v>
      </c>
      <c r="F713" s="13">
        <f ca="1">IFERROR(__xludf.DUMMYFUNCTION("""COMPUTED_VALUE"""),0.5)</f>
        <v>0.5</v>
      </c>
      <c r="G713" s="14">
        <f ca="1">IFERROR(__xludf.DUMMYFUNCTION("""COMPUTED_VALUE"""),44439)</f>
        <v>44439</v>
      </c>
      <c r="H713" t="str">
        <f ca="1">IFERROR(__xludf.DUMMYFUNCTION("""COMPUTED_VALUE"""),"Wash oaks")</f>
        <v>Wash oaks</v>
      </c>
      <c r="I713" s="15">
        <f ca="1">IFERROR(__xludf.DUMMYFUNCTION("""COMPUTED_VALUE"""),0.58333333333212)</f>
        <v>0.58333333333212001</v>
      </c>
      <c r="J713" s="16">
        <f ca="1">IFERROR(__xludf.DUMMYFUNCTION("""COMPUTED_VALUE"""),44439.625)</f>
        <v>44439.625</v>
      </c>
      <c r="K713" t="str">
        <f ca="1">IFERROR(__xludf.DUMMYFUNCTION("""COMPUTED_VALUE"""),"23ft Skiff (Bertha) FL7972LJ DEP07613")</f>
        <v>23ft Skiff (Bertha) FL7972LJ DEP07613</v>
      </c>
      <c r="M713" t="str">
        <f ca="1">IFERROR(__xludf.DUMMYFUNCTION("""COMPUTED_VALUE"""),"Ford F150 2015 (White) - DEP21448")</f>
        <v>Ford F150 2015 (White) - DEP21448</v>
      </c>
      <c r="N713" t="str">
        <f ca="1">IFERROR(__xludf.DUMMYFUNCTION("""COMPUTED_VALUE"""),"Pam Marcum, (480) 332-5414")</f>
        <v>Pam Marcum, (480) 332-5414</v>
      </c>
      <c r="O713" t="str">
        <f ca="1">IFERROR(__xludf.DUMMYFUNCTION("""COMPUTED_VALUE"""),"Brian Alexander")</f>
        <v>Brian Alexander</v>
      </c>
      <c r="P713" t="str">
        <f ca="1">IFERROR(__xludf.DUMMYFUNCTION("""COMPUTED_VALUE"""),"Pam")</f>
        <v>Pam</v>
      </c>
      <c r="Q713" t="str">
        <f ca="1">IFERROR(__xludf.DUMMYFUNCTION("""COMPUTED_VALUE"""),"All items in working order")</f>
        <v>All items in working order</v>
      </c>
      <c r="AE713" s="11"/>
      <c r="AF713" t="str">
        <v>Nikki.Dix@floridadep.gov</v>
      </c>
      <c r="AG713" s="17" t="s">
        <v>41</v>
      </c>
      <c r="AH713" s="12">
        <v>1402</v>
      </c>
      <c r="AI713" s="12" t="s">
        <v>2089</v>
      </c>
      <c r="AJ713" s="19" t="s">
        <v>2090</v>
      </c>
      <c r="AK713" s="20" t="str">
        <f>HYPERLINK("https://docs.google.com/document/d/1l7T7l5lGsAvwCSY7eyuLwzzIqNycdfh-23dShuDmFmU/edit?usp=drivesdk","Pam Marcum - 8/31/2021 12:00 PM")</f>
        <v>Pam Marcum - 8/31/2021 12:00 PM</v>
      </c>
      <c r="AL713" s="12" t="s">
        <v>2091</v>
      </c>
    </row>
    <row r="714" spans="1:38" ht="12.75">
      <c r="A714" s="10">
        <f ca="1">IFERROR(__xludf.DUMMYFUNCTION("""COMPUTED_VALUE"""),44441.2864480902)</f>
        <v>44441.286448090199</v>
      </c>
      <c r="B714" s="11" t="str">
        <f ca="1">IFERROR(__xludf.DUMMYFUNCTION("""COMPUTED_VALUE"""),"Alexandria Knoell ")</f>
        <v xml:space="preserve">Alexandria Knoell </v>
      </c>
      <c r="C714" t="str">
        <f ca="1">IFERROR(__xludf.DUMMYFUNCTION("""COMPUTED_VALUE"""),"alee.knoell@floridadep.gov")</f>
        <v>alee.knoell@floridadep.gov</v>
      </c>
      <c r="D714" t="str">
        <f ca="1">IFERROR(__xludf.DUMMYFUNCTION("""COMPUTED_VALUE"""),"Nikki Dix")</f>
        <v>Nikki Dix</v>
      </c>
      <c r="E714" t="str">
        <f ca="1">IFERROR(__xludf.DUMMYFUNCTION("""COMPUTED_VALUE"""),"Aunt Kate’s ")</f>
        <v xml:space="preserve">Aunt Kate’s </v>
      </c>
      <c r="F714" s="13">
        <f ca="1">IFERROR(__xludf.DUMMYFUNCTION("""COMPUTED_VALUE"""),0.291666666667879)</f>
        <v>0.29166666666787899</v>
      </c>
      <c r="G714" s="14">
        <f ca="1">IFERROR(__xludf.DUMMYFUNCTION("""COMPUTED_VALUE"""),44441)</f>
        <v>44441</v>
      </c>
      <c r="H714" t="str">
        <f ca="1">IFERROR(__xludf.DUMMYFUNCTION("""COMPUTED_VALUE"""),"Hat island, pine island")</f>
        <v>Hat island, pine island</v>
      </c>
      <c r="I714" s="15">
        <f ca="1">IFERROR(__xludf.DUMMYFUNCTION("""COMPUTED_VALUE"""),0.541666666667879)</f>
        <v>0.54166666666787899</v>
      </c>
      <c r="J714" s="16">
        <f ca="1">IFERROR(__xludf.DUMMYFUNCTION("""COMPUTED_VALUE"""),44441.5625)</f>
        <v>44441.5625</v>
      </c>
      <c r="K714" t="str">
        <f ca="1">IFERROR(__xludf.DUMMYFUNCTION("""COMPUTED_VALUE"""),"23ft Skiff (Bertha) FL7972LJ DEP07613")</f>
        <v>23ft Skiff (Bertha) FL7972LJ DEP07613</v>
      </c>
      <c r="M714" t="str">
        <f ca="1">IFERROR(__xludf.DUMMYFUNCTION("""COMPUTED_VALUE"""),"Ford F150 2015 (White) - DEP21448")</f>
        <v>Ford F150 2015 (White) - DEP21448</v>
      </c>
      <c r="N714" t="str">
        <f ca="1">IFERROR(__xludf.DUMMYFUNCTION("""COMPUTED_VALUE"""),"Pam Marcum, (480) 332-5414, Alee Knoell, (619) 750-4833")</f>
        <v>Pam Marcum, (480) 332-5414, Alee Knoell, (619) 750-4833</v>
      </c>
      <c r="P714" t="str">
        <f ca="1">IFERROR(__xludf.DUMMYFUNCTION("""COMPUTED_VALUE"""),"Pam marcum")</f>
        <v>Pam marcum</v>
      </c>
      <c r="Q714" t="str">
        <f ca="1">IFERROR(__xludf.DUMMYFUNCTION("""COMPUTED_VALUE"""),"All items in working order")</f>
        <v>All items in working order</v>
      </c>
      <c r="AE714" s="11"/>
      <c r="AF714" t="str">
        <v>Nikki.Dix@floridadep.gov</v>
      </c>
      <c r="AG714" s="17" t="s">
        <v>41</v>
      </c>
      <c r="AH714" s="12">
        <v>1218</v>
      </c>
      <c r="AI714" s="12" t="s">
        <v>2092</v>
      </c>
      <c r="AJ714" s="19" t="s">
        <v>2093</v>
      </c>
      <c r="AK714" s="20" t="str">
        <f>HYPERLINK("https://docs.google.com/document/d/1movB5RqqSuVpo8tiywxjBHz7_LQkMkDF9P4Gl2iWNjg/edit?usp=drivesdk","Alexandria Knoell  - 9/2/2021 7:00 AM")</f>
        <v>Alexandria Knoell  - 9/2/2021 7:00 AM</v>
      </c>
      <c r="AL714" s="12" t="s">
        <v>2094</v>
      </c>
    </row>
    <row r="715" spans="1:38" ht="12.75">
      <c r="A715" s="10">
        <f ca="1">IFERROR(__xludf.DUMMYFUNCTION("""COMPUTED_VALUE"""),44442.2961292824)</f>
        <v>44442.296129282397</v>
      </c>
      <c r="B715" s="11" t="str">
        <f ca="1">IFERROR(__xludf.DUMMYFUNCTION("""COMPUTED_VALUE"""),"Pam Marcum")</f>
        <v>Pam Marcum</v>
      </c>
      <c r="C715" t="str">
        <f ca="1">IFERROR(__xludf.DUMMYFUNCTION("""COMPUTED_VALUE"""),"pamela.marcum@floridadep.gov")</f>
        <v>pamela.marcum@floridadep.gov</v>
      </c>
      <c r="D715" t="str">
        <f ca="1">IFERROR(__xludf.DUMMYFUNCTION("""COMPUTED_VALUE"""),"Shannon Dunnigan")</f>
        <v>Shannon Dunnigan</v>
      </c>
      <c r="E715" t="str">
        <f ca="1">IFERROR(__xludf.DUMMYFUNCTION("""COMPUTED_VALUE"""),"Palm Valley")</f>
        <v>Palm Valley</v>
      </c>
      <c r="F715" s="13">
        <f ca="1">IFERROR(__xludf.DUMMYFUNCTION("""COMPUTED_VALUE"""),0.30208333333212)</f>
        <v>0.30208333333212001</v>
      </c>
      <c r="G715" s="14">
        <f ca="1">IFERROR(__xludf.DUMMYFUNCTION("""COMPUTED_VALUE"""),44442)</f>
        <v>44442</v>
      </c>
      <c r="H715" t="str">
        <f ca="1">IFERROR(__xludf.DUMMYFUNCTION("""COMPUTED_VALUE"""),"Pine Island")</f>
        <v>Pine Island</v>
      </c>
      <c r="I715" s="15">
        <f ca="1">IFERROR(__xludf.DUMMYFUNCTION("""COMPUTED_VALUE"""),0.541666666667879)</f>
        <v>0.54166666666787899</v>
      </c>
      <c r="J715" s="16">
        <f ca="1">IFERROR(__xludf.DUMMYFUNCTION("""COMPUTED_VALUE"""),44442.5625)</f>
        <v>44442.5625</v>
      </c>
      <c r="K715" t="str">
        <f ca="1">IFERROR(__xludf.DUMMYFUNCTION("""COMPUTED_VALUE"""),"23ft Skiff (Bertha) FL7972LJ DEP07613")</f>
        <v>23ft Skiff (Bertha) FL7972LJ DEP07613</v>
      </c>
      <c r="M715" t="str">
        <f ca="1">IFERROR(__xludf.DUMMYFUNCTION("""COMPUTED_VALUE"""),"Ford F150 2015 (White) - DEP21448")</f>
        <v>Ford F150 2015 (White) - DEP21448</v>
      </c>
      <c r="N715" t="str">
        <f ca="1">IFERROR(__xludf.DUMMYFUNCTION("""COMPUTED_VALUE"""),"Pam Marcum, (480) 332-5414, Alee Knoell, (619) 750-4833")</f>
        <v>Pam Marcum, (480) 332-5414, Alee Knoell, (619) 750-4833</v>
      </c>
      <c r="P715" t="str">
        <f ca="1">IFERROR(__xludf.DUMMYFUNCTION("""COMPUTED_VALUE"""),"Pam")</f>
        <v>Pam</v>
      </c>
      <c r="Q715" t="str">
        <f ca="1">IFERROR(__xludf.DUMMYFUNCTION("""COMPUTED_VALUE"""),"All items in working order")</f>
        <v>All items in working order</v>
      </c>
      <c r="AE715" s="11"/>
      <c r="AF715" t="str">
        <v>Shannon.Dunnigan@floridadep.gov</v>
      </c>
      <c r="AG715" s="17" t="s">
        <v>507</v>
      </c>
      <c r="AH715" s="12">
        <v>1139</v>
      </c>
      <c r="AI715" s="12" t="s">
        <v>2095</v>
      </c>
      <c r="AJ715" s="19" t="s">
        <v>2096</v>
      </c>
      <c r="AK715" s="20" t="str">
        <f>HYPERLINK("https://docs.google.com/document/d/1D7VnvlRYsXh23tW1OzsJiBw_0qMMA1QxRATmM1zC_dM/edit?usp=drivesdk","Pam Marcum - 9/3/2021 7:15 AM")</f>
        <v>Pam Marcum - 9/3/2021 7:15 AM</v>
      </c>
      <c r="AL715" s="12" t="s">
        <v>2097</v>
      </c>
    </row>
    <row r="716" spans="1:38" ht="12.75">
      <c r="A716" s="10">
        <f ca="1">IFERROR(__xludf.DUMMYFUNCTION("""COMPUTED_VALUE"""),44446.3635890162)</f>
        <v>44446.363589016197</v>
      </c>
      <c r="B716" s="11" t="str">
        <f ca="1">IFERROR(__xludf.DUMMYFUNCTION("""COMPUTED_VALUE"""),"Olivia Roorbach")</f>
        <v>Olivia Roorbach</v>
      </c>
      <c r="C716" t="str">
        <f ca="1">IFERROR(__xludf.DUMMYFUNCTION("""COMPUTED_VALUE"""),"olivia.roorbach@floridadep.gov")</f>
        <v>olivia.roorbach@floridadep.gov</v>
      </c>
      <c r="D716" t="str">
        <f ca="1">IFERROR(__xludf.DUMMYFUNCTION("""COMPUTED_VALUE"""),"Pam Marcum")</f>
        <v>Pam Marcum</v>
      </c>
      <c r="E716" t="str">
        <f ca="1">IFERROR(__xludf.DUMMYFUNCTION("""COMPUTED_VALUE"""),"Guana dam")</f>
        <v>Guana dam</v>
      </c>
      <c r="F716" s="13">
        <f ca="1">IFERROR(__xludf.DUMMYFUNCTION("""COMPUTED_VALUE"""),0.430555555554747)</f>
        <v>0.430555555554747</v>
      </c>
      <c r="G716" s="14">
        <f ca="1">IFERROR(__xludf.DUMMYFUNCTION("""COMPUTED_VALUE"""),44446)</f>
        <v>44446</v>
      </c>
      <c r="H716" t="str">
        <f ca="1">IFERROR(__xludf.DUMMYFUNCTION("""COMPUTED_VALUE"""),"Guana river and lake")</f>
        <v>Guana river and lake</v>
      </c>
      <c r="I716" s="15">
        <f ca="1">IFERROR(__xludf.DUMMYFUNCTION("""COMPUTED_VALUE"""),0.604166666667879)</f>
        <v>0.60416666666787899</v>
      </c>
      <c r="J716" s="16">
        <f ca="1">IFERROR(__xludf.DUMMYFUNCTION("""COMPUTED_VALUE"""),44446.625)</f>
        <v>44446.625</v>
      </c>
      <c r="K716" t="str">
        <f ca="1">IFERROR(__xludf.DUMMYFUNCTION("""COMPUTED_VALUE"""),"Jon Boat 1 FL5992RR DEP154045, FWC airboat")</f>
        <v>Jon Boat 1 FL5992RR DEP154045, FWC airboat</v>
      </c>
      <c r="M716" t="str">
        <f ca="1">IFERROR(__xludf.DUMMYFUNCTION("""COMPUTED_VALUE"""),"Ford F150 2015 (White) - DEP21448")</f>
        <v>Ford F150 2015 (White) - DEP21448</v>
      </c>
      <c r="N716" t="str">
        <f ca="1">IFERROR(__xludf.DUMMYFUNCTION("""COMPUTED_VALUE"""),"Olivia Roorbach, (404) 694-2653")</f>
        <v>Olivia Roorbach, (404) 694-2653</v>
      </c>
      <c r="O716" t="str">
        <f ca="1">IFERROR(__xludf.DUMMYFUNCTION("""COMPUTED_VALUE"""),"Justina Dacey, Jenna Reimer")</f>
        <v>Justina Dacey, Jenna Reimer</v>
      </c>
      <c r="P716" t="str">
        <f ca="1">IFERROR(__xludf.DUMMYFUNCTION("""COMPUTED_VALUE"""),"Olivia Roorbach")</f>
        <v>Olivia Roorbach</v>
      </c>
      <c r="Q716" t="str">
        <f ca="1">IFERROR(__xludf.DUMMYFUNCTION("""COMPUTED_VALUE"""),"All items in working order")</f>
        <v>All items in working order</v>
      </c>
      <c r="AE716" s="11"/>
      <c r="AF716" t="str">
        <v>Pamela.Marcum@floridadep.gov</v>
      </c>
      <c r="AG716" s="17" t="s">
        <v>139</v>
      </c>
      <c r="AH716" s="12">
        <v>1452</v>
      </c>
      <c r="AI716" s="12" t="s">
        <v>2098</v>
      </c>
      <c r="AJ716" s="19" t="s">
        <v>2099</v>
      </c>
      <c r="AK716" s="20" t="str">
        <f>HYPERLINK("https://docs.google.com/document/d/14qxRtX90qROZgdn9mffzFzSUVHCE0oQ1SjDA8Zla6RY/edit?usp=drivesdk","Olivia Roorbach - 9/7/2021 10:20 AM")</f>
        <v>Olivia Roorbach - 9/7/2021 10:20 AM</v>
      </c>
      <c r="AL716" s="12" t="s">
        <v>2100</v>
      </c>
    </row>
    <row r="717" spans="1:38" ht="12.75">
      <c r="A717" s="10">
        <f ca="1">IFERROR(__xludf.DUMMYFUNCTION("""COMPUTED_VALUE"""),44447.4009582986)</f>
        <v>44447.400958298596</v>
      </c>
      <c r="B717" s="11" t="str">
        <f ca="1">IFERROR(__xludf.DUMMYFUNCTION("""COMPUTED_VALUE"""),"Alexandria Knoell ")</f>
        <v xml:space="preserve">Alexandria Knoell </v>
      </c>
      <c r="C717" t="str">
        <f ca="1">IFERROR(__xludf.DUMMYFUNCTION("""COMPUTED_VALUE"""),"alee.knoell@floridadep.gov")</f>
        <v>alee.knoell@floridadep.gov</v>
      </c>
      <c r="D717" t="str">
        <f ca="1">IFERROR(__xludf.DUMMYFUNCTION("""COMPUTED_VALUE"""),"Silas Tanner")</f>
        <v>Silas Tanner</v>
      </c>
      <c r="E717" t="str">
        <f ca="1">IFERROR(__xludf.DUMMYFUNCTION("""COMPUTED_VALUE"""),"Vilano")</f>
        <v>Vilano</v>
      </c>
      <c r="F717" s="13">
        <f ca="1">IFERROR(__xludf.DUMMYFUNCTION("""COMPUTED_VALUE"""),0.416666666667879)</f>
        <v>0.41666666666787899</v>
      </c>
      <c r="G717" s="14">
        <f ca="1">IFERROR(__xludf.DUMMYFUNCTION("""COMPUTED_VALUE"""),44447)</f>
        <v>44447</v>
      </c>
      <c r="H717" t="str">
        <f ca="1">IFERROR(__xludf.DUMMYFUNCTION("""COMPUTED_VALUE"""),"Nut run")</f>
        <v>Nut run</v>
      </c>
      <c r="I717" s="15">
        <f ca="1">IFERROR(__xludf.DUMMYFUNCTION("""COMPUTED_VALUE"""),0.58333333333212)</f>
        <v>0.58333333333212001</v>
      </c>
      <c r="J717" s="16">
        <f ca="1">IFERROR(__xludf.DUMMYFUNCTION("""COMPUTED_VALUE"""),44447.625)</f>
        <v>44447.625</v>
      </c>
      <c r="K717" t="str">
        <f ca="1">IFERROR(__xludf.DUMMYFUNCTION("""COMPUTED_VALUE"""),"23ft Skiff (Bertha) FL7972LJ DEP07613")</f>
        <v>23ft Skiff (Bertha) FL7972LJ DEP07613</v>
      </c>
      <c r="M717" t="str">
        <f ca="1">IFERROR(__xludf.DUMMYFUNCTION("""COMPUTED_VALUE"""),"Ford F150 2015 (White) - DEP21448")</f>
        <v>Ford F150 2015 (White) - DEP21448</v>
      </c>
      <c r="N717" t="str">
        <f ca="1">IFERROR(__xludf.DUMMYFUNCTION("""COMPUTED_VALUE"""),"Alee Knoell, (619) 750-4833")</f>
        <v>Alee Knoell, (619) 750-4833</v>
      </c>
      <c r="O717" t="str">
        <f ca="1">IFERROR(__xludf.DUMMYFUNCTION("""COMPUTED_VALUE"""),"Ashley r, Emma w")</f>
        <v>Ashley r, Emma w</v>
      </c>
      <c r="P717" t="str">
        <f ca="1">IFERROR(__xludf.DUMMYFUNCTION("""COMPUTED_VALUE"""),"Alee")</f>
        <v>Alee</v>
      </c>
      <c r="Q717" t="str">
        <f ca="1">IFERROR(__xludf.DUMMYFUNCTION("""COMPUTED_VALUE"""),"All items in working order")</f>
        <v>All items in working order</v>
      </c>
      <c r="AE717" s="11"/>
      <c r="AF717" t="str">
        <v>Silas.Tanner@floridadep.gov</v>
      </c>
      <c r="AG717" s="17" t="s">
        <v>1568</v>
      </c>
      <c r="AH717" s="23">
        <v>0.63263888888888886</v>
      </c>
      <c r="AI717" s="12" t="s">
        <v>2101</v>
      </c>
      <c r="AJ717" s="19" t="s">
        <v>2102</v>
      </c>
      <c r="AK717" s="20" t="str">
        <f>HYPERLINK("https://docs.google.com/document/d/11jZGCFUa7B0fwht-WXRzwZSrPQLIk-Loku7QXsct5o8/edit?usp=drivesdk","Alexandria Knoell  - 9/8/2021 10:00 AM")</f>
        <v>Alexandria Knoell  - 9/8/2021 10:00 AM</v>
      </c>
      <c r="AL717" s="12" t="s">
        <v>2103</v>
      </c>
    </row>
    <row r="718" spans="1:38" ht="12.75">
      <c r="A718" s="10">
        <f ca="1">IFERROR(__xludf.DUMMYFUNCTION("""COMPUTED_VALUE"""),44448.3391574884)</f>
        <v>44448.339157488401</v>
      </c>
      <c r="B718" s="11" t="str">
        <f ca="1">IFERROR(__xludf.DUMMYFUNCTION("""COMPUTED_VALUE"""),"Silas Tanner")</f>
        <v>Silas Tanner</v>
      </c>
      <c r="C718" t="str">
        <f ca="1">IFERROR(__xludf.DUMMYFUNCTION("""COMPUTED_VALUE"""),"silas.tanner@floridadep.gov")</f>
        <v>silas.tanner@floridadep.gov</v>
      </c>
      <c r="D718" t="str">
        <f ca="1">IFERROR(__xludf.DUMMYFUNCTION("""COMPUTED_VALUE"""),"Nikki Dix")</f>
        <v>Nikki Dix</v>
      </c>
      <c r="E718" t="str">
        <f ca="1">IFERROR(__xludf.DUMMYFUNCTION("""COMPUTED_VALUE"""),"Vilano")</f>
        <v>Vilano</v>
      </c>
      <c r="F718" s="13">
        <f ca="1">IFERROR(__xludf.DUMMYFUNCTION("""COMPUTED_VALUE"""),0.385416666667879)</f>
        <v>0.38541666666787899</v>
      </c>
      <c r="G718" s="14">
        <f ca="1">IFERROR(__xludf.DUMMYFUNCTION("""COMPUTED_VALUE"""),44448)</f>
        <v>44448</v>
      </c>
      <c r="H718" t="str">
        <f ca="1">IFERROR(__xludf.DUMMYFUNCTION("""COMPUTED_VALUE"""),"ICW SWMP Sites")</f>
        <v>ICW SWMP Sites</v>
      </c>
      <c r="I718" s="15">
        <f ca="1">IFERROR(__xludf.DUMMYFUNCTION("""COMPUTED_VALUE"""),0.625)</f>
        <v>0.625</v>
      </c>
      <c r="J718" s="16">
        <f ca="1">IFERROR(__xludf.DUMMYFUNCTION("""COMPUTED_VALUE"""),44448.6666666666)</f>
        <v>44448.666666666599</v>
      </c>
      <c r="K718" t="str">
        <f ca="1">IFERROR(__xludf.DUMMYFUNCTION("""COMPUTED_VALUE"""),"20ft Sea Ark FL5351SJ UNF 2015")</f>
        <v>20ft Sea Ark FL5351SJ UNF 2015</v>
      </c>
      <c r="M718" t="str">
        <f ca="1">IFERROR(__xludf.DUMMYFUNCTION("""COMPUTED_VALUE"""),"Ford F150 2015 (White) - DEP21448")</f>
        <v>Ford F150 2015 (White) - DEP21448</v>
      </c>
      <c r="N718" t="str">
        <f ca="1">IFERROR(__xludf.DUMMYFUNCTION("""COMPUTED_VALUE"""),"Silas Tanner, (904) 483-8423, Remo Mondazzi")</f>
        <v>Silas Tanner, (904) 483-8423, Remo Mondazzi</v>
      </c>
      <c r="P718" t="str">
        <f ca="1">IFERROR(__xludf.DUMMYFUNCTION("""COMPUTED_VALUE"""),"S. Tanner")</f>
        <v>S. Tanner</v>
      </c>
      <c r="Q718" t="str">
        <f ca="1">IFERROR(__xludf.DUMMYFUNCTION("""COMPUTED_VALUE"""),"All items in working order")</f>
        <v>All items in working order</v>
      </c>
      <c r="AE718" s="11"/>
      <c r="AF718" t="str">
        <v>Nikki.Dix@floridadep.gov</v>
      </c>
      <c r="AG718" s="17" t="s">
        <v>41</v>
      </c>
      <c r="AH718" s="12">
        <v>1218</v>
      </c>
      <c r="AI718" s="12" t="s">
        <v>2104</v>
      </c>
      <c r="AJ718" s="19" t="s">
        <v>2105</v>
      </c>
      <c r="AK718" s="20" t="str">
        <f>HYPERLINK("https://docs.google.com/document/d/1l0nbiasO6RtBymwaJfWfmEF-T5_jWk8DfIu6TXOUaQU/edit?usp=drivesdk","Silas Tanner - 9/9/2021 9:15 AM")</f>
        <v>Silas Tanner - 9/9/2021 9:15 AM</v>
      </c>
      <c r="AL718" s="12" t="s">
        <v>2106</v>
      </c>
    </row>
    <row r="719" spans="1:38" ht="12.75">
      <c r="A719" s="10">
        <f ca="1">IFERROR(__xludf.DUMMYFUNCTION("""COMPUTED_VALUE"""),44453.3233247222)</f>
        <v>44453.323324722202</v>
      </c>
      <c r="B719" s="11" t="str">
        <f ca="1">IFERROR(__xludf.DUMMYFUNCTION("""COMPUTED_VALUE"""),"Pam Marcum")</f>
        <v>Pam Marcum</v>
      </c>
      <c r="C719" t="str">
        <f ca="1">IFERROR(__xludf.DUMMYFUNCTION("""COMPUTED_VALUE"""),"pamelamarcum@floridadep.gov")</f>
        <v>pamelamarcum@floridadep.gov</v>
      </c>
      <c r="D719" t="str">
        <f ca="1">IFERROR(__xludf.DUMMYFUNCTION("""COMPUTED_VALUE"""),"Alee Knoell")</f>
        <v>Alee Knoell</v>
      </c>
      <c r="E719" t="str">
        <f ca="1">IFERROR(__xludf.DUMMYFUNCTION("""COMPUTED_VALUE"""),"Palm Valley")</f>
        <v>Palm Valley</v>
      </c>
      <c r="F719" s="13">
        <f ca="1">IFERROR(__xludf.DUMMYFUNCTION("""COMPUTED_VALUE"""),0.322916666667879)</f>
        <v>0.32291666666787899</v>
      </c>
      <c r="G719" s="14">
        <f ca="1">IFERROR(__xludf.DUMMYFUNCTION("""COMPUTED_VALUE"""),44453)</f>
        <v>44453</v>
      </c>
      <c r="H719" t="str">
        <f ca="1">IFERROR(__xludf.DUMMYFUNCTION("""COMPUTED_VALUE"""),"Hat Island")</f>
        <v>Hat Island</v>
      </c>
      <c r="I719" s="15">
        <f ca="1">IFERROR(__xludf.DUMMYFUNCTION("""COMPUTED_VALUE"""),0.0208333333321206)</f>
        <v>2.0833333332120601E-2</v>
      </c>
      <c r="J719" s="16">
        <f ca="1">IFERROR(__xludf.DUMMYFUNCTION("""COMPUTED_VALUE"""),44453.5416666666)</f>
        <v>44453.541666666599</v>
      </c>
      <c r="K719" t="str">
        <f ca="1">IFERROR(__xludf.DUMMYFUNCTION("""COMPUTED_VALUE"""),"F 20ft Sea Ark (Easy 200) FL8534PY DEP21451")</f>
        <v>F 20ft Sea Ark (Easy 200) FL8534PY DEP21451</v>
      </c>
      <c r="M719" t="str">
        <f ca="1">IFERROR(__xludf.DUMMYFUNCTION("""COMPUTED_VALUE"""),"Old ap f150")</f>
        <v>Old ap f150</v>
      </c>
      <c r="N719" t="str">
        <f ca="1">IFERROR(__xludf.DUMMYFUNCTION("""COMPUTED_VALUE"""),"Pam Marcum, (480) 332-5414")</f>
        <v>Pam Marcum, (480) 332-5414</v>
      </c>
      <c r="O719" t="str">
        <f ca="1">IFERROR(__xludf.DUMMYFUNCTION("""COMPUTED_VALUE"""),"5 EWE passengers")</f>
        <v>5 EWE passengers</v>
      </c>
      <c r="P719" t="str">
        <f ca="1">IFERROR(__xludf.DUMMYFUNCTION("""COMPUTED_VALUE"""),"Pam")</f>
        <v>Pam</v>
      </c>
      <c r="Q719" t="str">
        <f ca="1">IFERROR(__xludf.DUMMYFUNCTION("""COMPUTED_VALUE"""),"All items in working order")</f>
        <v>All items in working order</v>
      </c>
      <c r="AE719" s="11"/>
      <c r="AF719" t="str">
        <v>Alee.Knoell@floridadep.gov</v>
      </c>
      <c r="AG719" s="17" t="s">
        <v>1821</v>
      </c>
      <c r="AH719" s="23">
        <v>0.53819444444444442</v>
      </c>
      <c r="AI719" s="12" t="s">
        <v>2107</v>
      </c>
      <c r="AJ719" s="19" t="s">
        <v>2108</v>
      </c>
      <c r="AK719" s="20" t="str">
        <f>HYPERLINK("https://docs.google.com/document/d/1-1t7SpdzNiPZUQBzAhGClTMAiUXsxUF_tizJvsjRHCI/edit?usp=drivesdk","Pam Marcum - 9/14/2021 7:45 AM")</f>
        <v>Pam Marcum - 9/14/2021 7:45 AM</v>
      </c>
      <c r="AL719" s="12" t="s">
        <v>2109</v>
      </c>
    </row>
    <row r="720" spans="1:38" ht="12.75">
      <c r="A720" s="10">
        <f ca="1">IFERROR(__xludf.DUMMYFUNCTION("""COMPUTED_VALUE"""),44453.3268161458)</f>
        <v>44453.326816145804</v>
      </c>
      <c r="B720" s="11" t="str">
        <f ca="1">IFERROR(__xludf.DUMMYFUNCTION("""COMPUTED_VALUE"""),"Silas Tanner")</f>
        <v>Silas Tanner</v>
      </c>
      <c r="C720" t="str">
        <f ca="1">IFERROR(__xludf.DUMMYFUNCTION("""COMPUTED_VALUE"""),"Silas.Tanner@floridadep.gov")</f>
        <v>Silas.Tanner@floridadep.gov</v>
      </c>
      <c r="D720" t="str">
        <f ca="1">IFERROR(__xludf.DUMMYFUNCTION("""COMPUTED_VALUE"""),"Alee Knoell")</f>
        <v>Alee Knoell</v>
      </c>
      <c r="E720" t="str">
        <f ca="1">IFERROR(__xludf.DUMMYFUNCTION("""COMPUTED_VALUE"""),"Palm Valley")</f>
        <v>Palm Valley</v>
      </c>
      <c r="F720" s="13">
        <f ca="1">IFERROR(__xludf.DUMMYFUNCTION("""COMPUTED_VALUE"""),0.322916666667879)</f>
        <v>0.32291666666787899</v>
      </c>
      <c r="G720" s="14">
        <f ca="1">IFERROR(__xludf.DUMMYFUNCTION("""COMPUTED_VALUE"""),44453)</f>
        <v>44453</v>
      </c>
      <c r="H720" t="str">
        <f ca="1">IFERROR(__xludf.DUMMYFUNCTION("""COMPUTED_VALUE"""),"Hat Island")</f>
        <v>Hat Island</v>
      </c>
      <c r="I720" s="15">
        <f ca="1">IFERROR(__xludf.DUMMYFUNCTION("""COMPUTED_VALUE"""),0.52083333333212)</f>
        <v>0.52083333333212001</v>
      </c>
      <c r="J720" s="16">
        <f ca="1">IFERROR(__xludf.DUMMYFUNCTION("""COMPUTED_VALUE"""),44453.5416666666)</f>
        <v>44453.541666666599</v>
      </c>
      <c r="K720" t="str">
        <f ca="1">IFERROR(__xludf.DUMMYFUNCTION("""COMPUTED_VALUE"""),"20ft Sea Ark FL5351SJ UNF 2015")</f>
        <v>20ft Sea Ark FL5351SJ UNF 2015</v>
      </c>
      <c r="M720" t="str">
        <f ca="1">IFERROR(__xludf.DUMMYFUNCTION("""COMPUTED_VALUE"""),"Ford F150 2010 (4 Door) - DEP07668")</f>
        <v>Ford F150 2010 (4 Door) - DEP07668</v>
      </c>
      <c r="N720" t="str">
        <f ca="1">IFERROR(__xludf.DUMMYFUNCTION("""COMPUTED_VALUE"""),"Silas Tanner, (904) 483-8423")</f>
        <v>Silas Tanner, (904) 483-8423</v>
      </c>
      <c r="O720" t="str">
        <f ca="1">IFERROR(__xludf.DUMMYFUNCTION("""COMPUTED_VALUE"""),"5 EWE Passengers")</f>
        <v>5 EWE Passengers</v>
      </c>
      <c r="P720" t="str">
        <f ca="1">IFERROR(__xludf.DUMMYFUNCTION("""COMPUTED_VALUE"""),"Silas")</f>
        <v>Silas</v>
      </c>
      <c r="Q720" t="str">
        <f ca="1">IFERROR(__xludf.DUMMYFUNCTION("""COMPUTED_VALUE"""),"All items in working order")</f>
        <v>All items in working order</v>
      </c>
      <c r="AE720" s="11"/>
      <c r="AF720" t="str">
        <v>Alee.Knoell@floridadep.gov</v>
      </c>
      <c r="AG720" s="17" t="s">
        <v>1821</v>
      </c>
      <c r="AH720" s="23">
        <v>0.53819444444444442</v>
      </c>
      <c r="AI720" s="12" t="s">
        <v>2110</v>
      </c>
      <c r="AJ720" s="19" t="s">
        <v>2111</v>
      </c>
      <c r="AK720" s="20" t="str">
        <f>HYPERLINK("https://docs.google.com/document/d/1gdEKyRvN6Tl_2v3ZPv8SFW3aZ4u5rDmZgvhC1Aqziww/edit?usp=drivesdk","Silas Tanner - 9/14/2021 7:45 AM")</f>
        <v>Silas Tanner - 9/14/2021 7:45 AM</v>
      </c>
      <c r="AL720" s="12" t="s">
        <v>2112</v>
      </c>
    </row>
    <row r="721" spans="1:38" ht="12.75">
      <c r="A721" s="10">
        <f ca="1">IFERROR(__xludf.DUMMYFUNCTION("""COMPUTED_VALUE"""),44453.3282197106)</f>
        <v>44453.328219710602</v>
      </c>
      <c r="B721" s="11" t="str">
        <f ca="1">IFERROR(__xludf.DUMMYFUNCTION("""COMPUTED_VALUE"""),"Gabby Canas")</f>
        <v>Gabby Canas</v>
      </c>
      <c r="C721" t="str">
        <f ca="1">IFERROR(__xludf.DUMMYFUNCTION("""COMPUTED_VALUE"""),"gabriela.canas@floridadep.gov")</f>
        <v>gabriela.canas@floridadep.gov</v>
      </c>
      <c r="D721" t="str">
        <f ca="1">IFERROR(__xludf.DUMMYFUNCTION("""COMPUTED_VALUE"""),"Alee Knoell")</f>
        <v>Alee Knoell</v>
      </c>
      <c r="E721" t="str">
        <f ca="1">IFERROR(__xludf.DUMMYFUNCTION("""COMPUTED_VALUE"""),"Palm valley")</f>
        <v>Palm valley</v>
      </c>
      <c r="F721" s="13">
        <f ca="1">IFERROR(__xludf.DUMMYFUNCTION("""COMPUTED_VALUE"""),0.322916666667879)</f>
        <v>0.32291666666787899</v>
      </c>
      <c r="G721" s="14">
        <f ca="1">IFERROR(__xludf.DUMMYFUNCTION("""COMPUTED_VALUE"""),44453)</f>
        <v>44453</v>
      </c>
      <c r="H721" t="str">
        <f ca="1">IFERROR(__xludf.DUMMYFUNCTION("""COMPUTED_VALUE"""),"Hat Island")</f>
        <v>Hat Island</v>
      </c>
      <c r="I721" s="15">
        <f ca="1">IFERROR(__xludf.DUMMYFUNCTION("""COMPUTED_VALUE"""),0.52083333333212)</f>
        <v>0.52083333333212001</v>
      </c>
      <c r="J721" s="16">
        <f ca="1">IFERROR(__xludf.DUMMYFUNCTION("""COMPUTED_VALUE"""),44453.5416666666)</f>
        <v>44453.541666666599</v>
      </c>
      <c r="K721" t="str">
        <f ca="1">IFERROR(__xludf.DUMMYFUNCTION("""COMPUTED_VALUE"""),"23ft Skiff (Bertha) FL7972LJ DEP07613")</f>
        <v>23ft Skiff (Bertha) FL7972LJ DEP07613</v>
      </c>
      <c r="M721" t="str">
        <f ca="1">IFERROR(__xludf.DUMMYFUNCTION("""COMPUTED_VALUE"""),"Ford F250 2017 (Moby Dix) - DEP0021578")</f>
        <v>Ford F250 2017 (Moby Dix) - DEP0021578</v>
      </c>
      <c r="N721" t="str">
        <f ca="1">IFERROR(__xludf.DUMMYFUNCTION("""COMPUTED_VALUE"""),"Gabby")</f>
        <v>Gabby</v>
      </c>
      <c r="O721" t="str">
        <f ca="1">IFERROR(__xludf.DUMMYFUNCTION("""COMPUTED_VALUE"""),"8 EWE passenger")</f>
        <v>8 EWE passenger</v>
      </c>
      <c r="P721" t="str">
        <f ca="1">IFERROR(__xludf.DUMMYFUNCTION("""COMPUTED_VALUE"""),"Gabby")</f>
        <v>Gabby</v>
      </c>
      <c r="Q721" t="str">
        <f ca="1">IFERROR(__xludf.DUMMYFUNCTION("""COMPUTED_VALUE"""),"All items in working order")</f>
        <v>All items in working order</v>
      </c>
      <c r="AE721" s="11"/>
      <c r="AF721" t="str">
        <v>Alee.Knoell@floridadep.gov</v>
      </c>
      <c r="AG721" s="17" t="s">
        <v>1821</v>
      </c>
      <c r="AH721" s="23">
        <v>0.53819444444444442</v>
      </c>
      <c r="AI721" s="12" t="s">
        <v>2113</v>
      </c>
      <c r="AJ721" s="19" t="s">
        <v>2114</v>
      </c>
      <c r="AK721" s="20" t="str">
        <f>HYPERLINK("https://docs.google.com/document/d/10PPtUeZxUW0GRSdf3nxgyb44bbz5wQ1STydMXPbs1OY/edit?usp=drivesdk","Gabby Canas - 9/14/2021 7:45 AM")</f>
        <v>Gabby Canas - 9/14/2021 7:45 AM</v>
      </c>
      <c r="AL721" s="12" t="s">
        <v>2115</v>
      </c>
    </row>
    <row r="722" spans="1:38" ht="12.75">
      <c r="A722" s="10">
        <f ca="1">IFERROR(__xludf.DUMMYFUNCTION("""COMPUTED_VALUE"""),44454.3619181944)</f>
        <v>44454.361918194401</v>
      </c>
      <c r="B722" s="11" t="str">
        <f ca="1">IFERROR(__xludf.DUMMYFUNCTION("""COMPUTED_VALUE"""),"Gabriela Canas")</f>
        <v>Gabriela Canas</v>
      </c>
      <c r="C722" t="str">
        <f ca="1">IFERROR(__xludf.DUMMYFUNCTION("""COMPUTED_VALUE"""),"gabriela.canas@dep.state.fl.us")</f>
        <v>gabriela.canas@dep.state.fl.us</v>
      </c>
      <c r="D722" t="str">
        <f ca="1">IFERROR(__xludf.DUMMYFUNCTION("""COMPUTED_VALUE"""),"Pam Marcum")</f>
        <v>Pam Marcum</v>
      </c>
      <c r="E722" t="str">
        <f ca="1">IFERROR(__xludf.DUMMYFUNCTION("""COMPUTED_VALUE"""),"Douglas crabe")</f>
        <v>Douglas crabe</v>
      </c>
      <c r="F722" s="13">
        <f ca="1">IFERROR(__xludf.DUMMYFUNCTION("""COMPUTED_VALUE"""),0.375)</f>
        <v>0.375</v>
      </c>
      <c r="G722" s="14">
        <f ca="1">IFERROR(__xludf.DUMMYFUNCTION("""COMPUTED_VALUE"""),44453)</f>
        <v>44453</v>
      </c>
      <c r="H722" t="str">
        <f ca="1">IFERROR(__xludf.DUMMYFUNCTION("""COMPUTED_VALUE"""),"Wetfeet middle site")</f>
        <v>Wetfeet middle site</v>
      </c>
      <c r="I722" s="15">
        <f ca="1">IFERROR(__xludf.DUMMYFUNCTION("""COMPUTED_VALUE"""),0.625)</f>
        <v>0.625</v>
      </c>
      <c r="J722" s="16">
        <f ca="1">IFERROR(__xludf.DUMMYFUNCTION("""COMPUTED_VALUE"""),44454.6666666666)</f>
        <v>44454.666666666599</v>
      </c>
      <c r="K722" t="str">
        <f ca="1">IFERROR(__xludf.DUMMYFUNCTION("""COMPUTED_VALUE"""),"23ft Skiff (Bertha) FL7972LJ DEP07613")</f>
        <v>23ft Skiff (Bertha) FL7972LJ DEP07613</v>
      </c>
      <c r="M722" t="str">
        <f ca="1">IFERROR(__xludf.DUMMYFUNCTION("""COMPUTED_VALUE"""),"Ford F250 2017 (Moby Dix) - DEP0021578")</f>
        <v>Ford F250 2017 (Moby Dix) - DEP0021578</v>
      </c>
      <c r="N722" t="str">
        <f ca="1">IFERROR(__xludf.DUMMYFUNCTION("""COMPUTED_VALUE"""),"Gabby Canas 9048919743")</f>
        <v>Gabby Canas 9048919743</v>
      </c>
      <c r="O722" t="str">
        <f ca="1">IFERROR(__xludf.DUMMYFUNCTION("""COMPUTED_VALUE"""),"Gabriela Canas, (904) 891-9743, Sam Chapman, Adam Langley, Gregg, Emma, Morgan, Jocelyn, Tess, ")</f>
        <v xml:space="preserve">Gabriela Canas, (904) 891-9743, Sam Chapman, Adam Langley, Gregg, Emma, Morgan, Jocelyn, Tess, </v>
      </c>
      <c r="P722" t="str">
        <f ca="1">IFERROR(__xludf.DUMMYFUNCTION("""COMPUTED_VALUE"""),"Gabby canas")</f>
        <v>Gabby canas</v>
      </c>
      <c r="Q722" t="str">
        <f ca="1">IFERROR(__xludf.DUMMYFUNCTION("""COMPUTED_VALUE"""),"All items in working order")</f>
        <v>All items in working order</v>
      </c>
      <c r="AE722" s="11"/>
      <c r="AF722" t="str">
        <v>Pamela.Marcum@floridadep.gov</v>
      </c>
      <c r="AG722" s="17" t="s">
        <v>139</v>
      </c>
      <c r="AH722" s="12">
        <v>1440</v>
      </c>
      <c r="AI722" s="12" t="s">
        <v>2116</v>
      </c>
      <c r="AJ722" s="19" t="s">
        <v>2117</v>
      </c>
      <c r="AK722" s="20" t="str">
        <f>HYPERLINK("https://docs.google.com/document/d/1J4V74AZQcb2QAYfv8oy5XVHiublVfC7hM_e6W3tsDpw/edit?usp=drivesdk","Gabriela Canas - 9/14/2021 9:00 AM")</f>
        <v>Gabriela Canas - 9/14/2021 9:00 AM</v>
      </c>
      <c r="AL722" s="12" t="s">
        <v>2118</v>
      </c>
    </row>
    <row r="723" spans="1:38" ht="12.75">
      <c r="A723" s="10">
        <f ca="1">IFERROR(__xludf.DUMMYFUNCTION("""COMPUTED_VALUE"""),44460.295270787)</f>
        <v>44460.295270786999</v>
      </c>
      <c r="B723" s="11" t="str">
        <f ca="1">IFERROR(__xludf.DUMMYFUNCTION("""COMPUTED_VALUE"""),"Silas Tanner")</f>
        <v>Silas Tanner</v>
      </c>
      <c r="C723" t="str">
        <f ca="1">IFERROR(__xludf.DUMMYFUNCTION("""COMPUTED_VALUE"""),"silas.tanner@floridadep.gov")</f>
        <v>silas.tanner@floridadep.gov</v>
      </c>
      <c r="D723" t="str">
        <f ca="1">IFERROR(__xludf.DUMMYFUNCTION("""COMPUTED_VALUE"""),"Nikki Dix")</f>
        <v>Nikki Dix</v>
      </c>
      <c r="E723" t="str">
        <f ca="1">IFERROR(__xludf.DUMMYFUNCTION("""COMPUTED_VALUE"""),"Crane")</f>
        <v>Crane</v>
      </c>
      <c r="F723" s="13">
        <f ca="1">IFERROR(__xludf.DUMMYFUNCTION("""COMPUTED_VALUE"""),0.322916666667879)</f>
        <v>0.32291666666787899</v>
      </c>
      <c r="G723" s="14">
        <f ca="1">IFERROR(__xludf.DUMMYFUNCTION("""COMPUTED_VALUE"""),44460)</f>
        <v>44460</v>
      </c>
      <c r="H723" t="str">
        <f ca="1">IFERROR(__xludf.DUMMYFUNCTION("""COMPUTED_VALUE"""),"ICW SWMP Sites")</f>
        <v>ICW SWMP Sites</v>
      </c>
      <c r="I723" s="15">
        <f ca="1">IFERROR(__xludf.DUMMYFUNCTION("""COMPUTED_VALUE"""),0.541666666667879)</f>
        <v>0.54166666666787899</v>
      </c>
      <c r="J723" s="16">
        <f ca="1">IFERROR(__xludf.DUMMYFUNCTION("""COMPUTED_VALUE"""),44460.5729166666)</f>
        <v>44460.572916666599</v>
      </c>
      <c r="K723" t="str">
        <f ca="1">IFERROR(__xludf.DUMMYFUNCTION("""COMPUTED_VALUE"""),"20ft Sea Ark FL5351SJ UNF 2015")</f>
        <v>20ft Sea Ark FL5351SJ UNF 2015</v>
      </c>
      <c r="M723" t="str">
        <f ca="1">IFERROR(__xludf.DUMMYFUNCTION("""COMPUTED_VALUE"""),"Ford F250 2017 (Moby Dix) - DEP0021578")</f>
        <v>Ford F250 2017 (Moby Dix) - DEP0021578</v>
      </c>
      <c r="N723" t="str">
        <f ca="1">IFERROR(__xludf.DUMMYFUNCTION("""COMPUTED_VALUE"""),"Silas Tanner, (904) 483-8423, Remo")</f>
        <v>Silas Tanner, (904) 483-8423, Remo</v>
      </c>
      <c r="P723" t="str">
        <f ca="1">IFERROR(__xludf.DUMMYFUNCTION("""COMPUTED_VALUE"""),"Tanner")</f>
        <v>Tanner</v>
      </c>
      <c r="Q723" t="str">
        <f ca="1">IFERROR(__xludf.DUMMYFUNCTION("""COMPUTED_VALUE"""),"All items in working order")</f>
        <v>All items in working order</v>
      </c>
      <c r="AE723" s="11"/>
      <c r="AF723" t="str">
        <v>Nikki.Dix@floridadep.gov</v>
      </c>
      <c r="AG723" s="17" t="s">
        <v>639</v>
      </c>
      <c r="AH723" s="12">
        <v>1300</v>
      </c>
      <c r="AI723" s="12" t="s">
        <v>2119</v>
      </c>
      <c r="AJ723" s="19" t="s">
        <v>2120</v>
      </c>
      <c r="AK723" s="20" t="str">
        <f>HYPERLINK("https://docs.google.com/document/d/1RdxOH3uOOikiVkhGYrXwvWJzcQdPTHLWCs9yuvGlHh0/edit?usp=drivesdk","Silas Tanner - 9/21/2021 7:45 AM")</f>
        <v>Silas Tanner - 9/21/2021 7:45 AM</v>
      </c>
      <c r="AL723" s="12" t="s">
        <v>2121</v>
      </c>
    </row>
    <row r="724" spans="1:38" ht="12.75">
      <c r="A724" s="10">
        <f ca="1">IFERROR(__xludf.DUMMYFUNCTION("""COMPUTED_VALUE"""),44461.3413334374)</f>
        <v>44461.341333437398</v>
      </c>
      <c r="B724" s="11" t="str">
        <f ca="1">IFERROR(__xludf.DUMMYFUNCTION("""COMPUTED_VALUE"""),"Pam Marcum")</f>
        <v>Pam Marcum</v>
      </c>
      <c r="C724" t="str">
        <f ca="1">IFERROR(__xludf.DUMMYFUNCTION("""COMPUTED_VALUE"""),"pamela.marcum@floridadep.gov")</f>
        <v>pamela.marcum@floridadep.gov</v>
      </c>
      <c r="D724" t="str">
        <f ca="1">IFERROR(__xludf.DUMMYFUNCTION("""COMPUTED_VALUE"""),"Nikki Dix")</f>
        <v>Nikki Dix</v>
      </c>
      <c r="E724" t="str">
        <f ca="1">IFERROR(__xludf.DUMMYFUNCTION("""COMPUTED_VALUE"""),"Faver-dykes")</f>
        <v>Faver-dykes</v>
      </c>
      <c r="F724" s="13">
        <f ca="1">IFERROR(__xludf.DUMMYFUNCTION("""COMPUTED_VALUE"""),0.340277777777373)</f>
        <v>0.340277777777373</v>
      </c>
      <c r="G724" s="14">
        <f ca="1">IFERROR(__xludf.DUMMYFUNCTION("""COMPUTED_VALUE"""),44461)</f>
        <v>44461</v>
      </c>
      <c r="H724" t="str">
        <f ca="1">IFERROR(__xludf.DUMMYFUNCTION("""COMPUTED_VALUE"""),"Pellicer creek mouth")</f>
        <v>Pellicer creek mouth</v>
      </c>
      <c r="I724" s="15">
        <f ca="1">IFERROR(__xludf.DUMMYFUNCTION("""COMPUTED_VALUE"""),0.541666666667879)</f>
        <v>0.54166666666787899</v>
      </c>
      <c r="J724" s="16">
        <f ca="1">IFERROR(__xludf.DUMMYFUNCTION("""COMPUTED_VALUE"""),44461.5833333333)</f>
        <v>44461.583333333299</v>
      </c>
      <c r="K724" t="str">
        <f ca="1">IFERROR(__xludf.DUMMYFUNCTION("""COMPUTED_VALUE"""),"20ft Sea Ark FL5351SJ UNF 2015")</f>
        <v>20ft Sea Ark FL5351SJ UNF 2015</v>
      </c>
      <c r="M724" t="str">
        <f ca="1">IFERROR(__xludf.DUMMYFUNCTION("""COMPUTED_VALUE"""),"Ford F250 2017 (Moby Dix) - DEP0021578")</f>
        <v>Ford F250 2017 (Moby Dix) - DEP0021578</v>
      </c>
      <c r="N724" t="str">
        <f ca="1">IFERROR(__xludf.DUMMYFUNCTION("""COMPUTED_VALUE"""),"Pam Marcum, (480) 332-5414, Alee Knoell, (619) 750-4833")</f>
        <v>Pam Marcum, (480) 332-5414, Alee Knoell, (619) 750-4833</v>
      </c>
      <c r="P724" t="str">
        <f ca="1">IFERROR(__xludf.DUMMYFUNCTION("""COMPUTED_VALUE"""),"Pam")</f>
        <v>Pam</v>
      </c>
      <c r="Q724" t="str">
        <f ca="1">IFERROR(__xludf.DUMMYFUNCTION("""COMPUTED_VALUE"""),"All items in working order")</f>
        <v>All items in working order</v>
      </c>
      <c r="AE724" s="11"/>
      <c r="AF724" t="str">
        <v>Nikki.Dix@floridadep.gov</v>
      </c>
      <c r="AG724" s="17" t="s">
        <v>41</v>
      </c>
      <c r="AH724" s="12">
        <v>1208</v>
      </c>
      <c r="AI724" s="12" t="s">
        <v>2122</v>
      </c>
      <c r="AJ724" s="19" t="s">
        <v>2123</v>
      </c>
      <c r="AK724" s="20" t="str">
        <f>HYPERLINK("https://docs.google.com/document/d/1cxXfX67oIW42T1Oez5_-5cd6IRwPnZp0-2loUFTCpgg/edit?usp=drivesdk","Pam Marcum - 9/22/2021 8:10 AM")</f>
        <v>Pam Marcum - 9/22/2021 8:10 AM</v>
      </c>
      <c r="AL724" s="12" t="s">
        <v>2124</v>
      </c>
    </row>
    <row r="725" spans="1:38" ht="12.75">
      <c r="A725" s="10">
        <f ca="1">IFERROR(__xludf.DUMMYFUNCTION("""COMPUTED_VALUE"""),44462.2773576851)</f>
        <v>44462.277357685103</v>
      </c>
      <c r="B725" s="11" t="str">
        <f ca="1">IFERROR(__xludf.DUMMYFUNCTION("""COMPUTED_VALUE"""),"Pam Marcum")</f>
        <v>Pam Marcum</v>
      </c>
      <c r="C725" t="str">
        <f ca="1">IFERROR(__xludf.DUMMYFUNCTION("""COMPUTED_VALUE"""),"pamela.marcum@floridadep.gov")</f>
        <v>pamela.marcum@floridadep.gov</v>
      </c>
      <c r="D725" t="str">
        <f ca="1">IFERROR(__xludf.DUMMYFUNCTION("""COMPUTED_VALUE"""),"Nikki Dix")</f>
        <v>Nikki Dix</v>
      </c>
      <c r="E725" t="str">
        <f ca="1">IFERROR(__xludf.DUMMYFUNCTION("""COMPUTED_VALUE"""),"Bings")</f>
        <v>Bings</v>
      </c>
      <c r="F725" s="13">
        <f ca="1">IFERROR(__xludf.DUMMYFUNCTION("""COMPUTED_VALUE"""),0.27083333333212)</f>
        <v>0.27083333333212001</v>
      </c>
      <c r="G725" s="14">
        <f ca="1">IFERROR(__xludf.DUMMYFUNCTION("""COMPUTED_VALUE"""),44462)</f>
        <v>44462</v>
      </c>
      <c r="H725" t="str">
        <f ca="1">IFERROR(__xludf.DUMMYFUNCTION("""COMPUTED_VALUE"""),"Washington oaks platform")</f>
        <v>Washington oaks platform</v>
      </c>
      <c r="I725" s="15">
        <f ca="1">IFERROR(__xludf.DUMMYFUNCTION("""COMPUTED_VALUE"""),0.5)</f>
        <v>0.5</v>
      </c>
      <c r="J725" s="16">
        <f ca="1">IFERROR(__xludf.DUMMYFUNCTION("""COMPUTED_VALUE"""),44462.5416666666)</f>
        <v>44462.541666666599</v>
      </c>
      <c r="K725" t="str">
        <f ca="1">IFERROR(__xludf.DUMMYFUNCTION("""COMPUTED_VALUE"""),"20ft Sea Ark FL5351SJ UNF 2015")</f>
        <v>20ft Sea Ark FL5351SJ UNF 2015</v>
      </c>
      <c r="M725" t="str">
        <f ca="1">IFERROR(__xludf.DUMMYFUNCTION("""COMPUTED_VALUE"""),"Ford F250 2017 (Moby Dix) - DEP0021578")</f>
        <v>Ford F250 2017 (Moby Dix) - DEP0021578</v>
      </c>
      <c r="N725" t="str">
        <f ca="1">IFERROR(__xludf.DUMMYFUNCTION("""COMPUTED_VALUE"""),"Pam Marcum, (480) 332-5414, Alee Knoell, (619) 750-4833")</f>
        <v>Pam Marcum, (480) 332-5414, Alee Knoell, (619) 750-4833</v>
      </c>
      <c r="P725" t="str">
        <f ca="1">IFERROR(__xludf.DUMMYFUNCTION("""COMPUTED_VALUE"""),"Pam")</f>
        <v>Pam</v>
      </c>
      <c r="Q725" t="str">
        <f ca="1">IFERROR(__xludf.DUMMYFUNCTION("""COMPUTED_VALUE"""),"All items in working order")</f>
        <v>All items in working order</v>
      </c>
      <c r="AE725" s="11"/>
      <c r="AF725" t="str">
        <v>Nikki.Dix@floridadep.gov</v>
      </c>
      <c r="AG725" s="17" t="s">
        <v>41</v>
      </c>
      <c r="AH725" s="12">
        <v>1050</v>
      </c>
      <c r="AI725" s="12" t="s">
        <v>2125</v>
      </c>
      <c r="AJ725" s="19" t="s">
        <v>2126</v>
      </c>
      <c r="AK725" s="20" t="str">
        <f>HYPERLINK("https://docs.google.com/document/d/1EpEAQJX7aUWw_GC6eUEI6Gn-8VYdcstXkzRCuUki4PQ/edit?usp=drivesdk","Pam Marcum - 9/23/2021 6:30 AM")</f>
        <v>Pam Marcum - 9/23/2021 6:30 AM</v>
      </c>
      <c r="AL725" s="12" t="s">
        <v>2127</v>
      </c>
    </row>
    <row r="726" spans="1:38" ht="12.75">
      <c r="A726" s="10">
        <f ca="1">IFERROR(__xludf.DUMMYFUNCTION("""COMPUTED_VALUE"""),44466.4073311805)</f>
        <v>44466.407331180497</v>
      </c>
      <c r="B726" s="11" t="str">
        <f ca="1">IFERROR(__xludf.DUMMYFUNCTION("""COMPUTED_VALUE"""),"Pam Marcum")</f>
        <v>Pam Marcum</v>
      </c>
      <c r="C726" t="str">
        <f ca="1">IFERROR(__xludf.DUMMYFUNCTION("""COMPUTED_VALUE"""),"pamela.marcum@floridadep.gov")</f>
        <v>pamela.marcum@floridadep.gov</v>
      </c>
      <c r="D726" t="str">
        <f ca="1">IFERROR(__xludf.DUMMYFUNCTION("""COMPUTED_VALUE"""),"Nikki Dix")</f>
        <v>Nikki Dix</v>
      </c>
      <c r="E726" t="str">
        <f ca="1">IFERROR(__xludf.DUMMYFUNCTION("""COMPUTED_VALUE"""),"Palm Valley")</f>
        <v>Palm Valley</v>
      </c>
      <c r="F726" s="13">
        <f ca="1">IFERROR(__xludf.DUMMYFUNCTION("""COMPUTED_VALUE"""),0.34375)</f>
        <v>0.34375</v>
      </c>
      <c r="G726" s="14">
        <f ca="1">IFERROR(__xludf.DUMMYFUNCTION("""COMPUTED_VALUE"""),44466)</f>
        <v>44466</v>
      </c>
      <c r="H726" t="str">
        <f ca="1">IFERROR(__xludf.DUMMYFUNCTION("""COMPUTED_VALUE"""),"Pine island")</f>
        <v>Pine island</v>
      </c>
      <c r="I726" s="15">
        <f ca="1">IFERROR(__xludf.DUMMYFUNCTION("""COMPUTED_VALUE"""),0.52083333333212)</f>
        <v>0.52083333333212001</v>
      </c>
      <c r="J726" s="16">
        <f ca="1">IFERROR(__xludf.DUMMYFUNCTION("""COMPUTED_VALUE"""),44466.5416666666)</f>
        <v>44466.541666666599</v>
      </c>
      <c r="K726" t="str">
        <f ca="1">IFERROR(__xludf.DUMMYFUNCTION("""COMPUTED_VALUE"""),"20ft Sea Ark FL5351SJ UNF 2015")</f>
        <v>20ft Sea Ark FL5351SJ UNF 2015</v>
      </c>
      <c r="M726" t="str">
        <f ca="1">IFERROR(__xludf.DUMMYFUNCTION("""COMPUTED_VALUE"""),"Ford F250 2017 (Moby Dix) - DEP0021578")</f>
        <v>Ford F250 2017 (Moby Dix) - DEP0021578</v>
      </c>
      <c r="N726" t="str">
        <f ca="1">IFERROR(__xludf.DUMMYFUNCTION("""COMPUTED_VALUE"""),"Pam Marcum, (480) 332-5414, Alee Knoell, (619) 750-4833")</f>
        <v>Pam Marcum, (480) 332-5414, Alee Knoell, (619) 750-4833</v>
      </c>
      <c r="O726" t="str">
        <f ca="1">IFERROR(__xludf.DUMMYFUNCTION("""COMPUTED_VALUE"""),"Walter Newsom, Emma Wilkinson")</f>
        <v>Walter Newsom, Emma Wilkinson</v>
      </c>
      <c r="P726" t="str">
        <f ca="1">IFERROR(__xludf.DUMMYFUNCTION("""COMPUTED_VALUE"""),"Pam")</f>
        <v>Pam</v>
      </c>
      <c r="Q726" t="str">
        <f ca="1">IFERROR(__xludf.DUMMYFUNCTION("""COMPUTED_VALUE"""),"All items in working order")</f>
        <v>All items in working order</v>
      </c>
      <c r="AE726" s="11"/>
      <c r="AF726" t="str">
        <v>Nikki.Dix@floridadep.gov</v>
      </c>
      <c r="AG726" s="17" t="s">
        <v>41</v>
      </c>
      <c r="AH726" s="12">
        <v>1202</v>
      </c>
      <c r="AI726" s="12" t="s">
        <v>2128</v>
      </c>
      <c r="AJ726" s="19" t="s">
        <v>2129</v>
      </c>
      <c r="AK726" s="20" t="str">
        <f>HYPERLINK("https://docs.google.com/document/d/1ydW9SMnCi_R1xMLxd-y-GdM_19LWlp7xByBFlAnlbQ0/edit?usp=drivesdk","Pam Marcum - 9/27/2021 8:15 AM")</f>
        <v>Pam Marcum - 9/27/2021 8:15 AM</v>
      </c>
      <c r="AL726" s="12" t="s">
        <v>2130</v>
      </c>
    </row>
    <row r="727" spans="1:38" ht="12.75">
      <c r="A727" s="10">
        <f ca="1">IFERROR(__xludf.DUMMYFUNCTION("""COMPUTED_VALUE"""),44467.3364815625)</f>
        <v>44467.336481562503</v>
      </c>
      <c r="B727" s="11" t="str">
        <f ca="1">IFERROR(__xludf.DUMMYFUNCTION("""COMPUTED_VALUE"""),"Pam Marcum")</f>
        <v>Pam Marcum</v>
      </c>
      <c r="C727" t="str">
        <f ca="1">IFERROR(__xludf.DUMMYFUNCTION("""COMPUTED_VALUE"""),"Pamela.Marcum@FloridaDEP.gov")</f>
        <v>Pamela.Marcum@FloridaDEP.gov</v>
      </c>
      <c r="D727" t="str">
        <f ca="1">IFERROR(__xludf.DUMMYFUNCTION("""COMPUTED_VALUE"""),"Nikki Dix")</f>
        <v>Nikki Dix</v>
      </c>
      <c r="E727" t="str">
        <f ca="1">IFERROR(__xludf.DUMMYFUNCTION("""COMPUTED_VALUE"""),"Shore Dr")</f>
        <v>Shore Dr</v>
      </c>
      <c r="F727" s="13">
        <f ca="1">IFERROR(__xludf.DUMMYFUNCTION("""COMPUTED_VALUE"""),0.33333333333212)</f>
        <v>0.33333333333212001</v>
      </c>
      <c r="G727" s="14">
        <f ca="1">IFERROR(__xludf.DUMMYFUNCTION("""COMPUTED_VALUE"""),44467)</f>
        <v>44467</v>
      </c>
      <c r="H727" t="str">
        <f ca="1">IFERROR(__xludf.DUMMYFUNCTION("""COMPUTED_VALUE"""),"Site 22")</f>
        <v>Site 22</v>
      </c>
      <c r="I727" s="15">
        <f ca="1">IFERROR(__xludf.DUMMYFUNCTION("""COMPUTED_VALUE"""),0)</f>
        <v>0</v>
      </c>
      <c r="J727" s="16">
        <f ca="1">IFERROR(__xludf.DUMMYFUNCTION("""COMPUTED_VALUE"""),44467.5416666666)</f>
        <v>44467.541666666599</v>
      </c>
      <c r="K727" t="str">
        <f ca="1">IFERROR(__xludf.DUMMYFUNCTION("""COMPUTED_VALUE"""),"20ft Sea Ark FL5351SJ UNF 2015")</f>
        <v>20ft Sea Ark FL5351SJ UNF 2015</v>
      </c>
      <c r="M727" t="str">
        <f ca="1">IFERROR(__xludf.DUMMYFUNCTION("""COMPUTED_VALUE"""),"Ford F250 2017 (Moby Dix) - DEP0021578")</f>
        <v>Ford F250 2017 (Moby Dix) - DEP0021578</v>
      </c>
      <c r="N727" t="str">
        <f ca="1">IFERROR(__xludf.DUMMYFUNCTION("""COMPUTED_VALUE"""),"Pam Marcum, (480) 332-5414, Alee Knoell, (619) 750-4833, Remo Mondazzi")</f>
        <v>Pam Marcum, (480) 332-5414, Alee Knoell, (619) 750-4833, Remo Mondazzi</v>
      </c>
      <c r="P727" t="str">
        <f ca="1">IFERROR(__xludf.DUMMYFUNCTION("""COMPUTED_VALUE"""),"Pam")</f>
        <v>Pam</v>
      </c>
      <c r="Q727" t="str">
        <f ca="1">IFERROR(__xludf.DUMMYFUNCTION("""COMPUTED_VALUE"""),"All items in working order")</f>
        <v>All items in working order</v>
      </c>
      <c r="AE727" s="11"/>
      <c r="AF727" t="str">
        <v>Nikki.Dix@floridadep.gov</v>
      </c>
      <c r="AG727" s="17" t="s">
        <v>41</v>
      </c>
      <c r="AH727" s="12">
        <v>1155</v>
      </c>
      <c r="AI727" s="12" t="s">
        <v>2131</v>
      </c>
      <c r="AJ727" s="19" t="s">
        <v>2132</v>
      </c>
      <c r="AK727" s="20" t="str">
        <f>HYPERLINK("https://docs.google.com/document/d/1gUTuPNJLWfGG8KRiVIhPQzwBNVHIKmvW_-DqcZOixuE/edit?usp=drivesdk","Pam Marcum - 9/28/2021 8:00 AM")</f>
        <v>Pam Marcum - 9/28/2021 8:00 AM</v>
      </c>
      <c r="AL727" s="12" t="s">
        <v>2133</v>
      </c>
    </row>
    <row r="728" spans="1:38" ht="12.75">
      <c r="A728" s="10">
        <f ca="1">IFERROR(__xludf.DUMMYFUNCTION("""COMPUTED_VALUE"""),44467.5938329745)</f>
        <v>44467.593832974497</v>
      </c>
      <c r="B728" s="11" t="str">
        <f ca="1">IFERROR(__xludf.DUMMYFUNCTION("""COMPUTED_VALUE"""),"Alee knoell")</f>
        <v>Alee knoell</v>
      </c>
      <c r="C728" t="str">
        <f ca="1">IFERROR(__xludf.DUMMYFUNCTION("""COMPUTED_VALUE"""),"alee.knoell@floridadep.gov")</f>
        <v>alee.knoell@floridadep.gov</v>
      </c>
      <c r="D728" t="str">
        <f ca="1">IFERROR(__xludf.DUMMYFUNCTION("""COMPUTED_VALUE"""),"Nikki Dix")</f>
        <v>Nikki Dix</v>
      </c>
      <c r="E728" t="str">
        <f ca="1">IFERROR(__xludf.DUMMYFUNCTION("""COMPUTED_VALUE"""),"Aunt Kate’s ")</f>
        <v xml:space="preserve">Aunt Kate’s </v>
      </c>
      <c r="F728" s="13">
        <f ca="1">IFERROR(__xludf.DUMMYFUNCTION("""COMPUTED_VALUE"""),0.590277777777373)</f>
        <v>0.590277777777373</v>
      </c>
      <c r="G728" s="14">
        <f ca="1">IFERROR(__xludf.DUMMYFUNCTION("""COMPUTED_VALUE"""),44467)</f>
        <v>44467</v>
      </c>
      <c r="H728" t="str">
        <f ca="1">IFERROR(__xludf.DUMMYFUNCTION("""COMPUTED_VALUE"""),"Hat island, pine island ")</f>
        <v xml:space="preserve">Hat island, pine island </v>
      </c>
      <c r="I728" s="15">
        <f ca="1">IFERROR(__xludf.DUMMYFUNCTION("""COMPUTED_VALUE"""),0.70833333333212)</f>
        <v>0.70833333333212001</v>
      </c>
      <c r="J728" s="16">
        <f ca="1">IFERROR(__xludf.DUMMYFUNCTION("""COMPUTED_VALUE"""),44467.7291666666)</f>
        <v>44467.729166666599</v>
      </c>
      <c r="K728" t="str">
        <f ca="1">IFERROR(__xludf.DUMMYFUNCTION("""COMPUTED_VALUE"""),"20ft Sea Ark FL5351SJ UNF 2015")</f>
        <v>20ft Sea Ark FL5351SJ UNF 2015</v>
      </c>
      <c r="M728" t="str">
        <f ca="1">IFERROR(__xludf.DUMMYFUNCTION("""COMPUTED_VALUE"""),"Ford F250 2017 (Moby Dix) - DEP0021578")</f>
        <v>Ford F250 2017 (Moby Dix) - DEP0021578</v>
      </c>
      <c r="N728" t="str">
        <f ca="1">IFERROR(__xludf.DUMMYFUNCTION("""COMPUTED_VALUE"""),"Pam Marcum, (480) 332-5414, Alee Knoell, (619) 750-4833")</f>
        <v>Pam Marcum, (480) 332-5414, Alee Knoell, (619) 750-4833</v>
      </c>
      <c r="P728" t="str">
        <f ca="1">IFERROR(__xludf.DUMMYFUNCTION("""COMPUTED_VALUE"""),"Pam marcum ")</f>
        <v xml:space="preserve">Pam marcum </v>
      </c>
      <c r="Q728" t="str">
        <f ca="1">IFERROR(__xludf.DUMMYFUNCTION("""COMPUTED_VALUE"""),"All items in working order")</f>
        <v>All items in working order</v>
      </c>
      <c r="AE728" s="11"/>
      <c r="AF728" t="str">
        <v>Nikki.Dix@floridadep.gov</v>
      </c>
      <c r="AG728" s="17" t="s">
        <v>41</v>
      </c>
      <c r="AH728" s="12">
        <v>1641</v>
      </c>
      <c r="AI728" s="12" t="s">
        <v>2134</v>
      </c>
      <c r="AJ728" s="19" t="s">
        <v>2135</v>
      </c>
      <c r="AK728" s="20" t="str">
        <f>HYPERLINK("https://docs.google.com/document/d/16o0dOrCJEe-9rqQRv-7czoBZKmnOlR4uuN9lJRNpNgE/edit?usp=drivesdk","Alee knoell - 9/28/2021 2:10 PM")</f>
        <v>Alee knoell - 9/28/2021 2:10 PM</v>
      </c>
      <c r="AL728" s="12" t="s">
        <v>2136</v>
      </c>
    </row>
    <row r="729" spans="1:38" ht="12.75">
      <c r="A729" s="10">
        <f ca="1">IFERROR(__xludf.DUMMYFUNCTION("""COMPUTED_VALUE"""),44467.7606075347)</f>
        <v>44467.760607534699</v>
      </c>
      <c r="B729" s="11" t="str">
        <f ca="1">IFERROR(__xludf.DUMMYFUNCTION("""COMPUTED_VALUE"""),"Jimmy Tomazinis")</f>
        <v>Jimmy Tomazinis</v>
      </c>
      <c r="C729" t="str">
        <f ca="1">IFERROR(__xludf.DUMMYFUNCTION("""COMPUTED_VALUE"""),"james.tomazinis@floridadep.gov")</f>
        <v>james.tomazinis@floridadep.gov</v>
      </c>
      <c r="D729" t="str">
        <f ca="1">IFERROR(__xludf.DUMMYFUNCTION("""COMPUTED_VALUE"""),"Jimmy Tomazinis")</f>
        <v>Jimmy Tomazinis</v>
      </c>
      <c r="E729" t="str">
        <f ca="1">IFERROR(__xludf.DUMMYFUNCTION("""COMPUTED_VALUE"""),"Sawpit Creek")</f>
        <v>Sawpit Creek</v>
      </c>
      <c r="F729" s="13">
        <f ca="1">IFERROR(__xludf.DUMMYFUNCTION("""COMPUTED_VALUE"""),0.40625)</f>
        <v>0.40625</v>
      </c>
      <c r="G729" s="14">
        <f ca="1">IFERROR(__xludf.DUMMYFUNCTION("""COMPUTED_VALUE"""),44468)</f>
        <v>44468</v>
      </c>
      <c r="H729" t="str">
        <f ca="1">IFERROR(__xludf.DUMMYFUNCTION("""COMPUTED_VALUE"""),"Nassau and Amelia Rivers")</f>
        <v>Nassau and Amelia Rivers</v>
      </c>
      <c r="I729" s="15">
        <f ca="1">IFERROR(__xludf.DUMMYFUNCTION("""COMPUTED_VALUE"""),0.625)</f>
        <v>0.625</v>
      </c>
      <c r="J729" s="16"/>
      <c r="K729" t="str">
        <f ca="1">IFERROR(__xludf.DUMMYFUNCTION("""COMPUTED_VALUE"""),"F 20ft Sea Ark (Easy 200) FL8534PY DEP21451")</f>
        <v>F 20ft Sea Ark (Easy 200) FL8534PY DEP21451</v>
      </c>
      <c r="M729" t="str">
        <f ca="1">IFERROR(__xludf.DUMMYFUNCTION("""COMPUTED_VALUE"""),"F-bomb")</f>
        <v>F-bomb</v>
      </c>
      <c r="N729" t="str">
        <f ca="1">IFERROR(__xludf.DUMMYFUNCTION("""COMPUTED_VALUE"""),"Jimmy Tomazinis, (904) 547-0094")</f>
        <v>Jimmy Tomazinis, (904) 547-0094</v>
      </c>
      <c r="O729" t="str">
        <f ca="1">IFERROR(__xludf.DUMMYFUNCTION("""COMPUTED_VALUE"""),"Scott and Suzi")</f>
        <v>Scott and Suzi</v>
      </c>
      <c r="P729" t="str">
        <f ca="1">IFERROR(__xludf.DUMMYFUNCTION("""COMPUTED_VALUE"""),"Jimmy")</f>
        <v>Jimmy</v>
      </c>
      <c r="Q729" t="str">
        <f ca="1">IFERROR(__xludf.DUMMYFUNCTION("""COMPUTED_VALUE"""),"All items in working order")</f>
        <v>All items in working order</v>
      </c>
      <c r="AE729" s="11"/>
      <c r="AF729" t="str">
        <v>James.Tomazinis@floridadep.gov</v>
      </c>
      <c r="AG729" s="17" t="s">
        <v>17</v>
      </c>
      <c r="AH729" s="12">
        <v>1500</v>
      </c>
      <c r="AI729" s="12" t="s">
        <v>2138</v>
      </c>
      <c r="AJ729" s="19" t="s">
        <v>2139</v>
      </c>
      <c r="AK729" s="20" t="str">
        <f>HYPERLINK("https://docs.google.com/document/d/1v7tvESxScdxPO1ijmE9JH_PlC0Hcp8joj993Qebffeg/edit?usp=drivesdk","Jimmy Tomazinis - 9/29/2021 9:45 AM")</f>
        <v>Jimmy Tomazinis - 9/29/2021 9:45 AM</v>
      </c>
      <c r="AL729" s="12" t="s">
        <v>2140</v>
      </c>
    </row>
    <row r="730" spans="1:38" ht="12.75">
      <c r="A730" s="10">
        <f ca="1">IFERROR(__xludf.DUMMYFUNCTION("""COMPUTED_VALUE"""),44468.35675875)</f>
        <v>44468.35675875</v>
      </c>
      <c r="B730" s="11" t="str">
        <f ca="1">IFERROR(__xludf.DUMMYFUNCTION("""COMPUTED_VALUE"""),"Pam Marcum")</f>
        <v>Pam Marcum</v>
      </c>
      <c r="C730" t="str">
        <f ca="1">IFERROR(__xludf.DUMMYFUNCTION("""COMPUTED_VALUE"""),"Pamela.Marcum@FloridaDEP.gov")</f>
        <v>Pamela.Marcum@FloridaDEP.gov</v>
      </c>
      <c r="D730" t="str">
        <f ca="1">IFERROR(__xludf.DUMMYFUNCTION("""COMPUTED_VALUE"""),"Nikki Dix")</f>
        <v>Nikki Dix</v>
      </c>
      <c r="E730" t="str">
        <f ca="1">IFERROR(__xludf.DUMMYFUNCTION("""COMPUTED_VALUE"""),"Aunt Kates")</f>
        <v>Aunt Kates</v>
      </c>
      <c r="F730" s="13">
        <f ca="1">IFERROR(__xludf.DUMMYFUNCTION("""COMPUTED_VALUE"""),0.36458333333212)</f>
        <v>0.36458333333212001</v>
      </c>
      <c r="G730" s="14">
        <f ca="1">IFERROR(__xludf.DUMMYFUNCTION("""COMPUTED_VALUE"""),44468)</f>
        <v>44468</v>
      </c>
      <c r="H730" t="str">
        <f ca="1">IFERROR(__xludf.DUMMYFUNCTION("""COMPUTED_VALUE"""),"Hat Island, Pine island")</f>
        <v>Hat Island, Pine island</v>
      </c>
      <c r="I730" s="15">
        <f ca="1">IFERROR(__xludf.DUMMYFUNCTION("""COMPUTED_VALUE"""),0.541666666667879)</f>
        <v>0.54166666666787899</v>
      </c>
      <c r="J730" s="16">
        <f ca="1">IFERROR(__xludf.DUMMYFUNCTION("""COMPUTED_VALUE"""),44468.5625)</f>
        <v>44468.5625</v>
      </c>
      <c r="K730" t="str">
        <f ca="1">IFERROR(__xludf.DUMMYFUNCTION("""COMPUTED_VALUE"""),"20ft Sea Ark FL5351SJ UNF 2015")</f>
        <v>20ft Sea Ark FL5351SJ UNF 2015</v>
      </c>
      <c r="M730" t="str">
        <f ca="1">IFERROR(__xludf.DUMMYFUNCTION("""COMPUTED_VALUE"""),"Ford F250 2017 (Moby Dix) - DEP0021578")</f>
        <v>Ford F250 2017 (Moby Dix) - DEP0021578</v>
      </c>
      <c r="N730" t="str">
        <f ca="1">IFERROR(__xludf.DUMMYFUNCTION("""COMPUTED_VALUE"""),"Pam Marcum, (480) 332-5414, Alee Knoell, (619) 750-4833")</f>
        <v>Pam Marcum, (480) 332-5414, Alee Knoell, (619) 750-4833</v>
      </c>
      <c r="O730" t="str">
        <f ca="1">IFERROR(__xludf.DUMMYFUNCTION("""COMPUTED_VALUE"""),"Linda Krepp, Kyle Griffis")</f>
        <v>Linda Krepp, Kyle Griffis</v>
      </c>
      <c r="P730" t="str">
        <f ca="1">IFERROR(__xludf.DUMMYFUNCTION("""COMPUTED_VALUE"""),"Pam")</f>
        <v>Pam</v>
      </c>
      <c r="Q730" t="str">
        <f ca="1">IFERROR(__xludf.DUMMYFUNCTION("""COMPUTED_VALUE"""),"All items in working order")</f>
        <v>All items in working order</v>
      </c>
      <c r="AE730" s="11"/>
      <c r="AF730" t="str">
        <v>Nikki.Dix@floridadep.gov</v>
      </c>
      <c r="AG730" s="17" t="s">
        <v>41</v>
      </c>
      <c r="AH730" s="12">
        <v>1300</v>
      </c>
      <c r="AI730" s="12" t="s">
        <v>2141</v>
      </c>
      <c r="AJ730" s="19" t="s">
        <v>2142</v>
      </c>
      <c r="AK730" s="20" t="str">
        <f>HYPERLINK("https://docs.google.com/document/d/1FRXWyhqQ6GibQgUhbyBahS34zPQh_PlErOJnvzI4ocY/edit?usp=drivesdk","Pam Marcum - 9/29/2021 8:45 AM")</f>
        <v>Pam Marcum - 9/29/2021 8:45 AM</v>
      </c>
      <c r="AL730" s="12" t="s">
        <v>2143</v>
      </c>
    </row>
    <row r="731" spans="1:38" ht="12.75">
      <c r="A731" s="10">
        <f ca="1">IFERROR(__xludf.DUMMYFUNCTION("""COMPUTED_VALUE"""),44469.5781282986)</f>
        <v>44469.578128298599</v>
      </c>
      <c r="B731" s="11" t="str">
        <f ca="1">IFERROR(__xludf.DUMMYFUNCTION("""COMPUTED_VALUE"""),"Pam Marcum")</f>
        <v>Pam Marcum</v>
      </c>
      <c r="C731" t="str">
        <f ca="1">IFERROR(__xludf.DUMMYFUNCTION("""COMPUTED_VALUE"""),"Pamela.Marcum@FloridaDEP.gov")</f>
        <v>Pamela.Marcum@FloridaDEP.gov</v>
      </c>
      <c r="D731" t="str">
        <f ca="1">IFERROR(__xludf.DUMMYFUNCTION("""COMPUTED_VALUE"""),"Nikki Dix")</f>
        <v>Nikki Dix</v>
      </c>
      <c r="E731" t="str">
        <f ca="1">IFERROR(__xludf.DUMMYFUNCTION("""COMPUTED_VALUE"""),"Shore Dr")</f>
        <v>Shore Dr</v>
      </c>
      <c r="F731" s="13">
        <f ca="1">IFERROR(__xludf.DUMMYFUNCTION("""COMPUTED_VALUE"""),0.576388888890505)</f>
        <v>0.57638888889050499</v>
      </c>
      <c r="G731" s="14">
        <f ca="1">IFERROR(__xludf.DUMMYFUNCTION("""COMPUTED_VALUE"""),44469)</f>
        <v>44469</v>
      </c>
      <c r="H731" t="str">
        <f ca="1">IFERROR(__xludf.DUMMYFUNCTION("""COMPUTED_VALUE"""),"Site 22")</f>
        <v>Site 22</v>
      </c>
      <c r="I731" s="15">
        <f ca="1">IFERROR(__xludf.DUMMYFUNCTION("""COMPUTED_VALUE"""),0.666666666667879)</f>
        <v>0.66666666666787899</v>
      </c>
      <c r="J731" s="16">
        <f ca="1">IFERROR(__xludf.DUMMYFUNCTION("""COMPUTED_VALUE"""),44469.6875)</f>
        <v>44469.6875</v>
      </c>
      <c r="K731" t="str">
        <f ca="1">IFERROR(__xludf.DUMMYFUNCTION("""COMPUTED_VALUE"""),"23ft Skiff (Bertha) FL7972LJ DEP07613")</f>
        <v>23ft Skiff (Bertha) FL7972LJ DEP07613</v>
      </c>
      <c r="M731" t="str">
        <f ca="1">IFERROR(__xludf.DUMMYFUNCTION("""COMPUTED_VALUE"""),"Ford F250 2017 (Moby Dix) - DEP0021578")</f>
        <v>Ford F250 2017 (Moby Dix) - DEP0021578</v>
      </c>
      <c r="N731" t="str">
        <f ca="1">IFERROR(__xludf.DUMMYFUNCTION("""COMPUTED_VALUE"""),"Pam Marcum, (480) 332-5414, Alee Knoell, (619) 750-4833")</f>
        <v>Pam Marcum, (480) 332-5414, Alee Knoell, (619) 750-4833</v>
      </c>
      <c r="P731" t="str">
        <f ca="1">IFERROR(__xludf.DUMMYFUNCTION("""COMPUTED_VALUE"""),"Pam")</f>
        <v>Pam</v>
      </c>
      <c r="Q731" t="str">
        <f ca="1">IFERROR(__xludf.DUMMYFUNCTION("""COMPUTED_VALUE"""),"All items in working order")</f>
        <v>All items in working order</v>
      </c>
      <c r="AE731" s="11"/>
      <c r="AF731" t="str">
        <v>Nikki.Dix@floridadep.gov</v>
      </c>
      <c r="AG731" s="17" t="s">
        <v>41</v>
      </c>
      <c r="AH731" s="12">
        <v>1520</v>
      </c>
      <c r="AI731" s="12" t="s">
        <v>2144</v>
      </c>
      <c r="AJ731" s="19" t="s">
        <v>2145</v>
      </c>
      <c r="AK731" s="20" t="str">
        <f>HYPERLINK("https://docs.google.com/document/d/1pw_beF-a4MJe7PvSa10QblkQ70ZBX6cKHzNAd2-heWE/edit?usp=drivesdk","Pam Marcum - 9/30/2021 1:50 PM")</f>
        <v>Pam Marcum - 9/30/2021 1:50 PM</v>
      </c>
      <c r="AL731" s="12" t="s">
        <v>2146</v>
      </c>
    </row>
    <row r="732" spans="1:38" ht="12.75">
      <c r="A732" s="10">
        <f ca="1">IFERROR(__xludf.DUMMYFUNCTION("""COMPUTED_VALUE"""),44470.5129663541)</f>
        <v>44470.512966354101</v>
      </c>
      <c r="B732" s="11" t="str">
        <f ca="1">IFERROR(__xludf.DUMMYFUNCTION("""COMPUTED_VALUE"""),"Pam Marcum")</f>
        <v>Pam Marcum</v>
      </c>
      <c r="C732" t="str">
        <f ca="1">IFERROR(__xludf.DUMMYFUNCTION("""COMPUTED_VALUE"""),"Pamela.Marcum@FloridaDEP.gov")</f>
        <v>Pamela.Marcum@FloridaDEP.gov</v>
      </c>
      <c r="D732" t="str">
        <f ca="1">IFERROR(__xludf.DUMMYFUNCTION("""COMPUTED_VALUE"""),"Nikki Dix")</f>
        <v>Nikki Dix</v>
      </c>
      <c r="E732" t="str">
        <f ca="1">IFERROR(__xludf.DUMMYFUNCTION("""COMPUTED_VALUE"""),"Vilano")</f>
        <v>Vilano</v>
      </c>
      <c r="F732" s="13">
        <f ca="1">IFERROR(__xludf.DUMMYFUNCTION("""COMPUTED_VALUE"""),0.510416666667879)</f>
        <v>0.51041666666787899</v>
      </c>
      <c r="G732" s="14">
        <f ca="1">IFERROR(__xludf.DUMMYFUNCTION("""COMPUTED_VALUE"""),44470)</f>
        <v>44470</v>
      </c>
      <c r="H732" t="str">
        <f ca="1">IFERROR(__xludf.DUMMYFUNCTION("""COMPUTED_VALUE"""),"Site 22 &amp; gabby creek")</f>
        <v>Site 22 &amp; gabby creek</v>
      </c>
      <c r="I732" s="15">
        <f ca="1">IFERROR(__xludf.DUMMYFUNCTION("""COMPUTED_VALUE"""),0.666666666667879)</f>
        <v>0.66666666666787899</v>
      </c>
      <c r="J732" s="16">
        <f ca="1">IFERROR(__xludf.DUMMYFUNCTION("""COMPUTED_VALUE"""),44470.6875)</f>
        <v>44470.6875</v>
      </c>
      <c r="K732" t="str">
        <f ca="1">IFERROR(__xludf.DUMMYFUNCTION("""COMPUTED_VALUE"""),"23ft Skiff (Bertha) FL7972LJ DEP07613")</f>
        <v>23ft Skiff (Bertha) FL7972LJ DEP07613</v>
      </c>
      <c r="M732" t="str">
        <f ca="1">IFERROR(__xludf.DUMMYFUNCTION("""COMPUTED_VALUE"""),"Ford F250 2017 (Moby Dix) - DEP0021578")</f>
        <v>Ford F250 2017 (Moby Dix) - DEP0021578</v>
      </c>
      <c r="N732" t="str">
        <f ca="1">IFERROR(__xludf.DUMMYFUNCTION("""COMPUTED_VALUE"""),"Pam Marcum, (480) 332-5414, Alee Knoell, (619) 750-4833")</f>
        <v>Pam Marcum, (480) 332-5414, Alee Knoell, (619) 750-4833</v>
      </c>
      <c r="P732" t="str">
        <f ca="1">IFERROR(__xludf.DUMMYFUNCTION("""COMPUTED_VALUE"""),"Pam")</f>
        <v>Pam</v>
      </c>
      <c r="Q732" t="str">
        <f ca="1">IFERROR(__xludf.DUMMYFUNCTION("""COMPUTED_VALUE"""),"All items in working order")</f>
        <v>All items in working order</v>
      </c>
      <c r="AE732" s="11"/>
      <c r="AF732" t="str">
        <v>Nikki.Dix@floridadep.gov</v>
      </c>
      <c r="AG732" s="17" t="s">
        <v>41</v>
      </c>
      <c r="AH732" s="12">
        <v>1600</v>
      </c>
      <c r="AI732" s="12" t="s">
        <v>2147</v>
      </c>
      <c r="AJ732" s="19" t="s">
        <v>2148</v>
      </c>
      <c r="AK732" s="20" t="str">
        <f>HYPERLINK("https://docs.google.com/document/d/1lpWTQnSuPPWuRXnATKHSFXGX63ZZh1vbq9Axkizmt1Q/edit?usp=drivesdk","Pam Marcum - 10/1/2021 12:15 PM")</f>
        <v>Pam Marcum - 10/1/2021 12:15 PM</v>
      </c>
      <c r="AL732" s="12" t="s">
        <v>2149</v>
      </c>
    </row>
    <row r="733" spans="1:38" ht="12.75">
      <c r="A733" s="10">
        <f ca="1">IFERROR(__xludf.DUMMYFUNCTION("""COMPUTED_VALUE"""),44474.3142888657)</f>
        <v>44474.314288865702</v>
      </c>
      <c r="B733" s="11" t="str">
        <f ca="1">IFERROR(__xludf.DUMMYFUNCTION("""COMPUTED_VALUE"""),"Silas Tanner")</f>
        <v>Silas Tanner</v>
      </c>
      <c r="C733" t="str">
        <f ca="1">IFERROR(__xludf.DUMMYFUNCTION("""COMPUTED_VALUE"""),"silas.tanner@floridadep.gov")</f>
        <v>silas.tanner@floridadep.gov</v>
      </c>
      <c r="D733" t="str">
        <f ca="1">IFERROR(__xludf.DUMMYFUNCTION("""COMPUTED_VALUE"""),"Nikki Dix")</f>
        <v>Nikki Dix</v>
      </c>
      <c r="E733" t="str">
        <f ca="1">IFERROR(__xludf.DUMMYFUNCTION("""COMPUTED_VALUE"""),"Vilano Landing")</f>
        <v>Vilano Landing</v>
      </c>
      <c r="F733" s="13">
        <f ca="1">IFERROR(__xludf.DUMMYFUNCTION("""COMPUTED_VALUE"""),0.33333333333212)</f>
        <v>0.33333333333212001</v>
      </c>
      <c r="G733" s="14">
        <f ca="1">IFERROR(__xludf.DUMMYFUNCTION("""COMPUTED_VALUE"""),44474)</f>
        <v>44474</v>
      </c>
      <c r="H733" t="str">
        <f ca="1">IFERROR(__xludf.DUMMYFUNCTION("""COMPUTED_VALUE"""),"ICW SWMP sites")</f>
        <v>ICW SWMP sites</v>
      </c>
      <c r="I733" s="15">
        <f ca="1">IFERROR(__xludf.DUMMYFUNCTION("""COMPUTED_VALUE"""),0.604166666667879)</f>
        <v>0.60416666666787899</v>
      </c>
      <c r="J733" s="16">
        <f ca="1">IFERROR(__xludf.DUMMYFUNCTION("""COMPUTED_VALUE"""),44474.6145833333)</f>
        <v>44474.614583333299</v>
      </c>
      <c r="K733" t="str">
        <f ca="1">IFERROR(__xludf.DUMMYFUNCTION("""COMPUTED_VALUE"""),"23ft Skiff (Bertha) FL7972LJ DEP07613")</f>
        <v>23ft Skiff (Bertha) FL7972LJ DEP07613</v>
      </c>
      <c r="M733" t="str">
        <f ca="1">IFERROR(__xludf.DUMMYFUNCTION("""COMPUTED_VALUE"""),"Ford F250 2017 (Moby Dix) - DEP0021578")</f>
        <v>Ford F250 2017 (Moby Dix) - DEP0021578</v>
      </c>
      <c r="N733" t="str">
        <f ca="1">IFERROR(__xludf.DUMMYFUNCTION("""COMPUTED_VALUE"""),"Shannon Dunnigan, (803) 727-5734, Silas Tanner, (904) 483-8423")</f>
        <v>Shannon Dunnigan, (803) 727-5734, Silas Tanner, (904) 483-8423</v>
      </c>
      <c r="O733" t="str">
        <f ca="1">IFERROR(__xludf.DUMMYFUNCTION("""COMPUTED_VALUE"""),"Ashley R")</f>
        <v>Ashley R</v>
      </c>
      <c r="P733" t="str">
        <f ca="1">IFERROR(__xludf.DUMMYFUNCTION("""COMPUTED_VALUE"""),"Silas Tanner")</f>
        <v>Silas Tanner</v>
      </c>
      <c r="Q733" t="str">
        <f ca="1">IFERROR(__xludf.DUMMYFUNCTION("""COMPUTED_VALUE"""),"All items in working order")</f>
        <v>All items in working order</v>
      </c>
      <c r="AE733" s="11"/>
      <c r="AF733" t="str">
        <v>Nikki.Dix@floridadep.gov</v>
      </c>
      <c r="AG733" s="17" t="s">
        <v>41</v>
      </c>
      <c r="AH733" s="12">
        <v>1244</v>
      </c>
      <c r="AI733" s="12" t="s">
        <v>2150</v>
      </c>
      <c r="AJ733" s="19" t="s">
        <v>2151</v>
      </c>
      <c r="AK733" s="20" t="str">
        <f>HYPERLINK("https://docs.google.com/document/d/1kisMOv45OuPjmd4K5TgIFCU7cPFO11upQeJYgygewpo/edit?usp=drivesdk","Silas Tanner - 10/5/2021 8:00 AM")</f>
        <v>Silas Tanner - 10/5/2021 8:00 AM</v>
      </c>
      <c r="AL733" s="12" t="s">
        <v>2152</v>
      </c>
    </row>
    <row r="734" spans="1:38" ht="12.75">
      <c r="A734" s="10">
        <f ca="1">IFERROR(__xludf.DUMMYFUNCTION("""COMPUTED_VALUE"""),44475.4980488773)</f>
        <v>44475.4980488773</v>
      </c>
      <c r="B734" s="11" t="str">
        <f ca="1">IFERROR(__xludf.DUMMYFUNCTION("""COMPUTED_VALUE"""),"Olivia Roorbach")</f>
        <v>Olivia Roorbach</v>
      </c>
      <c r="C734" t="str">
        <f ca="1">IFERROR(__xludf.DUMMYFUNCTION("""COMPUTED_VALUE"""),"olivia.roorbach@floridadep.gov")</f>
        <v>olivia.roorbach@floridadep.gov</v>
      </c>
      <c r="D734" t="str">
        <f ca="1">IFERROR(__xludf.DUMMYFUNCTION("""COMPUTED_VALUE"""),"Alee Knoell")</f>
        <v>Alee Knoell</v>
      </c>
      <c r="E734" t="str">
        <f ca="1">IFERROR(__xludf.DUMMYFUNCTION("""COMPUTED_VALUE"""),"Dam")</f>
        <v>Dam</v>
      </c>
      <c r="F734" s="13">
        <f ca="1">IFERROR(__xludf.DUMMYFUNCTION("""COMPUTED_VALUE"""),0.409722222222626)</f>
        <v>0.409722222222626</v>
      </c>
      <c r="G734" s="14">
        <f ca="1">IFERROR(__xludf.DUMMYFUNCTION("""COMPUTED_VALUE"""),44475)</f>
        <v>44475</v>
      </c>
      <c r="H734" t="str">
        <f ca="1">IFERROR(__xludf.DUMMYFUNCTION("""COMPUTED_VALUE"""),"Guana river and lake")</f>
        <v>Guana river and lake</v>
      </c>
      <c r="I734" s="15">
        <f ca="1">IFERROR(__xludf.DUMMYFUNCTION("""COMPUTED_VALUE"""),0.5625)</f>
        <v>0.5625</v>
      </c>
      <c r="J734" s="16">
        <f ca="1">IFERROR(__xludf.DUMMYFUNCTION("""COMPUTED_VALUE"""),44475.5833333333)</f>
        <v>44475.583333333299</v>
      </c>
      <c r="K734" t="str">
        <f ca="1">IFERROR(__xludf.DUMMYFUNCTION("""COMPUTED_VALUE"""),"Jon Boat 1 FL5992RR DEP154045, Air boat")</f>
        <v>Jon Boat 1 FL5992RR DEP154045, Air boat</v>
      </c>
      <c r="M734" t="str">
        <f ca="1">IFERROR(__xludf.DUMMYFUNCTION("""COMPUTED_VALUE"""),"Ford F250 2017 (Moby Dix) - DEP0021578")</f>
        <v>Ford F250 2017 (Moby Dix) - DEP0021578</v>
      </c>
      <c r="N734" t="str">
        <f ca="1">IFERROR(__xludf.DUMMYFUNCTION("""COMPUTED_VALUE"""),"Olivia Roorbach, (404) 694-2653")</f>
        <v>Olivia Roorbach, (404) 694-2653</v>
      </c>
      <c r="O734" t="str">
        <f ca="1">IFERROR(__xludf.DUMMYFUNCTION("""COMPUTED_VALUE"""),"Ashely Reaume ")</f>
        <v xml:space="preserve">Ashely Reaume </v>
      </c>
      <c r="P734" t="str">
        <f ca="1">IFERROR(__xludf.DUMMYFUNCTION("""COMPUTED_VALUE"""),"Olivia Roorbach")</f>
        <v>Olivia Roorbach</v>
      </c>
      <c r="Q734" t="str">
        <f ca="1">IFERROR(__xludf.DUMMYFUNCTION("""COMPUTED_VALUE"""),"All items in working order")</f>
        <v>All items in working order</v>
      </c>
      <c r="AE734" s="11"/>
      <c r="AF734" t="str">
        <v>Alee.Knoell@floridadep.gov</v>
      </c>
      <c r="AG734" s="17" t="s">
        <v>1821</v>
      </c>
      <c r="AH734" s="12">
        <v>1345</v>
      </c>
      <c r="AI734" s="12" t="s">
        <v>2153</v>
      </c>
      <c r="AJ734" s="19" t="s">
        <v>2154</v>
      </c>
      <c r="AK734" s="20" t="str">
        <f>HYPERLINK("https://docs.google.com/document/d/1XAjQ9zS2hbiYnZTHVAh8NaxtV1PkuihA2fKF5mbgqzE/edit?usp=drivesdk","Olivia Roorbach - 10/6/2021 9:50 AM")</f>
        <v>Olivia Roorbach - 10/6/2021 9:50 AM</v>
      </c>
      <c r="AL734" s="12" t="s">
        <v>2155</v>
      </c>
    </row>
    <row r="735" spans="1:38" ht="12.75">
      <c r="A735" s="10">
        <f ca="1">IFERROR(__xludf.DUMMYFUNCTION("""COMPUTED_VALUE"""),44480.3425502893)</f>
        <v>44480.342550289301</v>
      </c>
      <c r="B735" s="11" t="str">
        <f ca="1">IFERROR(__xludf.DUMMYFUNCTION("""COMPUTED_VALUE"""),"Pam Marcum")</f>
        <v>Pam Marcum</v>
      </c>
      <c r="C735" t="str">
        <f ca="1">IFERROR(__xludf.DUMMYFUNCTION("""COMPUTED_VALUE"""),"Pamela.Marcum@FloridaDEP.gov")</f>
        <v>Pamela.Marcum@FloridaDEP.gov</v>
      </c>
      <c r="D735" t="str">
        <f ca="1">IFERROR(__xludf.DUMMYFUNCTION("""COMPUTED_VALUE"""),"Nikki Dix")</f>
        <v>Nikki Dix</v>
      </c>
      <c r="E735" t="str">
        <f ca="1">IFERROR(__xludf.DUMMYFUNCTION("""COMPUTED_VALUE"""),"Faver-Dykes")</f>
        <v>Faver-Dykes</v>
      </c>
      <c r="F735" s="13">
        <f ca="1">IFERROR(__xludf.DUMMYFUNCTION("""COMPUTED_VALUE"""),0.34375)</f>
        <v>0.34375</v>
      </c>
      <c r="G735" s="14">
        <f ca="1">IFERROR(__xludf.DUMMYFUNCTION("""COMPUTED_VALUE"""),44480)</f>
        <v>44480</v>
      </c>
      <c r="H735" t="str">
        <f ca="1">IFERROR(__xludf.DUMMYFUNCTION("""COMPUTED_VALUE"""),"Pellicer Creek")</f>
        <v>Pellicer Creek</v>
      </c>
      <c r="I735" s="15">
        <f ca="1">IFERROR(__xludf.DUMMYFUNCTION("""COMPUTED_VALUE"""),0.58333333333212)</f>
        <v>0.58333333333212001</v>
      </c>
      <c r="J735" s="16">
        <f ca="1">IFERROR(__xludf.DUMMYFUNCTION("""COMPUTED_VALUE"""),44480.7083333333)</f>
        <v>44480.708333333299</v>
      </c>
      <c r="K735" t="str">
        <f ca="1">IFERROR(__xludf.DUMMYFUNCTION("""COMPUTED_VALUE"""),"20ft Sea Ark FL5351SJ UNF 2015")</f>
        <v>20ft Sea Ark FL5351SJ UNF 2015</v>
      </c>
      <c r="M735" t="str">
        <f ca="1">IFERROR(__xludf.DUMMYFUNCTION("""COMPUTED_VALUE"""),"Ford F250 2017 (Moby Dix) - DEP0021578")</f>
        <v>Ford F250 2017 (Moby Dix) - DEP0021578</v>
      </c>
      <c r="N735" t="str">
        <f ca="1">IFERROR(__xludf.DUMMYFUNCTION("""COMPUTED_VALUE"""),"Pam Marcum, (480) 332-5414, Alee Knoell, (619) 750-4833")</f>
        <v>Pam Marcum, (480) 332-5414, Alee Knoell, (619) 750-4833</v>
      </c>
      <c r="P735" t="str">
        <f ca="1">IFERROR(__xludf.DUMMYFUNCTION("""COMPUTED_VALUE"""),"Alee")</f>
        <v>Alee</v>
      </c>
      <c r="Q735" t="str">
        <f ca="1">IFERROR(__xludf.DUMMYFUNCTION("""COMPUTED_VALUE"""),"All items in working order")</f>
        <v>All items in working order</v>
      </c>
      <c r="AE735" s="11"/>
      <c r="AF735" t="str">
        <v>Nikki.Dix@floridadep.gov</v>
      </c>
      <c r="AG735" s="17" t="s">
        <v>58</v>
      </c>
      <c r="AH735" s="12">
        <v>1248</v>
      </c>
      <c r="AI735" s="12" t="s">
        <v>2156</v>
      </c>
      <c r="AJ735" s="19" t="s">
        <v>2157</v>
      </c>
      <c r="AK735" s="20" t="str">
        <f>HYPERLINK("https://docs.google.com/document/d/11sMVGTJ0lCXe9iqhHcanu3Fr18pLhFNOHeSXZ4Y0Omo/edit?usp=drivesdk","Pam Marcum - 10/11/2021 8:15 AM")</f>
        <v>Pam Marcum - 10/11/2021 8:15 AM</v>
      </c>
      <c r="AL735" s="12" t="s">
        <v>2158</v>
      </c>
    </row>
    <row r="736" spans="1:38" ht="12.75">
      <c r="A736" s="10">
        <f ca="1">IFERROR(__xludf.DUMMYFUNCTION("""COMPUTED_VALUE"""),44480.555975949)</f>
        <v>44480.555975948999</v>
      </c>
      <c r="B736" s="11" t="str">
        <f ca="1">IFERROR(__xludf.DUMMYFUNCTION("""COMPUTED_VALUE"""),"Jimmy")</f>
        <v>Jimmy</v>
      </c>
      <c r="C736" t="str">
        <f ca="1">IFERROR(__xludf.DUMMYFUNCTION("""COMPUTED_VALUE"""),"james.tomazinis@floridadep.gov")</f>
        <v>james.tomazinis@floridadep.gov</v>
      </c>
      <c r="D736" t="str">
        <f ca="1">IFERROR(__xludf.DUMMYFUNCTION("""COMPUTED_VALUE"""),"Jimmy Tomazinis")</f>
        <v>Jimmy Tomazinis</v>
      </c>
      <c r="E736" t="str">
        <f ca="1">IFERROR(__xludf.DUMMYFUNCTION("""COMPUTED_VALUE"""),"Guana Dam")</f>
        <v>Guana Dam</v>
      </c>
      <c r="F736" s="13">
        <f ca="1">IFERROR(__xludf.DUMMYFUNCTION("""COMPUTED_VALUE"""),0.58333333333212)</f>
        <v>0.58333333333212001</v>
      </c>
      <c r="G736" s="14">
        <f ca="1">IFERROR(__xludf.DUMMYFUNCTION("""COMPUTED_VALUE"""),44480)</f>
        <v>44480</v>
      </c>
      <c r="H736" t="str">
        <f ca="1">IFERROR(__xludf.DUMMYFUNCTION("""COMPUTED_VALUE"""),"Guana Lake")</f>
        <v>Guana Lake</v>
      </c>
      <c r="I736" s="15">
        <f ca="1">IFERROR(__xludf.DUMMYFUNCTION("""COMPUTED_VALUE"""),0.666666666667879)</f>
        <v>0.66666666666787899</v>
      </c>
      <c r="J736" s="16"/>
      <c r="K736" t="str">
        <f ca="1">IFERROR(__xludf.DUMMYFUNCTION("""COMPUTED_VALUE"""),"Jon Boat 2 FL4480RJ DEP152154")</f>
        <v>Jon Boat 2 FL4480RJ DEP152154</v>
      </c>
      <c r="M736" t="str">
        <f ca="1">IFERROR(__xludf.DUMMYFUNCTION("""COMPUTED_VALUE"""),"Ford F150 2007 (F-Bomb) - DEP07055")</f>
        <v>Ford F150 2007 (F-Bomb) - DEP07055</v>
      </c>
      <c r="N736" t="str">
        <f ca="1">IFERROR(__xludf.DUMMYFUNCTION("""COMPUTED_VALUE"""),"Jimmy Tomazinis, (904) 547-0094")</f>
        <v>Jimmy Tomazinis, (904) 547-0094</v>
      </c>
      <c r="O736" t="str">
        <f ca="1">IFERROR(__xludf.DUMMYFUNCTION("""COMPUTED_VALUE"""),"Chris")</f>
        <v>Chris</v>
      </c>
      <c r="P736" t="str">
        <f ca="1">IFERROR(__xludf.DUMMYFUNCTION("""COMPUTED_VALUE"""),"Jimmy")</f>
        <v>Jimmy</v>
      </c>
      <c r="Q736" t="str">
        <f ca="1">IFERROR(__xludf.DUMMYFUNCTION("""COMPUTED_VALUE"""),"All items in working order")</f>
        <v>All items in working order</v>
      </c>
      <c r="AE736" s="11"/>
      <c r="AF736" t="str">
        <v>James.Tomazinis@floridadep.gov</v>
      </c>
      <c r="AG736" s="17" t="s">
        <v>17</v>
      </c>
      <c r="AH736" s="12">
        <v>1550</v>
      </c>
      <c r="AI736" s="12" t="s">
        <v>2159</v>
      </c>
      <c r="AJ736" s="19" t="s">
        <v>2160</v>
      </c>
      <c r="AK736" s="20" t="str">
        <f>HYPERLINK("https://docs.google.com/document/d/1IJD2y-kTec3LtSsITmyNrM5e_T_m8q7Ax0dpJ07HP5w/edit?usp=drivesdk","Jimmy - 10/11/2021 2:00 PM")</f>
        <v>Jimmy - 10/11/2021 2:00 PM</v>
      </c>
      <c r="AL736" s="12" t="s">
        <v>2161</v>
      </c>
    </row>
    <row r="737" spans="1:38" ht="12.75">
      <c r="A737" s="10">
        <f ca="1">IFERROR(__xludf.DUMMYFUNCTION("""COMPUTED_VALUE"""),44480.5625781134)</f>
        <v>44480.5625781134</v>
      </c>
      <c r="B737" s="11" t="str">
        <f ca="1">IFERROR(__xludf.DUMMYFUNCTION("""COMPUTED_VALUE"""),"Pam Marcum")</f>
        <v>Pam Marcum</v>
      </c>
      <c r="C737" t="str">
        <f ca="1">IFERROR(__xludf.DUMMYFUNCTION("""COMPUTED_VALUE"""),"Pamela.Marcum@FloridaDEP.gov")</f>
        <v>Pamela.Marcum@FloridaDEP.gov</v>
      </c>
      <c r="D737" t="str">
        <f ca="1">IFERROR(__xludf.DUMMYFUNCTION("""COMPUTED_VALUE"""),"Nikki Dix")</f>
        <v>Nikki Dix</v>
      </c>
      <c r="E737" t="str">
        <f ca="1">IFERROR(__xludf.DUMMYFUNCTION("""COMPUTED_VALUE"""),"Butler")</f>
        <v>Butler</v>
      </c>
      <c r="F737" s="13">
        <f ca="1">IFERROR(__xludf.DUMMYFUNCTION("""COMPUTED_VALUE"""),0.5625)</f>
        <v>0.5625</v>
      </c>
      <c r="G737" s="14">
        <f ca="1">IFERROR(__xludf.DUMMYFUNCTION("""COMPUTED_VALUE"""),44480)</f>
        <v>44480</v>
      </c>
      <c r="H737" t="str">
        <f ca="1">IFERROR(__xludf.DUMMYFUNCTION("""COMPUTED_VALUE"""),"Moses creek")</f>
        <v>Moses creek</v>
      </c>
      <c r="I737" s="15">
        <f ca="1">IFERROR(__xludf.DUMMYFUNCTION("""COMPUTED_VALUE"""),0.666666666667879)</f>
        <v>0.66666666666787899</v>
      </c>
      <c r="J737" s="16">
        <f ca="1">IFERROR(__xludf.DUMMYFUNCTION("""COMPUTED_VALUE"""),44480.7083333333)</f>
        <v>44480.708333333299</v>
      </c>
      <c r="K737" t="str">
        <f ca="1">IFERROR(__xludf.DUMMYFUNCTION("""COMPUTED_VALUE"""),"20ft Sea Ark FL5351SJ UNF 2015")</f>
        <v>20ft Sea Ark FL5351SJ UNF 2015</v>
      </c>
      <c r="M737" t="str">
        <f ca="1">IFERROR(__xludf.DUMMYFUNCTION("""COMPUTED_VALUE"""),"Ford F250 2017 (Moby Dix) - DEP0021578")</f>
        <v>Ford F250 2017 (Moby Dix) - DEP0021578</v>
      </c>
      <c r="N737" t="str">
        <f ca="1">IFERROR(__xludf.DUMMYFUNCTION("""COMPUTED_VALUE"""),"Pam Marcum, (480) 332-5414, Alee Knoell, (619) 750-4833")</f>
        <v>Pam Marcum, (480) 332-5414, Alee Knoell, (619) 750-4833</v>
      </c>
      <c r="P737" t="str">
        <f ca="1">IFERROR(__xludf.DUMMYFUNCTION("""COMPUTED_VALUE"""),"Pam")</f>
        <v>Pam</v>
      </c>
      <c r="Q737" t="str">
        <f ca="1">IFERROR(__xludf.DUMMYFUNCTION("""COMPUTED_VALUE"""),"All items in working order")</f>
        <v>All items in working order</v>
      </c>
      <c r="AE737" s="11"/>
      <c r="AF737" t="str">
        <v>Nikki.Dix@floridadep.gov</v>
      </c>
      <c r="AG737" s="17" t="s">
        <v>41</v>
      </c>
      <c r="AH737" s="12">
        <v>1523</v>
      </c>
      <c r="AI737" s="12" t="s">
        <v>2162</v>
      </c>
      <c r="AJ737" s="19" t="s">
        <v>2163</v>
      </c>
      <c r="AK737" s="20" t="str">
        <f>HYPERLINK("https://docs.google.com/document/d/1z4EiuCs43BCiuE64m3hFuDnHkgNpwR-Cp6nK4d8afXE/edit?usp=drivesdk","Pam Marcum - 10/11/2021 1:30 PM")</f>
        <v>Pam Marcum - 10/11/2021 1:30 PM</v>
      </c>
      <c r="AL737" s="12" t="s">
        <v>2164</v>
      </c>
    </row>
    <row r="738" spans="1:38" ht="12.75">
      <c r="A738" s="10">
        <f ca="1">IFERROR(__xludf.DUMMYFUNCTION("""COMPUTED_VALUE"""),44481.2982142592)</f>
        <v>44481.298214259201</v>
      </c>
      <c r="B738" s="11" t="str">
        <f ca="1">IFERROR(__xludf.DUMMYFUNCTION("""COMPUTED_VALUE"""),"Pam Marcum")</f>
        <v>Pam Marcum</v>
      </c>
      <c r="C738" t="str">
        <f ca="1">IFERROR(__xludf.DUMMYFUNCTION("""COMPUTED_VALUE"""),"Pamela.Marcum@FloridaDEP.gov")</f>
        <v>Pamela.Marcum@FloridaDEP.gov</v>
      </c>
      <c r="D738" t="str">
        <f ca="1">IFERROR(__xludf.DUMMYFUNCTION("""COMPUTED_VALUE"""),"Nikki Dix")</f>
        <v>Nikki Dix</v>
      </c>
      <c r="E738" t="str">
        <f ca="1">IFERROR(__xludf.DUMMYFUNCTION("""COMPUTED_VALUE"""),"Butler")</f>
        <v>Butler</v>
      </c>
      <c r="F738" s="13">
        <f ca="1">IFERROR(__xludf.DUMMYFUNCTION("""COMPUTED_VALUE"""),0.298611111109494)</f>
        <v>0.29861111110949401</v>
      </c>
      <c r="G738" s="14">
        <f ca="1">IFERROR(__xludf.DUMMYFUNCTION("""COMPUTED_VALUE"""),44481)</f>
        <v>44481</v>
      </c>
      <c r="H738" t="str">
        <f ca="1">IFERROR(__xludf.DUMMYFUNCTION("""COMPUTED_VALUE"""),"Moses creek")</f>
        <v>Moses creek</v>
      </c>
      <c r="I738" s="15">
        <f ca="1">IFERROR(__xludf.DUMMYFUNCTION("""COMPUTED_VALUE"""),0.5)</f>
        <v>0.5</v>
      </c>
      <c r="J738" s="16">
        <f ca="1">IFERROR(__xludf.DUMMYFUNCTION("""COMPUTED_VALUE"""),44481.6666666666)</f>
        <v>44481.666666666599</v>
      </c>
      <c r="K738" t="str">
        <f ca="1">IFERROR(__xludf.DUMMYFUNCTION("""COMPUTED_VALUE"""),"20ft Sea Ark FL5351SJ UNF 2015")</f>
        <v>20ft Sea Ark FL5351SJ UNF 2015</v>
      </c>
      <c r="M738" t="str">
        <f ca="1">IFERROR(__xludf.DUMMYFUNCTION("""COMPUTED_VALUE"""),"Ford F250 2017 (Moby Dix) - DEP0021578")</f>
        <v>Ford F250 2017 (Moby Dix) - DEP0021578</v>
      </c>
      <c r="N738" t="str">
        <f ca="1">IFERROR(__xludf.DUMMYFUNCTION("""COMPUTED_VALUE"""),"Pam Marcum, (480) 332-5414")</f>
        <v>Pam Marcum, (480) 332-5414</v>
      </c>
      <c r="O738" t="str">
        <f ca="1">IFERROR(__xludf.DUMMYFUNCTION("""COMPUTED_VALUE"""),"Allix North")</f>
        <v>Allix North</v>
      </c>
      <c r="P738" t="str">
        <f ca="1">IFERROR(__xludf.DUMMYFUNCTION("""COMPUTED_VALUE"""),"Pam")</f>
        <v>Pam</v>
      </c>
      <c r="Q738" t="str">
        <f ca="1">IFERROR(__xludf.DUMMYFUNCTION("""COMPUTED_VALUE"""),"All items in working order")</f>
        <v>All items in working order</v>
      </c>
      <c r="AE738" s="11"/>
      <c r="AF738" t="str">
        <v>Nikki.Dix@floridadep.gov</v>
      </c>
      <c r="AG738" s="17" t="s">
        <v>41</v>
      </c>
      <c r="AH738" s="12">
        <v>1144</v>
      </c>
      <c r="AI738" s="12" t="s">
        <v>2165</v>
      </c>
      <c r="AJ738" s="19" t="s">
        <v>2166</v>
      </c>
      <c r="AK738" s="20" t="str">
        <f>HYPERLINK("https://docs.google.com/document/d/1A4XvO64Wlw1x33x__pgLDWkyOUI371RwX25NSVUHZj0/edit?usp=drivesdk","Pam Marcum - 10/12/2021 7:10 AM")</f>
        <v>Pam Marcum - 10/12/2021 7:10 AM</v>
      </c>
      <c r="AL738" s="12" t="s">
        <v>2167</v>
      </c>
    </row>
    <row r="739" spans="1:38" ht="12.75">
      <c r="A739" s="10">
        <f ca="1">IFERROR(__xludf.DUMMYFUNCTION("""COMPUTED_VALUE"""),44481.3170846064)</f>
        <v>44481.317084606402</v>
      </c>
      <c r="B739" s="11" t="str">
        <f ca="1">IFERROR(__xludf.DUMMYFUNCTION("""COMPUTED_VALUE"""),"Jimmy")</f>
        <v>Jimmy</v>
      </c>
      <c r="C739" t="str">
        <f ca="1">IFERROR(__xludf.DUMMYFUNCTION("""COMPUTED_VALUE"""),"james.tomazinis@floridadep.gov")</f>
        <v>james.tomazinis@floridadep.gov</v>
      </c>
      <c r="D739" t="str">
        <f ca="1">IFERROR(__xludf.DUMMYFUNCTION("""COMPUTED_VALUE"""),"Jimmy Tomazinis")</f>
        <v>Jimmy Tomazinis</v>
      </c>
      <c r="E739" t="str">
        <f ca="1">IFERROR(__xludf.DUMMYFUNCTION("""COMPUTED_VALUE"""),"Guana Dam")</f>
        <v>Guana Dam</v>
      </c>
      <c r="F739" s="13">
        <f ca="1">IFERROR(__xludf.DUMMYFUNCTION("""COMPUTED_VALUE"""),0.5)</f>
        <v>0.5</v>
      </c>
      <c r="G739" s="14">
        <f ca="1">IFERROR(__xludf.DUMMYFUNCTION("""COMPUTED_VALUE"""),44481)</f>
        <v>44481</v>
      </c>
      <c r="H739" t="str">
        <f ca="1">IFERROR(__xludf.DUMMYFUNCTION("""COMPUTED_VALUE"""),"Guana Lake")</f>
        <v>Guana Lake</v>
      </c>
      <c r="I739" s="15">
        <f ca="1">IFERROR(__xludf.DUMMYFUNCTION("""COMPUTED_VALUE"""),0.625)</f>
        <v>0.625</v>
      </c>
      <c r="J739" s="16"/>
      <c r="K739" t="str">
        <f ca="1">IFERROR(__xludf.DUMMYFUNCTION("""COMPUTED_VALUE"""),"Jon Boat 1 FL5992RR DEP154045")</f>
        <v>Jon Boat 1 FL5992RR DEP154045</v>
      </c>
      <c r="M739" t="str">
        <f ca="1">IFERROR(__xludf.DUMMYFUNCTION("""COMPUTED_VALUE"""),"Ford F150 2007 (F-Bomb) - DEP07055")</f>
        <v>Ford F150 2007 (F-Bomb) - DEP07055</v>
      </c>
      <c r="N739" t="str">
        <f ca="1">IFERROR(__xludf.DUMMYFUNCTION("""COMPUTED_VALUE"""),"Jimmy Tomazinis, (904) 547-0094")</f>
        <v>Jimmy Tomazinis, (904) 547-0094</v>
      </c>
      <c r="O739" t="str">
        <f ca="1">IFERROR(__xludf.DUMMYFUNCTION("""COMPUTED_VALUE"""),"Chris")</f>
        <v>Chris</v>
      </c>
      <c r="P739" t="str">
        <f ca="1">IFERROR(__xludf.DUMMYFUNCTION("""COMPUTED_VALUE"""),"Jimmy ")</f>
        <v xml:space="preserve">Jimmy </v>
      </c>
      <c r="Q739" t="str">
        <f ca="1">IFERROR(__xludf.DUMMYFUNCTION("""COMPUTED_VALUE"""),"All items in working order")</f>
        <v>All items in working order</v>
      </c>
      <c r="AE739" s="11"/>
      <c r="AF739" t="str">
        <v>James.Tomazinis@floridadep.gov</v>
      </c>
      <c r="AG739" s="17" t="s">
        <v>17</v>
      </c>
      <c r="AH739" s="12">
        <v>1500</v>
      </c>
      <c r="AI739" s="12" t="s">
        <v>2168</v>
      </c>
      <c r="AJ739" s="19" t="s">
        <v>2169</v>
      </c>
      <c r="AK739" s="20" t="str">
        <f>HYPERLINK("https://docs.google.com/document/d/1xFU4IYJNUxJSUnHO8VJ0rauA7riYvIbmuZieSZDGONc/edit?usp=drivesdk","Jimmy - 10/12/2021 12:00 PM")</f>
        <v>Jimmy - 10/12/2021 12:00 PM</v>
      </c>
      <c r="AL739" s="12" t="s">
        <v>2170</v>
      </c>
    </row>
    <row r="740" spans="1:38" ht="12.75">
      <c r="A740" s="10">
        <f ca="1">IFERROR(__xludf.DUMMYFUNCTION("""COMPUTED_VALUE"""),44482.3268451041)</f>
        <v>44482.3268451041</v>
      </c>
      <c r="B740" s="11" t="str">
        <f ca="1">IFERROR(__xludf.DUMMYFUNCTION("""COMPUTED_VALUE"""),"Pam Marcum")</f>
        <v>Pam Marcum</v>
      </c>
      <c r="C740" t="str">
        <f ca="1">IFERROR(__xludf.DUMMYFUNCTION("""COMPUTED_VALUE"""),"Pamela.Marcum@FloridaDEP.gov")</f>
        <v>Pamela.Marcum@FloridaDEP.gov</v>
      </c>
      <c r="D740" t="str">
        <f ca="1">IFERROR(__xludf.DUMMYFUNCTION("""COMPUTED_VALUE"""),"Nikki Dix")</f>
        <v>Nikki Dix</v>
      </c>
      <c r="E740" t="str">
        <f ca="1">IFERROR(__xludf.DUMMYFUNCTION("""COMPUTED_VALUE"""),"Aunt Kate's")</f>
        <v>Aunt Kate's</v>
      </c>
      <c r="F740" s="13">
        <f ca="1">IFERROR(__xludf.DUMMYFUNCTION("""COMPUTED_VALUE"""),0.326388888890505)</f>
        <v>0.32638888889050499</v>
      </c>
      <c r="G740" s="14">
        <f ca="1">IFERROR(__xludf.DUMMYFUNCTION("""COMPUTED_VALUE"""),44482)</f>
        <v>44482</v>
      </c>
      <c r="H740" t="str">
        <f ca="1">IFERROR(__xludf.DUMMYFUNCTION("""COMPUTED_VALUE"""),"Hat Island")</f>
        <v>Hat Island</v>
      </c>
      <c r="I740" s="15">
        <f ca="1">IFERROR(__xludf.DUMMYFUNCTION("""COMPUTED_VALUE"""),0.45833333333212)</f>
        <v>0.45833333333212001</v>
      </c>
      <c r="J740" s="16">
        <f ca="1">IFERROR(__xludf.DUMMYFUNCTION("""COMPUTED_VALUE"""),44482.4791666666)</f>
        <v>44482.479166666599</v>
      </c>
      <c r="K740" t="str">
        <f ca="1">IFERROR(__xludf.DUMMYFUNCTION("""COMPUTED_VALUE"""),"20ft Sea Ark FL5351SJ UNF 2015")</f>
        <v>20ft Sea Ark FL5351SJ UNF 2015</v>
      </c>
      <c r="M740" t="str">
        <f ca="1">IFERROR(__xludf.DUMMYFUNCTION("""COMPUTED_VALUE"""),"Ford F250 2017 (Moby Dix) - DEP0021578")</f>
        <v>Ford F250 2017 (Moby Dix) - DEP0021578</v>
      </c>
      <c r="N740" t="str">
        <f ca="1">IFERROR(__xludf.DUMMYFUNCTION("""COMPUTED_VALUE"""),"Pam Marcum, (480) 332-5414, Alee Knoell, (619) 750-4833")</f>
        <v>Pam Marcum, (480) 332-5414, Alee Knoell, (619) 750-4833</v>
      </c>
      <c r="O740" t="str">
        <f ca="1">IFERROR(__xludf.DUMMYFUNCTION("""COMPUTED_VALUE"""),"Sabanna mathis")</f>
        <v>Sabanna mathis</v>
      </c>
      <c r="P740" t="str">
        <f ca="1">IFERROR(__xludf.DUMMYFUNCTION("""COMPUTED_VALUE"""),"Pam")</f>
        <v>Pam</v>
      </c>
      <c r="Q740" t="str">
        <f ca="1">IFERROR(__xludf.DUMMYFUNCTION("""COMPUTED_VALUE"""),"All items in working order")</f>
        <v>All items in working order</v>
      </c>
      <c r="AE740" s="11"/>
      <c r="AF740" t="str">
        <v>Nikki.Dix@floridadep.gov</v>
      </c>
      <c r="AG740" s="17" t="s">
        <v>17</v>
      </c>
      <c r="AH740" s="12">
        <v>950</v>
      </c>
      <c r="AI740" s="12" t="s">
        <v>2171</v>
      </c>
      <c r="AJ740" s="19" t="s">
        <v>2172</v>
      </c>
      <c r="AK740" s="20" t="str">
        <f>HYPERLINK("https://docs.google.com/document/d/1ydNdvaeB5pe3MmLPkoY0vCG0dE4YMX8a-5Sbq6oCxo0/edit?usp=drivesdk","Pam Marcum - 10/13/2021 7:50 AM")</f>
        <v>Pam Marcum - 10/13/2021 7:50 AM</v>
      </c>
      <c r="AL740" s="12" t="s">
        <v>2173</v>
      </c>
    </row>
    <row r="741" spans="1:38" ht="12.75">
      <c r="A741" s="10">
        <f ca="1">IFERROR(__xludf.DUMMYFUNCTION("""COMPUTED_VALUE"""),44482.4352710995)</f>
        <v>44482.435271099501</v>
      </c>
      <c r="B741" s="11" t="str">
        <f ca="1">IFERROR(__xludf.DUMMYFUNCTION("""COMPUTED_VALUE"""),"Pam Marcum")</f>
        <v>Pam Marcum</v>
      </c>
      <c r="C741" t="str">
        <f ca="1">IFERROR(__xludf.DUMMYFUNCTION("""COMPUTED_VALUE"""),"Pamela.Marcum@FloridaDEP.gov")</f>
        <v>Pamela.Marcum@FloridaDEP.gov</v>
      </c>
      <c r="D741" t="str">
        <f ca="1">IFERROR(__xludf.DUMMYFUNCTION("""COMPUTED_VALUE"""),"Nikki Dix")</f>
        <v>Nikki Dix</v>
      </c>
      <c r="E741" t="str">
        <f ca="1">IFERROR(__xludf.DUMMYFUNCTION("""COMPUTED_VALUE"""),"Bings")</f>
        <v>Bings</v>
      </c>
      <c r="F741" s="13">
        <f ca="1">IFERROR(__xludf.DUMMYFUNCTION("""COMPUTED_VALUE"""),0.46875)</f>
        <v>0.46875</v>
      </c>
      <c r="G741" s="14">
        <f ca="1">IFERROR(__xludf.DUMMYFUNCTION("""COMPUTED_VALUE"""),44482)</f>
        <v>44482</v>
      </c>
      <c r="H741" t="str">
        <f ca="1">IFERROR(__xludf.DUMMYFUNCTION("""COMPUTED_VALUE"""),"Wash oaks")</f>
        <v>Wash oaks</v>
      </c>
      <c r="I741" s="15">
        <f ca="1">IFERROR(__xludf.DUMMYFUNCTION("""COMPUTED_VALUE"""),0.625)</f>
        <v>0.625</v>
      </c>
      <c r="J741" s="16">
        <f ca="1">IFERROR(__xludf.DUMMYFUNCTION("""COMPUTED_VALUE"""),44482.6666666666)</f>
        <v>44482.666666666599</v>
      </c>
      <c r="K741" t="str">
        <f ca="1">IFERROR(__xludf.DUMMYFUNCTION("""COMPUTED_VALUE"""),"20ft Sea Ark FL5351SJ UNF 2015")</f>
        <v>20ft Sea Ark FL5351SJ UNF 2015</v>
      </c>
      <c r="M741" t="str">
        <f ca="1">IFERROR(__xludf.DUMMYFUNCTION("""COMPUTED_VALUE"""),"Ford F250 2017 (Moby Dix) - DEP0021578")</f>
        <v>Ford F250 2017 (Moby Dix) - DEP0021578</v>
      </c>
      <c r="N741" t="str">
        <f ca="1">IFERROR(__xludf.DUMMYFUNCTION("""COMPUTED_VALUE"""),"Pam Marcum, (480) 332-5414, Alee Knoell, (619) 750-4833")</f>
        <v>Pam Marcum, (480) 332-5414, Alee Knoell, (619) 750-4833</v>
      </c>
      <c r="O741" t="str">
        <f ca="1">IFERROR(__xludf.DUMMYFUNCTION("""COMPUTED_VALUE"""),"Savanna Mathis")</f>
        <v>Savanna Mathis</v>
      </c>
      <c r="P741" t="str">
        <f ca="1">IFERROR(__xludf.DUMMYFUNCTION("""COMPUTED_VALUE"""),"Pam")</f>
        <v>Pam</v>
      </c>
      <c r="Q741" t="str">
        <f ca="1">IFERROR(__xludf.DUMMYFUNCTION("""COMPUTED_VALUE"""),"All items in working order")</f>
        <v>All items in working order</v>
      </c>
      <c r="AE741" s="11"/>
      <c r="AF741" t="str">
        <v>Nikki.Dix@floridadep.gov</v>
      </c>
      <c r="AG741" s="17" t="s">
        <v>41</v>
      </c>
      <c r="AH741" s="12">
        <v>1500</v>
      </c>
      <c r="AI741" s="12" t="s">
        <v>2174</v>
      </c>
      <c r="AJ741" s="19" t="s">
        <v>2175</v>
      </c>
      <c r="AK741" s="20" t="str">
        <f>HYPERLINK("https://docs.google.com/document/d/1e431v6W5vtWcmmkPmlyyJtxVUSw38Av4Fx14UNexzws/edit?usp=drivesdk","Pam Marcum - 10/13/2021 11:15 AM")</f>
        <v>Pam Marcum - 10/13/2021 11:15 AM</v>
      </c>
      <c r="AL741" s="12" t="s">
        <v>2176</v>
      </c>
    </row>
    <row r="742" spans="1:38" ht="12.75">
      <c r="A742" s="10">
        <f ca="1">IFERROR(__xludf.DUMMYFUNCTION("""COMPUTED_VALUE"""),44483.3677759259)</f>
        <v>44483.367775925901</v>
      </c>
      <c r="B742" s="11" t="str">
        <f ca="1">IFERROR(__xludf.DUMMYFUNCTION("""COMPUTED_VALUE"""),"Silas Tanner")</f>
        <v>Silas Tanner</v>
      </c>
      <c r="C742" t="str">
        <f ca="1">IFERROR(__xludf.DUMMYFUNCTION("""COMPUTED_VALUE"""),"silas.tanner@floridadep.gov")</f>
        <v>silas.tanner@floridadep.gov</v>
      </c>
      <c r="D742" t="str">
        <f ca="1">IFERROR(__xludf.DUMMYFUNCTION("""COMPUTED_VALUE"""),"Nikki Dix")</f>
        <v>Nikki Dix</v>
      </c>
      <c r="E742" t="str">
        <f ca="1">IFERROR(__xludf.DUMMYFUNCTION("""COMPUTED_VALUE"""),"210 Palm Valley")</f>
        <v>210 Palm Valley</v>
      </c>
      <c r="F742" s="13">
        <f ca="1">IFERROR(__xludf.DUMMYFUNCTION("""COMPUTED_VALUE"""),0.42708333333212)</f>
        <v>0.42708333333212001</v>
      </c>
      <c r="G742" s="14">
        <f ca="1">IFERROR(__xludf.DUMMYFUNCTION("""COMPUTED_VALUE"""),44483)</f>
        <v>44483</v>
      </c>
      <c r="H742" t="str">
        <f ca="1">IFERROR(__xludf.DUMMYFUNCTION("""COMPUTED_VALUE"""),"ICW PI SWMP Site")</f>
        <v>ICW PI SWMP Site</v>
      </c>
      <c r="I742" s="15">
        <f ca="1">IFERROR(__xludf.DUMMYFUNCTION("""COMPUTED_VALUE"""),0.625)</f>
        <v>0.625</v>
      </c>
      <c r="J742" s="16">
        <f ca="1">IFERROR(__xludf.DUMMYFUNCTION("""COMPUTED_VALUE"""),44483.6666666666)</f>
        <v>44483.666666666599</v>
      </c>
      <c r="K742" t="str">
        <f ca="1">IFERROR(__xludf.DUMMYFUNCTION("""COMPUTED_VALUE"""),"23ft Skiff (Bertha) FL7972LJ DEP07613")</f>
        <v>23ft Skiff (Bertha) FL7972LJ DEP07613</v>
      </c>
      <c r="M742" t="str">
        <f ca="1">IFERROR(__xludf.DUMMYFUNCTION("""COMPUTED_VALUE"""),"210 Silver F150 (Ranger)")</f>
        <v>210 Silver F150 (Ranger)</v>
      </c>
      <c r="N742" t="str">
        <f ca="1">IFERROR(__xludf.DUMMYFUNCTION("""COMPUTED_VALUE"""),"Silas Tanner, (904) 483-8423")</f>
        <v>Silas Tanner, (904) 483-8423</v>
      </c>
      <c r="O742" t="str">
        <f ca="1">IFERROR(__xludf.DUMMYFUNCTION("""COMPUTED_VALUE"""),"Jake Waggoner")</f>
        <v>Jake Waggoner</v>
      </c>
      <c r="P742" t="str">
        <f ca="1">IFERROR(__xludf.DUMMYFUNCTION("""COMPUTED_VALUE"""),"S. Tanner")</f>
        <v>S. Tanner</v>
      </c>
      <c r="Q742" t="str">
        <f ca="1">IFERROR(__xludf.DUMMYFUNCTION("""COMPUTED_VALUE"""),"All items in working order")</f>
        <v>All items in working order</v>
      </c>
      <c r="AE742" s="11"/>
      <c r="AF742" t="str">
        <v>Nikki.Dix@floridadep.gov</v>
      </c>
      <c r="AG742" s="26" t="s">
        <v>639</v>
      </c>
      <c r="AH742" s="12">
        <v>1306</v>
      </c>
      <c r="AI742" s="12" t="s">
        <v>2177</v>
      </c>
      <c r="AJ742" s="19" t="s">
        <v>2178</v>
      </c>
      <c r="AK742" s="20" t="str">
        <f>HYPERLINK("https://docs.google.com/document/d/1J3x9yOdxKjjDhtpswPIfm_2wPpmaExwNVcARXCpkolw/edit?usp=drivesdk","Silas Tanner - 10/14/2021 10:15 AM")</f>
        <v>Silas Tanner - 10/14/2021 10:15 AM</v>
      </c>
      <c r="AL742" s="12" t="s">
        <v>2179</v>
      </c>
    </row>
    <row r="743" spans="1:38" ht="12.75">
      <c r="A743" s="10">
        <f ca="1">IFERROR(__xludf.DUMMYFUNCTION("""COMPUTED_VALUE"""),44483.4065979745)</f>
        <v>44483.406597974499</v>
      </c>
      <c r="B743" s="11" t="str">
        <f ca="1">IFERROR(__xludf.DUMMYFUNCTION("""COMPUTED_VALUE"""),"Pam Marcum")</f>
        <v>Pam Marcum</v>
      </c>
      <c r="C743" t="str">
        <f ca="1">IFERROR(__xludf.DUMMYFUNCTION("""COMPUTED_VALUE"""),"Pamela.Marcum@FloridaDEP.gov")</f>
        <v>Pamela.Marcum@FloridaDEP.gov</v>
      </c>
      <c r="D743" t="str">
        <f ca="1">IFERROR(__xludf.DUMMYFUNCTION("""COMPUTED_VALUE"""),"Nikki Dix")</f>
        <v>Nikki Dix</v>
      </c>
      <c r="E743" t="str">
        <f ca="1">IFERROR(__xludf.DUMMYFUNCTION("""COMPUTED_VALUE"""),"Palm Valley")</f>
        <v>Palm Valley</v>
      </c>
      <c r="F743" s="13">
        <f ca="1">IFERROR(__xludf.DUMMYFUNCTION("""COMPUTED_VALUE"""),0.402777777777373)</f>
        <v>0.402777777777373</v>
      </c>
      <c r="G743" s="14">
        <f ca="1">IFERROR(__xludf.DUMMYFUNCTION("""COMPUTED_VALUE"""),44483)</f>
        <v>44483</v>
      </c>
      <c r="H743" t="str">
        <f ca="1">IFERROR(__xludf.DUMMYFUNCTION("""COMPUTED_VALUE"""),"Pine island platforms")</f>
        <v>Pine island platforms</v>
      </c>
      <c r="I743" s="15">
        <f ca="1">IFERROR(__xludf.DUMMYFUNCTION("""COMPUTED_VALUE"""),0.58333333333212)</f>
        <v>0.58333333333212001</v>
      </c>
      <c r="J743" s="16">
        <f ca="1">IFERROR(__xludf.DUMMYFUNCTION("""COMPUTED_VALUE"""),44483.6041666666)</f>
        <v>44483.604166666599</v>
      </c>
      <c r="K743" t="str">
        <f ca="1">IFERROR(__xludf.DUMMYFUNCTION("""COMPUTED_VALUE"""),"20ft Sea Ark FL5351SJ UNF 2015")</f>
        <v>20ft Sea Ark FL5351SJ UNF 2015</v>
      </c>
      <c r="M743" t="str">
        <f ca="1">IFERROR(__xludf.DUMMYFUNCTION("""COMPUTED_VALUE"""),"Ford F250 2017 (Moby Dix) - DEP0021578")</f>
        <v>Ford F250 2017 (Moby Dix) - DEP0021578</v>
      </c>
      <c r="N743" t="str">
        <f ca="1">IFERROR(__xludf.DUMMYFUNCTION("""COMPUTED_VALUE"""),"Pam Marcum, (480) 332-5414, Alee Knoell, (619) 750-4833")</f>
        <v>Pam Marcum, (480) 332-5414, Alee Knoell, (619) 750-4833</v>
      </c>
      <c r="O743" t="str">
        <f ca="1">IFERROR(__xludf.DUMMYFUNCTION("""COMPUTED_VALUE"""),"Savanna Mathis")</f>
        <v>Savanna Mathis</v>
      </c>
      <c r="P743" t="str">
        <f ca="1">IFERROR(__xludf.DUMMYFUNCTION("""COMPUTED_VALUE"""),"Alee")</f>
        <v>Alee</v>
      </c>
      <c r="Q743" t="str">
        <f ca="1">IFERROR(__xludf.DUMMYFUNCTION("""COMPUTED_VALUE"""),"All items in working order")</f>
        <v>All items in working order</v>
      </c>
      <c r="AE743" s="11"/>
      <c r="AF743" t="str">
        <v>Nikki.Dix@floridadep.gov</v>
      </c>
      <c r="AG743" s="17" t="s">
        <v>41</v>
      </c>
      <c r="AH743" s="12">
        <v>1243</v>
      </c>
      <c r="AI743" s="12" t="s">
        <v>2180</v>
      </c>
      <c r="AJ743" s="19" t="s">
        <v>2181</v>
      </c>
      <c r="AK743" s="20" t="str">
        <f>HYPERLINK("https://docs.google.com/document/d/1klQ4-yiCTrPET2Mxe7PxAw-It7EUqiZ171bravvkVPo/edit?usp=drivesdk","Pam Marcum - 10/14/2021 9:40 AM")</f>
        <v>Pam Marcum - 10/14/2021 9:40 AM</v>
      </c>
      <c r="AL743" s="12" t="s">
        <v>2182</v>
      </c>
    </row>
    <row r="744" spans="1:38" ht="12.75">
      <c r="A744" s="10">
        <f ca="1">IFERROR(__xludf.DUMMYFUNCTION("""COMPUTED_VALUE"""),44484.4778872685)</f>
        <v>44484.477887268498</v>
      </c>
      <c r="B744" s="11" t="str">
        <f ca="1">IFERROR(__xludf.DUMMYFUNCTION("""COMPUTED_VALUE"""),"Pam Marcum")</f>
        <v>Pam Marcum</v>
      </c>
      <c r="C744" t="str">
        <f ca="1">IFERROR(__xludf.DUMMYFUNCTION("""COMPUTED_VALUE"""),"Pamela.Marcum@FloridaDEP.gov")</f>
        <v>Pamela.Marcum@FloridaDEP.gov</v>
      </c>
      <c r="D744" t="str">
        <f ca="1">IFERROR(__xludf.DUMMYFUNCTION("""COMPUTED_VALUE"""),"Pam Marcum")</f>
        <v>Pam Marcum</v>
      </c>
      <c r="E744" t="str">
        <f ca="1">IFERROR(__xludf.DUMMYFUNCTION("""COMPUTED_VALUE"""),"Shore Dr")</f>
        <v>Shore Dr</v>
      </c>
      <c r="F744" s="13">
        <f ca="1">IFERROR(__xludf.DUMMYFUNCTION("""COMPUTED_VALUE"""),0.45833333333212)</f>
        <v>0.45833333333212001</v>
      </c>
      <c r="G744" s="14">
        <f ca="1">IFERROR(__xludf.DUMMYFUNCTION("""COMPUTED_VALUE"""),44484)</f>
        <v>44484</v>
      </c>
      <c r="H744" t="str">
        <f ca="1">IFERROR(__xludf.DUMMYFUNCTION("""COMPUTED_VALUE"""),"Site 22/ mangrove creek")</f>
        <v>Site 22/ mangrove creek</v>
      </c>
      <c r="I744" s="15">
        <f ca="1">IFERROR(__xludf.DUMMYFUNCTION("""COMPUTED_VALUE"""),0.625)</f>
        <v>0.625</v>
      </c>
      <c r="J744" s="16">
        <f ca="1">IFERROR(__xludf.DUMMYFUNCTION("""COMPUTED_VALUE"""),44484.6666666666)</f>
        <v>44484.666666666599</v>
      </c>
      <c r="K744" t="str">
        <f ca="1">IFERROR(__xludf.DUMMYFUNCTION("""COMPUTED_VALUE"""),"20ft Sea Ark FL5351SJ UNF 2015")</f>
        <v>20ft Sea Ark FL5351SJ UNF 2015</v>
      </c>
      <c r="M744" t="str">
        <f ca="1">IFERROR(__xludf.DUMMYFUNCTION("""COMPUTED_VALUE"""),"Ford F250 2017 (Moby Dix) - DEP0021578")</f>
        <v>Ford F250 2017 (Moby Dix) - DEP0021578</v>
      </c>
      <c r="N744" t="str">
        <f ca="1">IFERROR(__xludf.DUMMYFUNCTION("""COMPUTED_VALUE"""),"Pam Marcum, (480) 332-5414")</f>
        <v>Pam Marcum, (480) 332-5414</v>
      </c>
      <c r="O744" t="str">
        <f ca="1">IFERROR(__xludf.DUMMYFUNCTION("""COMPUTED_VALUE"""),"Allix North, Savanna Mathis")</f>
        <v>Allix North, Savanna Mathis</v>
      </c>
      <c r="P744" t="str">
        <f ca="1">IFERROR(__xludf.DUMMYFUNCTION("""COMPUTED_VALUE"""),"Pam")</f>
        <v>Pam</v>
      </c>
      <c r="Q744" t="str">
        <f ca="1">IFERROR(__xludf.DUMMYFUNCTION("""COMPUTED_VALUE"""),"All items in working order")</f>
        <v>All items in working order</v>
      </c>
      <c r="AE744" s="11"/>
      <c r="AF744" t="str">
        <v>Pamela.Marcum@floridadep.gov</v>
      </c>
      <c r="AG744" s="17" t="s">
        <v>17</v>
      </c>
      <c r="AH744" s="12">
        <v>1559</v>
      </c>
      <c r="AI744" s="12" t="s">
        <v>2183</v>
      </c>
      <c r="AJ744" s="19" t="s">
        <v>2184</v>
      </c>
      <c r="AK744" s="20" t="str">
        <f>HYPERLINK("https://docs.google.com/document/d/1xDgpPkfGU47__ZsWkI2GvMhFAhz0nOcemPpXy6Rxz_o/edit?usp=drivesdk","Pam Marcum - 10/15/2021 11:00 AM")</f>
        <v>Pam Marcum - 10/15/2021 11:00 AM</v>
      </c>
      <c r="AL744" s="12" t="s">
        <v>2185</v>
      </c>
    </row>
    <row r="745" spans="1:38" ht="12.75">
      <c r="A745" s="10">
        <f ca="1">IFERROR(__xludf.DUMMYFUNCTION("""COMPUTED_VALUE"""),44489.3229603356)</f>
        <v>44489.322960335601</v>
      </c>
      <c r="B745" s="11" t="str">
        <f ca="1">IFERROR(__xludf.DUMMYFUNCTION("""COMPUTED_VALUE"""),"Silas Tanner")</f>
        <v>Silas Tanner</v>
      </c>
      <c r="C745" t="str">
        <f ca="1">IFERROR(__xludf.DUMMYFUNCTION("""COMPUTED_VALUE"""),"silas.tanner@floridadep.gov")</f>
        <v>silas.tanner@floridadep.gov</v>
      </c>
      <c r="D745" t="str">
        <f ca="1">IFERROR(__xludf.DUMMYFUNCTION("""COMPUTED_VALUE"""),"Shannon Dunnigan")</f>
        <v>Shannon Dunnigan</v>
      </c>
      <c r="E745" t="str">
        <f ca="1">IFERROR(__xludf.DUMMYFUNCTION("""COMPUTED_VALUE"""),"Vilano Landing")</f>
        <v>Vilano Landing</v>
      </c>
      <c r="F745" s="13">
        <f ca="1">IFERROR(__xludf.DUMMYFUNCTION("""COMPUTED_VALUE"""),0.375)</f>
        <v>0.375</v>
      </c>
      <c r="G745" s="14">
        <f ca="1">IFERROR(__xludf.DUMMYFUNCTION("""COMPUTED_VALUE"""),44489)</f>
        <v>44489</v>
      </c>
      <c r="H745" t="str">
        <f ca="1">IFERROR(__xludf.DUMMYFUNCTION("""COMPUTED_VALUE"""),"ICW SWMP Sites")</f>
        <v>ICW SWMP Sites</v>
      </c>
      <c r="I745" s="15">
        <f ca="1">IFERROR(__xludf.DUMMYFUNCTION("""COMPUTED_VALUE"""),0.5625)</f>
        <v>0.5625</v>
      </c>
      <c r="J745" s="16">
        <f ca="1">IFERROR(__xludf.DUMMYFUNCTION("""COMPUTED_VALUE"""),44489.5833333333)</f>
        <v>44489.583333333299</v>
      </c>
      <c r="K745" t="str">
        <f ca="1">IFERROR(__xludf.DUMMYFUNCTION("""COMPUTED_VALUE"""),"20ft Sea Ark FL5351SJ UNF 2015")</f>
        <v>20ft Sea Ark FL5351SJ UNF 2015</v>
      </c>
      <c r="M745" t="str">
        <f ca="1">IFERROR(__xludf.DUMMYFUNCTION("""COMPUTED_VALUE"""),"Ford F250 2017 (Moby Dix) - DEP0021578")</f>
        <v>Ford F250 2017 (Moby Dix) - DEP0021578</v>
      </c>
      <c r="N745" t="str">
        <f ca="1">IFERROR(__xludf.DUMMYFUNCTION("""COMPUTED_VALUE"""),"Silas Tanner, (904) 483-8423")</f>
        <v>Silas Tanner, (904) 483-8423</v>
      </c>
      <c r="O745" t="str">
        <f ca="1">IFERROR(__xludf.DUMMYFUNCTION("""COMPUTED_VALUE"""),"Emma Wilkinson")</f>
        <v>Emma Wilkinson</v>
      </c>
      <c r="P745" t="str">
        <f ca="1">IFERROR(__xludf.DUMMYFUNCTION("""COMPUTED_VALUE"""),"Silas Tanner")</f>
        <v>Silas Tanner</v>
      </c>
      <c r="Q745" t="str">
        <f ca="1">IFERROR(__xludf.DUMMYFUNCTION("""COMPUTED_VALUE"""),"All items in working order")</f>
        <v>All items in working order</v>
      </c>
      <c r="AE745" s="11"/>
      <c r="AF745" t="str">
        <v>Shannon.Dunnigan@floridadep.gov</v>
      </c>
      <c r="AG745" s="18"/>
      <c r="AI745" s="12" t="s">
        <v>2186</v>
      </c>
      <c r="AJ745" s="19" t="s">
        <v>2187</v>
      </c>
      <c r="AK745" s="20" t="str">
        <f>HYPERLINK("https://docs.google.com/document/d/1rXCZuukgJFQXZ2kinRvhQOKwbvk7-6nL7BnCpH2Z4Ds/edit?usp=drivesdk","Silas Tanner - 10/20/2021 9:00 AM")</f>
        <v>Silas Tanner - 10/20/2021 9:00 AM</v>
      </c>
      <c r="AL745" s="12" t="s">
        <v>2188</v>
      </c>
    </row>
    <row r="746" spans="1:38" ht="12.75">
      <c r="A746" s="10">
        <f ca="1">IFERROR(__xludf.DUMMYFUNCTION("""COMPUTED_VALUE"""),44491.3802042129)</f>
        <v>44491.380204212903</v>
      </c>
      <c r="B746" s="11" t="str">
        <f ca="1">IFERROR(__xludf.DUMMYFUNCTION("""COMPUTED_VALUE"""),"Pam Marcum")</f>
        <v>Pam Marcum</v>
      </c>
      <c r="C746" t="str">
        <f ca="1">IFERROR(__xludf.DUMMYFUNCTION("""COMPUTED_VALUE"""),"Pamela.Marcum@FloridaDEP.gov")</f>
        <v>Pamela.Marcum@FloridaDEP.gov</v>
      </c>
      <c r="D746" t="str">
        <f ca="1">IFERROR(__xludf.DUMMYFUNCTION("""COMPUTED_VALUE"""),"Alee Knoell")</f>
        <v>Alee Knoell</v>
      </c>
      <c r="E746" t="str">
        <f ca="1">IFERROR(__xludf.DUMMYFUNCTION("""COMPUTED_VALUE"""),"Faver Dykes")</f>
        <v>Faver Dykes</v>
      </c>
      <c r="F746" s="13">
        <f ca="1">IFERROR(__xludf.DUMMYFUNCTION("""COMPUTED_VALUE"""),0.375)</f>
        <v>0.375</v>
      </c>
      <c r="G746" s="14">
        <f ca="1">IFERROR(__xludf.DUMMYFUNCTION("""COMPUTED_VALUE"""),44491)</f>
        <v>44491</v>
      </c>
      <c r="H746" t="str">
        <f ca="1">IFERROR(__xludf.DUMMYFUNCTION("""COMPUTED_VALUE"""),"Pellicer Creek")</f>
        <v>Pellicer Creek</v>
      </c>
      <c r="I746" s="15">
        <f ca="1">IFERROR(__xludf.DUMMYFUNCTION("""COMPUTED_VALUE"""),0.5)</f>
        <v>0.5</v>
      </c>
      <c r="J746" s="16">
        <f ca="1">IFERROR(__xludf.DUMMYFUNCTION("""COMPUTED_VALUE"""),44491.5416666666)</f>
        <v>44491.541666666599</v>
      </c>
      <c r="K746" t="str">
        <f ca="1">IFERROR(__xludf.DUMMYFUNCTION("""COMPUTED_VALUE"""),"20ft Sea Ark FL5351SJ UNF 2015")</f>
        <v>20ft Sea Ark FL5351SJ UNF 2015</v>
      </c>
      <c r="M746" t="str">
        <f ca="1">IFERROR(__xludf.DUMMYFUNCTION("""COMPUTED_VALUE"""),"Ford F250 2017 (Moby Dix) - DEP0021578")</f>
        <v>Ford F250 2017 (Moby Dix) - DEP0021578</v>
      </c>
      <c r="N746" t="str">
        <f ca="1">IFERROR(__xludf.DUMMYFUNCTION("""COMPUTED_VALUE"""),"Nikki Dix, (352) 219-4079, Pam Marcum, (480) 332-5414")</f>
        <v>Nikki Dix, (352) 219-4079, Pam Marcum, (480) 332-5414</v>
      </c>
      <c r="O746" t="str">
        <f ca="1">IFERROR(__xludf.DUMMYFUNCTION("""COMPUTED_VALUE"""),"Vitalii Sheremet")</f>
        <v>Vitalii Sheremet</v>
      </c>
      <c r="P746" t="str">
        <f ca="1">IFERROR(__xludf.DUMMYFUNCTION("""COMPUTED_VALUE"""),"Pam")</f>
        <v>Pam</v>
      </c>
      <c r="Q746" t="str">
        <f ca="1">IFERROR(__xludf.DUMMYFUNCTION("""COMPUTED_VALUE"""),"All items in working order")</f>
        <v>All items in working order</v>
      </c>
      <c r="AE746" s="11"/>
      <c r="AF746" t="str">
        <v>Alee.Knoell@floridadep.gov</v>
      </c>
      <c r="AG746" s="17" t="s">
        <v>1821</v>
      </c>
      <c r="AH746" s="12">
        <v>1342</v>
      </c>
      <c r="AI746" s="12" t="s">
        <v>2189</v>
      </c>
      <c r="AJ746" s="19" t="s">
        <v>2190</v>
      </c>
      <c r="AK746" s="20" t="str">
        <f>HYPERLINK("https://docs.google.com/document/d/1WoSGJkq6XbxD-4dWVlBIEIuDkwmcTqx6kPr9AAeKmWA/edit?usp=drivesdk","Pam Marcum - 10/22/2021 9:00 AM")</f>
        <v>Pam Marcum - 10/22/2021 9:00 AM</v>
      </c>
      <c r="AL746" s="12" t="s">
        <v>2191</v>
      </c>
    </row>
    <row r="747" spans="1:38" ht="12.75">
      <c r="A747" s="10">
        <f ca="1">IFERROR(__xludf.DUMMYFUNCTION("""COMPUTED_VALUE"""),44495.3121051851)</f>
        <v>44495.312105185098</v>
      </c>
      <c r="B747" s="11" t="str">
        <f ca="1">IFERROR(__xludf.DUMMYFUNCTION("""COMPUTED_VALUE"""),"Alee Knoell ")</f>
        <v xml:space="preserve">Alee Knoell </v>
      </c>
      <c r="C747" t="str">
        <f ca="1">IFERROR(__xludf.DUMMYFUNCTION("""COMPUTED_VALUE"""),"alee.knoell@floridadep.gov")</f>
        <v>alee.knoell@floridadep.gov</v>
      </c>
      <c r="D747" t="str">
        <f ca="1">IFERROR(__xludf.DUMMYFUNCTION("""COMPUTED_VALUE"""),"Pam Marcum")</f>
        <v>Pam Marcum</v>
      </c>
      <c r="E747" t="str">
        <f ca="1">IFERROR(__xludf.DUMMYFUNCTION("""COMPUTED_VALUE"""),"Palm valley")</f>
        <v>Palm valley</v>
      </c>
      <c r="F747" s="13">
        <f ca="1">IFERROR(__xludf.DUMMYFUNCTION("""COMPUTED_VALUE"""),0.3125)</f>
        <v>0.3125</v>
      </c>
      <c r="G747" s="14">
        <f ca="1">IFERROR(__xludf.DUMMYFUNCTION("""COMPUTED_VALUE"""),44495)</f>
        <v>44495</v>
      </c>
      <c r="H747" t="str">
        <f ca="1">IFERROR(__xludf.DUMMYFUNCTION("""COMPUTED_VALUE"""),"pine island ")</f>
        <v xml:space="preserve">pine island </v>
      </c>
      <c r="I747" s="15">
        <f ca="1">IFERROR(__xludf.DUMMYFUNCTION("""COMPUTED_VALUE"""),0.52083333333212)</f>
        <v>0.52083333333212001</v>
      </c>
      <c r="J747" s="16">
        <f ca="1">IFERROR(__xludf.DUMMYFUNCTION("""COMPUTED_VALUE"""),44495.5416666666)</f>
        <v>44495.541666666599</v>
      </c>
      <c r="K747" t="str">
        <f ca="1">IFERROR(__xludf.DUMMYFUNCTION("""COMPUTED_VALUE"""),"20ft Sea Ark FL5351SJ UNF 2015")</f>
        <v>20ft Sea Ark FL5351SJ UNF 2015</v>
      </c>
      <c r="M747" t="str">
        <f ca="1">IFERROR(__xludf.DUMMYFUNCTION("""COMPUTED_VALUE"""),"Ford F250 2017 (Moby Dix) - DEP0021578")</f>
        <v>Ford F250 2017 (Moby Dix) - DEP0021578</v>
      </c>
      <c r="N747" t="str">
        <f ca="1">IFERROR(__xludf.DUMMYFUNCTION("""COMPUTED_VALUE"""),"Alee Knoell, (619) 750-4833")</f>
        <v>Alee Knoell, (619) 750-4833</v>
      </c>
      <c r="O747" t="str">
        <f ca="1">IFERROR(__xludf.DUMMYFUNCTION("""COMPUTED_VALUE"""),"Rauney Mitchell")</f>
        <v>Rauney Mitchell</v>
      </c>
      <c r="P747" t="str">
        <f ca="1">IFERROR(__xludf.DUMMYFUNCTION("""COMPUTED_VALUE"""),"Alee knoell")</f>
        <v>Alee knoell</v>
      </c>
      <c r="Q747" t="str">
        <f ca="1">IFERROR(__xludf.DUMMYFUNCTION("""COMPUTED_VALUE"""),"All items in working order")</f>
        <v>All items in working order</v>
      </c>
      <c r="AE747" s="11"/>
      <c r="AF747" t="str">
        <v>Pamela.Marcum@floridadep.gov</v>
      </c>
      <c r="AG747" s="17" t="s">
        <v>139</v>
      </c>
      <c r="AH747" s="12">
        <v>1208</v>
      </c>
      <c r="AI747" s="12" t="s">
        <v>2192</v>
      </c>
      <c r="AJ747" s="19" t="s">
        <v>2193</v>
      </c>
      <c r="AK747" s="20" t="str">
        <f>HYPERLINK("https://docs.google.com/document/d/1KgMj4h-dFOD4IzgckktpqLn3R_zntVp13AsAwThdf_I/edit?usp=drivesdk","Alee Knoell  - 10/26/2021 7:30 AM")</f>
        <v>Alee Knoell  - 10/26/2021 7:30 AM</v>
      </c>
      <c r="AL747" s="12" t="s">
        <v>2194</v>
      </c>
    </row>
    <row r="748" spans="1:38" ht="12.75">
      <c r="A748" s="10">
        <f ca="1">IFERROR(__xludf.DUMMYFUNCTION("""COMPUTED_VALUE"""),44495.5882900925)</f>
        <v>44495.588290092499</v>
      </c>
      <c r="B748" s="11" t="str">
        <f ca="1">IFERROR(__xludf.DUMMYFUNCTION("""COMPUTED_VALUE"""),"Pam Marcum")</f>
        <v>Pam Marcum</v>
      </c>
      <c r="C748" t="str">
        <f ca="1">IFERROR(__xludf.DUMMYFUNCTION("""COMPUTED_VALUE"""),"Pamela.Marcum@FloridaDEP.gov")</f>
        <v>Pamela.Marcum@FloridaDEP.gov</v>
      </c>
      <c r="D748" t="str">
        <f ca="1">IFERROR(__xludf.DUMMYFUNCTION("""COMPUTED_VALUE"""),"Nikki Dix")</f>
        <v>Nikki Dix</v>
      </c>
      <c r="E748" t="str">
        <f ca="1">IFERROR(__xludf.DUMMYFUNCTION("""COMPUTED_VALUE"""),"Bings")</f>
        <v>Bings</v>
      </c>
      <c r="F748" s="13">
        <f ca="1">IFERROR(__xludf.DUMMYFUNCTION("""COMPUTED_VALUE"""),0.58333333333212)</f>
        <v>0.58333333333212001</v>
      </c>
      <c r="G748" s="14">
        <f ca="1">IFERROR(__xludf.DUMMYFUNCTION("""COMPUTED_VALUE"""),44495)</f>
        <v>44495</v>
      </c>
      <c r="H748" t="str">
        <f ca="1">IFERROR(__xludf.DUMMYFUNCTION("""COMPUTED_VALUE"""),"Wash oaks")</f>
        <v>Wash oaks</v>
      </c>
      <c r="I748" s="15">
        <f ca="1">IFERROR(__xludf.DUMMYFUNCTION("""COMPUTED_VALUE"""),0.64583333333212)</f>
        <v>0.64583333333212001</v>
      </c>
      <c r="J748" s="16">
        <f ca="1">IFERROR(__xludf.DUMMYFUNCTION("""COMPUTED_VALUE"""),44495.6666666666)</f>
        <v>44495.666666666599</v>
      </c>
      <c r="K748" t="str">
        <f ca="1">IFERROR(__xludf.DUMMYFUNCTION("""COMPUTED_VALUE"""),"20ft Sea Ark FL5351SJ UNF 2015")</f>
        <v>20ft Sea Ark FL5351SJ UNF 2015</v>
      </c>
      <c r="M748" t="str">
        <f ca="1">IFERROR(__xludf.DUMMYFUNCTION("""COMPUTED_VALUE"""),"Ford F250 2017 (Moby Dix) - DEP0021578")</f>
        <v>Ford F250 2017 (Moby Dix) - DEP0021578</v>
      </c>
      <c r="N748" t="str">
        <f ca="1">IFERROR(__xludf.DUMMYFUNCTION("""COMPUTED_VALUE"""),"Pam Marcum, (480) 332-5414, Alee Knoell, (619) 750-4833")</f>
        <v>Pam Marcum, (480) 332-5414, Alee Knoell, (619) 750-4833</v>
      </c>
      <c r="P748" t="str">
        <f ca="1">IFERROR(__xludf.DUMMYFUNCTION("""COMPUTED_VALUE"""),"Pam")</f>
        <v>Pam</v>
      </c>
      <c r="Q748" t="str">
        <f ca="1">IFERROR(__xludf.DUMMYFUNCTION("""COMPUTED_VALUE"""),"All items in working order")</f>
        <v>All items in working order</v>
      </c>
      <c r="AE748" s="11"/>
      <c r="AF748" t="str">
        <v>Nikki.Dix@floridadep.gov</v>
      </c>
      <c r="AG748" s="17" t="s">
        <v>41</v>
      </c>
      <c r="AH748" s="12">
        <v>1510</v>
      </c>
      <c r="AI748" s="12" t="s">
        <v>2195</v>
      </c>
      <c r="AJ748" s="19" t="s">
        <v>2196</v>
      </c>
      <c r="AK748" s="20" t="str">
        <f>HYPERLINK("https://docs.google.com/document/d/1wCyjJDj8n7R22L-fvY6TnFYA_TSJ59z5pzoWDVuIXS8/edit?usp=drivesdk","Pam Marcum - 10/26/2021 2:00 PM")</f>
        <v>Pam Marcum - 10/26/2021 2:00 PM</v>
      </c>
      <c r="AL748" s="12" t="s">
        <v>2197</v>
      </c>
    </row>
    <row r="749" spans="1:38" ht="12.75">
      <c r="A749" s="10">
        <f ca="1">IFERROR(__xludf.DUMMYFUNCTION("""COMPUTED_VALUE"""),44495.653365324)</f>
        <v>44495.653365323997</v>
      </c>
      <c r="B749" s="11" t="str">
        <f ca="1">IFERROR(__xludf.DUMMYFUNCTION("""COMPUTED_VALUE"""),"Pam Marcum")</f>
        <v>Pam Marcum</v>
      </c>
      <c r="C749" t="str">
        <f ca="1">IFERROR(__xludf.DUMMYFUNCTION("""COMPUTED_VALUE"""),"Pamela.Marcum@FloridaDEP.gov")</f>
        <v>Pamela.Marcum@FloridaDEP.gov</v>
      </c>
      <c r="D749" t="str">
        <f ca="1">IFERROR(__xludf.DUMMYFUNCTION("""COMPUTED_VALUE"""),"Nikki Dix")</f>
        <v>Nikki Dix</v>
      </c>
      <c r="E749" t="str">
        <f ca="1">IFERROR(__xludf.DUMMYFUNCTION("""COMPUTED_VALUE"""),"Butler")</f>
        <v>Butler</v>
      </c>
      <c r="F749" s="13">
        <f ca="1">IFERROR(__xludf.DUMMYFUNCTION("""COMPUTED_VALUE"""),0.652777777777373)</f>
        <v>0.652777777777373</v>
      </c>
      <c r="G749" s="14">
        <f ca="1">IFERROR(__xludf.DUMMYFUNCTION("""COMPUTED_VALUE"""),44495)</f>
        <v>44495</v>
      </c>
      <c r="H749" t="str">
        <f ca="1">IFERROR(__xludf.DUMMYFUNCTION("""COMPUTED_VALUE"""),"Moses Creek")</f>
        <v>Moses Creek</v>
      </c>
      <c r="I749" s="15">
        <f ca="1">IFERROR(__xludf.DUMMYFUNCTION("""COMPUTED_VALUE"""),0.75)</f>
        <v>0.75</v>
      </c>
      <c r="J749" s="16">
        <f ca="1">IFERROR(__xludf.DUMMYFUNCTION("""COMPUTED_VALUE"""),44495.7708333333)</f>
        <v>44495.770833333299</v>
      </c>
      <c r="K749" t="str">
        <f ca="1">IFERROR(__xludf.DUMMYFUNCTION("""COMPUTED_VALUE"""),"20ft Sea Ark FL5351SJ UNF 2015")</f>
        <v>20ft Sea Ark FL5351SJ UNF 2015</v>
      </c>
      <c r="M749" t="str">
        <f ca="1">IFERROR(__xludf.DUMMYFUNCTION("""COMPUTED_VALUE"""),"Ford F250 2017 (Moby Dix) - DEP0021578")</f>
        <v>Ford F250 2017 (Moby Dix) - DEP0021578</v>
      </c>
      <c r="N749" t="str">
        <f ca="1">IFERROR(__xludf.DUMMYFUNCTION("""COMPUTED_VALUE"""),"Pam Marcum, (480) 332-5414, Alee Knoell, (619) 750-4833")</f>
        <v>Pam Marcum, (480) 332-5414, Alee Knoell, (619) 750-4833</v>
      </c>
      <c r="P749" t="str">
        <f ca="1">IFERROR(__xludf.DUMMYFUNCTION("""COMPUTED_VALUE"""),"Pam")</f>
        <v>Pam</v>
      </c>
      <c r="Q749" t="str">
        <f ca="1">IFERROR(__xludf.DUMMYFUNCTION("""COMPUTED_VALUE"""),"All items in working order")</f>
        <v>All items in working order</v>
      </c>
      <c r="AE749" s="11"/>
      <c r="AF749" t="str">
        <v>Nikki.Dix@floridadep.gov</v>
      </c>
      <c r="AG749" s="17" t="s">
        <v>41</v>
      </c>
      <c r="AH749" s="12">
        <v>1740</v>
      </c>
      <c r="AI749" s="12" t="s">
        <v>2198</v>
      </c>
      <c r="AJ749" s="19" t="s">
        <v>2199</v>
      </c>
      <c r="AK749" s="20" t="str">
        <f>HYPERLINK("https://docs.google.com/document/d/1XojH0yp8rDjqrI4tUMbjuC4OcVbYJB1xyxwEb2smsC0/edit?usp=drivesdk","Pam Marcum - 10/26/2021 3:40 PM")</f>
        <v>Pam Marcum - 10/26/2021 3:40 PM</v>
      </c>
      <c r="AL749" s="12" t="s">
        <v>2200</v>
      </c>
    </row>
    <row r="750" spans="1:38" ht="12.75">
      <c r="A750" s="10">
        <f ca="1">IFERROR(__xludf.DUMMYFUNCTION("""COMPUTED_VALUE"""),44496.3188779745)</f>
        <v>44496.318877974503</v>
      </c>
      <c r="B750" s="11" t="str">
        <f ca="1">IFERROR(__xludf.DUMMYFUNCTION("""COMPUTED_VALUE"""),"Alee Knoell")</f>
        <v>Alee Knoell</v>
      </c>
      <c r="C750" t="str">
        <f ca="1">IFERROR(__xludf.DUMMYFUNCTION("""COMPUTED_VALUE"""),"alee.knoell@hotmail.com")</f>
        <v>alee.knoell@hotmail.com</v>
      </c>
      <c r="D750" t="str">
        <f ca="1">IFERROR(__xludf.DUMMYFUNCTION("""COMPUTED_VALUE"""),"Nikki Dix")</f>
        <v>Nikki Dix</v>
      </c>
      <c r="E750" t="str">
        <f ca="1">IFERROR(__xludf.DUMMYFUNCTION("""COMPUTED_VALUE"""),"Aunt Kate’s ")</f>
        <v xml:space="preserve">Aunt Kate’s </v>
      </c>
      <c r="F750" s="13">
        <f ca="1">IFERROR(__xludf.DUMMYFUNCTION("""COMPUTED_VALUE"""),0.322916666667879)</f>
        <v>0.32291666666787899</v>
      </c>
      <c r="G750" s="14">
        <f ca="1">IFERROR(__xludf.DUMMYFUNCTION("""COMPUTED_VALUE"""),44496)</f>
        <v>44496</v>
      </c>
      <c r="H750" t="str">
        <f ca="1">IFERROR(__xludf.DUMMYFUNCTION("""COMPUTED_VALUE"""),"Hat island ")</f>
        <v xml:space="preserve">Hat island </v>
      </c>
      <c r="I750" s="15">
        <f ca="1">IFERROR(__xludf.DUMMYFUNCTION("""COMPUTED_VALUE"""),0.48958333333212)</f>
        <v>0.48958333333212001</v>
      </c>
      <c r="J750" s="16">
        <f ca="1">IFERROR(__xludf.DUMMYFUNCTION("""COMPUTED_VALUE"""),44496.5104166666)</f>
        <v>44496.510416666599</v>
      </c>
      <c r="K750" t="str">
        <f ca="1">IFERROR(__xludf.DUMMYFUNCTION("""COMPUTED_VALUE"""),"20ft Sea Ark FL5351SJ UNF 2015")</f>
        <v>20ft Sea Ark FL5351SJ UNF 2015</v>
      </c>
      <c r="M750" t="str">
        <f ca="1">IFERROR(__xludf.DUMMYFUNCTION("""COMPUTED_VALUE"""),"Ford F250 2017 (Moby Dix) - DEP0021578")</f>
        <v>Ford F250 2017 (Moby Dix) - DEP0021578</v>
      </c>
      <c r="N750" t="str">
        <f ca="1">IFERROR(__xludf.DUMMYFUNCTION("""COMPUTED_VALUE"""),"Pam Marcum, (480) 332-5414, Alee Knoell, (619) 750-4833")</f>
        <v>Pam Marcum, (480) 332-5414, Alee Knoell, (619) 750-4833</v>
      </c>
      <c r="O750" t="str">
        <f ca="1">IFERROR(__xludf.DUMMYFUNCTION("""COMPUTED_VALUE"""),"Emma Wilkinson ")</f>
        <v xml:space="preserve">Emma Wilkinson </v>
      </c>
      <c r="P750" t="str">
        <f ca="1">IFERROR(__xludf.DUMMYFUNCTION("""COMPUTED_VALUE"""),"Pam marcum")</f>
        <v>Pam marcum</v>
      </c>
      <c r="Q750" t="str">
        <f ca="1">IFERROR(__xludf.DUMMYFUNCTION("""COMPUTED_VALUE"""),"All items in working order")</f>
        <v>All items in working order</v>
      </c>
      <c r="AE750" s="11"/>
      <c r="AF750" t="str">
        <v>Nikki.Dix@floridadep.gov</v>
      </c>
      <c r="AG750" s="17" t="s">
        <v>41</v>
      </c>
      <c r="AH750" s="12">
        <v>1155</v>
      </c>
      <c r="AI750" s="12" t="s">
        <v>2201</v>
      </c>
      <c r="AJ750" s="19" t="s">
        <v>2202</v>
      </c>
      <c r="AK750" s="20" t="str">
        <f>HYPERLINK("https://docs.google.com/document/d/1FtnlCJR-dcqXp33guQOumnYb_LXsWDtfI0AVPL8kZUA/edit?usp=drivesdk","Alee Knoell - 10/27/2021 7:45 AM")</f>
        <v>Alee Knoell - 10/27/2021 7:45 AM</v>
      </c>
      <c r="AL750" s="12" t="s">
        <v>2203</v>
      </c>
    </row>
    <row r="751" spans="1:38" ht="12.75">
      <c r="A751" s="10">
        <f ca="1">IFERROR(__xludf.DUMMYFUNCTION("""COMPUTED_VALUE"""),44496.5849385648)</f>
        <v>44496.584938564803</v>
      </c>
      <c r="B751" s="11" t="str">
        <f ca="1">IFERROR(__xludf.DUMMYFUNCTION("""COMPUTED_VALUE"""),"Alee knoell")</f>
        <v>Alee knoell</v>
      </c>
      <c r="C751" t="str">
        <f ca="1">IFERROR(__xludf.DUMMYFUNCTION("""COMPUTED_VALUE"""),"aknoell@hotmail.com")</f>
        <v>aknoell@hotmail.com</v>
      </c>
      <c r="D751" t="str">
        <f ca="1">IFERROR(__xludf.DUMMYFUNCTION("""COMPUTED_VALUE"""),"Nikki Dix")</f>
        <v>Nikki Dix</v>
      </c>
      <c r="E751" t="str">
        <f ca="1">IFERROR(__xludf.DUMMYFUNCTION("""COMPUTED_VALUE"""),"Bings")</f>
        <v>Bings</v>
      </c>
      <c r="F751" s="13">
        <f ca="1">IFERROR(__xludf.DUMMYFUNCTION("""COMPUTED_VALUE"""),0.604166666667879)</f>
        <v>0.60416666666787899</v>
      </c>
      <c r="G751" s="14">
        <f ca="1">IFERROR(__xludf.DUMMYFUNCTION("""COMPUTED_VALUE"""),44496)</f>
        <v>44496</v>
      </c>
      <c r="H751" t="str">
        <f ca="1">IFERROR(__xludf.DUMMYFUNCTION("""COMPUTED_VALUE"""),"Wash oaks")</f>
        <v>Wash oaks</v>
      </c>
      <c r="I751" s="15">
        <f ca="1">IFERROR(__xludf.DUMMYFUNCTION("""COMPUTED_VALUE"""),0.64583333333212)</f>
        <v>0.64583333333212001</v>
      </c>
      <c r="J751" s="16">
        <f ca="1">IFERROR(__xludf.DUMMYFUNCTION("""COMPUTED_VALUE"""),44496.7291666666)</f>
        <v>44496.729166666599</v>
      </c>
      <c r="K751" t="str">
        <f ca="1">IFERROR(__xludf.DUMMYFUNCTION("""COMPUTED_VALUE"""),"20ft Sea Ark FL5351SJ UNF 2015")</f>
        <v>20ft Sea Ark FL5351SJ UNF 2015</v>
      </c>
      <c r="M751" t="str">
        <f ca="1">IFERROR(__xludf.DUMMYFUNCTION("""COMPUTED_VALUE"""),"Ford F250 2017 (Moby Dix) - DEP0021578")</f>
        <v>Ford F250 2017 (Moby Dix) - DEP0021578</v>
      </c>
      <c r="N751" t="str">
        <f ca="1">IFERROR(__xludf.DUMMYFUNCTION("""COMPUTED_VALUE"""),"Pam Marcum, (480) 332-5414, Alee Knoell, (619) 750-4833")</f>
        <v>Pam Marcum, (480) 332-5414, Alee Knoell, (619) 750-4833</v>
      </c>
      <c r="P751" t="str">
        <f ca="1">IFERROR(__xludf.DUMMYFUNCTION("""COMPUTED_VALUE"""),"Alee")</f>
        <v>Alee</v>
      </c>
      <c r="Q751" t="str">
        <f ca="1">IFERROR(__xludf.DUMMYFUNCTION("""COMPUTED_VALUE"""),"All items in working order")</f>
        <v>All items in working order</v>
      </c>
      <c r="AE751" s="11"/>
      <c r="AF751" t="str">
        <v>Nikki.Dix@floridadep.gov</v>
      </c>
      <c r="AG751" s="17" t="s">
        <v>41</v>
      </c>
      <c r="AH751" s="12">
        <v>1510</v>
      </c>
      <c r="AI751" s="12" t="s">
        <v>2204</v>
      </c>
      <c r="AJ751" s="19" t="s">
        <v>2205</v>
      </c>
      <c r="AK751" s="20" t="str">
        <f>HYPERLINK("https://docs.google.com/document/d/1B317P-lEcLwD8YoUdp-3z1HHQiAYXpCOdF9hws6OGho/edit?usp=drivesdk","Alee knoell - 10/27/2021 2:30 PM")</f>
        <v>Alee knoell - 10/27/2021 2:30 PM</v>
      </c>
      <c r="AL751" s="12" t="s">
        <v>2206</v>
      </c>
    </row>
    <row r="752" spans="1:38" ht="12.75">
      <c r="A752" s="10">
        <f ca="1">IFERROR(__xludf.DUMMYFUNCTION("""COMPUTED_VALUE"""),44496.6511399537)</f>
        <v>44496.651139953698</v>
      </c>
      <c r="B752" s="11" t="str">
        <f ca="1">IFERROR(__xludf.DUMMYFUNCTION("""COMPUTED_VALUE"""),"Alee knoell")</f>
        <v>Alee knoell</v>
      </c>
      <c r="C752" t="str">
        <f ca="1">IFERROR(__xludf.DUMMYFUNCTION("""COMPUTED_VALUE"""),"alee.knoell@hotmail.com")</f>
        <v>alee.knoell@hotmail.com</v>
      </c>
      <c r="D752" t="str">
        <f ca="1">IFERROR(__xludf.DUMMYFUNCTION("""COMPUTED_VALUE"""),"Nikki Dix")</f>
        <v>Nikki Dix</v>
      </c>
      <c r="E752" t="str">
        <f ca="1">IFERROR(__xludf.DUMMYFUNCTION("""COMPUTED_VALUE"""),"Butler")</f>
        <v>Butler</v>
      </c>
      <c r="F752" s="13">
        <f ca="1">IFERROR(__xludf.DUMMYFUNCTION("""COMPUTED_VALUE"""),0.65625)</f>
        <v>0.65625</v>
      </c>
      <c r="G752" s="14">
        <f ca="1">IFERROR(__xludf.DUMMYFUNCTION("""COMPUTED_VALUE"""),44496)</f>
        <v>44496</v>
      </c>
      <c r="H752" t="str">
        <f ca="1">IFERROR(__xludf.DUMMYFUNCTION("""COMPUTED_VALUE"""),"Moses")</f>
        <v>Moses</v>
      </c>
      <c r="I752" s="15">
        <f ca="1">IFERROR(__xludf.DUMMYFUNCTION("""COMPUTED_VALUE"""),0.729166666667879)</f>
        <v>0.72916666666787899</v>
      </c>
      <c r="J752" s="16">
        <f ca="1">IFERROR(__xludf.DUMMYFUNCTION("""COMPUTED_VALUE"""),44496.7708333333)</f>
        <v>44496.770833333299</v>
      </c>
      <c r="K752" t="str">
        <f ca="1">IFERROR(__xludf.DUMMYFUNCTION("""COMPUTED_VALUE"""),"20ft Sea Ark FL5351SJ UNF 2015")</f>
        <v>20ft Sea Ark FL5351SJ UNF 2015</v>
      </c>
      <c r="M752" t="str">
        <f ca="1">IFERROR(__xludf.DUMMYFUNCTION("""COMPUTED_VALUE"""),"Ford F250 2017 (Moby Dix) - DEP0021578")</f>
        <v>Ford F250 2017 (Moby Dix) - DEP0021578</v>
      </c>
      <c r="N752" t="str">
        <f ca="1">IFERROR(__xludf.DUMMYFUNCTION("""COMPUTED_VALUE"""),"Pam Marcum, (480) 332-5414, Alee Knoell, (619) 750-4833")</f>
        <v>Pam Marcum, (480) 332-5414, Alee Knoell, (619) 750-4833</v>
      </c>
      <c r="P752" t="str">
        <f ca="1">IFERROR(__xludf.DUMMYFUNCTION("""COMPUTED_VALUE"""),"Pam")</f>
        <v>Pam</v>
      </c>
      <c r="Q752" t="str">
        <f ca="1">IFERROR(__xludf.DUMMYFUNCTION("""COMPUTED_VALUE"""),"All items in working order")</f>
        <v>All items in working order</v>
      </c>
      <c r="AE752" s="11"/>
      <c r="AF752" t="str">
        <v>Nikki.Dix@floridadep.gov</v>
      </c>
      <c r="AG752" s="17" t="s">
        <v>41</v>
      </c>
      <c r="AH752" s="12">
        <v>1707</v>
      </c>
      <c r="AI752" s="12" t="s">
        <v>2207</v>
      </c>
      <c r="AJ752" s="19" t="s">
        <v>2208</v>
      </c>
      <c r="AK752" s="20" t="str">
        <f>HYPERLINK("https://docs.google.com/document/d/1-dkt15lQHXnmdv6fZafU5fxajvk9r53KLbIK0rbybSc/edit?usp=drivesdk","Alee knoell - 10/27/2021 3:45 PM")</f>
        <v>Alee knoell - 10/27/2021 3:45 PM</v>
      </c>
      <c r="AL752" s="12" t="s">
        <v>2209</v>
      </c>
    </row>
    <row r="753" spans="1:38" ht="12.75">
      <c r="A753" s="10">
        <f ca="1">IFERROR(__xludf.DUMMYFUNCTION("""COMPUTED_VALUE"""),44501.5603610416)</f>
        <v>44501.5603610416</v>
      </c>
      <c r="B753" s="11" t="str">
        <f ca="1">IFERROR(__xludf.DUMMYFUNCTION("""COMPUTED_VALUE"""),"Pam Marcum")</f>
        <v>Pam Marcum</v>
      </c>
      <c r="C753" t="str">
        <f ca="1">IFERROR(__xludf.DUMMYFUNCTION("""COMPUTED_VALUE"""),"pamela.marcum@floridadep.gov")</f>
        <v>pamela.marcum@floridadep.gov</v>
      </c>
      <c r="D753" t="str">
        <f ca="1">IFERROR(__xludf.DUMMYFUNCTION("""COMPUTED_VALUE"""),"Nikki Dix")</f>
        <v>Nikki Dix</v>
      </c>
      <c r="E753" t="str">
        <f ca="1">IFERROR(__xludf.DUMMYFUNCTION("""COMPUTED_VALUE"""),"Palm valley")</f>
        <v>Palm valley</v>
      </c>
      <c r="F753" s="13">
        <f ca="1">IFERROR(__xludf.DUMMYFUNCTION("""COMPUTED_VALUE"""),0.55208333333212)</f>
        <v>0.55208333333212001</v>
      </c>
      <c r="G753" s="14">
        <f ca="1">IFERROR(__xludf.DUMMYFUNCTION("""COMPUTED_VALUE"""),44501)</f>
        <v>44501</v>
      </c>
      <c r="H753" t="str">
        <f ca="1">IFERROR(__xludf.DUMMYFUNCTION("""COMPUTED_VALUE"""),"Pine island")</f>
        <v>Pine island</v>
      </c>
      <c r="I753" s="15">
        <f ca="1">IFERROR(__xludf.DUMMYFUNCTION("""COMPUTED_VALUE"""),0.70833333333212)</f>
        <v>0.70833333333212001</v>
      </c>
      <c r="J753" s="16">
        <f ca="1">IFERROR(__xludf.DUMMYFUNCTION("""COMPUTED_VALUE"""),44501.7291666666)</f>
        <v>44501.729166666599</v>
      </c>
      <c r="K753" t="str">
        <f ca="1">IFERROR(__xludf.DUMMYFUNCTION("""COMPUTED_VALUE"""),"20ft Sea Ark FL5351SJ UNF 2015")</f>
        <v>20ft Sea Ark FL5351SJ UNF 2015</v>
      </c>
      <c r="M753" t="str">
        <f ca="1">IFERROR(__xludf.DUMMYFUNCTION("""COMPUTED_VALUE"""),"Ford F250 2017 (Moby Dix) - DEP0021578")</f>
        <v>Ford F250 2017 (Moby Dix) - DEP0021578</v>
      </c>
      <c r="N753" t="str">
        <f ca="1">IFERROR(__xludf.DUMMYFUNCTION("""COMPUTED_VALUE"""),"Pam Marcum, (480) 332-5414, Gabby Canas, (904) 891-9743")</f>
        <v>Pam Marcum, (480) 332-5414, Gabby Canas, (904) 891-9743</v>
      </c>
      <c r="P753" t="str">
        <f ca="1">IFERROR(__xludf.DUMMYFUNCTION("""COMPUTED_VALUE"""),"Pam")</f>
        <v>Pam</v>
      </c>
      <c r="Q753" t="str">
        <f ca="1">IFERROR(__xludf.DUMMYFUNCTION("""COMPUTED_VALUE"""),"All items in working order")</f>
        <v>All items in working order</v>
      </c>
      <c r="AE753" s="11"/>
      <c r="AF753" t="str">
        <v>Nikki.Dix@floridadep.gov</v>
      </c>
      <c r="AG753" s="17" t="s">
        <v>41</v>
      </c>
      <c r="AH753" s="12">
        <v>1711</v>
      </c>
      <c r="AI753" s="12" t="s">
        <v>2210</v>
      </c>
      <c r="AJ753" s="19" t="s">
        <v>2211</v>
      </c>
      <c r="AK753" s="20" t="str">
        <f>HYPERLINK("https://docs.google.com/document/d/1ByaOMjRmqhloRPOZrT1gOQI6fzyvqfFj4K5nQb57Zow/edit?usp=drivesdk","Pam Marcum - 11/1/2021 1:15 PM")</f>
        <v>Pam Marcum - 11/1/2021 1:15 PM</v>
      </c>
      <c r="AL753" s="12" t="s">
        <v>2212</v>
      </c>
    </row>
    <row r="754" spans="1:38" ht="12.75">
      <c r="A754" s="10">
        <f ca="1">IFERROR(__xludf.DUMMYFUNCTION("""COMPUTED_VALUE"""),44502.2797120023)</f>
        <v>44502.279712002302</v>
      </c>
      <c r="B754" s="11" t="str">
        <f ca="1">IFERROR(__xludf.DUMMYFUNCTION("""COMPUTED_VALUE"""),"Silas Tanner")</f>
        <v>Silas Tanner</v>
      </c>
      <c r="C754" t="str">
        <f ca="1">IFERROR(__xludf.DUMMYFUNCTION("""COMPUTED_VALUE"""),"silas.tanner@floridadep.gov")</f>
        <v>silas.tanner@floridadep.gov</v>
      </c>
      <c r="D754" t="str">
        <f ca="1">IFERROR(__xludf.DUMMYFUNCTION("""COMPUTED_VALUE"""),"Alee Knoell")</f>
        <v>Alee Knoell</v>
      </c>
      <c r="E754" t="str">
        <f ca="1">IFERROR(__xludf.DUMMYFUNCTION("""COMPUTED_VALUE"""),"Vilano Landing")</f>
        <v>Vilano Landing</v>
      </c>
      <c r="F754" s="13">
        <f ca="1">IFERROR(__xludf.DUMMYFUNCTION("""COMPUTED_VALUE"""),0.30208333333212)</f>
        <v>0.30208333333212001</v>
      </c>
      <c r="G754" s="14">
        <f ca="1">IFERROR(__xludf.DUMMYFUNCTION("""COMPUTED_VALUE"""),44502)</f>
        <v>44502</v>
      </c>
      <c r="H754" t="str">
        <f ca="1">IFERROR(__xludf.DUMMYFUNCTION("""COMPUTED_VALUE"""),"ICW SWMP Sites")</f>
        <v>ICW SWMP Sites</v>
      </c>
      <c r="I754" s="15">
        <f ca="1">IFERROR(__xludf.DUMMYFUNCTION("""COMPUTED_VALUE"""),0.5625)</f>
        <v>0.5625</v>
      </c>
      <c r="J754" s="16">
        <f ca="1">IFERROR(__xludf.DUMMYFUNCTION("""COMPUTED_VALUE"""),44502.5729166666)</f>
        <v>44502.572916666599</v>
      </c>
      <c r="K754" t="str">
        <f ca="1">IFERROR(__xludf.DUMMYFUNCTION("""COMPUTED_VALUE"""),"23ft Skiff (Bertha) FL7972LJ DEP07613")</f>
        <v>23ft Skiff (Bertha) FL7972LJ DEP07613</v>
      </c>
      <c r="M754" t="str">
        <f ca="1">IFERROR(__xludf.DUMMYFUNCTION("""COMPUTED_VALUE"""),"Ford F250 2017 (Moby Dix) - DEP0021578")</f>
        <v>Ford F250 2017 (Moby Dix) - DEP0021578</v>
      </c>
      <c r="N754" t="str">
        <f ca="1">IFERROR(__xludf.DUMMYFUNCTION("""COMPUTED_VALUE"""),"Silas Tanner, (904) 483-8423, Alee Knoell, (619) 750-4833")</f>
        <v>Silas Tanner, (904) 483-8423, Alee Knoell, (619) 750-4833</v>
      </c>
      <c r="P754" t="str">
        <f ca="1">IFERROR(__xludf.DUMMYFUNCTION("""COMPUTED_VALUE"""),"Silas Tanner")</f>
        <v>Silas Tanner</v>
      </c>
      <c r="Q754" t="str">
        <f ca="1">IFERROR(__xludf.DUMMYFUNCTION("""COMPUTED_VALUE"""),"All items in working order")</f>
        <v>All items in working order</v>
      </c>
      <c r="AE754" s="11"/>
      <c r="AF754" t="str">
        <v>Alee.Knoell@floridadep.gov</v>
      </c>
      <c r="AG754" s="17" t="s">
        <v>222</v>
      </c>
      <c r="AH754" s="12" t="s">
        <v>54</v>
      </c>
      <c r="AI754" s="12" t="s">
        <v>2213</v>
      </c>
      <c r="AJ754" s="19" t="s">
        <v>2214</v>
      </c>
      <c r="AK754" s="20" t="str">
        <f>HYPERLINK("https://docs.google.com/document/d/1eeywEG1kHHzHtpUpxAsNnZDIk10QFUg1DcRAdJ--DxQ/edit?usp=drivesdk","Silas Tanner - 11/2/2021 7:15 AM")</f>
        <v>Silas Tanner - 11/2/2021 7:15 AM</v>
      </c>
      <c r="AL754" s="12" t="s">
        <v>2215</v>
      </c>
    </row>
    <row r="755" spans="1:38" ht="12.75">
      <c r="A755" s="10">
        <f ca="1">IFERROR(__xludf.DUMMYFUNCTION("""COMPUTED_VALUE"""),44503.3502339004)</f>
        <v>44503.350233900397</v>
      </c>
      <c r="B755" s="11" t="str">
        <f ca="1">IFERROR(__xludf.DUMMYFUNCTION("""COMPUTED_VALUE"""),"Olivia Roorbach")</f>
        <v>Olivia Roorbach</v>
      </c>
      <c r="C755" t="str">
        <f ca="1">IFERROR(__xludf.DUMMYFUNCTION("""COMPUTED_VALUE"""),"olivia.roorbach@floridafep.gov")</f>
        <v>olivia.roorbach@floridafep.gov</v>
      </c>
      <c r="D755" t="str">
        <f ca="1">IFERROR(__xludf.DUMMYFUNCTION("""COMPUTED_VALUE"""),"Alee Knoell")</f>
        <v>Alee Knoell</v>
      </c>
      <c r="E755" t="str">
        <f ca="1">IFERROR(__xludf.DUMMYFUNCTION("""COMPUTED_VALUE"""),"Guana Dam")</f>
        <v>Guana Dam</v>
      </c>
      <c r="F755" s="13">
        <f ca="1">IFERROR(__xludf.DUMMYFUNCTION("""COMPUTED_VALUE"""),0.354166666667879)</f>
        <v>0.35416666666787899</v>
      </c>
      <c r="G755" s="14">
        <f ca="1">IFERROR(__xludf.DUMMYFUNCTION("""COMPUTED_VALUE"""),44503)</f>
        <v>44503</v>
      </c>
      <c r="H755" t="str">
        <f ca="1">IFERROR(__xludf.DUMMYFUNCTION("""COMPUTED_VALUE"""),"Guana Lake and River ")</f>
        <v xml:space="preserve">Guana Lake and River </v>
      </c>
      <c r="I755" s="15">
        <f ca="1">IFERROR(__xludf.DUMMYFUNCTION("""COMPUTED_VALUE"""),0.541666666667879)</f>
        <v>0.54166666666787899</v>
      </c>
      <c r="J755" s="16">
        <f ca="1">IFERROR(__xludf.DUMMYFUNCTION("""COMPUTED_VALUE"""),44503.5520833333)</f>
        <v>44503.552083333299</v>
      </c>
      <c r="K755" t="str">
        <f ca="1">IFERROR(__xludf.DUMMYFUNCTION("""COMPUTED_VALUE"""),"Jon Boat 1 FL5992RR DEP154045, FWC airboat")</f>
        <v>Jon Boat 1 FL5992RR DEP154045, FWC airboat</v>
      </c>
      <c r="M755" t="str">
        <f ca="1">IFERROR(__xludf.DUMMYFUNCTION("""COMPUTED_VALUE"""),"Ford F250 2017 (Moby Dix) - DEP0021578")</f>
        <v>Ford F250 2017 (Moby Dix) - DEP0021578</v>
      </c>
      <c r="N755" t="str">
        <f ca="1">IFERROR(__xludf.DUMMYFUNCTION("""COMPUTED_VALUE"""),"Olivia Roorbach, (404) 694-2653")</f>
        <v>Olivia Roorbach, (404) 694-2653</v>
      </c>
      <c r="O755" t="str">
        <f ca="1">IFERROR(__xludf.DUMMYFUNCTION("""COMPUTED_VALUE"""),"Emma Wilkinson ")</f>
        <v xml:space="preserve">Emma Wilkinson </v>
      </c>
      <c r="P755" t="str">
        <f ca="1">IFERROR(__xludf.DUMMYFUNCTION("""COMPUTED_VALUE"""),"Olivia Roorbach")</f>
        <v>Olivia Roorbach</v>
      </c>
      <c r="Q755" t="str">
        <f ca="1">IFERROR(__xludf.DUMMYFUNCTION("""COMPUTED_VALUE"""),"All items in working order")</f>
        <v>All items in working order</v>
      </c>
      <c r="AE755" s="11"/>
      <c r="AF755" t="str">
        <v>Alee.Knoell@floridadep.gov</v>
      </c>
      <c r="AG755" s="17" t="s">
        <v>1821</v>
      </c>
      <c r="AH755" s="12">
        <v>1316</v>
      </c>
      <c r="AI755" s="12" t="s">
        <v>2216</v>
      </c>
      <c r="AJ755" s="19" t="s">
        <v>2217</v>
      </c>
      <c r="AK755" s="20" t="str">
        <f>HYPERLINK("https://docs.google.com/document/d/1h1VxgevN7KnnCx3EjxMmYbF6u5Ia7VAYF6G4AmQIalk/edit?usp=drivesdk","Olivia Roorbach - 11/3/2021 8:30 AM")</f>
        <v>Olivia Roorbach - 11/3/2021 8:30 AM</v>
      </c>
      <c r="AL755" s="12" t="s">
        <v>2218</v>
      </c>
    </row>
    <row r="756" spans="1:38" ht="12.75">
      <c r="A756" s="10">
        <f ca="1">IFERROR(__xludf.DUMMYFUNCTION("""COMPUTED_VALUE"""),44516.3400248148)</f>
        <v>44516.340024814803</v>
      </c>
      <c r="B756" s="11" t="str">
        <f ca="1">IFERROR(__xludf.DUMMYFUNCTION("""COMPUTED_VALUE"""),"Silas Tanner")</f>
        <v>Silas Tanner</v>
      </c>
      <c r="C756" t="str">
        <f ca="1">IFERROR(__xludf.DUMMYFUNCTION("""COMPUTED_VALUE"""),"silas.tanner@floridadep.gov")</f>
        <v>silas.tanner@floridadep.gov</v>
      </c>
      <c r="D756" t="str">
        <f ca="1">IFERROR(__xludf.DUMMYFUNCTION("""COMPUTED_VALUE"""),"Nikki Dix")</f>
        <v>Nikki Dix</v>
      </c>
      <c r="E756" t="str">
        <f ca="1">IFERROR(__xludf.DUMMYFUNCTION("""COMPUTED_VALUE"""),"Palm Valley")</f>
        <v>Palm Valley</v>
      </c>
      <c r="F756" s="13">
        <f ca="1">IFERROR(__xludf.DUMMYFUNCTION("""COMPUTED_VALUE"""),0.52083333333212)</f>
        <v>0.52083333333212001</v>
      </c>
      <c r="G756" s="14">
        <f ca="1">IFERROR(__xludf.DUMMYFUNCTION("""COMPUTED_VALUE"""),44516)</f>
        <v>44516</v>
      </c>
      <c r="H756" t="str">
        <f ca="1">IFERROR(__xludf.DUMMYFUNCTION("""COMPUTED_VALUE"""),"ICW SWMP sites")</f>
        <v>ICW SWMP sites</v>
      </c>
      <c r="I756" s="15">
        <f ca="1">IFERROR(__xludf.DUMMYFUNCTION("""COMPUTED_VALUE"""),0.6875)</f>
        <v>0.6875</v>
      </c>
      <c r="J756" s="16">
        <f ca="1">IFERROR(__xludf.DUMMYFUNCTION("""COMPUTED_VALUE"""),44516.7083333333)</f>
        <v>44516.708333333299</v>
      </c>
      <c r="K756" t="str">
        <f ca="1">IFERROR(__xludf.DUMMYFUNCTION("""COMPUTED_VALUE"""),"20ft Sea Ark FL5351SJ UNF 2015")</f>
        <v>20ft Sea Ark FL5351SJ UNF 2015</v>
      </c>
      <c r="M756" t="str">
        <f ca="1">IFERROR(__xludf.DUMMYFUNCTION("""COMPUTED_VALUE"""),"Ford F250 2017 (Moby Dix) - DEP0021578")</f>
        <v>Ford F250 2017 (Moby Dix) - DEP0021578</v>
      </c>
      <c r="N756" t="str">
        <f ca="1">IFERROR(__xludf.DUMMYFUNCTION("""COMPUTED_VALUE"""),"Silas Tanner, (904) 483-8423")</f>
        <v>Silas Tanner, (904) 483-8423</v>
      </c>
      <c r="O756" t="str">
        <f ca="1">IFERROR(__xludf.DUMMYFUNCTION("""COMPUTED_VALUE"""),"Hunter Mathews")</f>
        <v>Hunter Mathews</v>
      </c>
      <c r="P756" t="str">
        <f ca="1">IFERROR(__xludf.DUMMYFUNCTION("""COMPUTED_VALUE"""),"Silas Tanner")</f>
        <v>Silas Tanner</v>
      </c>
      <c r="Q756" t="str">
        <f ca="1">IFERROR(__xludf.DUMMYFUNCTION("""COMPUTED_VALUE"""),"All items in working order")</f>
        <v>All items in working order</v>
      </c>
      <c r="AE756" s="11"/>
      <c r="AF756" t="str">
        <v>Nikki.Dix@floridadep.gov</v>
      </c>
      <c r="AG756" s="17" t="s">
        <v>41</v>
      </c>
      <c r="AH756" s="12">
        <v>1640</v>
      </c>
      <c r="AI756" s="12" t="s">
        <v>2219</v>
      </c>
      <c r="AJ756" s="19" t="s">
        <v>2220</v>
      </c>
      <c r="AK756" s="20" t="str">
        <f>HYPERLINK("https://docs.google.com/document/d/15U5053tSvrFOwVhP2PxcWmWmqskeYR3gqL2Tf5W3JFE/edit?usp=drivesdk","Silas Tanner - 11/16/2021 12:30 PM")</f>
        <v>Silas Tanner - 11/16/2021 12:30 PM</v>
      </c>
      <c r="AL756" s="12" t="s">
        <v>2221</v>
      </c>
    </row>
    <row r="757" spans="1:38" ht="12.75">
      <c r="A757" s="10">
        <f ca="1">IFERROR(__xludf.DUMMYFUNCTION("""COMPUTED_VALUE"""),44516.5329092592)</f>
        <v>44516.5329092592</v>
      </c>
      <c r="B757" s="11" t="str">
        <f ca="1">IFERROR(__xludf.DUMMYFUNCTION("""COMPUTED_VALUE"""),"Jimmy")</f>
        <v>Jimmy</v>
      </c>
      <c r="C757" t="str">
        <f ca="1">IFERROR(__xludf.DUMMYFUNCTION("""COMPUTED_VALUE"""),"james.tomazinis@floridadep.gov")</f>
        <v>james.tomazinis@floridadep.gov</v>
      </c>
      <c r="D757" t="str">
        <f ca="1">IFERROR(__xludf.DUMMYFUNCTION("""COMPUTED_VALUE"""),"Jimmy Tomazinis")</f>
        <v>Jimmy Tomazinis</v>
      </c>
      <c r="E757" t="str">
        <f ca="1">IFERROR(__xludf.DUMMYFUNCTION("""COMPUTED_VALUE"""),"Half Moon Island Park")</f>
        <v>Half Moon Island Park</v>
      </c>
      <c r="F757" s="13">
        <f ca="1">IFERROR(__xludf.DUMMYFUNCTION("""COMPUTED_VALUE"""),0.604166666667879)</f>
        <v>0.60416666666787899</v>
      </c>
      <c r="G757" s="14">
        <f ca="1">IFERROR(__xludf.DUMMYFUNCTION("""COMPUTED_VALUE"""),44516)</f>
        <v>44516</v>
      </c>
      <c r="H757" t="str">
        <f ca="1">IFERROR(__xludf.DUMMYFUNCTION("""COMPUTED_VALUE"""),"Half Moon Island Fishing Pier")</f>
        <v>Half Moon Island Fishing Pier</v>
      </c>
      <c r="I757" s="15">
        <f ca="1">IFERROR(__xludf.DUMMYFUNCTION("""COMPUTED_VALUE"""),0.729166666667879)</f>
        <v>0.72916666666787899</v>
      </c>
      <c r="J757" s="16"/>
      <c r="K757" t="str">
        <f ca="1">IFERROR(__xludf.DUMMYFUNCTION("""COMPUTED_VALUE"""),"F 20ft Sea Ark (Easy 200) FL8534PY DEP21451")</f>
        <v>F 20ft Sea Ark (Easy 200) FL8534PY DEP21451</v>
      </c>
      <c r="M757" t="str">
        <f ca="1">IFERROR(__xludf.DUMMYFUNCTION("""COMPUTED_VALUE"""),"Ford F150 2007 (F-Bomb) - DEP07055")</f>
        <v>Ford F150 2007 (F-Bomb) - DEP07055</v>
      </c>
      <c r="N757" t="str">
        <f ca="1">IFERROR(__xludf.DUMMYFUNCTION("""COMPUTED_VALUE"""),"Jimmy Tomazinis, (904) 547-0094")</f>
        <v>Jimmy Tomazinis, (904) 547-0094</v>
      </c>
      <c r="O757" t="str">
        <f ca="1">IFERROR(__xludf.DUMMYFUNCTION("""COMPUTED_VALUE"""),"Chris Kurtz")</f>
        <v>Chris Kurtz</v>
      </c>
      <c r="P757" t="str">
        <f ca="1">IFERROR(__xludf.DUMMYFUNCTION("""COMPUTED_VALUE"""),"Jimmy")</f>
        <v>Jimmy</v>
      </c>
      <c r="Q757" t="str">
        <f ca="1">IFERROR(__xludf.DUMMYFUNCTION("""COMPUTED_VALUE"""),"All items in working order")</f>
        <v>All items in working order</v>
      </c>
      <c r="AE757" s="11"/>
      <c r="AF757" t="str">
        <v>James.Tomazinis@floridadep.gov</v>
      </c>
      <c r="AG757" s="17" t="s">
        <v>17</v>
      </c>
      <c r="AH757" s="12">
        <v>1722</v>
      </c>
      <c r="AI757" s="12" t="s">
        <v>2222</v>
      </c>
      <c r="AJ757" s="19" t="s">
        <v>2223</v>
      </c>
      <c r="AK757" s="20" t="str">
        <f>HYPERLINK("https://docs.google.com/document/d/18AkP3_-C5aOjdaEN7QSMn5MYONN1V-m-9VkruOFZDXw/edit?usp=drivesdk","Jimmy - 11/16/2021 2:30 PM")</f>
        <v>Jimmy - 11/16/2021 2:30 PM</v>
      </c>
      <c r="AL757" s="12" t="s">
        <v>2224</v>
      </c>
    </row>
    <row r="758" spans="1:38" ht="12.75">
      <c r="A758" s="10">
        <f ca="1">IFERROR(__xludf.DUMMYFUNCTION("""COMPUTED_VALUE"""),44517.424485706)</f>
        <v>44517.424485705997</v>
      </c>
      <c r="B758" s="11" t="str">
        <f ca="1">IFERROR(__xludf.DUMMYFUNCTION("""COMPUTED_VALUE"""),"Pamela Marcum")</f>
        <v>Pamela Marcum</v>
      </c>
      <c r="C758" t="str">
        <f ca="1">IFERROR(__xludf.DUMMYFUNCTION("""COMPUTED_VALUE"""),"Pamela.Marcum@FloridaDEP.gov")</f>
        <v>Pamela.Marcum@FloridaDEP.gov</v>
      </c>
      <c r="D758" t="str">
        <f ca="1">IFERROR(__xludf.DUMMYFUNCTION("""COMPUTED_VALUE"""),"Alee Knoell")</f>
        <v>Alee Knoell</v>
      </c>
      <c r="E758" t="str">
        <f ca="1">IFERROR(__xludf.DUMMYFUNCTION("""COMPUTED_VALUE"""),"Aunt Kates")</f>
        <v>Aunt Kates</v>
      </c>
      <c r="F758" s="13">
        <f ca="1">IFERROR(__xludf.DUMMYFUNCTION("""COMPUTED_VALUE"""),0.416666666667879)</f>
        <v>0.41666666666787899</v>
      </c>
      <c r="G758" s="14">
        <f ca="1">IFERROR(__xludf.DUMMYFUNCTION("""COMPUTED_VALUE"""),44517)</f>
        <v>44517</v>
      </c>
      <c r="H758" t="str">
        <f ca="1">IFERROR(__xludf.DUMMYFUNCTION("""COMPUTED_VALUE"""),"Tolomato River")</f>
        <v>Tolomato River</v>
      </c>
      <c r="I758" s="15">
        <f ca="1">IFERROR(__xludf.DUMMYFUNCTION("""COMPUTED_VALUE"""),0.5)</f>
        <v>0.5</v>
      </c>
      <c r="J758" s="16">
        <f ca="1">IFERROR(__xludf.DUMMYFUNCTION("""COMPUTED_VALUE"""),44517.5416666666)</f>
        <v>44517.541666666599</v>
      </c>
      <c r="K758" t="str">
        <f ca="1">IFERROR(__xludf.DUMMYFUNCTION("""COMPUTED_VALUE"""),"23ft Skiff (Bertha) FL7972LJ DEP07613")</f>
        <v>23ft Skiff (Bertha) FL7972LJ DEP07613</v>
      </c>
      <c r="M758" t="str">
        <f ca="1">IFERROR(__xludf.DUMMYFUNCTION("""COMPUTED_VALUE"""),"Ford F250 2017 (Moby Dix) - DEP0021578")</f>
        <v>Ford F250 2017 (Moby Dix) - DEP0021578</v>
      </c>
      <c r="N758" t="str">
        <f ca="1">IFERROR(__xludf.DUMMYFUNCTION("""COMPUTED_VALUE"""),"Scott Eastman, (904) 501-9267, Nikki Dix, (352) 219-4079, Pam Marcum, (480) 332-5414")</f>
        <v>Scott Eastman, (904) 501-9267, Nikki Dix, (352) 219-4079, Pam Marcum, (480) 332-5414</v>
      </c>
      <c r="O758" t="str">
        <f ca="1">IFERROR(__xludf.DUMMYFUNCTION("""COMPUTED_VALUE"""),"Michael Shirley, Lia Sansom, (520) 940-4888, Alex Reed, Mark Rains, Mrs. Rains")</f>
        <v>Michael Shirley, Lia Sansom, (520) 940-4888, Alex Reed, Mark Rains, Mrs. Rains</v>
      </c>
      <c r="P758" t="str">
        <f ca="1">IFERROR(__xludf.DUMMYFUNCTION("""COMPUTED_VALUE"""),"Pam")</f>
        <v>Pam</v>
      </c>
      <c r="Q758" t="str">
        <f ca="1">IFERROR(__xludf.DUMMYFUNCTION("""COMPUTED_VALUE"""),"All items in working order")</f>
        <v>All items in working order</v>
      </c>
      <c r="AE758" s="11"/>
      <c r="AF758" t="str">
        <v>Alee.Knoell@floridadep.gov</v>
      </c>
      <c r="AG758" s="17" t="s">
        <v>1821</v>
      </c>
      <c r="AH758" s="12">
        <v>1224</v>
      </c>
      <c r="AI758" s="12" t="s">
        <v>2225</v>
      </c>
      <c r="AJ758" s="19" t="s">
        <v>2226</v>
      </c>
      <c r="AK758" s="20" t="str">
        <f>HYPERLINK("https://docs.google.com/document/d/1QqWTXJPxFmGW2jctmf8BBIEdKkbo52Km5vhh4UEf7kg/edit?usp=drivesdk","Pamela Marcum - 11/17/2021 10:00 AM")</f>
        <v>Pamela Marcum - 11/17/2021 10:00 AM</v>
      </c>
      <c r="AL758" s="12" t="s">
        <v>2227</v>
      </c>
    </row>
    <row r="759" spans="1:38" ht="12.75">
      <c r="A759" s="10">
        <f ca="1">IFERROR(__xludf.DUMMYFUNCTION("""COMPUTED_VALUE"""),44518.3887448958)</f>
        <v>44518.388744895798</v>
      </c>
      <c r="B759" s="11" t="str">
        <f ca="1">IFERROR(__xludf.DUMMYFUNCTION("""COMPUTED_VALUE"""),"Jimmy")</f>
        <v>Jimmy</v>
      </c>
      <c r="C759" t="str">
        <f ca="1">IFERROR(__xludf.DUMMYFUNCTION("""COMPUTED_VALUE"""),"james.tomazinis@floridadep.gov")</f>
        <v>james.tomazinis@floridadep.gov</v>
      </c>
      <c r="D759" t="str">
        <f ca="1">IFERROR(__xludf.DUMMYFUNCTION("""COMPUTED_VALUE"""),"Jimmy Tomazinis")</f>
        <v>Jimmy Tomazinis</v>
      </c>
      <c r="E759" t="str">
        <f ca="1">IFERROR(__xludf.DUMMYFUNCTION("""COMPUTED_VALUE"""),"Dee Dee Bartels and Holly Point")</f>
        <v>Dee Dee Bartels and Holly Point</v>
      </c>
      <c r="F759" s="13">
        <f ca="1">IFERROR(__xludf.DUMMYFUNCTION("""COMPUTED_VALUE"""),0.416666666667879)</f>
        <v>0.41666666666787899</v>
      </c>
      <c r="G759" s="14">
        <f ca="1">IFERROR(__xludf.DUMMYFUNCTION("""COMPUTED_VALUE"""),44518)</f>
        <v>44518</v>
      </c>
      <c r="H759" t="str">
        <f ca="1">IFERROR(__xludf.DUMMYFUNCTION("""COMPUTED_VALUE"""),"NEAP WQ sites")</f>
        <v>NEAP WQ sites</v>
      </c>
      <c r="I759" s="15">
        <f ca="1">IFERROR(__xludf.DUMMYFUNCTION("""COMPUTED_VALUE"""),0.625)</f>
        <v>0.625</v>
      </c>
      <c r="J759" s="16"/>
      <c r="K759" t="str">
        <f ca="1">IFERROR(__xludf.DUMMYFUNCTION("""COMPUTED_VALUE"""),"F 20ft Sea Ark (Easy 200) FL8534PY DEP21451")</f>
        <v>F 20ft Sea Ark (Easy 200) FL8534PY DEP21451</v>
      </c>
      <c r="M759" t="str">
        <f ca="1">IFERROR(__xludf.DUMMYFUNCTION("""COMPUTED_VALUE"""),"Ford F150 2007 (F-Bomb) - DEP07055")</f>
        <v>Ford F150 2007 (F-Bomb) - DEP07055</v>
      </c>
      <c r="N759" t="str">
        <f ca="1">IFERROR(__xludf.DUMMYFUNCTION("""COMPUTED_VALUE"""),"Jimmy Tomazinis, (904) 547-0094")</f>
        <v>Jimmy Tomazinis, (904) 547-0094</v>
      </c>
      <c r="O759" t="str">
        <f ca="1">IFERROR(__xludf.DUMMYFUNCTION("""COMPUTED_VALUE"""),"Chris Kurtz")</f>
        <v>Chris Kurtz</v>
      </c>
      <c r="P759" t="str">
        <f ca="1">IFERROR(__xludf.DUMMYFUNCTION("""COMPUTED_VALUE"""),"Jimmy")</f>
        <v>Jimmy</v>
      </c>
      <c r="Q759" t="str">
        <f ca="1">IFERROR(__xludf.DUMMYFUNCTION("""COMPUTED_VALUE"""),"All items in working order")</f>
        <v>All items in working order</v>
      </c>
      <c r="AE759" s="11"/>
      <c r="AF759" t="str">
        <v>James.Tomazinis@floridadep.gov</v>
      </c>
      <c r="AG759" s="17" t="s">
        <v>17</v>
      </c>
      <c r="AH759" s="12">
        <v>1340</v>
      </c>
      <c r="AI759" s="12" t="s">
        <v>2228</v>
      </c>
      <c r="AJ759" s="19" t="s">
        <v>2229</v>
      </c>
      <c r="AK759" s="20" t="str">
        <f>HYPERLINK("https://docs.google.com/document/d/1Q76UcqM9qfnwA9mSlJwbdBACQ1POgKEurABOj0ZIcko/edit?usp=drivesdk","Jimmy - 11/18/2021 10:00 AM")</f>
        <v>Jimmy - 11/18/2021 10:00 AM</v>
      </c>
      <c r="AL759" s="12" t="s">
        <v>2230</v>
      </c>
    </row>
    <row r="760" spans="1:38" ht="12.75">
      <c r="A760" s="10">
        <f ca="1">IFERROR(__xludf.DUMMYFUNCTION("""COMPUTED_VALUE"""),44519.3178730555)</f>
        <v>44519.317873055501</v>
      </c>
      <c r="B760" s="11" t="str">
        <f ca="1">IFERROR(__xludf.DUMMYFUNCTION("""COMPUTED_VALUE"""),"Alee knoell")</f>
        <v>Alee knoell</v>
      </c>
      <c r="C760" t="str">
        <f ca="1">IFERROR(__xludf.DUMMYFUNCTION("""COMPUTED_VALUE"""),"Pamela.Marcum@FloridaDEP.gov")</f>
        <v>Pamela.Marcum@FloridaDEP.gov</v>
      </c>
      <c r="D760" t="str">
        <f ca="1">IFERROR(__xludf.DUMMYFUNCTION("""COMPUTED_VALUE"""),"Nikki Dix")</f>
        <v>Nikki Dix</v>
      </c>
      <c r="E760" t="str">
        <f ca="1">IFERROR(__xludf.DUMMYFUNCTION("""COMPUTED_VALUE"""),"Pellicer creek")</f>
        <v>Pellicer creek</v>
      </c>
      <c r="F760" s="13">
        <f ca="1">IFERROR(__xludf.DUMMYFUNCTION("""COMPUTED_VALUE"""),0.3125)</f>
        <v>0.3125</v>
      </c>
      <c r="G760" s="14">
        <f ca="1">IFERROR(__xludf.DUMMYFUNCTION("""COMPUTED_VALUE"""),44519)</f>
        <v>44519</v>
      </c>
      <c r="H760" t="str">
        <f ca="1">IFERROR(__xludf.DUMMYFUNCTION("""COMPUTED_VALUE"""),"Upper transect")</f>
        <v>Upper transect</v>
      </c>
      <c r="I760" s="15">
        <f ca="1">IFERROR(__xludf.DUMMYFUNCTION("""COMPUTED_VALUE"""),0.541666666667879)</f>
        <v>0.54166666666787899</v>
      </c>
      <c r="J760" s="16">
        <f ca="1">IFERROR(__xludf.DUMMYFUNCTION("""COMPUTED_VALUE"""),44519.6041666666)</f>
        <v>44519.604166666599</v>
      </c>
      <c r="K760" t="str">
        <f ca="1">IFERROR(__xludf.DUMMYFUNCTION("""COMPUTED_VALUE"""),"23ft Skiff (Bertha) FL7972LJ DEP07613")</f>
        <v>23ft Skiff (Bertha) FL7972LJ DEP07613</v>
      </c>
      <c r="M760" t="str">
        <f ca="1">IFERROR(__xludf.DUMMYFUNCTION("""COMPUTED_VALUE"""),"Ford F250 2017 (Moby Dix) - DEP0021578")</f>
        <v>Ford F250 2017 (Moby Dix) - DEP0021578</v>
      </c>
      <c r="N760" t="str">
        <f ca="1">IFERROR(__xludf.DUMMYFUNCTION("""COMPUTED_VALUE"""),"Pam Marcum, (480) 332-5414, Alee Knoell, (619) 750-4833")</f>
        <v>Pam Marcum, (480) 332-5414, Alee Knoell, (619) 750-4833</v>
      </c>
      <c r="O760" t="str">
        <f ca="1">IFERROR(__xludf.DUMMYFUNCTION("""COMPUTED_VALUE"""),"Rauney")</f>
        <v>Rauney</v>
      </c>
      <c r="P760" t="str">
        <f ca="1">IFERROR(__xludf.DUMMYFUNCTION("""COMPUTED_VALUE"""),"Pam ")</f>
        <v xml:space="preserve">Pam </v>
      </c>
      <c r="Q760" t="str">
        <f ca="1">IFERROR(__xludf.DUMMYFUNCTION("""COMPUTED_VALUE"""),"All items in working order")</f>
        <v>All items in working order</v>
      </c>
      <c r="AE760" s="11"/>
      <c r="AF760" t="str">
        <v>Nikki.Dix@floridadep.gov</v>
      </c>
      <c r="AG760" s="17" t="s">
        <v>41</v>
      </c>
      <c r="AH760" s="12">
        <v>1300</v>
      </c>
      <c r="AI760" s="12" t="s">
        <v>2231</v>
      </c>
      <c r="AJ760" s="19" t="s">
        <v>2232</v>
      </c>
      <c r="AK760" s="20" t="str">
        <f>HYPERLINK("https://docs.google.com/document/d/1KXjyQBx819Ivx7D5dxZ-eyCgkuFt3cvyNWchlnX56Uc/edit?usp=drivesdk","Alee knoell - 11/19/2021 7:30 AM")</f>
        <v>Alee knoell - 11/19/2021 7:30 AM</v>
      </c>
      <c r="AL760" s="12" t="s">
        <v>2233</v>
      </c>
    </row>
    <row r="761" spans="1:38" ht="12.75">
      <c r="A761" s="10">
        <f ca="1">IFERROR(__xludf.DUMMYFUNCTION("""COMPUTED_VALUE"""),44528.8218765162)</f>
        <v>44528.821876516202</v>
      </c>
      <c r="B761" s="11" t="str">
        <f ca="1">IFERROR(__xludf.DUMMYFUNCTION("""COMPUTED_VALUE"""),"Jimmy")</f>
        <v>Jimmy</v>
      </c>
      <c r="C761" t="str">
        <f ca="1">IFERROR(__xludf.DUMMYFUNCTION("""COMPUTED_VALUE"""),"james.tomazinis@floridadep.gov")</f>
        <v>james.tomazinis@floridadep.gov</v>
      </c>
      <c r="D761" t="str">
        <f ca="1">IFERROR(__xludf.DUMMYFUNCTION("""COMPUTED_VALUE"""),"Jimmy Tomazinis")</f>
        <v>Jimmy Tomazinis</v>
      </c>
      <c r="E761" t="str">
        <f ca="1">IFERROR(__xludf.DUMMYFUNCTION("""COMPUTED_VALUE"""),"Vilano")</f>
        <v>Vilano</v>
      </c>
      <c r="F761" s="13">
        <f ca="1">IFERROR(__xludf.DUMMYFUNCTION("""COMPUTED_VALUE"""),0.375)</f>
        <v>0.375</v>
      </c>
      <c r="G761" s="14">
        <f ca="1">IFERROR(__xludf.DUMMYFUNCTION("""COMPUTED_VALUE"""),44529)</f>
        <v>44529</v>
      </c>
      <c r="H761" t="str">
        <f ca="1">IFERROR(__xludf.DUMMYFUNCTION("""COMPUTED_VALUE"""),"Tolomato River")</f>
        <v>Tolomato River</v>
      </c>
      <c r="I761" s="15">
        <f ca="1">IFERROR(__xludf.DUMMYFUNCTION("""COMPUTED_VALUE"""),0.625)</f>
        <v>0.625</v>
      </c>
      <c r="J761" s="16"/>
      <c r="K761" t="str">
        <f ca="1">IFERROR(__xludf.DUMMYFUNCTION("""COMPUTED_VALUE"""),"23ft Skiff (Bertha) FL7972LJ DEP07613")</f>
        <v>23ft Skiff (Bertha) FL7972LJ DEP07613</v>
      </c>
      <c r="M761" t="str">
        <f ca="1">IFERROR(__xludf.DUMMYFUNCTION("""COMPUTED_VALUE"""),"Ford F150 2007 (F-Bomb) - DEP07055")</f>
        <v>Ford F150 2007 (F-Bomb) - DEP07055</v>
      </c>
      <c r="N761" t="str">
        <f ca="1">IFERROR(__xludf.DUMMYFUNCTION("""COMPUTED_VALUE"""),"Jimmy Tomazinis, (904) 547-0094")</f>
        <v>Jimmy Tomazinis, (904) 547-0094</v>
      </c>
      <c r="O761" t="str">
        <f ca="1">IFERROR(__xludf.DUMMYFUNCTION("""COMPUTED_VALUE"""),"Allix North, Chris Kurtz")</f>
        <v>Allix North, Chris Kurtz</v>
      </c>
      <c r="P761" t="str">
        <f ca="1">IFERROR(__xludf.DUMMYFUNCTION("""COMPUTED_VALUE"""),"Jimmy")</f>
        <v>Jimmy</v>
      </c>
      <c r="Q761" t="str">
        <f ca="1">IFERROR(__xludf.DUMMYFUNCTION("""COMPUTED_VALUE"""),"All items in working order")</f>
        <v>All items in working order</v>
      </c>
      <c r="AE761" s="11"/>
      <c r="AF761" t="str">
        <v>James.Tomazinis@floridadep.gov</v>
      </c>
      <c r="AG761" s="18"/>
      <c r="AI761" s="12" t="s">
        <v>2234</v>
      </c>
      <c r="AJ761" s="19" t="s">
        <v>2235</v>
      </c>
      <c r="AK761" s="20" t="str">
        <f>HYPERLINK("https://docs.google.com/document/d/1DGsE9sKpGcIqF3RGe_eiQKQoVAUEMVVpb3MBbMO1UoE/edit?usp=drivesdk","Jimmy - 11/29/2021 9:00 AM")</f>
        <v>Jimmy - 11/29/2021 9:00 AM</v>
      </c>
      <c r="AL761" s="12" t="s">
        <v>2236</v>
      </c>
    </row>
    <row r="762" spans="1:38" ht="12.75">
      <c r="A762" s="10">
        <f ca="1">IFERROR(__xludf.DUMMYFUNCTION("""COMPUTED_VALUE"""),44530.2868227777)</f>
        <v>44530.2868227777</v>
      </c>
      <c r="B762" s="11" t="str">
        <f ca="1">IFERROR(__xludf.DUMMYFUNCTION("""COMPUTED_VALUE"""),"Jimmy")</f>
        <v>Jimmy</v>
      </c>
      <c r="C762" t="str">
        <f ca="1">IFERROR(__xludf.DUMMYFUNCTION("""COMPUTED_VALUE"""),"james.tomazinis@floridadep.gov")</f>
        <v>james.tomazinis@floridadep.gov</v>
      </c>
      <c r="D762" t="str">
        <f ca="1">IFERROR(__xludf.DUMMYFUNCTION("""COMPUTED_VALUE"""),"Jimmy Tomazinis")</f>
        <v>Jimmy Tomazinis</v>
      </c>
      <c r="E762" t="str">
        <f ca="1">IFERROR(__xludf.DUMMYFUNCTION("""COMPUTED_VALUE"""),"Vilano")</f>
        <v>Vilano</v>
      </c>
      <c r="F762" s="13">
        <f ca="1">IFERROR(__xludf.DUMMYFUNCTION("""COMPUTED_VALUE"""),0.375)</f>
        <v>0.375</v>
      </c>
      <c r="G762" s="14">
        <f ca="1">IFERROR(__xludf.DUMMYFUNCTION("""COMPUTED_VALUE"""),44530)</f>
        <v>44530</v>
      </c>
      <c r="H762" t="str">
        <f ca="1">IFERROR(__xludf.DUMMYFUNCTION("""COMPUTED_VALUE"""),"Tolomato River")</f>
        <v>Tolomato River</v>
      </c>
      <c r="I762" s="15">
        <f ca="1">IFERROR(__xludf.DUMMYFUNCTION("""COMPUTED_VALUE"""),0.625)</f>
        <v>0.625</v>
      </c>
      <c r="J762" s="16"/>
      <c r="K762" t="str">
        <f ca="1">IFERROR(__xludf.DUMMYFUNCTION("""COMPUTED_VALUE"""),"F 20ft Sea Ark (Easy 200) FL8534PY DEP21451")</f>
        <v>F 20ft Sea Ark (Easy 200) FL8534PY DEP21451</v>
      </c>
      <c r="M762" t="str">
        <f ca="1">IFERROR(__xludf.DUMMYFUNCTION("""COMPUTED_VALUE"""),"Ford F150 2007 (F-Bomb) - DEP07055")</f>
        <v>Ford F150 2007 (F-Bomb) - DEP07055</v>
      </c>
      <c r="N762" t="str">
        <f ca="1">IFERROR(__xludf.DUMMYFUNCTION("""COMPUTED_VALUE"""),"Jimmy Tomazinis, (904) 547-0094")</f>
        <v>Jimmy Tomazinis, (904) 547-0094</v>
      </c>
      <c r="O762" t="str">
        <f ca="1">IFERROR(__xludf.DUMMYFUNCTION("""COMPUTED_VALUE"""),"Allix North and Chris Kurtz ")</f>
        <v xml:space="preserve">Allix North and Chris Kurtz </v>
      </c>
      <c r="P762" t="str">
        <f ca="1">IFERROR(__xludf.DUMMYFUNCTION("""COMPUTED_VALUE"""),"Jimmy ")</f>
        <v xml:space="preserve">Jimmy </v>
      </c>
      <c r="Q762" t="str">
        <f ca="1">IFERROR(__xludf.DUMMYFUNCTION("""COMPUTED_VALUE"""),"All items in working order")</f>
        <v>All items in working order</v>
      </c>
      <c r="AE762" s="11"/>
      <c r="AF762" t="str">
        <v>James.Tomazinis@floridadep.gov</v>
      </c>
      <c r="AG762" s="17" t="s">
        <v>17</v>
      </c>
      <c r="AH762" s="12">
        <v>1450</v>
      </c>
      <c r="AI762" s="12" t="s">
        <v>2237</v>
      </c>
      <c r="AJ762" s="19" t="s">
        <v>2238</v>
      </c>
      <c r="AK762" s="20" t="str">
        <f>HYPERLINK("https://docs.google.com/document/d/1-0fXFz3yQVaz_nMxJU8N2R1p7TaQlIYMYw_2lbpqCck/edit?usp=drivesdk","Jimmy - 11/30/2021 9:00 AM")</f>
        <v>Jimmy - 11/30/2021 9:00 AM</v>
      </c>
      <c r="AL762" s="12" t="s">
        <v>2239</v>
      </c>
    </row>
    <row r="763" spans="1:38" ht="12.75">
      <c r="A763" s="10">
        <f ca="1">IFERROR(__xludf.DUMMYFUNCTION("""COMPUTED_VALUE"""),44530.4435661111)</f>
        <v>44530.443566111098</v>
      </c>
      <c r="B763" s="11" t="str">
        <f ca="1">IFERROR(__xludf.DUMMYFUNCTION("""COMPUTED_VALUE"""),"Alexandria Knoell ")</f>
        <v xml:space="preserve">Alexandria Knoell </v>
      </c>
      <c r="C763" t="str">
        <f ca="1">IFERROR(__xludf.DUMMYFUNCTION("""COMPUTED_VALUE"""),"alee.knoell@floridadep.gov")</f>
        <v>alee.knoell@floridadep.gov</v>
      </c>
      <c r="D763" t="str">
        <f ca="1">IFERROR(__xludf.DUMMYFUNCTION("""COMPUTED_VALUE"""),"Shannon Dunnigan")</f>
        <v>Shannon Dunnigan</v>
      </c>
      <c r="E763" t="str">
        <f ca="1">IFERROR(__xludf.DUMMYFUNCTION("""COMPUTED_VALUE"""),"Faver dykes")</f>
        <v>Faver dykes</v>
      </c>
      <c r="F763" s="13">
        <f ca="1">IFERROR(__xludf.DUMMYFUNCTION("""COMPUTED_VALUE"""),0.45833333333212)</f>
        <v>0.45833333333212001</v>
      </c>
      <c r="G763" s="14">
        <f ca="1">IFERROR(__xludf.DUMMYFUNCTION("""COMPUTED_VALUE"""),44530)</f>
        <v>44530</v>
      </c>
      <c r="H763" t="str">
        <f ca="1">IFERROR(__xludf.DUMMYFUNCTION("""COMPUTED_VALUE"""),"Upper transect")</f>
        <v>Upper transect</v>
      </c>
      <c r="I763" s="15">
        <f ca="1">IFERROR(__xludf.DUMMYFUNCTION("""COMPUTED_VALUE"""),0.666666666667879)</f>
        <v>0.66666666666787899</v>
      </c>
      <c r="J763" s="16">
        <f ca="1">IFERROR(__xludf.DUMMYFUNCTION("""COMPUTED_VALUE"""),44530.7083333333)</f>
        <v>44530.708333333299</v>
      </c>
      <c r="K763" t="str">
        <f ca="1">IFERROR(__xludf.DUMMYFUNCTION("""COMPUTED_VALUE"""),"23ft Skiff (Bertha) FL7972LJ DEP07613")</f>
        <v>23ft Skiff (Bertha) FL7972LJ DEP07613</v>
      </c>
      <c r="M763" t="str">
        <f ca="1">IFERROR(__xludf.DUMMYFUNCTION("""COMPUTED_VALUE"""),"Ford F250 2017 (Moby Dix) - DEP0021578")</f>
        <v>Ford F250 2017 (Moby Dix) - DEP0021578</v>
      </c>
      <c r="N763" t="str">
        <f ca="1">IFERROR(__xludf.DUMMYFUNCTION("""COMPUTED_VALUE"""),"Pam Marcum, (480) 332-5414, Alee Knoell, (619) 750-4833")</f>
        <v>Pam Marcum, (480) 332-5414, Alee Knoell, (619) 750-4833</v>
      </c>
      <c r="P763" t="str">
        <f ca="1">IFERROR(__xludf.DUMMYFUNCTION("""COMPUTED_VALUE"""),"Pam")</f>
        <v>Pam</v>
      </c>
      <c r="Q763" t="str">
        <f ca="1">IFERROR(__xludf.DUMMYFUNCTION("""COMPUTED_VALUE"""),"All items in working order")</f>
        <v>All items in working order</v>
      </c>
      <c r="AE763" s="11"/>
      <c r="AF763" t="str">
        <v>Shannon.Dunnigan@floridadep.gov</v>
      </c>
      <c r="AG763" s="17" t="s">
        <v>507</v>
      </c>
      <c r="AH763" s="12">
        <v>1621</v>
      </c>
      <c r="AI763" s="12" t="s">
        <v>2240</v>
      </c>
      <c r="AJ763" s="19" t="s">
        <v>2241</v>
      </c>
      <c r="AK763" s="20" t="str">
        <f>HYPERLINK("https://docs.google.com/document/d/19njMuPbjpORt-EyFiHfokSb7FSvbGPC0yK34g-brneo/edit?usp=drivesdk","Alexandria Knoell  - 11/30/2021 11:00 AM")</f>
        <v>Alexandria Knoell  - 11/30/2021 11:00 AM</v>
      </c>
      <c r="AL763" s="12" t="s">
        <v>2242</v>
      </c>
    </row>
    <row r="764" spans="1:38" ht="12.75">
      <c r="A764" s="10">
        <f ca="1">IFERROR(__xludf.DUMMYFUNCTION("""COMPUTED_VALUE"""),44530.4701899537)</f>
        <v>44530.470189953703</v>
      </c>
      <c r="B764" s="11" t="str">
        <f ca="1">IFERROR(__xludf.DUMMYFUNCTION("""COMPUTED_VALUE"""),"Silas Tanner")</f>
        <v>Silas Tanner</v>
      </c>
      <c r="C764" t="str">
        <f ca="1">IFERROR(__xludf.DUMMYFUNCTION("""COMPUTED_VALUE"""),"silas.tanner@floridadep.gov")</f>
        <v>silas.tanner@floridadep.gov</v>
      </c>
      <c r="D764" t="str">
        <f ca="1">IFERROR(__xludf.DUMMYFUNCTION("""COMPUTED_VALUE"""),"Shannon Dunnigan")</f>
        <v>Shannon Dunnigan</v>
      </c>
      <c r="E764" t="str">
        <f ca="1">IFERROR(__xludf.DUMMYFUNCTION("""COMPUTED_VALUE"""),"Crane Park")</f>
        <v>Crane Park</v>
      </c>
      <c r="F764" s="13">
        <f ca="1">IFERROR(__xludf.DUMMYFUNCTION("""COMPUTED_VALUE"""),0.375)</f>
        <v>0.375</v>
      </c>
      <c r="G764" s="14">
        <f ca="1">IFERROR(__xludf.DUMMYFUNCTION("""COMPUTED_VALUE"""),44531)</f>
        <v>44531</v>
      </c>
      <c r="H764" t="str">
        <f ca="1">IFERROR(__xludf.DUMMYFUNCTION("""COMPUTED_VALUE"""),"ICW SWMP sites")</f>
        <v>ICW SWMP sites</v>
      </c>
      <c r="I764" s="15">
        <f ca="1">IFERROR(__xludf.DUMMYFUNCTION("""COMPUTED_VALUE"""),0.58333333333212)</f>
        <v>0.58333333333212001</v>
      </c>
      <c r="J764" s="16">
        <f ca="1">IFERROR(__xludf.DUMMYFUNCTION("""COMPUTED_VALUE"""),44531.6041666666)</f>
        <v>44531.604166666599</v>
      </c>
      <c r="K764" t="str">
        <f ca="1">IFERROR(__xludf.DUMMYFUNCTION("""COMPUTED_VALUE"""),"20ft Sea Ark FL5351SJ UNF 2015")</f>
        <v>20ft Sea Ark FL5351SJ UNF 2015</v>
      </c>
      <c r="M764" t="str">
        <f ca="1">IFERROR(__xludf.DUMMYFUNCTION("""COMPUTED_VALUE"""),"Ford F250 2017 (Moby Dix) - DEP0021578")</f>
        <v>Ford F250 2017 (Moby Dix) - DEP0021578</v>
      </c>
      <c r="N764" t="str">
        <f ca="1">IFERROR(__xludf.DUMMYFUNCTION("""COMPUTED_VALUE"""),"Silas Tanner, (904) 483-8423, Remo Mondazzi")</f>
        <v>Silas Tanner, (904) 483-8423, Remo Mondazzi</v>
      </c>
      <c r="P764" t="str">
        <f ca="1">IFERROR(__xludf.DUMMYFUNCTION("""COMPUTED_VALUE"""),"Silas Tanner")</f>
        <v>Silas Tanner</v>
      </c>
      <c r="Q764" t="str">
        <f ca="1">IFERROR(__xludf.DUMMYFUNCTION("""COMPUTED_VALUE"""),"All items in working order")</f>
        <v>All items in working order</v>
      </c>
      <c r="AE764" s="11"/>
      <c r="AF764" t="str">
        <v>Shannon.Dunnigan@floridadep.gov</v>
      </c>
      <c r="AG764" s="17" t="s">
        <v>507</v>
      </c>
      <c r="AH764" s="12">
        <v>1240</v>
      </c>
      <c r="AI764" s="12" t="s">
        <v>2243</v>
      </c>
      <c r="AJ764" s="19" t="s">
        <v>2244</v>
      </c>
      <c r="AK764" s="20" t="str">
        <f>HYPERLINK("https://docs.google.com/document/d/1Lfve4oxG7yLMT_NZAy7I8GxrDEkGjDrA9k0CV6s2Z4M/edit?usp=drivesdk","Silas Tanner - 12/1/2021 9:00 AM")</f>
        <v>Silas Tanner - 12/1/2021 9:00 AM</v>
      </c>
      <c r="AL764" s="12" t="s">
        <v>2245</v>
      </c>
    </row>
    <row r="765" spans="1:38" ht="12.75">
      <c r="A765" s="10">
        <f ca="1">IFERROR(__xludf.DUMMYFUNCTION("""COMPUTED_VALUE"""),44531.2743263773)</f>
        <v>44531.274326377301</v>
      </c>
      <c r="B765" s="11" t="str">
        <f ca="1">IFERROR(__xludf.DUMMYFUNCTION("""COMPUTED_VALUE"""),"Olivia Roorbach")</f>
        <v>Olivia Roorbach</v>
      </c>
      <c r="C765" t="str">
        <f ca="1">IFERROR(__xludf.DUMMYFUNCTION("""COMPUTED_VALUE"""),"olivia.roorbach@floridadep.gov")</f>
        <v>olivia.roorbach@floridadep.gov</v>
      </c>
      <c r="D765" t="str">
        <f ca="1">IFERROR(__xludf.DUMMYFUNCTION("""COMPUTED_VALUE"""),"Silas Tanner")</f>
        <v>Silas Tanner</v>
      </c>
      <c r="E765" t="str">
        <f ca="1">IFERROR(__xludf.DUMMYFUNCTION("""COMPUTED_VALUE"""),"Guana dam")</f>
        <v>Guana dam</v>
      </c>
      <c r="F765" s="13">
        <f ca="1">IFERROR(__xludf.DUMMYFUNCTION("""COMPUTED_VALUE"""),0.27083333333212)</f>
        <v>0.27083333333212001</v>
      </c>
      <c r="G765" s="14">
        <f ca="1">IFERROR(__xludf.DUMMYFUNCTION("""COMPUTED_VALUE"""),44531)</f>
        <v>44531</v>
      </c>
      <c r="H765" t="str">
        <f ca="1">IFERROR(__xludf.DUMMYFUNCTION("""COMPUTED_VALUE"""),"Guana river and lake")</f>
        <v>Guana river and lake</v>
      </c>
      <c r="I765" s="15">
        <f ca="1">IFERROR(__xludf.DUMMYFUNCTION("""COMPUTED_VALUE"""),0.416666666667879)</f>
        <v>0.41666666666787899</v>
      </c>
      <c r="J765" s="16">
        <f ca="1">IFERROR(__xludf.DUMMYFUNCTION("""COMPUTED_VALUE"""),44531.4270833333)</f>
        <v>44531.427083333299</v>
      </c>
      <c r="K765" t="str">
        <f ca="1">IFERROR(__xludf.DUMMYFUNCTION("""COMPUTED_VALUE"""),"Jon Boat 1 FL5992RR DEP154045, Airboat ")</f>
        <v xml:space="preserve">Jon Boat 1 FL5992RR DEP154045, Airboat </v>
      </c>
      <c r="M765" t="str">
        <f ca="1">IFERROR(__xludf.DUMMYFUNCTION("""COMPUTED_VALUE"""),"Silver ranger truck")</f>
        <v>Silver ranger truck</v>
      </c>
      <c r="N765" t="str">
        <f ca="1">IFERROR(__xludf.DUMMYFUNCTION("""COMPUTED_VALUE"""),"Olivia Roorbach, (404) 694-2653")</f>
        <v>Olivia Roorbach, (404) 694-2653</v>
      </c>
      <c r="O765" t="str">
        <f ca="1">IFERROR(__xludf.DUMMYFUNCTION("""COMPUTED_VALUE"""),"Kaitlyn Dietz, (678) 372-2155, Emma Wilkinson ")</f>
        <v xml:space="preserve">Kaitlyn Dietz, (678) 372-2155, Emma Wilkinson </v>
      </c>
      <c r="P765" t="str">
        <f ca="1">IFERROR(__xludf.DUMMYFUNCTION("""COMPUTED_VALUE"""),"Olivia Roorbach")</f>
        <v>Olivia Roorbach</v>
      </c>
      <c r="Q765" t="str">
        <f ca="1">IFERROR(__xludf.DUMMYFUNCTION("""COMPUTED_VALUE"""),"All items in working order")</f>
        <v>All items in working order</v>
      </c>
      <c r="AE765" s="11"/>
      <c r="AF765" t="str">
        <v>Silas.Tanner@floridadep.gov</v>
      </c>
      <c r="AG765" s="17" t="s">
        <v>1568</v>
      </c>
      <c r="AH765" s="12">
        <v>1127</v>
      </c>
      <c r="AI765" s="12" t="s">
        <v>2246</v>
      </c>
      <c r="AJ765" s="19" t="s">
        <v>2247</v>
      </c>
      <c r="AK765" s="20" t="str">
        <f>HYPERLINK("https://docs.google.com/document/d/1ecwbnsWAX6CekcH9clEM0J6-od8irCEc2qGuRpZgD1s/edit?usp=drivesdk","Olivia Roorbach - 12/1/2021 6:30 AM")</f>
        <v>Olivia Roorbach - 12/1/2021 6:30 AM</v>
      </c>
      <c r="AL765" s="12" t="s">
        <v>2248</v>
      </c>
    </row>
    <row r="766" spans="1:38" ht="12.75">
      <c r="A766" s="10">
        <f ca="1">IFERROR(__xludf.DUMMYFUNCTION("""COMPUTED_VALUE"""),44531.468503125)</f>
        <v>44531.468503124997</v>
      </c>
      <c r="B766" s="11" t="str">
        <f ca="1">IFERROR(__xludf.DUMMYFUNCTION("""COMPUTED_VALUE"""),"Alee Knoell ")</f>
        <v xml:space="preserve">Alee Knoell </v>
      </c>
      <c r="C766" t="str">
        <f ca="1">IFERROR(__xludf.DUMMYFUNCTION("""COMPUTED_VALUE"""),"alee.knoell@floridadep.gov")</f>
        <v>alee.knoell@floridadep.gov</v>
      </c>
      <c r="D766" t="str">
        <f ca="1">IFERROR(__xludf.DUMMYFUNCTION("""COMPUTED_VALUE"""),"Nikki Dix")</f>
        <v>Nikki Dix</v>
      </c>
      <c r="E766" t="str">
        <f ca="1">IFERROR(__xludf.DUMMYFUNCTION("""COMPUTED_VALUE"""),"Faver dykes ")</f>
        <v xml:space="preserve">Faver dykes </v>
      </c>
      <c r="F766" s="13">
        <f ca="1">IFERROR(__xludf.DUMMYFUNCTION("""COMPUTED_VALUE"""),0.48958333333212)</f>
        <v>0.48958333333212001</v>
      </c>
      <c r="G766" s="14">
        <f ca="1">IFERROR(__xludf.DUMMYFUNCTION("""COMPUTED_VALUE"""),44531)</f>
        <v>44531</v>
      </c>
      <c r="H766" t="str">
        <f ca="1">IFERROR(__xludf.DUMMYFUNCTION("""COMPUTED_VALUE"""),"Upper transect ")</f>
        <v xml:space="preserve">Upper transect </v>
      </c>
      <c r="I766" s="15">
        <f ca="1">IFERROR(__xludf.DUMMYFUNCTION("""COMPUTED_VALUE"""),0.510416666667879)</f>
        <v>0.51041666666787899</v>
      </c>
      <c r="J766" s="16">
        <f ca="1">IFERROR(__xludf.DUMMYFUNCTION("""COMPUTED_VALUE"""),44531.5520833333)</f>
        <v>44531.552083333299</v>
      </c>
      <c r="K766" t="str">
        <f ca="1">IFERROR(__xludf.DUMMYFUNCTION("""COMPUTED_VALUE"""),"Jon Boat 1 FL5992RR DEP154045")</f>
        <v>Jon Boat 1 FL5992RR DEP154045</v>
      </c>
      <c r="M766" t="str">
        <f ca="1">IFERROR(__xludf.DUMMYFUNCTION("""COMPUTED_VALUE"""),"Ford F150 2018 (ML AP) - DEP21637")</f>
        <v>Ford F150 2018 (ML AP) - DEP21637</v>
      </c>
      <c r="N766" t="str">
        <f ca="1">IFERROR(__xludf.DUMMYFUNCTION("""COMPUTED_VALUE"""),"Pam Marcum, (480) 332-5414")</f>
        <v>Pam Marcum, (480) 332-5414</v>
      </c>
      <c r="O766" t="str">
        <f ca="1">IFERROR(__xludf.DUMMYFUNCTION("""COMPUTED_VALUE"""),"Alee Knoell ")</f>
        <v xml:space="preserve">Alee Knoell </v>
      </c>
      <c r="P766" t="str">
        <f ca="1">IFERROR(__xludf.DUMMYFUNCTION("""COMPUTED_VALUE"""),"Pam")</f>
        <v>Pam</v>
      </c>
      <c r="Q766" t="str">
        <f ca="1">IFERROR(__xludf.DUMMYFUNCTION("""COMPUTED_VALUE"""),"All items in working order")</f>
        <v>All items in working order</v>
      </c>
      <c r="AE766" s="11"/>
      <c r="AF766" t="str">
        <v>Nikki.Dix@floridadep.gov</v>
      </c>
      <c r="AG766" s="17" t="s">
        <v>41</v>
      </c>
      <c r="AH766" s="12">
        <v>1249</v>
      </c>
      <c r="AI766" s="12" t="s">
        <v>2249</v>
      </c>
      <c r="AJ766" s="19" t="s">
        <v>2250</v>
      </c>
      <c r="AK766" s="20" t="str">
        <f>HYPERLINK("https://docs.google.com/document/d/17rInVDPurLR36IqMnzTPCaOhpbOVndiaydEZ_Zz9Sis/edit?usp=drivesdk","Alee Knoell  - 12/1/2021 11:45 AM")</f>
        <v>Alee Knoell  - 12/1/2021 11:45 AM</v>
      </c>
      <c r="AL766" s="12" t="s">
        <v>2251</v>
      </c>
    </row>
    <row r="767" spans="1:38" ht="12.75">
      <c r="A767" s="10">
        <f ca="1">IFERROR(__xludf.DUMMYFUNCTION("""COMPUTED_VALUE"""),44536.4351721527)</f>
        <v>44536.435172152698</v>
      </c>
      <c r="B767" s="11" t="str">
        <f ca="1">IFERROR(__xludf.DUMMYFUNCTION("""COMPUTED_VALUE"""),"Shannon")</f>
        <v>Shannon</v>
      </c>
      <c r="C767" t="str">
        <f ca="1">IFERROR(__xludf.DUMMYFUNCTION("""COMPUTED_VALUE"""),"shannon.dunnigan@floridadep.gov")</f>
        <v>shannon.dunnigan@floridadep.gov</v>
      </c>
      <c r="D767" t="str">
        <f ca="1">IFERROR(__xludf.DUMMYFUNCTION("""COMPUTED_VALUE"""),"Silas Tanner")</f>
        <v>Silas Tanner</v>
      </c>
      <c r="E767" t="str">
        <f ca="1">IFERROR(__xludf.DUMMYFUNCTION("""COMPUTED_VALUE"""),"Vilano")</f>
        <v>Vilano</v>
      </c>
      <c r="F767" s="13">
        <f ca="1">IFERROR(__xludf.DUMMYFUNCTION("""COMPUTED_VALUE"""),0.4375)</f>
        <v>0.4375</v>
      </c>
      <c r="G767" s="14">
        <f ca="1">IFERROR(__xludf.DUMMYFUNCTION("""COMPUTED_VALUE"""),44536)</f>
        <v>44536</v>
      </c>
      <c r="H767" t="str">
        <f ca="1">IFERROR(__xludf.DUMMYFUNCTION("""COMPUTED_VALUE"""),"ICW SWMP sites")</f>
        <v>ICW SWMP sites</v>
      </c>
      <c r="I767" s="15">
        <f ca="1">IFERROR(__xludf.DUMMYFUNCTION("""COMPUTED_VALUE"""),0.58333333333212)</f>
        <v>0.58333333333212001</v>
      </c>
      <c r="J767" s="16">
        <f ca="1">IFERROR(__xludf.DUMMYFUNCTION("""COMPUTED_VALUE"""),44536.6041666666)</f>
        <v>44536.604166666599</v>
      </c>
      <c r="K767" t="str">
        <f ca="1">IFERROR(__xludf.DUMMYFUNCTION("""COMPUTED_VALUE"""),"23ft Skiff (Bertha) FL7972LJ DEP07613")</f>
        <v>23ft Skiff (Bertha) FL7972LJ DEP07613</v>
      </c>
      <c r="M767" t="str">
        <f ca="1">IFERROR(__xludf.DUMMYFUNCTION("""COMPUTED_VALUE"""),"Ford F250 2017 (Moby Dix) - DEP0021578")</f>
        <v>Ford F250 2017 (Moby Dix) - DEP0021578</v>
      </c>
      <c r="N767" t="str">
        <f ca="1">IFERROR(__xludf.DUMMYFUNCTION("""COMPUTED_VALUE"""),"Nikki Dix, (352) 219-4079, Shannon Dunnigan, (803) 727-5734")</f>
        <v>Nikki Dix, (352) 219-4079, Shannon Dunnigan, (803) 727-5734</v>
      </c>
      <c r="P767" t="str">
        <f ca="1">IFERROR(__xludf.DUMMYFUNCTION("""COMPUTED_VALUE"""),"Shannon")</f>
        <v>Shannon</v>
      </c>
      <c r="Q767" t="str">
        <f ca="1">IFERROR(__xludf.DUMMYFUNCTION("""COMPUTED_VALUE"""),"All items in working order")</f>
        <v>All items in working order</v>
      </c>
      <c r="AE767" s="11"/>
      <c r="AF767" t="str">
        <v>Silas.Tanner@floridadep.gov</v>
      </c>
      <c r="AG767" s="17" t="s">
        <v>1568</v>
      </c>
      <c r="AH767" s="12">
        <v>1445</v>
      </c>
      <c r="AI767" s="12" t="s">
        <v>2252</v>
      </c>
      <c r="AJ767" s="19" t="s">
        <v>2253</v>
      </c>
      <c r="AK767" s="20" t="str">
        <f>HYPERLINK("https://docs.google.com/document/d/1ju6CTp_lZlCJGFMqP6KLu8UCXs8Isp8MVhn2OXYu3TE/edit?usp=drivesdk","Shannon - 12/6/2021 10:30 AM")</f>
        <v>Shannon - 12/6/2021 10:30 AM</v>
      </c>
      <c r="AL767" s="12" t="s">
        <v>2254</v>
      </c>
    </row>
    <row r="768" spans="1:38" ht="12.75">
      <c r="A768" s="10">
        <f ca="1">IFERROR(__xludf.DUMMYFUNCTION("""COMPUTED_VALUE"""),44543.2974015162)</f>
        <v>44543.297401516204</v>
      </c>
      <c r="B768" s="11" t="str">
        <f ca="1">IFERROR(__xludf.DUMMYFUNCTION("""COMPUTED_VALUE"""),"Jimmy")</f>
        <v>Jimmy</v>
      </c>
      <c r="C768" t="str">
        <f ca="1">IFERROR(__xludf.DUMMYFUNCTION("""COMPUTED_VALUE"""),"james.tomazinis@floridadep.gov")</f>
        <v>james.tomazinis@floridadep.gov</v>
      </c>
      <c r="D768" t="str">
        <f ca="1">IFERROR(__xludf.DUMMYFUNCTION("""COMPUTED_VALUE"""),"Jimmy Tomazinis")</f>
        <v>Jimmy Tomazinis</v>
      </c>
      <c r="E768" t="str">
        <f ca="1">IFERROR(__xludf.DUMMYFUNCTION("""COMPUTED_VALUE"""),"Palm Valley ")</f>
        <v xml:space="preserve">Palm Valley </v>
      </c>
      <c r="F768" s="13">
        <f ca="1">IFERROR(__xludf.DUMMYFUNCTION("""COMPUTED_VALUE"""),0.39583333333212)</f>
        <v>0.39583333333212001</v>
      </c>
      <c r="G768" s="14">
        <f ca="1">IFERROR(__xludf.DUMMYFUNCTION("""COMPUTED_VALUE"""),44543)</f>
        <v>44543</v>
      </c>
      <c r="H768" t="str">
        <f ca="1">IFERROR(__xludf.DUMMYFUNCTION("""COMPUTED_VALUE"""),"Tolomato to Pine Island ")</f>
        <v xml:space="preserve">Tolomato to Pine Island </v>
      </c>
      <c r="I768" s="15">
        <f ca="1">IFERROR(__xludf.DUMMYFUNCTION("""COMPUTED_VALUE"""),0.625)</f>
        <v>0.625</v>
      </c>
      <c r="J768" s="16"/>
      <c r="K768" t="str">
        <f ca="1">IFERROR(__xludf.DUMMYFUNCTION("""COMPUTED_VALUE"""),"23ft Skiff (Bertha) FL7972LJ DEP07613")</f>
        <v>23ft Skiff (Bertha) FL7972LJ DEP07613</v>
      </c>
      <c r="M768" t="str">
        <f ca="1">IFERROR(__xludf.DUMMYFUNCTION("""COMPUTED_VALUE"""),"Ford F150 2007 (F-Bomb) - DEP07055")</f>
        <v>Ford F150 2007 (F-Bomb) - DEP07055</v>
      </c>
      <c r="N768" t="str">
        <f ca="1">IFERROR(__xludf.DUMMYFUNCTION("""COMPUTED_VALUE"""),"Jimmy Tomazinis, (904) 547-0094")</f>
        <v>Jimmy Tomazinis, (904) 547-0094</v>
      </c>
      <c r="O768" t="str">
        <f ca="1">IFERROR(__xludf.DUMMYFUNCTION("""COMPUTED_VALUE"""),"Allix and Savanna")</f>
        <v>Allix and Savanna</v>
      </c>
      <c r="P768" t="str">
        <f ca="1">IFERROR(__xludf.DUMMYFUNCTION("""COMPUTED_VALUE"""),"Jimmy")</f>
        <v>Jimmy</v>
      </c>
      <c r="Q768" t="str">
        <f ca="1">IFERROR(__xludf.DUMMYFUNCTION("""COMPUTED_VALUE"""),"All items in working order")</f>
        <v>All items in working order</v>
      </c>
      <c r="AE768" s="11"/>
      <c r="AF768" t="str">
        <v>James.Tomazinis@floridadep.gov</v>
      </c>
      <c r="AG768" s="17" t="s">
        <v>17</v>
      </c>
      <c r="AH768" s="12">
        <v>1515</v>
      </c>
      <c r="AI768" s="12" t="s">
        <v>2255</v>
      </c>
      <c r="AJ768" s="19" t="s">
        <v>2256</v>
      </c>
      <c r="AK768" s="20" t="str">
        <f>HYPERLINK("https://docs.google.com/document/d/1R10Ypm0lKtac3h6RRQBrkJKg9_8oIiGwd1jci39jpzg/edit?usp=drivesdk","Jimmy - 12/13/2021 9:30 AM")</f>
        <v>Jimmy - 12/13/2021 9:30 AM</v>
      </c>
      <c r="AL768" s="12" t="s">
        <v>2257</v>
      </c>
    </row>
    <row r="769" spans="1:38" ht="12.75">
      <c r="A769" s="10">
        <f ca="1">IFERROR(__xludf.DUMMYFUNCTION("""COMPUTED_VALUE"""),44548.5358564699)</f>
        <v>44548.535856469898</v>
      </c>
      <c r="B769" s="11" t="str">
        <f ca="1">IFERROR(__xludf.DUMMYFUNCTION("""COMPUTED_VALUE"""),"Nikki Dix")</f>
        <v>Nikki Dix</v>
      </c>
      <c r="C769" t="str">
        <f ca="1">IFERROR(__xludf.DUMMYFUNCTION("""COMPUTED_VALUE"""),"nikki.dix@dep.state.fl.us")</f>
        <v>nikki.dix@dep.state.fl.us</v>
      </c>
      <c r="D769" t="str">
        <f ca="1">IFERROR(__xludf.DUMMYFUNCTION("""COMPUTED_VALUE"""),"Pam Marcum")</f>
        <v>Pam Marcum</v>
      </c>
      <c r="E769" t="str">
        <f ca="1">IFERROR(__xludf.DUMMYFUNCTION("""COMPUTED_VALUE"""),"Aunt Kate’s ")</f>
        <v xml:space="preserve">Aunt Kate’s </v>
      </c>
      <c r="F769" s="13">
        <f ca="1">IFERROR(__xludf.DUMMYFUNCTION("""COMPUTED_VALUE"""),0.541666666667879)</f>
        <v>0.54166666666787899</v>
      </c>
      <c r="G769" s="14">
        <f ca="1">IFERROR(__xludf.DUMMYFUNCTION("""COMPUTED_VALUE"""),44548)</f>
        <v>44548</v>
      </c>
      <c r="H769" t="str">
        <f ca="1">IFERROR(__xludf.DUMMYFUNCTION("""COMPUTED_VALUE"""),"Palm Valley")</f>
        <v>Palm Valley</v>
      </c>
      <c r="I769" s="15">
        <f ca="1">IFERROR(__xludf.DUMMYFUNCTION("""COMPUTED_VALUE"""),0.6875)</f>
        <v>0.6875</v>
      </c>
      <c r="J769" s="16">
        <f ca="1">IFERROR(__xludf.DUMMYFUNCTION("""COMPUTED_VALUE"""),44548.7083333333)</f>
        <v>44548.708333333299</v>
      </c>
      <c r="K769" t="str">
        <f ca="1">IFERROR(__xludf.DUMMYFUNCTION("""COMPUTED_VALUE"""),"23ft Skiff (Bertha) FL7972LJ DEP07613")</f>
        <v>23ft Skiff (Bertha) FL7972LJ DEP07613</v>
      </c>
      <c r="M769" t="str">
        <f ca="1">IFERROR(__xludf.DUMMYFUNCTION("""COMPUTED_VALUE"""),"Ford F250 2017 (Moby Dix) - DEP0021578")</f>
        <v>Ford F250 2017 (Moby Dix) - DEP0021578</v>
      </c>
      <c r="N769" t="str">
        <f ca="1">IFERROR(__xludf.DUMMYFUNCTION("""COMPUTED_VALUE"""),"Nikki Dix, (352) 219-4079, Shannon Dunnigan, (803) 727-5734, Silas Tanner, (904) 483-8423")</f>
        <v>Nikki Dix, (352) 219-4079, Shannon Dunnigan, (803) 727-5734, Silas Tanner, (904) 483-8423</v>
      </c>
      <c r="O769" t="str">
        <f ca="1">IFERROR(__xludf.DUMMYFUNCTION("""COMPUTED_VALUE"""),"Steve, Hannah, Jacob")</f>
        <v>Steve, Hannah, Jacob</v>
      </c>
      <c r="P769" t="str">
        <f ca="1">IFERROR(__xludf.DUMMYFUNCTION("""COMPUTED_VALUE"""),"Silas Tanner")</f>
        <v>Silas Tanner</v>
      </c>
      <c r="Q769" t="str">
        <f ca="1">IFERROR(__xludf.DUMMYFUNCTION("""COMPUTED_VALUE"""),"All items in working order")</f>
        <v>All items in working order</v>
      </c>
      <c r="AE769" s="11"/>
      <c r="AF769" t="str">
        <v>Pamela.Marcum@floridadep.gov</v>
      </c>
      <c r="AG769" s="17" t="s">
        <v>139</v>
      </c>
      <c r="AH769" s="12">
        <v>1600</v>
      </c>
      <c r="AI769" s="12" t="s">
        <v>2258</v>
      </c>
      <c r="AJ769" s="19" t="s">
        <v>2259</v>
      </c>
      <c r="AK769" s="20" t="str">
        <f>HYPERLINK("https://docs.google.com/document/d/1jvaOKaqYNceehu7t97c136tuUngRgnXw4vVwziN6GbM/edit?usp=drivesdk","Nikki Dix - 12/18/2021 1:00 PM")</f>
        <v>Nikki Dix - 12/18/2021 1:00 PM</v>
      </c>
      <c r="AL769" s="12" t="s">
        <v>2260</v>
      </c>
    </row>
    <row r="770" spans="1:38" ht="12.75">
      <c r="A770" s="10">
        <f ca="1">IFERROR(__xludf.DUMMYFUNCTION("""COMPUTED_VALUE"""),44550.4880243287)</f>
        <v>44550.488024328697</v>
      </c>
      <c r="B770" s="11" t="str">
        <f ca="1">IFERROR(__xludf.DUMMYFUNCTION("""COMPUTED_VALUE"""),"Shannon")</f>
        <v>Shannon</v>
      </c>
      <c r="C770" t="str">
        <f ca="1">IFERROR(__xludf.DUMMYFUNCTION("""COMPUTED_VALUE"""),"shannon.dunnigan@dep.state.fl.us")</f>
        <v>shannon.dunnigan@dep.state.fl.us</v>
      </c>
      <c r="D770" t="str">
        <f ca="1">IFERROR(__xludf.DUMMYFUNCTION("""COMPUTED_VALUE"""),"Nikki Dix")</f>
        <v>Nikki Dix</v>
      </c>
      <c r="E770" t="str">
        <f ca="1">IFERROR(__xludf.DUMMYFUNCTION("""COMPUTED_VALUE"""),"Greene")</f>
        <v>Greene</v>
      </c>
      <c r="F770" s="13">
        <f ca="1">IFERROR(__xludf.DUMMYFUNCTION("""COMPUTED_VALUE"""),0.48958333333212)</f>
        <v>0.48958333333212001</v>
      </c>
      <c r="G770" s="14">
        <f ca="1">IFERROR(__xludf.DUMMYFUNCTION("""COMPUTED_VALUE"""),44550)</f>
        <v>44550</v>
      </c>
      <c r="H770" t="str">
        <f ca="1">IFERROR(__xludf.DUMMYFUNCTION("""COMPUTED_VALUE"""),"FM")</f>
        <v>FM</v>
      </c>
      <c r="I770" s="15">
        <f ca="1">IFERROR(__xludf.DUMMYFUNCTION("""COMPUTED_VALUE"""),0.53125)</f>
        <v>0.53125</v>
      </c>
      <c r="J770" s="16">
        <f ca="1">IFERROR(__xludf.DUMMYFUNCTION("""COMPUTED_VALUE"""),44550.7083333333)</f>
        <v>44550.708333333299</v>
      </c>
      <c r="K770" t="str">
        <f ca="1">IFERROR(__xludf.DUMMYFUNCTION("""COMPUTED_VALUE"""),"20ft Sea Ark FL5351SJ UNF 2015")</f>
        <v>20ft Sea Ark FL5351SJ UNF 2015</v>
      </c>
      <c r="M770" t="str">
        <f ca="1">IFERROR(__xludf.DUMMYFUNCTION("""COMPUTED_VALUE"""),"Ford F250 2017 (Moby Dix) - DEP0021578")</f>
        <v>Ford F250 2017 (Moby Dix) - DEP0021578</v>
      </c>
      <c r="N770" t="str">
        <f ca="1">IFERROR(__xludf.DUMMYFUNCTION("""COMPUTED_VALUE"""),"Shannon Dunnigan, (803) 727-5734, Silas Tanner, (904) 483-8423")</f>
        <v>Shannon Dunnigan, (803) 727-5734, Silas Tanner, (904) 483-8423</v>
      </c>
      <c r="P770" t="str">
        <f ca="1">IFERROR(__xludf.DUMMYFUNCTION("""COMPUTED_VALUE"""),"Silas")</f>
        <v>Silas</v>
      </c>
      <c r="Q770" t="str">
        <f ca="1">IFERROR(__xludf.DUMMYFUNCTION("""COMPUTED_VALUE"""),"All items in working order")</f>
        <v>All items in working order</v>
      </c>
      <c r="AE770" s="11"/>
      <c r="AF770" t="str">
        <v>Nikki.Dix@floridadep.gov</v>
      </c>
      <c r="AG770" s="17" t="s">
        <v>41</v>
      </c>
      <c r="AH770" s="12">
        <v>1225</v>
      </c>
      <c r="AI770" s="12" t="s">
        <v>2261</v>
      </c>
      <c r="AJ770" s="19" t="s">
        <v>2262</v>
      </c>
      <c r="AK770" s="20" t="str">
        <f>HYPERLINK("https://docs.google.com/document/d/1U_kMgXkzMiiQXXHBkP-xlIrNOMuO9MY4WMU7ootv5Ns/edit?usp=drivesdk","Shannon - 12/20/2021 11:45 AM")</f>
        <v>Shannon - 12/20/2021 11:45 AM</v>
      </c>
      <c r="AL770" s="12" t="s">
        <v>2263</v>
      </c>
    </row>
    <row r="771" spans="1:38" ht="12.75">
      <c r="A771" s="10">
        <f ca="1">IFERROR(__xludf.DUMMYFUNCTION("""COMPUTED_VALUE"""),44550.5541914583)</f>
        <v>44550.554191458301</v>
      </c>
      <c r="B771" s="11" t="str">
        <f ca="1">IFERROR(__xludf.DUMMYFUNCTION("""COMPUTED_VALUE"""),"Shannon Dunnigan")</f>
        <v>Shannon Dunnigan</v>
      </c>
      <c r="C771" t="str">
        <f ca="1">IFERROR(__xludf.DUMMYFUNCTION("""COMPUTED_VALUE"""),"shannon.dunnigan@dep.state.fl.us")</f>
        <v>shannon.dunnigan@dep.state.fl.us</v>
      </c>
      <c r="D771" t="str">
        <f ca="1">IFERROR(__xludf.DUMMYFUNCTION("""COMPUTED_VALUE"""),"Nikki Dix")</f>
        <v>Nikki Dix</v>
      </c>
      <c r="E771" t="str">
        <f ca="1">IFERROR(__xludf.DUMMYFUNCTION("""COMPUTED_VALUE"""),"Crane")</f>
        <v>Crane</v>
      </c>
      <c r="F771" s="13">
        <f ca="1">IFERROR(__xludf.DUMMYFUNCTION("""COMPUTED_VALUE"""),0.555555555554747)</f>
        <v>0.555555555554747</v>
      </c>
      <c r="G771" s="14">
        <f ca="1">IFERROR(__xludf.DUMMYFUNCTION("""COMPUTED_VALUE"""),44550)</f>
        <v>44550</v>
      </c>
      <c r="H771" t="str">
        <f ca="1">IFERROR(__xludf.DUMMYFUNCTION("""COMPUTED_VALUE"""),"SS Swmp")</f>
        <v>SS Swmp</v>
      </c>
      <c r="I771" s="15">
        <f ca="1">IFERROR(__xludf.DUMMYFUNCTION("""COMPUTED_VALUE"""),0.604166666667879)</f>
        <v>0.60416666666787899</v>
      </c>
      <c r="J771" s="16">
        <f ca="1">IFERROR(__xludf.DUMMYFUNCTION("""COMPUTED_VALUE"""),44550.7083333333)</f>
        <v>44550.708333333299</v>
      </c>
      <c r="K771" t="str">
        <f ca="1">IFERROR(__xludf.DUMMYFUNCTION("""COMPUTED_VALUE"""),"20ft Sea Ark FL5351SJ UNF 2015")</f>
        <v>20ft Sea Ark FL5351SJ UNF 2015</v>
      </c>
      <c r="M771" t="str">
        <f ca="1">IFERROR(__xludf.DUMMYFUNCTION("""COMPUTED_VALUE"""),"Ford F250 2017 (Moby Dix) - DEP0021578")</f>
        <v>Ford F250 2017 (Moby Dix) - DEP0021578</v>
      </c>
      <c r="N771" t="str">
        <f ca="1">IFERROR(__xludf.DUMMYFUNCTION("""COMPUTED_VALUE"""),"Shannon Dunnigan, (803) 727-5734, Silas Tanner, (904) 483-8423")</f>
        <v>Shannon Dunnigan, (803) 727-5734, Silas Tanner, (904) 483-8423</v>
      </c>
      <c r="P771" t="str">
        <f ca="1">IFERROR(__xludf.DUMMYFUNCTION("""COMPUTED_VALUE"""),"Silas")</f>
        <v>Silas</v>
      </c>
      <c r="Q771" t="str">
        <f ca="1">IFERROR(__xludf.DUMMYFUNCTION("""COMPUTED_VALUE"""),"All items in working order")</f>
        <v>All items in working order</v>
      </c>
      <c r="AE771" s="11"/>
      <c r="AF771" t="str">
        <v>Nikki.Dix@floridadep.gov</v>
      </c>
      <c r="AG771" s="17" t="s">
        <v>41</v>
      </c>
      <c r="AH771" s="12">
        <v>1407</v>
      </c>
      <c r="AI771" s="12" t="s">
        <v>2264</v>
      </c>
      <c r="AJ771" s="19" t="s">
        <v>2265</v>
      </c>
      <c r="AK771" s="20" t="str">
        <f>HYPERLINK("https://docs.google.com/document/d/1d_9k9uejrL2ejvPzAf3KlrFQjPlfjaoBPeof4xiZY9I/edit?usp=drivesdk","Shannon Dunnigan - 12/20/2021 1:20 PM")</f>
        <v>Shannon Dunnigan - 12/20/2021 1:20 PM</v>
      </c>
      <c r="AL771" s="12" t="s">
        <v>2266</v>
      </c>
    </row>
    <row r="772" spans="1:38" ht="12.75">
      <c r="A772" s="10">
        <f ca="1">IFERROR(__xludf.DUMMYFUNCTION("""COMPUTED_VALUE"""),44550.6209978009)</f>
        <v>44550.620997800899</v>
      </c>
      <c r="B772" s="11" t="str">
        <f ca="1">IFERROR(__xludf.DUMMYFUNCTION("""COMPUTED_VALUE"""),"Shannon Dunnigan")</f>
        <v>Shannon Dunnigan</v>
      </c>
      <c r="C772" t="str">
        <f ca="1">IFERROR(__xludf.DUMMYFUNCTION("""COMPUTED_VALUE"""),"shannon.dunnigan@dep.state.fl.us")</f>
        <v>shannon.dunnigan@dep.state.fl.us</v>
      </c>
      <c r="D772" t="str">
        <f ca="1">IFERROR(__xludf.DUMMYFUNCTION("""COMPUTED_VALUE"""),"Nikki Dix")</f>
        <v>Nikki Dix</v>
      </c>
      <c r="E772" t="str">
        <f ca="1">IFERROR(__xludf.DUMMYFUNCTION("""COMPUTED_VALUE"""),"Palm Valley (pickup at Aunt Kates)")</f>
        <v>Palm Valley (pickup at Aunt Kates)</v>
      </c>
      <c r="F772" s="13">
        <f ca="1">IFERROR(__xludf.DUMMYFUNCTION("""COMPUTED_VALUE"""),0.635416666667879)</f>
        <v>0.63541666666787899</v>
      </c>
      <c r="G772" s="14">
        <f ca="1">IFERROR(__xludf.DUMMYFUNCTION("""COMPUTED_VALUE"""),44550)</f>
        <v>44550</v>
      </c>
      <c r="H772" t="str">
        <f ca="1">IFERROR(__xludf.DUMMYFUNCTION("""COMPUTED_VALUE"""),"PI SWMP")</f>
        <v>PI SWMP</v>
      </c>
      <c r="I772" s="15">
        <f ca="1">IFERROR(__xludf.DUMMYFUNCTION("""COMPUTED_VALUE"""),0.6875)</f>
        <v>0.6875</v>
      </c>
      <c r="J772" s="16">
        <f ca="1">IFERROR(__xludf.DUMMYFUNCTION("""COMPUTED_VALUE"""),44550.7083333333)</f>
        <v>44550.708333333299</v>
      </c>
      <c r="K772" t="str">
        <f ca="1">IFERROR(__xludf.DUMMYFUNCTION("""COMPUTED_VALUE"""),"20ft Sea Ark FL5351SJ UNF 2015")</f>
        <v>20ft Sea Ark FL5351SJ UNF 2015</v>
      </c>
      <c r="M772" t="str">
        <f ca="1">IFERROR(__xludf.DUMMYFUNCTION("""COMPUTED_VALUE"""),"Ford F250 2017 (Moby Dix) - DEP0021578")</f>
        <v>Ford F250 2017 (Moby Dix) - DEP0021578</v>
      </c>
      <c r="N772" t="str">
        <f ca="1">IFERROR(__xludf.DUMMYFUNCTION("""COMPUTED_VALUE"""),"Shannon Dunnigan, (803) 727-5734, Silas Tanner, (904) 483-8423")</f>
        <v>Shannon Dunnigan, (803) 727-5734, Silas Tanner, (904) 483-8423</v>
      </c>
      <c r="P772" t="str">
        <f ca="1">IFERROR(__xludf.DUMMYFUNCTION("""COMPUTED_VALUE"""),"Silas")</f>
        <v>Silas</v>
      </c>
      <c r="Q772" t="str">
        <f ca="1">IFERROR(__xludf.DUMMYFUNCTION("""COMPUTED_VALUE"""),"All items in working order")</f>
        <v>All items in working order</v>
      </c>
      <c r="AE772" s="11"/>
      <c r="AF772" t="str">
        <v>Nikki.Dix@floridadep.gov</v>
      </c>
      <c r="AG772" s="17" t="s">
        <v>41</v>
      </c>
      <c r="AH772" s="12">
        <v>1600</v>
      </c>
      <c r="AI772" s="12" t="s">
        <v>2267</v>
      </c>
      <c r="AJ772" s="19" t="s">
        <v>2268</v>
      </c>
      <c r="AK772" s="20" t="str">
        <f>HYPERLINK("https://docs.google.com/document/d/1oG6Qu8QUno-GmbhOJ0qMrX5WOjz7n7AtrDct3Zpb1aM/edit?usp=drivesdk","Shannon Dunnigan - 12/20/2021 3:15 PM")</f>
        <v>Shannon Dunnigan - 12/20/2021 3:15 PM</v>
      </c>
      <c r="AL772" s="12" t="s">
        <v>2269</v>
      </c>
    </row>
    <row r="773" spans="1:38" ht="12.75">
      <c r="A773" s="10">
        <f ca="1">IFERROR(__xludf.DUMMYFUNCTION("""COMPUTED_VALUE"""),44565.394527199)</f>
        <v>44565.394527199001</v>
      </c>
      <c r="B773" s="11" t="str">
        <f ca="1">IFERROR(__xludf.DUMMYFUNCTION("""COMPUTED_VALUE"""),"Shannon Dunnigan")</f>
        <v>Shannon Dunnigan</v>
      </c>
      <c r="C773" t="str">
        <f ca="1">IFERROR(__xludf.DUMMYFUNCTION("""COMPUTED_VALUE"""),"shannon.dunnigan@dep.state.fl.us")</f>
        <v>shannon.dunnigan@dep.state.fl.us</v>
      </c>
      <c r="D773" t="str">
        <f ca="1">IFERROR(__xludf.DUMMYFUNCTION("""COMPUTED_VALUE"""),"Nikki Dix")</f>
        <v>Nikki Dix</v>
      </c>
      <c r="E773" t="str">
        <f ca="1">IFERROR(__xludf.DUMMYFUNCTION("""COMPUTED_VALUE"""),"Vilano ")</f>
        <v xml:space="preserve">Vilano </v>
      </c>
      <c r="F773" s="13">
        <f ca="1">IFERROR(__xludf.DUMMYFUNCTION("""COMPUTED_VALUE"""),0.39583333333212)</f>
        <v>0.39583333333212001</v>
      </c>
      <c r="G773" s="14">
        <f ca="1">IFERROR(__xludf.DUMMYFUNCTION("""COMPUTED_VALUE"""),44565)</f>
        <v>44565</v>
      </c>
      <c r="H773" t="str">
        <f ca="1">IFERROR(__xludf.DUMMYFUNCTION("""COMPUTED_VALUE"""),"SWMP sites")</f>
        <v>SWMP sites</v>
      </c>
      <c r="I773" s="15">
        <f ca="1">IFERROR(__xludf.DUMMYFUNCTION("""COMPUTED_VALUE"""),0.604166666667879)</f>
        <v>0.60416666666787899</v>
      </c>
      <c r="J773" s="16">
        <f ca="1">IFERROR(__xludf.DUMMYFUNCTION("""COMPUTED_VALUE"""),44565.625)</f>
        <v>44565.625</v>
      </c>
      <c r="K773" t="str">
        <f ca="1">IFERROR(__xludf.DUMMYFUNCTION("""COMPUTED_VALUE"""),"23ft Skiff (Bertha) FL7972LJ DEP07613")</f>
        <v>23ft Skiff (Bertha) FL7972LJ DEP07613</v>
      </c>
      <c r="M773" t="str">
        <f ca="1">IFERROR(__xludf.DUMMYFUNCTION("""COMPUTED_VALUE"""),"Ford F250 2017 (Moby Dix) - DEP0021578")</f>
        <v>Ford F250 2017 (Moby Dix) - DEP0021578</v>
      </c>
      <c r="N773" t="str">
        <f ca="1">IFERROR(__xludf.DUMMYFUNCTION("""COMPUTED_VALUE"""),"Olivia Roorbach, (404) 694-2653")</f>
        <v>Olivia Roorbach, (404) 694-2653</v>
      </c>
      <c r="O773" t="str">
        <f ca="1">IFERROR(__xludf.DUMMYFUNCTION("""COMPUTED_VALUE"""),"Casey McClure")</f>
        <v>Casey McClure</v>
      </c>
      <c r="P773" t="str">
        <f ca="1">IFERROR(__xludf.DUMMYFUNCTION("""COMPUTED_VALUE"""),"Shannon")</f>
        <v>Shannon</v>
      </c>
      <c r="Q773" t="str">
        <f ca="1">IFERROR(__xludf.DUMMYFUNCTION("""COMPUTED_VALUE"""),"All items in working order")</f>
        <v>All items in working order</v>
      </c>
      <c r="AE773" s="11"/>
      <c r="AF773" t="str">
        <v>Nikki.Dix@floridadep.gov</v>
      </c>
      <c r="AG773" s="17" t="s">
        <v>41</v>
      </c>
      <c r="AH773" s="17">
        <v>1346</v>
      </c>
      <c r="AI773" s="12" t="s">
        <v>2270</v>
      </c>
      <c r="AJ773" s="19" t="s">
        <v>2271</v>
      </c>
      <c r="AK773" s="20" t="str">
        <f>HYPERLINK("https://docs.google.com/document/d/1Rc6inT0zKvSdYk187TDESvphu43jlPeqOobFGAt4mWw/edit?usp=drivesdk","Shannon Dunnigan - 1/4/2022 9:30 AM")</f>
        <v>Shannon Dunnigan - 1/4/2022 9:30 AM</v>
      </c>
      <c r="AL773" s="12" t="s">
        <v>2272</v>
      </c>
    </row>
    <row r="774" spans="1:38" ht="12.75">
      <c r="A774" s="10">
        <f ca="1">IFERROR(__xludf.DUMMYFUNCTION("""COMPUTED_VALUE"""),44572.3546222338)</f>
        <v>44572.354622233797</v>
      </c>
      <c r="B774" s="11" t="str">
        <f ca="1">IFERROR(__xludf.DUMMYFUNCTION("""COMPUTED_VALUE"""),"Pam marcum ")</f>
        <v xml:space="preserve">Pam marcum </v>
      </c>
      <c r="C774" t="str">
        <f ca="1">IFERROR(__xludf.DUMMYFUNCTION("""COMPUTED_VALUE"""),"Pamela.Marcum@FloridaDEP.gov")</f>
        <v>Pamela.Marcum@FloridaDEP.gov</v>
      </c>
      <c r="D774" t="str">
        <f ca="1">IFERROR(__xludf.DUMMYFUNCTION("""COMPUTED_VALUE"""),"Nikki Dix")</f>
        <v>Nikki Dix</v>
      </c>
      <c r="E774" t="str">
        <f ca="1">IFERROR(__xludf.DUMMYFUNCTION("""COMPUTED_VALUE"""),"May Street Bridge")</f>
        <v>May Street Bridge</v>
      </c>
      <c r="F774" s="13">
        <f ca="1">IFERROR(__xludf.DUMMYFUNCTION("""COMPUTED_VALUE"""),0.34375)</f>
        <v>0.34375</v>
      </c>
      <c r="G774" s="14">
        <f ca="1">IFERROR(__xludf.DUMMYFUNCTION("""COMPUTED_VALUE"""),44572)</f>
        <v>44572</v>
      </c>
      <c r="H774" t="str">
        <f ca="1">IFERROR(__xludf.DUMMYFUNCTION("""COMPUTED_VALUE"""),"Hospital Creek")</f>
        <v>Hospital Creek</v>
      </c>
      <c r="I774" s="15">
        <f ca="1">IFERROR(__xludf.DUMMYFUNCTION("""COMPUTED_VALUE"""),0.4375)</f>
        <v>0.4375</v>
      </c>
      <c r="J774" s="16">
        <f ca="1">IFERROR(__xludf.DUMMYFUNCTION("""COMPUTED_VALUE"""),44572.4583333333)</f>
        <v>44572.458333333299</v>
      </c>
      <c r="K774" t="str">
        <f ca="1">IFERROR(__xludf.DUMMYFUNCTION("""COMPUTED_VALUE"""),"Jon Boat 1 FL5992RR DEP154045")</f>
        <v>Jon Boat 1 FL5992RR DEP154045</v>
      </c>
      <c r="M774" t="str">
        <f ca="1">IFERROR(__xludf.DUMMYFUNCTION("""COMPUTED_VALUE"""),"Ford F150 2015 (White) - DEP21448")</f>
        <v>Ford F150 2015 (White) - DEP21448</v>
      </c>
      <c r="N774" t="str">
        <f ca="1">IFERROR(__xludf.DUMMYFUNCTION("""COMPUTED_VALUE"""),"Pam Marcum, (480) 332-5414, Alee Knoell, (619) 750-4833")</f>
        <v>Pam Marcum, (480) 332-5414, Alee Knoell, (619) 750-4833</v>
      </c>
      <c r="P774" t="str">
        <f ca="1">IFERROR(__xludf.DUMMYFUNCTION("""COMPUTED_VALUE"""),"Pam")</f>
        <v>Pam</v>
      </c>
      <c r="Q774" t="str">
        <f ca="1">IFERROR(__xludf.DUMMYFUNCTION("""COMPUTED_VALUE"""),"All items in working order")</f>
        <v>All items in working order</v>
      </c>
      <c r="AE774" s="11"/>
      <c r="AF774" t="str">
        <v>Nikki.Dix@floridadep.gov</v>
      </c>
      <c r="AG774" s="17" t="s">
        <v>41</v>
      </c>
      <c r="AH774" s="12">
        <v>1120</v>
      </c>
      <c r="AI774" s="12" t="s">
        <v>2273</v>
      </c>
      <c r="AJ774" s="19" t="s">
        <v>2274</v>
      </c>
      <c r="AK774" s="20" t="str">
        <f>HYPERLINK("https://docs.google.com/document/d/1ZXtdL5L3fA7UvoQDrnlmAvjjQ7Nnm75Xtd4g1eIQDPY/edit?usp=drivesdk","Pam marcum  - 1/11/2022 8:15 AM")</f>
        <v>Pam marcum  - 1/11/2022 8:15 AM</v>
      </c>
      <c r="AL774" s="12" t="s">
        <v>2275</v>
      </c>
    </row>
    <row r="775" spans="1:38" ht="12.75">
      <c r="A775" s="10">
        <f ca="1">IFERROR(__xludf.DUMMYFUNCTION("""COMPUTED_VALUE"""),44572.459162199)</f>
        <v>44572.459162198997</v>
      </c>
      <c r="B775" s="11" t="str">
        <f ca="1">IFERROR(__xludf.DUMMYFUNCTION("""COMPUTED_VALUE"""),"Silas Tanner")</f>
        <v>Silas Tanner</v>
      </c>
      <c r="C775" t="str">
        <f ca="1">IFERROR(__xludf.DUMMYFUNCTION("""COMPUTED_VALUE"""),"silas.tanner@floridadep.gov")</f>
        <v>silas.tanner@floridadep.gov</v>
      </c>
      <c r="D775" t="str">
        <f ca="1">IFERROR(__xludf.DUMMYFUNCTION("""COMPUTED_VALUE"""),"Shannon Dunnigan")</f>
        <v>Shannon Dunnigan</v>
      </c>
      <c r="E775" t="str">
        <f ca="1">IFERROR(__xludf.DUMMYFUNCTION("""COMPUTED_VALUE"""),"Vilano, Green Rd")</f>
        <v>Vilano, Green Rd</v>
      </c>
      <c r="F775" s="13">
        <f ca="1">IFERROR(__xludf.DUMMYFUNCTION("""COMPUTED_VALUE"""),0.447916666667879)</f>
        <v>0.44791666666787899</v>
      </c>
      <c r="G775" s="14">
        <f ca="1">IFERROR(__xludf.DUMMYFUNCTION("""COMPUTED_VALUE"""),44572)</f>
        <v>44572</v>
      </c>
      <c r="H775" t="str">
        <f ca="1">IFERROR(__xludf.DUMMYFUNCTION("""COMPUTED_VALUE"""),"SWMP sites ")</f>
        <v xml:space="preserve">SWMP sites </v>
      </c>
      <c r="I775" s="15">
        <f ca="1">IFERROR(__xludf.DUMMYFUNCTION("""COMPUTED_VALUE"""),0.64583333333212)</f>
        <v>0.64583333333212001</v>
      </c>
      <c r="J775" s="16">
        <f ca="1">IFERROR(__xludf.DUMMYFUNCTION("""COMPUTED_VALUE"""),44572.7083333333)</f>
        <v>44572.708333333299</v>
      </c>
      <c r="K775" t="str">
        <f ca="1">IFERROR(__xludf.DUMMYFUNCTION("""COMPUTED_VALUE"""),"20ft Sea Ark FL5351SJ UNF 2015")</f>
        <v>20ft Sea Ark FL5351SJ UNF 2015</v>
      </c>
      <c r="M775" t="str">
        <f ca="1">IFERROR(__xludf.DUMMYFUNCTION("""COMPUTED_VALUE"""),"Ford F250 2017 (Moby Dix) - DEP0021578")</f>
        <v>Ford F250 2017 (Moby Dix) - DEP0021578</v>
      </c>
      <c r="N775" t="str">
        <f ca="1">IFERROR(__xludf.DUMMYFUNCTION("""COMPUTED_VALUE"""),"Silas Tanner, (904) 483-8423, Remo")</f>
        <v>Silas Tanner, (904) 483-8423, Remo</v>
      </c>
      <c r="O775" t="str">
        <f ca="1">IFERROR(__xludf.DUMMYFUNCTION("""COMPUTED_VALUE"""),"Casey McClure")</f>
        <v>Casey McClure</v>
      </c>
      <c r="P775" t="str">
        <f ca="1">IFERROR(__xludf.DUMMYFUNCTION("""COMPUTED_VALUE"""),"Tanner")</f>
        <v>Tanner</v>
      </c>
      <c r="Q775" t="str">
        <f ca="1">IFERROR(__xludf.DUMMYFUNCTION("""COMPUTED_VALUE"""),"All items in working order")</f>
        <v>All items in working order</v>
      </c>
      <c r="AE775" s="11"/>
      <c r="AF775" t="str">
        <v>Shannon.Dunnigan@floridadep.gov</v>
      </c>
      <c r="AG775" s="17" t="s">
        <v>41</v>
      </c>
      <c r="AH775" s="12">
        <v>1600</v>
      </c>
      <c r="AI775" s="12" t="s">
        <v>2276</v>
      </c>
      <c r="AJ775" s="19" t="s">
        <v>2277</v>
      </c>
      <c r="AK775" s="20" t="str">
        <f>HYPERLINK("https://docs.google.com/document/d/1dJpj_HJ8SuRllEXtyKSnnuWUA_ENZVekP203Chkh248/edit?usp=drivesdk","Silas Tanner - 1/11/2022 10:45 AM")</f>
        <v>Silas Tanner - 1/11/2022 10:45 AM</v>
      </c>
      <c r="AL775" s="12" t="s">
        <v>2278</v>
      </c>
    </row>
    <row r="776" spans="1:38" ht="12.75">
      <c r="A776" s="10">
        <f ca="1">IFERROR(__xludf.DUMMYFUNCTION("""COMPUTED_VALUE"""),44572.6282217824)</f>
        <v>44572.628221782397</v>
      </c>
      <c r="B776" s="11" t="str">
        <f ca="1">IFERROR(__xludf.DUMMYFUNCTION("""COMPUTED_VALUE"""),"Pam")</f>
        <v>Pam</v>
      </c>
      <c r="C776" t="str">
        <f ca="1">IFERROR(__xludf.DUMMYFUNCTION("""COMPUTED_VALUE"""),"Pamela.Marcum@FloridaDEP.gov")</f>
        <v>Pamela.Marcum@FloridaDEP.gov</v>
      </c>
      <c r="D776" t="str">
        <f ca="1">IFERROR(__xludf.DUMMYFUNCTION("""COMPUTED_VALUE"""),"Nikki Dix")</f>
        <v>Nikki Dix</v>
      </c>
      <c r="E776" t="str">
        <f ca="1">IFERROR(__xludf.DUMMYFUNCTION("""COMPUTED_VALUE"""),"Shore")</f>
        <v>Shore</v>
      </c>
      <c r="F776" s="13">
        <f ca="1">IFERROR(__xludf.DUMMYFUNCTION("""COMPUTED_VALUE"""),0.625)</f>
        <v>0.625</v>
      </c>
      <c r="G776" s="14">
        <f ca="1">IFERROR(__xludf.DUMMYFUNCTION("""COMPUTED_VALUE"""),44572)</f>
        <v>44572</v>
      </c>
      <c r="H776" t="str">
        <f ca="1">IFERROR(__xludf.DUMMYFUNCTION("""COMPUTED_VALUE"""),"312 bridge")</f>
        <v>312 bridge</v>
      </c>
      <c r="I776" s="15">
        <f ca="1">IFERROR(__xludf.DUMMYFUNCTION("""COMPUTED_VALUE"""),0.666666666667879)</f>
        <v>0.66666666666787899</v>
      </c>
      <c r="J776" s="16">
        <f ca="1">IFERROR(__xludf.DUMMYFUNCTION("""COMPUTED_VALUE"""),44572.6875)</f>
        <v>44572.6875</v>
      </c>
      <c r="K776" t="str">
        <f ca="1">IFERROR(__xludf.DUMMYFUNCTION("""COMPUTED_VALUE"""),"23ft Skiff (Bertha) FL7972LJ DEP07613")</f>
        <v>23ft Skiff (Bertha) FL7972LJ DEP07613</v>
      </c>
      <c r="M776" t="str">
        <f ca="1">IFERROR(__xludf.DUMMYFUNCTION("""COMPUTED_VALUE"""),"Ford F150 2015 (White) - DEP21448")</f>
        <v>Ford F150 2015 (White) - DEP21448</v>
      </c>
      <c r="N776" t="str">
        <f ca="1">IFERROR(__xludf.DUMMYFUNCTION("""COMPUTED_VALUE"""),"Pam Marcum, (480) 332-5414")</f>
        <v>Pam Marcum, (480) 332-5414</v>
      </c>
      <c r="P776" t="str">
        <f ca="1">IFERROR(__xludf.DUMMYFUNCTION("""COMPUTED_VALUE"""),"Pam")</f>
        <v>Pam</v>
      </c>
      <c r="Q776" t="str">
        <f ca="1">IFERROR(__xludf.DUMMYFUNCTION("""COMPUTED_VALUE"""),"All items in working order")</f>
        <v>All items in working order</v>
      </c>
      <c r="AE776" s="11"/>
      <c r="AF776" t="str">
        <v>Nikki.Dix@floridadep.gov</v>
      </c>
      <c r="AG776" s="17" t="s">
        <v>41</v>
      </c>
      <c r="AH776" s="12">
        <v>1600</v>
      </c>
      <c r="AI776" s="12" t="s">
        <v>2279</v>
      </c>
      <c r="AJ776" s="19" t="s">
        <v>2280</v>
      </c>
      <c r="AK776" s="20" t="str">
        <f>HYPERLINK("https://docs.google.com/document/d/1ONE8vCGbwNTEDasZ52WnlVLgbpHsZlmV5ISH2qcVA0s/edit?usp=drivesdk","Pam - 1/11/2022 3:00 PM")</f>
        <v>Pam - 1/11/2022 3:00 PM</v>
      </c>
      <c r="AL776" s="12" t="s">
        <v>2281</v>
      </c>
    </row>
    <row r="777" spans="1:38" ht="12.75">
      <c r="A777" s="10">
        <f ca="1">IFERROR(__xludf.DUMMYFUNCTION("""COMPUTED_VALUE"""),44573.3839318865)</f>
        <v>44573.383931886499</v>
      </c>
      <c r="B777" s="11" t="str">
        <f ca="1">IFERROR(__xludf.DUMMYFUNCTION("""COMPUTED_VALUE"""),"Allix North")</f>
        <v>Allix North</v>
      </c>
      <c r="C777" t="str">
        <f ca="1">IFERROR(__xludf.DUMMYFUNCTION("""COMPUTED_VALUE"""),"allix.north@dep.state.fl.us")</f>
        <v>allix.north@dep.state.fl.us</v>
      </c>
      <c r="D777" t="str">
        <f ca="1">IFERROR(__xludf.DUMMYFUNCTION("""COMPUTED_VALUE"""),"Scott Eastman")</f>
        <v>Scott Eastman</v>
      </c>
      <c r="E777" t="str">
        <f ca="1">IFERROR(__xludf.DUMMYFUNCTION("""COMPUTED_VALUE"""),"Green or Butler will advise via text")</f>
        <v>Green or Butler will advise via text</v>
      </c>
      <c r="F777" s="13">
        <f ca="1">IFERROR(__xludf.DUMMYFUNCTION("""COMPUTED_VALUE"""),0.416666666667879)</f>
        <v>0.41666666666787899</v>
      </c>
      <c r="G777" s="14">
        <f ca="1">IFERROR(__xludf.DUMMYFUNCTION("""COMPUTED_VALUE"""),44573)</f>
        <v>44573</v>
      </c>
      <c r="H777" t="str">
        <f ca="1">IFERROR(__xludf.DUMMYFUNCTION("""COMPUTED_VALUE"""),"206 Bridge to Matanzas Inlet")</f>
        <v>206 Bridge to Matanzas Inlet</v>
      </c>
      <c r="I777" s="15">
        <f ca="1">IFERROR(__xludf.DUMMYFUNCTION("""COMPUTED_VALUE"""),0.58333333333212)</f>
        <v>0.58333333333212001</v>
      </c>
      <c r="J777" s="16">
        <f ca="1">IFERROR(__xludf.DUMMYFUNCTION("""COMPUTED_VALUE"""),44573.6041666666)</f>
        <v>44573.604166666599</v>
      </c>
      <c r="K777" t="str">
        <f ca="1">IFERROR(__xludf.DUMMYFUNCTION("""COMPUTED_VALUE"""),"17ft Skiff (Marsha) FL0642GW DEP07239")</f>
        <v>17ft Skiff (Marsha) FL0642GW DEP07239</v>
      </c>
      <c r="M777" t="str">
        <f ca="1">IFERROR(__xludf.DUMMYFUNCTION("""COMPUTED_VALUE"""),"Ford F150 2018 (ML AP) - DEP21637")</f>
        <v>Ford F150 2018 (ML AP) - DEP21637</v>
      </c>
      <c r="N777" t="str">
        <f ca="1">IFERROR(__xludf.DUMMYFUNCTION("""COMPUTED_VALUE"""),"Jimmy Tomazinis, (904) 547-0094")</f>
        <v>Jimmy Tomazinis, (904) 547-0094</v>
      </c>
      <c r="O777" t="str">
        <f ca="1">IFERROR(__xludf.DUMMYFUNCTION("""COMPUTED_VALUE"""),"Allix North 850-420-7495")</f>
        <v>Allix North 850-420-7495</v>
      </c>
      <c r="P777" t="str">
        <f ca="1">IFERROR(__xludf.DUMMYFUNCTION("""COMPUTED_VALUE"""),"Jimmy Tomazinis")</f>
        <v>Jimmy Tomazinis</v>
      </c>
      <c r="Q777" t="str">
        <f ca="1">IFERROR(__xludf.DUMMYFUNCTION("""COMPUTED_VALUE"""),"All items in working order")</f>
        <v>All items in working order</v>
      </c>
      <c r="AE777" s="11"/>
      <c r="AF777" t="str">
        <v>Scott.Eastman@floridadep.gov</v>
      </c>
      <c r="AG777" s="18"/>
      <c r="AI777" s="12" t="s">
        <v>2282</v>
      </c>
      <c r="AJ777" s="19" t="s">
        <v>2283</v>
      </c>
      <c r="AK777" s="20" t="str">
        <f>HYPERLINK("https://docs.google.com/document/d/19ueDMAb4P410DlLtrZbhnS3Q7bAjtdsyiEKgyeSyBgo/edit?usp=drivesdk","Allix North - 1/12/2022 10:00 AM")</f>
        <v>Allix North - 1/12/2022 10:00 AM</v>
      </c>
      <c r="AL777" s="12" t="s">
        <v>2284</v>
      </c>
    </row>
    <row r="778" spans="1:38" ht="12.75">
      <c r="A778" s="10">
        <f ca="1">IFERROR(__xludf.DUMMYFUNCTION("""COMPUTED_VALUE"""),44573.4237524421)</f>
        <v>44573.423752442097</v>
      </c>
      <c r="B778" s="11" t="str">
        <f ca="1">IFERROR(__xludf.DUMMYFUNCTION("""COMPUTED_VALUE"""),"Pam Marcum")</f>
        <v>Pam Marcum</v>
      </c>
      <c r="C778" t="str">
        <f ca="1">IFERROR(__xludf.DUMMYFUNCTION("""COMPUTED_VALUE"""),"Pamela.Marcum@FloridaDEP.gov")</f>
        <v>Pamela.Marcum@FloridaDEP.gov</v>
      </c>
      <c r="D778" t="str">
        <f ca="1">IFERROR(__xludf.DUMMYFUNCTION("""COMPUTED_VALUE"""),"Nikki Dix")</f>
        <v>Nikki Dix</v>
      </c>
      <c r="E778" t="str">
        <f ca="1">IFERROR(__xludf.DUMMYFUNCTION("""COMPUTED_VALUE"""),"Usina")</f>
        <v>Usina</v>
      </c>
      <c r="F778" s="13">
        <f ca="1">IFERROR(__xludf.DUMMYFUNCTION("""COMPUTED_VALUE"""),0.42708333333212)</f>
        <v>0.42708333333212001</v>
      </c>
      <c r="G778" s="14">
        <f ca="1">IFERROR(__xludf.DUMMYFUNCTION("""COMPUTED_VALUE"""),44573)</f>
        <v>44573</v>
      </c>
      <c r="H778" t="str">
        <f ca="1">IFERROR(__xludf.DUMMYFUNCTION("""COMPUTED_VALUE"""),"Guana River")</f>
        <v>Guana River</v>
      </c>
      <c r="I778" s="15">
        <f ca="1">IFERROR(__xludf.DUMMYFUNCTION("""COMPUTED_VALUE"""),0.52083333333212)</f>
        <v>0.52083333333212001</v>
      </c>
      <c r="J778" s="16">
        <f ca="1">IFERROR(__xludf.DUMMYFUNCTION("""COMPUTED_VALUE"""),44573.5416666666)</f>
        <v>44573.541666666599</v>
      </c>
      <c r="K778" t="str">
        <f ca="1">IFERROR(__xludf.DUMMYFUNCTION("""COMPUTED_VALUE"""),"F 20ft Sea Ark (Easy 200) FL8534PY DEP21451")</f>
        <v>F 20ft Sea Ark (Easy 200) FL8534PY DEP21451</v>
      </c>
      <c r="M778" t="str">
        <f ca="1">IFERROR(__xludf.DUMMYFUNCTION("""COMPUTED_VALUE"""),"Ford F250 2017 (Moby Dix) - DEP0021578")</f>
        <v>Ford F250 2017 (Moby Dix) - DEP0021578</v>
      </c>
      <c r="N778" t="str">
        <f ca="1">IFERROR(__xludf.DUMMYFUNCTION("""COMPUTED_VALUE"""),"Pam Marcum, (480) 332-5414, Alee Knoell, (619) 750-4833")</f>
        <v>Pam Marcum, (480) 332-5414, Alee Knoell, (619) 750-4833</v>
      </c>
      <c r="O778" t="str">
        <f ca="1">IFERROR(__xludf.DUMMYFUNCTION("""COMPUTED_VALUE"""),"Debbie Dix, Carol Williams, Valerie Granger")</f>
        <v>Debbie Dix, Carol Williams, Valerie Granger</v>
      </c>
      <c r="P778" t="str">
        <f ca="1">IFERROR(__xludf.DUMMYFUNCTION("""COMPUTED_VALUE"""),"Pam")</f>
        <v>Pam</v>
      </c>
      <c r="Q778" t="str">
        <f ca="1">IFERROR(__xludf.DUMMYFUNCTION("""COMPUTED_VALUE"""),"All items in working order")</f>
        <v>All items in working order</v>
      </c>
      <c r="AE778" s="11"/>
      <c r="AF778" t="str">
        <v>Nikki.Dix@floridadep.gov</v>
      </c>
      <c r="AG778" s="17" t="s">
        <v>41</v>
      </c>
      <c r="AH778" s="12">
        <v>1248</v>
      </c>
      <c r="AI778" s="12" t="s">
        <v>2285</v>
      </c>
      <c r="AJ778" s="19" t="s">
        <v>2286</v>
      </c>
      <c r="AK778" s="20" t="str">
        <f>HYPERLINK("https://docs.google.com/document/d/1jcBCWIC-3b1BYRCS7scleqkAOry-y2jHnbEZJ6F-VSY/edit?usp=drivesdk","Pam Marcum - 1/12/2022 10:15 AM")</f>
        <v>Pam Marcum - 1/12/2022 10:15 AM</v>
      </c>
      <c r="AL778" s="12" t="s">
        <v>2287</v>
      </c>
    </row>
    <row r="779" spans="1:38" ht="12.75">
      <c r="A779" s="10">
        <f ca="1">IFERROR(__xludf.DUMMYFUNCTION("""COMPUTED_VALUE"""),44574.2831654398)</f>
        <v>44574.283165439803</v>
      </c>
      <c r="B779" s="11" t="str">
        <f ca="1">IFERROR(__xludf.DUMMYFUNCTION("""COMPUTED_VALUE"""),"Olivia Roorbach")</f>
        <v>Olivia Roorbach</v>
      </c>
      <c r="C779" t="str">
        <f ca="1">IFERROR(__xludf.DUMMYFUNCTION("""COMPUTED_VALUE"""),"olivia.roorbach@floridadep.gov")</f>
        <v>olivia.roorbach@floridadep.gov</v>
      </c>
      <c r="D779" t="str">
        <f ca="1">IFERROR(__xludf.DUMMYFUNCTION("""COMPUTED_VALUE"""),"Shannon Dunnigan")</f>
        <v>Shannon Dunnigan</v>
      </c>
      <c r="E779" t="str">
        <f ca="1">IFERROR(__xludf.DUMMYFUNCTION("""COMPUTED_VALUE"""),"Guana ")</f>
        <v xml:space="preserve">Guana </v>
      </c>
      <c r="F779" s="13">
        <f ca="1">IFERROR(__xludf.DUMMYFUNCTION("""COMPUTED_VALUE"""),0.291666666667879)</f>
        <v>0.29166666666787899</v>
      </c>
      <c r="G779" s="14">
        <f ca="1">IFERROR(__xludf.DUMMYFUNCTION("""COMPUTED_VALUE"""),44574)</f>
        <v>44574</v>
      </c>
      <c r="H779" t="str">
        <f ca="1">IFERROR(__xludf.DUMMYFUNCTION("""COMPUTED_VALUE"""),"Guana river and lake ")</f>
        <v xml:space="preserve">Guana river and lake </v>
      </c>
      <c r="I779" s="15">
        <f ca="1">IFERROR(__xludf.DUMMYFUNCTION("""COMPUTED_VALUE"""),0.58333333333212)</f>
        <v>0.58333333333212001</v>
      </c>
      <c r="J779" s="16">
        <f ca="1">IFERROR(__xludf.DUMMYFUNCTION("""COMPUTED_VALUE"""),44574.1041666666)</f>
        <v>44574.104166666599</v>
      </c>
      <c r="K779" t="str">
        <f ca="1">IFERROR(__xludf.DUMMYFUNCTION("""COMPUTED_VALUE"""),"Jon Boat 1 FL5992RR DEP154045, Airboat ")</f>
        <v xml:space="preserve">Jon Boat 1 FL5992RR DEP154045, Airboat </v>
      </c>
      <c r="M779" t="str">
        <f ca="1">IFERROR(__xludf.DUMMYFUNCTION("""COMPUTED_VALUE"""),"Ford F150 2015 (White) - DEP21448")</f>
        <v>Ford F150 2015 (White) - DEP21448</v>
      </c>
      <c r="N779" t="str">
        <f ca="1">IFERROR(__xludf.DUMMYFUNCTION("""COMPUTED_VALUE"""),"Olivia Roorbach, (404) 694-2653")</f>
        <v>Olivia Roorbach, (404) 694-2653</v>
      </c>
      <c r="O779" t="str">
        <f ca="1">IFERROR(__xludf.DUMMYFUNCTION("""COMPUTED_VALUE"""),"Justina dacey, Jenna reimer")</f>
        <v>Justina dacey, Jenna reimer</v>
      </c>
      <c r="P779" t="str">
        <f ca="1">IFERROR(__xludf.DUMMYFUNCTION("""COMPUTED_VALUE"""),"Olivia Roorbach")</f>
        <v>Olivia Roorbach</v>
      </c>
      <c r="Q779" t="str">
        <f ca="1">IFERROR(__xludf.DUMMYFUNCTION("""COMPUTED_VALUE"""),"All items in working order")</f>
        <v>All items in working order</v>
      </c>
      <c r="AE779" s="11"/>
      <c r="AF779" t="str">
        <v>Shannon.Dunnigan@floridadep.gov</v>
      </c>
      <c r="AG779" s="17" t="s">
        <v>639</v>
      </c>
      <c r="AH779" s="12">
        <v>1202</v>
      </c>
      <c r="AI779" s="12" t="s">
        <v>2288</v>
      </c>
      <c r="AJ779" s="19" t="s">
        <v>2289</v>
      </c>
      <c r="AK779" s="20" t="str">
        <f>HYPERLINK("https://docs.google.com/document/d/13Sa2k-flzOyeu3eX-seO_vq8JizM8vlvBz9dEhJ5ylw/edit?usp=drivesdk","Olivia Roorbach - 1/13/2022 7:00 AM")</f>
        <v>Olivia Roorbach - 1/13/2022 7:00 AM</v>
      </c>
      <c r="AL779" s="12" t="s">
        <v>2290</v>
      </c>
    </row>
    <row r="780" spans="1:38" ht="12.75">
      <c r="A780" s="10">
        <f ca="1">IFERROR(__xludf.DUMMYFUNCTION("""COMPUTED_VALUE"""),44574.4615038773)</f>
        <v>44574.461503877297</v>
      </c>
      <c r="B780" s="11" t="str">
        <f ca="1">IFERROR(__xludf.DUMMYFUNCTION("""COMPUTED_VALUE"""),"Pam Marcum")</f>
        <v>Pam Marcum</v>
      </c>
      <c r="C780" t="str">
        <f ca="1">IFERROR(__xludf.DUMMYFUNCTION("""COMPUTED_VALUE"""),"Pamela.Marcum@FloridaDEP.gov")</f>
        <v>Pamela.Marcum@FloridaDEP.gov</v>
      </c>
      <c r="D780" t="str">
        <f ca="1">IFERROR(__xludf.DUMMYFUNCTION("""COMPUTED_VALUE"""),"Nikki Dix")</f>
        <v>Nikki Dix</v>
      </c>
      <c r="E780" t="str">
        <f ca="1">IFERROR(__xludf.DUMMYFUNCTION("""COMPUTED_VALUE"""),"Usina")</f>
        <v>Usina</v>
      </c>
      <c r="F780" s="13">
        <f ca="1">IFERROR(__xludf.DUMMYFUNCTION("""COMPUTED_VALUE"""),0.465277777777373)</f>
        <v>0.465277777777373</v>
      </c>
      <c r="G780" s="14">
        <f ca="1">IFERROR(__xludf.DUMMYFUNCTION("""COMPUTED_VALUE"""),44574)</f>
        <v>44574</v>
      </c>
      <c r="H780" t="str">
        <f ca="1">IFERROR(__xludf.DUMMYFUNCTION("""COMPUTED_VALUE"""),"Guana River")</f>
        <v>Guana River</v>
      </c>
      <c r="I780" s="15">
        <f ca="1">IFERROR(__xludf.DUMMYFUNCTION("""COMPUTED_VALUE"""),0.625)</f>
        <v>0.625</v>
      </c>
      <c r="J780" s="16">
        <f ca="1">IFERROR(__xludf.DUMMYFUNCTION("""COMPUTED_VALUE"""),44574.6458333333)</f>
        <v>44574.645833333299</v>
      </c>
      <c r="K780" t="str">
        <f ca="1">IFERROR(__xludf.DUMMYFUNCTION("""COMPUTED_VALUE"""),"F 20ft Sea Ark (Easy 200) FL8534PY DEP21451")</f>
        <v>F 20ft Sea Ark (Easy 200) FL8534PY DEP21451</v>
      </c>
      <c r="M780" t="str">
        <f ca="1">IFERROR(__xludf.DUMMYFUNCTION("""COMPUTED_VALUE"""),"Ford F250 2017 (Moby Dix) - DEP0021578")</f>
        <v>Ford F250 2017 (Moby Dix) - DEP0021578</v>
      </c>
      <c r="N780" t="str">
        <f ca="1">IFERROR(__xludf.DUMMYFUNCTION("""COMPUTED_VALUE"""),"Pam Marcum, (480) 332-5414, Alee Knoell, (619) 750-4833")</f>
        <v>Pam Marcum, (480) 332-5414, Alee Knoell, (619) 750-4833</v>
      </c>
      <c r="O780" t="str">
        <f ca="1">IFERROR(__xludf.DUMMYFUNCTION("""COMPUTED_VALUE"""),"Nathan Yonally, Spencer Baba, Patty Hutfles")</f>
        <v>Nathan Yonally, Spencer Baba, Patty Hutfles</v>
      </c>
      <c r="P780" t="str">
        <f ca="1">IFERROR(__xludf.DUMMYFUNCTION("""COMPUTED_VALUE"""),"Pam")</f>
        <v>Pam</v>
      </c>
      <c r="Q780" t="str">
        <f ca="1">IFERROR(__xludf.DUMMYFUNCTION("""COMPUTED_VALUE"""),"All items in working order")</f>
        <v>All items in working order</v>
      </c>
      <c r="AE780" s="11"/>
      <c r="AF780" t="str">
        <v>Nikki.Dix@floridadep.gov</v>
      </c>
      <c r="AG780" s="17" t="s">
        <v>41</v>
      </c>
      <c r="AH780" s="12">
        <v>1435</v>
      </c>
      <c r="AI780" s="12" t="s">
        <v>2291</v>
      </c>
      <c r="AJ780" s="19" t="s">
        <v>2292</v>
      </c>
      <c r="AK780" s="20" t="str">
        <f>HYPERLINK("https://docs.google.com/document/d/1LKNC16Z-pc_seCockRsaAhsMGC_7njoatJKwEf27IjE/edit?usp=drivesdk","Pam Marcum - 1/13/2022 11:10 AM")</f>
        <v>Pam Marcum - 1/13/2022 11:10 AM</v>
      </c>
      <c r="AL780" s="12" t="s">
        <v>2293</v>
      </c>
    </row>
    <row r="781" spans="1:38" ht="12.75">
      <c r="A781" s="10">
        <f ca="1">IFERROR(__xludf.DUMMYFUNCTION("""COMPUTED_VALUE"""),44578.5401918518)</f>
        <v>44578.540191851796</v>
      </c>
      <c r="B781" s="11" t="str">
        <f ca="1">IFERROR(__xludf.DUMMYFUNCTION("""COMPUTED_VALUE"""),"Courtney Schultz")</f>
        <v>Courtney Schultz</v>
      </c>
      <c r="C781" t="str">
        <f ca="1">IFERROR(__xludf.DUMMYFUNCTION("""COMPUTED_VALUE"""),"courtney.l.schultz@FloridaDEP.gov")</f>
        <v>courtney.l.schultz@FloridaDEP.gov</v>
      </c>
      <c r="D781" t="str">
        <f ca="1">IFERROR(__xludf.DUMMYFUNCTION("""COMPUTED_VALUE"""),"Candace Killian")</f>
        <v>Candace Killian</v>
      </c>
      <c r="E781" t="str">
        <f ca="1">IFERROR(__xludf.DUMMYFUNCTION("""COMPUTED_VALUE"""),"Whitney Lab ")</f>
        <v xml:space="preserve">Whitney Lab </v>
      </c>
      <c r="F781" s="13">
        <f ca="1">IFERROR(__xludf.DUMMYFUNCTION("""COMPUTED_VALUE"""),0.666666666667879)</f>
        <v>0.66666666666787899</v>
      </c>
      <c r="G781" s="14">
        <f ca="1">IFERROR(__xludf.DUMMYFUNCTION("""COMPUTED_VALUE"""),44580)</f>
        <v>44580</v>
      </c>
      <c r="H781" t="str">
        <f ca="1">IFERROR(__xludf.DUMMYFUNCTION("""COMPUTED_VALUE"""),"Around nearby oyster beds to collect crown conch.")</f>
        <v>Around nearby oyster beds to collect crown conch.</v>
      </c>
      <c r="I781" s="15">
        <f ca="1">IFERROR(__xludf.DUMMYFUNCTION("""COMPUTED_VALUE"""),0.75)</f>
        <v>0.75</v>
      </c>
      <c r="J781" s="16">
        <f ca="1">IFERROR(__xludf.DUMMYFUNCTION("""COMPUTED_VALUE"""),44580.7916666666)</f>
        <v>44580.791666666599</v>
      </c>
      <c r="K781" t="str">
        <f ca="1">IFERROR(__xludf.DUMMYFUNCTION("""COMPUTED_VALUE"""),"Kayak(s)")</f>
        <v>Kayak(s)</v>
      </c>
      <c r="L781">
        <f ca="1">IFERROR(__xludf.DUMMYFUNCTION("""COMPUTED_VALUE"""),1)</f>
        <v>1</v>
      </c>
      <c r="M781" t="str">
        <f ca="1">IFERROR(__xludf.DUMMYFUNCTION("""COMPUTED_VALUE"""),"N/A")</f>
        <v>N/A</v>
      </c>
      <c r="N781" t="str">
        <f ca="1">IFERROR(__xludf.DUMMYFUNCTION("""COMPUTED_VALUE"""),"Courtney Schultz")</f>
        <v>Courtney Schultz</v>
      </c>
      <c r="P781" t="str">
        <f ca="1">IFERROR(__xludf.DUMMYFUNCTION("""COMPUTED_VALUE"""),"Courtney Schultz")</f>
        <v>Courtney Schultz</v>
      </c>
      <c r="Q781" t="str">
        <f ca="1">IFERROR(__xludf.DUMMYFUNCTION("""COMPUTED_VALUE"""),"All items in working order")</f>
        <v>All items in working order</v>
      </c>
      <c r="AD781" t="str">
        <f ca="1">IFERROR(__xludf.DUMMYFUNCTION("""COMPUTED_VALUE"""),"Sunny ")</f>
        <v xml:space="preserve">Sunny </v>
      </c>
      <c r="AE781" s="11" t="str">
        <f ca="1">IFERROR(__xludf.DUMMYFUNCTION("""COMPUTED_VALUE"""),"Low tide ")</f>
        <v xml:space="preserve">Low tide </v>
      </c>
      <c r="AF781" t="str">
        <v>Candace.Killian@floridadep.gov</v>
      </c>
      <c r="AG781" s="17" t="s">
        <v>2294</v>
      </c>
      <c r="AH781" s="12">
        <v>1740</v>
      </c>
      <c r="AI781" s="12" t="s">
        <v>2295</v>
      </c>
      <c r="AJ781" s="19" t="s">
        <v>2296</v>
      </c>
      <c r="AK781" s="20" t="str">
        <f>HYPERLINK("https://docs.google.com/document/d/1SVTIJ7c-udPZCIDC_Ur2O8sJaXs80zEzqHcmybj2lTM/edit?usp=drivesdk","Courtney Schultz - 1/19/2022 4:00 PM")</f>
        <v>Courtney Schultz - 1/19/2022 4:00 PM</v>
      </c>
      <c r="AL781" s="12" t="s">
        <v>2297</v>
      </c>
    </row>
    <row r="782" spans="1:38" ht="12.75">
      <c r="A782" s="10">
        <f ca="1">IFERROR(__xludf.DUMMYFUNCTION("""COMPUTED_VALUE"""),44579.398958912)</f>
        <v>44579.398958912003</v>
      </c>
      <c r="B782" s="11" t="str">
        <f ca="1">IFERROR(__xludf.DUMMYFUNCTION("""COMPUTED_VALUE"""),"Courtney Schultz")</f>
        <v>Courtney Schultz</v>
      </c>
      <c r="C782" t="str">
        <f ca="1">IFERROR(__xludf.DUMMYFUNCTION("""COMPUTED_VALUE"""),"Courtney.L.Schultz@floridadep.gov")</f>
        <v>Courtney.L.Schultz@floridadep.gov</v>
      </c>
      <c r="D782" t="str">
        <f ca="1">IFERROR(__xludf.DUMMYFUNCTION("""COMPUTED_VALUE"""),"Candace Killian")</f>
        <v>Candace Killian</v>
      </c>
      <c r="E782" t="str">
        <f ca="1">IFERROR(__xludf.DUMMYFUNCTION("""COMPUTED_VALUE"""),"Whitney Lab")</f>
        <v>Whitney Lab</v>
      </c>
      <c r="F782" s="13">
        <f ca="1">IFERROR(__xludf.DUMMYFUNCTION("""COMPUTED_VALUE"""),0.625)</f>
        <v>0.625</v>
      </c>
      <c r="G782" s="14">
        <f ca="1">IFERROR(__xludf.DUMMYFUNCTION("""COMPUTED_VALUE"""),44580)</f>
        <v>44580</v>
      </c>
      <c r="H782" t="str">
        <f ca="1">IFERROR(__xludf.DUMMYFUNCTION("""COMPUTED_VALUE"""),"Nearby oyster reefs to collect crown conch.")</f>
        <v>Nearby oyster reefs to collect crown conch.</v>
      </c>
      <c r="I782" s="15">
        <f ca="1">IFERROR(__xludf.DUMMYFUNCTION("""COMPUTED_VALUE"""),0.75)</f>
        <v>0.75</v>
      </c>
      <c r="J782" s="16">
        <f ca="1">IFERROR(__xludf.DUMMYFUNCTION("""COMPUTED_VALUE"""),44580.7916666666)</f>
        <v>44580.791666666599</v>
      </c>
      <c r="K782" t="str">
        <f ca="1">IFERROR(__xludf.DUMMYFUNCTION("""COMPUTED_VALUE"""),"Kayak(s)")</f>
        <v>Kayak(s)</v>
      </c>
      <c r="L782">
        <f ca="1">IFERROR(__xludf.DUMMYFUNCTION("""COMPUTED_VALUE"""),2)</f>
        <v>2</v>
      </c>
      <c r="M782" t="str">
        <f ca="1">IFERROR(__xludf.DUMMYFUNCTION("""COMPUTED_VALUE"""),"N/A Ecotours loaning kayaks")</f>
        <v>N/A Ecotours loaning kayaks</v>
      </c>
      <c r="N782" t="str">
        <f ca="1">IFERROR(__xludf.DUMMYFUNCTION("""COMPUTED_VALUE"""),"Courtney Schultz")</f>
        <v>Courtney Schultz</v>
      </c>
      <c r="O782" t="str">
        <f ca="1">IFERROR(__xludf.DUMMYFUNCTION("""COMPUTED_VALUE"""),"Brad and Ester M")</f>
        <v>Brad and Ester M</v>
      </c>
      <c r="P782" t="str">
        <f ca="1">IFERROR(__xludf.DUMMYFUNCTION("""COMPUTED_VALUE"""),"Courtney Schultz ")</f>
        <v xml:space="preserve">Courtney Schultz </v>
      </c>
      <c r="Q782" t="str">
        <f ca="1">IFERROR(__xludf.DUMMYFUNCTION("""COMPUTED_VALUE"""),"All items in working order")</f>
        <v>All items in working order</v>
      </c>
      <c r="AD782" t="str">
        <f ca="1">IFERROR(__xludf.DUMMYFUNCTION("""COMPUTED_VALUE"""),"Sunny")</f>
        <v>Sunny</v>
      </c>
      <c r="AE782" s="11" t="str">
        <f ca="1">IFERROR(__xludf.DUMMYFUNCTION("""COMPUTED_VALUE"""),"Low tide ")</f>
        <v xml:space="preserve">Low tide </v>
      </c>
      <c r="AF782" t="str">
        <v>Candace.Killian@floridadep.gov</v>
      </c>
      <c r="AG782" s="17" t="s">
        <v>2294</v>
      </c>
      <c r="AH782" s="12">
        <v>1740</v>
      </c>
      <c r="AI782" s="12" t="s">
        <v>2298</v>
      </c>
      <c r="AJ782" s="19" t="s">
        <v>2299</v>
      </c>
      <c r="AK782" s="20" t="str">
        <f>HYPERLINK("https://docs.google.com/document/d/1YvirKsF0w8xDh8Z_oCLakF_rxy2JMsSyuStfyg67JzA/edit?usp=drivesdk","Courtney Schultz - 1/19/2022 3:00 PM")</f>
        <v>Courtney Schultz - 1/19/2022 3:00 PM</v>
      </c>
      <c r="AL782" s="12" t="s">
        <v>2300</v>
      </c>
    </row>
    <row r="783" spans="1:38" ht="12.75">
      <c r="A783" s="10">
        <f ca="1">IFERROR(__xludf.DUMMYFUNCTION("""COMPUTED_VALUE"""),44579.4866032523)</f>
        <v>44579.486603252299</v>
      </c>
      <c r="B783" s="11" t="str">
        <f ca="1">IFERROR(__xludf.DUMMYFUNCTION("""COMPUTED_VALUE"""),"Alee Knoell")</f>
        <v>Alee Knoell</v>
      </c>
      <c r="C783" t="str">
        <f ca="1">IFERROR(__xludf.DUMMYFUNCTION("""COMPUTED_VALUE"""),"alee.knoell@hotmail.com")</f>
        <v>alee.knoell@hotmail.com</v>
      </c>
      <c r="D783" t="str">
        <f ca="1">IFERROR(__xludf.DUMMYFUNCTION("""COMPUTED_VALUE"""),"Nikki Dix")</f>
        <v>Nikki Dix</v>
      </c>
      <c r="E783" t="str">
        <f ca="1">IFERROR(__xludf.DUMMYFUNCTION("""COMPUTED_VALUE"""),"Aunt Kate’s ")</f>
        <v xml:space="preserve">Aunt Kate’s </v>
      </c>
      <c r="F783" s="13">
        <f ca="1">IFERROR(__xludf.DUMMYFUNCTION("""COMPUTED_VALUE"""),0.479166666667879)</f>
        <v>0.47916666666787899</v>
      </c>
      <c r="G783" s="14">
        <f ca="1">IFERROR(__xludf.DUMMYFUNCTION("""COMPUTED_VALUE"""),44579)</f>
        <v>44579</v>
      </c>
      <c r="H783" t="str">
        <f ca="1">IFERROR(__xludf.DUMMYFUNCTION("""COMPUTED_VALUE"""),"TR Reefs")</f>
        <v>TR Reefs</v>
      </c>
      <c r="I783" s="15">
        <f ca="1">IFERROR(__xludf.DUMMYFUNCTION("""COMPUTED_VALUE"""),0.666666666667879)</f>
        <v>0.66666666666787899</v>
      </c>
      <c r="J783" s="16">
        <f ca="1">IFERROR(__xludf.DUMMYFUNCTION("""COMPUTED_VALUE"""),44579.6875)</f>
        <v>44579.6875</v>
      </c>
      <c r="K783" t="str">
        <f ca="1">IFERROR(__xludf.DUMMYFUNCTION("""COMPUTED_VALUE"""),"23ft Skiff (Bertha) FL7972LJ DEP07613")</f>
        <v>23ft Skiff (Bertha) FL7972LJ DEP07613</v>
      </c>
      <c r="M783" t="str">
        <f ca="1">IFERROR(__xludf.DUMMYFUNCTION("""COMPUTED_VALUE"""),"Ford F250 2017 (Moby Dix) - DEP0021578")</f>
        <v>Ford F250 2017 (Moby Dix) - DEP0021578</v>
      </c>
      <c r="N783" t="str">
        <f ca="1">IFERROR(__xludf.DUMMYFUNCTION("""COMPUTED_VALUE"""),"Pam Marcum, (480) 332-5414, Alee Knoell, (619) 750-4833")</f>
        <v>Pam Marcum, (480) 332-5414, Alee Knoell, (619) 750-4833</v>
      </c>
      <c r="O783" t="str">
        <f ca="1">IFERROR(__xludf.DUMMYFUNCTION("""COMPUTED_VALUE"""),"Walt, Russ, Randy")</f>
        <v>Walt, Russ, Randy</v>
      </c>
      <c r="P783" t="str">
        <f ca="1">IFERROR(__xludf.DUMMYFUNCTION("""COMPUTED_VALUE"""),"Alee Knoell")</f>
        <v>Alee Knoell</v>
      </c>
      <c r="Q783" t="str">
        <f ca="1">IFERROR(__xludf.DUMMYFUNCTION("""COMPUTED_VALUE"""),"All items in working order")</f>
        <v>All items in working order</v>
      </c>
      <c r="AE783" s="11"/>
      <c r="AF783" t="str">
        <v>Nikki.Dix@floridadep.gov</v>
      </c>
      <c r="AG783" s="17" t="s">
        <v>41</v>
      </c>
      <c r="AH783" s="12">
        <v>1626</v>
      </c>
      <c r="AI783" s="12" t="s">
        <v>2301</v>
      </c>
      <c r="AJ783" s="19" t="s">
        <v>2302</v>
      </c>
      <c r="AK783" s="20" t="str">
        <f>HYPERLINK("https://docs.google.com/document/d/1KEDpKM7jERTN6qm9zrltD1JjotcaIF7all5R8heaMDI/edit?usp=drivesdk","Alee Knoell - 1/18/2022 11:30 AM")</f>
        <v>Alee Knoell - 1/18/2022 11:30 AM</v>
      </c>
      <c r="AL783" s="12" t="s">
        <v>2303</v>
      </c>
    </row>
    <row r="784" spans="1:38" ht="12.75">
      <c r="A784" s="10">
        <f ca="1">IFERROR(__xludf.DUMMYFUNCTION("""COMPUTED_VALUE"""),44580.5452787615)</f>
        <v>44580.5452787615</v>
      </c>
      <c r="B784" s="11" t="str">
        <f ca="1">IFERROR(__xludf.DUMMYFUNCTION("""COMPUTED_VALUE"""),"Alexandria Knoell")</f>
        <v>Alexandria Knoell</v>
      </c>
      <c r="C784" t="str">
        <f ca="1">IFERROR(__xludf.DUMMYFUNCTION("""COMPUTED_VALUE"""),"alee.knoell@floridadep.gov")</f>
        <v>alee.knoell@floridadep.gov</v>
      </c>
      <c r="D784" t="str">
        <f ca="1">IFERROR(__xludf.DUMMYFUNCTION("""COMPUTED_VALUE"""),"Shannon Dunnigan")</f>
        <v>Shannon Dunnigan</v>
      </c>
      <c r="E784" t="str">
        <f ca="1">IFERROR(__xludf.DUMMYFUNCTION("""COMPUTED_VALUE"""),"Vilano")</f>
        <v>Vilano</v>
      </c>
      <c r="F784" s="13">
        <f ca="1">IFERROR(__xludf.DUMMYFUNCTION("""COMPUTED_VALUE"""),0.541666666667879)</f>
        <v>0.54166666666787899</v>
      </c>
      <c r="G784" s="14">
        <f ca="1">IFERROR(__xludf.DUMMYFUNCTION("""COMPUTED_VALUE"""),44580)</f>
        <v>44580</v>
      </c>
      <c r="H784" t="str">
        <f ca="1">IFERROR(__xludf.DUMMYFUNCTION("""COMPUTED_VALUE"""),"TR Reefs")</f>
        <v>TR Reefs</v>
      </c>
      <c r="I784" s="15">
        <f ca="1">IFERROR(__xludf.DUMMYFUNCTION("""COMPUTED_VALUE"""),0.625)</f>
        <v>0.625</v>
      </c>
      <c r="J784" s="16">
        <f ca="1">IFERROR(__xludf.DUMMYFUNCTION("""COMPUTED_VALUE"""),44580.6458333333)</f>
        <v>44580.645833333299</v>
      </c>
      <c r="K784" t="str">
        <f ca="1">IFERROR(__xludf.DUMMYFUNCTION("""COMPUTED_VALUE"""),"23ft Skiff (Bertha) FL7972LJ DEP07613")</f>
        <v>23ft Skiff (Bertha) FL7972LJ DEP07613</v>
      </c>
      <c r="M784" t="str">
        <f ca="1">IFERROR(__xludf.DUMMYFUNCTION("""COMPUTED_VALUE"""),"Ford F250 2017 (Moby Dix) - DEP0021578")</f>
        <v>Ford F250 2017 (Moby Dix) - DEP0021578</v>
      </c>
      <c r="N784" t="str">
        <f ca="1">IFERROR(__xludf.DUMMYFUNCTION("""COMPUTED_VALUE"""),"Nikki Dix, (352) 219-4079, Pam Marcum, (480) 332-5414, Alee Knoell, (619) 750-4833")</f>
        <v>Nikki Dix, (352) 219-4079, Pam Marcum, (480) 332-5414, Alee Knoell, (619) 750-4833</v>
      </c>
      <c r="O784" t="str">
        <f ca="1">IFERROR(__xludf.DUMMYFUNCTION("""COMPUTED_VALUE"""),"Jeff, vallery")</f>
        <v>Jeff, vallery</v>
      </c>
      <c r="P784" t="str">
        <f ca="1">IFERROR(__xludf.DUMMYFUNCTION("""COMPUTED_VALUE"""),"Alee knoell")</f>
        <v>Alee knoell</v>
      </c>
      <c r="Q784" t="str">
        <f ca="1">IFERROR(__xludf.DUMMYFUNCTION("""COMPUTED_VALUE"""),"All items in working order")</f>
        <v>All items in working order</v>
      </c>
      <c r="AE784" s="11"/>
      <c r="AF784" t="str">
        <v>Shannon.Dunnigan@floridadep.gov</v>
      </c>
      <c r="AG784" s="17" t="s">
        <v>639</v>
      </c>
      <c r="AH784" s="12">
        <v>1654</v>
      </c>
      <c r="AI784" s="12" t="s">
        <v>2304</v>
      </c>
      <c r="AJ784" s="19" t="s">
        <v>2305</v>
      </c>
      <c r="AK784" s="20" t="str">
        <f>HYPERLINK("https://docs.google.com/document/d/15YKxbYGnBEPyl2UiCAcC1iNtk1JxR9a8hAXPI2W4z-8/edit?usp=drivesdk","Alexandria Knoell - 1/19/2022 1:00 PM")</f>
        <v>Alexandria Knoell - 1/19/2022 1:00 PM</v>
      </c>
      <c r="AL784" s="12" t="s">
        <v>2306</v>
      </c>
    </row>
    <row r="785" spans="1:38" ht="12.75">
      <c r="A785" s="10">
        <f ca="1">IFERROR(__xludf.DUMMYFUNCTION("""COMPUTED_VALUE"""),44581.5649441666)</f>
        <v>44581.564944166603</v>
      </c>
      <c r="B785" s="11" t="str">
        <f ca="1">IFERROR(__xludf.DUMMYFUNCTION("""COMPUTED_VALUE"""),"Pam Marcum ")</f>
        <v xml:space="preserve">Pam Marcum </v>
      </c>
      <c r="C785" t="str">
        <f ca="1">IFERROR(__xludf.DUMMYFUNCTION("""COMPUTED_VALUE"""),"Pamela.Marcum@FloridaDEP.gov")</f>
        <v>Pamela.Marcum@FloridaDEP.gov</v>
      </c>
      <c r="D785" t="str">
        <f ca="1">IFERROR(__xludf.DUMMYFUNCTION("""COMPUTED_VALUE"""),"Nikki Dix")</f>
        <v>Nikki Dix</v>
      </c>
      <c r="E785" t="str">
        <f ca="1">IFERROR(__xludf.DUMMYFUNCTION("""COMPUTED_VALUE"""),"Aunt Kate's ")</f>
        <v xml:space="preserve">Aunt Kate's </v>
      </c>
      <c r="F785" s="13">
        <f ca="1">IFERROR(__xludf.DUMMYFUNCTION("""COMPUTED_VALUE"""),0.5625)</f>
        <v>0.5625</v>
      </c>
      <c r="G785" s="14">
        <f ca="1">IFERROR(__xludf.DUMMYFUNCTION("""COMPUTED_VALUE"""),44581)</f>
        <v>44581</v>
      </c>
      <c r="H785" t="str">
        <f ca="1">IFERROR(__xludf.DUMMYFUNCTION("""COMPUTED_VALUE"""),"Guana River")</f>
        <v>Guana River</v>
      </c>
      <c r="I785" s="15">
        <f ca="1">IFERROR(__xludf.DUMMYFUNCTION("""COMPUTED_VALUE"""),0.75)</f>
        <v>0.75</v>
      </c>
      <c r="J785" s="16">
        <f ca="1">IFERROR(__xludf.DUMMYFUNCTION("""COMPUTED_VALUE"""),44581.7708333333)</f>
        <v>44581.770833333299</v>
      </c>
      <c r="K785" t="str">
        <f ca="1">IFERROR(__xludf.DUMMYFUNCTION("""COMPUTED_VALUE"""),"23ft Skiff (Bertha) FL7972LJ DEP07613")</f>
        <v>23ft Skiff (Bertha) FL7972LJ DEP07613</v>
      </c>
      <c r="M785" t="str">
        <f ca="1">IFERROR(__xludf.DUMMYFUNCTION("""COMPUTED_VALUE"""),"Ford F150 2015 (White) - DEP21448")</f>
        <v>Ford F150 2015 (White) - DEP21448</v>
      </c>
      <c r="N785" t="str">
        <f ca="1">IFERROR(__xludf.DUMMYFUNCTION("""COMPUTED_VALUE"""),"Pam Marcum, (480) 332-5414")</f>
        <v>Pam Marcum, (480) 332-5414</v>
      </c>
      <c r="O785" t="str">
        <f ca="1">IFERROR(__xludf.DUMMYFUNCTION("""COMPUTED_VALUE"""),"Hallie Fischman, Kristie Perez")</f>
        <v>Hallie Fischman, Kristie Perez</v>
      </c>
      <c r="P785" t="str">
        <f ca="1">IFERROR(__xludf.DUMMYFUNCTION("""COMPUTED_VALUE"""),"Pam")</f>
        <v>Pam</v>
      </c>
      <c r="Q785" t="str">
        <f ca="1">IFERROR(__xludf.DUMMYFUNCTION("""COMPUTED_VALUE"""),"All items in working order")</f>
        <v>All items in working order</v>
      </c>
      <c r="AE785" s="11"/>
      <c r="AF785" t="str">
        <v>Nikki.Dix@floridadep.gov</v>
      </c>
      <c r="AG785" s="17" t="s">
        <v>41</v>
      </c>
      <c r="AH785" s="12">
        <v>1806</v>
      </c>
      <c r="AI785" s="12" t="s">
        <v>2307</v>
      </c>
      <c r="AJ785" s="19" t="s">
        <v>2308</v>
      </c>
      <c r="AK785" s="20" t="str">
        <f>HYPERLINK("https://docs.google.com/document/d/1cT7sXXif7nbYKbMyTmwrePioyrt_z8tU_PlxifProMg/edit?usp=drivesdk","Pam Marcum  - 1/20/2022 1:30 PM")</f>
        <v>Pam Marcum  - 1/20/2022 1:30 PM</v>
      </c>
      <c r="AL785" s="12" t="s">
        <v>2309</v>
      </c>
    </row>
    <row r="786" spans="1:38" ht="12.75">
      <c r="A786" s="10">
        <f ca="1">IFERROR(__xludf.DUMMYFUNCTION("""COMPUTED_VALUE"""),44586.372146331)</f>
        <v>44586.372146330999</v>
      </c>
      <c r="B786" s="11" t="str">
        <f ca="1">IFERROR(__xludf.DUMMYFUNCTION("""COMPUTED_VALUE"""),"Pamela Marcum ")</f>
        <v xml:space="preserve">Pamela Marcum </v>
      </c>
      <c r="C786" t="str">
        <f ca="1">IFERROR(__xludf.DUMMYFUNCTION("""COMPUTED_VALUE"""),"Pamela.Marcum@FloridaDEP.gov")</f>
        <v>Pamela.Marcum@FloridaDEP.gov</v>
      </c>
      <c r="D786" t="str">
        <f ca="1">IFERROR(__xludf.DUMMYFUNCTION("""COMPUTED_VALUE"""),"Nikki Dix")</f>
        <v>Nikki Dix</v>
      </c>
      <c r="E786" t="str">
        <f ca="1">IFERROR(__xludf.DUMMYFUNCTION("""COMPUTED_VALUE"""),"Palm Valley")</f>
        <v>Palm Valley</v>
      </c>
      <c r="F786" s="13">
        <f ca="1">IFERROR(__xludf.DUMMYFUNCTION("""COMPUTED_VALUE"""),0.375)</f>
        <v>0.375</v>
      </c>
      <c r="G786" s="14">
        <f ca="1">IFERROR(__xludf.DUMMYFUNCTION("""COMPUTED_VALUE"""),44586)</f>
        <v>44586</v>
      </c>
      <c r="H786" t="str">
        <f ca="1">IFERROR(__xludf.DUMMYFUNCTION("""COMPUTED_VALUE"""),"North Tolomator River")</f>
        <v>North Tolomator River</v>
      </c>
      <c r="I786" s="15">
        <f ca="1">IFERROR(__xludf.DUMMYFUNCTION("""COMPUTED_VALUE"""),0.5)</f>
        <v>0.5</v>
      </c>
      <c r="J786" s="16">
        <f ca="1">IFERROR(__xludf.DUMMYFUNCTION("""COMPUTED_VALUE"""),44586.5208333333)</f>
        <v>44586.520833333299</v>
      </c>
      <c r="K786" t="str">
        <f ca="1">IFERROR(__xludf.DUMMYFUNCTION("""COMPUTED_VALUE"""),"23ft Skiff (Bertha) FL7972LJ DEP07613")</f>
        <v>23ft Skiff (Bertha) FL7972LJ DEP07613</v>
      </c>
      <c r="M786" t="str">
        <f ca="1">IFERROR(__xludf.DUMMYFUNCTION("""COMPUTED_VALUE"""),"Ford F150 2015 (White) - DEP21448")</f>
        <v>Ford F150 2015 (White) - DEP21448</v>
      </c>
      <c r="N786" t="str">
        <f ca="1">IFERROR(__xludf.DUMMYFUNCTION("""COMPUTED_VALUE"""),"Pam Marcum, (480) 332-5414, Alee Knoell, (619) 750-4833")</f>
        <v>Pam Marcum, (480) 332-5414, Alee Knoell, (619) 750-4833</v>
      </c>
      <c r="O786" t="str">
        <f ca="1">IFERROR(__xludf.DUMMYFUNCTION("""COMPUTED_VALUE"""),"Debbie Dix, Russ Sumter, Walt Newsom")</f>
        <v>Debbie Dix, Russ Sumter, Walt Newsom</v>
      </c>
      <c r="P786" t="str">
        <f ca="1">IFERROR(__xludf.DUMMYFUNCTION("""COMPUTED_VALUE"""),"Pam")</f>
        <v>Pam</v>
      </c>
      <c r="Q786" t="str">
        <f ca="1">IFERROR(__xludf.DUMMYFUNCTION("""COMPUTED_VALUE"""),"All items in working order")</f>
        <v>All items in working order</v>
      </c>
      <c r="AE786" s="11"/>
      <c r="AF786" t="str">
        <v>Nikki.Dix@floridadep.gov</v>
      </c>
      <c r="AG786" s="17" t="s">
        <v>41</v>
      </c>
      <c r="AH786" s="12">
        <v>1140</v>
      </c>
      <c r="AI786" s="12" t="s">
        <v>2310</v>
      </c>
      <c r="AJ786" s="19" t="s">
        <v>2311</v>
      </c>
      <c r="AK786" s="20" t="str">
        <f>HYPERLINK("https://docs.google.com/document/d/1_z1RZARPY2T5IV1zEqBsB9nnqR7NrKe_jDGVjqA-Evg/edit?usp=drivesdk","Pamela Marcum  - 1/25/2022 9:00 AM")</f>
        <v>Pamela Marcum  - 1/25/2022 9:00 AM</v>
      </c>
      <c r="AL786" s="12" t="s">
        <v>2312</v>
      </c>
    </row>
    <row r="787" spans="1:38" ht="12.75">
      <c r="A787" s="10">
        <f ca="1">IFERROR(__xludf.DUMMYFUNCTION("""COMPUTED_VALUE"""),44587.3831817013)</f>
        <v>44587.383181701298</v>
      </c>
      <c r="B787" s="11" t="str">
        <f ca="1">IFERROR(__xludf.DUMMYFUNCTION("""COMPUTED_VALUE"""),"Pamela Marcum ")</f>
        <v xml:space="preserve">Pamela Marcum </v>
      </c>
      <c r="C787" t="str">
        <f ca="1">IFERROR(__xludf.DUMMYFUNCTION("""COMPUTED_VALUE"""),"Pamela.Marcum@FloridaDEP.gov")</f>
        <v>Pamela.Marcum@FloridaDEP.gov</v>
      </c>
      <c r="D787" t="str">
        <f ca="1">IFERROR(__xludf.DUMMYFUNCTION("""COMPUTED_VALUE"""),"Nikki Dix")</f>
        <v>Nikki Dix</v>
      </c>
      <c r="E787" t="str">
        <f ca="1">IFERROR(__xludf.DUMMYFUNCTION("""COMPUTED_VALUE"""),"Palm Valley")</f>
        <v>Palm Valley</v>
      </c>
      <c r="F787" s="13">
        <f ca="1">IFERROR(__xludf.DUMMYFUNCTION("""COMPUTED_VALUE"""),0.381944444445252)</f>
        <v>0.381944444445252</v>
      </c>
      <c r="G787" s="14">
        <f ca="1">IFERROR(__xludf.DUMMYFUNCTION("""COMPUTED_VALUE"""),44587)</f>
        <v>44587</v>
      </c>
      <c r="H787" t="str">
        <f ca="1">IFERROR(__xludf.DUMMYFUNCTION("""COMPUTED_VALUE"""),"Tolomato  river")</f>
        <v>Tolomato  river</v>
      </c>
      <c r="I787" s="15">
        <f ca="1">IFERROR(__xludf.DUMMYFUNCTION("""COMPUTED_VALUE"""),0.5)</f>
        <v>0.5</v>
      </c>
      <c r="J787" s="16">
        <f ca="1">IFERROR(__xludf.DUMMYFUNCTION("""COMPUTED_VALUE"""),44587.5208333333)</f>
        <v>44587.520833333299</v>
      </c>
      <c r="K787" t="str">
        <f ca="1">IFERROR(__xludf.DUMMYFUNCTION("""COMPUTED_VALUE"""),"23ft Skiff (Bertha) FL7972LJ DEP07613")</f>
        <v>23ft Skiff (Bertha) FL7972LJ DEP07613</v>
      </c>
      <c r="M787" t="str">
        <f ca="1">IFERROR(__xludf.DUMMYFUNCTION("""COMPUTED_VALUE"""),"Ford F150 2015 (White) - DEP21448")</f>
        <v>Ford F150 2015 (White) - DEP21448</v>
      </c>
      <c r="N787" t="str">
        <f ca="1">IFERROR(__xludf.DUMMYFUNCTION("""COMPUTED_VALUE"""),"Pam Marcum, (480) 332-5414, Alee Knoell, (619) 750-4833")</f>
        <v>Pam Marcum, (480) 332-5414, Alee Knoell, (619) 750-4833</v>
      </c>
      <c r="O787" t="str">
        <f ca="1">IFERROR(__xludf.DUMMYFUNCTION("""COMPUTED_VALUE"""),"Spencer Baba, Paul Yonally, Mike Darragh")</f>
        <v>Spencer Baba, Paul Yonally, Mike Darragh</v>
      </c>
      <c r="P787" t="str">
        <f ca="1">IFERROR(__xludf.DUMMYFUNCTION("""COMPUTED_VALUE"""),"Pam")</f>
        <v>Pam</v>
      </c>
      <c r="Q787" t="str">
        <f ca="1">IFERROR(__xludf.DUMMYFUNCTION("""COMPUTED_VALUE"""),"All items in working order")</f>
        <v>All items in working order</v>
      </c>
      <c r="AE787" s="11"/>
      <c r="AF787" t="str">
        <v>Nikki.Dix@floridadep.gov</v>
      </c>
      <c r="AG787" s="17" t="s">
        <v>41</v>
      </c>
      <c r="AH787" s="12">
        <v>1240</v>
      </c>
      <c r="AI787" s="12" t="s">
        <v>2313</v>
      </c>
      <c r="AJ787" s="19" t="s">
        <v>2314</v>
      </c>
      <c r="AK787" s="20" t="str">
        <f>HYPERLINK("https://docs.google.com/document/d/1swpA_g5eOH4rqszjoewhdlq9V0if_IhswqfOR0lV3L0/edit?usp=drivesdk","Pamela Marcum  - 1/26/2022 9:10 AM")</f>
        <v>Pamela Marcum  - 1/26/2022 9:10 AM</v>
      </c>
      <c r="AL787" s="12" t="s">
        <v>2315</v>
      </c>
    </row>
    <row r="788" spans="1:38" ht="12.75">
      <c r="A788" s="10">
        <f ca="1">IFERROR(__xludf.DUMMYFUNCTION("""COMPUTED_VALUE"""),44588.4154305092)</f>
        <v>44588.415430509202</v>
      </c>
      <c r="B788" s="11" t="str">
        <f ca="1">IFERROR(__xludf.DUMMYFUNCTION("""COMPUTED_VALUE"""),"Pamela Marcum ")</f>
        <v xml:space="preserve">Pamela Marcum </v>
      </c>
      <c r="C788" t="str">
        <f ca="1">IFERROR(__xludf.DUMMYFUNCTION("""COMPUTED_VALUE"""),"Pamela.Marcum@FloridaDEP.gov")</f>
        <v>Pamela.Marcum@FloridaDEP.gov</v>
      </c>
      <c r="D788" t="str">
        <f ca="1">IFERROR(__xludf.DUMMYFUNCTION("""COMPUTED_VALUE"""),"Nikki Dix")</f>
        <v>Nikki Dix</v>
      </c>
      <c r="E788" t="str">
        <f ca="1">IFERROR(__xludf.DUMMYFUNCTION("""COMPUTED_VALUE"""),"Aunt Kates")</f>
        <v>Aunt Kates</v>
      </c>
      <c r="F788" s="13">
        <f ca="1">IFERROR(__xludf.DUMMYFUNCTION("""COMPUTED_VALUE"""),0.416666666667879)</f>
        <v>0.41666666666787899</v>
      </c>
      <c r="G788" s="14">
        <f ca="1">IFERROR(__xludf.DUMMYFUNCTION("""COMPUTED_VALUE"""),44588)</f>
        <v>44588</v>
      </c>
      <c r="H788" t="str">
        <f ca="1">IFERROR(__xludf.DUMMYFUNCTION("""COMPUTED_VALUE"""),"Guana River ")</f>
        <v xml:space="preserve">Guana River </v>
      </c>
      <c r="I788" s="15">
        <f ca="1">IFERROR(__xludf.DUMMYFUNCTION("""COMPUTED_VALUE"""),0.52083333333212)</f>
        <v>0.52083333333212001</v>
      </c>
      <c r="J788" s="16">
        <f ca="1">IFERROR(__xludf.DUMMYFUNCTION("""COMPUTED_VALUE"""),44588.5416666666)</f>
        <v>44588.541666666599</v>
      </c>
      <c r="K788" t="str">
        <f ca="1">IFERROR(__xludf.DUMMYFUNCTION("""COMPUTED_VALUE"""),"23ft Skiff (Bertha) FL7972LJ DEP07613")</f>
        <v>23ft Skiff (Bertha) FL7972LJ DEP07613</v>
      </c>
      <c r="M788" t="str">
        <f ca="1">IFERROR(__xludf.DUMMYFUNCTION("""COMPUTED_VALUE"""),"Ford F150 2015 (White) - DEP21448")</f>
        <v>Ford F150 2015 (White) - DEP21448</v>
      </c>
      <c r="N788" t="str">
        <f ca="1">IFERROR(__xludf.DUMMYFUNCTION("""COMPUTED_VALUE"""),"Pam Marcum, (480) 332-5414, Alee Knoell, (619) 750-4833")</f>
        <v>Pam Marcum, (480) 332-5414, Alee Knoell, (619) 750-4833</v>
      </c>
      <c r="O788" t="str">
        <f ca="1">IFERROR(__xludf.DUMMYFUNCTION("""COMPUTED_VALUE"""),"Jeff Finnan, Mike Darragh, Steve Davies")</f>
        <v>Jeff Finnan, Mike Darragh, Steve Davies</v>
      </c>
      <c r="P788" t="str">
        <f ca="1">IFERROR(__xludf.DUMMYFUNCTION("""COMPUTED_VALUE"""),"Pam")</f>
        <v>Pam</v>
      </c>
      <c r="Q788" t="str">
        <f ca="1">IFERROR(__xludf.DUMMYFUNCTION("""COMPUTED_VALUE"""),"All items in working order")</f>
        <v>All items in working order</v>
      </c>
      <c r="AE788" s="11"/>
      <c r="AF788" t="str">
        <v>Nikki.Dix@floridadep.gov</v>
      </c>
      <c r="AG788" s="17" t="s">
        <v>41</v>
      </c>
      <c r="AH788" s="12">
        <v>1220</v>
      </c>
      <c r="AI788" s="12" t="s">
        <v>2316</v>
      </c>
      <c r="AJ788" s="19" t="s">
        <v>2317</v>
      </c>
      <c r="AK788" s="20" t="str">
        <f>HYPERLINK("https://docs.google.com/document/d/1K0Z_RD4f4e39o03KC0ogKRZ33KkiYO_D7PE8uplW3rk/edit?usp=drivesdk","Pamela Marcum  - 1/27/2022 10:00 AM")</f>
        <v>Pamela Marcum  - 1/27/2022 10:00 AM</v>
      </c>
      <c r="AL788" s="12" t="s">
        <v>2318</v>
      </c>
    </row>
    <row r="789" spans="1:38" ht="12.75">
      <c r="A789" s="10">
        <f ca="1">IFERROR(__xludf.DUMMYFUNCTION("""COMPUTED_VALUE"""),44589.3782150115)</f>
        <v>44589.3782150115</v>
      </c>
      <c r="B789" s="11" t="str">
        <f ca="1">IFERROR(__xludf.DUMMYFUNCTION("""COMPUTED_VALUE"""),"Jimmy Tomazinis")</f>
        <v>Jimmy Tomazinis</v>
      </c>
      <c r="C789" t="str">
        <f ca="1">IFERROR(__xludf.DUMMYFUNCTION("""COMPUTED_VALUE"""),"james.tomazinis@floridadep.gov")</f>
        <v>james.tomazinis@floridadep.gov</v>
      </c>
      <c r="D789" t="str">
        <f ca="1">IFERROR(__xludf.DUMMYFUNCTION("""COMPUTED_VALUE"""),"Jimmy Tomazinis")</f>
        <v>Jimmy Tomazinis</v>
      </c>
      <c r="E789" t="str">
        <f ca="1">IFERROR(__xludf.DUMMYFUNCTION("""COMPUTED_VALUE"""),"Mayport")</f>
        <v>Mayport</v>
      </c>
      <c r="F789" s="13">
        <f ca="1">IFERROR(__xludf.DUMMYFUNCTION("""COMPUTED_VALUE"""),0.447916666667879)</f>
        <v>0.44791666666787899</v>
      </c>
      <c r="G789" s="14">
        <f ca="1">IFERROR(__xludf.DUMMYFUNCTION("""COMPUTED_VALUE"""),44589)</f>
        <v>44589</v>
      </c>
      <c r="H789" t="str">
        <f ca="1">IFERROR(__xludf.DUMMYFUNCTION("""COMPUTED_VALUE"""),"Shad Creek system")</f>
        <v>Shad Creek system</v>
      </c>
      <c r="I789" s="15">
        <f ca="1">IFERROR(__xludf.DUMMYFUNCTION("""COMPUTED_VALUE"""),0.625)</f>
        <v>0.625</v>
      </c>
      <c r="J789" s="16"/>
      <c r="K789" t="str">
        <f ca="1">IFERROR(__xludf.DUMMYFUNCTION("""COMPUTED_VALUE"""),"Jon Boat 1 FL5992RR DEP154045")</f>
        <v>Jon Boat 1 FL5992RR DEP154045</v>
      </c>
      <c r="M789" t="str">
        <f ca="1">IFERROR(__xludf.DUMMYFUNCTION("""COMPUTED_VALUE"""),"Ford F150 2007 (F-Bomb) - DEP07055")</f>
        <v>Ford F150 2007 (F-Bomb) - DEP07055</v>
      </c>
      <c r="N789" t="str">
        <f ca="1">IFERROR(__xludf.DUMMYFUNCTION("""COMPUTED_VALUE"""),"Jimmy Tomazinis, (904) 547-0094")</f>
        <v>Jimmy Tomazinis, (904) 547-0094</v>
      </c>
      <c r="O789" t="str">
        <f ca="1">IFERROR(__xludf.DUMMYFUNCTION("""COMPUTED_VALUE"""),"Chris Kurtz")</f>
        <v>Chris Kurtz</v>
      </c>
      <c r="P789" t="str">
        <f ca="1">IFERROR(__xludf.DUMMYFUNCTION("""COMPUTED_VALUE"""),"Jimmy")</f>
        <v>Jimmy</v>
      </c>
      <c r="Q789" t="str">
        <f ca="1">IFERROR(__xludf.DUMMYFUNCTION("""COMPUTED_VALUE"""),"All items in working order")</f>
        <v>All items in working order</v>
      </c>
      <c r="AE789" s="11"/>
      <c r="AF789" t="str">
        <v>James.Tomazinis@floridadep.gov</v>
      </c>
      <c r="AG789" s="17" t="s">
        <v>17</v>
      </c>
      <c r="AH789" s="12">
        <v>1230</v>
      </c>
      <c r="AI789" s="12" t="s">
        <v>2319</v>
      </c>
      <c r="AJ789" s="19" t="s">
        <v>2320</v>
      </c>
      <c r="AK789" s="20" t="str">
        <f>HYPERLINK("https://docs.google.com/document/d/1Qvtn9pd5CXfPdf3pcggK-vlaSik0jyCaNEPJV7jaEdM/edit?usp=drivesdk","Jimmy Tomazinis - 1/28/2022 10:45 AM")</f>
        <v>Jimmy Tomazinis - 1/28/2022 10:45 AM</v>
      </c>
      <c r="AL789" s="12" t="s">
        <v>2321</v>
      </c>
    </row>
    <row r="790" spans="1:38" ht="12.75">
      <c r="A790" s="10">
        <f ca="1">IFERROR(__xludf.DUMMYFUNCTION("""COMPUTED_VALUE"""),44593.3429666088)</f>
        <v>44593.342966608798</v>
      </c>
      <c r="B790" s="11" t="str">
        <f ca="1">IFERROR(__xludf.DUMMYFUNCTION("""COMPUTED_VALUE"""),"Alee")</f>
        <v>Alee</v>
      </c>
      <c r="C790" t="str">
        <f ca="1">IFERROR(__xludf.DUMMYFUNCTION("""COMPUTED_VALUE"""),"alee.knoell@floridadep.gov")</f>
        <v>alee.knoell@floridadep.gov</v>
      </c>
      <c r="D790" t="str">
        <f ca="1">IFERROR(__xludf.DUMMYFUNCTION("""COMPUTED_VALUE"""),"Pam Marcum")</f>
        <v>Pam Marcum</v>
      </c>
      <c r="E790" t="str">
        <f ca="1">IFERROR(__xludf.DUMMYFUNCTION("""COMPUTED_VALUE"""),"Vilano")</f>
        <v>Vilano</v>
      </c>
      <c r="F790" s="13">
        <f ca="1">IFERROR(__xludf.DUMMYFUNCTION("""COMPUTED_VALUE"""),0.34375)</f>
        <v>0.34375</v>
      </c>
      <c r="G790" s="14">
        <f ca="1">IFERROR(__xludf.DUMMYFUNCTION("""COMPUTED_VALUE"""),44593)</f>
        <v>44593</v>
      </c>
      <c r="H790" t="str">
        <f ca="1">IFERROR(__xludf.DUMMYFUNCTION("""COMPUTED_VALUE"""),"SWMP sites")</f>
        <v>SWMP sites</v>
      </c>
      <c r="I790" s="15">
        <f ca="1">IFERROR(__xludf.DUMMYFUNCTION("""COMPUTED_VALUE"""),0.58333333333212)</f>
        <v>0.58333333333212001</v>
      </c>
      <c r="J790" s="16">
        <f ca="1">IFERROR(__xludf.DUMMYFUNCTION("""COMPUTED_VALUE"""),44593.6145833333)</f>
        <v>44593.614583333299</v>
      </c>
      <c r="K790" t="str">
        <f ca="1">IFERROR(__xludf.DUMMYFUNCTION("""COMPUTED_VALUE"""),"20ft Sea Ark FL5351SJ UNF 2015")</f>
        <v>20ft Sea Ark FL5351SJ UNF 2015</v>
      </c>
      <c r="M790" t="str">
        <f ca="1">IFERROR(__xludf.DUMMYFUNCTION("""COMPUTED_VALUE"""),"Ford F250 2017 (Moby Dix) - DEP0021578")</f>
        <v>Ford F250 2017 (Moby Dix) - DEP0021578</v>
      </c>
      <c r="N790" t="str">
        <f ca="1">IFERROR(__xludf.DUMMYFUNCTION("""COMPUTED_VALUE"""),"Shannon Dunnigan, (803) 727-5734, Silas Tanner, (904) 483-8423, Alee Knoell, (619) 750-4833")</f>
        <v>Shannon Dunnigan, (803) 727-5734, Silas Tanner, (904) 483-8423, Alee Knoell, (619) 750-4833</v>
      </c>
      <c r="P790" t="str">
        <f ca="1">IFERROR(__xludf.DUMMYFUNCTION("""COMPUTED_VALUE"""),"Silas ")</f>
        <v xml:space="preserve">Silas </v>
      </c>
      <c r="Q790" t="str">
        <f ca="1">IFERROR(__xludf.DUMMYFUNCTION("""COMPUTED_VALUE"""),"All items in working order")</f>
        <v>All items in working order</v>
      </c>
      <c r="AE790" s="11"/>
      <c r="AF790" t="str">
        <v>Pamela.Marcum@floridadep.gov</v>
      </c>
      <c r="AG790" s="17" t="s">
        <v>139</v>
      </c>
      <c r="AH790" s="12">
        <v>1239</v>
      </c>
      <c r="AI790" s="12" t="s">
        <v>2322</v>
      </c>
      <c r="AJ790" s="19" t="s">
        <v>2323</v>
      </c>
      <c r="AK790" s="20" t="str">
        <f>HYPERLINK("https://docs.google.com/document/d/1LvOKNXO9L3Lr5KFKS6NfGc4tQFBCc1BR1KxkxOXPLjk/edit?usp=drivesdk","Alee - 2/1/2022 8:15 AM")</f>
        <v>Alee - 2/1/2022 8:15 AM</v>
      </c>
      <c r="AL790" s="12" t="s">
        <v>2324</v>
      </c>
    </row>
    <row r="791" spans="1:38" ht="12.75">
      <c r="A791" s="10">
        <f ca="1">IFERROR(__xludf.DUMMYFUNCTION("""COMPUTED_VALUE"""),44593.4963314004)</f>
        <v>44593.496331400398</v>
      </c>
      <c r="B791" s="11" t="str">
        <f ca="1">IFERROR(__xludf.DUMMYFUNCTION("""COMPUTED_VALUE"""),"Jimmy Tomazinis")</f>
        <v>Jimmy Tomazinis</v>
      </c>
      <c r="C791" t="str">
        <f ca="1">IFERROR(__xludf.DUMMYFUNCTION("""COMPUTED_VALUE"""),"james.tomazinis@floridadep.gov")</f>
        <v>james.tomazinis@floridadep.gov</v>
      </c>
      <c r="D791" t="str">
        <f ca="1">IFERROR(__xludf.DUMMYFUNCTION("""COMPUTED_VALUE"""),"Jimmy Tomazinis")</f>
        <v>Jimmy Tomazinis</v>
      </c>
      <c r="E791" t="str">
        <f ca="1">IFERROR(__xludf.DUMMYFUNCTION("""COMPUTED_VALUE"""),"sawpit")</f>
        <v>sawpit</v>
      </c>
      <c r="F791" s="13">
        <f ca="1">IFERROR(__xludf.DUMMYFUNCTION("""COMPUTED_VALUE"""),0.0520833333321206)</f>
        <v>5.2083333332120597E-2</v>
      </c>
      <c r="G791" s="14">
        <f ca="1">IFERROR(__xludf.DUMMYFUNCTION("""COMPUTED_VALUE"""),44593)</f>
        <v>44593</v>
      </c>
      <c r="H791" t="str">
        <f ca="1">IFERROR(__xludf.DUMMYFUNCTION("""COMPUTED_VALUE"""),"Nassau River")</f>
        <v>Nassau River</v>
      </c>
      <c r="I791" s="15">
        <f ca="1">IFERROR(__xludf.DUMMYFUNCTION("""COMPUTED_VALUE"""),0.6875)</f>
        <v>0.6875</v>
      </c>
      <c r="J791" s="16"/>
      <c r="K791" t="str">
        <f ca="1">IFERROR(__xludf.DUMMYFUNCTION("""COMPUTED_VALUE"""),"Jon Boat 1 FL5992RR DEP154045")</f>
        <v>Jon Boat 1 FL5992RR DEP154045</v>
      </c>
      <c r="M791" t="str">
        <f ca="1">IFERROR(__xludf.DUMMYFUNCTION("""COMPUTED_VALUE"""),"Ford F150 2007 (F-Bomb) - DEP07055")</f>
        <v>Ford F150 2007 (F-Bomb) - DEP07055</v>
      </c>
      <c r="N791" t="str">
        <f ca="1">IFERROR(__xludf.DUMMYFUNCTION("""COMPUTED_VALUE"""),"Jimmy Tomazinis, (904) 547-0094")</f>
        <v>Jimmy Tomazinis, (904) 547-0094</v>
      </c>
      <c r="O791" t="str">
        <f ca="1">IFERROR(__xludf.DUMMYFUNCTION("""COMPUTED_VALUE"""),"Chris Kurtz")</f>
        <v>Chris Kurtz</v>
      </c>
      <c r="P791" t="str">
        <f ca="1">IFERROR(__xludf.DUMMYFUNCTION("""COMPUTED_VALUE"""),"Jimmy")</f>
        <v>Jimmy</v>
      </c>
      <c r="Q791" t="str">
        <f ca="1">IFERROR(__xludf.DUMMYFUNCTION("""COMPUTED_VALUE"""),"All items in working order")</f>
        <v>All items in working order</v>
      </c>
      <c r="AE791" s="11"/>
      <c r="AF791" t="str">
        <v>James.Tomazinis@floridadep.gov</v>
      </c>
      <c r="AG791" s="17" t="s">
        <v>17</v>
      </c>
      <c r="AH791" s="12">
        <v>1630</v>
      </c>
      <c r="AI791" s="12" t="s">
        <v>2325</v>
      </c>
      <c r="AJ791" s="19" t="s">
        <v>2326</v>
      </c>
      <c r="AK791" s="20" t="str">
        <f>HYPERLINK("https://docs.google.com/document/d/1tDCt5DNiRtV4oJZ7GR1-mrLyLkZ0bQGPfkQpvm6DyVI/edit?usp=drivesdk","Jimmy Tomazinis - 2/1/2022 1:15 AM")</f>
        <v>Jimmy Tomazinis - 2/1/2022 1:15 AM</v>
      </c>
      <c r="AL791" s="12" t="s">
        <v>2327</v>
      </c>
    </row>
    <row r="792" spans="1:38" ht="12.75">
      <c r="A792" s="10">
        <f ca="1">IFERROR(__xludf.DUMMYFUNCTION("""COMPUTED_VALUE"""),44599.3104258449)</f>
        <v>44599.310425844902</v>
      </c>
      <c r="B792" s="11" t="str">
        <f ca="1">IFERROR(__xludf.DUMMYFUNCTION("""COMPUTED_VALUE"""),"Pamela Marcum ")</f>
        <v xml:space="preserve">Pamela Marcum </v>
      </c>
      <c r="C792" t="str">
        <f ca="1">IFERROR(__xludf.DUMMYFUNCTION("""COMPUTED_VALUE"""),"Pamela.Marcum@FloridaDEP.gov")</f>
        <v>Pamela.Marcum@FloridaDEP.gov</v>
      </c>
      <c r="D792" t="str">
        <f ca="1">IFERROR(__xludf.DUMMYFUNCTION("""COMPUTED_VALUE"""),"Nikki Dix")</f>
        <v>Nikki Dix</v>
      </c>
      <c r="E792" t="str">
        <f ca="1">IFERROR(__xludf.DUMMYFUNCTION("""COMPUTED_VALUE"""),"Usina/Aunt Kates ")</f>
        <v xml:space="preserve">Usina/Aunt Kates </v>
      </c>
      <c r="F792" s="13">
        <f ca="1">IFERROR(__xludf.DUMMYFUNCTION("""COMPUTED_VALUE"""),0.3125)</f>
        <v>0.3125</v>
      </c>
      <c r="G792" s="14">
        <f ca="1">IFERROR(__xludf.DUMMYFUNCTION("""COMPUTED_VALUE"""),44599)</f>
        <v>44599</v>
      </c>
      <c r="H792" t="str">
        <f ca="1">IFERROR(__xludf.DUMMYFUNCTION("""COMPUTED_VALUE"""),"Tolomato river")</f>
        <v>Tolomato river</v>
      </c>
      <c r="I792" s="15">
        <f ca="1">IFERROR(__xludf.DUMMYFUNCTION("""COMPUTED_VALUE"""),0.447916666667879)</f>
        <v>0.44791666666787899</v>
      </c>
      <c r="J792" s="16">
        <f ca="1">IFERROR(__xludf.DUMMYFUNCTION("""COMPUTED_VALUE"""),44599.4583333333)</f>
        <v>44599.458333333299</v>
      </c>
      <c r="K792" t="str">
        <f ca="1">IFERROR(__xludf.DUMMYFUNCTION("""COMPUTED_VALUE"""),"20ft Sea Ark FL5351SJ UNF 2015")</f>
        <v>20ft Sea Ark FL5351SJ UNF 2015</v>
      </c>
      <c r="M792" t="str">
        <f ca="1">IFERROR(__xludf.DUMMYFUNCTION("""COMPUTED_VALUE"""),"Ford F150 2015 (White) - DEP21448")</f>
        <v>Ford F150 2015 (White) - DEP21448</v>
      </c>
      <c r="N792" t="str">
        <f ca="1">IFERROR(__xludf.DUMMYFUNCTION("""COMPUTED_VALUE"""),"Pam Marcum, (480) 332-5414, Alee Knoell, (619) 750-4833")</f>
        <v>Pam Marcum, (480) 332-5414, Alee Knoell, (619) 750-4833</v>
      </c>
      <c r="O792" t="str">
        <f ca="1">IFERROR(__xludf.DUMMYFUNCTION("""COMPUTED_VALUE"""),"Savanna Matthis, Paul Yonally, Spencer Baba, Walt Newsom")</f>
        <v>Savanna Matthis, Paul Yonally, Spencer Baba, Walt Newsom</v>
      </c>
      <c r="P792" t="str">
        <f ca="1">IFERROR(__xludf.DUMMYFUNCTION("""COMPUTED_VALUE"""),"Pam")</f>
        <v>Pam</v>
      </c>
      <c r="Q792" t="str">
        <f ca="1">IFERROR(__xludf.DUMMYFUNCTION("""COMPUTED_VALUE"""),"All items in working order")</f>
        <v>All items in working order</v>
      </c>
      <c r="AE792" s="11"/>
      <c r="AF792" t="str">
        <v>Nikki.Dix@floridadep.gov</v>
      </c>
      <c r="AG792" s="17" t="s">
        <v>17</v>
      </c>
      <c r="AH792" s="12">
        <v>1025</v>
      </c>
      <c r="AI792" s="12" t="s">
        <v>2328</v>
      </c>
      <c r="AJ792" s="19" t="s">
        <v>2329</v>
      </c>
      <c r="AK792" s="20" t="str">
        <f>HYPERLINK("https://docs.google.com/document/d/1jYuJiYZDtMKls_1ezoZ-2NPClv2PjHEk_cQfcmWHavg/edit?usp=drivesdk","Pamela Marcum  - 2/7/2022 7:30 AM")</f>
        <v>Pamela Marcum  - 2/7/2022 7:30 AM</v>
      </c>
      <c r="AL792" s="12" t="s">
        <v>2330</v>
      </c>
    </row>
    <row r="793" spans="1:38" ht="12.75">
      <c r="A793" s="10">
        <f ca="1">IFERROR(__xludf.DUMMYFUNCTION("""COMPUTED_VALUE"""),44600.346236875)</f>
        <v>44600.346236874997</v>
      </c>
      <c r="B793" s="11" t="str">
        <f ca="1">IFERROR(__xludf.DUMMYFUNCTION("""COMPUTED_VALUE"""),"Pamela Marcum ")</f>
        <v xml:space="preserve">Pamela Marcum </v>
      </c>
      <c r="C793" t="str">
        <f ca="1">IFERROR(__xludf.DUMMYFUNCTION("""COMPUTED_VALUE"""),"Pamela.Marcum@FloridaDEP.gov")</f>
        <v>Pamela.Marcum@FloridaDEP.gov</v>
      </c>
      <c r="D793" t="str">
        <f ca="1">IFERROR(__xludf.DUMMYFUNCTION("""COMPUTED_VALUE"""),"Nikki Dix")</f>
        <v>Nikki Dix</v>
      </c>
      <c r="E793" t="str">
        <f ca="1">IFERROR(__xludf.DUMMYFUNCTION("""COMPUTED_VALUE"""),"Aunt Kates ")</f>
        <v xml:space="preserve">Aunt Kates </v>
      </c>
      <c r="F793" s="13">
        <f ca="1">IFERROR(__xludf.DUMMYFUNCTION("""COMPUTED_VALUE"""),0.34375)</f>
        <v>0.34375</v>
      </c>
      <c r="G793" s="14">
        <f ca="1">IFERROR(__xludf.DUMMYFUNCTION("""COMPUTED_VALUE"""),44600)</f>
        <v>44600</v>
      </c>
      <c r="H793" t="str">
        <f ca="1">IFERROR(__xludf.DUMMYFUNCTION("""COMPUTED_VALUE"""),"Tolomato river ")</f>
        <v xml:space="preserve">Tolomato river </v>
      </c>
      <c r="I793" s="15">
        <f ca="1">IFERROR(__xludf.DUMMYFUNCTION("""COMPUTED_VALUE"""),0.45833333333212)</f>
        <v>0.45833333333212001</v>
      </c>
      <c r="J793" s="16">
        <f ca="1">IFERROR(__xludf.DUMMYFUNCTION("""COMPUTED_VALUE"""),44600.4791666666)</f>
        <v>44600.479166666599</v>
      </c>
      <c r="K793" t="str">
        <f ca="1">IFERROR(__xludf.DUMMYFUNCTION("""COMPUTED_VALUE"""),"23ft Skiff (Bertha) FL7972LJ DEP07613")</f>
        <v>23ft Skiff (Bertha) FL7972LJ DEP07613</v>
      </c>
      <c r="M793" t="str">
        <f ca="1">IFERROR(__xludf.DUMMYFUNCTION("""COMPUTED_VALUE"""),"Ford F150 2015 (White) - DEP21448")</f>
        <v>Ford F150 2015 (White) - DEP21448</v>
      </c>
      <c r="N793" t="str">
        <f ca="1">IFERROR(__xludf.DUMMYFUNCTION("""COMPUTED_VALUE"""),"Pam Marcum, (480) 332-5414, Alee Knoell, (619) 750-4833")</f>
        <v>Pam Marcum, (480) 332-5414, Alee Knoell, (619) 750-4833</v>
      </c>
      <c r="O793" t="str">
        <f ca="1">IFERROR(__xludf.DUMMYFUNCTION("""COMPUTED_VALUE"""),"Debbie Dix, Steve Brown, Mike Darragh")</f>
        <v>Debbie Dix, Steve Brown, Mike Darragh</v>
      </c>
      <c r="P793" t="str">
        <f ca="1">IFERROR(__xludf.DUMMYFUNCTION("""COMPUTED_VALUE"""),"Pam")</f>
        <v>Pam</v>
      </c>
      <c r="Q793" t="str">
        <f ca="1">IFERROR(__xludf.DUMMYFUNCTION("""COMPUTED_VALUE"""),"All items in working order")</f>
        <v>All items in working order</v>
      </c>
      <c r="AE793" s="11"/>
      <c r="AF793" t="str">
        <v>Nikki.Dix@floridadep.gov</v>
      </c>
      <c r="AG793" s="17" t="s">
        <v>17</v>
      </c>
      <c r="AH793" s="12">
        <v>1120</v>
      </c>
      <c r="AI793" s="12" t="s">
        <v>2331</v>
      </c>
      <c r="AJ793" s="19" t="s">
        <v>2332</v>
      </c>
      <c r="AK793" s="20" t="str">
        <f>HYPERLINK("https://docs.google.com/document/d/1RUEnAO-XSvNXdXRbUg87kutppYphcF0KO3giDxFT4gM/edit?usp=drivesdk","Pamela Marcum  - 2/8/2022 8:15 AM")</f>
        <v>Pamela Marcum  - 2/8/2022 8:15 AM</v>
      </c>
      <c r="AL793" s="12" t="s">
        <v>2333</v>
      </c>
    </row>
    <row r="794" spans="1:38" ht="12.75">
      <c r="A794" s="10">
        <f ca="1">IFERROR(__xludf.DUMMYFUNCTION("""COMPUTED_VALUE"""),44601.3559957754)</f>
        <v>44601.355995775397</v>
      </c>
      <c r="B794" s="11" t="str">
        <f ca="1">IFERROR(__xludf.DUMMYFUNCTION("""COMPUTED_VALUE"""),"Pamela Marcum ")</f>
        <v xml:space="preserve">Pamela Marcum </v>
      </c>
      <c r="C794" t="str">
        <f ca="1">IFERROR(__xludf.DUMMYFUNCTION("""COMPUTED_VALUE"""),"Pamela.Marcum@FloridaDEP.gov")</f>
        <v>Pamela.Marcum@FloridaDEP.gov</v>
      </c>
      <c r="D794" t="str">
        <f ca="1">IFERROR(__xludf.DUMMYFUNCTION("""COMPUTED_VALUE"""),"Nikki Dix")</f>
        <v>Nikki Dix</v>
      </c>
      <c r="E794" t="str">
        <f ca="1">IFERROR(__xludf.DUMMYFUNCTION("""COMPUTED_VALUE"""),"Aunt Kates ")</f>
        <v xml:space="preserve">Aunt Kates </v>
      </c>
      <c r="F794" s="13">
        <f ca="1">IFERROR(__xludf.DUMMYFUNCTION("""COMPUTED_VALUE"""),0.354166666667879)</f>
        <v>0.35416666666787899</v>
      </c>
      <c r="G794" s="14">
        <f ca="1">IFERROR(__xludf.DUMMYFUNCTION("""COMPUTED_VALUE"""),44601)</f>
        <v>44601</v>
      </c>
      <c r="H794" t="str">
        <f ca="1">IFERROR(__xludf.DUMMYFUNCTION("""COMPUTED_VALUE"""),"Guana  and Tolomato")</f>
        <v>Guana  and Tolomato</v>
      </c>
      <c r="I794" s="15">
        <f ca="1">IFERROR(__xludf.DUMMYFUNCTION("""COMPUTED_VALUE"""),0.5)</f>
        <v>0.5</v>
      </c>
      <c r="J794" s="16">
        <f ca="1">IFERROR(__xludf.DUMMYFUNCTION("""COMPUTED_VALUE"""),44601.5208333333)</f>
        <v>44601.520833333299</v>
      </c>
      <c r="K794" t="str">
        <f ca="1">IFERROR(__xludf.DUMMYFUNCTION("""COMPUTED_VALUE"""),"20ft Sea Ark FL5351SJ UNF 2015")</f>
        <v>20ft Sea Ark FL5351SJ UNF 2015</v>
      </c>
      <c r="M794" t="str">
        <f ca="1">IFERROR(__xludf.DUMMYFUNCTION("""COMPUTED_VALUE"""),"Ford F150 2015 (White) - DEP21448")</f>
        <v>Ford F150 2015 (White) - DEP21448</v>
      </c>
      <c r="N794" t="str">
        <f ca="1">IFERROR(__xludf.DUMMYFUNCTION("""COMPUTED_VALUE"""),"Pam Marcum, (480) 332-5414, Alee Knoell, (619) 750-4833")</f>
        <v>Pam Marcum, (480) 332-5414, Alee Knoell, (619) 750-4833</v>
      </c>
      <c r="O794" t="str">
        <f ca="1">IFERROR(__xludf.DUMMYFUNCTION("""COMPUTED_VALUE"""),"Sean Hatton, Ava Larsen, Paul Yonally, Spencer Baba")</f>
        <v>Sean Hatton, Ava Larsen, Paul Yonally, Spencer Baba</v>
      </c>
      <c r="P794" t="str">
        <f ca="1">IFERROR(__xludf.DUMMYFUNCTION("""COMPUTED_VALUE"""),"Pam")</f>
        <v>Pam</v>
      </c>
      <c r="Q794" t="str">
        <f ca="1">IFERROR(__xludf.DUMMYFUNCTION("""COMPUTED_VALUE"""),"All items in working order")</f>
        <v>All items in working order</v>
      </c>
      <c r="AE794" s="11"/>
      <c r="AF794" t="str">
        <v>Nikki.Dix@floridadep.gov</v>
      </c>
      <c r="AG794" s="17" t="s">
        <v>41</v>
      </c>
      <c r="AH794" s="12">
        <v>1220</v>
      </c>
      <c r="AI794" s="12" t="s">
        <v>2334</v>
      </c>
      <c r="AJ794" s="19" t="s">
        <v>2335</v>
      </c>
      <c r="AK794" s="20" t="str">
        <f>HYPERLINK("https://docs.google.com/document/d/1-Y4ugSHyGas-VF1T85v_-Q9BUatlLWkzLUwMJFi8gn0/edit?usp=drivesdk","Pamela Marcum  - 2/9/2022 8:30 AM")</f>
        <v>Pamela Marcum  - 2/9/2022 8:30 AM</v>
      </c>
      <c r="AL794" s="12" t="s">
        <v>2336</v>
      </c>
    </row>
    <row r="795" spans="1:38" ht="12.75">
      <c r="A795" s="10">
        <f ca="1">IFERROR(__xludf.DUMMYFUNCTION("""COMPUTED_VALUE"""),44602.3798831481)</f>
        <v>44602.379883148104</v>
      </c>
      <c r="B795" s="11" t="str">
        <f ca="1">IFERROR(__xludf.DUMMYFUNCTION("""COMPUTED_VALUE"""),"Pamela Marcum ")</f>
        <v xml:space="preserve">Pamela Marcum </v>
      </c>
      <c r="C795" t="str">
        <f ca="1">IFERROR(__xludf.DUMMYFUNCTION("""COMPUTED_VALUE"""),"Pamela.Marcum@FloridaDEP.gov")</f>
        <v>Pamela.Marcum@FloridaDEP.gov</v>
      </c>
      <c r="D795" t="str">
        <f ca="1">IFERROR(__xludf.DUMMYFUNCTION("""COMPUTED_VALUE"""),"Nikki Dix")</f>
        <v>Nikki Dix</v>
      </c>
      <c r="E795" t="str">
        <f ca="1">IFERROR(__xludf.DUMMYFUNCTION("""COMPUTED_VALUE"""),"Usina")</f>
        <v>Usina</v>
      </c>
      <c r="F795" s="13">
        <f ca="1">IFERROR(__xludf.DUMMYFUNCTION("""COMPUTED_VALUE"""),0.381944444445252)</f>
        <v>0.381944444445252</v>
      </c>
      <c r="G795" s="14">
        <f ca="1">IFERROR(__xludf.DUMMYFUNCTION("""COMPUTED_VALUE"""),44602)</f>
        <v>44602</v>
      </c>
      <c r="H795" t="str">
        <f ca="1">IFERROR(__xludf.DUMMYFUNCTION("""COMPUTED_VALUE"""),"Tolomato river ")</f>
        <v xml:space="preserve">Tolomato river </v>
      </c>
      <c r="I795" s="15">
        <f ca="1">IFERROR(__xludf.DUMMYFUNCTION("""COMPUTED_VALUE"""),0.52083333333212)</f>
        <v>0.52083333333212001</v>
      </c>
      <c r="J795" s="16">
        <f ca="1">IFERROR(__xludf.DUMMYFUNCTION("""COMPUTED_VALUE"""),44602.5416666666)</f>
        <v>44602.541666666599</v>
      </c>
      <c r="K795" t="str">
        <f ca="1">IFERROR(__xludf.DUMMYFUNCTION("""COMPUTED_VALUE"""),"20ft Sea Ark FL5351SJ UNF 2015")</f>
        <v>20ft Sea Ark FL5351SJ UNF 2015</v>
      </c>
      <c r="M795" t="str">
        <f ca="1">IFERROR(__xludf.DUMMYFUNCTION("""COMPUTED_VALUE"""),"Ford F150 2015 (White) - DEP21448")</f>
        <v>Ford F150 2015 (White) - DEP21448</v>
      </c>
      <c r="N795" t="str">
        <f ca="1">IFERROR(__xludf.DUMMYFUNCTION("""COMPUTED_VALUE"""),"Pam Marcum, (480) 332-5414, Alee Knoell, (619) 750-4833")</f>
        <v>Pam Marcum, (480) 332-5414, Alee Knoell, (619) 750-4833</v>
      </c>
      <c r="O795" t="str">
        <f ca="1">IFERROR(__xludf.DUMMYFUNCTION("""COMPUTED_VALUE"""),"John Ciupak, Ciel Brooks, Mike Brooks")</f>
        <v>John Ciupak, Ciel Brooks, Mike Brooks</v>
      </c>
      <c r="P795" t="str">
        <f ca="1">IFERROR(__xludf.DUMMYFUNCTION("""COMPUTED_VALUE"""),"Pam")</f>
        <v>Pam</v>
      </c>
      <c r="Q795" t="str">
        <f ca="1">IFERROR(__xludf.DUMMYFUNCTION("""COMPUTED_VALUE"""),"All items in working order")</f>
        <v>All items in working order</v>
      </c>
      <c r="AE795" s="11"/>
      <c r="AF795" t="str">
        <v>Nikki.Dix@floridadep.gov</v>
      </c>
      <c r="AG795" s="17" t="s">
        <v>41</v>
      </c>
      <c r="AH795" s="12">
        <v>1310</v>
      </c>
      <c r="AI795" s="12" t="s">
        <v>2337</v>
      </c>
      <c r="AJ795" s="19" t="s">
        <v>2338</v>
      </c>
      <c r="AK795" s="20" t="str">
        <f>HYPERLINK("https://docs.google.com/document/d/1bU4fg-Xh36bzQG9_vNHBv325HZyiJslxjuXJwtpYJbA/edit?usp=drivesdk","Pamela Marcum  - 2/10/2022 9:10 AM")</f>
        <v>Pamela Marcum  - 2/10/2022 9:10 AM</v>
      </c>
      <c r="AL795" s="12" t="s">
        <v>2339</v>
      </c>
    </row>
    <row r="796" spans="1:38" ht="12.75">
      <c r="A796" s="10">
        <f ca="1">IFERROR(__xludf.DUMMYFUNCTION("""COMPUTED_VALUE"""),44603.4022555439)</f>
        <v>44603.402255543901</v>
      </c>
      <c r="B796" s="11" t="str">
        <f ca="1">IFERROR(__xludf.DUMMYFUNCTION("""COMPUTED_VALUE"""),"Pamela Marcum ")</f>
        <v xml:space="preserve">Pamela Marcum </v>
      </c>
      <c r="C796" t="str">
        <f ca="1">IFERROR(__xludf.DUMMYFUNCTION("""COMPUTED_VALUE"""),"Pamela.Marcum@FloridaDEP.gov")</f>
        <v>Pamela.Marcum@FloridaDEP.gov</v>
      </c>
      <c r="D796" t="str">
        <f ca="1">IFERROR(__xludf.DUMMYFUNCTION("""COMPUTED_VALUE"""),"Nikki Dix")</f>
        <v>Nikki Dix</v>
      </c>
      <c r="E796" t="str">
        <f ca="1">IFERROR(__xludf.DUMMYFUNCTION("""COMPUTED_VALUE"""),"Aunt Kates ")</f>
        <v xml:space="preserve">Aunt Kates </v>
      </c>
      <c r="F796" s="13">
        <f ca="1">IFERROR(__xludf.DUMMYFUNCTION("""COMPUTED_VALUE"""),0.39583333333212)</f>
        <v>0.39583333333212001</v>
      </c>
      <c r="G796" s="14">
        <f ca="1">IFERROR(__xludf.DUMMYFUNCTION("""COMPUTED_VALUE"""),44603)</f>
        <v>44603</v>
      </c>
      <c r="H796" t="str">
        <f ca="1">IFERROR(__xludf.DUMMYFUNCTION("""COMPUTED_VALUE"""),"Tolomato river ")</f>
        <v xml:space="preserve">Tolomato river </v>
      </c>
      <c r="I796" s="15">
        <f ca="1">IFERROR(__xludf.DUMMYFUNCTION("""COMPUTED_VALUE"""),0.52083333333212)</f>
        <v>0.52083333333212001</v>
      </c>
      <c r="J796" s="16">
        <f ca="1">IFERROR(__xludf.DUMMYFUNCTION("""COMPUTED_VALUE"""),44603.5416666666)</f>
        <v>44603.541666666599</v>
      </c>
      <c r="K796" t="str">
        <f ca="1">IFERROR(__xludf.DUMMYFUNCTION("""COMPUTED_VALUE"""),"20ft Sea Ark FL5351SJ UNF 2015")</f>
        <v>20ft Sea Ark FL5351SJ UNF 2015</v>
      </c>
      <c r="M796" t="str">
        <f ca="1">IFERROR(__xludf.DUMMYFUNCTION("""COMPUTED_VALUE"""),"Ford F150 2015 (White) - DEP21448")</f>
        <v>Ford F150 2015 (White) - DEP21448</v>
      </c>
      <c r="N796" t="str">
        <f ca="1">IFERROR(__xludf.DUMMYFUNCTION("""COMPUTED_VALUE"""),"Pam Marcum, (480) 332-5414, Alee Knoell, (619) 750-4833")</f>
        <v>Pam Marcum, (480) 332-5414, Alee Knoell, (619) 750-4833</v>
      </c>
      <c r="O796" t="str">
        <f ca="1">IFERROR(__xludf.DUMMYFUNCTION("""COMPUTED_VALUE"""),"Walt Newsom, Mike Darragh, Kristine Seager, Noah Riccio")</f>
        <v>Walt Newsom, Mike Darragh, Kristine Seager, Noah Riccio</v>
      </c>
      <c r="P796" t="str">
        <f ca="1">IFERROR(__xludf.DUMMYFUNCTION("""COMPUTED_VALUE"""),"Pam")</f>
        <v>Pam</v>
      </c>
      <c r="Q796" t="str">
        <f ca="1">IFERROR(__xludf.DUMMYFUNCTION("""COMPUTED_VALUE"""),"All items in working order")</f>
        <v>All items in working order</v>
      </c>
      <c r="AE796" s="11"/>
      <c r="AF796" t="str">
        <v>Nikki.Dix@floridadep.gov</v>
      </c>
      <c r="AG796" s="17" t="s">
        <v>41</v>
      </c>
      <c r="AH796" s="12">
        <v>1253</v>
      </c>
      <c r="AI796" s="12" t="s">
        <v>2340</v>
      </c>
      <c r="AJ796" s="19" t="s">
        <v>2341</v>
      </c>
      <c r="AK796" s="20" t="str">
        <f>HYPERLINK("https://docs.google.com/document/d/1nVgXq-Ep7lpfh0HVmQuhOD5T7pveA5E0cFSw1SO5phA/edit?usp=drivesdk","Pamela Marcum  - 2/11/2022 9:30 AM")</f>
        <v>Pamela Marcum  - 2/11/2022 9:30 AM</v>
      </c>
      <c r="AL796" s="12" t="s">
        <v>2342</v>
      </c>
    </row>
    <row r="797" spans="1:38" ht="12.75">
      <c r="A797" s="10">
        <f ca="1">IFERROR(__xludf.DUMMYFUNCTION("""COMPUTED_VALUE"""),44606.3509261805)</f>
        <v>44606.350926180501</v>
      </c>
      <c r="B797" s="11" t="str">
        <f ca="1">IFERROR(__xludf.DUMMYFUNCTION("""COMPUTED_VALUE"""),"Olivia Roorbach")</f>
        <v>Olivia Roorbach</v>
      </c>
      <c r="C797" t="str">
        <f ca="1">IFERROR(__xludf.DUMMYFUNCTION("""COMPUTED_VALUE"""),"olivia.roorbach@floridadep.gov")</f>
        <v>olivia.roorbach@floridadep.gov</v>
      </c>
      <c r="D797" t="str">
        <f ca="1">IFERROR(__xludf.DUMMYFUNCTION("""COMPUTED_VALUE"""),"Alee Knoell")</f>
        <v>Alee Knoell</v>
      </c>
      <c r="E797" t="str">
        <f ca="1">IFERROR(__xludf.DUMMYFUNCTION("""COMPUTED_VALUE"""),"Guana river and lake")</f>
        <v>Guana river and lake</v>
      </c>
      <c r="F797" s="13">
        <f ca="1">IFERROR(__xludf.DUMMYFUNCTION("""COMPUTED_VALUE"""),0.33333333333212)</f>
        <v>0.33333333333212001</v>
      </c>
      <c r="G797" s="14">
        <f ca="1">IFERROR(__xludf.DUMMYFUNCTION("""COMPUTED_VALUE"""),44606)</f>
        <v>44606</v>
      </c>
      <c r="H797" t="str">
        <f ca="1">IFERROR(__xludf.DUMMYFUNCTION("""COMPUTED_VALUE"""),"Guana river and lake ")</f>
        <v xml:space="preserve">Guana river and lake </v>
      </c>
      <c r="I797" s="15">
        <f ca="1">IFERROR(__xludf.DUMMYFUNCTION("""COMPUTED_VALUE"""),0.58333333333212)</f>
        <v>0.58333333333212001</v>
      </c>
      <c r="J797" s="16">
        <f ca="1">IFERROR(__xludf.DUMMYFUNCTION("""COMPUTED_VALUE"""),44606.5833333333)</f>
        <v>44606.583333333299</v>
      </c>
      <c r="K797" t="str">
        <f ca="1">IFERROR(__xludf.DUMMYFUNCTION("""COMPUTED_VALUE"""),"Jon Boat 1 FL5992RR DEP154045")</f>
        <v>Jon Boat 1 FL5992RR DEP154045</v>
      </c>
      <c r="M797" t="str">
        <f ca="1">IFERROR(__xludf.DUMMYFUNCTION("""COMPUTED_VALUE"""),"Ford F250 2017 (Moby Dix) - DEP0021578")</f>
        <v>Ford F250 2017 (Moby Dix) - DEP0021578</v>
      </c>
      <c r="N797" t="str">
        <f ca="1">IFERROR(__xludf.DUMMYFUNCTION("""COMPUTED_VALUE"""),"Olivia Roorbach, (404) 694-2653")</f>
        <v>Olivia Roorbach, (404) 694-2653</v>
      </c>
      <c r="O797" t="str">
        <f ca="1">IFERROR(__xludf.DUMMYFUNCTION("""COMPUTED_VALUE"""),"Jenna reimer, Nicole De Venoge")</f>
        <v>Jenna reimer, Nicole De Venoge</v>
      </c>
      <c r="P797" t="str">
        <f ca="1">IFERROR(__xludf.DUMMYFUNCTION("""COMPUTED_VALUE"""),"Olivia Roorbach ")</f>
        <v xml:space="preserve">Olivia Roorbach </v>
      </c>
      <c r="Q797" t="str">
        <f ca="1">IFERROR(__xludf.DUMMYFUNCTION("""COMPUTED_VALUE"""),"All items in working order")</f>
        <v>All items in working order</v>
      </c>
      <c r="AE797" s="11"/>
      <c r="AF797" t="str">
        <v>Alee.Knoell@floridadep.gov</v>
      </c>
      <c r="AG797" s="17" t="s">
        <v>1821</v>
      </c>
      <c r="AH797" s="12">
        <v>1230</v>
      </c>
      <c r="AI797" s="12" t="s">
        <v>2343</v>
      </c>
      <c r="AJ797" s="19" t="s">
        <v>2344</v>
      </c>
      <c r="AK797" s="20" t="str">
        <f>HYPERLINK("https://docs.google.com/document/d/1Cp7qq9Bol8FhHDJuebs8pcpLXc7UAafHPmolW_N4TcQ/edit?usp=drivesdk","Olivia Roorbach - 2/14/2022 8:00 AM")</f>
        <v>Olivia Roorbach - 2/14/2022 8:00 AM</v>
      </c>
      <c r="AL797" s="12" t="s">
        <v>2345</v>
      </c>
    </row>
    <row r="798" spans="1:38" ht="12.75">
      <c r="A798" s="10">
        <f ca="1">IFERROR(__xludf.DUMMYFUNCTION("""COMPUTED_VALUE"""),44606.4462998958)</f>
        <v>44606.446299895797</v>
      </c>
      <c r="B798" s="11" t="str">
        <f ca="1">IFERROR(__xludf.DUMMYFUNCTION("""COMPUTED_VALUE"""),"Pam Marcum ")</f>
        <v xml:space="preserve">Pam Marcum </v>
      </c>
      <c r="C798" t="str">
        <f ca="1">IFERROR(__xludf.DUMMYFUNCTION("""COMPUTED_VALUE"""),"Pamela.Marcum@FloridaDEP.gov")</f>
        <v>Pamela.Marcum@FloridaDEP.gov</v>
      </c>
      <c r="D798" t="str">
        <f ca="1">IFERROR(__xludf.DUMMYFUNCTION("""COMPUTED_VALUE"""),"Nikki Dix")</f>
        <v>Nikki Dix</v>
      </c>
      <c r="E798" t="str">
        <f ca="1">IFERROR(__xludf.DUMMYFUNCTION("""COMPUTED_VALUE"""),"Aunt kates")</f>
        <v>Aunt kates</v>
      </c>
      <c r="F798" s="13">
        <f ca="1">IFERROR(__xludf.DUMMYFUNCTION("""COMPUTED_VALUE"""),0.444444444445252)</f>
        <v>0.444444444445252</v>
      </c>
      <c r="G798" s="14">
        <f ca="1">IFERROR(__xludf.DUMMYFUNCTION("""COMPUTED_VALUE"""),44606)</f>
        <v>44606</v>
      </c>
      <c r="H798" t="str">
        <f ca="1">IFERROR(__xludf.DUMMYFUNCTION("""COMPUTED_VALUE"""),"Gauana and Tolomato ")</f>
        <v xml:space="preserve">Gauana and Tolomato </v>
      </c>
      <c r="I798" s="15">
        <f ca="1">IFERROR(__xludf.DUMMYFUNCTION("""COMPUTED_VALUE"""),0.666666666667879)</f>
        <v>0.66666666666787899</v>
      </c>
      <c r="J798" s="16">
        <f ca="1">IFERROR(__xludf.DUMMYFUNCTION("""COMPUTED_VALUE"""),44606.6875)</f>
        <v>44606.6875</v>
      </c>
      <c r="K798" t="str">
        <f ca="1">IFERROR(__xludf.DUMMYFUNCTION("""COMPUTED_VALUE"""),"23ft Skiff (Bertha) FL7972LJ DEP07613")</f>
        <v>23ft Skiff (Bertha) FL7972LJ DEP07613</v>
      </c>
      <c r="M798" t="str">
        <f ca="1">IFERROR(__xludf.DUMMYFUNCTION("""COMPUTED_VALUE"""),"Ford F150 2015 (White) - DEP21448")</f>
        <v>Ford F150 2015 (White) - DEP21448</v>
      </c>
      <c r="N798" t="str">
        <f ca="1">IFERROR(__xludf.DUMMYFUNCTION("""COMPUTED_VALUE"""),"Pam Marcum, (480) 332-5414, Alee Knoell, (619) 750-4833")</f>
        <v>Pam Marcum, (480) 332-5414, Alee Knoell, (619) 750-4833</v>
      </c>
      <c r="O798" t="str">
        <f ca="1">IFERROR(__xludf.DUMMYFUNCTION("""COMPUTED_VALUE"""),"Jeff finnan, molly gadawski, oliver devries, leslie anchor, allix north, zach lepera")</f>
        <v>Jeff finnan, molly gadawski, oliver devries, leslie anchor, allix north, zach lepera</v>
      </c>
      <c r="P798" t="str">
        <f ca="1">IFERROR(__xludf.DUMMYFUNCTION("""COMPUTED_VALUE"""),"Pam")</f>
        <v>Pam</v>
      </c>
      <c r="Q798" t="str">
        <f ca="1">IFERROR(__xludf.DUMMYFUNCTION("""COMPUTED_VALUE"""),"All items in working order")</f>
        <v>All items in working order</v>
      </c>
      <c r="AE798" s="11"/>
      <c r="AF798" t="str">
        <v>Nikki.Dix@floridadep.gov</v>
      </c>
      <c r="AG798" s="17" t="s">
        <v>41</v>
      </c>
      <c r="AH798" s="12">
        <v>1552</v>
      </c>
      <c r="AI798" s="12" t="s">
        <v>2346</v>
      </c>
      <c r="AJ798" s="19" t="s">
        <v>2347</v>
      </c>
      <c r="AK798" s="20" t="str">
        <f>HYPERLINK("https://docs.google.com/document/d/1nAm-UudUXrz0AOwBv9YPn_tY4H6rAmlNFt0DplwldWA/edit?usp=drivesdk","Pam Marcum  - 2/14/2022 10:40 AM")</f>
        <v>Pam Marcum  - 2/14/2022 10:40 AM</v>
      </c>
      <c r="AL798" s="12" t="s">
        <v>2348</v>
      </c>
    </row>
    <row r="799" spans="1:38" ht="12.75">
      <c r="A799" s="10">
        <f ca="1">IFERROR(__xludf.DUMMYFUNCTION("""COMPUTED_VALUE"""),44606.7448027892)</f>
        <v>44606.744802789297</v>
      </c>
      <c r="B799" s="11" t="str">
        <f ca="1">IFERROR(__xludf.DUMMYFUNCTION("""COMPUTED_VALUE"""),"Jimmy")</f>
        <v>Jimmy</v>
      </c>
      <c r="C799" t="str">
        <f ca="1">IFERROR(__xludf.DUMMYFUNCTION("""COMPUTED_VALUE"""),"james.tomazinis@floridadep.gov")</f>
        <v>james.tomazinis@floridadep.gov</v>
      </c>
      <c r="D799" t="str">
        <f ca="1">IFERROR(__xludf.DUMMYFUNCTION("""COMPUTED_VALUE"""),"Scott Eastman")</f>
        <v>Scott Eastman</v>
      </c>
      <c r="E799" t="str">
        <f ca="1">IFERROR(__xludf.DUMMYFUNCTION("""COMPUTED_VALUE"""),"Mayport")</f>
        <v>Mayport</v>
      </c>
      <c r="F799" s="13">
        <f ca="1">IFERROR(__xludf.DUMMYFUNCTION("""COMPUTED_VALUE"""),0.45833333333212)</f>
        <v>0.45833333333212001</v>
      </c>
      <c r="G799" s="14">
        <f ca="1">IFERROR(__xludf.DUMMYFUNCTION("""COMPUTED_VALUE"""),44607)</f>
        <v>44607</v>
      </c>
      <c r="H799" t="str">
        <f ca="1">IFERROR(__xludf.DUMMYFUNCTION("""COMPUTED_VALUE"""),"Shad Creek system")</f>
        <v>Shad Creek system</v>
      </c>
      <c r="I799" s="15">
        <f ca="1">IFERROR(__xludf.DUMMYFUNCTION("""COMPUTED_VALUE"""),0.625)</f>
        <v>0.625</v>
      </c>
      <c r="J799" s="16"/>
      <c r="K799" t="str">
        <f ca="1">IFERROR(__xludf.DUMMYFUNCTION("""COMPUTED_VALUE"""),"Jon Boat 1 FL5992RR DEP154045")</f>
        <v>Jon Boat 1 FL5992RR DEP154045</v>
      </c>
      <c r="M799" t="str">
        <f ca="1">IFERROR(__xludf.DUMMYFUNCTION("""COMPUTED_VALUE"""),"Ford F150 2007 (F-Bomb) - DEP07055")</f>
        <v>Ford F150 2007 (F-Bomb) - DEP07055</v>
      </c>
      <c r="N799" t="str">
        <f ca="1">IFERROR(__xludf.DUMMYFUNCTION("""COMPUTED_VALUE"""),"Jimmy Tomazinis, (904) 547-0094")</f>
        <v>Jimmy Tomazinis, (904) 547-0094</v>
      </c>
      <c r="O799" t="str">
        <f ca="1">IFERROR(__xludf.DUMMYFUNCTION("""COMPUTED_VALUE"""),"Chris Kurtz")</f>
        <v>Chris Kurtz</v>
      </c>
      <c r="P799" t="str">
        <f ca="1">IFERROR(__xludf.DUMMYFUNCTION("""COMPUTED_VALUE"""),"Jimmy")</f>
        <v>Jimmy</v>
      </c>
      <c r="Q799" t="str">
        <f ca="1">IFERROR(__xludf.DUMMYFUNCTION("""COMPUTED_VALUE"""),"All items in working order")</f>
        <v>All items in working order</v>
      </c>
      <c r="AE799" s="11"/>
      <c r="AF799" t="str">
        <v>Scott.Eastman@floridadep.gov</v>
      </c>
      <c r="AG799" s="18"/>
      <c r="AI799" s="12" t="s">
        <v>2349</v>
      </c>
      <c r="AJ799" s="19" t="s">
        <v>2350</v>
      </c>
      <c r="AK799" s="20" t="str">
        <f>HYPERLINK("https://docs.google.com/document/d/1Nydp8CN4aLZ1B2xDp1ni510_5RsRmmL1cLWcaHBPhoY/edit?usp=drivesdk","Jimmy - 2/15/2022 11:00 AM")</f>
        <v>Jimmy - 2/15/2022 11:00 AM</v>
      </c>
      <c r="AL799" s="12" t="s">
        <v>2351</v>
      </c>
    </row>
    <row r="800" spans="1:38" ht="12.75">
      <c r="A800" s="10">
        <f ca="1">IFERROR(__xludf.DUMMYFUNCTION("""COMPUTED_VALUE"""),44607.4837071064)</f>
        <v>44607.483707106403</v>
      </c>
      <c r="B800" s="11" t="str">
        <f ca="1">IFERROR(__xludf.DUMMYFUNCTION("""COMPUTED_VALUE"""),"Pamela Marcum ")</f>
        <v xml:space="preserve">Pamela Marcum </v>
      </c>
      <c r="C800" t="str">
        <f ca="1">IFERROR(__xludf.DUMMYFUNCTION("""COMPUTED_VALUE"""),"Pamela.Marcum@FloridaDEP.gov")</f>
        <v>Pamela.Marcum@FloridaDEP.gov</v>
      </c>
      <c r="D800" t="str">
        <f ca="1">IFERROR(__xludf.DUMMYFUNCTION("""COMPUTED_VALUE"""),"Nikki Dix")</f>
        <v>Nikki Dix</v>
      </c>
      <c r="E800" t="str">
        <f ca="1">IFERROR(__xludf.DUMMYFUNCTION("""COMPUTED_VALUE"""),"Vilano")</f>
        <v>Vilano</v>
      </c>
      <c r="F800" s="13">
        <f ca="1">IFERROR(__xludf.DUMMYFUNCTION("""COMPUTED_VALUE"""),0.479166666667879)</f>
        <v>0.47916666666787899</v>
      </c>
      <c r="G800" s="14">
        <f ca="1">IFERROR(__xludf.DUMMYFUNCTION("""COMPUTED_VALUE"""),44607)</f>
        <v>44607</v>
      </c>
      <c r="H800" t="str">
        <f ca="1">IFERROR(__xludf.DUMMYFUNCTION("""COMPUTED_VALUE"""),"Tolomato")</f>
        <v>Tolomato</v>
      </c>
      <c r="I800" s="15">
        <f ca="1">IFERROR(__xludf.DUMMYFUNCTION("""COMPUTED_VALUE"""),0.6875)</f>
        <v>0.6875</v>
      </c>
      <c r="J800" s="16">
        <f ca="1">IFERROR(__xludf.DUMMYFUNCTION("""COMPUTED_VALUE"""),44607.7083333333)</f>
        <v>44607.708333333299</v>
      </c>
      <c r="K800" t="str">
        <f ca="1">IFERROR(__xludf.DUMMYFUNCTION("""COMPUTED_VALUE"""),"23ft Skiff (Bertha) FL7972LJ DEP07613")</f>
        <v>23ft Skiff (Bertha) FL7972LJ DEP07613</v>
      </c>
      <c r="M800" t="str">
        <f ca="1">IFERROR(__xludf.DUMMYFUNCTION("""COMPUTED_VALUE"""),"Ford F150 2015 (White) - DEP21448")</f>
        <v>Ford F150 2015 (White) - DEP21448</v>
      </c>
      <c r="N800" t="str">
        <f ca="1">IFERROR(__xludf.DUMMYFUNCTION("""COMPUTED_VALUE"""),"Pam Marcum, (480) 332-5414")</f>
        <v>Pam Marcum, (480) 332-5414</v>
      </c>
      <c r="O800" t="str">
        <f ca="1">IFERROR(__xludf.DUMMYFUNCTION("""COMPUTED_VALUE"""),"Ava Larsen, steve brown")</f>
        <v>Ava Larsen, steve brown</v>
      </c>
      <c r="P800" t="str">
        <f ca="1">IFERROR(__xludf.DUMMYFUNCTION("""COMPUTED_VALUE"""),"Pam")</f>
        <v>Pam</v>
      </c>
      <c r="Q800" t="str">
        <f ca="1">IFERROR(__xludf.DUMMYFUNCTION("""COMPUTED_VALUE"""),"All items in working order")</f>
        <v>All items in working order</v>
      </c>
      <c r="AE800" s="11"/>
      <c r="AF800" t="str">
        <v>Nikki.Dix@floridadep.gov</v>
      </c>
      <c r="AG800" s="17" t="s">
        <v>41</v>
      </c>
      <c r="AH800" s="12">
        <v>1611</v>
      </c>
      <c r="AI800" s="12" t="s">
        <v>2352</v>
      </c>
      <c r="AJ800" s="19" t="s">
        <v>2353</v>
      </c>
      <c r="AK800" s="20" t="str">
        <f>HYPERLINK("https://docs.google.com/document/d/1B1oV74n96c-JNO8Knhcmf5--9vTDsKwcbFx10ztwQAk/edit?usp=drivesdk","Pamela Marcum  - 2/15/2022 11:30 AM")</f>
        <v>Pamela Marcum  - 2/15/2022 11:30 AM</v>
      </c>
      <c r="AL800" s="12" t="s">
        <v>2354</v>
      </c>
    </row>
    <row r="801" spans="1:38" ht="12.75">
      <c r="A801" s="10">
        <f ca="1">IFERROR(__xludf.DUMMYFUNCTION("""COMPUTED_VALUE"""),44607.8953367361)</f>
        <v>44607.895336736103</v>
      </c>
      <c r="B801" s="11" t="str">
        <f ca="1">IFERROR(__xludf.DUMMYFUNCTION("""COMPUTED_VALUE"""),"Jimmy")</f>
        <v>Jimmy</v>
      </c>
      <c r="C801" t="str">
        <f ca="1">IFERROR(__xludf.DUMMYFUNCTION("""COMPUTED_VALUE"""),"james.tomazinis@floridadep.gov")</f>
        <v>james.tomazinis@floridadep.gov</v>
      </c>
      <c r="D801" t="str">
        <f ca="1">IFERROR(__xludf.DUMMYFUNCTION("""COMPUTED_VALUE"""),"Scott Eastman")</f>
        <v>Scott Eastman</v>
      </c>
      <c r="E801" t="str">
        <f ca="1">IFERROR(__xludf.DUMMYFUNCTION("""COMPUTED_VALUE"""),"Dee Dee Bartels and Holly Point")</f>
        <v>Dee Dee Bartels and Holly Point</v>
      </c>
      <c r="F801" s="13">
        <f ca="1">IFERROR(__xludf.DUMMYFUNCTION("""COMPUTED_VALUE"""),0.39583333333212)</f>
        <v>0.39583333333212001</v>
      </c>
      <c r="G801" s="14">
        <f ca="1">IFERROR(__xludf.DUMMYFUNCTION("""COMPUTED_VALUE"""),44608)</f>
        <v>44608</v>
      </c>
      <c r="H801" t="str">
        <f ca="1">IFERROR(__xludf.DUMMYFUNCTION("""COMPUTED_VALUE"""),"NEAP HAB sites")</f>
        <v>NEAP HAB sites</v>
      </c>
      <c r="I801" s="15">
        <f ca="1">IFERROR(__xludf.DUMMYFUNCTION("""COMPUTED_VALUE"""),0.625)</f>
        <v>0.625</v>
      </c>
      <c r="J801" s="16"/>
      <c r="K801" t="str">
        <f ca="1">IFERROR(__xludf.DUMMYFUNCTION("""COMPUTED_VALUE"""),"F 20ft Sea Ark (Easy 200) FL8534PY DEP21451")</f>
        <v>F 20ft Sea Ark (Easy 200) FL8534PY DEP21451</v>
      </c>
      <c r="M801" t="str">
        <f ca="1">IFERROR(__xludf.DUMMYFUNCTION("""COMPUTED_VALUE"""),"Ford F150 2007 (F-Bomb) - DEP07055")</f>
        <v>Ford F150 2007 (F-Bomb) - DEP07055</v>
      </c>
      <c r="N801" t="str">
        <f ca="1">IFERROR(__xludf.DUMMYFUNCTION("""COMPUTED_VALUE"""),"Jimmy Tomazinis, (904) 547-0094")</f>
        <v>Jimmy Tomazinis, (904) 547-0094</v>
      </c>
      <c r="O801" t="str">
        <f ca="1">IFERROR(__xludf.DUMMYFUNCTION("""COMPUTED_VALUE"""),"Chris Kurtz ")</f>
        <v xml:space="preserve">Chris Kurtz </v>
      </c>
      <c r="P801" t="str">
        <f ca="1">IFERROR(__xludf.DUMMYFUNCTION("""COMPUTED_VALUE"""),"Jimmy")</f>
        <v>Jimmy</v>
      </c>
      <c r="Q801" t="str">
        <f ca="1">IFERROR(__xludf.DUMMYFUNCTION("""COMPUTED_VALUE"""),"All items in working order")</f>
        <v>All items in working order</v>
      </c>
      <c r="AE801" s="11"/>
      <c r="AF801" t="str">
        <v>Scott.Eastman@floridadep.gov</v>
      </c>
      <c r="AG801" s="17" t="s">
        <v>17</v>
      </c>
      <c r="AH801" s="12">
        <v>1240</v>
      </c>
      <c r="AI801" s="12" t="s">
        <v>2355</v>
      </c>
      <c r="AJ801" s="19" t="s">
        <v>2356</v>
      </c>
      <c r="AK801" s="20" t="str">
        <f>HYPERLINK("https://docs.google.com/document/d/15VosDugBOaY_gE3qaPfgPdAEnqLsiqfJ617p7N2tERg/edit?usp=drivesdk","Jimmy - 2/16/2022 9:30 AM")</f>
        <v>Jimmy - 2/16/2022 9:30 AM</v>
      </c>
      <c r="AL801" s="12" t="s">
        <v>2357</v>
      </c>
    </row>
    <row r="802" spans="1:38" ht="12.75">
      <c r="A802" s="10">
        <f ca="1">IFERROR(__xludf.DUMMYFUNCTION("""COMPUTED_VALUE"""),44610.4837190625)</f>
        <v>44610.483719062497</v>
      </c>
      <c r="B802" s="11" t="str">
        <f ca="1">IFERROR(__xludf.DUMMYFUNCTION("""COMPUTED_VALUE"""),"Jimmy")</f>
        <v>Jimmy</v>
      </c>
      <c r="C802" t="str">
        <f ca="1">IFERROR(__xludf.DUMMYFUNCTION("""COMPUTED_VALUE"""),"james.tomazinis@floridadep.gov")</f>
        <v>james.tomazinis@floridadep.gov</v>
      </c>
      <c r="D802" t="str">
        <f ca="1">IFERROR(__xludf.DUMMYFUNCTION("""COMPUTED_VALUE"""),"Scott Eastman")</f>
        <v>Scott Eastman</v>
      </c>
      <c r="E802" t="str">
        <f ca="1">IFERROR(__xludf.DUMMYFUNCTION("""COMPUTED_VALUE"""),"Gamble Rogers")</f>
        <v>Gamble Rogers</v>
      </c>
      <c r="F802" s="13">
        <f ca="1">IFERROR(__xludf.DUMMYFUNCTION("""COMPUTED_VALUE"""),0.541666666667879)</f>
        <v>0.54166666666787899</v>
      </c>
      <c r="G802" s="14">
        <f ca="1">IFERROR(__xludf.DUMMYFUNCTION("""COMPUTED_VALUE"""),44610)</f>
        <v>44610</v>
      </c>
      <c r="H802" t="str">
        <f ca="1">IFERROR(__xludf.DUMMYFUNCTION("""COMPUTED_VALUE"""),"Tomoka WQ station")</f>
        <v>Tomoka WQ station</v>
      </c>
      <c r="I802" s="15">
        <f ca="1">IFERROR(__xludf.DUMMYFUNCTION("""COMPUTED_VALUE"""),0.58333333333212)</f>
        <v>0.58333333333212001</v>
      </c>
      <c r="J802" s="16"/>
      <c r="K802" t="str">
        <f ca="1">IFERROR(__xludf.DUMMYFUNCTION("""COMPUTED_VALUE"""),"17ft Skiff (Marsha) FL0642GW DEP07239")</f>
        <v>17ft Skiff (Marsha) FL0642GW DEP07239</v>
      </c>
      <c r="M802" t="str">
        <f ca="1">IFERROR(__xludf.DUMMYFUNCTION("""COMPUTED_VALUE"""),"Ford F150 2018 (ML AP) - DEP21637")</f>
        <v>Ford F150 2018 (ML AP) - DEP21637</v>
      </c>
      <c r="N802" t="str">
        <f ca="1">IFERROR(__xludf.DUMMYFUNCTION("""COMPUTED_VALUE"""),"Jimmy Tomazinis, (904) 547-0094")</f>
        <v>Jimmy Tomazinis, (904) 547-0094</v>
      </c>
      <c r="O802" t="str">
        <f ca="1">IFERROR(__xludf.DUMMYFUNCTION("""COMPUTED_VALUE"""),"Chris Kurtz")</f>
        <v>Chris Kurtz</v>
      </c>
      <c r="P802" t="str">
        <f ca="1">IFERROR(__xludf.DUMMYFUNCTION("""COMPUTED_VALUE"""),"Jimmy")</f>
        <v>Jimmy</v>
      </c>
      <c r="Q802" t="str">
        <f ca="1">IFERROR(__xludf.DUMMYFUNCTION("""COMPUTED_VALUE"""),"All items in working order")</f>
        <v>All items in working order</v>
      </c>
      <c r="AE802" s="11"/>
      <c r="AF802" t="str">
        <v>Scott.Eastman@floridadep.gov</v>
      </c>
      <c r="AG802" s="17" t="s">
        <v>17</v>
      </c>
      <c r="AH802" s="12">
        <v>1335</v>
      </c>
      <c r="AI802" s="12" t="s">
        <v>2358</v>
      </c>
      <c r="AJ802" s="19" t="s">
        <v>2359</v>
      </c>
      <c r="AK802" s="20" t="str">
        <f>HYPERLINK("https://docs.google.com/document/d/1nsy5CuF89efKL0pDzRSeJgjs3aDaUBQEKHHN0TYOPII/edit?usp=drivesdk","Jimmy - 2/18/2022 1:00 PM")</f>
        <v>Jimmy - 2/18/2022 1:00 PM</v>
      </c>
      <c r="AL802" s="12" t="s">
        <v>2360</v>
      </c>
    </row>
    <row r="803" spans="1:38" ht="12.75">
      <c r="A803" s="10">
        <f ca="1">IFERROR(__xludf.DUMMYFUNCTION("""COMPUTED_VALUE"""),44614.20912125)</f>
        <v>44614.209121250002</v>
      </c>
      <c r="B803" s="11" t="str">
        <f ca="1">IFERROR(__xludf.DUMMYFUNCTION("""COMPUTED_VALUE"""),"Jimmy")</f>
        <v>Jimmy</v>
      </c>
      <c r="C803" t="str">
        <f ca="1">IFERROR(__xludf.DUMMYFUNCTION("""COMPUTED_VALUE"""),"james_tomazinis@floridadep.gov")</f>
        <v>james_tomazinis@floridadep.gov</v>
      </c>
      <c r="D803" t="str">
        <f ca="1">IFERROR(__xludf.DUMMYFUNCTION("""COMPUTED_VALUE"""),"Scott Eastman")</f>
        <v>Scott Eastman</v>
      </c>
      <c r="E803" t="str">
        <f ca="1">IFERROR(__xludf.DUMMYFUNCTION("""COMPUTED_VALUE"""),"Melton Nelson")</f>
        <v>Melton Nelson</v>
      </c>
      <c r="F803" s="13">
        <f ca="1">IFERROR(__xludf.DUMMYFUNCTION("""COMPUTED_VALUE"""),0.375)</f>
        <v>0.375</v>
      </c>
      <c r="G803" s="14">
        <f ca="1">IFERROR(__xludf.DUMMYFUNCTION("""COMPUTED_VALUE"""),44614)</f>
        <v>44614</v>
      </c>
      <c r="H803" t="str">
        <f ca="1">IFERROR(__xludf.DUMMYFUNCTION("""COMPUTED_VALUE"""),"Lofton Creek to North Hampton Dock")</f>
        <v>Lofton Creek to North Hampton Dock</v>
      </c>
      <c r="I803" s="15">
        <f ca="1">IFERROR(__xludf.DUMMYFUNCTION("""COMPUTED_VALUE"""),0.58333333333212)</f>
        <v>0.58333333333212001</v>
      </c>
      <c r="J803" s="16"/>
      <c r="K803" t="str">
        <f ca="1">IFERROR(__xludf.DUMMYFUNCTION("""COMPUTED_VALUE"""),"Jon Boat 1 FL5992RR DEP154045")</f>
        <v>Jon Boat 1 FL5992RR DEP154045</v>
      </c>
      <c r="M803" t="str">
        <f ca="1">IFERROR(__xludf.DUMMYFUNCTION("""COMPUTED_VALUE"""),"Ford F150 2007 (F-Bomb) - DEP07055")</f>
        <v>Ford F150 2007 (F-Bomb) - DEP07055</v>
      </c>
      <c r="N803" t="str">
        <f ca="1">IFERROR(__xludf.DUMMYFUNCTION("""COMPUTED_VALUE"""),"Jimmy Tomazinis, (904) 547-0094")</f>
        <v>Jimmy Tomazinis, (904) 547-0094</v>
      </c>
      <c r="O803" t="str">
        <f ca="1">IFERROR(__xludf.DUMMYFUNCTION("""COMPUTED_VALUE"""),"Chris Kurtz")</f>
        <v>Chris Kurtz</v>
      </c>
      <c r="P803" t="str">
        <f ca="1">IFERROR(__xludf.DUMMYFUNCTION("""COMPUTED_VALUE"""),"Jimmy")</f>
        <v>Jimmy</v>
      </c>
      <c r="Q803" t="str">
        <f ca="1">IFERROR(__xludf.DUMMYFUNCTION("""COMPUTED_VALUE"""),"All items in working order")</f>
        <v>All items in working order</v>
      </c>
      <c r="AE803" s="11"/>
      <c r="AF803" t="str">
        <v>Scott.Eastman@floridadep.gov</v>
      </c>
      <c r="AG803" s="17" t="s">
        <v>17</v>
      </c>
      <c r="AH803" s="12">
        <v>1240</v>
      </c>
      <c r="AI803" s="12" t="s">
        <v>2361</v>
      </c>
      <c r="AJ803" s="19" t="s">
        <v>2362</v>
      </c>
      <c r="AK803" s="20" t="str">
        <f>HYPERLINK("https://docs.google.com/document/d/1RVSd0i2kgRgqW0g_XJ4HpTN1PE7ptn-Ge2gOaS7rqKc/edit?usp=drivesdk","Jimmy - 2/22/2022 9:00 AM")</f>
        <v>Jimmy - 2/22/2022 9:00 AM</v>
      </c>
      <c r="AL803" s="12" t="s">
        <v>2363</v>
      </c>
    </row>
    <row r="804" spans="1:38" ht="12.75">
      <c r="A804" s="10">
        <f ca="1">IFERROR(__xludf.DUMMYFUNCTION("""COMPUTED_VALUE"""),44614.2525725463)</f>
        <v>44614.252572546298</v>
      </c>
      <c r="B804" s="11" t="str">
        <f ca="1">IFERROR(__xludf.DUMMYFUNCTION("""COMPUTED_VALUE"""),"Pam Marcum")</f>
        <v>Pam Marcum</v>
      </c>
      <c r="C804" t="str">
        <f ca="1">IFERROR(__xludf.DUMMYFUNCTION("""COMPUTED_VALUE"""),"Pamela.Marcum@FloridaDEP.gov")</f>
        <v>Pamela.Marcum@FloridaDEP.gov</v>
      </c>
      <c r="D804" t="str">
        <f ca="1">IFERROR(__xludf.DUMMYFUNCTION("""COMPUTED_VALUE"""),"Nikki Dix")</f>
        <v>Nikki Dix</v>
      </c>
      <c r="E804" t="str">
        <f ca="1">IFERROR(__xludf.DUMMYFUNCTION("""COMPUTED_VALUE"""),"Aunt Kate's")</f>
        <v>Aunt Kate's</v>
      </c>
      <c r="F804" s="13">
        <f ca="1">IFERROR(__xludf.DUMMYFUNCTION("""COMPUTED_VALUE"""),0.27083333333212)</f>
        <v>0.27083333333212001</v>
      </c>
      <c r="G804" s="14">
        <f ca="1">IFERROR(__xludf.DUMMYFUNCTION("""COMPUTED_VALUE"""),44614)</f>
        <v>44614</v>
      </c>
      <c r="H804" t="str">
        <f ca="1">IFERROR(__xludf.DUMMYFUNCTION("""COMPUTED_VALUE"""),"Guana River &amp; Pine Island")</f>
        <v>Guana River &amp; Pine Island</v>
      </c>
      <c r="I804" s="15">
        <f ca="1">IFERROR(__xludf.DUMMYFUNCTION("""COMPUTED_VALUE"""),0.45833333333212)</f>
        <v>0.45833333333212001</v>
      </c>
      <c r="J804" s="16">
        <f ca="1">IFERROR(__xludf.DUMMYFUNCTION("""COMPUTED_VALUE"""),44614.4791666666)</f>
        <v>44614.479166666599</v>
      </c>
      <c r="K804" t="str">
        <f ca="1">IFERROR(__xludf.DUMMYFUNCTION("""COMPUTED_VALUE"""),"23ft Skiff (Bertha) FL7972LJ DEP07613")</f>
        <v>23ft Skiff (Bertha) FL7972LJ DEP07613</v>
      </c>
      <c r="M804" t="str">
        <f ca="1">IFERROR(__xludf.DUMMYFUNCTION("""COMPUTED_VALUE"""),"Ford F150 2015 (White) - DEP21448")</f>
        <v>Ford F150 2015 (White) - DEP21448</v>
      </c>
      <c r="N804" t="str">
        <f ca="1">IFERROR(__xludf.DUMMYFUNCTION("""COMPUTED_VALUE"""),"Pam Marcum, (480) 332-5414, Alee Knoell, (619) 750-4833, Gabby Canas, (904) 891-9743")</f>
        <v>Pam Marcum, (480) 332-5414, Alee Knoell, (619) 750-4833, Gabby Canas, (904) 891-9743</v>
      </c>
      <c r="O804" t="str">
        <f ca="1">IFERROR(__xludf.DUMMYFUNCTION("""COMPUTED_VALUE"""),"Olivia Roorbach, (404) 694-2653, Mike Darragh")</f>
        <v>Olivia Roorbach, (404) 694-2653, Mike Darragh</v>
      </c>
      <c r="P804" t="str">
        <f ca="1">IFERROR(__xludf.DUMMYFUNCTION("""COMPUTED_VALUE"""),"Pam")</f>
        <v>Pam</v>
      </c>
      <c r="Q804" t="str">
        <f ca="1">IFERROR(__xludf.DUMMYFUNCTION("""COMPUTED_VALUE"""),"All items in working order")</f>
        <v>All items in working order</v>
      </c>
      <c r="AE804" s="11"/>
      <c r="AF804" t="str">
        <v>Nikki.Dix@floridadep.gov</v>
      </c>
      <c r="AG804" s="17" t="s">
        <v>41</v>
      </c>
      <c r="AH804" s="12">
        <v>945</v>
      </c>
      <c r="AI804" s="12" t="s">
        <v>2364</v>
      </c>
      <c r="AJ804" s="19" t="s">
        <v>2365</v>
      </c>
      <c r="AK804" s="20" t="str">
        <f>HYPERLINK("https://docs.google.com/document/d/1qwEmqtGayGdISIMpNWTgCk7OAZFe5tCpun_X48_ZesU/edit?usp=drivesdk","Pam Marcum - 2/22/2022 6:30 AM")</f>
        <v>Pam Marcum - 2/22/2022 6:30 AM</v>
      </c>
      <c r="AL804" s="12" t="s">
        <v>2366</v>
      </c>
    </row>
    <row r="805" spans="1:38" ht="12.75">
      <c r="A805" s="10">
        <f ca="1">IFERROR(__xludf.DUMMYFUNCTION("""COMPUTED_VALUE"""),44614.3396626157)</f>
        <v>44614.339662615697</v>
      </c>
      <c r="B805" s="11" t="str">
        <f ca="1">IFERROR(__xludf.DUMMYFUNCTION("""COMPUTED_VALUE"""),"Silas Tanner")</f>
        <v>Silas Tanner</v>
      </c>
      <c r="C805" t="str">
        <f ca="1">IFERROR(__xludf.DUMMYFUNCTION("""COMPUTED_VALUE"""),"silas.tanner@floridadep.gov")</f>
        <v>silas.tanner@floridadep.gov</v>
      </c>
      <c r="D805" t="str">
        <f ca="1">IFERROR(__xludf.DUMMYFUNCTION("""COMPUTED_VALUE"""),"Nikki Dix")</f>
        <v>Nikki Dix</v>
      </c>
      <c r="E805" t="str">
        <f ca="1">IFERROR(__xludf.DUMMYFUNCTION("""COMPUTED_VALUE"""),"Vilano Landing")</f>
        <v>Vilano Landing</v>
      </c>
      <c r="F805" s="13">
        <f ca="1">IFERROR(__xludf.DUMMYFUNCTION("""COMPUTED_VALUE"""),0.385416666667879)</f>
        <v>0.38541666666787899</v>
      </c>
      <c r="G805" s="14">
        <f ca="1">IFERROR(__xludf.DUMMYFUNCTION("""COMPUTED_VALUE"""),44614)</f>
        <v>44614</v>
      </c>
      <c r="H805" t="str">
        <f ca="1">IFERROR(__xludf.DUMMYFUNCTION("""COMPUTED_VALUE"""),"ICW SWMP sites")</f>
        <v>ICW SWMP sites</v>
      </c>
      <c r="I805" s="15">
        <f ca="1">IFERROR(__xludf.DUMMYFUNCTION("""COMPUTED_VALUE"""),0.604166666667879)</f>
        <v>0.60416666666787899</v>
      </c>
      <c r="J805" s="16">
        <f ca="1">IFERROR(__xludf.DUMMYFUNCTION("""COMPUTED_VALUE"""),44614.6458333333)</f>
        <v>44614.645833333299</v>
      </c>
      <c r="K805" t="str">
        <f ca="1">IFERROR(__xludf.DUMMYFUNCTION("""COMPUTED_VALUE"""),"20ft Sea Ark FL5351SJ UNF 2015")</f>
        <v>20ft Sea Ark FL5351SJ UNF 2015</v>
      </c>
      <c r="M805" t="str">
        <f ca="1">IFERROR(__xludf.DUMMYFUNCTION("""COMPUTED_VALUE"""),"Ford F250 2017 (Moby Dix) - DEP0021578")</f>
        <v>Ford F250 2017 (Moby Dix) - DEP0021578</v>
      </c>
      <c r="N805" t="str">
        <f ca="1">IFERROR(__xludf.DUMMYFUNCTION("""COMPUTED_VALUE"""),"Silas Tanner, (904) 483-8423")</f>
        <v>Silas Tanner, (904) 483-8423</v>
      </c>
      <c r="O805" t="str">
        <f ca="1">IFERROR(__xludf.DUMMYFUNCTION("""COMPUTED_VALUE"""),"Annie Hurley, Courtney Schultz ")</f>
        <v xml:space="preserve">Annie Hurley, Courtney Schultz </v>
      </c>
      <c r="P805" t="str">
        <f ca="1">IFERROR(__xludf.DUMMYFUNCTION("""COMPUTED_VALUE"""),"Silas Tanner")</f>
        <v>Silas Tanner</v>
      </c>
      <c r="Q805" t="str">
        <f ca="1">IFERROR(__xludf.DUMMYFUNCTION("""COMPUTED_VALUE"""),"All items in working order")</f>
        <v>All items in working order</v>
      </c>
      <c r="AE805" s="11"/>
      <c r="AF805" t="str">
        <v>Nikki.Dix@floridadep.gov</v>
      </c>
      <c r="AG805" s="17" t="s">
        <v>41</v>
      </c>
      <c r="AH805" s="12">
        <v>1300</v>
      </c>
      <c r="AI805" s="12" t="s">
        <v>2367</v>
      </c>
      <c r="AJ805" s="19" t="s">
        <v>2368</v>
      </c>
      <c r="AK805" s="20" t="str">
        <f>HYPERLINK("https://docs.google.com/document/d/1Y1R4hRK6Ok5gNMkN373nRQDRGN1OaPHARmS7Z73vHog/edit?usp=drivesdk","Silas Tanner - 2/22/2022 9:15 AM")</f>
        <v>Silas Tanner - 2/22/2022 9:15 AM</v>
      </c>
      <c r="AL805" s="12" t="s">
        <v>2369</v>
      </c>
    </row>
    <row r="806" spans="1:38" ht="12.75">
      <c r="A806" s="10">
        <f ca="1">IFERROR(__xludf.DUMMYFUNCTION("""COMPUTED_VALUE"""),44616.5468757523)</f>
        <v>44616.546875752298</v>
      </c>
      <c r="B806" s="11" t="str">
        <f ca="1">IFERROR(__xludf.DUMMYFUNCTION("""COMPUTED_VALUE"""),"Jimmy")</f>
        <v>Jimmy</v>
      </c>
      <c r="C806" t="str">
        <f ca="1">IFERROR(__xludf.DUMMYFUNCTION("""COMPUTED_VALUE"""),"james.tomazinis@floridadep.gov")</f>
        <v>james.tomazinis@floridadep.gov</v>
      </c>
      <c r="D806" t="str">
        <f ca="1">IFERROR(__xludf.DUMMYFUNCTION("""COMPUTED_VALUE"""),"Scott Eastman")</f>
        <v>Scott Eastman</v>
      </c>
      <c r="E806" t="str">
        <f ca="1">IFERROR(__xludf.DUMMYFUNCTION("""COMPUTED_VALUE"""),"Palm Valley")</f>
        <v>Palm Valley</v>
      </c>
      <c r="F806" s="13">
        <f ca="1">IFERROR(__xludf.DUMMYFUNCTION("""COMPUTED_VALUE"""),0.541666666667879)</f>
        <v>0.54166666666787899</v>
      </c>
      <c r="G806" s="14">
        <f ca="1">IFERROR(__xludf.DUMMYFUNCTION("""COMPUTED_VALUE"""),44616)</f>
        <v>44616</v>
      </c>
      <c r="H806" t="str">
        <f ca="1">IFERROR(__xludf.DUMMYFUNCTION("""COMPUTED_VALUE"""),"Spoil island near Bone Island ")</f>
        <v xml:space="preserve">Spoil island near Bone Island </v>
      </c>
      <c r="I806" s="15">
        <f ca="1">IFERROR(__xludf.DUMMYFUNCTION("""COMPUTED_VALUE"""),0.625)</f>
        <v>0.625</v>
      </c>
      <c r="J806" s="16"/>
      <c r="K806" t="str">
        <f ca="1">IFERROR(__xludf.DUMMYFUNCTION("""COMPUTED_VALUE"""),"Jon Boat 1 FL5992RR DEP154045")</f>
        <v>Jon Boat 1 FL5992RR DEP154045</v>
      </c>
      <c r="M806" t="str">
        <f ca="1">IFERROR(__xludf.DUMMYFUNCTION("""COMPUTED_VALUE"""),"Ford F150 2007 (F-Bomb) - DEP07055")</f>
        <v>Ford F150 2007 (F-Bomb) - DEP07055</v>
      </c>
      <c r="N806" t="str">
        <f ca="1">IFERROR(__xludf.DUMMYFUNCTION("""COMPUTED_VALUE"""),"Jimmy Tomazinis, (904) 547-0094")</f>
        <v>Jimmy Tomazinis, (904) 547-0094</v>
      </c>
      <c r="O806" t="str">
        <f ca="1">IFERROR(__xludf.DUMMYFUNCTION("""COMPUTED_VALUE"""),"Chris Kurtz")</f>
        <v>Chris Kurtz</v>
      </c>
      <c r="P806" t="str">
        <f ca="1">IFERROR(__xludf.DUMMYFUNCTION("""COMPUTED_VALUE"""),"Jimmy")</f>
        <v>Jimmy</v>
      </c>
      <c r="Q806" t="str">
        <f ca="1">IFERROR(__xludf.DUMMYFUNCTION("""COMPUTED_VALUE"""),"All items in working order")</f>
        <v>All items in working order</v>
      </c>
      <c r="AE806" s="11"/>
      <c r="AF806" t="str">
        <v>Scott.Eastman@floridadep.gov</v>
      </c>
      <c r="AG806" s="17" t="s">
        <v>17</v>
      </c>
      <c r="AH806" s="12">
        <v>1415</v>
      </c>
      <c r="AI806" s="12" t="s">
        <v>2370</v>
      </c>
      <c r="AJ806" s="19" t="s">
        <v>2371</v>
      </c>
      <c r="AK806" s="20" t="str">
        <f>HYPERLINK("https://docs.google.com/document/d/1027H_VD63bSVueZp-dJ3zy8foNvsSfpsSTu50j-b60M/edit?usp=drivesdk","Jimmy - 2/24/2022 1:00 PM")</f>
        <v>Jimmy - 2/24/2022 1:00 PM</v>
      </c>
      <c r="AL806" s="12" t="s">
        <v>2372</v>
      </c>
    </row>
    <row r="807" spans="1:38" ht="12.75">
      <c r="A807" s="10">
        <f ca="1">IFERROR(__xludf.DUMMYFUNCTION("""COMPUTED_VALUE"""),44621.3106535995)</f>
        <v>44621.310653599503</v>
      </c>
      <c r="B807" s="11" t="str">
        <f ca="1">IFERROR(__xludf.DUMMYFUNCTION("""COMPUTED_VALUE"""),"Olivia Roorbach")</f>
        <v>Olivia Roorbach</v>
      </c>
      <c r="C807" t="str">
        <f ca="1">IFERROR(__xludf.DUMMYFUNCTION("""COMPUTED_VALUE"""),"olivia.roorbach@floridadep.gov")</f>
        <v>olivia.roorbach@floridadep.gov</v>
      </c>
      <c r="D807" t="str">
        <f ca="1">IFERROR(__xludf.DUMMYFUNCTION("""COMPUTED_VALUE"""),"Shannon Dunnigan")</f>
        <v>Shannon Dunnigan</v>
      </c>
      <c r="E807" t="str">
        <f ca="1">IFERROR(__xludf.DUMMYFUNCTION("""COMPUTED_VALUE"""),"Guana dam ")</f>
        <v xml:space="preserve">Guana dam </v>
      </c>
      <c r="F807" s="13">
        <f ca="1">IFERROR(__xludf.DUMMYFUNCTION("""COMPUTED_VALUE"""),0.33333333333212)</f>
        <v>0.33333333333212001</v>
      </c>
      <c r="G807" s="14">
        <f ca="1">IFERROR(__xludf.DUMMYFUNCTION("""COMPUTED_VALUE"""),44621)</f>
        <v>44621</v>
      </c>
      <c r="H807" t="str">
        <f ca="1">IFERROR(__xludf.DUMMYFUNCTION("""COMPUTED_VALUE"""),"Guana river and lake ")</f>
        <v xml:space="preserve">Guana river and lake </v>
      </c>
      <c r="I807" s="15">
        <f ca="1">IFERROR(__xludf.DUMMYFUNCTION("""COMPUTED_VALUE"""),0.58333333333212)</f>
        <v>0.58333333333212001</v>
      </c>
      <c r="J807" s="16">
        <f ca="1">IFERROR(__xludf.DUMMYFUNCTION("""COMPUTED_VALUE"""),44621.5833333333)</f>
        <v>44621.583333333299</v>
      </c>
      <c r="K807" t="str">
        <f ca="1">IFERROR(__xludf.DUMMYFUNCTION("""COMPUTED_VALUE"""),"Jon Boat 1 FL5992RR DEP154045, Airboat ")</f>
        <v xml:space="preserve">Jon Boat 1 FL5992RR DEP154045, Airboat </v>
      </c>
      <c r="M807" t="str">
        <f ca="1">IFERROR(__xludf.DUMMYFUNCTION("""COMPUTED_VALUE"""),"Ford F150 2015 (White) - DEP21448")</f>
        <v>Ford F150 2015 (White) - DEP21448</v>
      </c>
      <c r="N807" t="str">
        <f ca="1">IFERROR(__xludf.DUMMYFUNCTION("""COMPUTED_VALUE"""),"Olivia Roorbach, (404) 694-2653")</f>
        <v>Olivia Roorbach, (404) 694-2653</v>
      </c>
      <c r="O807" t="str">
        <f ca="1">IFERROR(__xludf.DUMMYFUNCTION("""COMPUTED_VALUE"""),"Jenna Reimer, Nicole De Venoge")</f>
        <v>Jenna Reimer, Nicole De Venoge</v>
      </c>
      <c r="P807" t="str">
        <f ca="1">IFERROR(__xludf.DUMMYFUNCTION("""COMPUTED_VALUE"""),"Olivia Roorbach")</f>
        <v>Olivia Roorbach</v>
      </c>
      <c r="Q807" t="str">
        <f ca="1">IFERROR(__xludf.DUMMYFUNCTION("""COMPUTED_VALUE"""),"All items in working order")</f>
        <v>All items in working order</v>
      </c>
      <c r="AE807" s="11"/>
      <c r="AF807" t="str">
        <v>Shannon.Dunnigan@floridadep.gov</v>
      </c>
      <c r="AG807" s="17" t="s">
        <v>507</v>
      </c>
      <c r="AH807" s="12">
        <v>1246</v>
      </c>
      <c r="AI807" s="12" t="s">
        <v>2373</v>
      </c>
      <c r="AJ807" s="19" t="s">
        <v>2374</v>
      </c>
      <c r="AK807" s="20" t="str">
        <f>HYPERLINK("https://docs.google.com/document/d/1Ci0Kjh2DDBbgIC16AkvXKnuOE-w9zeXYn5r7ZJVXma4/edit?usp=drivesdk","Olivia Roorbach - 3/1/2022 8:00 AM")</f>
        <v>Olivia Roorbach - 3/1/2022 8:00 AM</v>
      </c>
      <c r="AL807" s="12" t="s">
        <v>2375</v>
      </c>
    </row>
    <row r="808" spans="1:38" ht="12.75">
      <c r="A808" s="10">
        <f ca="1">IFERROR(__xludf.DUMMYFUNCTION("""COMPUTED_VALUE"""),44621.4274065625)</f>
        <v>44621.4274065625</v>
      </c>
      <c r="B808" s="11" t="str">
        <f ca="1">IFERROR(__xludf.DUMMYFUNCTION("""COMPUTED_VALUE"""),"Jimmy")</f>
        <v>Jimmy</v>
      </c>
      <c r="C808" t="str">
        <f ca="1">IFERROR(__xludf.DUMMYFUNCTION("""COMPUTED_VALUE"""),"james.tomazinis@floridadep.gov")</f>
        <v>james.tomazinis@floridadep.gov</v>
      </c>
      <c r="D808" t="str">
        <f ca="1">IFERROR(__xludf.DUMMYFUNCTION("""COMPUTED_VALUE"""),"Scott Eastman")</f>
        <v>Scott Eastman</v>
      </c>
      <c r="E808" t="str">
        <f ca="1">IFERROR(__xludf.DUMMYFUNCTION("""COMPUTED_VALUE"""),"Holly Point")</f>
        <v>Holly Point</v>
      </c>
      <c r="F808" s="13">
        <f ca="1">IFERROR(__xludf.DUMMYFUNCTION("""COMPUTED_VALUE"""),0.541666666667879)</f>
        <v>0.54166666666787899</v>
      </c>
      <c r="G808" s="14">
        <f ca="1">IFERROR(__xludf.DUMMYFUNCTION("""COMPUTED_VALUE"""),44621)</f>
        <v>44621</v>
      </c>
      <c r="H808" t="str">
        <f ca="1">IFERROR(__xludf.DUMMYFUNCTION("""COMPUTED_VALUE"""),"Edwards WQ site")</f>
        <v>Edwards WQ site</v>
      </c>
      <c r="I808" s="15">
        <f ca="1">IFERROR(__xludf.DUMMYFUNCTION("""COMPUTED_VALUE"""),0.70833333333212)</f>
        <v>0.70833333333212001</v>
      </c>
      <c r="J808" s="16"/>
      <c r="K808" t="str">
        <f ca="1">IFERROR(__xludf.DUMMYFUNCTION("""COMPUTED_VALUE"""),"F 20ft Sea Ark (Easy 200) FL8534PY DEP21451")</f>
        <v>F 20ft Sea Ark (Easy 200) FL8534PY DEP21451</v>
      </c>
      <c r="M808" t="str">
        <f ca="1">IFERROR(__xludf.DUMMYFUNCTION("""COMPUTED_VALUE"""),"Ford F150 2007 (F-Bomb) - DEP07055")</f>
        <v>Ford F150 2007 (F-Bomb) - DEP07055</v>
      </c>
      <c r="N808" t="str">
        <f ca="1">IFERROR(__xludf.DUMMYFUNCTION("""COMPUTED_VALUE"""),"Jimmy Tomazinis, (904) 547-0094")</f>
        <v>Jimmy Tomazinis, (904) 547-0094</v>
      </c>
      <c r="O808" t="str">
        <f ca="1">IFERROR(__xludf.DUMMYFUNCTION("""COMPUTED_VALUE"""),"Chris Kurtz")</f>
        <v>Chris Kurtz</v>
      </c>
      <c r="P808" t="str">
        <f ca="1">IFERROR(__xludf.DUMMYFUNCTION("""COMPUTED_VALUE"""),"Jimmy")</f>
        <v>Jimmy</v>
      </c>
      <c r="Q808" t="str">
        <f ca="1">IFERROR(__xludf.DUMMYFUNCTION("""COMPUTED_VALUE"""),"All items in working order")</f>
        <v>All items in working order</v>
      </c>
      <c r="AE808" s="11"/>
      <c r="AF808" t="str">
        <v>Scott.Eastman@floridadep.gov</v>
      </c>
      <c r="AG808" s="17" t="s">
        <v>17</v>
      </c>
      <c r="AH808" s="12">
        <v>1705</v>
      </c>
      <c r="AI808" s="12" t="s">
        <v>2376</v>
      </c>
      <c r="AJ808" s="19" t="s">
        <v>2377</v>
      </c>
      <c r="AK808" s="20" t="str">
        <f>HYPERLINK("https://docs.google.com/document/d/1LuFbqTwBStOON6ehl0wjjqXi8oKWPhHeMVBlYyXOC5I/edit?usp=drivesdk","Jimmy - 3/1/2022 1:00 PM")</f>
        <v>Jimmy - 3/1/2022 1:00 PM</v>
      </c>
      <c r="AL808" s="12" t="s">
        <v>2378</v>
      </c>
    </row>
    <row r="809" spans="1:38" ht="12.75">
      <c r="A809" s="10">
        <f ca="1">IFERROR(__xludf.DUMMYFUNCTION("""COMPUTED_VALUE"""),44621.5215160069)</f>
        <v>44621.521516006898</v>
      </c>
      <c r="B809" s="11" t="str">
        <f ca="1">IFERROR(__xludf.DUMMYFUNCTION("""COMPUTED_VALUE"""),"Pam Marcum ")</f>
        <v xml:space="preserve">Pam Marcum </v>
      </c>
      <c r="C809" t="str">
        <f ca="1">IFERROR(__xludf.DUMMYFUNCTION("""COMPUTED_VALUE"""),"Pamela.Marcum@FloridaDEP.gov")</f>
        <v>Pamela.Marcum@FloridaDEP.gov</v>
      </c>
      <c r="D809" t="str">
        <f ca="1">IFERROR(__xludf.DUMMYFUNCTION("""COMPUTED_VALUE"""),"Shannon Dunnigan")</f>
        <v>Shannon Dunnigan</v>
      </c>
      <c r="E809" t="str">
        <f ca="1">IFERROR(__xludf.DUMMYFUNCTION("""COMPUTED_VALUE"""),"Aunt Kates ")</f>
        <v xml:space="preserve">Aunt Kates </v>
      </c>
      <c r="F809" s="13">
        <f ca="1">IFERROR(__xludf.DUMMYFUNCTION("""COMPUTED_VALUE"""),0.5)</f>
        <v>0.5</v>
      </c>
      <c r="G809" s="14">
        <f ca="1">IFERROR(__xludf.DUMMYFUNCTION("""COMPUTED_VALUE"""),44621)</f>
        <v>44621</v>
      </c>
      <c r="H809" t="str">
        <f ca="1">IFERROR(__xludf.DUMMYFUNCTION("""COMPUTED_VALUE"""),"Robinson creek and tolomato")</f>
        <v>Robinson creek and tolomato</v>
      </c>
      <c r="I809" s="15">
        <f ca="1">IFERROR(__xludf.DUMMYFUNCTION("""COMPUTED_VALUE"""),0.64583333333212)</f>
        <v>0.64583333333212001</v>
      </c>
      <c r="J809" s="16">
        <f ca="1">IFERROR(__xludf.DUMMYFUNCTION("""COMPUTED_VALUE"""),44621.6666666666)</f>
        <v>44621.666666666599</v>
      </c>
      <c r="K809" t="str">
        <f ca="1">IFERROR(__xludf.DUMMYFUNCTION("""COMPUTED_VALUE"""),"23ft Skiff (Bertha) FL7972LJ DEP07613")</f>
        <v>23ft Skiff (Bertha) FL7972LJ DEP07613</v>
      </c>
      <c r="M809" t="str">
        <f ca="1">IFERROR(__xludf.DUMMYFUNCTION("""COMPUTED_VALUE"""),"Ford F250 2017 (Moby Dix) - DEP0021578")</f>
        <v>Ford F250 2017 (Moby Dix) - DEP0021578</v>
      </c>
      <c r="N809" t="str">
        <f ca="1">IFERROR(__xludf.DUMMYFUNCTION("""COMPUTED_VALUE"""),"Pam Marcum, (480) 332-5414")</f>
        <v>Pam Marcum, (480) 332-5414</v>
      </c>
      <c r="O809" t="str">
        <f ca="1">IFERROR(__xludf.DUMMYFUNCTION("""COMPUTED_VALUE"""),"Savana Mathis, Debbie Dix, Jeff Finnan")</f>
        <v>Savana Mathis, Debbie Dix, Jeff Finnan</v>
      </c>
      <c r="P809" t="str">
        <f ca="1">IFERROR(__xludf.DUMMYFUNCTION("""COMPUTED_VALUE"""),"Pam")</f>
        <v>Pam</v>
      </c>
      <c r="Q809" t="str">
        <f ca="1">IFERROR(__xludf.DUMMYFUNCTION("""COMPUTED_VALUE"""),"All items in working order")</f>
        <v>All items in working order</v>
      </c>
      <c r="AE809" s="11"/>
      <c r="AF809" t="str">
        <v>Shannon.Dunnigan@floridadep.gov</v>
      </c>
      <c r="AG809" s="17" t="s">
        <v>507</v>
      </c>
      <c r="AH809" s="12">
        <v>1556</v>
      </c>
      <c r="AI809" s="12" t="s">
        <v>2379</v>
      </c>
      <c r="AJ809" s="19" t="s">
        <v>2380</v>
      </c>
      <c r="AK809" s="20" t="str">
        <f>HYPERLINK("https://docs.google.com/document/d/1nH568YrCXg5IjAusStUKgmn5sFTlm14TbSze3zXCAdA/edit?usp=drivesdk","Pam Marcum  - 3/1/2022 12:00 PM")</f>
        <v>Pam Marcum  - 3/1/2022 12:00 PM</v>
      </c>
      <c r="AL809" s="12" t="s">
        <v>2381</v>
      </c>
    </row>
    <row r="810" spans="1:38" ht="12.75">
      <c r="A810" s="10">
        <f ca="1">IFERROR(__xludf.DUMMYFUNCTION("""COMPUTED_VALUE"""),44622.3361142708)</f>
        <v>44622.336114270802</v>
      </c>
      <c r="B810" s="11" t="str">
        <f ca="1">IFERROR(__xludf.DUMMYFUNCTION("""COMPUTED_VALUE"""),"Alexandria Knoell")</f>
        <v>Alexandria Knoell</v>
      </c>
      <c r="C810" t="str">
        <f ca="1">IFERROR(__xludf.DUMMYFUNCTION("""COMPUTED_VALUE"""),"alee.knoell@floridadep.gov")</f>
        <v>alee.knoell@floridadep.gov</v>
      </c>
      <c r="D810" t="str">
        <f ca="1">IFERROR(__xludf.DUMMYFUNCTION("""COMPUTED_VALUE"""),"Silas Tanner")</f>
        <v>Silas Tanner</v>
      </c>
      <c r="E810" t="str">
        <f ca="1">IFERROR(__xludf.DUMMYFUNCTION("""COMPUTED_VALUE"""),"Vilano")</f>
        <v>Vilano</v>
      </c>
      <c r="F810" s="13">
        <f ca="1">IFERROR(__xludf.DUMMYFUNCTION("""COMPUTED_VALUE"""),0.33333333333212)</f>
        <v>0.33333333333212001</v>
      </c>
      <c r="G810" s="14">
        <f ca="1">IFERROR(__xludf.DUMMYFUNCTION("""COMPUTED_VALUE"""),44622)</f>
        <v>44622</v>
      </c>
      <c r="H810" t="str">
        <f ca="1">IFERROR(__xludf.DUMMYFUNCTION("""COMPUTED_VALUE"""),"SWMP sites")</f>
        <v>SWMP sites</v>
      </c>
      <c r="I810" s="15">
        <f ca="1">IFERROR(__xludf.DUMMYFUNCTION("""COMPUTED_VALUE"""),0.5)</f>
        <v>0.5</v>
      </c>
      <c r="J810" s="16">
        <f ca="1">IFERROR(__xludf.DUMMYFUNCTION("""COMPUTED_VALUE"""),44622.5416666666)</f>
        <v>44622.541666666599</v>
      </c>
      <c r="K810" t="str">
        <f ca="1">IFERROR(__xludf.DUMMYFUNCTION("""COMPUTED_VALUE"""),"23ft Skiff (Bertha) FL7972LJ DEP07613")</f>
        <v>23ft Skiff (Bertha) FL7972LJ DEP07613</v>
      </c>
      <c r="M810" t="str">
        <f ca="1">IFERROR(__xludf.DUMMYFUNCTION("""COMPUTED_VALUE"""),"Ford F250 2017 (Moby Dix) - DEP0021578")</f>
        <v>Ford F250 2017 (Moby Dix) - DEP0021578</v>
      </c>
      <c r="N810" t="str">
        <f ca="1">IFERROR(__xludf.DUMMYFUNCTION("""COMPUTED_VALUE"""),"Shannon Dunnigan, (803) 727-5734, Alee Knoell, (619) 750-4833")</f>
        <v>Shannon Dunnigan, (803) 727-5734, Alee Knoell, (619) 750-4833</v>
      </c>
      <c r="P810" t="str">
        <f ca="1">IFERROR(__xludf.DUMMYFUNCTION("""COMPUTED_VALUE"""),"Shannon Dunnigan ")</f>
        <v xml:space="preserve">Shannon Dunnigan </v>
      </c>
      <c r="Q810" t="str">
        <f ca="1">IFERROR(__xludf.DUMMYFUNCTION("""COMPUTED_VALUE"""),"All items in working order")</f>
        <v>All items in working order</v>
      </c>
      <c r="AE810" s="11"/>
      <c r="AF810" t="str">
        <v>Silas.Tanner@floridadep.gov</v>
      </c>
      <c r="AG810" s="17" t="s">
        <v>1568</v>
      </c>
      <c r="AH810" s="12">
        <v>1229</v>
      </c>
      <c r="AI810" s="12" t="s">
        <v>2382</v>
      </c>
      <c r="AJ810" s="19" t="s">
        <v>2383</v>
      </c>
      <c r="AK810" s="20" t="str">
        <f>HYPERLINK("https://docs.google.com/document/d/1EFp1szLBShCuIfDlu-z1NS7U6gQAIr8KdVnaPhh9Gyk/edit?usp=drivesdk","Alexandria Knoell - 3/2/2022 8:00 AM")</f>
        <v>Alexandria Knoell - 3/2/2022 8:00 AM</v>
      </c>
      <c r="AL810" s="12" t="s">
        <v>2384</v>
      </c>
    </row>
    <row r="811" spans="1:38" ht="12.75">
      <c r="A811" s="10">
        <f ca="1">IFERROR(__xludf.DUMMYFUNCTION("""COMPUTED_VALUE"""),44622.5175622338)</f>
        <v>44622.517562233799</v>
      </c>
      <c r="B811" s="11" t="str">
        <f ca="1">IFERROR(__xludf.DUMMYFUNCTION("""COMPUTED_VALUE"""),"Pam Marcum ")</f>
        <v xml:space="preserve">Pam Marcum </v>
      </c>
      <c r="C811" t="str">
        <f ca="1">IFERROR(__xludf.DUMMYFUNCTION("""COMPUTED_VALUE"""),"Pamela.Marcum@FloridaDEP.gov")</f>
        <v>Pamela.Marcum@FloridaDEP.gov</v>
      </c>
      <c r="D811" t="str">
        <f ca="1">IFERROR(__xludf.DUMMYFUNCTION("""COMPUTED_VALUE"""),"Nikki Dix")</f>
        <v>Nikki Dix</v>
      </c>
      <c r="E811" t="str">
        <f ca="1">IFERROR(__xludf.DUMMYFUNCTION("""COMPUTED_VALUE"""),"Vilano")</f>
        <v>Vilano</v>
      </c>
      <c r="F811" s="13">
        <f ca="1">IFERROR(__xludf.DUMMYFUNCTION("""COMPUTED_VALUE"""),0.52083333333212)</f>
        <v>0.52083333333212001</v>
      </c>
      <c r="G811" s="14">
        <f ca="1">IFERROR(__xludf.DUMMYFUNCTION("""COMPUTED_VALUE"""),44622)</f>
        <v>44622</v>
      </c>
      <c r="H811" t="str">
        <f ca="1">IFERROR(__xludf.DUMMYFUNCTION("""COMPUTED_VALUE"""),"Tolomato  river")</f>
        <v>Tolomato  river</v>
      </c>
      <c r="I811" s="15">
        <f ca="1">IFERROR(__xludf.DUMMYFUNCTION("""COMPUTED_VALUE"""),0.666666666667879)</f>
        <v>0.66666666666787899</v>
      </c>
      <c r="J811" s="16">
        <f ca="1">IFERROR(__xludf.DUMMYFUNCTION("""COMPUTED_VALUE"""),44622.6875)</f>
        <v>44622.6875</v>
      </c>
      <c r="K811" t="str">
        <f ca="1">IFERROR(__xludf.DUMMYFUNCTION("""COMPUTED_VALUE"""),"Jon Boat 1 FL5992RR DEP154045")</f>
        <v>Jon Boat 1 FL5992RR DEP154045</v>
      </c>
      <c r="M811" t="str">
        <f ca="1">IFERROR(__xludf.DUMMYFUNCTION("""COMPUTED_VALUE"""),"Ford F150 2015 (White) - DEP21448")</f>
        <v>Ford F150 2015 (White) - DEP21448</v>
      </c>
      <c r="N811" t="str">
        <f ca="1">IFERROR(__xludf.DUMMYFUNCTION("""COMPUTED_VALUE"""),"Pam Marcum, (480) 332-5414")</f>
        <v>Pam Marcum, (480) 332-5414</v>
      </c>
      <c r="O811" t="str">
        <f ca="1">IFERROR(__xludf.DUMMYFUNCTION("""COMPUTED_VALUE"""),"Ciel Brooks, Jeff Finnan")</f>
        <v>Ciel Brooks, Jeff Finnan</v>
      </c>
      <c r="P811" t="str">
        <f ca="1">IFERROR(__xludf.DUMMYFUNCTION("""COMPUTED_VALUE"""),"Pam")</f>
        <v>Pam</v>
      </c>
      <c r="Q811" t="str">
        <f ca="1">IFERROR(__xludf.DUMMYFUNCTION("""COMPUTED_VALUE"""),"All items in working order")</f>
        <v>All items in working order</v>
      </c>
      <c r="AE811" s="11"/>
      <c r="AF811" t="str">
        <v>Nikki.Dix@floridadep.gov</v>
      </c>
      <c r="AG811" s="17" t="s">
        <v>41</v>
      </c>
      <c r="AH811" s="12">
        <v>1548</v>
      </c>
      <c r="AI811" s="12" t="s">
        <v>2385</v>
      </c>
      <c r="AJ811" s="19" t="s">
        <v>2386</v>
      </c>
      <c r="AK811" s="20" t="str">
        <f>HYPERLINK("https://docs.google.com/document/d/1nW92-V1mHr6cUV3dzVuKRL7nq2ujm8uO92SNyLdK40s/edit?usp=drivesdk","Pam Marcum  - 3/2/2022 12:30 PM")</f>
        <v>Pam Marcum  - 3/2/2022 12:30 PM</v>
      </c>
      <c r="AL811" s="12" t="s">
        <v>2387</v>
      </c>
    </row>
    <row r="812" spans="1:38" ht="12.75">
      <c r="A812" s="10">
        <f ca="1">IFERROR(__xludf.DUMMYFUNCTION("""COMPUTED_VALUE"""),44623.5749540277)</f>
        <v>44623.574954027703</v>
      </c>
      <c r="B812" s="11" t="str">
        <f ca="1">IFERROR(__xludf.DUMMYFUNCTION("""COMPUTED_VALUE"""),"Alexandria Knoell")</f>
        <v>Alexandria Knoell</v>
      </c>
      <c r="C812" t="str">
        <f ca="1">IFERROR(__xludf.DUMMYFUNCTION("""COMPUTED_VALUE"""),"alee.knoell@floridadep.gov")</f>
        <v>alee.knoell@floridadep.gov</v>
      </c>
      <c r="D812" t="str">
        <f ca="1">IFERROR(__xludf.DUMMYFUNCTION("""COMPUTED_VALUE"""),"Nikki Dix")</f>
        <v>Nikki Dix</v>
      </c>
      <c r="E812" t="str">
        <f ca="1">IFERROR(__xludf.DUMMYFUNCTION("""COMPUTED_VALUE"""),"Aunt kates")</f>
        <v>Aunt kates</v>
      </c>
      <c r="F812" s="13">
        <f ca="1">IFERROR(__xludf.DUMMYFUNCTION("""COMPUTED_VALUE"""),0.5625)</f>
        <v>0.5625</v>
      </c>
      <c r="G812" s="14">
        <f ca="1">IFERROR(__xludf.DUMMYFUNCTION("""COMPUTED_VALUE"""),44623)</f>
        <v>44623</v>
      </c>
      <c r="H812" t="str">
        <f ca="1">IFERROR(__xludf.DUMMYFUNCTION("""COMPUTED_VALUE"""),"Tolomato/ Guana")</f>
        <v>Tolomato/ Guana</v>
      </c>
      <c r="I812" s="15">
        <f ca="1">IFERROR(__xludf.DUMMYFUNCTION("""COMPUTED_VALUE"""),0.6875)</f>
        <v>0.6875</v>
      </c>
      <c r="J812" s="16">
        <f ca="1">IFERROR(__xludf.DUMMYFUNCTION("""COMPUTED_VALUE"""),44623.71875)</f>
        <v>44623.71875</v>
      </c>
      <c r="K812" t="str">
        <f ca="1">IFERROR(__xludf.DUMMYFUNCTION("""COMPUTED_VALUE"""),"23ft Skiff (Bertha) FL7972LJ DEP07613")</f>
        <v>23ft Skiff (Bertha) FL7972LJ DEP07613</v>
      </c>
      <c r="M812" t="str">
        <f ca="1">IFERROR(__xludf.DUMMYFUNCTION("""COMPUTED_VALUE"""),"Ford F250 2017 (Moby Dix) - DEP0021578")</f>
        <v>Ford F250 2017 (Moby Dix) - DEP0021578</v>
      </c>
      <c r="N812" t="str">
        <f ca="1">IFERROR(__xludf.DUMMYFUNCTION("""COMPUTED_VALUE"""),"Pam Marcum, (480) 332-5414, Alee Knoell, (619) 750-4833")</f>
        <v>Pam Marcum, (480) 332-5414, Alee Knoell, (619) 750-4833</v>
      </c>
      <c r="O812" t="str">
        <f ca="1">IFERROR(__xludf.DUMMYFUNCTION("""COMPUTED_VALUE"""),"Mike daragh, Michelle simonds , Matt debaun ")</f>
        <v xml:space="preserve">Mike daragh, Michelle simonds , Matt debaun </v>
      </c>
      <c r="P812" t="str">
        <f ca="1">IFERROR(__xludf.DUMMYFUNCTION("""COMPUTED_VALUE"""),"Pam m")</f>
        <v>Pam m</v>
      </c>
      <c r="Q812" t="str">
        <f ca="1">IFERROR(__xludf.DUMMYFUNCTION("""COMPUTED_VALUE"""),"All items in working order")</f>
        <v>All items in working order</v>
      </c>
      <c r="AE812" s="11"/>
      <c r="AF812" t="str">
        <v>Nikki.Dix@floridadep.gov</v>
      </c>
      <c r="AG812" s="17" t="s">
        <v>41</v>
      </c>
      <c r="AH812" s="12">
        <v>1730</v>
      </c>
      <c r="AI812" s="12" t="s">
        <v>2388</v>
      </c>
      <c r="AJ812" s="19" t="s">
        <v>2389</v>
      </c>
      <c r="AK812" s="20" t="str">
        <f>HYPERLINK("https://docs.google.com/document/d/1A6UsL82cJOKWCJE46iK9sdQ9aNsWxyCC2lU0JlUdrZU/edit?usp=drivesdk","Alexandria Knoell - 3/3/2022 1:30 PM")</f>
        <v>Alexandria Knoell - 3/3/2022 1:30 PM</v>
      </c>
      <c r="AL812" s="12" t="s">
        <v>2390</v>
      </c>
    </row>
    <row r="813" spans="1:38" ht="12.75">
      <c r="A813" s="10">
        <f ca="1">IFERROR(__xludf.DUMMYFUNCTION("""COMPUTED_VALUE"""),44627.293520243)</f>
        <v>44627.293520243002</v>
      </c>
      <c r="B813" s="11" t="str">
        <f ca="1">IFERROR(__xludf.DUMMYFUNCTION("""COMPUTED_VALUE"""),"Pam Marcum ")</f>
        <v xml:space="preserve">Pam Marcum </v>
      </c>
      <c r="C813" t="str">
        <f ca="1">IFERROR(__xludf.DUMMYFUNCTION("""COMPUTED_VALUE"""),"Pamela.Marcum@FloridaDEP.gov")</f>
        <v>Pamela.Marcum@FloridaDEP.gov</v>
      </c>
      <c r="D813" t="str">
        <f ca="1">IFERROR(__xludf.DUMMYFUNCTION("""COMPUTED_VALUE"""),"Nikki Dix")</f>
        <v>Nikki Dix</v>
      </c>
      <c r="E813" t="str">
        <f ca="1">IFERROR(__xludf.DUMMYFUNCTION("""COMPUTED_VALUE"""),"Palm valley")</f>
        <v>Palm valley</v>
      </c>
      <c r="F813" s="13">
        <f ca="1">IFERROR(__xludf.DUMMYFUNCTION("""COMPUTED_VALUE"""),0.30208333333212)</f>
        <v>0.30208333333212001</v>
      </c>
      <c r="G813" s="14">
        <f ca="1">IFERROR(__xludf.DUMMYFUNCTION("""COMPUTED_VALUE"""),44627)</f>
        <v>44627</v>
      </c>
      <c r="H813" t="str">
        <f ca="1">IFERROR(__xludf.DUMMYFUNCTION("""COMPUTED_VALUE"""),"Pine island")</f>
        <v>Pine island</v>
      </c>
      <c r="I813" s="15">
        <f ca="1">IFERROR(__xludf.DUMMYFUNCTION("""COMPUTED_VALUE"""),0.45833333333212)</f>
        <v>0.45833333333212001</v>
      </c>
      <c r="J813" s="16">
        <f ca="1">IFERROR(__xludf.DUMMYFUNCTION("""COMPUTED_VALUE"""),44627.4791666666)</f>
        <v>44627.479166666599</v>
      </c>
      <c r="K813" t="str">
        <f ca="1">IFERROR(__xludf.DUMMYFUNCTION("""COMPUTED_VALUE"""),"23ft Skiff (Bertha) FL7972LJ DEP07613")</f>
        <v>23ft Skiff (Bertha) FL7972LJ DEP07613</v>
      </c>
      <c r="M813" t="str">
        <f ca="1">IFERROR(__xludf.DUMMYFUNCTION("""COMPUTED_VALUE"""),"Ford F250 2017 (Moby Dix) - DEP0021578")</f>
        <v>Ford F250 2017 (Moby Dix) - DEP0021578</v>
      </c>
      <c r="N813" t="str">
        <f ca="1">IFERROR(__xludf.DUMMYFUNCTION("""COMPUTED_VALUE"""),"Pam Marcum, (480) 332-5414, Alee Knoell, (619) 750-4833")</f>
        <v>Pam Marcum, (480) 332-5414, Alee Knoell, (619) 750-4833</v>
      </c>
      <c r="O813" t="str">
        <f ca="1">IFERROR(__xludf.DUMMYFUNCTION("""COMPUTED_VALUE"""),"Amy Brownfield")</f>
        <v>Amy Brownfield</v>
      </c>
      <c r="P813" t="str">
        <f ca="1">IFERROR(__xludf.DUMMYFUNCTION("""COMPUTED_VALUE"""),"Pam")</f>
        <v>Pam</v>
      </c>
      <c r="Q813" t="str">
        <f ca="1">IFERROR(__xludf.DUMMYFUNCTION("""COMPUTED_VALUE"""),"All items in working order")</f>
        <v>All items in working order</v>
      </c>
      <c r="AE813" s="11"/>
      <c r="AF813" t="str">
        <v>Nikki.Dix@floridadep.gov</v>
      </c>
      <c r="AG813" s="17" t="s">
        <v>41</v>
      </c>
      <c r="AH813" s="12">
        <v>930</v>
      </c>
      <c r="AI813" s="12" t="s">
        <v>2391</v>
      </c>
      <c r="AJ813" s="19" t="s">
        <v>2392</v>
      </c>
      <c r="AK813" s="20" t="str">
        <f>HYPERLINK("https://docs.google.com/document/d/1_wnk2a_d2Xly2coV3fDD38xS3cK_b49E4biqTvlPGzY/edit?usp=drivesdk","Pam Marcum  - 3/7/2022 7:15 AM")</f>
        <v>Pam Marcum  - 3/7/2022 7:15 AM</v>
      </c>
      <c r="AL813" s="12" t="s">
        <v>2393</v>
      </c>
    </row>
    <row r="814" spans="1:38" ht="12.75">
      <c r="A814" s="10">
        <f ca="1">IFERROR(__xludf.DUMMYFUNCTION("""COMPUTED_VALUE"""),44628.3087461574)</f>
        <v>44628.308746157403</v>
      </c>
      <c r="B814" s="11" t="str">
        <f ca="1">IFERROR(__xludf.DUMMYFUNCTION("""COMPUTED_VALUE"""),"Silas Tanner")</f>
        <v>Silas Tanner</v>
      </c>
      <c r="C814" t="str">
        <f ca="1">IFERROR(__xludf.DUMMYFUNCTION("""COMPUTED_VALUE"""),"silas.tanner@floridadep.gov")</f>
        <v>silas.tanner@floridadep.gov</v>
      </c>
      <c r="D814" t="str">
        <f ca="1">IFERROR(__xludf.DUMMYFUNCTION("""COMPUTED_VALUE"""),"Nikki Dix")</f>
        <v>Nikki Dix</v>
      </c>
      <c r="E814" t="str">
        <f ca="1">IFERROR(__xludf.DUMMYFUNCTION("""COMPUTED_VALUE"""),"Vilano Landing")</f>
        <v>Vilano Landing</v>
      </c>
      <c r="F814" s="13">
        <f ca="1">IFERROR(__xludf.DUMMYFUNCTION("""COMPUTED_VALUE"""),0.354166666667879)</f>
        <v>0.35416666666787899</v>
      </c>
      <c r="G814" s="14">
        <f ca="1">IFERROR(__xludf.DUMMYFUNCTION("""COMPUTED_VALUE"""),44628)</f>
        <v>44628</v>
      </c>
      <c r="H814" t="str">
        <f ca="1">IFERROR(__xludf.DUMMYFUNCTION("""COMPUTED_VALUE"""),"ICW SWMP Sites")</f>
        <v>ICW SWMP Sites</v>
      </c>
      <c r="I814" s="15">
        <f ca="1">IFERROR(__xludf.DUMMYFUNCTION("""COMPUTED_VALUE"""),0.5625)</f>
        <v>0.5625</v>
      </c>
      <c r="J814" s="16">
        <f ca="1">IFERROR(__xludf.DUMMYFUNCTION("""COMPUTED_VALUE"""),44628.5833333333)</f>
        <v>44628.583333333299</v>
      </c>
      <c r="K814" t="str">
        <f ca="1">IFERROR(__xludf.DUMMYFUNCTION("""COMPUTED_VALUE"""),"23ft Skiff (Bertha) FL7972LJ DEP07613")</f>
        <v>23ft Skiff (Bertha) FL7972LJ DEP07613</v>
      </c>
      <c r="M814" t="str">
        <f ca="1">IFERROR(__xludf.DUMMYFUNCTION("""COMPUTED_VALUE"""),"Ford F250 2017 (Moby Dix) - DEP0021578")</f>
        <v>Ford F250 2017 (Moby Dix) - DEP0021578</v>
      </c>
      <c r="N814" t="str">
        <f ca="1">IFERROR(__xludf.DUMMYFUNCTION("""COMPUTED_VALUE"""),"Silas Tanner, (904) 483-8423, Remo Mondazzi")</f>
        <v>Silas Tanner, (904) 483-8423, Remo Mondazzi</v>
      </c>
      <c r="P814" t="str">
        <f ca="1">IFERROR(__xludf.DUMMYFUNCTION("""COMPUTED_VALUE"""),"Silas Tanner")</f>
        <v>Silas Tanner</v>
      </c>
      <c r="Q814" t="str">
        <f ca="1">IFERROR(__xludf.DUMMYFUNCTION("""COMPUTED_VALUE"""),"All items in working order")</f>
        <v>All items in working order</v>
      </c>
      <c r="AE814" s="11"/>
      <c r="AF814" t="str">
        <v>Nikki.Dix@floridadep.gov</v>
      </c>
      <c r="AG814" s="17" t="s">
        <v>41</v>
      </c>
      <c r="AH814" s="12">
        <v>1315</v>
      </c>
      <c r="AI814" s="12" t="s">
        <v>2394</v>
      </c>
      <c r="AJ814" s="19" t="s">
        <v>2395</v>
      </c>
      <c r="AK814" s="20" t="str">
        <f>HYPERLINK("https://docs.google.com/document/d/14piQMMvwaIq28hwdQoAzsOa8LT_6fWzYn-FiYWPAZyc/edit?usp=drivesdk","Silas Tanner - 3/8/2022 8:30 AM")</f>
        <v>Silas Tanner - 3/8/2022 8:30 AM</v>
      </c>
      <c r="AL814" s="12" t="s">
        <v>2396</v>
      </c>
    </row>
    <row r="815" spans="1:38" ht="12.75">
      <c r="A815" s="10">
        <f ca="1">IFERROR(__xludf.DUMMYFUNCTION("""COMPUTED_VALUE"""),44629.3015242476)</f>
        <v>44629.301524247603</v>
      </c>
      <c r="B815" s="11" t="str">
        <f ca="1">IFERROR(__xludf.DUMMYFUNCTION("""COMPUTED_VALUE"""),"Pam Marcum ")</f>
        <v xml:space="preserve">Pam Marcum </v>
      </c>
      <c r="C815" t="str">
        <f ca="1">IFERROR(__xludf.DUMMYFUNCTION("""COMPUTED_VALUE"""),"Pamela.Marcum@FloridaDEP.gov")</f>
        <v>Pamela.Marcum@FloridaDEP.gov</v>
      </c>
      <c r="D815" t="str">
        <f ca="1">IFERROR(__xludf.DUMMYFUNCTION("""COMPUTED_VALUE"""),"Nikki Dix")</f>
        <v>Nikki Dix</v>
      </c>
      <c r="E815" t="str">
        <f ca="1">IFERROR(__xludf.DUMMYFUNCTION("""COMPUTED_VALUE"""),"Palm valley ")</f>
        <v xml:space="preserve">Palm valley </v>
      </c>
      <c r="F815" s="13">
        <f ca="1">IFERROR(__xludf.DUMMYFUNCTION("""COMPUTED_VALUE"""),0.30208333333212)</f>
        <v>0.30208333333212001</v>
      </c>
      <c r="G815" s="14">
        <f ca="1">IFERROR(__xludf.DUMMYFUNCTION("""COMPUTED_VALUE"""),44629)</f>
        <v>44629</v>
      </c>
      <c r="H815" t="str">
        <f ca="1">IFERROR(__xludf.DUMMYFUNCTION("""COMPUTED_VALUE"""),"Tolomato river ")</f>
        <v xml:space="preserve">Tolomato river </v>
      </c>
      <c r="I815" s="15">
        <f ca="1">IFERROR(__xludf.DUMMYFUNCTION("""COMPUTED_VALUE"""),0.447916666667879)</f>
        <v>0.44791666666787899</v>
      </c>
      <c r="J815" s="16">
        <f ca="1">IFERROR(__xludf.DUMMYFUNCTION("""COMPUTED_VALUE"""),44629.4583333333)</f>
        <v>44629.458333333299</v>
      </c>
      <c r="K815" t="str">
        <f ca="1">IFERROR(__xludf.DUMMYFUNCTION("""COMPUTED_VALUE"""),"23ft Skiff (Bertha) FL7972LJ DEP07613")</f>
        <v>23ft Skiff (Bertha) FL7972LJ DEP07613</v>
      </c>
      <c r="M815" t="str">
        <f ca="1">IFERROR(__xludf.DUMMYFUNCTION("""COMPUTED_VALUE"""),"Ford F250 2017 (Moby Dix) - DEP0021578")</f>
        <v>Ford F250 2017 (Moby Dix) - DEP0021578</v>
      </c>
      <c r="N815" t="str">
        <f ca="1">IFERROR(__xludf.DUMMYFUNCTION("""COMPUTED_VALUE"""),"Pam Marcum, (480) 332-5414")</f>
        <v>Pam Marcum, (480) 332-5414</v>
      </c>
      <c r="O815" t="str">
        <f ca="1">IFERROR(__xludf.DUMMYFUNCTION("""COMPUTED_VALUE"""),"Savanna Mathis, Bevwrly Winstanley, Karen Adams")</f>
        <v>Savanna Mathis, Bevwrly Winstanley, Karen Adams</v>
      </c>
      <c r="P815" t="str">
        <f ca="1">IFERROR(__xludf.DUMMYFUNCTION("""COMPUTED_VALUE"""),"Pam")</f>
        <v>Pam</v>
      </c>
      <c r="Q815" t="str">
        <f ca="1">IFERROR(__xludf.DUMMYFUNCTION("""COMPUTED_VALUE"""),"All items in working order")</f>
        <v>All items in working order</v>
      </c>
      <c r="AE815" s="11"/>
      <c r="AF815" t="str">
        <v>Nikki.Dix@floridadep.gov</v>
      </c>
      <c r="AG815" s="17" t="s">
        <v>41</v>
      </c>
      <c r="AH815" s="12">
        <v>1030</v>
      </c>
      <c r="AI815" s="12" t="s">
        <v>2397</v>
      </c>
      <c r="AJ815" s="19" t="s">
        <v>2398</v>
      </c>
      <c r="AK815" s="20" t="str">
        <f>HYPERLINK("https://docs.google.com/document/d/11jsmCel1PEBP8k1BTxeVPWlESFUXmpkrooaIwqhu98I/edit?usp=drivesdk","Pam Marcum  - 3/9/2022 7:15 AM")</f>
        <v>Pam Marcum  - 3/9/2022 7:15 AM</v>
      </c>
      <c r="AL815" s="12" t="s">
        <v>2399</v>
      </c>
    </row>
    <row r="816" spans="1:38" ht="12.75">
      <c r="A816" s="10">
        <f ca="1">IFERROR(__xludf.DUMMYFUNCTION("""COMPUTED_VALUE"""),44631.3834680555)</f>
        <v>44631.383468055501</v>
      </c>
      <c r="B816" s="11" t="str">
        <f ca="1">IFERROR(__xludf.DUMMYFUNCTION("""COMPUTED_VALUE"""),"Pam Marcum ")</f>
        <v xml:space="preserve">Pam Marcum </v>
      </c>
      <c r="C816" t="str">
        <f ca="1">IFERROR(__xludf.DUMMYFUNCTION("""COMPUTED_VALUE"""),"Pamela.Marcum@FloridaDEP.gov")</f>
        <v>Pamela.Marcum@FloridaDEP.gov</v>
      </c>
      <c r="D816" t="str">
        <f ca="1">IFERROR(__xludf.DUMMYFUNCTION("""COMPUTED_VALUE"""),"Nikki Dix")</f>
        <v>Nikki Dix</v>
      </c>
      <c r="E816" t="str">
        <f ca="1">IFERROR(__xludf.DUMMYFUNCTION("""COMPUTED_VALUE"""),"Palm valley ")</f>
        <v xml:space="preserve">Palm valley </v>
      </c>
      <c r="F816" s="13">
        <f ca="1">IFERROR(__xludf.DUMMYFUNCTION("""COMPUTED_VALUE"""),0.39583333333212)</f>
        <v>0.39583333333212001</v>
      </c>
      <c r="G816" s="14">
        <f ca="1">IFERROR(__xludf.DUMMYFUNCTION("""COMPUTED_VALUE"""),44631)</f>
        <v>44631</v>
      </c>
      <c r="H816" t="str">
        <f ca="1">IFERROR(__xludf.DUMMYFUNCTION("""COMPUTED_VALUE"""),"Tolomato river ")</f>
        <v xml:space="preserve">Tolomato river </v>
      </c>
      <c r="I816" s="15">
        <f ca="1">IFERROR(__xludf.DUMMYFUNCTION("""COMPUTED_VALUE"""),0.45833333333212)</f>
        <v>0.45833333333212001</v>
      </c>
      <c r="J816" s="16">
        <f ca="1">IFERROR(__xludf.DUMMYFUNCTION("""COMPUTED_VALUE"""),44631.5)</f>
        <v>44631.5</v>
      </c>
      <c r="K816" t="str">
        <f ca="1">IFERROR(__xludf.DUMMYFUNCTION("""COMPUTED_VALUE"""),"23ft Skiff (Bertha) FL7972LJ DEP07613")</f>
        <v>23ft Skiff (Bertha) FL7972LJ DEP07613</v>
      </c>
      <c r="M816" t="str">
        <f ca="1">IFERROR(__xludf.DUMMYFUNCTION("""COMPUTED_VALUE"""),"Ford F250 2017 (Moby Dix) - DEP0021578")</f>
        <v>Ford F250 2017 (Moby Dix) - DEP0021578</v>
      </c>
      <c r="N816" t="str">
        <f ca="1">IFERROR(__xludf.DUMMYFUNCTION("""COMPUTED_VALUE"""),"Pam Marcum, (480) 332-5414")</f>
        <v>Pam Marcum, (480) 332-5414</v>
      </c>
      <c r="O816" t="str">
        <f ca="1">IFERROR(__xludf.DUMMYFUNCTION("""COMPUTED_VALUE"""),"Amy, mike, don, nick")</f>
        <v>Amy, mike, don, nick</v>
      </c>
      <c r="P816" t="str">
        <f ca="1">IFERROR(__xludf.DUMMYFUNCTION("""COMPUTED_VALUE"""),"Pam")</f>
        <v>Pam</v>
      </c>
      <c r="Q816" t="str">
        <f ca="1">IFERROR(__xludf.DUMMYFUNCTION("""COMPUTED_VALUE"""),"All items in working order")</f>
        <v>All items in working order</v>
      </c>
      <c r="AE816" s="11"/>
      <c r="AF816" t="str">
        <v>Nikki.Dix@floridadep.gov</v>
      </c>
      <c r="AG816" s="17" t="s">
        <v>41</v>
      </c>
      <c r="AH816" s="12">
        <v>1200</v>
      </c>
      <c r="AI816" s="12" t="s">
        <v>2400</v>
      </c>
      <c r="AJ816" s="19" t="s">
        <v>2401</v>
      </c>
      <c r="AK816" s="20" t="str">
        <f>HYPERLINK("https://docs.google.com/document/d/1l2ynKXr_GH26yoI4PYfalXvmB1heVGbHRO95BuJYTpE/edit?usp=drivesdk","Pam Marcum  - 3/11/2022 9:30 AM")</f>
        <v>Pam Marcum  - 3/11/2022 9:30 AM</v>
      </c>
      <c r="AL816" s="12" t="s">
        <v>2402</v>
      </c>
    </row>
    <row r="817" spans="1:38" ht="12.75">
      <c r="A817" s="10">
        <f ca="1">IFERROR(__xludf.DUMMYFUNCTION("""COMPUTED_VALUE"""),44631.435759456)</f>
        <v>44631.435759455999</v>
      </c>
      <c r="B817" s="11" t="str">
        <f ca="1">IFERROR(__xludf.DUMMYFUNCTION("""COMPUTED_VALUE"""),"Courtney Schultz")</f>
        <v>Courtney Schultz</v>
      </c>
      <c r="C817" t="str">
        <f ca="1">IFERROR(__xludf.DUMMYFUNCTION("""COMPUTED_VALUE"""),"Courtney.L.Schultz@FloridaDEP.gov")</f>
        <v>Courtney.L.Schultz@FloridaDEP.gov</v>
      </c>
      <c r="D817" t="str">
        <f ca="1">IFERROR(__xludf.DUMMYFUNCTION("""COMPUTED_VALUE"""),"Candace Killian")</f>
        <v>Candace Killian</v>
      </c>
      <c r="E817" t="str">
        <f ca="1">IFERROR(__xludf.DUMMYFUNCTION("""COMPUTED_VALUE"""),"Whitney Lab- EcoTours")</f>
        <v>Whitney Lab- EcoTours</v>
      </c>
      <c r="F817" s="13">
        <f ca="1">IFERROR(__xludf.DUMMYFUNCTION("""COMPUTED_VALUE"""),0.36458333333212)</f>
        <v>0.36458333333212001</v>
      </c>
      <c r="G817" s="14">
        <f ca="1">IFERROR(__xludf.DUMMYFUNCTION("""COMPUTED_VALUE"""),44643)</f>
        <v>44643</v>
      </c>
      <c r="H817" t="str">
        <f ca="1">IFERROR(__xludf.DUMMYFUNCTION("""COMPUTED_VALUE"""),"Around the oyster beds- not far from the launch point.")</f>
        <v>Around the oyster beds- not far from the launch point.</v>
      </c>
      <c r="I817" s="15">
        <f ca="1">IFERROR(__xludf.DUMMYFUNCTION("""COMPUTED_VALUE"""),0.48958333333212)</f>
        <v>0.48958333333212001</v>
      </c>
      <c r="J817" s="16">
        <f ca="1">IFERROR(__xludf.DUMMYFUNCTION("""COMPUTED_VALUE"""),44643.5416666666)</f>
        <v>44643.541666666599</v>
      </c>
      <c r="K817" t="str">
        <f ca="1">IFERROR(__xludf.DUMMYFUNCTION("""COMPUTED_VALUE"""),"Kayak(s)")</f>
        <v>Kayak(s)</v>
      </c>
      <c r="L817">
        <f ca="1">IFERROR(__xludf.DUMMYFUNCTION("""COMPUTED_VALUE"""),1)</f>
        <v>1</v>
      </c>
      <c r="M817" t="str">
        <f ca="1">IFERROR(__xludf.DUMMYFUNCTION("""COMPUTED_VALUE"""),"n/a kayak on loan from ecotour")</f>
        <v>n/a kayak on loan from ecotour</v>
      </c>
      <c r="N817" t="str">
        <f ca="1">IFERROR(__xludf.DUMMYFUNCTION("""COMPUTED_VALUE"""),"n/a")</f>
        <v>n/a</v>
      </c>
      <c r="O817" t="str">
        <f ca="1">IFERROR(__xludf.DUMMYFUNCTION("""COMPUTED_VALUE"""),"Molly (education team member)")</f>
        <v>Molly (education team member)</v>
      </c>
      <c r="P817" t="str">
        <f ca="1">IFERROR(__xludf.DUMMYFUNCTION("""COMPUTED_VALUE"""),"Courtney Schultz")</f>
        <v>Courtney Schultz</v>
      </c>
      <c r="Q817" t="str">
        <f ca="1">IFERROR(__xludf.DUMMYFUNCTION("""COMPUTED_VALUE"""),"All items in working order")</f>
        <v>All items in working order</v>
      </c>
      <c r="AD817" t="str">
        <f ca="1">IFERROR(__xludf.DUMMYFUNCTION("""COMPUTED_VALUE"""),"Light rain ")</f>
        <v xml:space="preserve">Light rain </v>
      </c>
      <c r="AE817" s="11" t="str">
        <f ca="1">IFERROR(__xludf.DUMMYFUNCTION("""COMPUTED_VALUE"""),"Low tide")</f>
        <v>Low tide</v>
      </c>
      <c r="AF817" t="str">
        <v>Candace.Killian@floridadep.gov</v>
      </c>
      <c r="AG817" s="17" t="s">
        <v>2294</v>
      </c>
      <c r="AH817" s="12">
        <v>1030</v>
      </c>
      <c r="AI817" s="12" t="s">
        <v>2403</v>
      </c>
      <c r="AJ817" s="19" t="s">
        <v>2404</v>
      </c>
      <c r="AK817" s="20" t="str">
        <f>HYPERLINK("https://docs.google.com/document/d/1vAwBQOmmdegzONyCyqgsw_PdspYAZ3491T1M8nHBrtA/edit?usp=drivesdk","Courtney Schultz - 3/23/2022 8:45 AM")</f>
        <v>Courtney Schultz - 3/23/2022 8:45 AM</v>
      </c>
      <c r="AL817" s="12" t="s">
        <v>2405</v>
      </c>
    </row>
    <row r="818" spans="1:38" ht="12.75">
      <c r="A818" s="10">
        <f ca="1">IFERROR(__xludf.DUMMYFUNCTION("""COMPUTED_VALUE"""),44634.4969698032)</f>
        <v>44634.4969698032</v>
      </c>
      <c r="B818" s="11" t="str">
        <f ca="1">IFERROR(__xludf.DUMMYFUNCTION("""COMPUTED_VALUE"""),"Pam Marcum ")</f>
        <v xml:space="preserve">Pam Marcum </v>
      </c>
      <c r="C818" t="str">
        <f ca="1">IFERROR(__xludf.DUMMYFUNCTION("""COMPUTED_VALUE"""),"Pamela.Marcum@FloridaDEP.gov")</f>
        <v>Pamela.Marcum@FloridaDEP.gov</v>
      </c>
      <c r="D818" t="str">
        <f ca="1">IFERROR(__xludf.DUMMYFUNCTION("""COMPUTED_VALUE"""),"Nikki Dix")</f>
        <v>Nikki Dix</v>
      </c>
      <c r="E818" t="str">
        <f ca="1">IFERROR(__xludf.DUMMYFUNCTION("""COMPUTED_VALUE"""),"Aunt Kates ")</f>
        <v xml:space="preserve">Aunt Kates </v>
      </c>
      <c r="F818" s="13">
        <f ca="1">IFERROR(__xludf.DUMMYFUNCTION("""COMPUTED_VALUE"""),0.5)</f>
        <v>0.5</v>
      </c>
      <c r="G818" s="14">
        <f ca="1">IFERROR(__xludf.DUMMYFUNCTION("""COMPUTED_VALUE"""),44634)</f>
        <v>44634</v>
      </c>
      <c r="H818" t="str">
        <f ca="1">IFERROR(__xludf.DUMMYFUNCTION("""COMPUTED_VALUE"""),"Tolomato river ")</f>
        <v xml:space="preserve">Tolomato river </v>
      </c>
      <c r="I818" s="15">
        <f ca="1">IFERROR(__xludf.DUMMYFUNCTION("""COMPUTED_VALUE"""),0.6875)</f>
        <v>0.6875</v>
      </c>
      <c r="J818" s="16">
        <f ca="1">IFERROR(__xludf.DUMMYFUNCTION("""COMPUTED_VALUE"""),44634.7083333333)</f>
        <v>44634.708333333299</v>
      </c>
      <c r="K818" t="str">
        <f ca="1">IFERROR(__xludf.DUMMYFUNCTION("""COMPUTED_VALUE"""),"23ft Skiff (Bertha) FL7972LJ DEP07613")</f>
        <v>23ft Skiff (Bertha) FL7972LJ DEP07613</v>
      </c>
      <c r="M818" t="str">
        <f ca="1">IFERROR(__xludf.DUMMYFUNCTION("""COMPUTED_VALUE"""),"Ford F250 2017 (Moby Dix) - DEP0021578")</f>
        <v>Ford F250 2017 (Moby Dix) - DEP0021578</v>
      </c>
      <c r="N818" t="str">
        <f ca="1">IFERROR(__xludf.DUMMYFUNCTION("""COMPUTED_VALUE"""),"Pam Marcum, (480) 332-5414, Alee Knoell, (619) 750-4833")</f>
        <v>Pam Marcum, (480) 332-5414, Alee Knoell, (619) 750-4833</v>
      </c>
      <c r="O818" t="str">
        <f ca="1">IFERROR(__xludf.DUMMYFUNCTION("""COMPUTED_VALUE"""),"Amy B., Jeff F., Nick Z., Don Z.")</f>
        <v>Amy B., Jeff F., Nick Z., Don Z.</v>
      </c>
      <c r="P818" t="str">
        <f ca="1">IFERROR(__xludf.DUMMYFUNCTION("""COMPUTED_VALUE"""),"Pam")</f>
        <v>Pam</v>
      </c>
      <c r="Q818" t="str">
        <f ca="1">IFERROR(__xludf.DUMMYFUNCTION("""COMPUTED_VALUE"""),"All items in working order")</f>
        <v>All items in working order</v>
      </c>
      <c r="AE818" s="11"/>
      <c r="AF818" t="str">
        <v>Nikki.Dix@floridadep.gov</v>
      </c>
      <c r="AG818" s="17" t="s">
        <v>41</v>
      </c>
      <c r="AH818" s="12">
        <v>1600</v>
      </c>
      <c r="AI818" s="12" t="s">
        <v>2406</v>
      </c>
      <c r="AJ818" s="19" t="s">
        <v>2407</v>
      </c>
      <c r="AK818" s="20" t="str">
        <f>HYPERLINK("https://docs.google.com/document/d/15yUitYFqeNHM3XLTVljmop0ne2sp8v8nTTZm1BUz2hY/edit?usp=drivesdk","Pam Marcum  - 3/14/2022 12:00 PM")</f>
        <v>Pam Marcum  - 3/14/2022 12:00 PM</v>
      </c>
      <c r="AL818" s="12" t="s">
        <v>2408</v>
      </c>
    </row>
    <row r="819" spans="1:38" ht="12.75">
      <c r="A819" s="10">
        <f ca="1">IFERROR(__xludf.DUMMYFUNCTION("""COMPUTED_VALUE"""),44635.5166091435)</f>
        <v>44635.516609143502</v>
      </c>
      <c r="B819" s="11" t="str">
        <f ca="1">IFERROR(__xludf.DUMMYFUNCTION("""COMPUTED_VALUE"""),"Pam Marcum ")</f>
        <v xml:space="preserve">Pam Marcum </v>
      </c>
      <c r="C819" t="str">
        <f ca="1">IFERROR(__xludf.DUMMYFUNCTION("""COMPUTED_VALUE"""),"Pamela.Marcum@FloridaDEP.gov")</f>
        <v>Pamela.Marcum@FloridaDEP.gov</v>
      </c>
      <c r="D819" t="str">
        <f ca="1">IFERROR(__xludf.DUMMYFUNCTION("""COMPUTED_VALUE"""),"Nikki Dix")</f>
        <v>Nikki Dix</v>
      </c>
      <c r="E819" t="str">
        <f ca="1">IFERROR(__xludf.DUMMYFUNCTION("""COMPUTED_VALUE"""),"Aunt kates")</f>
        <v>Aunt kates</v>
      </c>
      <c r="F819" s="13">
        <f ca="1">IFERROR(__xludf.DUMMYFUNCTION("""COMPUTED_VALUE"""),0.52083333333212)</f>
        <v>0.52083333333212001</v>
      </c>
      <c r="G819" s="14">
        <f ca="1">IFERROR(__xludf.DUMMYFUNCTION("""COMPUTED_VALUE"""),44635)</f>
        <v>44635</v>
      </c>
      <c r="H819" t="str">
        <f ca="1">IFERROR(__xludf.DUMMYFUNCTION("""COMPUTED_VALUE"""),"Tolomato River")</f>
        <v>Tolomato River</v>
      </c>
      <c r="I819" s="15">
        <f ca="1">IFERROR(__xludf.DUMMYFUNCTION("""COMPUTED_VALUE"""),0.6875)</f>
        <v>0.6875</v>
      </c>
      <c r="J819" s="16">
        <f ca="1">IFERROR(__xludf.DUMMYFUNCTION("""COMPUTED_VALUE"""),44635.7083333333)</f>
        <v>44635.708333333299</v>
      </c>
      <c r="K819" t="str">
        <f ca="1">IFERROR(__xludf.DUMMYFUNCTION("""COMPUTED_VALUE"""),"23ft Skiff (Bertha) FL7972LJ DEP07613")</f>
        <v>23ft Skiff (Bertha) FL7972LJ DEP07613</v>
      </c>
      <c r="M819" t="str">
        <f ca="1">IFERROR(__xludf.DUMMYFUNCTION("""COMPUTED_VALUE"""),"Ford F250 2017 (Moby Dix) - DEP0021578")</f>
        <v>Ford F250 2017 (Moby Dix) - DEP0021578</v>
      </c>
      <c r="N819" t="str">
        <f ca="1">IFERROR(__xludf.DUMMYFUNCTION("""COMPUTED_VALUE"""),"Pam Marcum, (480) 332-5414, Alee Knoell, (619) 750-4833")</f>
        <v>Pam Marcum, (480) 332-5414, Alee Knoell, (619) 750-4833</v>
      </c>
      <c r="O819" t="str">
        <f ca="1">IFERROR(__xludf.DUMMYFUNCTION("""COMPUTED_VALUE"""),"Jeff F., Mike D.")</f>
        <v>Jeff F., Mike D.</v>
      </c>
      <c r="P819" t="str">
        <f ca="1">IFERROR(__xludf.DUMMYFUNCTION("""COMPUTED_VALUE"""),"Pam")</f>
        <v>Pam</v>
      </c>
      <c r="Q819" t="str">
        <f ca="1">IFERROR(__xludf.DUMMYFUNCTION("""COMPUTED_VALUE"""),"All items in working order")</f>
        <v>All items in working order</v>
      </c>
      <c r="AE819" s="11"/>
      <c r="AF819" t="str">
        <v>Nikki.Dix@floridadep.gov</v>
      </c>
      <c r="AG819" s="17" t="s">
        <v>41</v>
      </c>
      <c r="AH819" s="12">
        <v>1627</v>
      </c>
      <c r="AI819" s="12" t="s">
        <v>2409</v>
      </c>
      <c r="AJ819" s="19" t="s">
        <v>2410</v>
      </c>
      <c r="AK819" s="20" t="str">
        <f>HYPERLINK("https://docs.google.com/document/d/1C3qf2_4UpCkvbMnhPJHaFCvqu7xhzdGIW6xahqIf4g8/edit?usp=drivesdk","Pam Marcum  - 3/15/2022 12:30 PM")</f>
        <v>Pam Marcum  - 3/15/2022 12:30 PM</v>
      </c>
      <c r="AL819" s="12" t="s">
        <v>2411</v>
      </c>
    </row>
    <row r="820" spans="1:38" ht="12.75">
      <c r="A820" s="10">
        <f ca="1">IFERROR(__xludf.DUMMYFUNCTION("""COMPUTED_VALUE"""),44636.5064093171)</f>
        <v>44636.506409317102</v>
      </c>
      <c r="B820" s="11" t="str">
        <f ca="1">IFERROR(__xludf.DUMMYFUNCTION("""COMPUTED_VALUE"""),"Pam Marcum ")</f>
        <v xml:space="preserve">Pam Marcum </v>
      </c>
      <c r="C820" t="str">
        <f ca="1">IFERROR(__xludf.DUMMYFUNCTION("""COMPUTED_VALUE"""),"Pamela.Marcum@FloridaDEP.gov")</f>
        <v>Pamela.Marcum@FloridaDEP.gov</v>
      </c>
      <c r="D820" t="str">
        <f ca="1">IFERROR(__xludf.DUMMYFUNCTION("""COMPUTED_VALUE"""),"Nikki Dix")</f>
        <v>Nikki Dix</v>
      </c>
      <c r="E820" t="str">
        <f ca="1">IFERROR(__xludf.DUMMYFUNCTION("""COMPUTED_VALUE"""),"Dam")</f>
        <v>Dam</v>
      </c>
      <c r="F820" s="13">
        <f ca="1">IFERROR(__xludf.DUMMYFUNCTION("""COMPUTED_VALUE"""),0.510416666667879)</f>
        <v>0.51041666666787899</v>
      </c>
      <c r="G820" s="14">
        <f ca="1">IFERROR(__xludf.DUMMYFUNCTION("""COMPUTED_VALUE"""),44636)</f>
        <v>44636</v>
      </c>
      <c r="H820" t="str">
        <f ca="1">IFERROR(__xludf.DUMMYFUNCTION("""COMPUTED_VALUE"""),"Guana River")</f>
        <v>Guana River</v>
      </c>
      <c r="I820" s="15">
        <f ca="1">IFERROR(__xludf.DUMMYFUNCTION("""COMPUTED_VALUE"""),0.64583333333212)</f>
        <v>0.64583333333212001</v>
      </c>
      <c r="J820" s="16">
        <f ca="1">IFERROR(__xludf.DUMMYFUNCTION("""COMPUTED_VALUE"""),44636.6458333333)</f>
        <v>44636.645833333299</v>
      </c>
      <c r="K820" t="str">
        <f ca="1">IFERROR(__xludf.DUMMYFUNCTION("""COMPUTED_VALUE"""),"Canoe/Kayak Trailer DEP06086")</f>
        <v>Canoe/Kayak Trailer DEP06086</v>
      </c>
      <c r="L820">
        <f ca="1">IFERROR(__xludf.DUMMYFUNCTION("""COMPUTED_VALUE"""),1)</f>
        <v>1</v>
      </c>
      <c r="M820" t="str">
        <f ca="1">IFERROR(__xludf.DUMMYFUNCTION("""COMPUTED_VALUE"""),"Ford F150 2015 (White) - DEP21448")</f>
        <v>Ford F150 2015 (White) - DEP21448</v>
      </c>
      <c r="N820" t="str">
        <f ca="1">IFERROR(__xludf.DUMMYFUNCTION("""COMPUTED_VALUE"""),"Pam Marcum, (480) 332-5414, Alee Knoell, (619) 750-4833")</f>
        <v>Pam Marcum, (480) 332-5414, Alee Knoell, (619) 750-4833</v>
      </c>
      <c r="P820" t="str">
        <f ca="1">IFERROR(__xludf.DUMMYFUNCTION("""COMPUTED_VALUE"""),"Pam")</f>
        <v>Pam</v>
      </c>
      <c r="Q820" t="str">
        <f ca="1">IFERROR(__xludf.DUMMYFUNCTION("""COMPUTED_VALUE"""),"All items in working order")</f>
        <v>All items in working order</v>
      </c>
      <c r="AE820" s="11"/>
      <c r="AF820" t="str">
        <v>Nikki.Dix@floridadep.gov</v>
      </c>
      <c r="AG820" s="17" t="s">
        <v>41</v>
      </c>
      <c r="AH820" s="12">
        <v>1520</v>
      </c>
      <c r="AI820" s="12" t="s">
        <v>2412</v>
      </c>
      <c r="AJ820" s="19" t="s">
        <v>2413</v>
      </c>
      <c r="AK820" s="20" t="str">
        <f>HYPERLINK("https://docs.google.com/document/d/1s_Qz_DHHmKsdwGKt8pAYPzomkkhFis220u13NqHwR8k/edit?usp=drivesdk","Pam Marcum  - 3/16/2022 12:15 PM")</f>
        <v>Pam Marcum  - 3/16/2022 12:15 PM</v>
      </c>
      <c r="AL820" s="12" t="s">
        <v>2414</v>
      </c>
    </row>
    <row r="821" spans="1:38" ht="12.75">
      <c r="A821" s="10">
        <f ca="1">IFERROR(__xludf.DUMMYFUNCTION("""COMPUTED_VALUE"""),44637.5656350462)</f>
        <v>44637.565635046201</v>
      </c>
      <c r="B821" s="11" t="str">
        <f ca="1">IFERROR(__xludf.DUMMYFUNCTION("""COMPUTED_VALUE"""),"Pam Marcum ")</f>
        <v xml:space="preserve">Pam Marcum </v>
      </c>
      <c r="C821" t="str">
        <f ca="1">IFERROR(__xludf.DUMMYFUNCTION("""COMPUTED_VALUE"""),"Pamela.Marcum@FloridaDEP.gov")</f>
        <v>Pamela.Marcum@FloridaDEP.gov</v>
      </c>
      <c r="D821" t="str">
        <f ca="1">IFERROR(__xludf.DUMMYFUNCTION("""COMPUTED_VALUE"""),"Alee Knoell")</f>
        <v>Alee Knoell</v>
      </c>
      <c r="E821" t="str">
        <f ca="1">IFERROR(__xludf.DUMMYFUNCTION("""COMPUTED_VALUE"""),"Aunt Kates")</f>
        <v>Aunt Kates</v>
      </c>
      <c r="F821" s="13">
        <f ca="1">IFERROR(__xludf.DUMMYFUNCTION("""COMPUTED_VALUE"""),0.541666666667879)</f>
        <v>0.54166666666787899</v>
      </c>
      <c r="G821" s="14">
        <f ca="1">IFERROR(__xludf.DUMMYFUNCTION("""COMPUTED_VALUE"""),44637)</f>
        <v>44637</v>
      </c>
      <c r="H821" t="str">
        <f ca="1">IFERROR(__xludf.DUMMYFUNCTION("""COMPUTED_VALUE"""),"Guana mouth, pine island")</f>
        <v>Guana mouth, pine island</v>
      </c>
      <c r="I821" s="15">
        <f ca="1">IFERROR(__xludf.DUMMYFUNCTION("""COMPUTED_VALUE"""),0.729166666667879)</f>
        <v>0.72916666666787899</v>
      </c>
      <c r="J821" s="16">
        <f ca="1">IFERROR(__xludf.DUMMYFUNCTION("""COMPUTED_VALUE"""),44637.75)</f>
        <v>44637.75</v>
      </c>
      <c r="K821" t="str">
        <f ca="1">IFERROR(__xludf.DUMMYFUNCTION("""COMPUTED_VALUE"""),"23ft Skiff (Bertha) FL7972LJ DEP07613")</f>
        <v>23ft Skiff (Bertha) FL7972LJ DEP07613</v>
      </c>
      <c r="M821" t="str">
        <f ca="1">IFERROR(__xludf.DUMMYFUNCTION("""COMPUTED_VALUE"""),"Ford F250 2017 (Moby Dix) - DEP0021578")</f>
        <v>Ford F250 2017 (Moby Dix) - DEP0021578</v>
      </c>
      <c r="N821" t="str">
        <f ca="1">IFERROR(__xludf.DUMMYFUNCTION("""COMPUTED_VALUE"""),"Pam Marcum, (480) 332-5414")</f>
        <v>Pam Marcum, (480) 332-5414</v>
      </c>
      <c r="O821" t="str">
        <f ca="1">IFERROR(__xludf.DUMMYFUNCTION("""COMPUTED_VALUE"""),"Jeff Finnan, Mike Darragh ")</f>
        <v xml:space="preserve">Jeff Finnan, Mike Darragh </v>
      </c>
      <c r="P821" t="str">
        <f ca="1">IFERROR(__xludf.DUMMYFUNCTION("""COMPUTED_VALUE"""),"Pam")</f>
        <v>Pam</v>
      </c>
      <c r="Q821" t="str">
        <f ca="1">IFERROR(__xludf.DUMMYFUNCTION("""COMPUTED_VALUE"""),"All items in working order")</f>
        <v>All items in working order</v>
      </c>
      <c r="AE821" s="11"/>
      <c r="AF821" t="str">
        <v>Alee.Knoell@floridadep.gov</v>
      </c>
      <c r="AG821" s="17" t="s">
        <v>1821</v>
      </c>
      <c r="AH821" s="12">
        <v>1725</v>
      </c>
      <c r="AI821" s="12" t="s">
        <v>2415</v>
      </c>
      <c r="AJ821" s="19" t="s">
        <v>2416</v>
      </c>
      <c r="AK821" s="20" t="str">
        <f>HYPERLINK("https://docs.google.com/document/d/181YLQc9zh9FGL-hyGYzwKeZWTm2cJfvazBcYqsqkOWY/edit?usp=drivesdk","Pam Marcum  - 3/17/2022 1:00 PM")</f>
        <v>Pam Marcum  - 3/17/2022 1:00 PM</v>
      </c>
      <c r="AL821" s="12" t="s">
        <v>2417</v>
      </c>
    </row>
    <row r="822" spans="1:38" ht="12.75">
      <c r="A822" s="10">
        <f ca="1">IFERROR(__xludf.DUMMYFUNCTION("""COMPUTED_VALUE"""),44638.5763082754)</f>
        <v>44638.576308275398</v>
      </c>
      <c r="B822" s="11" t="str">
        <f ca="1">IFERROR(__xludf.DUMMYFUNCTION("""COMPUTED_VALUE"""),"Pam Marcum ")</f>
        <v xml:space="preserve">Pam Marcum </v>
      </c>
      <c r="C822" t="str">
        <f ca="1">IFERROR(__xludf.DUMMYFUNCTION("""COMPUTED_VALUE"""),"Pamela.Marcum@FloridaDEP.gov")</f>
        <v>Pamela.Marcum@FloridaDEP.gov</v>
      </c>
      <c r="D822" t="str">
        <f ca="1">IFERROR(__xludf.DUMMYFUNCTION("""COMPUTED_VALUE"""),"Pam Marcum")</f>
        <v>Pam Marcum</v>
      </c>
      <c r="E822" t="str">
        <f ca="1">IFERROR(__xludf.DUMMYFUNCTION("""COMPUTED_VALUE"""),"Aunt Kates ")</f>
        <v xml:space="preserve">Aunt Kates </v>
      </c>
      <c r="F822" s="13">
        <f ca="1">IFERROR(__xludf.DUMMYFUNCTION("""COMPUTED_VALUE"""),0.541666666667879)</f>
        <v>0.54166666666787899</v>
      </c>
      <c r="G822" s="14">
        <f ca="1">IFERROR(__xludf.DUMMYFUNCTION("""COMPUTED_VALUE"""),44638)</f>
        <v>44638</v>
      </c>
      <c r="H822" t="str">
        <f ca="1">IFERROR(__xludf.DUMMYFUNCTION("""COMPUTED_VALUE"""),"Pine island")</f>
        <v>Pine island</v>
      </c>
      <c r="I822" s="15">
        <f ca="1">IFERROR(__xludf.DUMMYFUNCTION("""COMPUTED_VALUE"""),0.70833333333212)</f>
        <v>0.70833333333212001</v>
      </c>
      <c r="J822" s="16">
        <f ca="1">IFERROR(__xludf.DUMMYFUNCTION("""COMPUTED_VALUE"""),44638.7291666666)</f>
        <v>44638.729166666599</v>
      </c>
      <c r="K822" t="str">
        <f ca="1">IFERROR(__xludf.DUMMYFUNCTION("""COMPUTED_VALUE"""),"23ft Skiff (Bertha) FL7972LJ DEP07613")</f>
        <v>23ft Skiff (Bertha) FL7972LJ DEP07613</v>
      </c>
      <c r="M822" t="str">
        <f ca="1">IFERROR(__xludf.DUMMYFUNCTION("""COMPUTED_VALUE"""),"Ford F250 2017 (Moby Dix) - DEP0021578")</f>
        <v>Ford F250 2017 (Moby Dix) - DEP0021578</v>
      </c>
      <c r="N822" t="str">
        <f ca="1">IFERROR(__xludf.DUMMYFUNCTION("""COMPUTED_VALUE"""),"Pam Marcum, (480) 332-5414, Alee Knoell, (619) 750-4833")</f>
        <v>Pam Marcum, (480) 332-5414, Alee Knoell, (619) 750-4833</v>
      </c>
      <c r="O822" t="str">
        <f ca="1">IFERROR(__xludf.DUMMYFUNCTION("""COMPUTED_VALUE"""),"Jeff Finnan, Spencer Baba, Paul Yonally")</f>
        <v>Jeff Finnan, Spencer Baba, Paul Yonally</v>
      </c>
      <c r="P822" t="str">
        <f ca="1">IFERROR(__xludf.DUMMYFUNCTION("""COMPUTED_VALUE"""),"Alee")</f>
        <v>Alee</v>
      </c>
      <c r="Q822" t="str">
        <f ca="1">IFERROR(__xludf.DUMMYFUNCTION("""COMPUTED_VALUE"""),"All items in working order")</f>
        <v>All items in working order</v>
      </c>
      <c r="AE822" s="11"/>
      <c r="AF822" t="str">
        <v>Pamela.Marcum@floridadep.gov</v>
      </c>
      <c r="AG822" s="17" t="s">
        <v>17</v>
      </c>
      <c r="AH822" s="12">
        <v>1703</v>
      </c>
      <c r="AI822" s="12" t="s">
        <v>2418</v>
      </c>
      <c r="AJ822" s="19" t="s">
        <v>2419</v>
      </c>
      <c r="AK822" s="20" t="str">
        <f>HYPERLINK("https://docs.google.com/document/d/1K-MRBhJEsaUtkdehCZZc3Xl29ITFLWDAje_TjqsU_ew/edit?usp=drivesdk","Pam Marcum  - 3/18/2022 1:00 PM")</f>
        <v>Pam Marcum  - 3/18/2022 1:00 PM</v>
      </c>
      <c r="AL822" s="12" t="s">
        <v>2420</v>
      </c>
    </row>
    <row r="823" spans="1:38" ht="12.75">
      <c r="A823" s="10">
        <f ca="1">IFERROR(__xludf.DUMMYFUNCTION("""COMPUTED_VALUE"""),44642.7235037268)</f>
        <v>44642.723503726796</v>
      </c>
      <c r="B823" s="11" t="str">
        <f ca="1">IFERROR(__xludf.DUMMYFUNCTION("""COMPUTED_VALUE"""),"Silas Tanner")</f>
        <v>Silas Tanner</v>
      </c>
      <c r="C823" t="str">
        <f ca="1">IFERROR(__xludf.DUMMYFUNCTION("""COMPUTED_VALUE"""),"silas.tanner@floridadep.gov")</f>
        <v>silas.tanner@floridadep.gov</v>
      </c>
      <c r="D823" t="str">
        <f ca="1">IFERROR(__xludf.DUMMYFUNCTION("""COMPUTED_VALUE"""),"Nikki Dix")</f>
        <v>Nikki Dix</v>
      </c>
      <c r="E823" t="str">
        <f ca="1">IFERROR(__xludf.DUMMYFUNCTION("""COMPUTED_VALUE"""),"Vilano Landing")</f>
        <v>Vilano Landing</v>
      </c>
      <c r="F823" s="13">
        <f ca="1">IFERROR(__xludf.DUMMYFUNCTION("""COMPUTED_VALUE"""),0.375)</f>
        <v>0.375</v>
      </c>
      <c r="G823" s="14">
        <f ca="1">IFERROR(__xludf.DUMMYFUNCTION("""COMPUTED_VALUE"""),44643)</f>
        <v>44643</v>
      </c>
      <c r="H823" t="str">
        <f ca="1">IFERROR(__xludf.DUMMYFUNCTION("""COMPUTED_VALUE"""),"ICW SWMP sites")</f>
        <v>ICW SWMP sites</v>
      </c>
      <c r="I823" s="15">
        <f ca="1">IFERROR(__xludf.DUMMYFUNCTION("""COMPUTED_VALUE"""),0.572916666667879)</f>
        <v>0.57291666666787899</v>
      </c>
      <c r="J823" s="16">
        <f ca="1">IFERROR(__xludf.DUMMYFUNCTION("""COMPUTED_VALUE"""),44643.6041666666)</f>
        <v>44643.604166666599</v>
      </c>
      <c r="K823" t="str">
        <f ca="1">IFERROR(__xludf.DUMMYFUNCTION("""COMPUTED_VALUE"""),"23ft Skiff (Bertha) FL7972LJ DEP07613")</f>
        <v>23ft Skiff (Bertha) FL7972LJ DEP07613</v>
      </c>
      <c r="M823" t="str">
        <f ca="1">IFERROR(__xludf.DUMMYFUNCTION("""COMPUTED_VALUE"""),"Ford F250 2017 (Moby Dix) - DEP0021578")</f>
        <v>Ford F250 2017 (Moby Dix) - DEP0021578</v>
      </c>
      <c r="N823" t="str">
        <f ca="1">IFERROR(__xludf.DUMMYFUNCTION("""COMPUTED_VALUE"""),"Silas Tanner, (904) 483-8423, Remo Mondazzi")</f>
        <v>Silas Tanner, (904) 483-8423, Remo Mondazzi</v>
      </c>
      <c r="P823" t="str">
        <f ca="1">IFERROR(__xludf.DUMMYFUNCTION("""COMPUTED_VALUE"""),"S. Tanner")</f>
        <v>S. Tanner</v>
      </c>
      <c r="Q823" t="str">
        <f ca="1">IFERROR(__xludf.DUMMYFUNCTION("""COMPUTED_VALUE"""),"All items in working order")</f>
        <v>All items in working order</v>
      </c>
      <c r="AE823" s="11"/>
      <c r="AF823" t="str">
        <v>Nikki.Dix@floridadep.gov</v>
      </c>
      <c r="AG823" s="17" t="s">
        <v>41</v>
      </c>
      <c r="AH823" s="12">
        <v>1330</v>
      </c>
      <c r="AI823" s="12" t="s">
        <v>2421</v>
      </c>
      <c r="AJ823" s="19" t="s">
        <v>2422</v>
      </c>
      <c r="AK823" s="20" t="str">
        <f>HYPERLINK("https://docs.google.com/document/d/1dngjzQFAGN9M6CEHd97YOu766K7AQUFvDLSw76UNwNI/edit?usp=drivesdk","Silas Tanner - 3/23/2022 9:00 AM")</f>
        <v>Silas Tanner - 3/23/2022 9:00 AM</v>
      </c>
      <c r="AL823" s="12" t="s">
        <v>2423</v>
      </c>
    </row>
    <row r="824" spans="1:38" ht="12.75">
      <c r="A824" s="10">
        <f ca="1">IFERROR(__xludf.DUMMYFUNCTION("""COMPUTED_VALUE"""),44643.2699403356)</f>
        <v>44643.269940335602</v>
      </c>
      <c r="B824" s="11" t="str">
        <f ca="1">IFERROR(__xludf.DUMMYFUNCTION("""COMPUTED_VALUE"""),"Jimmy")</f>
        <v>Jimmy</v>
      </c>
      <c r="C824" t="str">
        <f ca="1">IFERROR(__xludf.DUMMYFUNCTION("""COMPUTED_VALUE"""),"james_tomazinis@floridadep.gov")</f>
        <v>james_tomazinis@floridadep.gov</v>
      </c>
      <c r="D824" t="str">
        <f ca="1">IFERROR(__xludf.DUMMYFUNCTION("""COMPUTED_VALUE"""),"Scott Eastman")</f>
        <v>Scott Eastman</v>
      </c>
      <c r="E824" t="str">
        <f ca="1">IFERROR(__xludf.DUMMYFUNCTION("""COMPUTED_VALUE"""),"Dee Dee Bartels and Holly Point")</f>
        <v>Dee Dee Bartels and Holly Point</v>
      </c>
      <c r="F824" s="13">
        <f ca="1">IFERROR(__xludf.DUMMYFUNCTION("""COMPUTED_VALUE"""),0.375)</f>
        <v>0.375</v>
      </c>
      <c r="G824" s="14">
        <f ca="1">IFERROR(__xludf.DUMMYFUNCTION("""COMPUTED_VALUE"""),44643)</f>
        <v>44643</v>
      </c>
      <c r="H824" t="str">
        <f ca="1">IFERROR(__xludf.DUMMYFUNCTION("""COMPUTED_VALUE"""),"NEAP WQ sites")</f>
        <v>NEAP WQ sites</v>
      </c>
      <c r="I824" s="15">
        <f ca="1">IFERROR(__xludf.DUMMYFUNCTION("""COMPUTED_VALUE"""),0.52083333333212)</f>
        <v>0.52083333333212001</v>
      </c>
      <c r="J824" s="16"/>
      <c r="K824" t="str">
        <f ca="1">IFERROR(__xludf.DUMMYFUNCTION("""COMPUTED_VALUE"""),"F 20ft Sea Ark (Easy 200) FL8534PY DEP21451")</f>
        <v>F 20ft Sea Ark (Easy 200) FL8534PY DEP21451</v>
      </c>
      <c r="M824" t="str">
        <f ca="1">IFERROR(__xludf.DUMMYFUNCTION("""COMPUTED_VALUE"""),"Ford F150 2007 (F-Bomb) - DEP07055")</f>
        <v>Ford F150 2007 (F-Bomb) - DEP07055</v>
      </c>
      <c r="N824" t="str">
        <f ca="1">IFERROR(__xludf.DUMMYFUNCTION("""COMPUTED_VALUE"""),"Jimmy Tomazinis, (904) 547-0094")</f>
        <v>Jimmy Tomazinis, (904) 547-0094</v>
      </c>
      <c r="O824" t="str">
        <f ca="1">IFERROR(__xludf.DUMMYFUNCTION("""COMPUTED_VALUE"""),"Chris Kurtz")</f>
        <v>Chris Kurtz</v>
      </c>
      <c r="P824" t="str">
        <f ca="1">IFERROR(__xludf.DUMMYFUNCTION("""COMPUTED_VALUE"""),"Jimmy")</f>
        <v>Jimmy</v>
      </c>
      <c r="Q824" t="str">
        <f ca="1">IFERROR(__xludf.DUMMYFUNCTION("""COMPUTED_VALUE"""),"All items in working order")</f>
        <v>All items in working order</v>
      </c>
      <c r="AE824" s="11"/>
      <c r="AF824" t="str">
        <v>Scott.Eastman@floridadep.gov</v>
      </c>
      <c r="AG824" s="17" t="s">
        <v>17</v>
      </c>
      <c r="AH824" s="12">
        <v>1225</v>
      </c>
      <c r="AI824" s="12" t="s">
        <v>2424</v>
      </c>
      <c r="AJ824" s="19" t="s">
        <v>2425</v>
      </c>
      <c r="AK824" s="20" t="str">
        <f>HYPERLINK("https://docs.google.com/document/d/1euQrZ_bUjQGXvmsIAky5C3hTAgHz9637UMF-abrjTHo/edit?usp=drivesdk","Jimmy - 3/23/2022 9:00 AM")</f>
        <v>Jimmy - 3/23/2022 9:00 AM</v>
      </c>
      <c r="AL824" s="12" t="s">
        <v>2426</v>
      </c>
    </row>
    <row r="825" spans="1:38" ht="12.75">
      <c r="A825" s="10">
        <f ca="1">IFERROR(__xludf.DUMMYFUNCTION("""COMPUTED_VALUE"""),44648.3223808796)</f>
        <v>44648.322380879603</v>
      </c>
      <c r="B825" s="11" t="str">
        <f ca="1">IFERROR(__xludf.DUMMYFUNCTION("""COMPUTED_VALUE"""),"Olivia Roorbach")</f>
        <v>Olivia Roorbach</v>
      </c>
      <c r="C825" t="str">
        <f ca="1">IFERROR(__xludf.DUMMYFUNCTION("""COMPUTED_VALUE"""),"olivia.roorbach@floridadep.gov")</f>
        <v>olivia.roorbach@floridadep.gov</v>
      </c>
      <c r="D825" t="str">
        <f ca="1">IFERROR(__xludf.DUMMYFUNCTION("""COMPUTED_VALUE"""),"Alee Knoell")</f>
        <v>Alee Knoell</v>
      </c>
      <c r="E825" t="str">
        <f ca="1">IFERROR(__xludf.DUMMYFUNCTION("""COMPUTED_VALUE"""),"6 mile ")</f>
        <v xml:space="preserve">6 mile </v>
      </c>
      <c r="F825" s="13">
        <f ca="1">IFERROR(__xludf.DUMMYFUNCTION("""COMPUTED_VALUE"""),0.322916666667879)</f>
        <v>0.32291666666787899</v>
      </c>
      <c r="G825" s="14">
        <f ca="1">IFERROR(__xludf.DUMMYFUNCTION("""COMPUTED_VALUE"""),44648)</f>
        <v>44648</v>
      </c>
      <c r="H825" t="str">
        <f ca="1">IFERROR(__xludf.DUMMYFUNCTION("""COMPUTED_VALUE"""),"Guana lake ")</f>
        <v xml:space="preserve">Guana lake </v>
      </c>
      <c r="I825" s="15">
        <f ca="1">IFERROR(__xludf.DUMMYFUNCTION("""COMPUTED_VALUE"""),0.4375)</f>
        <v>0.4375</v>
      </c>
      <c r="J825" s="16">
        <f ca="1">IFERROR(__xludf.DUMMYFUNCTION("""COMPUTED_VALUE"""),44648.4583333333)</f>
        <v>44648.458333333299</v>
      </c>
      <c r="K825" t="str">
        <f ca="1">IFERROR(__xludf.DUMMYFUNCTION("""COMPUTED_VALUE"""),"Jon Boat 1 FL5992RR DEP154045")</f>
        <v>Jon Boat 1 FL5992RR DEP154045</v>
      </c>
      <c r="M825" t="str">
        <f ca="1">IFERROR(__xludf.DUMMYFUNCTION("""COMPUTED_VALUE"""),"Ford F150 2015 (White) - DEP21448")</f>
        <v>Ford F150 2015 (White) - DEP21448</v>
      </c>
      <c r="N825" t="str">
        <f ca="1">IFERROR(__xludf.DUMMYFUNCTION("""COMPUTED_VALUE"""),"Olivia Roorbach, (404) 694-2653")</f>
        <v>Olivia Roorbach, (404) 694-2653</v>
      </c>
      <c r="O825" t="str">
        <f ca="1">IFERROR(__xludf.DUMMYFUNCTION("""COMPUTED_VALUE"""),"Justina Dacey, Ashley Smyth, Gabrielle Foursa")</f>
        <v>Justina Dacey, Ashley Smyth, Gabrielle Foursa</v>
      </c>
      <c r="P825" t="str">
        <f ca="1">IFERROR(__xludf.DUMMYFUNCTION("""COMPUTED_VALUE"""),"Olivia Roorbach")</f>
        <v>Olivia Roorbach</v>
      </c>
      <c r="Q825" t="str">
        <f ca="1">IFERROR(__xludf.DUMMYFUNCTION("""COMPUTED_VALUE"""),"All items in working order")</f>
        <v>All items in working order</v>
      </c>
      <c r="AE825" s="11"/>
      <c r="AF825" t="str">
        <v>Alee.Knoell@floridadep.gov</v>
      </c>
      <c r="AG825" s="17" t="s">
        <v>1821</v>
      </c>
      <c r="AH825" s="12">
        <v>943</v>
      </c>
      <c r="AI825" s="12" t="s">
        <v>2427</v>
      </c>
      <c r="AJ825" s="19" t="s">
        <v>2428</v>
      </c>
      <c r="AK825" s="20" t="str">
        <f>HYPERLINK("https://docs.google.com/document/d/1ayYTiNi1v2sq-uYAzaToJwrS4wZsca6mreu1-jbpvF0/edit?usp=drivesdk","Olivia Roorbach - 3/28/2022 7:45 AM")</f>
        <v>Olivia Roorbach - 3/28/2022 7:45 AM</v>
      </c>
      <c r="AL825" s="12" t="s">
        <v>2429</v>
      </c>
    </row>
    <row r="826" spans="1:38" ht="12.75">
      <c r="A826" s="10">
        <f ca="1">IFERROR(__xludf.DUMMYFUNCTION("""COMPUTED_VALUE"""),44649.9003118171)</f>
        <v>44649.900311817102</v>
      </c>
      <c r="B826" s="11" t="str">
        <f ca="1">IFERROR(__xludf.DUMMYFUNCTION("""COMPUTED_VALUE"""),"Jimmy")</f>
        <v>Jimmy</v>
      </c>
      <c r="C826" t="str">
        <f ca="1">IFERROR(__xludf.DUMMYFUNCTION("""COMPUTED_VALUE"""),"james.tomazinis@floridadep.gov")</f>
        <v>james.tomazinis@floridadep.gov</v>
      </c>
      <c r="D826" t="str">
        <f ca="1">IFERROR(__xludf.DUMMYFUNCTION("""COMPUTED_VALUE"""),"Scott Eastman")</f>
        <v>Scott Eastman</v>
      </c>
      <c r="E826" t="str">
        <f ca="1">IFERROR(__xludf.DUMMYFUNCTION("""COMPUTED_VALUE"""),"Dee Dee Bartels and Holly Point")</f>
        <v>Dee Dee Bartels and Holly Point</v>
      </c>
      <c r="F826" s="13">
        <f ca="1">IFERROR(__xludf.DUMMYFUNCTION("""COMPUTED_VALUE"""),0.385416666667879)</f>
        <v>0.38541666666787899</v>
      </c>
      <c r="G826" s="14">
        <f ca="1">IFERROR(__xludf.DUMMYFUNCTION("""COMPUTED_VALUE"""),44650)</f>
        <v>44650</v>
      </c>
      <c r="H826" t="str">
        <f ca="1">IFERROR(__xludf.DUMMYFUNCTION("""COMPUTED_VALUE"""),"NEAP WQ sites ")</f>
        <v xml:space="preserve">NEAP WQ sites </v>
      </c>
      <c r="I826" s="15">
        <f ca="1">IFERROR(__xludf.DUMMYFUNCTION("""COMPUTED_VALUE"""),0.58333333333212)</f>
        <v>0.58333333333212001</v>
      </c>
      <c r="J826" s="16"/>
      <c r="K826" t="str">
        <f ca="1">IFERROR(__xludf.DUMMYFUNCTION("""COMPUTED_VALUE"""),"F 20ft Sea Ark (Easy 200) FL8534PY DEP21451")</f>
        <v>F 20ft Sea Ark (Easy 200) FL8534PY DEP21451</v>
      </c>
      <c r="M826" t="str">
        <f ca="1">IFERROR(__xludf.DUMMYFUNCTION("""COMPUTED_VALUE"""),"Ford F150 2007 (F-Bomb) - DEP07055")</f>
        <v>Ford F150 2007 (F-Bomb) - DEP07055</v>
      </c>
      <c r="N826" t="str">
        <f ca="1">IFERROR(__xludf.DUMMYFUNCTION("""COMPUTED_VALUE"""),"Jimmy Tomazinis, (904) 547-0094")</f>
        <v>Jimmy Tomazinis, (904) 547-0094</v>
      </c>
      <c r="O826" t="str">
        <f ca="1">IFERROR(__xludf.DUMMYFUNCTION("""COMPUTED_VALUE"""),"Chris Kurtz")</f>
        <v>Chris Kurtz</v>
      </c>
      <c r="P826" t="str">
        <f ca="1">IFERROR(__xludf.DUMMYFUNCTION("""COMPUTED_VALUE"""),"Jimmy")</f>
        <v>Jimmy</v>
      </c>
      <c r="Q826" t="str">
        <f ca="1">IFERROR(__xludf.DUMMYFUNCTION("""COMPUTED_VALUE"""),"All items in working order")</f>
        <v>All items in working order</v>
      </c>
      <c r="AE826" s="11"/>
      <c r="AF826" t="str">
        <v>Scott.Eastman@floridadep.gov</v>
      </c>
      <c r="AG826" s="17" t="s">
        <v>17</v>
      </c>
      <c r="AH826" s="12">
        <v>1231</v>
      </c>
      <c r="AI826" s="12" t="s">
        <v>2430</v>
      </c>
      <c r="AJ826" s="19" t="s">
        <v>2431</v>
      </c>
      <c r="AK826" s="20" t="str">
        <f>HYPERLINK("https://docs.google.com/document/d/1LBBMGWVFqW8ctDnuI875H-tZ2-h_FLe2WfH9DWFHvU8/edit?usp=drivesdk","Jimmy - 3/30/2022 9:15 AM")</f>
        <v>Jimmy - 3/30/2022 9:15 AM</v>
      </c>
      <c r="AL826" s="12" t="s">
        <v>2432</v>
      </c>
    </row>
    <row r="827" spans="1:38" ht="12.75">
      <c r="A827" s="10">
        <f ca="1">IFERROR(__xludf.DUMMYFUNCTION("""COMPUTED_VALUE"""),44650.446185081)</f>
        <v>44650.446185080997</v>
      </c>
      <c r="B827" s="11" t="str">
        <f ca="1">IFERROR(__xludf.DUMMYFUNCTION("""COMPUTED_VALUE"""),"Pam Marcum ")</f>
        <v xml:space="preserve">Pam Marcum </v>
      </c>
      <c r="C827" t="str">
        <f ca="1">IFERROR(__xludf.DUMMYFUNCTION("""COMPUTED_VALUE"""),"Pamela.Marcum@FloridaDEP.gov")</f>
        <v>Pamela.Marcum@FloridaDEP.gov</v>
      </c>
      <c r="D827" t="str">
        <f ca="1">IFERROR(__xludf.DUMMYFUNCTION("""COMPUTED_VALUE"""),"Silas Tanner")</f>
        <v>Silas Tanner</v>
      </c>
      <c r="E827" t="str">
        <f ca="1">IFERROR(__xludf.DUMMYFUNCTION("""COMPUTED_VALUE"""),"Shore dr")</f>
        <v>Shore dr</v>
      </c>
      <c r="F827" s="13">
        <f ca="1">IFERROR(__xludf.DUMMYFUNCTION("""COMPUTED_VALUE"""),0.444444444445252)</f>
        <v>0.444444444445252</v>
      </c>
      <c r="G827" s="14">
        <f ca="1">IFERROR(__xludf.DUMMYFUNCTION("""COMPUTED_VALUE"""),44650)</f>
        <v>44650</v>
      </c>
      <c r="H827" t="str">
        <f ca="1">IFERROR(__xludf.DUMMYFUNCTION("""COMPUTED_VALUE"""),"Moses and mangrove creek")</f>
        <v>Moses and mangrove creek</v>
      </c>
      <c r="I827" s="15">
        <f ca="1">IFERROR(__xludf.DUMMYFUNCTION("""COMPUTED_VALUE"""),0.541666666667879)</f>
        <v>0.54166666666787899</v>
      </c>
      <c r="J827" s="16">
        <f ca="1">IFERROR(__xludf.DUMMYFUNCTION("""COMPUTED_VALUE"""),44650.5416666666)</f>
        <v>44650.541666666599</v>
      </c>
      <c r="K827" t="str">
        <f ca="1">IFERROR(__xludf.DUMMYFUNCTION("""COMPUTED_VALUE"""),"20ft Sea Ark FL5351SJ UNF 2015")</f>
        <v>20ft Sea Ark FL5351SJ UNF 2015</v>
      </c>
      <c r="M827" t="str">
        <f ca="1">IFERROR(__xludf.DUMMYFUNCTION("""COMPUTED_VALUE"""),"Ford F150 2015 (White) - DEP21448")</f>
        <v>Ford F150 2015 (White) - DEP21448</v>
      </c>
      <c r="N827" t="str">
        <f ca="1">IFERROR(__xludf.DUMMYFUNCTION("""COMPUTED_VALUE"""),"Pam Marcum, (480) 332-5414, Alee Knoell, (619) 750-4833")</f>
        <v>Pam Marcum, (480) 332-5414, Alee Knoell, (619) 750-4833</v>
      </c>
      <c r="P827" t="str">
        <f ca="1">IFERROR(__xludf.DUMMYFUNCTION("""COMPUTED_VALUE"""),"Pam")</f>
        <v>Pam</v>
      </c>
      <c r="Q827" t="str">
        <f ca="1">IFERROR(__xludf.DUMMYFUNCTION("""COMPUTED_VALUE"""),"All items in working order")</f>
        <v>All items in working order</v>
      </c>
      <c r="AE827" s="11"/>
      <c r="AF827" t="str">
        <v>Silas.Tanner@floridadep.gov</v>
      </c>
      <c r="AG827" s="17" t="s">
        <v>1568</v>
      </c>
      <c r="AH827" s="12">
        <v>1309</v>
      </c>
      <c r="AI827" s="12" t="s">
        <v>2433</v>
      </c>
      <c r="AJ827" s="19" t="s">
        <v>2434</v>
      </c>
      <c r="AK827" s="20" t="str">
        <f>HYPERLINK("https://docs.google.com/document/d/1eugl43RB5c-ECilBD_-Gln1wkKuTbn0rcvYHLdmcvuk/edit?usp=drivesdk","Pam Marcum  - 3/30/2022 10:40 AM")</f>
        <v>Pam Marcum  - 3/30/2022 10:40 AM</v>
      </c>
      <c r="AL827" s="12" t="s">
        <v>2435</v>
      </c>
    </row>
    <row r="828" spans="1:38" ht="12.75">
      <c r="A828" s="10">
        <f ca="1">IFERROR(__xludf.DUMMYFUNCTION("""COMPUTED_VALUE"""),44650.5877272685)</f>
        <v>44650.587727268503</v>
      </c>
      <c r="B828" s="11" t="str">
        <f ca="1">IFERROR(__xludf.DUMMYFUNCTION("""COMPUTED_VALUE"""),"Pam Marcum ")</f>
        <v xml:space="preserve">Pam Marcum </v>
      </c>
      <c r="C828" t="str">
        <f ca="1">IFERROR(__xludf.DUMMYFUNCTION("""COMPUTED_VALUE"""),"Pamela.Marcum@FloridaDEP.gov")</f>
        <v>Pamela.Marcum@FloridaDEP.gov</v>
      </c>
      <c r="D828" t="str">
        <f ca="1">IFERROR(__xludf.DUMMYFUNCTION("""COMPUTED_VALUE"""),"Silas Tanner")</f>
        <v>Silas Tanner</v>
      </c>
      <c r="E828" t="str">
        <f ca="1">IFERROR(__xludf.DUMMYFUNCTION("""COMPUTED_VALUE"""),"Bings")</f>
        <v>Bings</v>
      </c>
      <c r="F828" s="13">
        <f ca="1">IFERROR(__xludf.DUMMYFUNCTION("""COMPUTED_VALUE"""),0.58333333333212)</f>
        <v>0.58333333333212001</v>
      </c>
      <c r="G828" s="14">
        <f ca="1">IFERROR(__xludf.DUMMYFUNCTION("""COMPUTED_VALUE"""),44650)</f>
        <v>44650</v>
      </c>
      <c r="H828" t="str">
        <f ca="1">IFERROR(__xludf.DUMMYFUNCTION("""COMPUTED_VALUE"""),"Washington oaks platforms")</f>
        <v>Washington oaks platforms</v>
      </c>
      <c r="I828" s="15">
        <f ca="1">IFERROR(__xludf.DUMMYFUNCTION("""COMPUTED_VALUE"""),0.625)</f>
        <v>0.625</v>
      </c>
      <c r="J828" s="16">
        <f ca="1">IFERROR(__xludf.DUMMYFUNCTION("""COMPUTED_VALUE"""),44650.625)</f>
        <v>44650.625</v>
      </c>
      <c r="K828" t="str">
        <f ca="1">IFERROR(__xludf.DUMMYFUNCTION("""COMPUTED_VALUE"""),"20ft Sea Ark FL5351SJ UNF 2015")</f>
        <v>20ft Sea Ark FL5351SJ UNF 2015</v>
      </c>
      <c r="M828" t="str">
        <f ca="1">IFERROR(__xludf.DUMMYFUNCTION("""COMPUTED_VALUE"""),"Ford F150 2015 (White) - DEP21448")</f>
        <v>Ford F150 2015 (White) - DEP21448</v>
      </c>
      <c r="N828" t="str">
        <f ca="1">IFERROR(__xludf.DUMMYFUNCTION("""COMPUTED_VALUE"""),"Pam Marcum, (480) 332-5414, Alee Knoell, (619) 750-4833")</f>
        <v>Pam Marcum, (480) 332-5414, Alee Knoell, (619) 750-4833</v>
      </c>
      <c r="P828" t="str">
        <f ca="1">IFERROR(__xludf.DUMMYFUNCTION("""COMPUTED_VALUE"""),"Pam")</f>
        <v>Pam</v>
      </c>
      <c r="Q828" t="str">
        <f ca="1">IFERROR(__xludf.DUMMYFUNCTION("""COMPUTED_VALUE"""),"All items in working order")</f>
        <v>All items in working order</v>
      </c>
      <c r="AE828" s="11"/>
      <c r="AF828" t="str">
        <v>Silas.Tanner@floridadep.gov</v>
      </c>
      <c r="AG828" s="17" t="s">
        <v>1568</v>
      </c>
      <c r="AH828" s="12">
        <v>1434</v>
      </c>
      <c r="AI828" s="12" t="s">
        <v>2436</v>
      </c>
      <c r="AJ828" s="19" t="s">
        <v>2437</v>
      </c>
      <c r="AK828" s="20" t="str">
        <f>HYPERLINK("https://docs.google.com/document/d/11x7KebBL3BsFbCvmXPMfkeGhvbsDkveSebCGBcM_2mE/edit?usp=drivesdk","Pam Marcum  - 3/30/2022 2:00 PM")</f>
        <v>Pam Marcum  - 3/30/2022 2:00 PM</v>
      </c>
      <c r="AL828" s="12" t="s">
        <v>2438</v>
      </c>
    </row>
    <row r="829" spans="1:38" ht="12.75">
      <c r="A829" s="10">
        <f ca="1">IFERROR(__xludf.DUMMYFUNCTION("""COMPUTED_VALUE"""),44650.6301496412)</f>
        <v>44650.630149641198</v>
      </c>
      <c r="B829" s="11" t="str">
        <f ca="1">IFERROR(__xludf.DUMMYFUNCTION("""COMPUTED_VALUE"""),"Pam Marcum ")</f>
        <v xml:space="preserve">Pam Marcum </v>
      </c>
      <c r="C829" t="str">
        <f ca="1">IFERROR(__xludf.DUMMYFUNCTION("""COMPUTED_VALUE"""),"Pamela.Marcum@FloridaDEP.gov")</f>
        <v>Pamela.Marcum@FloridaDEP.gov</v>
      </c>
      <c r="D829" t="str">
        <f ca="1">IFERROR(__xludf.DUMMYFUNCTION("""COMPUTED_VALUE"""),"Silas Tanner")</f>
        <v>Silas Tanner</v>
      </c>
      <c r="E829" t="str">
        <f ca="1">IFERROR(__xludf.DUMMYFUNCTION("""COMPUTED_VALUE"""),"Faver dykes")</f>
        <v>Faver dykes</v>
      </c>
      <c r="F829" s="13">
        <f ca="1">IFERROR(__xludf.DUMMYFUNCTION("""COMPUTED_VALUE"""),0.635416666667879)</f>
        <v>0.63541666666787899</v>
      </c>
      <c r="G829" s="14">
        <f ca="1">IFERROR(__xludf.DUMMYFUNCTION("""COMPUTED_VALUE"""),44650)</f>
        <v>44650</v>
      </c>
      <c r="H829" t="str">
        <f ca="1">IFERROR(__xludf.DUMMYFUNCTION("""COMPUTED_VALUE"""),"Pellicer mouth ")</f>
        <v xml:space="preserve">Pellicer mouth </v>
      </c>
      <c r="I829" s="15">
        <f ca="1">IFERROR(__xludf.DUMMYFUNCTION("""COMPUTED_VALUE"""),0.666666666667879)</f>
        <v>0.66666666666787899</v>
      </c>
      <c r="J829" s="16">
        <f ca="1">IFERROR(__xludf.DUMMYFUNCTION("""COMPUTED_VALUE"""),44650.7083333333)</f>
        <v>44650.708333333299</v>
      </c>
      <c r="K829" t="str">
        <f ca="1">IFERROR(__xludf.DUMMYFUNCTION("""COMPUTED_VALUE"""),"20ft Sea Ark FL5351SJ UNF 2015")</f>
        <v>20ft Sea Ark FL5351SJ UNF 2015</v>
      </c>
      <c r="M829" t="str">
        <f ca="1">IFERROR(__xludf.DUMMYFUNCTION("""COMPUTED_VALUE"""),"Ford F150 2015 (White) - DEP21448")</f>
        <v>Ford F150 2015 (White) - DEP21448</v>
      </c>
      <c r="N829" t="str">
        <f ca="1">IFERROR(__xludf.DUMMYFUNCTION("""COMPUTED_VALUE"""),"Pam Marcum, (480) 332-5414, Alee Knoell, (619) 750-4833")</f>
        <v>Pam Marcum, (480) 332-5414, Alee Knoell, (619) 750-4833</v>
      </c>
      <c r="P829" t="str">
        <f ca="1">IFERROR(__xludf.DUMMYFUNCTION("""COMPUTED_VALUE"""),"Pam")</f>
        <v>Pam</v>
      </c>
      <c r="Q829" t="str">
        <f ca="1">IFERROR(__xludf.DUMMYFUNCTION("""COMPUTED_VALUE"""),"All items in working order")</f>
        <v>All items in working order</v>
      </c>
      <c r="AE829" s="11"/>
      <c r="AF829" t="str">
        <v>Silas.Tanner@floridadep.gov</v>
      </c>
      <c r="AG829" s="17" t="s">
        <v>1568</v>
      </c>
      <c r="AH829" s="12">
        <v>1624</v>
      </c>
      <c r="AI829" s="12" t="s">
        <v>2439</v>
      </c>
      <c r="AJ829" s="19" t="s">
        <v>2440</v>
      </c>
      <c r="AK829" s="20" t="str">
        <f>HYPERLINK("https://docs.google.com/document/d/1qRJJY7H8Nse3yytMJqiH6uPvPSJhytrXUSLfZsMfcB0/edit?usp=drivesdk","Pam Marcum  - 3/30/2022 3:15 PM")</f>
        <v>Pam Marcum  - 3/30/2022 3:15 PM</v>
      </c>
      <c r="AL829" s="12" t="s">
        <v>2441</v>
      </c>
    </row>
    <row r="830" spans="1:38" ht="12.75">
      <c r="A830" s="10">
        <f ca="1">IFERROR(__xludf.DUMMYFUNCTION("""COMPUTED_VALUE"""),44652.638418831)</f>
        <v>44652.638418830997</v>
      </c>
      <c r="B830" s="11" t="str">
        <f ca="1">IFERROR(__xludf.DUMMYFUNCTION("""COMPUTED_VALUE"""),"Pam Marcum ")</f>
        <v xml:space="preserve">Pam Marcum </v>
      </c>
      <c r="C830" t="str">
        <f ca="1">IFERROR(__xludf.DUMMYFUNCTION("""COMPUTED_VALUE"""),"Pamela.Marcum@FloridaDEP.gov")</f>
        <v>Pamela.Marcum@FloridaDEP.gov</v>
      </c>
      <c r="D830" t="str">
        <f ca="1">IFERROR(__xludf.DUMMYFUNCTION("""COMPUTED_VALUE"""),"Nikki Dix")</f>
        <v>Nikki Dix</v>
      </c>
      <c r="E830" t="str">
        <f ca="1">IFERROR(__xludf.DUMMYFUNCTION("""COMPUTED_VALUE"""),"Aunt kates")</f>
        <v>Aunt kates</v>
      </c>
      <c r="F830" s="13">
        <f ca="1">IFERROR(__xludf.DUMMYFUNCTION("""COMPUTED_VALUE"""),0.58333333333212)</f>
        <v>0.58333333333212001</v>
      </c>
      <c r="G830" s="14">
        <f ca="1">IFERROR(__xludf.DUMMYFUNCTION("""COMPUTED_VALUE"""),44652)</f>
        <v>44652</v>
      </c>
      <c r="H830" t="str">
        <f ca="1">IFERROR(__xludf.DUMMYFUNCTION("""COMPUTED_VALUE"""),"Hat island and pine island")</f>
        <v>Hat island and pine island</v>
      </c>
      <c r="I830" s="15">
        <f ca="1">IFERROR(__xludf.DUMMYFUNCTION("""COMPUTED_VALUE"""),0.75)</f>
        <v>0.75</v>
      </c>
      <c r="J830" s="16">
        <f ca="1">IFERROR(__xludf.DUMMYFUNCTION("""COMPUTED_VALUE"""),44652.7708333333)</f>
        <v>44652.770833333299</v>
      </c>
      <c r="K830" t="str">
        <f ca="1">IFERROR(__xludf.DUMMYFUNCTION("""COMPUTED_VALUE"""),"20ft Sea Ark FL5351SJ UNF 2015")</f>
        <v>20ft Sea Ark FL5351SJ UNF 2015</v>
      </c>
      <c r="M830" t="str">
        <f ca="1">IFERROR(__xludf.DUMMYFUNCTION("""COMPUTED_VALUE"""),"Ford F150 2015 (White) - DEP21448")</f>
        <v>Ford F150 2015 (White) - DEP21448</v>
      </c>
      <c r="N830" t="str">
        <f ca="1">IFERROR(__xludf.DUMMYFUNCTION("""COMPUTED_VALUE"""),"Pam Marcum, (480) 332-5414")</f>
        <v>Pam Marcum, (480) 332-5414</v>
      </c>
      <c r="O830" t="str">
        <f ca="1">IFERROR(__xludf.DUMMYFUNCTION("""COMPUTED_VALUE"""),"Sam chapman, tess adgie")</f>
        <v>Sam chapman, tess adgie</v>
      </c>
      <c r="P830" t="str">
        <f ca="1">IFERROR(__xludf.DUMMYFUNCTION("""COMPUTED_VALUE"""),"Pam")</f>
        <v>Pam</v>
      </c>
      <c r="Q830" t="str">
        <f ca="1">IFERROR(__xludf.DUMMYFUNCTION("""COMPUTED_VALUE"""),"All items in working order")</f>
        <v>All items in working order</v>
      </c>
      <c r="AE830" s="11"/>
      <c r="AF830" t="str">
        <v>Nikki.Dix@floridadep.gov</v>
      </c>
      <c r="AG830" s="17" t="s">
        <v>41</v>
      </c>
      <c r="AH830" s="12">
        <v>1840</v>
      </c>
      <c r="AI830" s="12" t="s">
        <v>2442</v>
      </c>
      <c r="AJ830" s="19" t="s">
        <v>2443</v>
      </c>
      <c r="AK830" s="20" t="str">
        <f>HYPERLINK("https://docs.google.com/document/d/1ZFtVelt27j2kWBG82IdINFl7nZ-PExYNLz2tAbS3SoA/edit?usp=drivesdk","Pam Marcum  - 4/1/2022 2:00 PM")</f>
        <v>Pam Marcum  - 4/1/2022 2:00 PM</v>
      </c>
      <c r="AL830" s="12" t="s">
        <v>2444</v>
      </c>
    </row>
    <row r="831" spans="1:38" ht="12.75">
      <c r="A831" s="10">
        <f ca="1">IFERROR(__xludf.DUMMYFUNCTION("""COMPUTED_VALUE"""),44655.2084379282)</f>
        <v>44655.208437928202</v>
      </c>
      <c r="B831" s="11" t="str">
        <f ca="1">IFERROR(__xludf.DUMMYFUNCTION("""COMPUTED_VALUE"""),"Pam Marcum ")</f>
        <v xml:space="preserve">Pam Marcum </v>
      </c>
      <c r="C831" t="str">
        <f ca="1">IFERROR(__xludf.DUMMYFUNCTION("""COMPUTED_VALUE"""),"Pamela.Marcum@FloridaDEP.gov")</f>
        <v>Pamela.Marcum@FloridaDEP.gov</v>
      </c>
      <c r="D831" t="str">
        <f ca="1">IFERROR(__xludf.DUMMYFUNCTION("""COMPUTED_VALUE"""),"Nikki Dix")</f>
        <v>Nikki Dix</v>
      </c>
      <c r="E831" t="str">
        <f ca="1">IFERROR(__xludf.DUMMYFUNCTION("""COMPUTED_VALUE"""),"Butler")</f>
        <v>Butler</v>
      </c>
      <c r="F831" s="13">
        <f ca="1">IFERROR(__xludf.DUMMYFUNCTION("""COMPUTED_VALUE"""),0.20833333333212)</f>
        <v>0.20833333333212001</v>
      </c>
      <c r="G831" s="14">
        <f ca="1">IFERROR(__xludf.DUMMYFUNCTION("""COMPUTED_VALUE"""),44655)</f>
        <v>44655</v>
      </c>
      <c r="H831" t="str">
        <f ca="1">IFERROR(__xludf.DUMMYFUNCTION("""COMPUTED_VALUE"""),"Moses creek")</f>
        <v>Moses creek</v>
      </c>
      <c r="I831" s="15">
        <f ca="1">IFERROR(__xludf.DUMMYFUNCTION("""COMPUTED_VALUE"""),0.5)</f>
        <v>0.5</v>
      </c>
      <c r="J831" s="16">
        <f ca="1">IFERROR(__xludf.DUMMYFUNCTION("""COMPUTED_VALUE"""),44655.5416666666)</f>
        <v>44655.541666666599</v>
      </c>
      <c r="K831" t="str">
        <f ca="1">IFERROR(__xludf.DUMMYFUNCTION("""COMPUTED_VALUE"""),"20ft Sea Ark FL5351SJ UNF 2015")</f>
        <v>20ft Sea Ark FL5351SJ UNF 2015</v>
      </c>
      <c r="M831" t="str">
        <f ca="1">IFERROR(__xludf.DUMMYFUNCTION("""COMPUTED_VALUE"""),"Ford F150 2015 (White) - DEP21448")</f>
        <v>Ford F150 2015 (White) - DEP21448</v>
      </c>
      <c r="N831" t="str">
        <f ca="1">IFERROR(__xludf.DUMMYFUNCTION("""COMPUTED_VALUE"""),"Pam Marcum, (480) 332-5414")</f>
        <v>Pam Marcum, (480) 332-5414</v>
      </c>
      <c r="O831" t="str">
        <f ca="1">IFERROR(__xludf.DUMMYFUNCTION("""COMPUTED_VALUE"""),"Allix North ")</f>
        <v xml:space="preserve">Allix North </v>
      </c>
      <c r="P831" t="str">
        <f ca="1">IFERROR(__xludf.DUMMYFUNCTION("""COMPUTED_VALUE"""),"Pam")</f>
        <v>Pam</v>
      </c>
      <c r="Q831" t="str">
        <f ca="1">IFERROR(__xludf.DUMMYFUNCTION("""COMPUTED_VALUE"""),"All items in working order")</f>
        <v>All items in working order</v>
      </c>
      <c r="AE831" s="11"/>
      <c r="AF831" t="str">
        <v>Nikki.Dix@floridadep.gov</v>
      </c>
      <c r="AG831" s="17" t="s">
        <v>41</v>
      </c>
      <c r="AH831" s="12">
        <v>1057</v>
      </c>
      <c r="AI831" s="12" t="s">
        <v>2445</v>
      </c>
      <c r="AJ831" s="19" t="s">
        <v>2446</v>
      </c>
      <c r="AK831" s="20" t="str">
        <f>HYPERLINK("https://docs.google.com/document/d/1f7OU-ly0C8xsOWYSn2kMAOGmsuBz01itbrxUlCznrQ0/edit?usp=drivesdk","Pam Marcum  - 4/4/2022 5:00 AM")</f>
        <v>Pam Marcum  - 4/4/2022 5:00 AM</v>
      </c>
      <c r="AL831" s="12" t="s">
        <v>2447</v>
      </c>
    </row>
    <row r="832" spans="1:38" ht="12.75">
      <c r="A832" s="10">
        <f ca="1">IFERROR(__xludf.DUMMYFUNCTION("""COMPUTED_VALUE"""),44656.3546638657)</f>
        <v>44656.354663865699</v>
      </c>
      <c r="B832" s="11" t="str">
        <f ca="1">IFERROR(__xludf.DUMMYFUNCTION("""COMPUTED_VALUE"""),"Silas Tanner")</f>
        <v>Silas Tanner</v>
      </c>
      <c r="C832" t="str">
        <f ca="1">IFERROR(__xludf.DUMMYFUNCTION("""COMPUTED_VALUE"""),"silas.tanner@dep.state.fl.us")</f>
        <v>silas.tanner@dep.state.fl.us</v>
      </c>
      <c r="D832" t="str">
        <f ca="1">IFERROR(__xludf.DUMMYFUNCTION("""COMPUTED_VALUE"""),"Nikki Dix")</f>
        <v>Nikki Dix</v>
      </c>
      <c r="E832" t="str">
        <f ca="1">IFERROR(__xludf.DUMMYFUNCTION("""COMPUTED_VALUE"""),"Vilano Landing")</f>
        <v>Vilano Landing</v>
      </c>
      <c r="F832" s="13">
        <f ca="1">IFERROR(__xludf.DUMMYFUNCTION("""COMPUTED_VALUE"""),0.375)</f>
        <v>0.375</v>
      </c>
      <c r="G832" s="14">
        <f ca="1">IFERROR(__xludf.DUMMYFUNCTION("""COMPUTED_VALUE"""),44656)</f>
        <v>44656</v>
      </c>
      <c r="H832" t="str">
        <f ca="1">IFERROR(__xludf.DUMMYFUNCTION("""COMPUTED_VALUE"""),"ICW SWMP sites")</f>
        <v>ICW SWMP sites</v>
      </c>
      <c r="I832" s="15">
        <f ca="1">IFERROR(__xludf.DUMMYFUNCTION("""COMPUTED_VALUE"""),0.58333333333212)</f>
        <v>0.58333333333212001</v>
      </c>
      <c r="J832" s="16">
        <f ca="1">IFERROR(__xludf.DUMMYFUNCTION("""COMPUTED_VALUE"""),44656.6666666666)</f>
        <v>44656.666666666599</v>
      </c>
      <c r="K832" t="str">
        <f ca="1">IFERROR(__xludf.DUMMYFUNCTION("""COMPUTED_VALUE"""),"20ft Sea Ark FL5351SJ UNF 2015")</f>
        <v>20ft Sea Ark FL5351SJ UNF 2015</v>
      </c>
      <c r="M832" t="str">
        <f ca="1">IFERROR(__xludf.DUMMYFUNCTION("""COMPUTED_VALUE"""),"Ford F150 2015 (White) - DEP21448")</f>
        <v>Ford F150 2015 (White) - DEP21448</v>
      </c>
      <c r="N832" t="str">
        <f ca="1">IFERROR(__xludf.DUMMYFUNCTION("""COMPUTED_VALUE"""),"Silas Tanner, (904) 483-8423, Remo Mondazzi")</f>
        <v>Silas Tanner, (904) 483-8423, Remo Mondazzi</v>
      </c>
      <c r="P832" t="str">
        <f ca="1">IFERROR(__xludf.DUMMYFUNCTION("""COMPUTED_VALUE"""),"Silas Tanner")</f>
        <v>Silas Tanner</v>
      </c>
      <c r="Q832" t="str">
        <f ca="1">IFERROR(__xludf.DUMMYFUNCTION("""COMPUTED_VALUE"""),"All items in working order")</f>
        <v>All items in working order</v>
      </c>
      <c r="AE832" s="11"/>
      <c r="AF832" t="str">
        <v>Nikki.Dix@floridadep.gov</v>
      </c>
      <c r="AG832" s="17" t="s">
        <v>41</v>
      </c>
      <c r="AH832" s="12">
        <v>1430</v>
      </c>
      <c r="AI832" s="12" t="s">
        <v>2448</v>
      </c>
      <c r="AJ832" s="19" t="s">
        <v>2449</v>
      </c>
      <c r="AK832" s="20" t="str">
        <f>HYPERLINK("https://docs.google.com/document/d/1tw4mYUCCNzMhsRmvOhwgoJdo6uJQvZN9aYZYNNLzfiU/edit?usp=drivesdk","Silas Tanner - 4/5/2022 9:00 AM")</f>
        <v>Silas Tanner - 4/5/2022 9:00 AM</v>
      </c>
      <c r="AL832" s="12" t="s">
        <v>2450</v>
      </c>
    </row>
    <row r="833" spans="1:38" ht="12.75">
      <c r="A833" s="10">
        <f ca="1">IFERROR(__xludf.DUMMYFUNCTION("""COMPUTED_VALUE"""),44656.3869553703)</f>
        <v>44656.386955370297</v>
      </c>
      <c r="B833" s="11" t="str">
        <f ca="1">IFERROR(__xludf.DUMMYFUNCTION("""COMPUTED_VALUE"""),"Pam Marcum ")</f>
        <v xml:space="preserve">Pam Marcum </v>
      </c>
      <c r="C833" t="str">
        <f ca="1">IFERROR(__xludf.DUMMYFUNCTION("""COMPUTED_VALUE"""),"Pamela.Marcum@FloridaDEP.gov")</f>
        <v>Pamela.Marcum@FloridaDEP.gov</v>
      </c>
      <c r="D833" t="str">
        <f ca="1">IFERROR(__xludf.DUMMYFUNCTION("""COMPUTED_VALUE"""),"Nikki Dix")</f>
        <v>Nikki Dix</v>
      </c>
      <c r="E833" t="str">
        <f ca="1">IFERROR(__xludf.DUMMYFUNCTION("""COMPUTED_VALUE"""),"Faver dykes")</f>
        <v>Faver dykes</v>
      </c>
      <c r="F833" s="13">
        <f ca="1">IFERROR(__xludf.DUMMYFUNCTION("""COMPUTED_VALUE"""),0.375)</f>
        <v>0.375</v>
      </c>
      <c r="G833" s="14">
        <f ca="1">IFERROR(__xludf.DUMMYFUNCTION("""COMPUTED_VALUE"""),44656)</f>
        <v>44656</v>
      </c>
      <c r="H833" t="str">
        <f ca="1">IFERROR(__xludf.DUMMYFUNCTION("""COMPUTED_VALUE"""),"Pc mouth")</f>
        <v>Pc mouth</v>
      </c>
      <c r="I833" s="15">
        <f ca="1">IFERROR(__xludf.DUMMYFUNCTION("""COMPUTED_VALUE"""),0.52083333333212)</f>
        <v>0.52083333333212001</v>
      </c>
      <c r="J833" s="16">
        <f ca="1">IFERROR(__xludf.DUMMYFUNCTION("""COMPUTED_VALUE"""),44656.5416666666)</f>
        <v>44656.541666666599</v>
      </c>
      <c r="K833" t="str">
        <f ca="1">IFERROR(__xludf.DUMMYFUNCTION("""COMPUTED_VALUE"""),"23ft Skiff (Bertha) FL7972LJ DEP07613")</f>
        <v>23ft Skiff (Bertha) FL7972LJ DEP07613</v>
      </c>
      <c r="M833" t="str">
        <f ca="1">IFERROR(__xludf.DUMMYFUNCTION("""COMPUTED_VALUE"""),"Ford F250 2017 (Moby Dix) - DEP0021578")</f>
        <v>Ford F250 2017 (Moby Dix) - DEP0021578</v>
      </c>
      <c r="N833" t="str">
        <f ca="1">IFERROR(__xludf.DUMMYFUNCTION("""COMPUTED_VALUE"""),"Pam Marcum, (480) 332-5414, Alee Knoell, (619) 750-4833")</f>
        <v>Pam Marcum, (480) 332-5414, Alee Knoell, (619) 750-4833</v>
      </c>
      <c r="P833" t="str">
        <f ca="1">IFERROR(__xludf.DUMMYFUNCTION("""COMPUTED_VALUE"""),"Pam")</f>
        <v>Pam</v>
      </c>
      <c r="Q833" t="str">
        <f ca="1">IFERROR(__xludf.DUMMYFUNCTION("""COMPUTED_VALUE"""),"All items in working order")</f>
        <v>All items in working order</v>
      </c>
      <c r="AE833" s="11"/>
      <c r="AF833" t="str">
        <v>Nikki.Dix@floridadep.gov</v>
      </c>
      <c r="AG833" s="17" t="s">
        <v>17</v>
      </c>
      <c r="AH833" s="12">
        <v>1430</v>
      </c>
      <c r="AI833" s="12" t="s">
        <v>2451</v>
      </c>
      <c r="AJ833" s="19" t="s">
        <v>2452</v>
      </c>
      <c r="AK833" s="20" t="str">
        <f>HYPERLINK("https://docs.google.com/document/d/1hEYgeh2jQejLOOevmoVy-gg2QtzceiI5WB6SCICw0pw/edit?usp=drivesdk","Pam Marcum  - 4/5/2022 9:00 AM")</f>
        <v>Pam Marcum  - 4/5/2022 9:00 AM</v>
      </c>
      <c r="AL833" s="12" t="s">
        <v>2453</v>
      </c>
    </row>
    <row r="834" spans="1:38" ht="12.75">
      <c r="A834" s="10">
        <f ca="1">IFERROR(__xludf.DUMMYFUNCTION("""COMPUTED_VALUE"""),44657.3104907986)</f>
        <v>44657.310490798598</v>
      </c>
      <c r="B834" s="11" t="str">
        <f ca="1">IFERROR(__xludf.DUMMYFUNCTION("""COMPUTED_VALUE"""),"Pam Marcum ")</f>
        <v xml:space="preserve">Pam Marcum </v>
      </c>
      <c r="C834" t="str">
        <f ca="1">IFERROR(__xludf.DUMMYFUNCTION("""COMPUTED_VALUE"""),"Pamela.Marcum@FloridaDEP.gov")</f>
        <v>Pamela.Marcum@FloridaDEP.gov</v>
      </c>
      <c r="D834" t="str">
        <f ca="1">IFERROR(__xludf.DUMMYFUNCTION("""COMPUTED_VALUE"""),"Nikki Dix")</f>
        <v>Nikki Dix</v>
      </c>
      <c r="E834" t="str">
        <f ca="1">IFERROR(__xludf.DUMMYFUNCTION("""COMPUTED_VALUE"""),"Palm valley")</f>
        <v>Palm valley</v>
      </c>
      <c r="F834" s="13">
        <f ca="1">IFERROR(__xludf.DUMMYFUNCTION("""COMPUTED_VALUE"""),0.30208333333212)</f>
        <v>0.30208333333212001</v>
      </c>
      <c r="G834" s="14">
        <f ca="1">IFERROR(__xludf.DUMMYFUNCTION("""COMPUTED_VALUE"""),44657)</f>
        <v>44657</v>
      </c>
      <c r="H834" t="str">
        <f ca="1">IFERROR(__xludf.DUMMYFUNCTION("""COMPUTED_VALUE"""),"Pine island")</f>
        <v>Pine island</v>
      </c>
      <c r="I834" s="15">
        <f ca="1">IFERROR(__xludf.DUMMYFUNCTION("""COMPUTED_VALUE"""),0.416666666667879)</f>
        <v>0.41666666666787899</v>
      </c>
      <c r="J834" s="16">
        <f ca="1">IFERROR(__xludf.DUMMYFUNCTION("""COMPUTED_VALUE"""),44657.4375)</f>
        <v>44657.4375</v>
      </c>
      <c r="K834" t="str">
        <f ca="1">IFERROR(__xludf.DUMMYFUNCTION("""COMPUTED_VALUE"""),"20ft Sea Ark FL5351SJ UNF 2015")</f>
        <v>20ft Sea Ark FL5351SJ UNF 2015</v>
      </c>
      <c r="M834" t="str">
        <f ca="1">IFERROR(__xludf.DUMMYFUNCTION("""COMPUTED_VALUE"""),"Ford F150 2015 (White) - DEP21448")</f>
        <v>Ford F150 2015 (White) - DEP21448</v>
      </c>
      <c r="N834" t="str">
        <f ca="1">IFERROR(__xludf.DUMMYFUNCTION("""COMPUTED_VALUE"""),"Pam Marcum, (480) 332-5414")</f>
        <v>Pam Marcum, (480) 332-5414</v>
      </c>
      <c r="O834" t="str">
        <f ca="1">IFERROR(__xludf.DUMMYFUNCTION("""COMPUTED_VALUE"""),"Allix North, Savanna Mathis")</f>
        <v>Allix North, Savanna Mathis</v>
      </c>
      <c r="P834" t="str">
        <f ca="1">IFERROR(__xludf.DUMMYFUNCTION("""COMPUTED_VALUE"""),"Pam")</f>
        <v>Pam</v>
      </c>
      <c r="Q834" t="str">
        <f ca="1">IFERROR(__xludf.DUMMYFUNCTION("""COMPUTED_VALUE"""),"All items in working order")</f>
        <v>All items in working order</v>
      </c>
      <c r="AE834" s="11"/>
      <c r="AF834" t="str">
        <v>Nikki.Dix@floridadep.gov</v>
      </c>
      <c r="AG834" s="17" t="s">
        <v>41</v>
      </c>
      <c r="AH834" s="12">
        <v>939</v>
      </c>
      <c r="AI834" s="12" t="s">
        <v>2454</v>
      </c>
      <c r="AJ834" s="19" t="s">
        <v>2455</v>
      </c>
      <c r="AK834" s="20" t="str">
        <f>HYPERLINK("https://docs.google.com/document/d/1jM3Art9eEmJj478evdQbRyhabgOooyOVkOS77Ry0yAc/edit?usp=drivesdk","Pam Marcum  - 4/6/2022 7:15 AM")</f>
        <v>Pam Marcum  - 4/6/2022 7:15 AM</v>
      </c>
      <c r="AL834" s="12" t="s">
        <v>2456</v>
      </c>
    </row>
    <row r="835" spans="1:38" ht="12.75">
      <c r="A835" s="10">
        <f ca="1">IFERROR(__xludf.DUMMYFUNCTION("""COMPUTED_VALUE"""),44659.3370828819)</f>
        <v>44659.337082881902</v>
      </c>
      <c r="B835" s="11" t="str">
        <f ca="1">IFERROR(__xludf.DUMMYFUNCTION("""COMPUTED_VALUE"""),"Alexandria Knoell")</f>
        <v>Alexandria Knoell</v>
      </c>
      <c r="C835" t="str">
        <f ca="1">IFERROR(__xludf.DUMMYFUNCTION("""COMPUTED_VALUE"""),"alee.knoell@floridadep.gov")</f>
        <v>alee.knoell@floridadep.gov</v>
      </c>
      <c r="D835" t="str">
        <f ca="1">IFERROR(__xludf.DUMMYFUNCTION("""COMPUTED_VALUE"""),"Pam Marcum")</f>
        <v>Pam Marcum</v>
      </c>
      <c r="E835" t="str">
        <f ca="1">IFERROR(__xludf.DUMMYFUNCTION("""COMPUTED_VALUE"""),"Usina ")</f>
        <v xml:space="preserve">Usina </v>
      </c>
      <c r="F835" s="13">
        <f ca="1">IFERROR(__xludf.DUMMYFUNCTION("""COMPUTED_VALUE"""),0.33333333333212)</f>
        <v>0.33333333333212001</v>
      </c>
      <c r="G835" s="14">
        <f ca="1">IFERROR(__xludf.DUMMYFUNCTION("""COMPUTED_VALUE"""),44659)</f>
        <v>44659</v>
      </c>
      <c r="H835" t="str">
        <f ca="1">IFERROR(__xludf.DUMMYFUNCTION("""COMPUTED_VALUE"""),"Hat island")</f>
        <v>Hat island</v>
      </c>
      <c r="I835" s="15">
        <f ca="1">IFERROR(__xludf.DUMMYFUNCTION("""COMPUTED_VALUE"""),0.375)</f>
        <v>0.375</v>
      </c>
      <c r="J835" s="16">
        <f ca="1">IFERROR(__xludf.DUMMYFUNCTION("""COMPUTED_VALUE"""),44659.6666666666)</f>
        <v>44659.666666666599</v>
      </c>
      <c r="K835" t="str">
        <f ca="1">IFERROR(__xludf.DUMMYFUNCTION("""COMPUTED_VALUE"""),"23ft Skiff (Bertha) FL7972LJ DEP07613")</f>
        <v>23ft Skiff (Bertha) FL7972LJ DEP07613</v>
      </c>
      <c r="M835" t="str">
        <f ca="1">IFERROR(__xludf.DUMMYFUNCTION("""COMPUTED_VALUE"""),"Ford F250 2017 (Moby Dix) - DEP0021578")</f>
        <v>Ford F250 2017 (Moby Dix) - DEP0021578</v>
      </c>
      <c r="N835" t="str">
        <f ca="1">IFERROR(__xludf.DUMMYFUNCTION("""COMPUTED_VALUE"""),"Alee Knoell, (619) 750-4833")</f>
        <v>Alee Knoell, (619) 750-4833</v>
      </c>
      <c r="O835" t="str">
        <f ca="1">IFERROR(__xludf.DUMMYFUNCTION("""COMPUTED_VALUE"""),"Alix, Savanna ")</f>
        <v xml:space="preserve">Alix, Savanna </v>
      </c>
      <c r="P835" t="str">
        <f ca="1">IFERROR(__xludf.DUMMYFUNCTION("""COMPUTED_VALUE"""),"Alee Knoe")</f>
        <v>Alee Knoe</v>
      </c>
      <c r="Q835" t="str">
        <f ca="1">IFERROR(__xludf.DUMMYFUNCTION("""COMPUTED_VALUE"""),"All items in working order")</f>
        <v>All items in working order</v>
      </c>
      <c r="AE835" s="11"/>
      <c r="AF835" t="str">
        <v>Pamela.Marcum@floridadep.gov</v>
      </c>
      <c r="AG835" s="17" t="s">
        <v>139</v>
      </c>
      <c r="AH835" s="12">
        <v>1016</v>
      </c>
      <c r="AI835" s="12" t="s">
        <v>2457</v>
      </c>
      <c r="AJ835" s="19" t="s">
        <v>2458</v>
      </c>
      <c r="AK835" s="20" t="str">
        <f>HYPERLINK("https://docs.google.com/document/d/1Xsk60b6soG02NV3ap-2XymywigJ_ux5MNN7Rue-wpA8/edit?usp=drivesdk","Alexandria Knoell - 4/8/2022 8:00 AM")</f>
        <v>Alexandria Knoell - 4/8/2022 8:00 AM</v>
      </c>
      <c r="AL835" s="12" t="s">
        <v>2459</v>
      </c>
    </row>
    <row r="836" spans="1:38" ht="12.75">
      <c r="A836" s="10">
        <f ca="1">IFERROR(__xludf.DUMMYFUNCTION("""COMPUTED_VALUE"""),44659.4715475578)</f>
        <v>44659.471547557798</v>
      </c>
      <c r="B836" s="11" t="str">
        <f ca="1">IFERROR(__xludf.DUMMYFUNCTION("""COMPUTED_VALUE"""),"Alexandria Knoell")</f>
        <v>Alexandria Knoell</v>
      </c>
      <c r="C836" t="str">
        <f ca="1">IFERROR(__xludf.DUMMYFUNCTION("""COMPUTED_VALUE"""),"aleeknoell@hotmail.com")</f>
        <v>aleeknoell@hotmail.com</v>
      </c>
      <c r="D836" t="str">
        <f ca="1">IFERROR(__xludf.DUMMYFUNCTION("""COMPUTED_VALUE"""),"Nikki Dix")</f>
        <v>Nikki Dix</v>
      </c>
      <c r="E836" t="str">
        <f ca="1">IFERROR(__xludf.DUMMYFUNCTION("""COMPUTED_VALUE"""),"Crane")</f>
        <v>Crane</v>
      </c>
      <c r="F836" s="13">
        <f ca="1">IFERROR(__xludf.DUMMYFUNCTION("""COMPUTED_VALUE"""),0.46875)</f>
        <v>0.46875</v>
      </c>
      <c r="G836" s="14">
        <f ca="1">IFERROR(__xludf.DUMMYFUNCTION("""COMPUTED_VALUE"""),44659)</f>
        <v>44659</v>
      </c>
      <c r="H836" t="str">
        <f ca="1">IFERROR(__xludf.DUMMYFUNCTION("""COMPUTED_VALUE"""),"Site 22")</f>
        <v>Site 22</v>
      </c>
      <c r="I836" s="15">
        <f ca="1">IFERROR(__xludf.DUMMYFUNCTION("""COMPUTED_VALUE"""),0.58333333333212)</f>
        <v>0.58333333333212001</v>
      </c>
      <c r="J836" s="16">
        <f ca="1">IFERROR(__xludf.DUMMYFUNCTION("""COMPUTED_VALUE"""),44659.6666666666)</f>
        <v>44659.666666666599</v>
      </c>
      <c r="K836" t="str">
        <f ca="1">IFERROR(__xludf.DUMMYFUNCTION("""COMPUTED_VALUE"""),"23ft Skiff (Bertha) FL7972LJ DEP07613")</f>
        <v>23ft Skiff (Bertha) FL7972LJ DEP07613</v>
      </c>
      <c r="M836" t="str">
        <f ca="1">IFERROR(__xludf.DUMMYFUNCTION("""COMPUTED_VALUE"""),"Ford F250 2017 (Moby Dix) - DEP0021578")</f>
        <v>Ford F250 2017 (Moby Dix) - DEP0021578</v>
      </c>
      <c r="N836" t="str">
        <f ca="1">IFERROR(__xludf.DUMMYFUNCTION("""COMPUTED_VALUE"""),"Pam Marcum, (480) 332-5414, Alee Knoell, (619) 750-4833")</f>
        <v>Pam Marcum, (480) 332-5414, Alee Knoell, (619) 750-4833</v>
      </c>
      <c r="O836" t="str">
        <f ca="1">IFERROR(__xludf.DUMMYFUNCTION("""COMPUTED_VALUE"""),"Savanna")</f>
        <v>Savanna</v>
      </c>
      <c r="P836" t="str">
        <f ca="1">IFERROR(__xludf.DUMMYFUNCTION("""COMPUTED_VALUE"""),"Pam marcum")</f>
        <v>Pam marcum</v>
      </c>
      <c r="Q836" t="str">
        <f ca="1">IFERROR(__xludf.DUMMYFUNCTION("""COMPUTED_VALUE"""),"All items in working order")</f>
        <v>All items in working order</v>
      </c>
      <c r="AE836" s="11"/>
      <c r="AF836" t="str">
        <v>Nikki.Dix@floridadep.gov</v>
      </c>
      <c r="AG836" s="17" t="s">
        <v>41</v>
      </c>
      <c r="AH836" s="12">
        <v>1452</v>
      </c>
      <c r="AI836" s="12" t="s">
        <v>2460</v>
      </c>
      <c r="AJ836" s="19" t="s">
        <v>2461</v>
      </c>
      <c r="AK836" s="20" t="str">
        <f>HYPERLINK("https://docs.google.com/document/d/1DbhHUGgm9anbGDYHfrACBQ5TJShOf87aWsnFYPvwFAY/edit?usp=drivesdk","Alexandria Knoell - 4/8/2022 11:15 AM")</f>
        <v>Alexandria Knoell - 4/8/2022 11:15 AM</v>
      </c>
      <c r="AL836" s="12" t="s">
        <v>2462</v>
      </c>
    </row>
    <row r="837" spans="1:38" ht="12.75">
      <c r="A837" s="10">
        <f ca="1">IFERROR(__xludf.DUMMYFUNCTION("""COMPUTED_VALUE"""),44662.4578947222)</f>
        <v>44662.457894722203</v>
      </c>
      <c r="B837" s="11" t="str">
        <f ca="1">IFERROR(__xludf.DUMMYFUNCTION("""COMPUTED_VALUE"""),"Jimmy")</f>
        <v>Jimmy</v>
      </c>
      <c r="C837" t="str">
        <f ca="1">IFERROR(__xludf.DUMMYFUNCTION("""COMPUTED_VALUE"""),"james.tomazinis@floridadep.gov")</f>
        <v>james.tomazinis@floridadep.gov</v>
      </c>
      <c r="D837" t="str">
        <f ca="1">IFERROR(__xludf.DUMMYFUNCTION("""COMPUTED_VALUE"""),"Scott Eastman")</f>
        <v>Scott Eastman</v>
      </c>
      <c r="E837" t="str">
        <f ca="1">IFERROR(__xludf.DUMMYFUNCTION("""COMPUTED_VALUE"""),"Sawpit")</f>
        <v>Sawpit</v>
      </c>
      <c r="F837" s="13">
        <f ca="1">IFERROR(__xludf.DUMMYFUNCTION("""COMPUTED_VALUE"""),0.45833333333212)</f>
        <v>0.45833333333212001</v>
      </c>
      <c r="G837" s="14">
        <f ca="1">IFERROR(__xludf.DUMMYFUNCTION("""COMPUTED_VALUE"""),44662)</f>
        <v>44662</v>
      </c>
      <c r="H837" t="str">
        <f ca="1">IFERROR(__xludf.DUMMYFUNCTION("""COMPUTED_VALUE"""),"Black Hammock Island")</f>
        <v>Black Hammock Island</v>
      </c>
      <c r="I837" s="15">
        <f ca="1">IFERROR(__xludf.DUMMYFUNCTION("""COMPUTED_VALUE"""),0.625)</f>
        <v>0.625</v>
      </c>
      <c r="J837" s="16"/>
      <c r="K837" t="str">
        <f ca="1">IFERROR(__xludf.DUMMYFUNCTION("""COMPUTED_VALUE"""),"F 20ft Sea Ark (Easy 200) FL8534PY DEP21451")</f>
        <v>F 20ft Sea Ark (Easy 200) FL8534PY DEP21451</v>
      </c>
      <c r="M837" t="str">
        <f ca="1">IFERROR(__xludf.DUMMYFUNCTION("""COMPUTED_VALUE"""),"Ford F150 2007 (F-Bomb) - DEP07055")</f>
        <v>Ford F150 2007 (F-Bomb) - DEP07055</v>
      </c>
      <c r="N837" t="str">
        <f ca="1">IFERROR(__xludf.DUMMYFUNCTION("""COMPUTED_VALUE"""),"Jimmy Tomazinis, (904) 547-0094")</f>
        <v>Jimmy Tomazinis, (904) 547-0094</v>
      </c>
      <c r="O837" t="str">
        <f ca="1">IFERROR(__xludf.DUMMYFUNCTION("""COMPUTED_VALUE"""),"Chris Kurtz")</f>
        <v>Chris Kurtz</v>
      </c>
      <c r="P837" t="str">
        <f ca="1">IFERROR(__xludf.DUMMYFUNCTION("""COMPUTED_VALUE"""),"Jimmy")</f>
        <v>Jimmy</v>
      </c>
      <c r="Q837" t="str">
        <f ca="1">IFERROR(__xludf.DUMMYFUNCTION("""COMPUTED_VALUE"""),"All items in working order")</f>
        <v>All items in working order</v>
      </c>
      <c r="AE837" s="11"/>
      <c r="AF837" t="str">
        <v>Scott.Eastman@floridadep.gov</v>
      </c>
      <c r="AG837" s="17" t="s">
        <v>17</v>
      </c>
      <c r="AH837" s="12">
        <v>1505</v>
      </c>
      <c r="AI837" s="12" t="s">
        <v>2463</v>
      </c>
      <c r="AJ837" s="19" t="s">
        <v>2464</v>
      </c>
      <c r="AK837" s="20" t="str">
        <f>HYPERLINK("https://docs.google.com/document/d/1O_wRyLBt3SRLq_j7tez8Etth4XCuqP1tVnu-RHJcJiU/edit?usp=drivesdk","Jimmy - 4/11/2022 11:00 AM")</f>
        <v>Jimmy - 4/11/2022 11:00 AM</v>
      </c>
      <c r="AL837" s="12" t="s">
        <v>2465</v>
      </c>
    </row>
    <row r="838" spans="1:38" ht="12.75">
      <c r="A838" s="10">
        <f ca="1">IFERROR(__xludf.DUMMYFUNCTION("""COMPUTED_VALUE"""),44663.3079412037)</f>
        <v>44663.307941203697</v>
      </c>
      <c r="B838" s="11" t="str">
        <f ca="1">IFERROR(__xludf.DUMMYFUNCTION("""COMPUTED_VALUE"""),"Olivia Roorbach")</f>
        <v>Olivia Roorbach</v>
      </c>
      <c r="C838" t="str">
        <f ca="1">IFERROR(__xludf.DUMMYFUNCTION("""COMPUTED_VALUE"""),"olivia.roorbach@floridadep.gov")</f>
        <v>olivia.roorbach@floridadep.gov</v>
      </c>
      <c r="D838" t="str">
        <f ca="1">IFERROR(__xludf.DUMMYFUNCTION("""COMPUTED_VALUE"""),"Shannon Dunnigan")</f>
        <v>Shannon Dunnigan</v>
      </c>
      <c r="E838" t="str">
        <f ca="1">IFERROR(__xludf.DUMMYFUNCTION("""COMPUTED_VALUE"""),"Guana river")</f>
        <v>Guana river</v>
      </c>
      <c r="F838" s="13">
        <f ca="1">IFERROR(__xludf.DUMMYFUNCTION("""COMPUTED_VALUE"""),0.30208333333212)</f>
        <v>0.30208333333212001</v>
      </c>
      <c r="G838" s="14">
        <f ca="1">IFERROR(__xludf.DUMMYFUNCTION("""COMPUTED_VALUE"""),44663)</f>
        <v>44663</v>
      </c>
      <c r="H838" t="str">
        <f ca="1">IFERROR(__xludf.DUMMYFUNCTION("""COMPUTED_VALUE"""),"Guana river and lake")</f>
        <v>Guana river and lake</v>
      </c>
      <c r="I838" s="15">
        <f ca="1">IFERROR(__xludf.DUMMYFUNCTION("""COMPUTED_VALUE"""),0.486111111109494)</f>
        <v>0.48611111110949401</v>
      </c>
      <c r="J838" s="16">
        <f ca="1">IFERROR(__xludf.DUMMYFUNCTION("""COMPUTED_VALUE"""),44663.5)</f>
        <v>44663.5</v>
      </c>
      <c r="K838" t="str">
        <f ca="1">IFERROR(__xludf.DUMMYFUNCTION("""COMPUTED_VALUE"""),"Jon Boat 1 FL5992RR DEP154045, Airboat")</f>
        <v>Jon Boat 1 FL5992RR DEP154045, Airboat</v>
      </c>
      <c r="M838" t="str">
        <f ca="1">IFERROR(__xludf.DUMMYFUNCTION("""COMPUTED_VALUE"""),"Ford F150 2015 (White) - DEP21448")</f>
        <v>Ford F150 2015 (White) - DEP21448</v>
      </c>
      <c r="N838" t="str">
        <f ca="1">IFERROR(__xludf.DUMMYFUNCTION("""COMPUTED_VALUE"""),"Olivia Roorbach, (404) 694-2653")</f>
        <v>Olivia Roorbach, (404) 694-2653</v>
      </c>
      <c r="O838" t="str">
        <f ca="1">IFERROR(__xludf.DUMMYFUNCTION("""COMPUTED_VALUE"""),"Jenna Reimer")</f>
        <v>Jenna Reimer</v>
      </c>
      <c r="P838" t="str">
        <f ca="1">IFERROR(__xludf.DUMMYFUNCTION("""COMPUTED_VALUE"""),"Olivia Roorbach")</f>
        <v>Olivia Roorbach</v>
      </c>
      <c r="Q838" t="str">
        <f ca="1">IFERROR(__xludf.DUMMYFUNCTION("""COMPUTED_VALUE"""),"All items in working order")</f>
        <v>All items in working order</v>
      </c>
      <c r="AE838" s="11"/>
      <c r="AF838" t="str">
        <v>Shannon.Dunnigan@floridadep.gov</v>
      </c>
      <c r="AG838" s="17" t="s">
        <v>639</v>
      </c>
      <c r="AH838" s="12">
        <v>1247</v>
      </c>
      <c r="AI838" s="12" t="s">
        <v>2466</v>
      </c>
      <c r="AJ838" s="19" t="s">
        <v>2467</v>
      </c>
      <c r="AK838" s="20" t="str">
        <f>HYPERLINK("https://docs.google.com/document/d/1caFKnBqIU2MIWDetLrgImdOeoquQFwnU7BlQL3lz6QE/edit?usp=drivesdk","Olivia Roorbach - 4/12/2022 7:15 AM")</f>
        <v>Olivia Roorbach - 4/12/2022 7:15 AM</v>
      </c>
      <c r="AL838" s="12" t="s">
        <v>2468</v>
      </c>
    </row>
    <row r="839" spans="1:38" ht="12.75">
      <c r="A839" s="10">
        <f ca="1">IFERROR(__xludf.DUMMYFUNCTION("""COMPUTED_VALUE"""),44663.3932591087)</f>
        <v>44663.3932591087</v>
      </c>
      <c r="B839" s="11" t="str">
        <f ca="1">IFERROR(__xludf.DUMMYFUNCTION("""COMPUTED_VALUE"""),"Pam Marcum ")</f>
        <v xml:space="preserve">Pam Marcum </v>
      </c>
      <c r="C839" t="str">
        <f ca="1">IFERROR(__xludf.DUMMYFUNCTION("""COMPUTED_VALUE"""),"Pamela.Marcum@FloridaDEP.gov")</f>
        <v>Pamela.Marcum@FloridaDEP.gov</v>
      </c>
      <c r="D839" t="str">
        <f ca="1">IFERROR(__xludf.DUMMYFUNCTION("""COMPUTED_VALUE"""),"Nikki Dix")</f>
        <v>Nikki Dix</v>
      </c>
      <c r="E839" t="str">
        <f ca="1">IFERROR(__xludf.DUMMYFUNCTION("""COMPUTED_VALUE"""),"Crane/shore dr")</f>
        <v>Crane/shore dr</v>
      </c>
      <c r="F839" s="13">
        <f ca="1">IFERROR(__xludf.DUMMYFUNCTION("""COMPUTED_VALUE"""),0.39583333333212)</f>
        <v>0.39583333333212001</v>
      </c>
      <c r="G839" s="14">
        <f ca="1">IFERROR(__xludf.DUMMYFUNCTION("""COMPUTED_VALUE"""),44663)</f>
        <v>44663</v>
      </c>
      <c r="H839" t="str">
        <f ca="1">IFERROR(__xludf.DUMMYFUNCTION("""COMPUTED_VALUE"""),"Mangrove creek/site 22")</f>
        <v>Mangrove creek/site 22</v>
      </c>
      <c r="I839" s="15">
        <f ca="1">IFERROR(__xludf.DUMMYFUNCTION("""COMPUTED_VALUE"""),0.58333333333212)</f>
        <v>0.58333333333212001</v>
      </c>
      <c r="J839" s="16">
        <f ca="1">IFERROR(__xludf.DUMMYFUNCTION("""COMPUTED_VALUE"""),44663.625)</f>
        <v>44663.625</v>
      </c>
      <c r="K839" t="str">
        <f ca="1">IFERROR(__xludf.DUMMYFUNCTION("""COMPUTED_VALUE"""),"23ft Skiff (Bertha) FL7972LJ DEP07613")</f>
        <v>23ft Skiff (Bertha) FL7972LJ DEP07613</v>
      </c>
      <c r="M839" t="str">
        <f ca="1">IFERROR(__xludf.DUMMYFUNCTION("""COMPUTED_VALUE"""),"Ford F250 2017 (Moby Dix) - DEP0021578")</f>
        <v>Ford F250 2017 (Moby Dix) - DEP0021578</v>
      </c>
      <c r="N839" t="str">
        <f ca="1">IFERROR(__xludf.DUMMYFUNCTION("""COMPUTED_VALUE"""),"Pam Marcum, (480) 332-5414")</f>
        <v>Pam Marcum, (480) 332-5414</v>
      </c>
      <c r="O839" t="str">
        <f ca="1">IFERROR(__xludf.DUMMYFUNCTION("""COMPUTED_VALUE"""),"Savanna Mathis")</f>
        <v>Savanna Mathis</v>
      </c>
      <c r="P839" t="str">
        <f ca="1">IFERROR(__xludf.DUMMYFUNCTION("""COMPUTED_VALUE"""),"Pam")</f>
        <v>Pam</v>
      </c>
      <c r="Q839" t="str">
        <f ca="1">IFERROR(__xludf.DUMMYFUNCTION("""COMPUTED_VALUE"""),"All items in working order")</f>
        <v>All items in working order</v>
      </c>
      <c r="AE839" s="11"/>
      <c r="AF839" t="str">
        <v>Nikki.Dix@floridadep.gov</v>
      </c>
      <c r="AG839" s="17" t="s">
        <v>17</v>
      </c>
      <c r="AH839" s="12">
        <v>1325</v>
      </c>
      <c r="AI839" s="12" t="s">
        <v>2469</v>
      </c>
      <c r="AJ839" s="19" t="s">
        <v>2470</v>
      </c>
      <c r="AK839" s="20" t="str">
        <f>HYPERLINK("https://docs.google.com/document/d/1CHg977fk_r7WO8qNXcDUX8ldxumritxHaIUAj2_7mzc/edit?usp=drivesdk","Pam Marcum  - 4/12/2022 9:30 AM")</f>
        <v>Pam Marcum  - 4/12/2022 9:30 AM</v>
      </c>
      <c r="AL839" s="12" t="s">
        <v>2471</v>
      </c>
    </row>
    <row r="840" spans="1:38" ht="12.75">
      <c r="A840" s="10">
        <f ca="1">IFERROR(__xludf.DUMMYFUNCTION("""COMPUTED_VALUE"""),44663.4774425347)</f>
        <v>44663.477442534699</v>
      </c>
      <c r="B840" s="11" t="str">
        <f ca="1">IFERROR(__xludf.DUMMYFUNCTION("""COMPUTED_VALUE"""),"Jimmy ")</f>
        <v xml:space="preserve">Jimmy </v>
      </c>
      <c r="C840" t="str">
        <f ca="1">IFERROR(__xludf.DUMMYFUNCTION("""COMPUTED_VALUE"""),"james.tomazinis@floridadep.gov")</f>
        <v>james.tomazinis@floridadep.gov</v>
      </c>
      <c r="D840" t="str">
        <f ca="1">IFERROR(__xludf.DUMMYFUNCTION("""COMPUTED_VALUE"""),"Scott Eastman")</f>
        <v>Scott Eastman</v>
      </c>
      <c r="E840" t="str">
        <f ca="1">IFERROR(__xludf.DUMMYFUNCTION("""COMPUTED_VALUE"""),"Mayport")</f>
        <v>Mayport</v>
      </c>
      <c r="F840" s="13">
        <f ca="1">IFERROR(__xludf.DUMMYFUNCTION("""COMPUTED_VALUE"""),0.45833333333212)</f>
        <v>0.45833333333212001</v>
      </c>
      <c r="G840" s="14">
        <f ca="1">IFERROR(__xludf.DUMMYFUNCTION("""COMPUTED_VALUE"""),45028)</f>
        <v>45028</v>
      </c>
      <c r="H840" t="str">
        <f ca="1">IFERROR(__xludf.DUMMYFUNCTION("""COMPUTED_VALUE"""),"NEAP")</f>
        <v>NEAP</v>
      </c>
      <c r="I840" s="15">
        <f ca="1">IFERROR(__xludf.DUMMYFUNCTION("""COMPUTED_VALUE"""),0.604166666667879)</f>
        <v>0.60416666666787899</v>
      </c>
      <c r="J840" s="16"/>
      <c r="K840" t="str">
        <f ca="1">IFERROR(__xludf.DUMMYFUNCTION("""COMPUTED_VALUE"""),"F 20ft Sea Ark (Easy 200) FL8534PY DEP21451")</f>
        <v>F 20ft Sea Ark (Easy 200) FL8534PY DEP21451</v>
      </c>
      <c r="M840" t="str">
        <f ca="1">IFERROR(__xludf.DUMMYFUNCTION("""COMPUTED_VALUE"""),"Ford F150 2007 (F-Bomb) - DEP07055")</f>
        <v>Ford F150 2007 (F-Bomb) - DEP07055</v>
      </c>
      <c r="N840" t="str">
        <f ca="1">IFERROR(__xludf.DUMMYFUNCTION("""COMPUTED_VALUE"""),"Jimmy Tomazinis, (904) 547-0094")</f>
        <v>Jimmy Tomazinis, (904) 547-0094</v>
      </c>
      <c r="O840" t="str">
        <f ca="1">IFERROR(__xludf.DUMMYFUNCTION("""COMPUTED_VALUE"""),"Chris Kurtz")</f>
        <v>Chris Kurtz</v>
      </c>
      <c r="P840" t="str">
        <f ca="1">IFERROR(__xludf.DUMMYFUNCTION("""COMPUTED_VALUE"""),"Jimmy")</f>
        <v>Jimmy</v>
      </c>
      <c r="Q840" t="str">
        <f ca="1">IFERROR(__xludf.DUMMYFUNCTION("""COMPUTED_VALUE"""),"All items in working order")</f>
        <v>All items in working order</v>
      </c>
      <c r="AE840" s="11"/>
      <c r="AF840" t="str">
        <v>Scott.Eastman@floridadep.gov</v>
      </c>
      <c r="AG840" s="17" t="s">
        <v>17</v>
      </c>
      <c r="AH840" s="12">
        <v>1420</v>
      </c>
      <c r="AI840" s="12" t="s">
        <v>2472</v>
      </c>
      <c r="AJ840" s="19" t="s">
        <v>2473</v>
      </c>
      <c r="AK840" s="20" t="str">
        <f>HYPERLINK("https://docs.google.com/document/d/1YnEKU-vUqbvRwGiZmqTmIsZG4fTAh2Wmj3ahRx66rko/edit?usp=drivesdk","Jimmy  - 4/12/2023 11:00 AM")</f>
        <v>Jimmy  - 4/12/2023 11:00 AM</v>
      </c>
      <c r="AL840" s="12" t="s">
        <v>2474</v>
      </c>
    </row>
    <row r="841" spans="1:38" ht="12.75">
      <c r="A841" s="10">
        <f ca="1">IFERROR(__xludf.DUMMYFUNCTION("""COMPUTED_VALUE"""),44664.2976090972)</f>
        <v>44664.297609097201</v>
      </c>
      <c r="B841" s="11" t="str">
        <f ca="1">IFERROR(__xludf.DUMMYFUNCTION("""COMPUTED_VALUE"""),"Shannon Dunnigan")</f>
        <v>Shannon Dunnigan</v>
      </c>
      <c r="C841" t="str">
        <f ca="1">IFERROR(__xludf.DUMMYFUNCTION("""COMPUTED_VALUE"""),"shannon.dunnigan@dep.state.fl.us")</f>
        <v>shannon.dunnigan@dep.state.fl.us</v>
      </c>
      <c r="D841" t="str">
        <f ca="1">IFERROR(__xludf.DUMMYFUNCTION("""COMPUTED_VALUE"""),"Nikki Dix")</f>
        <v>Nikki Dix</v>
      </c>
      <c r="E841" t="str">
        <f ca="1">IFERROR(__xludf.DUMMYFUNCTION("""COMPUTED_VALUE"""),"Vilano")</f>
        <v>Vilano</v>
      </c>
      <c r="F841" s="13">
        <f ca="1">IFERROR(__xludf.DUMMYFUNCTION("""COMPUTED_VALUE"""),0.305555555554747)</f>
        <v>0.305555555554747</v>
      </c>
      <c r="G841" s="14">
        <f ca="1">IFERROR(__xludf.DUMMYFUNCTION("""COMPUTED_VALUE"""),44664)</f>
        <v>44664</v>
      </c>
      <c r="H841" t="str">
        <f ca="1">IFERROR(__xludf.DUMMYFUNCTION("""COMPUTED_VALUE"""),"ICWW SWMP sites")</f>
        <v>ICWW SWMP sites</v>
      </c>
      <c r="I841" s="15">
        <f ca="1">IFERROR(__xludf.DUMMYFUNCTION("""COMPUTED_VALUE"""),0.5625)</f>
        <v>0.5625</v>
      </c>
      <c r="J841" s="16">
        <f ca="1">IFERROR(__xludf.DUMMYFUNCTION("""COMPUTED_VALUE"""),44664.5833333333)</f>
        <v>44664.583333333299</v>
      </c>
      <c r="K841" t="str">
        <f ca="1">IFERROR(__xludf.DUMMYFUNCTION("""COMPUTED_VALUE"""),"23ft Skiff (Bertha) FL7972LJ DEP07613")</f>
        <v>23ft Skiff (Bertha) FL7972LJ DEP07613</v>
      </c>
      <c r="M841" t="str">
        <f ca="1">IFERROR(__xludf.DUMMYFUNCTION("""COMPUTED_VALUE"""),"Ford F250 2017 (Moby Dix) - DEP0021578")</f>
        <v>Ford F250 2017 (Moby Dix) - DEP0021578</v>
      </c>
      <c r="N841" t="str">
        <f ca="1">IFERROR(__xludf.DUMMYFUNCTION("""COMPUTED_VALUE"""),"Shannon Dunnigan, (803) 727-5734, Alee Knoell, (619) 750-4833, Gabby Canas, (904) 891-9743")</f>
        <v>Shannon Dunnigan, (803) 727-5734, Alee Knoell, (619) 750-4833, Gabby Canas, (904) 891-9743</v>
      </c>
      <c r="P841" t="str">
        <f ca="1">IFERROR(__xludf.DUMMYFUNCTION("""COMPUTED_VALUE"""),"Shannon")</f>
        <v>Shannon</v>
      </c>
      <c r="Q841" t="str">
        <f ca="1">IFERROR(__xludf.DUMMYFUNCTION("""COMPUTED_VALUE"""),"All items in working order")</f>
        <v>All items in working order</v>
      </c>
      <c r="AE841" s="11"/>
      <c r="AF841" t="str">
        <v>Nikki.Dix@floridadep.gov</v>
      </c>
      <c r="AG841" s="17" t="s">
        <v>41</v>
      </c>
      <c r="AH841" s="12">
        <v>1220</v>
      </c>
      <c r="AI841" s="12" t="s">
        <v>2475</v>
      </c>
      <c r="AJ841" s="19" t="s">
        <v>2476</v>
      </c>
      <c r="AK841" s="20" t="str">
        <f>HYPERLINK("https://docs.google.com/document/d/1WCg8MQFRSDjm6JjIr8NQ067k5ryb-rmIdv1LwjkKg7A/edit?usp=drivesdk","Shannon Dunnigan - 4/13/2022 7:20 AM")</f>
        <v>Shannon Dunnigan - 4/13/2022 7:20 AM</v>
      </c>
      <c r="AL841" s="12" t="s">
        <v>2477</v>
      </c>
    </row>
    <row r="842" spans="1:38" ht="12.75">
      <c r="A842" s="10">
        <f ca="1">IFERROR(__xludf.DUMMYFUNCTION("""COMPUTED_VALUE"""),44664.4244113194)</f>
        <v>44664.4244113194</v>
      </c>
      <c r="B842" s="11" t="str">
        <f ca="1">IFERROR(__xludf.DUMMYFUNCTION("""COMPUTED_VALUE"""),"Jimmy")</f>
        <v>Jimmy</v>
      </c>
      <c r="C842" t="str">
        <f ca="1">IFERROR(__xludf.DUMMYFUNCTION("""COMPUTED_VALUE"""),"james.tomazinis@floridadep.gov")</f>
        <v>james.tomazinis@floridadep.gov</v>
      </c>
      <c r="D842" t="str">
        <f ca="1">IFERROR(__xludf.DUMMYFUNCTION("""COMPUTED_VALUE"""),"Suzi Porterfield")</f>
        <v>Suzi Porterfield</v>
      </c>
      <c r="E842" t="str">
        <f ca="1">IFERROR(__xludf.DUMMYFUNCTION("""COMPUTED_VALUE"""),"Holly Point and Dee Dee Bartels")</f>
        <v>Holly Point and Dee Dee Bartels</v>
      </c>
      <c r="F842" s="13">
        <f ca="1">IFERROR(__xludf.DUMMYFUNCTION("""COMPUTED_VALUE"""),0.416666666667879)</f>
        <v>0.41666666666787899</v>
      </c>
      <c r="G842" s="14">
        <f ca="1">IFERROR(__xludf.DUMMYFUNCTION("""COMPUTED_VALUE"""),44664)</f>
        <v>44664</v>
      </c>
      <c r="H842" t="str">
        <f ca="1">IFERROR(__xludf.DUMMYFUNCTION("""COMPUTED_VALUE"""),"NEAP WQ sites")</f>
        <v>NEAP WQ sites</v>
      </c>
      <c r="I842" s="15">
        <f ca="1">IFERROR(__xludf.DUMMYFUNCTION("""COMPUTED_VALUE"""),0.0416666666678793)</f>
        <v>4.1666666667879299E-2</v>
      </c>
      <c r="J842" s="16"/>
      <c r="K842" t="str">
        <f ca="1">IFERROR(__xludf.DUMMYFUNCTION("""COMPUTED_VALUE"""),"F 20ft Sea Ark (Easy 200) FL8534PY DEP21451")</f>
        <v>F 20ft Sea Ark (Easy 200) FL8534PY DEP21451</v>
      </c>
      <c r="M842" t="str">
        <f ca="1">IFERROR(__xludf.DUMMYFUNCTION("""COMPUTED_VALUE"""),"Ford F150 2007 (F-Bomb) - DEP07055")</f>
        <v>Ford F150 2007 (F-Bomb) - DEP07055</v>
      </c>
      <c r="N842" t="str">
        <f ca="1">IFERROR(__xludf.DUMMYFUNCTION("""COMPUTED_VALUE"""),"Jimmy Tomazinis, (904) 547-0094")</f>
        <v>Jimmy Tomazinis, (904) 547-0094</v>
      </c>
      <c r="O842" t="str">
        <f ca="1">IFERROR(__xludf.DUMMYFUNCTION("""COMPUTED_VALUE"""),"Chris Kurtz ")</f>
        <v xml:space="preserve">Chris Kurtz </v>
      </c>
      <c r="P842" t="str">
        <f ca="1">IFERROR(__xludf.DUMMYFUNCTION("""COMPUTED_VALUE"""),"Jimmy ")</f>
        <v xml:space="preserve">Jimmy </v>
      </c>
      <c r="Q842" t="str">
        <f ca="1">IFERROR(__xludf.DUMMYFUNCTION("""COMPUTED_VALUE"""),"All items in working order")</f>
        <v>All items in working order</v>
      </c>
      <c r="AE842" s="11"/>
      <c r="AF842" t="str">
        <v>Susan.Porterfield@floridadep.gov</v>
      </c>
      <c r="AG842" s="17" t="s">
        <v>17</v>
      </c>
      <c r="AH842" s="12">
        <v>1220</v>
      </c>
      <c r="AI842" s="12" t="s">
        <v>2478</v>
      </c>
      <c r="AJ842" s="19" t="s">
        <v>2479</v>
      </c>
      <c r="AK842" s="20" t="str">
        <f>HYPERLINK("https://docs.google.com/document/d/1A-aime5s5B_5s8SpoRjN_uf2gshh91aA-31VNzkGYpo/edit?usp=drivesdk","Jimmy - 4/13/2022 10:00 AM")</f>
        <v>Jimmy - 4/13/2022 10:00 AM</v>
      </c>
      <c r="AL842" s="12" t="s">
        <v>2480</v>
      </c>
    </row>
    <row r="843" spans="1:38" ht="12.75">
      <c r="A843" s="10">
        <f ca="1">IFERROR(__xludf.DUMMYFUNCTION("""COMPUTED_VALUE"""),44665.5362059606)</f>
        <v>44665.536205960598</v>
      </c>
      <c r="B843" s="11" t="str">
        <f ca="1">IFERROR(__xludf.DUMMYFUNCTION("""COMPUTED_VALUE"""),"Pam Marcum ")</f>
        <v xml:space="preserve">Pam Marcum </v>
      </c>
      <c r="C843" t="str">
        <f ca="1">IFERROR(__xludf.DUMMYFUNCTION("""COMPUTED_VALUE"""),"Pamela.Marcum@FloridaDEP.gov")</f>
        <v>Pamela.Marcum@FloridaDEP.gov</v>
      </c>
      <c r="D843" t="str">
        <f ca="1">IFERROR(__xludf.DUMMYFUNCTION("""COMPUTED_VALUE"""),"Nikki Dix")</f>
        <v>Nikki Dix</v>
      </c>
      <c r="E843" t="str">
        <f ca="1">IFERROR(__xludf.DUMMYFUNCTION("""COMPUTED_VALUE"""),"Aunt kates")</f>
        <v>Aunt kates</v>
      </c>
      <c r="F843" s="13">
        <f ca="1">IFERROR(__xludf.DUMMYFUNCTION("""COMPUTED_VALUE"""),0.534722222222626)</f>
        <v>0.534722222222626</v>
      </c>
      <c r="G843" s="14">
        <f ca="1">IFERROR(__xludf.DUMMYFUNCTION("""COMPUTED_VALUE"""),44665)</f>
        <v>44665</v>
      </c>
      <c r="H843" t="str">
        <f ca="1">IFERROR(__xludf.DUMMYFUNCTION("""COMPUTED_VALUE"""),"Hat island ")</f>
        <v xml:space="preserve">Hat island </v>
      </c>
      <c r="I843" s="15">
        <f ca="1">IFERROR(__xludf.DUMMYFUNCTION("""COMPUTED_VALUE"""),0.70833333333212)</f>
        <v>0.70833333333212001</v>
      </c>
      <c r="J843" s="16">
        <f ca="1">IFERROR(__xludf.DUMMYFUNCTION("""COMPUTED_VALUE"""),44665.7291666666)</f>
        <v>44665.729166666599</v>
      </c>
      <c r="K843" t="str">
        <f ca="1">IFERROR(__xludf.DUMMYFUNCTION("""COMPUTED_VALUE"""),"20ft Sea Ark FL5351SJ UNF 2015")</f>
        <v>20ft Sea Ark FL5351SJ UNF 2015</v>
      </c>
      <c r="M843" t="str">
        <f ca="1">IFERROR(__xludf.DUMMYFUNCTION("""COMPUTED_VALUE"""),"Ford F150 2015 (White) - DEP21448")</f>
        <v>Ford F150 2015 (White) - DEP21448</v>
      </c>
      <c r="N843" t="str">
        <f ca="1">IFERROR(__xludf.DUMMYFUNCTION("""COMPUTED_VALUE"""),"Pam Marcum, (480) 332-5414, Alee Knoell, (619) 750-4833")</f>
        <v>Pam Marcum, (480) 332-5414, Alee Knoell, (619) 750-4833</v>
      </c>
      <c r="O843" t="str">
        <f ca="1">IFERROR(__xludf.DUMMYFUNCTION("""COMPUTED_VALUE"""),"Savanna, allix")</f>
        <v>Savanna, allix</v>
      </c>
      <c r="P843" t="str">
        <f ca="1">IFERROR(__xludf.DUMMYFUNCTION("""COMPUTED_VALUE"""),"Pam")</f>
        <v>Pam</v>
      </c>
      <c r="Q843" t="str">
        <f ca="1">IFERROR(__xludf.DUMMYFUNCTION("""COMPUTED_VALUE"""),"All items in working order")</f>
        <v>All items in working order</v>
      </c>
      <c r="AE843" s="11"/>
      <c r="AF843" t="str">
        <v>Nikki.Dix@floridadep.gov</v>
      </c>
      <c r="AG843" s="17" t="s">
        <v>41</v>
      </c>
      <c r="AH843" s="12">
        <v>1725</v>
      </c>
      <c r="AI843" s="12" t="s">
        <v>2481</v>
      </c>
      <c r="AJ843" s="19" t="s">
        <v>2482</v>
      </c>
      <c r="AK843" s="20" t="str">
        <f>HYPERLINK("https://docs.google.com/document/d/1UVbk6VytLAp9Trr8U-QihEVnN1iL83aUcY14ZhlffiA/edit?usp=drivesdk","Pam Marcum  - 4/14/2022 12:50 PM")</f>
        <v>Pam Marcum  - 4/14/2022 12:50 PM</v>
      </c>
      <c r="AL843" s="12" t="s">
        <v>2483</v>
      </c>
    </row>
    <row r="844" spans="1:38" ht="12.75">
      <c r="A844" s="10">
        <f ca="1">IFERROR(__xludf.DUMMYFUNCTION("""COMPUTED_VALUE"""),44669.2982353819)</f>
        <v>44669.298235381902</v>
      </c>
      <c r="B844" s="11" t="str">
        <f ca="1">IFERROR(__xludf.DUMMYFUNCTION("""COMPUTED_VALUE"""),"Pam Marcum ")</f>
        <v xml:space="preserve">Pam Marcum </v>
      </c>
      <c r="C844" t="str">
        <f ca="1">IFERROR(__xludf.DUMMYFUNCTION("""COMPUTED_VALUE"""),"Pamela.Marcum@FloridaDEP.gov")</f>
        <v>Pamela.Marcum@FloridaDEP.gov</v>
      </c>
      <c r="D844" t="str">
        <f ca="1">IFERROR(__xludf.DUMMYFUNCTION("""COMPUTED_VALUE"""),"Nikki Dix")</f>
        <v>Nikki Dix</v>
      </c>
      <c r="E844" t="str">
        <f ca="1">IFERROR(__xludf.DUMMYFUNCTION("""COMPUTED_VALUE"""),"Faver Dykes")</f>
        <v>Faver Dykes</v>
      </c>
      <c r="F844" s="13">
        <f ca="1">IFERROR(__xludf.DUMMYFUNCTION("""COMPUTED_VALUE"""),0.291666666667879)</f>
        <v>0.29166666666787899</v>
      </c>
      <c r="G844" s="14">
        <f ca="1">IFERROR(__xludf.DUMMYFUNCTION("""COMPUTED_VALUE"""),44669)</f>
        <v>44669</v>
      </c>
      <c r="H844" t="str">
        <f ca="1">IFERROR(__xludf.DUMMYFUNCTION("""COMPUTED_VALUE"""),"Pellicer mouth")</f>
        <v>Pellicer mouth</v>
      </c>
      <c r="I844" s="15">
        <f ca="1">IFERROR(__xludf.DUMMYFUNCTION("""COMPUTED_VALUE"""),0.5)</f>
        <v>0.5</v>
      </c>
      <c r="J844" s="16">
        <f ca="1">IFERROR(__xludf.DUMMYFUNCTION("""COMPUTED_VALUE"""),44669.5208333333)</f>
        <v>44669.520833333299</v>
      </c>
      <c r="K844" t="str">
        <f ca="1">IFERROR(__xludf.DUMMYFUNCTION("""COMPUTED_VALUE"""),"20ft Sea Ark FL5351SJ UNF 2015")</f>
        <v>20ft Sea Ark FL5351SJ UNF 2015</v>
      </c>
      <c r="M844" t="str">
        <f ca="1">IFERROR(__xludf.DUMMYFUNCTION("""COMPUTED_VALUE"""),"Ford F150 2015 (White) - DEP21448")</f>
        <v>Ford F150 2015 (White) - DEP21448</v>
      </c>
      <c r="N844" t="str">
        <f ca="1">IFERROR(__xludf.DUMMYFUNCTION("""COMPUTED_VALUE"""),"Pam Marcum, (480) 332-5414")</f>
        <v>Pam Marcum, (480) 332-5414</v>
      </c>
      <c r="O844" t="str">
        <f ca="1">IFERROR(__xludf.DUMMYFUNCTION("""COMPUTED_VALUE"""),"Savanna Mathis, Suma Ray ")</f>
        <v xml:space="preserve">Savanna Mathis, Suma Ray </v>
      </c>
      <c r="P844" t="str">
        <f ca="1">IFERROR(__xludf.DUMMYFUNCTION("""COMPUTED_VALUE"""),"Pam")</f>
        <v>Pam</v>
      </c>
      <c r="Q844" t="str">
        <f ca="1">IFERROR(__xludf.DUMMYFUNCTION("""COMPUTED_VALUE"""),"All items in working order")</f>
        <v>All items in working order</v>
      </c>
      <c r="AE844" s="11"/>
      <c r="AF844" t="str">
        <v>Nikki.Dix@floridadep.gov</v>
      </c>
      <c r="AG844" s="17" t="s">
        <v>17</v>
      </c>
      <c r="AH844" s="12">
        <v>1107</v>
      </c>
      <c r="AI844" s="12" t="s">
        <v>2484</v>
      </c>
      <c r="AJ844" s="19" t="s">
        <v>2485</v>
      </c>
      <c r="AK844" s="20" t="str">
        <f>HYPERLINK("https://docs.google.com/document/d/1Qb1pARkYXxaFxa9FSunL6WYLa2K609KQDw4RVUepTMY/edit?usp=drivesdk","Pam Marcum  - 4/18/2022 7:00 AM")</f>
        <v>Pam Marcum  - 4/18/2022 7:00 AM</v>
      </c>
      <c r="AL844" s="12" t="s">
        <v>2486</v>
      </c>
    </row>
    <row r="845" spans="1:38" ht="12.75">
      <c r="A845" s="10">
        <f ca="1">IFERROR(__xludf.DUMMYFUNCTION("""COMPUTED_VALUE"""),44670.2985516087)</f>
        <v>44670.298551608699</v>
      </c>
      <c r="B845" s="11" t="str">
        <f ca="1">IFERROR(__xludf.DUMMYFUNCTION("""COMPUTED_VALUE"""),"Pam Marcum ")</f>
        <v xml:space="preserve">Pam Marcum </v>
      </c>
      <c r="C845" t="str">
        <f ca="1">IFERROR(__xludf.DUMMYFUNCTION("""COMPUTED_VALUE"""),"Pamela.Marcum@FloridaDEP.gov")</f>
        <v>Pamela.Marcum@FloridaDEP.gov</v>
      </c>
      <c r="D845" t="str">
        <f ca="1">IFERROR(__xludf.DUMMYFUNCTION("""COMPUTED_VALUE"""),"Nikki Dix")</f>
        <v>Nikki Dix</v>
      </c>
      <c r="E845" t="str">
        <f ca="1">IFERROR(__xludf.DUMMYFUNCTION("""COMPUTED_VALUE"""),"Bings ")</f>
        <v xml:space="preserve">Bings </v>
      </c>
      <c r="F845" s="13">
        <f ca="1">IFERROR(__xludf.DUMMYFUNCTION("""COMPUTED_VALUE"""),0.291666666667879)</f>
        <v>0.29166666666787899</v>
      </c>
      <c r="G845" s="14">
        <f ca="1">IFERROR(__xludf.DUMMYFUNCTION("""COMPUTED_VALUE"""),44670)</f>
        <v>44670</v>
      </c>
      <c r="H845" t="str">
        <f ca="1">IFERROR(__xludf.DUMMYFUNCTION("""COMPUTED_VALUE"""),"Washington oak ")</f>
        <v xml:space="preserve">Washington oak </v>
      </c>
      <c r="I845" s="15">
        <f ca="1">IFERROR(__xludf.DUMMYFUNCTION("""COMPUTED_VALUE"""),0.5)</f>
        <v>0.5</v>
      </c>
      <c r="J845" s="16">
        <f ca="1">IFERROR(__xludf.DUMMYFUNCTION("""COMPUTED_VALUE"""),44670.5416666666)</f>
        <v>44670.541666666599</v>
      </c>
      <c r="K845" t="str">
        <f ca="1">IFERROR(__xludf.DUMMYFUNCTION("""COMPUTED_VALUE"""),"20ft Sea Ark FL5351SJ UNF 2015")</f>
        <v>20ft Sea Ark FL5351SJ UNF 2015</v>
      </c>
      <c r="M845" t="str">
        <f ca="1">IFERROR(__xludf.DUMMYFUNCTION("""COMPUTED_VALUE"""),"Ford F150 2015 (White) - DEP21448")</f>
        <v>Ford F150 2015 (White) - DEP21448</v>
      </c>
      <c r="N845" t="str">
        <f ca="1">IFERROR(__xludf.DUMMYFUNCTION("""COMPUTED_VALUE"""),"Pam Marcum, (480) 332-5414")</f>
        <v>Pam Marcum, (480) 332-5414</v>
      </c>
      <c r="O845" t="str">
        <f ca="1">IFERROR(__xludf.DUMMYFUNCTION("""COMPUTED_VALUE"""),"Allix, Savanna, Jeff Finnan")</f>
        <v>Allix, Savanna, Jeff Finnan</v>
      </c>
      <c r="P845" t="str">
        <f ca="1">IFERROR(__xludf.DUMMYFUNCTION("""COMPUTED_VALUE"""),"Allix")</f>
        <v>Allix</v>
      </c>
      <c r="Q845" t="str">
        <f ca="1">IFERROR(__xludf.DUMMYFUNCTION("""COMPUTED_VALUE"""),"All items in working order")</f>
        <v>All items in working order</v>
      </c>
      <c r="AE845" s="11"/>
      <c r="AF845" t="str">
        <v>Nikki.Dix@floridadep.gov</v>
      </c>
      <c r="AG845" s="17" t="s">
        <v>41</v>
      </c>
      <c r="AH845" s="12">
        <v>1200</v>
      </c>
      <c r="AI845" s="12" t="s">
        <v>2487</v>
      </c>
      <c r="AJ845" s="19" t="s">
        <v>2488</v>
      </c>
      <c r="AK845" s="20" t="str">
        <f>HYPERLINK("https://docs.google.com/document/d/1QI-bheWrGA_PiSBxiwh0Mb32APiwN0_bvVxubrX_rvE/edit?usp=drivesdk","Pam Marcum  - 4/19/2022 7:00 AM")</f>
        <v>Pam Marcum  - 4/19/2022 7:00 AM</v>
      </c>
      <c r="AL845" s="12" t="s">
        <v>2489</v>
      </c>
    </row>
    <row r="846" spans="1:38" ht="12.75">
      <c r="A846" s="10">
        <f ca="1">IFERROR(__xludf.DUMMYFUNCTION("""COMPUTED_VALUE"""),44671.3768692361)</f>
        <v>44671.376869236097</v>
      </c>
      <c r="B846" s="11" t="str">
        <f ca="1">IFERROR(__xludf.DUMMYFUNCTION("""COMPUTED_VALUE"""),"Pam Marcum ")</f>
        <v xml:space="preserve">Pam Marcum </v>
      </c>
      <c r="C846" t="str">
        <f ca="1">IFERROR(__xludf.DUMMYFUNCTION("""COMPUTED_VALUE"""),"Pamela.Marcum@FloridaDEP.gov")</f>
        <v>Pamela.Marcum@FloridaDEP.gov</v>
      </c>
      <c r="D846" t="str">
        <f ca="1">IFERROR(__xludf.DUMMYFUNCTION("""COMPUTED_VALUE"""),"Nikki Dix")</f>
        <v>Nikki Dix</v>
      </c>
      <c r="E846" t="str">
        <f ca="1">IFERROR(__xludf.DUMMYFUNCTION("""COMPUTED_VALUE"""),"Moses Creek floating dock")</f>
        <v>Moses Creek floating dock</v>
      </c>
      <c r="F846" s="13">
        <f ca="1">IFERROR(__xludf.DUMMYFUNCTION("""COMPUTED_VALUE"""),0.33333333333212)</f>
        <v>0.33333333333212001</v>
      </c>
      <c r="G846" s="14">
        <f ca="1">IFERROR(__xludf.DUMMYFUNCTION("""COMPUTED_VALUE"""),44671)</f>
        <v>44671</v>
      </c>
      <c r="H846" t="str">
        <f ca="1">IFERROR(__xludf.DUMMYFUNCTION("""COMPUTED_VALUE"""),"Moses creek")</f>
        <v>Moses creek</v>
      </c>
      <c r="I846" s="15">
        <f ca="1">IFERROR(__xludf.DUMMYFUNCTION("""COMPUTED_VALUE"""),0.58333333333212)</f>
        <v>0.58333333333212001</v>
      </c>
      <c r="J846" s="16">
        <f ca="1">IFERROR(__xludf.DUMMYFUNCTION("""COMPUTED_VALUE"""),44671.625)</f>
        <v>44671.625</v>
      </c>
      <c r="K846" t="str">
        <f ca="1">IFERROR(__xludf.DUMMYFUNCTION("""COMPUTED_VALUE"""),"Canoe/Kayak Trailer DEP06086")</f>
        <v>Canoe/Kayak Trailer DEP06086</v>
      </c>
      <c r="L846">
        <f ca="1">IFERROR(__xludf.DUMMYFUNCTION("""COMPUTED_VALUE"""),3)</f>
        <v>3</v>
      </c>
      <c r="M846" t="str">
        <f ca="1">IFERROR(__xludf.DUMMYFUNCTION("""COMPUTED_VALUE"""),"Ford F150 2015 (White) - DEP21448")</f>
        <v>Ford F150 2015 (White) - DEP21448</v>
      </c>
      <c r="N846" t="str">
        <f ca="1">IFERROR(__xludf.DUMMYFUNCTION("""COMPUTED_VALUE"""),"Pam Marcum, (480) 332-5414, Allix, Savanna")</f>
        <v>Pam Marcum, (480) 332-5414, Allix, Savanna</v>
      </c>
      <c r="O846" t="str">
        <f ca="1">IFERROR(__xludf.DUMMYFUNCTION("""COMPUTED_VALUE"""),"Ruben Allen")</f>
        <v>Ruben Allen</v>
      </c>
      <c r="P846" t="str">
        <f ca="1">IFERROR(__xludf.DUMMYFUNCTION("""COMPUTED_VALUE"""),"Pam")</f>
        <v>Pam</v>
      </c>
      <c r="Q846" t="str">
        <f ca="1">IFERROR(__xludf.DUMMYFUNCTION("""COMPUTED_VALUE"""),"All items in working order")</f>
        <v>All items in working order</v>
      </c>
      <c r="AE846" s="11"/>
      <c r="AF846" t="str">
        <v>Nikki.Dix@floridadep.gov</v>
      </c>
      <c r="AG846" s="17" t="s">
        <v>41</v>
      </c>
      <c r="AH846" s="12">
        <v>1323</v>
      </c>
      <c r="AI846" s="12" t="s">
        <v>2490</v>
      </c>
      <c r="AJ846" s="19" t="s">
        <v>2491</v>
      </c>
      <c r="AK846" s="20" t="str">
        <f>HYPERLINK("https://docs.google.com/document/d/11V-H2dQ7-KDUvpU5pyp-4ShFDDZOcIURix0_lZ3GLlw/edit?usp=drivesdk","Pam Marcum  - 4/20/2022 8:00 AM")</f>
        <v>Pam Marcum  - 4/20/2022 8:00 AM</v>
      </c>
      <c r="AL846" s="12" t="s">
        <v>2492</v>
      </c>
    </row>
    <row r="847" spans="1:38" ht="12.75">
      <c r="A847" s="10">
        <f ca="1">IFERROR(__xludf.DUMMYFUNCTION("""COMPUTED_VALUE"""),44671.3805659259)</f>
        <v>44671.380565925901</v>
      </c>
      <c r="B847" s="11" t="str">
        <f ca="1">IFERROR(__xludf.DUMMYFUNCTION("""COMPUTED_VALUE"""),"Silas Tanner")</f>
        <v>Silas Tanner</v>
      </c>
      <c r="C847" t="str">
        <f ca="1">IFERROR(__xludf.DUMMYFUNCTION("""COMPUTED_VALUE"""),"silas.tanner@floridadep.gov")</f>
        <v>silas.tanner@floridadep.gov</v>
      </c>
      <c r="D847" t="str">
        <f ca="1">IFERROR(__xludf.DUMMYFUNCTION("""COMPUTED_VALUE"""),"Nikki Dix")</f>
        <v>Nikki Dix</v>
      </c>
      <c r="E847" t="str">
        <f ca="1">IFERROR(__xludf.DUMMYFUNCTION("""COMPUTED_VALUE"""),"Vilano Landing")</f>
        <v>Vilano Landing</v>
      </c>
      <c r="F847" s="13">
        <f ca="1">IFERROR(__xludf.DUMMYFUNCTION("""COMPUTED_VALUE"""),0.416666666667879)</f>
        <v>0.41666666666787899</v>
      </c>
      <c r="G847" s="14">
        <f ca="1">IFERROR(__xludf.DUMMYFUNCTION("""COMPUTED_VALUE"""),44671)</f>
        <v>44671</v>
      </c>
      <c r="H847" t="str">
        <f ca="1">IFERROR(__xludf.DUMMYFUNCTION("""COMPUTED_VALUE"""),"ICW SWMP sites")</f>
        <v>ICW SWMP sites</v>
      </c>
      <c r="I847" s="15">
        <f ca="1">IFERROR(__xludf.DUMMYFUNCTION("""COMPUTED_VALUE"""),0.61458333333212)</f>
        <v>0.61458333333212001</v>
      </c>
      <c r="J847" s="16">
        <f ca="1">IFERROR(__xludf.DUMMYFUNCTION("""COMPUTED_VALUE"""),44671.6354166666)</f>
        <v>44671.635416666599</v>
      </c>
      <c r="K847" t="str">
        <f ca="1">IFERROR(__xludf.DUMMYFUNCTION("""COMPUTED_VALUE"""),"20ft Sea Ark FL5351SJ UNF 2015")</f>
        <v>20ft Sea Ark FL5351SJ UNF 2015</v>
      </c>
      <c r="M847" t="str">
        <f ca="1">IFERROR(__xludf.DUMMYFUNCTION("""COMPUTED_VALUE"""),"Ford F250 2017 (Moby Dix) - DEP0021578")</f>
        <v>Ford F250 2017 (Moby Dix) - DEP0021578</v>
      </c>
      <c r="N847" t="str">
        <f ca="1">IFERROR(__xludf.DUMMYFUNCTION("""COMPUTED_VALUE"""),"Silas Tanner, (904) 483-8423, Remo")</f>
        <v>Silas Tanner, (904) 483-8423, Remo</v>
      </c>
      <c r="P847" t="str">
        <f ca="1">IFERROR(__xludf.DUMMYFUNCTION("""COMPUTED_VALUE"""),"Silas Tanner")</f>
        <v>Silas Tanner</v>
      </c>
      <c r="Q847" t="str">
        <f ca="1">IFERROR(__xludf.DUMMYFUNCTION("""COMPUTED_VALUE"""),"All items in working order")</f>
        <v>All items in working order</v>
      </c>
      <c r="AE847" s="11"/>
      <c r="AF847" t="str">
        <v>Nikki.Dix@floridadep.gov</v>
      </c>
      <c r="AG847" s="17" t="s">
        <v>41</v>
      </c>
      <c r="AH847" s="12">
        <v>1356</v>
      </c>
      <c r="AI847" s="12" t="s">
        <v>2493</v>
      </c>
      <c r="AJ847" s="19" t="s">
        <v>2494</v>
      </c>
      <c r="AK847" s="20" t="str">
        <f>HYPERLINK("https://docs.google.com/document/d/1189rlEgEhh8PC7eGGo3Z5n3vmlwZwqFwLyIfCTGRhco/edit?usp=drivesdk","Silas Tanner - 4/20/2022 10:00 AM")</f>
        <v>Silas Tanner - 4/20/2022 10:00 AM</v>
      </c>
      <c r="AL847" s="12" t="s">
        <v>2495</v>
      </c>
    </row>
    <row r="848" spans="1:38" ht="12.75">
      <c r="A848" s="10">
        <f ca="1">IFERROR(__xludf.DUMMYFUNCTION("""COMPUTED_VALUE"""),44672.3302733912)</f>
        <v>44672.330273391199</v>
      </c>
      <c r="B848" s="11" t="str">
        <f ca="1">IFERROR(__xludf.DUMMYFUNCTION("""COMPUTED_VALUE"""),"Pam Marcum ")</f>
        <v xml:space="preserve">Pam Marcum </v>
      </c>
      <c r="C848" t="str">
        <f ca="1">IFERROR(__xludf.DUMMYFUNCTION("""COMPUTED_VALUE"""),"Pamela.Marcum@FloridaDEP.gov")</f>
        <v>Pamela.Marcum@FloridaDEP.gov</v>
      </c>
      <c r="D848" t="str">
        <f ca="1">IFERROR(__xludf.DUMMYFUNCTION("""COMPUTED_VALUE"""),"Nikki Dix")</f>
        <v>Nikki Dix</v>
      </c>
      <c r="E848" t="str">
        <f ca="1">IFERROR(__xludf.DUMMYFUNCTION("""COMPUTED_VALUE"""),"Palm Valley ")</f>
        <v xml:space="preserve">Palm Valley </v>
      </c>
      <c r="F848" s="13">
        <f ca="1">IFERROR(__xludf.DUMMYFUNCTION("""COMPUTED_VALUE"""),0.326388888890505)</f>
        <v>0.32638888889050499</v>
      </c>
      <c r="G848" s="14">
        <f ca="1">IFERROR(__xludf.DUMMYFUNCTION("""COMPUTED_VALUE"""),44672)</f>
        <v>44672</v>
      </c>
      <c r="H848" t="str">
        <f ca="1">IFERROR(__xludf.DUMMYFUNCTION("""COMPUTED_VALUE"""),"Pine islans platforms")</f>
        <v>Pine islans platforms</v>
      </c>
      <c r="I848" s="15">
        <f ca="1">IFERROR(__xludf.DUMMYFUNCTION("""COMPUTED_VALUE"""),0.58333333333212)</f>
        <v>0.58333333333212001</v>
      </c>
      <c r="J848" s="16">
        <f ca="1">IFERROR(__xludf.DUMMYFUNCTION("""COMPUTED_VALUE"""),44672.625)</f>
        <v>44672.625</v>
      </c>
      <c r="K848" t="str">
        <f ca="1">IFERROR(__xludf.DUMMYFUNCTION("""COMPUTED_VALUE"""),"20ft Sea Ark FL5351SJ UNF 2015")</f>
        <v>20ft Sea Ark FL5351SJ UNF 2015</v>
      </c>
      <c r="M848" t="str">
        <f ca="1">IFERROR(__xludf.DUMMYFUNCTION("""COMPUTED_VALUE"""),"Ford F150 2015 (White) - DEP21448")</f>
        <v>Ford F150 2015 (White) - DEP21448</v>
      </c>
      <c r="N848" t="str">
        <f ca="1">IFERROR(__xludf.DUMMYFUNCTION("""COMPUTED_VALUE"""),"Pam Marcum, (480) 332-5414")</f>
        <v>Pam Marcum, (480) 332-5414</v>
      </c>
      <c r="O848" t="str">
        <f ca="1">IFERROR(__xludf.DUMMYFUNCTION("""COMPUTED_VALUE"""),"Allix, Savanna")</f>
        <v>Allix, Savanna</v>
      </c>
      <c r="P848" t="str">
        <f ca="1">IFERROR(__xludf.DUMMYFUNCTION("""COMPUTED_VALUE"""),"Pam")</f>
        <v>Pam</v>
      </c>
      <c r="Q848" t="str">
        <f ca="1">IFERROR(__xludf.DUMMYFUNCTION("""COMPUTED_VALUE"""),"All items in working order")</f>
        <v>All items in working order</v>
      </c>
      <c r="AE848" s="11"/>
      <c r="AF848" t="str">
        <v>Nikki.Dix@floridadep.gov</v>
      </c>
      <c r="AG848" s="17" t="s">
        <v>41</v>
      </c>
      <c r="AH848" s="12">
        <v>1300</v>
      </c>
      <c r="AI848" s="12" t="s">
        <v>2496</v>
      </c>
      <c r="AJ848" s="19" t="s">
        <v>2497</v>
      </c>
      <c r="AK848" s="20" t="str">
        <f>HYPERLINK("https://docs.google.com/document/d/1vXoxdA_o7QVyHwHaFUPDp0iNj1ISRm7FK5_dkcRkZ3M/edit?usp=drivesdk","Pam Marcum  - 4/21/2022 7:50 AM")</f>
        <v>Pam Marcum  - 4/21/2022 7:50 AM</v>
      </c>
      <c r="AL848" s="12" t="s">
        <v>2498</v>
      </c>
    </row>
    <row r="849" spans="1:38" ht="12.75">
      <c r="A849" s="10">
        <f ca="1">IFERROR(__xludf.DUMMYFUNCTION("""COMPUTED_VALUE"""),44673.3620661226)</f>
        <v>44673.362066122601</v>
      </c>
      <c r="B849" s="11" t="str">
        <f ca="1">IFERROR(__xludf.DUMMYFUNCTION("""COMPUTED_VALUE"""),"Pam Marcum ")</f>
        <v xml:space="preserve">Pam Marcum </v>
      </c>
      <c r="C849" t="str">
        <f ca="1">IFERROR(__xludf.DUMMYFUNCTION("""COMPUTED_VALUE"""),"Pamela.Marcum@FloridaDEP.gov")</f>
        <v>Pamela.Marcum@FloridaDEP.gov</v>
      </c>
      <c r="D849" t="str">
        <f ca="1">IFERROR(__xludf.DUMMYFUNCTION("""COMPUTED_VALUE"""),"Shannon Dunnigan")</f>
        <v>Shannon Dunnigan</v>
      </c>
      <c r="E849" t="str">
        <f ca="1">IFERROR(__xludf.DUMMYFUNCTION("""COMPUTED_VALUE"""),"Shore dr")</f>
        <v>Shore dr</v>
      </c>
      <c r="F849" s="13">
        <f ca="1">IFERROR(__xludf.DUMMYFUNCTION("""COMPUTED_VALUE"""),0.354166666667879)</f>
        <v>0.35416666666787899</v>
      </c>
      <c r="G849" s="14">
        <f ca="1">IFERROR(__xludf.DUMMYFUNCTION("""COMPUTED_VALUE"""),44673)</f>
        <v>44673</v>
      </c>
      <c r="H849" t="str">
        <f ca="1">IFERROR(__xludf.DUMMYFUNCTION("""COMPUTED_VALUE"""),"Site 22 platforms")</f>
        <v>Site 22 platforms</v>
      </c>
      <c r="I849" s="15">
        <f ca="1">IFERROR(__xludf.DUMMYFUNCTION("""COMPUTED_VALUE"""),0.58333333333212)</f>
        <v>0.58333333333212001</v>
      </c>
      <c r="J849" s="16">
        <f ca="1">IFERROR(__xludf.DUMMYFUNCTION("""COMPUTED_VALUE"""),44673.625)</f>
        <v>44673.625</v>
      </c>
      <c r="K849" t="str">
        <f ca="1">IFERROR(__xludf.DUMMYFUNCTION("""COMPUTED_VALUE"""),"23ft Skiff (Bertha) FL7972LJ DEP07613")</f>
        <v>23ft Skiff (Bertha) FL7972LJ DEP07613</v>
      </c>
      <c r="M849" t="str">
        <f ca="1">IFERROR(__xludf.DUMMYFUNCTION("""COMPUTED_VALUE"""),"Ford F250 2017 (Moby Dix) - DEP0021578")</f>
        <v>Ford F250 2017 (Moby Dix) - DEP0021578</v>
      </c>
      <c r="N849" t="str">
        <f ca="1">IFERROR(__xludf.DUMMYFUNCTION("""COMPUTED_VALUE"""),"Nikki Dix, (352) 219-4079, Pam Marcum, (480) 332-5414, Remo Mondazzi")</f>
        <v>Nikki Dix, (352) 219-4079, Pam Marcum, (480) 332-5414, Remo Mondazzi</v>
      </c>
      <c r="O849" t="str">
        <f ca="1">IFERROR(__xludf.DUMMYFUNCTION("""COMPUTED_VALUE"""),"Allix, Savanna, Steve Brown")</f>
        <v>Allix, Savanna, Steve Brown</v>
      </c>
      <c r="P849" t="str">
        <f ca="1">IFERROR(__xludf.DUMMYFUNCTION("""COMPUTED_VALUE"""),"Allix")</f>
        <v>Allix</v>
      </c>
      <c r="Q849" t="str">
        <f ca="1">IFERROR(__xludf.DUMMYFUNCTION("""COMPUTED_VALUE"""),"All items in working order")</f>
        <v>All items in working order</v>
      </c>
      <c r="AE849" s="11"/>
      <c r="AF849" t="str">
        <v>Shannon.Dunnigan@floridadep.gov</v>
      </c>
      <c r="AG849" s="17" t="s">
        <v>639</v>
      </c>
      <c r="AH849" s="12">
        <v>1445</v>
      </c>
      <c r="AI849" s="12" t="s">
        <v>2499</v>
      </c>
      <c r="AJ849" s="19" t="s">
        <v>2500</v>
      </c>
      <c r="AK849" s="20" t="str">
        <f>HYPERLINK("https://docs.google.com/document/d/1Nd1v2lMrQgjpNtEODCbADE_dVRtuSPXEji21TPN90FU/edit?usp=drivesdk","Pam Marcum  - 4/22/2022 8:30 AM")</f>
        <v>Pam Marcum  - 4/22/2022 8:30 AM</v>
      </c>
      <c r="AL849" s="12" t="s">
        <v>2501</v>
      </c>
    </row>
    <row r="850" spans="1:38" ht="12.75">
      <c r="A850" s="10">
        <f ca="1">IFERROR(__xludf.DUMMYFUNCTION("""COMPUTED_VALUE"""),44677.4204651273)</f>
        <v>44677.420465127303</v>
      </c>
      <c r="B850" s="11" t="str">
        <f ca="1">IFERROR(__xludf.DUMMYFUNCTION("""COMPUTED_VALUE"""),"Jimmy")</f>
        <v>Jimmy</v>
      </c>
      <c r="C850" t="str">
        <f ca="1">IFERROR(__xludf.DUMMYFUNCTION("""COMPUTED_VALUE"""),"james.tomazinis@floridadep.gov")</f>
        <v>james.tomazinis@floridadep.gov</v>
      </c>
      <c r="D850" t="str">
        <f ca="1">IFERROR(__xludf.DUMMYFUNCTION("""COMPUTED_VALUE"""),"Scott Eastman")</f>
        <v>Scott Eastman</v>
      </c>
      <c r="E850" t="str">
        <f ca="1">IFERROR(__xludf.DUMMYFUNCTION("""COMPUTED_VALUE"""),"Guana Dam")</f>
        <v>Guana Dam</v>
      </c>
      <c r="F850" s="13">
        <f ca="1">IFERROR(__xludf.DUMMYFUNCTION("""COMPUTED_VALUE"""),0.42708333333212)</f>
        <v>0.42708333333212001</v>
      </c>
      <c r="G850" s="14">
        <f ca="1">IFERROR(__xludf.DUMMYFUNCTION("""COMPUTED_VALUE"""),44677)</f>
        <v>44677</v>
      </c>
      <c r="H850" t="str">
        <f ca="1">IFERROR(__xludf.DUMMYFUNCTION("""COMPUTED_VALUE"""),"Guana Lake")</f>
        <v>Guana Lake</v>
      </c>
      <c r="I850" s="15">
        <f ca="1">IFERROR(__xludf.DUMMYFUNCTION("""COMPUTED_VALUE"""),0.625)</f>
        <v>0.625</v>
      </c>
      <c r="J850" s="16"/>
      <c r="K850" t="str">
        <f ca="1">IFERROR(__xludf.DUMMYFUNCTION("""COMPUTED_VALUE"""),"Jon Boat 1 FL5992RR DEP154045")</f>
        <v>Jon Boat 1 FL5992RR DEP154045</v>
      </c>
      <c r="M850" t="str">
        <f ca="1">IFERROR(__xludf.DUMMYFUNCTION("""COMPUTED_VALUE"""),"Ford F150 2007 (F-Bomb) - DEP07055")</f>
        <v>Ford F150 2007 (F-Bomb) - DEP07055</v>
      </c>
      <c r="N850" t="str">
        <f ca="1">IFERROR(__xludf.DUMMYFUNCTION("""COMPUTED_VALUE"""),"Jimmy Tomazinis, (904) 547-0094")</f>
        <v>Jimmy Tomazinis, (904) 547-0094</v>
      </c>
      <c r="O850" t="str">
        <f ca="1">IFERROR(__xludf.DUMMYFUNCTION("""COMPUTED_VALUE"""),"Chris Kurtz ")</f>
        <v xml:space="preserve">Chris Kurtz </v>
      </c>
      <c r="P850" t="str">
        <f ca="1">IFERROR(__xludf.DUMMYFUNCTION("""COMPUTED_VALUE"""),"Jimmy")</f>
        <v>Jimmy</v>
      </c>
      <c r="Q850" t="str">
        <f ca="1">IFERROR(__xludf.DUMMYFUNCTION("""COMPUTED_VALUE"""),"All items in working order")</f>
        <v>All items in working order</v>
      </c>
      <c r="AE850" s="11"/>
      <c r="AF850" t="str">
        <v>Scott.Eastman@floridadep.gov</v>
      </c>
      <c r="AG850" s="17" t="s">
        <v>17</v>
      </c>
      <c r="AH850" s="12">
        <v>1235</v>
      </c>
      <c r="AI850" s="12" t="s">
        <v>2502</v>
      </c>
      <c r="AJ850" s="19" t="s">
        <v>2503</v>
      </c>
      <c r="AK850" s="20" t="str">
        <f>HYPERLINK("https://docs.google.com/document/d/1EwB27hL2wGlZROx7vF086LK_KtfV7TJqSfokLIz-SOI/edit?usp=drivesdk","Jimmy - 4/26/2022 10:15 AM")</f>
        <v>Jimmy - 4/26/2022 10:15 AM</v>
      </c>
      <c r="AL850" s="12" t="s">
        <v>2504</v>
      </c>
    </row>
    <row r="851" spans="1:38" ht="12.75">
      <c r="A851" s="10">
        <f ca="1">IFERROR(__xludf.DUMMYFUNCTION("""COMPUTED_VALUE"""),44679.2578021643)</f>
        <v>44679.257802164298</v>
      </c>
      <c r="B851" s="11" t="str">
        <f ca="1">IFERROR(__xludf.DUMMYFUNCTION("""COMPUTED_VALUE"""),"Jimmy")</f>
        <v>Jimmy</v>
      </c>
      <c r="C851" t="str">
        <f ca="1">IFERROR(__xludf.DUMMYFUNCTION("""COMPUTED_VALUE"""),"james.tomazinis@floridadep.gov")</f>
        <v>james.tomazinis@floridadep.gov</v>
      </c>
      <c r="D851" t="str">
        <f ca="1">IFERROR(__xludf.DUMMYFUNCTION("""COMPUTED_VALUE"""),"Scott Eastman")</f>
        <v>Scott Eastman</v>
      </c>
      <c r="E851" t="str">
        <f ca="1">IFERROR(__xludf.DUMMYFUNCTION("""COMPUTED_VALUE"""),"Nelson Melton")</f>
        <v>Nelson Melton</v>
      </c>
      <c r="F851" s="13">
        <f ca="1">IFERROR(__xludf.DUMMYFUNCTION("""COMPUTED_VALUE"""),0.39583333333212)</f>
        <v>0.39583333333212001</v>
      </c>
      <c r="G851" s="14">
        <f ca="1">IFERROR(__xludf.DUMMYFUNCTION("""COMPUTED_VALUE"""),44679)</f>
        <v>44679</v>
      </c>
      <c r="H851" t="str">
        <f ca="1">IFERROR(__xludf.DUMMYFUNCTION("""COMPUTED_VALUE"""),"Lofton Creek to North Hampton Dock")</f>
        <v>Lofton Creek to North Hampton Dock</v>
      </c>
      <c r="I851" s="15">
        <f ca="1">IFERROR(__xludf.DUMMYFUNCTION("""COMPUTED_VALUE"""),0.58333333333212)</f>
        <v>0.58333333333212001</v>
      </c>
      <c r="J851" s="16"/>
      <c r="K851" t="str">
        <f ca="1">IFERROR(__xludf.DUMMYFUNCTION("""COMPUTED_VALUE"""),"Jon Boat 1 FL5992RR DEP154045")</f>
        <v>Jon Boat 1 FL5992RR DEP154045</v>
      </c>
      <c r="M851" t="str">
        <f ca="1">IFERROR(__xludf.DUMMYFUNCTION("""COMPUTED_VALUE"""),"Ford F150 2007 (F-Bomb) - DEP07055")</f>
        <v>Ford F150 2007 (F-Bomb) - DEP07055</v>
      </c>
      <c r="N851" t="str">
        <f ca="1">IFERROR(__xludf.DUMMYFUNCTION("""COMPUTED_VALUE"""),"Jimmy Tomazinis, (904) 547-0094")</f>
        <v>Jimmy Tomazinis, (904) 547-0094</v>
      </c>
      <c r="O851" t="str">
        <f ca="1">IFERROR(__xludf.DUMMYFUNCTION("""COMPUTED_VALUE"""),"Chris Kurtz")</f>
        <v>Chris Kurtz</v>
      </c>
      <c r="P851" t="str">
        <f ca="1">IFERROR(__xludf.DUMMYFUNCTION("""COMPUTED_VALUE"""),"Jimmy")</f>
        <v>Jimmy</v>
      </c>
      <c r="Q851" t="str">
        <f ca="1">IFERROR(__xludf.DUMMYFUNCTION("""COMPUTED_VALUE"""),"All items in working order")</f>
        <v>All items in working order</v>
      </c>
      <c r="AE851" s="11"/>
      <c r="AF851" t="str">
        <v>Scott.Eastman@floridadep.gov</v>
      </c>
      <c r="AG851" s="17" t="s">
        <v>17</v>
      </c>
      <c r="AH851" s="12">
        <v>1200</v>
      </c>
      <c r="AI851" s="12" t="s">
        <v>2505</v>
      </c>
      <c r="AJ851" s="19" t="s">
        <v>2506</v>
      </c>
      <c r="AK851" s="20" t="str">
        <f>HYPERLINK("https://docs.google.com/document/d/1q-7iFjzLr9HBCQCgCXwOEDOZWkBdELTgj0mcwtJDVis/edit?usp=drivesdk","Jimmy - 4/28/2022 9:30 AM")</f>
        <v>Jimmy - 4/28/2022 9:30 AM</v>
      </c>
      <c r="AL851" s="12" t="s">
        <v>2507</v>
      </c>
    </row>
    <row r="852" spans="1:38" ht="12.75">
      <c r="A852" s="10">
        <f ca="1">IFERROR(__xludf.DUMMYFUNCTION("""COMPUTED_VALUE"""),44679.6003001273)</f>
        <v>44679.600300127298</v>
      </c>
      <c r="B852" s="11" t="str">
        <f ca="1">IFERROR(__xludf.DUMMYFUNCTION("""COMPUTED_VALUE"""),"Pam Marcum ")</f>
        <v xml:space="preserve">Pam Marcum </v>
      </c>
      <c r="C852" t="str">
        <f ca="1">IFERROR(__xludf.DUMMYFUNCTION("""COMPUTED_VALUE"""),"Pamela.Marcum@FloridaDEP.gov")</f>
        <v>Pamela.Marcum@FloridaDEP.gov</v>
      </c>
      <c r="D852" t="str">
        <f ca="1">IFERROR(__xludf.DUMMYFUNCTION("""COMPUTED_VALUE"""),"Pam Marcum")</f>
        <v>Pam Marcum</v>
      </c>
      <c r="E852" t="str">
        <f ca="1">IFERROR(__xludf.DUMMYFUNCTION("""COMPUTED_VALUE"""),"Faver dykes")</f>
        <v>Faver dykes</v>
      </c>
      <c r="F852" s="13">
        <f ca="1">IFERROR(__xludf.DUMMYFUNCTION("""COMPUTED_VALUE"""),0.59375)</f>
        <v>0.59375</v>
      </c>
      <c r="G852" s="14">
        <f ca="1">IFERROR(__xludf.DUMMYFUNCTION("""COMPUTED_VALUE"""),44679)</f>
        <v>44679</v>
      </c>
      <c r="H852" t="str">
        <f ca="1">IFERROR(__xludf.DUMMYFUNCTION("""COMPUTED_VALUE"""),"Pellicer creek")</f>
        <v>Pellicer creek</v>
      </c>
      <c r="I852" s="15">
        <f ca="1">IFERROR(__xludf.DUMMYFUNCTION("""COMPUTED_VALUE"""),0.666666666667879)</f>
        <v>0.66666666666787899</v>
      </c>
      <c r="J852" s="16">
        <f ca="1">IFERROR(__xludf.DUMMYFUNCTION("""COMPUTED_VALUE"""),44679.7083333333)</f>
        <v>44679.708333333299</v>
      </c>
      <c r="K852" t="str">
        <f ca="1">IFERROR(__xludf.DUMMYFUNCTION("""COMPUTED_VALUE"""),"20ft Sea Ark FL5351SJ UNF 2015")</f>
        <v>20ft Sea Ark FL5351SJ UNF 2015</v>
      </c>
      <c r="M852" t="str">
        <f ca="1">IFERROR(__xludf.DUMMYFUNCTION("""COMPUTED_VALUE"""),"Ford F150 2015 (White) - DEP21448")</f>
        <v>Ford F150 2015 (White) - DEP21448</v>
      </c>
      <c r="N852" t="str">
        <f ca="1">IFERROR(__xludf.DUMMYFUNCTION("""COMPUTED_VALUE"""),"Pam Marcum, (480) 332-5414")</f>
        <v>Pam Marcum, (480) 332-5414</v>
      </c>
      <c r="O852" t="str">
        <f ca="1">IFERROR(__xludf.DUMMYFUNCTION("""COMPUTED_VALUE"""),"Vitalii Sheremet")</f>
        <v>Vitalii Sheremet</v>
      </c>
      <c r="P852" t="str">
        <f ca="1">IFERROR(__xludf.DUMMYFUNCTION("""COMPUTED_VALUE"""),"Pam")</f>
        <v>Pam</v>
      </c>
      <c r="Q852" t="str">
        <f ca="1">IFERROR(__xludf.DUMMYFUNCTION("""COMPUTED_VALUE"""),"All items in working order")</f>
        <v>All items in working order</v>
      </c>
      <c r="AE852" s="11"/>
      <c r="AF852" t="str">
        <v>Pamela.Marcum@floridadep.gov</v>
      </c>
      <c r="AG852" s="17" t="s">
        <v>17</v>
      </c>
      <c r="AH852" s="12">
        <v>1845</v>
      </c>
      <c r="AI852" s="12" t="s">
        <v>2508</v>
      </c>
      <c r="AJ852" s="19" t="s">
        <v>2509</v>
      </c>
      <c r="AK852" s="20" t="str">
        <f>HYPERLINK("https://docs.google.com/document/d/1chySodYfMdoaJFPoC6P9bFs0oDt2xCAyuhC-gxx2v8w/edit?usp=drivesdk","Pam Marcum  - 4/28/2022 2:15 PM")</f>
        <v>Pam Marcum  - 4/28/2022 2:15 PM</v>
      </c>
      <c r="AL852" s="12" t="s">
        <v>2510</v>
      </c>
    </row>
    <row r="853" spans="1:38" ht="12.75">
      <c r="A853" s="10">
        <f ca="1">IFERROR(__xludf.DUMMYFUNCTION("""COMPUTED_VALUE"""),44680.4139110416)</f>
        <v>44680.4139110416</v>
      </c>
      <c r="B853" s="11" t="str">
        <f ca="1">IFERROR(__xludf.DUMMYFUNCTION("""COMPUTED_VALUE"""),"Allix North")</f>
        <v>Allix North</v>
      </c>
      <c r="C853" t="str">
        <f ca="1">IFERROR(__xludf.DUMMYFUNCTION("""COMPUTED_VALUE"""),"Allix.North@dep.state.fl.us")</f>
        <v>Allix.North@dep.state.fl.us</v>
      </c>
      <c r="D853" t="str">
        <f ca="1">IFERROR(__xludf.DUMMYFUNCTION("""COMPUTED_VALUE"""),"Scott Eastman")</f>
        <v>Scott Eastman</v>
      </c>
      <c r="E853" t="str">
        <f ca="1">IFERROR(__xludf.DUMMYFUNCTION("""COMPUTED_VALUE"""),"Palm Valley")</f>
        <v>Palm Valley</v>
      </c>
      <c r="F853" s="13">
        <f ca="1">IFERROR(__xludf.DUMMYFUNCTION("""COMPUTED_VALUE"""),0.4375)</f>
        <v>0.4375</v>
      </c>
      <c r="G853" s="14">
        <f ca="1">IFERROR(__xludf.DUMMYFUNCTION("""COMPUTED_VALUE"""),44680)</f>
        <v>44680</v>
      </c>
      <c r="H853" t="str">
        <f ca="1">IFERROR(__xludf.DUMMYFUNCTION("""COMPUTED_VALUE"""),"Tolomato River")</f>
        <v>Tolomato River</v>
      </c>
      <c r="I853" s="15">
        <f ca="1">IFERROR(__xludf.DUMMYFUNCTION("""COMPUTED_VALUE"""),0.58333333333212)</f>
        <v>0.58333333333212001</v>
      </c>
      <c r="J853" s="16">
        <f ca="1">IFERROR(__xludf.DUMMYFUNCTION("""COMPUTED_VALUE"""),44680.6145833333)</f>
        <v>44680.614583333299</v>
      </c>
      <c r="K853" t="str">
        <f ca="1">IFERROR(__xludf.DUMMYFUNCTION("""COMPUTED_VALUE"""),"23ft Skiff (Bertha) FL7972LJ DEP07613")</f>
        <v>23ft Skiff (Bertha) FL7972LJ DEP07613</v>
      </c>
      <c r="M853" t="str">
        <f ca="1">IFERROR(__xludf.DUMMYFUNCTION("""COMPUTED_VALUE"""),"Ford F150 2018 (ML AP) - DEP21637")</f>
        <v>Ford F150 2018 (ML AP) - DEP21637</v>
      </c>
      <c r="N853" t="str">
        <f ca="1">IFERROR(__xludf.DUMMYFUNCTION("""COMPUTED_VALUE"""),"Jimmy Tomazinis, (904) 547-0094")</f>
        <v>Jimmy Tomazinis, (904) 547-0094</v>
      </c>
      <c r="O853" t="str">
        <f ca="1">IFERROR(__xludf.DUMMYFUNCTION("""COMPUTED_VALUE"""),"Allix North (850)420-7495")</f>
        <v>Allix North (850)420-7495</v>
      </c>
      <c r="P853" t="str">
        <f ca="1">IFERROR(__xludf.DUMMYFUNCTION("""COMPUTED_VALUE"""),"Jimmy Tomazinis")</f>
        <v>Jimmy Tomazinis</v>
      </c>
      <c r="Q853" t="str">
        <f ca="1">IFERROR(__xludf.DUMMYFUNCTION("""COMPUTED_VALUE"""),"All items in working order")</f>
        <v>All items in working order</v>
      </c>
      <c r="AD853" t="str">
        <f ca="1">IFERROR(__xludf.DUMMYFUNCTION("""COMPUTED_VALUE"""),"Yes")</f>
        <v>Yes</v>
      </c>
      <c r="AE853" s="11" t="str">
        <f ca="1">IFERROR(__xludf.DUMMYFUNCTION("""COMPUTED_VALUE"""),"Yes")</f>
        <v>Yes</v>
      </c>
      <c r="AF853" t="str">
        <v>Scott.Eastman@floridadep.gov</v>
      </c>
      <c r="AG853" s="17" t="s">
        <v>17</v>
      </c>
      <c r="AH853" s="12">
        <v>1515</v>
      </c>
      <c r="AI853" s="12" t="s">
        <v>2511</v>
      </c>
      <c r="AJ853" s="19" t="s">
        <v>2512</v>
      </c>
      <c r="AK853" s="20" t="str">
        <f>HYPERLINK("https://docs.google.com/document/d/1k_BiEimGWHiy4pYooJn9vBurZRI41irz03ma652liYQ/edit?usp=drivesdk","Allix North - 4/29/2022 10:30 AM")</f>
        <v>Allix North - 4/29/2022 10:30 AM</v>
      </c>
      <c r="AL853" s="12" t="s">
        <v>2513</v>
      </c>
    </row>
    <row r="854" spans="1:38" ht="12.75">
      <c r="A854" s="10">
        <f ca="1">IFERROR(__xludf.DUMMYFUNCTION("""COMPUTED_VALUE"""),44683.4431653472)</f>
        <v>44683.443165347198</v>
      </c>
      <c r="B854" s="11" t="str">
        <f ca="1">IFERROR(__xludf.DUMMYFUNCTION("""COMPUTED_VALUE"""),"Gabriela Canas")</f>
        <v>Gabriela Canas</v>
      </c>
      <c r="C854" t="str">
        <f ca="1">IFERROR(__xludf.DUMMYFUNCTION("""COMPUTED_VALUE"""),"gabriela.canas@dep.state.fl.us")</f>
        <v>gabriela.canas@dep.state.fl.us</v>
      </c>
      <c r="D854" t="str">
        <f ca="1">IFERROR(__xludf.DUMMYFUNCTION("""COMPUTED_VALUE"""),"Nikki Dix")</f>
        <v>Nikki Dix</v>
      </c>
      <c r="E854" t="str">
        <f ca="1">IFERROR(__xludf.DUMMYFUNCTION("""COMPUTED_VALUE"""),"Vilano")</f>
        <v>Vilano</v>
      </c>
      <c r="F854" s="13">
        <f ca="1">IFERROR(__xludf.DUMMYFUNCTION("""COMPUTED_VALUE"""),0.4375)</f>
        <v>0.4375</v>
      </c>
      <c r="G854" s="14">
        <f ca="1">IFERROR(__xludf.DUMMYFUNCTION("""COMPUTED_VALUE"""),44683)</f>
        <v>44683</v>
      </c>
      <c r="H854" t="str">
        <f ca="1">IFERROR(__xludf.DUMMYFUNCTION("""COMPUTED_VALUE"""),"Icw swmp")</f>
        <v>Icw swmp</v>
      </c>
      <c r="I854" s="15">
        <f ca="1">IFERROR(__xludf.DUMMYFUNCTION("""COMPUTED_VALUE"""),0.604166666667879)</f>
        <v>0.60416666666787899</v>
      </c>
      <c r="J854" s="16">
        <f ca="1">IFERROR(__xludf.DUMMYFUNCTION("""COMPUTED_VALUE"""),44683.625)</f>
        <v>44683.625</v>
      </c>
      <c r="K854" t="str">
        <f ca="1">IFERROR(__xludf.DUMMYFUNCTION("""COMPUTED_VALUE"""),"17ft Skiff (Marsha) FL0642GW DEP07239")</f>
        <v>17ft Skiff (Marsha) FL0642GW DEP07239</v>
      </c>
      <c r="M854" t="str">
        <f ca="1">IFERROR(__xludf.DUMMYFUNCTION("""COMPUTED_VALUE"""),"Ford F250 2017 (Moby Dix) - DEP0021578")</f>
        <v>Ford F250 2017 (Moby Dix) - DEP0021578</v>
      </c>
      <c r="N854" t="str">
        <f ca="1">IFERROR(__xludf.DUMMYFUNCTION("""COMPUTED_VALUE"""),"Shannon Dunnigan, (803) 727-5734, Gabby Canas, (904) 891-9743")</f>
        <v>Shannon Dunnigan, (803) 727-5734, Gabby Canas, (904) 891-9743</v>
      </c>
      <c r="P854" t="str">
        <f ca="1">IFERROR(__xludf.DUMMYFUNCTION("""COMPUTED_VALUE"""),"Shannon ")</f>
        <v xml:space="preserve">Shannon </v>
      </c>
      <c r="Q854" t="str">
        <f ca="1">IFERROR(__xludf.DUMMYFUNCTION("""COMPUTED_VALUE"""),"All items in working order")</f>
        <v>All items in working order</v>
      </c>
      <c r="AE854" s="11"/>
      <c r="AF854" t="str">
        <v>Nikki.Dix@floridadep.gov</v>
      </c>
      <c r="AG854" s="17" t="s">
        <v>41</v>
      </c>
      <c r="AH854" s="12">
        <v>1530</v>
      </c>
      <c r="AI854" s="12" t="s">
        <v>2514</v>
      </c>
      <c r="AJ854" s="19" t="s">
        <v>2515</v>
      </c>
      <c r="AK854" s="20" t="str">
        <f>HYPERLINK("https://docs.google.com/document/d/1dcKPf22LbtSFKJyZVWvRRaYwOx_Jg_SZP1pD41fEp2o/edit?usp=drivesdk","Gabriela Canas - 5/2/2022 10:30 AM")</f>
        <v>Gabriela Canas - 5/2/2022 10:30 AM</v>
      </c>
      <c r="AL854" s="12" t="s">
        <v>2516</v>
      </c>
    </row>
    <row r="855" spans="1:38" ht="12.75">
      <c r="A855" s="10">
        <f ca="1">IFERROR(__xludf.DUMMYFUNCTION("""COMPUTED_VALUE"""),44685.2971636226)</f>
        <v>44685.297163622599</v>
      </c>
      <c r="B855" s="11" t="str">
        <f ca="1">IFERROR(__xludf.DUMMYFUNCTION("""COMPUTED_VALUE"""),"Silas Tanner")</f>
        <v>Silas Tanner</v>
      </c>
      <c r="C855" t="str">
        <f ca="1">IFERROR(__xludf.DUMMYFUNCTION("""COMPUTED_VALUE"""),"silas.tanner@floridadep.gov")</f>
        <v>silas.tanner@floridadep.gov</v>
      </c>
      <c r="D855" t="str">
        <f ca="1">IFERROR(__xludf.DUMMYFUNCTION("""COMPUTED_VALUE"""),"Shannon Dunnigan")</f>
        <v>Shannon Dunnigan</v>
      </c>
      <c r="E855" t="str">
        <f ca="1">IFERROR(__xludf.DUMMYFUNCTION("""COMPUTED_VALUE"""),"Vilano Landing")</f>
        <v>Vilano Landing</v>
      </c>
      <c r="F855" s="13">
        <f ca="1">IFERROR(__xludf.DUMMYFUNCTION("""COMPUTED_VALUE"""),0.3125)</f>
        <v>0.3125</v>
      </c>
      <c r="G855" s="14">
        <f ca="1">IFERROR(__xludf.DUMMYFUNCTION("""COMPUTED_VALUE"""),44685)</f>
        <v>44685</v>
      </c>
      <c r="H855" t="str">
        <f ca="1">IFERROR(__xludf.DUMMYFUNCTION("""COMPUTED_VALUE"""),"ICW SWMP sites")</f>
        <v>ICW SWMP sites</v>
      </c>
      <c r="I855" s="15">
        <f ca="1">IFERROR(__xludf.DUMMYFUNCTION("""COMPUTED_VALUE"""),0.52083333333212)</f>
        <v>0.52083333333212001</v>
      </c>
      <c r="J855" s="16">
        <f ca="1">IFERROR(__xludf.DUMMYFUNCTION("""COMPUTED_VALUE"""),44685.5416666666)</f>
        <v>44685.541666666599</v>
      </c>
      <c r="K855" t="str">
        <f ca="1">IFERROR(__xludf.DUMMYFUNCTION("""COMPUTED_VALUE"""),"23ft Skiff (Bertha) FL7972LJ DEP07613")</f>
        <v>23ft Skiff (Bertha) FL7972LJ DEP07613</v>
      </c>
      <c r="M855" t="str">
        <f ca="1">IFERROR(__xludf.DUMMYFUNCTION("""COMPUTED_VALUE"""),"Ford F250 2017 (Moby Dix) - DEP0021578")</f>
        <v>Ford F250 2017 (Moby Dix) - DEP0021578</v>
      </c>
      <c r="N855" t="str">
        <f ca="1">IFERROR(__xludf.DUMMYFUNCTION("""COMPUTED_VALUE"""),"Silas Tanner, (904) 483-8423, Remo Mondazzi")</f>
        <v>Silas Tanner, (904) 483-8423, Remo Mondazzi</v>
      </c>
      <c r="O855" t="str">
        <f ca="1">IFERROR(__xludf.DUMMYFUNCTION("""COMPUTED_VALUE"""),"Jim Tanner")</f>
        <v>Jim Tanner</v>
      </c>
      <c r="P855" t="str">
        <f ca="1">IFERROR(__xludf.DUMMYFUNCTION("""COMPUTED_VALUE"""),"Silas Tanner")</f>
        <v>Silas Tanner</v>
      </c>
      <c r="Q855" t="str">
        <f ca="1">IFERROR(__xludf.DUMMYFUNCTION("""COMPUTED_VALUE"""),"All items in working order")</f>
        <v>All items in working order</v>
      </c>
      <c r="AE855" s="11"/>
      <c r="AF855" t="str">
        <v>Shannon.Dunnigan@floridadep.gov</v>
      </c>
      <c r="AG855" s="17" t="s">
        <v>639</v>
      </c>
      <c r="AH855" s="12">
        <v>1113</v>
      </c>
      <c r="AI855" s="12" t="s">
        <v>2517</v>
      </c>
      <c r="AJ855" s="19" t="s">
        <v>2518</v>
      </c>
      <c r="AK855" s="20" t="str">
        <f>HYPERLINK("https://docs.google.com/document/d/1L9AiVxaArm2hGAwYSGnY5_NnzDzsidWhCWFAakiRSSc/edit?usp=drivesdk","Silas Tanner - 5/4/2022 7:30 AM")</f>
        <v>Silas Tanner - 5/4/2022 7:30 AM</v>
      </c>
      <c r="AL855" s="12" t="s">
        <v>2519</v>
      </c>
    </row>
    <row r="856" spans="1:38" ht="12.75">
      <c r="A856" s="10">
        <f ca="1">IFERROR(__xludf.DUMMYFUNCTION("""COMPUTED_VALUE"""),44686.3597915856)</f>
        <v>44686.359791585601</v>
      </c>
      <c r="B856" s="11" t="str">
        <f ca="1">IFERROR(__xludf.DUMMYFUNCTION("""COMPUTED_VALUE"""),"Silas Tanner")</f>
        <v>Silas Tanner</v>
      </c>
      <c r="C856" t="str">
        <f ca="1">IFERROR(__xludf.DUMMYFUNCTION("""COMPUTED_VALUE"""),"silas.tanner@floridadep.gov")</f>
        <v>silas.tanner@floridadep.gov</v>
      </c>
      <c r="D856" t="str">
        <f ca="1">IFERROR(__xludf.DUMMYFUNCTION("""COMPUTED_VALUE"""),"Shannon Dunnigan")</f>
        <v>Shannon Dunnigan</v>
      </c>
      <c r="E856" t="str">
        <f ca="1">IFERROR(__xludf.DUMMYFUNCTION("""COMPUTED_VALUE"""),"Vilano Landing")</f>
        <v>Vilano Landing</v>
      </c>
      <c r="F856" s="13">
        <f ca="1">IFERROR(__xludf.DUMMYFUNCTION("""COMPUTED_VALUE"""),0.36458333333212)</f>
        <v>0.36458333333212001</v>
      </c>
      <c r="G856" s="14">
        <f ca="1">IFERROR(__xludf.DUMMYFUNCTION("""COMPUTED_VALUE"""),44686)</f>
        <v>44686</v>
      </c>
      <c r="H856" t="str">
        <f ca="1">IFERROR(__xludf.DUMMYFUNCTION("""COMPUTED_VALUE"""),"ICW north to Guana")</f>
        <v>ICW north to Guana</v>
      </c>
      <c r="I856" s="15">
        <f ca="1">IFERROR(__xludf.DUMMYFUNCTION("""COMPUTED_VALUE"""),0.53125)</f>
        <v>0.53125</v>
      </c>
      <c r="J856" s="16">
        <f ca="1">IFERROR(__xludf.DUMMYFUNCTION("""COMPUTED_VALUE"""),44686.5520833333)</f>
        <v>44686.552083333299</v>
      </c>
      <c r="K856" t="str">
        <f ca="1">IFERROR(__xludf.DUMMYFUNCTION("""COMPUTED_VALUE"""),"23ft Skiff (Bertha) FL7972LJ DEP07613")</f>
        <v>23ft Skiff (Bertha) FL7972LJ DEP07613</v>
      </c>
      <c r="M856" t="str">
        <f ca="1">IFERROR(__xludf.DUMMYFUNCTION("""COMPUTED_VALUE"""),"Ford F250 2017 (Moby Dix) - DEP0021578")</f>
        <v>Ford F250 2017 (Moby Dix) - DEP0021578</v>
      </c>
      <c r="N856" t="str">
        <f ca="1">IFERROR(__xludf.DUMMYFUNCTION("""COMPUTED_VALUE"""),"Nikki Dix, (352) 219-4079, Silas Tanner, (904) 483-8423")</f>
        <v>Nikki Dix, (352) 219-4079, Silas Tanner, (904) 483-8423</v>
      </c>
      <c r="O856" t="str">
        <f ca="1">IFERROR(__xludf.DUMMYFUNCTION("""COMPUTED_VALUE"""),"Josie Spearman, (386) 627-0816, Lia Sansom, (520) 940-4888, , Congressman Rutherford, Katie  Heffernan and Chris Miller")</f>
        <v>Josie Spearman, (386) 627-0816, Lia Sansom, (520) 940-4888, , Congressman Rutherford, Katie  Heffernan and Chris Miller</v>
      </c>
      <c r="P856" t="str">
        <f ca="1">IFERROR(__xludf.DUMMYFUNCTION("""COMPUTED_VALUE"""),"Silas Tanner")</f>
        <v>Silas Tanner</v>
      </c>
      <c r="Q856" t="str">
        <f ca="1">IFERROR(__xludf.DUMMYFUNCTION("""COMPUTED_VALUE"""),"All items in working order")</f>
        <v>All items in working order</v>
      </c>
      <c r="AE856" s="11"/>
      <c r="AF856" t="str">
        <v>Shannon.Dunnigan@floridadep.gov</v>
      </c>
      <c r="AG856" s="17" t="s">
        <v>639</v>
      </c>
      <c r="AH856" s="12">
        <v>1105</v>
      </c>
      <c r="AI856" s="12" t="s">
        <v>2520</v>
      </c>
      <c r="AJ856" s="19" t="s">
        <v>2521</v>
      </c>
      <c r="AK856" s="20" t="str">
        <f>HYPERLINK("https://docs.google.com/document/d/1aRZ64q7pyxiSLdPWt2C9Dqogr6t4zWUgnSYHFC133r0/edit?usp=drivesdk","Silas Tanner - 5/5/2022 8:45 AM")</f>
        <v>Silas Tanner - 5/5/2022 8:45 AM</v>
      </c>
      <c r="AL856" s="12" t="s">
        <v>2522</v>
      </c>
    </row>
    <row r="857" spans="1:38" ht="12.75">
      <c r="A857" s="10">
        <f ca="1">IFERROR(__xludf.DUMMYFUNCTION("""COMPUTED_VALUE"""),44689.9138774074)</f>
        <v>44689.913877407402</v>
      </c>
      <c r="B857" s="11" t="str">
        <f ca="1">IFERROR(__xludf.DUMMYFUNCTION("""COMPUTED_VALUE"""),"Jimmy")</f>
        <v>Jimmy</v>
      </c>
      <c r="C857" t="str">
        <f ca="1">IFERROR(__xludf.DUMMYFUNCTION("""COMPUTED_VALUE"""),"james.tomazinis@floridadep.gov")</f>
        <v>james.tomazinis@floridadep.gov</v>
      </c>
      <c r="D857" t="str">
        <f ca="1">IFERROR(__xludf.DUMMYFUNCTION("""COMPUTED_VALUE"""),"Scott Eastman")</f>
        <v>Scott Eastman</v>
      </c>
      <c r="E857" t="str">
        <f ca="1">IFERROR(__xludf.DUMMYFUNCTION("""COMPUTED_VALUE"""),"Holly Point")</f>
        <v>Holly Point</v>
      </c>
      <c r="F857" s="13">
        <f ca="1">IFERROR(__xludf.DUMMYFUNCTION("""COMPUTED_VALUE"""),0.4375)</f>
        <v>0.4375</v>
      </c>
      <c r="G857" s="14">
        <f ca="1">IFERROR(__xludf.DUMMYFUNCTION("""COMPUTED_VALUE"""),44690)</f>
        <v>44690</v>
      </c>
      <c r="H857" t="str">
        <f ca="1">IFERROR(__xludf.DUMMYFUNCTION("""COMPUTED_VALUE"""),"Edwards Creek and Nassau River ")</f>
        <v xml:space="preserve">Edwards Creek and Nassau River </v>
      </c>
      <c r="I857" s="15">
        <f ca="1">IFERROR(__xludf.DUMMYFUNCTION("""COMPUTED_VALUE"""),0.64583333333212)</f>
        <v>0.64583333333212001</v>
      </c>
      <c r="J857" s="16"/>
      <c r="K857" t="str">
        <f ca="1">IFERROR(__xludf.DUMMYFUNCTION("""COMPUTED_VALUE"""),"F 20ft Sea Ark (Easy 200) FL8534PY DEP21451")</f>
        <v>F 20ft Sea Ark (Easy 200) FL8534PY DEP21451</v>
      </c>
      <c r="M857" t="str">
        <f ca="1">IFERROR(__xludf.DUMMYFUNCTION("""COMPUTED_VALUE"""),"Ford F150 2007 (F-Bomb) - DEP07055")</f>
        <v>Ford F150 2007 (F-Bomb) - DEP07055</v>
      </c>
      <c r="N857" t="str">
        <f ca="1">IFERROR(__xludf.DUMMYFUNCTION("""COMPUTED_VALUE"""),"Jimmy Tomazinis, (904) 547-0094")</f>
        <v>Jimmy Tomazinis, (904) 547-0094</v>
      </c>
      <c r="O857" t="str">
        <f ca="1">IFERROR(__xludf.DUMMYFUNCTION("""COMPUTED_VALUE"""),"Chris Kurtz")</f>
        <v>Chris Kurtz</v>
      </c>
      <c r="P857" t="str">
        <f ca="1">IFERROR(__xludf.DUMMYFUNCTION("""COMPUTED_VALUE"""),"Jimmy")</f>
        <v>Jimmy</v>
      </c>
      <c r="Q857" t="str">
        <f ca="1">IFERROR(__xludf.DUMMYFUNCTION("""COMPUTED_VALUE"""),"All items in working order")</f>
        <v>All items in working order</v>
      </c>
      <c r="AE857" s="11"/>
      <c r="AF857" t="str">
        <v>Scott.Eastman@floridadep.gov</v>
      </c>
      <c r="AG857" s="17" t="s">
        <v>17</v>
      </c>
      <c r="AH857" s="12">
        <v>1430</v>
      </c>
      <c r="AI857" s="12" t="s">
        <v>2523</v>
      </c>
      <c r="AJ857" s="19" t="s">
        <v>2524</v>
      </c>
      <c r="AK857" s="20" t="str">
        <f>HYPERLINK("https://docs.google.com/document/d/1H1qj7yEV_X8izV1tri-Y_qqlM1bbdSn-75KrpZMC96M/edit?usp=drivesdk","Jimmy - 5/9/2022 10:30 AM")</f>
        <v>Jimmy - 5/9/2022 10:30 AM</v>
      </c>
      <c r="AL857" s="12" t="s">
        <v>2525</v>
      </c>
    </row>
    <row r="858" spans="1:38" ht="12.75">
      <c r="A858" s="10">
        <f ca="1">IFERROR(__xludf.DUMMYFUNCTION("""COMPUTED_VALUE"""),44693.3002528125)</f>
        <v>44693.3002528125</v>
      </c>
      <c r="B858" s="11" t="str">
        <f ca="1">IFERROR(__xludf.DUMMYFUNCTION("""COMPUTED_VALUE"""),"Olivia Roorbach")</f>
        <v>Olivia Roorbach</v>
      </c>
      <c r="C858" t="str">
        <f ca="1">IFERROR(__xludf.DUMMYFUNCTION("""COMPUTED_VALUE"""),"olivia.roorbach@floridadep.gov")</f>
        <v>olivia.roorbach@floridadep.gov</v>
      </c>
      <c r="D858" t="str">
        <f ca="1">IFERROR(__xludf.DUMMYFUNCTION("""COMPUTED_VALUE"""),"Shannon Dunnigan")</f>
        <v>Shannon Dunnigan</v>
      </c>
      <c r="E858" t="str">
        <f ca="1">IFERROR(__xludf.DUMMYFUNCTION("""COMPUTED_VALUE"""),"Guana river")</f>
        <v>Guana river</v>
      </c>
      <c r="F858" s="13">
        <f ca="1">IFERROR(__xludf.DUMMYFUNCTION("""COMPUTED_VALUE"""),0.291666666667879)</f>
        <v>0.29166666666787899</v>
      </c>
      <c r="G858" s="14">
        <f ca="1">IFERROR(__xludf.DUMMYFUNCTION("""COMPUTED_VALUE"""),44693)</f>
        <v>44693</v>
      </c>
      <c r="H858" t="str">
        <f ca="1">IFERROR(__xludf.DUMMYFUNCTION("""COMPUTED_VALUE"""),"Guana ")</f>
        <v xml:space="preserve">Guana </v>
      </c>
      <c r="I858" s="15">
        <f ca="1">IFERROR(__xludf.DUMMYFUNCTION("""COMPUTED_VALUE"""),0)</f>
        <v>0</v>
      </c>
      <c r="J858" s="16">
        <f ca="1">IFERROR(__xludf.DUMMYFUNCTION("""COMPUTED_VALUE"""),44693)</f>
        <v>44693</v>
      </c>
      <c r="K858" t="str">
        <f ca="1">IFERROR(__xludf.DUMMYFUNCTION("""COMPUTED_VALUE"""),"Jon Boat 1 FL5992RR DEP154045")</f>
        <v>Jon Boat 1 FL5992RR DEP154045</v>
      </c>
      <c r="M858" t="str">
        <f ca="1">IFERROR(__xludf.DUMMYFUNCTION("""COMPUTED_VALUE"""),"Ford F150 2015 (White) - DEP21448")</f>
        <v>Ford F150 2015 (White) - DEP21448</v>
      </c>
      <c r="N858" t="str">
        <f ca="1">IFERROR(__xludf.DUMMYFUNCTION("""COMPUTED_VALUE"""),"Olivia Roorbach, (404) 694-2653")</f>
        <v>Olivia Roorbach, (404) 694-2653</v>
      </c>
      <c r="O858" t="str">
        <f ca="1">IFERROR(__xludf.DUMMYFUNCTION("""COMPUTED_VALUE"""),"Jenna Reimer ")</f>
        <v xml:space="preserve">Jenna Reimer </v>
      </c>
      <c r="P858" t="str">
        <f ca="1">IFERROR(__xludf.DUMMYFUNCTION("""COMPUTED_VALUE"""),"Olivia Roorbach")</f>
        <v>Olivia Roorbach</v>
      </c>
      <c r="Q858" t="str">
        <f ca="1">IFERROR(__xludf.DUMMYFUNCTION("""COMPUTED_VALUE"""),"All items in working order")</f>
        <v>All items in working order</v>
      </c>
      <c r="AE858" s="11"/>
      <c r="AF858" t="str">
        <v>Shannon.Dunnigan@floridadep.gov</v>
      </c>
      <c r="AG858" s="17" t="s">
        <v>2526</v>
      </c>
      <c r="AH858" s="12">
        <v>1200</v>
      </c>
      <c r="AI858" s="12" t="s">
        <v>2527</v>
      </c>
      <c r="AJ858" s="19" t="s">
        <v>2528</v>
      </c>
      <c r="AK858" s="20" t="str">
        <f>HYPERLINK("https://docs.google.com/document/d/1bPPIrLLzD-mBT2fbfSWmrkC3JqcjJWfEj6V_Mys-fMw/edit?usp=drivesdk","Olivia Roorbach - 5/12/2022 7:00 AM")</f>
        <v>Olivia Roorbach - 5/12/2022 7:00 AM</v>
      </c>
      <c r="AL858" s="12" t="s">
        <v>2529</v>
      </c>
    </row>
    <row r="859" spans="1:38" ht="12.75">
      <c r="A859" s="10">
        <f ca="1">IFERROR(__xludf.DUMMYFUNCTION("""COMPUTED_VALUE"""),44698.2945767939)</f>
        <v>44698.294576793902</v>
      </c>
      <c r="B859" s="11" t="str">
        <f ca="1">IFERROR(__xludf.DUMMYFUNCTION("""COMPUTED_VALUE"""),"Jimmy")</f>
        <v>Jimmy</v>
      </c>
      <c r="C859" t="str">
        <f ca="1">IFERROR(__xludf.DUMMYFUNCTION("""COMPUTED_VALUE"""),"james.tomazinis@floridadep.gov")</f>
        <v>james.tomazinis@floridadep.gov</v>
      </c>
      <c r="D859" t="str">
        <f ca="1">IFERROR(__xludf.DUMMYFUNCTION("""COMPUTED_VALUE"""),"Scott Eastman")</f>
        <v>Scott Eastman</v>
      </c>
      <c r="E859" t="str">
        <f ca="1">IFERROR(__xludf.DUMMYFUNCTION("""COMPUTED_VALUE"""),"Dee Dee Bartels and Holly Point")</f>
        <v>Dee Dee Bartels and Holly Point</v>
      </c>
      <c r="F859" s="13">
        <f ca="1">IFERROR(__xludf.DUMMYFUNCTION("""COMPUTED_VALUE"""),0.416666666667879)</f>
        <v>0.41666666666787899</v>
      </c>
      <c r="G859" s="14">
        <f ca="1">IFERROR(__xludf.DUMMYFUNCTION("""COMPUTED_VALUE"""),44698)</f>
        <v>44698</v>
      </c>
      <c r="H859" t="str">
        <f ca="1">IFERROR(__xludf.DUMMYFUNCTION("""COMPUTED_VALUE"""),"NEAP WQ sites")</f>
        <v>NEAP WQ sites</v>
      </c>
      <c r="I859" s="15">
        <f ca="1">IFERROR(__xludf.DUMMYFUNCTION("""COMPUTED_VALUE"""),0.625)</f>
        <v>0.625</v>
      </c>
      <c r="J859" s="16"/>
      <c r="K859" t="str">
        <f ca="1">IFERROR(__xludf.DUMMYFUNCTION("""COMPUTED_VALUE"""),"F 20ft Sea Ark (Easy 200) FL8534PY DEP21451")</f>
        <v>F 20ft Sea Ark (Easy 200) FL8534PY DEP21451</v>
      </c>
      <c r="M859" t="str">
        <f ca="1">IFERROR(__xludf.DUMMYFUNCTION("""COMPUTED_VALUE"""),"Ford F150 2007 (F-Bomb) - DEP07055")</f>
        <v>Ford F150 2007 (F-Bomb) - DEP07055</v>
      </c>
      <c r="N859" t="str">
        <f ca="1">IFERROR(__xludf.DUMMYFUNCTION("""COMPUTED_VALUE"""),"Jimmy Tomazinis, (904) 547-0094")</f>
        <v>Jimmy Tomazinis, (904) 547-0094</v>
      </c>
      <c r="O859" t="str">
        <f ca="1">IFERROR(__xludf.DUMMYFUNCTION("""COMPUTED_VALUE"""),"Chris Kurtz")</f>
        <v>Chris Kurtz</v>
      </c>
      <c r="P859" t="str">
        <f ca="1">IFERROR(__xludf.DUMMYFUNCTION("""COMPUTED_VALUE"""),"Jimmy")</f>
        <v>Jimmy</v>
      </c>
      <c r="Q859" t="str">
        <f ca="1">IFERROR(__xludf.DUMMYFUNCTION("""COMPUTED_VALUE"""),"All items in working order")</f>
        <v>All items in working order</v>
      </c>
      <c r="AE859" s="11"/>
      <c r="AF859" t="str">
        <v>Scott.Eastman@floridadep.gov</v>
      </c>
      <c r="AG859" s="17" t="s">
        <v>17</v>
      </c>
      <c r="AH859" s="12">
        <v>1300</v>
      </c>
      <c r="AI859" s="12" t="s">
        <v>2530</v>
      </c>
      <c r="AJ859" s="19" t="s">
        <v>2531</v>
      </c>
      <c r="AK859" s="20" t="str">
        <f>HYPERLINK("https://docs.google.com/document/d/1Us5SM74ZfCTp_b1_lPZ911P1ub1UDdsnb8zLUk6601w/edit?usp=drivesdk","Jimmy - 5/17/2022 10:00 AM")</f>
        <v>Jimmy - 5/17/2022 10:00 AM</v>
      </c>
      <c r="AL859" s="12" t="s">
        <v>2532</v>
      </c>
    </row>
    <row r="860" spans="1:38" ht="12.75">
      <c r="A860" s="10">
        <f ca="1">IFERROR(__xludf.DUMMYFUNCTION("""COMPUTED_VALUE"""),44698.4908274537)</f>
        <v>44698.490827453701</v>
      </c>
      <c r="B860" s="11" t="str">
        <f ca="1">IFERROR(__xludf.DUMMYFUNCTION("""COMPUTED_VALUE"""),"Silas Tanner")</f>
        <v>Silas Tanner</v>
      </c>
      <c r="C860" t="str">
        <f ca="1">IFERROR(__xludf.DUMMYFUNCTION("""COMPUTED_VALUE"""),"silas.tanner@floridadep.gov")</f>
        <v>silas.tanner@floridadep.gov</v>
      </c>
      <c r="D860" t="str">
        <f ca="1">IFERROR(__xludf.DUMMYFUNCTION("""COMPUTED_VALUE"""),"Shannon Dunnigan")</f>
        <v>Shannon Dunnigan</v>
      </c>
      <c r="E860" t="str">
        <f ca="1">IFERROR(__xludf.DUMMYFUNCTION("""COMPUTED_VALUE"""),"Vilano Landing")</f>
        <v>Vilano Landing</v>
      </c>
      <c r="F860" s="13">
        <f ca="1">IFERROR(__xludf.DUMMYFUNCTION("""COMPUTED_VALUE"""),0.4375)</f>
        <v>0.4375</v>
      </c>
      <c r="G860" s="14">
        <f ca="1">IFERROR(__xludf.DUMMYFUNCTION("""COMPUTED_VALUE"""),44699)</f>
        <v>44699</v>
      </c>
      <c r="H860" t="str">
        <f ca="1">IFERROR(__xludf.DUMMYFUNCTION("""COMPUTED_VALUE"""),"ICW SWMP Sites")</f>
        <v>ICW SWMP Sites</v>
      </c>
      <c r="I860" s="15">
        <f ca="1">IFERROR(__xludf.DUMMYFUNCTION("""COMPUTED_VALUE"""),0.625)</f>
        <v>0.625</v>
      </c>
      <c r="J860" s="16">
        <f ca="1">IFERROR(__xludf.DUMMYFUNCTION("""COMPUTED_VALUE"""),44699.6458333333)</f>
        <v>44699.645833333299</v>
      </c>
      <c r="K860" t="str">
        <f ca="1">IFERROR(__xludf.DUMMYFUNCTION("""COMPUTED_VALUE"""),"20ft Sea Ark FL5351SJ UNF 2015")</f>
        <v>20ft Sea Ark FL5351SJ UNF 2015</v>
      </c>
      <c r="M860" t="str">
        <f ca="1">IFERROR(__xludf.DUMMYFUNCTION("""COMPUTED_VALUE"""),"Ford F250 2017 (Moby Dix) - DEP0021578")</f>
        <v>Ford F250 2017 (Moby Dix) - DEP0021578</v>
      </c>
      <c r="N860" t="str">
        <f ca="1">IFERROR(__xludf.DUMMYFUNCTION("""COMPUTED_VALUE"""),"Silas Tanner, (904) 483-8423, Remo Mondazzi")</f>
        <v>Silas Tanner, (904) 483-8423, Remo Mondazzi</v>
      </c>
      <c r="P860" t="str">
        <f ca="1">IFERROR(__xludf.DUMMYFUNCTION("""COMPUTED_VALUE"""),"Silas Tanner")</f>
        <v>Silas Tanner</v>
      </c>
      <c r="Q860" t="str">
        <f ca="1">IFERROR(__xludf.DUMMYFUNCTION("""COMPUTED_VALUE"""),"All items in working order")</f>
        <v>All items in working order</v>
      </c>
      <c r="AE860" s="11"/>
      <c r="AF860" t="str">
        <v>Shannon.Dunnigan@floridadep.gov</v>
      </c>
      <c r="AG860" s="17" t="s">
        <v>639</v>
      </c>
      <c r="AH860" s="12">
        <v>1453</v>
      </c>
      <c r="AI860" s="12" t="s">
        <v>2533</v>
      </c>
      <c r="AJ860" s="19" t="s">
        <v>2534</v>
      </c>
      <c r="AK860" s="20" t="str">
        <f>HYPERLINK("https://docs.google.com/document/d/11-sCIQfVWmzzKVfsXOQ4OU8P64JW2uffCwBI4bz5UQA/edit?usp=drivesdk","Silas Tanner - 5/18/2022 10:30 AM")</f>
        <v>Silas Tanner - 5/18/2022 10:30 AM</v>
      </c>
      <c r="AL860" s="12" t="s">
        <v>2535</v>
      </c>
    </row>
    <row r="861" spans="1:38" ht="12.75">
      <c r="A861" s="10">
        <f ca="1">IFERROR(__xludf.DUMMYFUNCTION("""COMPUTED_VALUE"""),44701.3881849074)</f>
        <v>44701.388184907402</v>
      </c>
      <c r="B861" s="11" t="str">
        <f ca="1">IFERROR(__xludf.DUMMYFUNCTION("""COMPUTED_VALUE"""),"Allix North")</f>
        <v>Allix North</v>
      </c>
      <c r="C861" t="str">
        <f ca="1">IFERROR(__xludf.DUMMYFUNCTION("""COMPUTED_VALUE"""),"allix.north@dep.state.fl.us")</f>
        <v>allix.north@dep.state.fl.us</v>
      </c>
      <c r="D861" t="str">
        <f ca="1">IFERROR(__xludf.DUMMYFUNCTION("""COMPUTED_VALUE"""),"Scott Eastman")</f>
        <v>Scott Eastman</v>
      </c>
      <c r="E861" t="str">
        <f ca="1">IFERROR(__xludf.DUMMYFUNCTION("""COMPUTED_VALUE"""),"Vilano")</f>
        <v>Vilano</v>
      </c>
      <c r="F861" s="13">
        <f ca="1">IFERROR(__xludf.DUMMYFUNCTION("""COMPUTED_VALUE"""),0.4375)</f>
        <v>0.4375</v>
      </c>
      <c r="G861" s="14">
        <f ca="1">IFERROR(__xludf.DUMMYFUNCTION("""COMPUTED_VALUE"""),44701)</f>
        <v>44701</v>
      </c>
      <c r="H861" t="str">
        <f ca="1">IFERROR(__xludf.DUMMYFUNCTION("""COMPUTED_VALUE"""),"North of Vilano Bridge")</f>
        <v>North of Vilano Bridge</v>
      </c>
      <c r="I861" s="15">
        <f ca="1">IFERROR(__xludf.DUMMYFUNCTION("""COMPUTED_VALUE"""),0.58333333333212)</f>
        <v>0.58333333333212001</v>
      </c>
      <c r="J861" s="16">
        <f ca="1">IFERROR(__xludf.DUMMYFUNCTION("""COMPUTED_VALUE"""),44701.6041666666)</f>
        <v>44701.604166666599</v>
      </c>
      <c r="K861" t="str">
        <f ca="1">IFERROR(__xludf.DUMMYFUNCTION("""COMPUTED_VALUE"""),"23ft Skiff (Bertha) FL7972LJ DEP07613")</f>
        <v>23ft Skiff (Bertha) FL7972LJ DEP07613</v>
      </c>
      <c r="M861" t="str">
        <f ca="1">IFERROR(__xludf.DUMMYFUNCTION("""COMPUTED_VALUE"""),"Ford F150 2018 (ML AP) - DEP21637")</f>
        <v>Ford F150 2018 (ML AP) - DEP21637</v>
      </c>
      <c r="N861" t="str">
        <f ca="1">IFERROR(__xludf.DUMMYFUNCTION("""COMPUTED_VALUE"""),"Jimmy Tomazinis, (904) 547-0094")</f>
        <v>Jimmy Tomazinis, (904) 547-0094</v>
      </c>
      <c r="O861" t="str">
        <f ca="1">IFERROR(__xludf.DUMMYFUNCTION("""COMPUTED_VALUE"""),"Savanna Mathis, Allix North")</f>
        <v>Savanna Mathis, Allix North</v>
      </c>
      <c r="P861" t="str">
        <f ca="1">IFERROR(__xludf.DUMMYFUNCTION("""COMPUTED_VALUE"""),"Jimmy Tomazinis")</f>
        <v>Jimmy Tomazinis</v>
      </c>
      <c r="Q861" t="str">
        <f ca="1">IFERROR(__xludf.DUMMYFUNCTION("""COMPUTED_VALUE"""),"All items in working order")</f>
        <v>All items in working order</v>
      </c>
      <c r="AE861" s="11"/>
      <c r="AF861" t="str">
        <v>Scott.Eastman@floridadep.gov</v>
      </c>
      <c r="AG861" s="17" t="s">
        <v>21</v>
      </c>
      <c r="AH861" s="12">
        <v>1510</v>
      </c>
      <c r="AI861" s="12" t="s">
        <v>2536</v>
      </c>
      <c r="AJ861" s="19" t="s">
        <v>2537</v>
      </c>
      <c r="AK861" s="20" t="str">
        <f>HYPERLINK("https://docs.google.com/document/d/1DpNdqjUoSc8jb_1iT8Yw2jSD44j_n86A9FuVlbtwlpg/edit?usp=drivesdk","Allix North - 5/20/2022 10:30 AM")</f>
        <v>Allix North - 5/20/2022 10:30 AM</v>
      </c>
      <c r="AL861" s="12" t="s">
        <v>2538</v>
      </c>
    </row>
    <row r="862" spans="1:38" ht="12.75">
      <c r="A862" s="10">
        <f ca="1">IFERROR(__xludf.DUMMYFUNCTION("""COMPUTED_VALUE"""),44701.6198161226)</f>
        <v>44701.619816122598</v>
      </c>
      <c r="B862" s="11" t="str">
        <f ca="1">IFERROR(__xludf.DUMMYFUNCTION("""COMPUTED_VALUE"""),"Rauney Mitchell")</f>
        <v>Rauney Mitchell</v>
      </c>
      <c r="C862" t="str">
        <f ca="1">IFERROR(__xludf.DUMMYFUNCTION("""COMPUTED_VALUE"""),"RJ.Mitchell@foridadep.gov")</f>
        <v>RJ.Mitchell@foridadep.gov</v>
      </c>
      <c r="D862" t="str">
        <f ca="1">IFERROR(__xludf.DUMMYFUNCTION("""COMPUTED_VALUE"""),"Candace Killian")</f>
        <v>Candace Killian</v>
      </c>
      <c r="E862" t="str">
        <f ca="1">IFERROR(__xludf.DUMMYFUNCTION("""COMPUTED_VALUE"""),"Faver-Dykes")</f>
        <v>Faver-Dykes</v>
      </c>
      <c r="F862" s="13">
        <f ca="1">IFERROR(__xludf.DUMMYFUNCTION("""COMPUTED_VALUE"""),0.625)</f>
        <v>0.625</v>
      </c>
      <c r="G862" s="14">
        <f ca="1">IFERROR(__xludf.DUMMYFUNCTION("""COMPUTED_VALUE"""),44701)</f>
        <v>44701</v>
      </c>
      <c r="H862" t="str">
        <f ca="1">IFERROR(__xludf.DUMMYFUNCTION("""COMPUTED_VALUE"""),"Pellicer Creek")</f>
        <v>Pellicer Creek</v>
      </c>
      <c r="I862" s="15">
        <f ca="1">IFERROR(__xludf.DUMMYFUNCTION("""COMPUTED_VALUE"""),0.70833333333212)</f>
        <v>0.70833333333212001</v>
      </c>
      <c r="J862" s="16">
        <f ca="1">IFERROR(__xludf.DUMMYFUNCTION("""COMPUTED_VALUE"""),44701.75)</f>
        <v>44701.75</v>
      </c>
      <c r="K862" t="str">
        <f ca="1">IFERROR(__xludf.DUMMYFUNCTION("""COMPUTED_VALUE"""),"Jon Boat 1 FL5992RR DEP154045")</f>
        <v>Jon Boat 1 FL5992RR DEP154045</v>
      </c>
      <c r="M862" t="str">
        <f ca="1">IFERROR(__xludf.DUMMYFUNCTION("""COMPUTED_VALUE"""),"Ford F150 2015 (White) - DEP21448")</f>
        <v>Ford F150 2015 (White) - DEP21448</v>
      </c>
      <c r="N862" t="str">
        <f ca="1">IFERROR(__xludf.DUMMYFUNCTION("""COMPUTED_VALUE"""),"Pam Marcum, (480) 332-5414")</f>
        <v>Pam Marcum, (480) 332-5414</v>
      </c>
      <c r="O862" t="str">
        <f ca="1">IFERROR(__xludf.DUMMYFUNCTION("""COMPUTED_VALUE"""),"Rauney Mitchell")</f>
        <v>Rauney Mitchell</v>
      </c>
      <c r="P862" t="str">
        <f ca="1">IFERROR(__xludf.DUMMYFUNCTION("""COMPUTED_VALUE"""),"Rauney")</f>
        <v>Rauney</v>
      </c>
      <c r="Q862" t="str">
        <f ca="1">IFERROR(__xludf.DUMMYFUNCTION("""COMPUTED_VALUE"""),"All items in working order")</f>
        <v>All items in working order</v>
      </c>
      <c r="AE862" s="11"/>
      <c r="AF862" t="str">
        <v>Candace.Killian@floridadep.gov</v>
      </c>
      <c r="AG862" s="17" t="s">
        <v>2294</v>
      </c>
      <c r="AH862" s="12">
        <v>1630</v>
      </c>
      <c r="AI862" s="12" t="s">
        <v>2539</v>
      </c>
      <c r="AJ862" s="19" t="s">
        <v>2540</v>
      </c>
      <c r="AK862" s="20" t="str">
        <f>HYPERLINK("https://docs.google.com/document/d/1eWzBVhlopeD17Xj9u7hMaTwla19Wuj3DI8G9xZRN9kI/edit?usp=drivesdk","Rauney Mitchell - 5/20/2022 3:00 PM")</f>
        <v>Rauney Mitchell - 5/20/2022 3:00 PM</v>
      </c>
      <c r="AL862" s="12" t="s">
        <v>2541</v>
      </c>
    </row>
    <row r="863" spans="1:38" ht="12.75">
      <c r="A863" s="10">
        <f ca="1">IFERROR(__xludf.DUMMYFUNCTION("""COMPUTED_VALUE"""),44713.6958109375)</f>
        <v>44713.695810937497</v>
      </c>
      <c r="B863" s="11" t="str">
        <f ca="1">IFERROR(__xludf.DUMMYFUNCTION("""COMPUTED_VALUE"""),"Silas Tanner")</f>
        <v>Silas Tanner</v>
      </c>
      <c r="C863" t="str">
        <f ca="1">IFERROR(__xludf.DUMMYFUNCTION("""COMPUTED_VALUE"""),"silas.tanner@floridadep.gov")</f>
        <v>silas.tanner@floridadep.gov</v>
      </c>
      <c r="D863" t="str">
        <f ca="1">IFERROR(__xludf.DUMMYFUNCTION("""COMPUTED_VALUE"""),"Nikki Dix")</f>
        <v>Nikki Dix</v>
      </c>
      <c r="E863" t="str">
        <f ca="1">IFERROR(__xludf.DUMMYFUNCTION("""COMPUTED_VALUE"""),"Vilano Landing")</f>
        <v>Vilano Landing</v>
      </c>
      <c r="F863" s="13">
        <f ca="1">IFERROR(__xludf.DUMMYFUNCTION("""COMPUTED_VALUE"""),0.39583333333212)</f>
        <v>0.39583333333212001</v>
      </c>
      <c r="G863" s="14">
        <f ca="1">IFERROR(__xludf.DUMMYFUNCTION("""COMPUTED_VALUE"""),44714)</f>
        <v>44714</v>
      </c>
      <c r="H863" t="str">
        <f ca="1">IFERROR(__xludf.DUMMYFUNCTION("""COMPUTED_VALUE"""),"ICW SWMP sites")</f>
        <v>ICW SWMP sites</v>
      </c>
      <c r="I863" s="15">
        <f ca="1">IFERROR(__xludf.DUMMYFUNCTION("""COMPUTED_VALUE"""),0.604166666667879)</f>
        <v>0.60416666666787899</v>
      </c>
      <c r="J863" s="16">
        <f ca="1">IFERROR(__xludf.DUMMYFUNCTION("""COMPUTED_VALUE"""),44714.625)</f>
        <v>44714.625</v>
      </c>
      <c r="K863" t="str">
        <f ca="1">IFERROR(__xludf.DUMMYFUNCTION("""COMPUTED_VALUE"""),"20ft Sea Ark FL5351SJ UNF 2015")</f>
        <v>20ft Sea Ark FL5351SJ UNF 2015</v>
      </c>
      <c r="M863" t="str">
        <f ca="1">IFERROR(__xludf.DUMMYFUNCTION("""COMPUTED_VALUE"""),"Ford F250 2017 (Moby Dix) - DEP0021578")</f>
        <v>Ford F250 2017 (Moby Dix) - DEP0021578</v>
      </c>
      <c r="N863" t="str">
        <f ca="1">IFERROR(__xludf.DUMMYFUNCTION("""COMPUTED_VALUE"""),"Shannon Dunnigan, (803) 727-5734, Silas Tanner, (904) 483-8423")</f>
        <v>Shannon Dunnigan, (803) 727-5734, Silas Tanner, (904) 483-8423</v>
      </c>
      <c r="O863" t="str">
        <f ca="1">IFERROR(__xludf.DUMMYFUNCTION("""COMPUTED_VALUE"""),"Emalee Swisshelm. Nate Schirmer")</f>
        <v>Emalee Swisshelm. Nate Schirmer</v>
      </c>
      <c r="P863" t="str">
        <f ca="1">IFERROR(__xludf.DUMMYFUNCTION("""COMPUTED_VALUE"""),"Silas Tanner")</f>
        <v>Silas Tanner</v>
      </c>
      <c r="Q863" t="str">
        <f ca="1">IFERROR(__xludf.DUMMYFUNCTION("""COMPUTED_VALUE"""),"All items in working order")</f>
        <v>All items in working order</v>
      </c>
      <c r="AE863" s="11"/>
      <c r="AF863" t="str">
        <v>Nikki.Dix@floridadep.gov</v>
      </c>
      <c r="AG863" s="17" t="s">
        <v>41</v>
      </c>
      <c r="AH863" s="12">
        <v>1455</v>
      </c>
      <c r="AI863" s="12" t="s">
        <v>2542</v>
      </c>
      <c r="AJ863" s="19" t="s">
        <v>2543</v>
      </c>
      <c r="AK863" s="20" t="str">
        <f>HYPERLINK("https://docs.google.com/document/d/1FeYI1anbxkJC12K-4m_HgzfV9Vv0CiJXq3zGZUH5EvQ/edit?usp=drivesdk","Silas Tanner - 6/2/2022 9:30 AM")</f>
        <v>Silas Tanner - 6/2/2022 9:30 AM</v>
      </c>
      <c r="AL863" s="12" t="s">
        <v>2544</v>
      </c>
    </row>
    <row r="864" spans="1:38" ht="12.75">
      <c r="A864" s="10">
        <f ca="1">IFERROR(__xludf.DUMMYFUNCTION("""COMPUTED_VALUE"""),44718.3570277546)</f>
        <v>44718.357027754602</v>
      </c>
      <c r="B864" s="11" t="str">
        <f ca="1">IFERROR(__xludf.DUMMYFUNCTION("""COMPUTED_VALUE"""),"Silas Tanner")</f>
        <v>Silas Tanner</v>
      </c>
      <c r="C864" t="str">
        <f ca="1">IFERROR(__xludf.DUMMYFUNCTION("""COMPUTED_VALUE"""),"silas.tanner@floridadep.gov")</f>
        <v>silas.tanner@floridadep.gov</v>
      </c>
      <c r="D864" t="str">
        <f ca="1">IFERROR(__xludf.DUMMYFUNCTION("""COMPUTED_VALUE"""),"Shannon Dunnigan")</f>
        <v>Shannon Dunnigan</v>
      </c>
      <c r="E864" t="str">
        <f ca="1">IFERROR(__xludf.DUMMYFUNCTION("""COMPUTED_VALUE"""),"Vilano Landing")</f>
        <v>Vilano Landing</v>
      </c>
      <c r="F864" s="13">
        <f ca="1">IFERROR(__xludf.DUMMYFUNCTION("""COMPUTED_VALUE"""),0.39583333333212)</f>
        <v>0.39583333333212001</v>
      </c>
      <c r="G864" s="14">
        <f ca="1">IFERROR(__xludf.DUMMYFUNCTION("""COMPUTED_VALUE"""),44718)</f>
        <v>44718</v>
      </c>
      <c r="H864" t="str">
        <f ca="1">IFERROR(__xludf.DUMMYFUNCTION("""COMPUTED_VALUE"""),"ICW SS and PI SWMP stations")</f>
        <v>ICW SS and PI SWMP stations</v>
      </c>
      <c r="I864" s="15">
        <f ca="1">IFERROR(__xludf.DUMMYFUNCTION("""COMPUTED_VALUE"""),0.541666666667879)</f>
        <v>0.54166666666787899</v>
      </c>
      <c r="J864" s="16">
        <f ca="1">IFERROR(__xludf.DUMMYFUNCTION("""COMPUTED_VALUE"""),44718.5625)</f>
        <v>44718.5625</v>
      </c>
      <c r="K864" t="str">
        <f ca="1">IFERROR(__xludf.DUMMYFUNCTION("""COMPUTED_VALUE"""),"20ft Sea Ark FL5351SJ UNF 2015")</f>
        <v>20ft Sea Ark FL5351SJ UNF 2015</v>
      </c>
      <c r="M864" t="str">
        <f ca="1">IFERROR(__xludf.DUMMYFUNCTION("""COMPUTED_VALUE"""),"Ford F250 2017 (Moby Dix) - DEP0021578")</f>
        <v>Ford F250 2017 (Moby Dix) - DEP0021578</v>
      </c>
      <c r="N864" t="str">
        <f ca="1">IFERROR(__xludf.DUMMYFUNCTION("""COMPUTED_VALUE"""),"Silas Tanner, (904) 483-8423")</f>
        <v>Silas Tanner, (904) 483-8423</v>
      </c>
      <c r="O864" t="str">
        <f ca="1">IFERROR(__xludf.DUMMYFUNCTION("""COMPUTED_VALUE"""),"Emalee Swisshelm")</f>
        <v>Emalee Swisshelm</v>
      </c>
      <c r="P864" t="str">
        <f ca="1">IFERROR(__xludf.DUMMYFUNCTION("""COMPUTED_VALUE"""),"Silas Tanner")</f>
        <v>Silas Tanner</v>
      </c>
      <c r="Q864" t="str">
        <f ca="1">IFERROR(__xludf.DUMMYFUNCTION("""COMPUTED_VALUE"""),"All items in working order")</f>
        <v>All items in working order</v>
      </c>
      <c r="AE864" s="11"/>
      <c r="AF864" t="str">
        <v>Shannon.Dunnigan@floridadep.gov</v>
      </c>
      <c r="AG864" s="17" t="s">
        <v>639</v>
      </c>
      <c r="AH864" s="12">
        <v>1130</v>
      </c>
      <c r="AI864" s="12" t="s">
        <v>2545</v>
      </c>
      <c r="AJ864" s="19" t="s">
        <v>2546</v>
      </c>
      <c r="AK864" s="20" t="str">
        <f>HYPERLINK("https://docs.google.com/document/d/1CuviBo2093SqQWhwYyA1EJRujNq-RMyvXj17Ab6JryI/edit?usp=drivesdk","Silas Tanner - 6/6/2022 9:30 AM")</f>
        <v>Silas Tanner - 6/6/2022 9:30 AM</v>
      </c>
      <c r="AL864" s="12" t="s">
        <v>2547</v>
      </c>
    </row>
    <row r="865" spans="1:38" ht="12.75">
      <c r="A865" s="10">
        <f ca="1">IFERROR(__xludf.DUMMYFUNCTION("""COMPUTED_VALUE"""),44719.303509074)</f>
        <v>44719.303509074001</v>
      </c>
      <c r="B865" s="11" t="str">
        <f ca="1">IFERROR(__xludf.DUMMYFUNCTION("""COMPUTED_VALUE"""),"Silas Tanner")</f>
        <v>Silas Tanner</v>
      </c>
      <c r="C865" t="str">
        <f ca="1">IFERROR(__xludf.DUMMYFUNCTION("""COMPUTED_VALUE"""),"silas.tanner@floridadep.gov")</f>
        <v>silas.tanner@floridadep.gov</v>
      </c>
      <c r="D865" t="str">
        <f ca="1">IFERROR(__xludf.DUMMYFUNCTION("""COMPUTED_VALUE"""),"Shannon Dunnigan")</f>
        <v>Shannon Dunnigan</v>
      </c>
      <c r="E865" t="str">
        <f ca="1">IFERROR(__xludf.DUMMYFUNCTION("""COMPUTED_VALUE"""),"Vilano Landing")</f>
        <v>Vilano Landing</v>
      </c>
      <c r="F865" s="13">
        <f ca="1">IFERROR(__xludf.DUMMYFUNCTION("""COMPUTED_VALUE"""),0.305555555554747)</f>
        <v>0.305555555554747</v>
      </c>
      <c r="G865" s="14">
        <f ca="1">IFERROR(__xludf.DUMMYFUNCTION("""COMPUTED_VALUE"""),44719)</f>
        <v>44719</v>
      </c>
      <c r="H865" t="str">
        <f ca="1">IFERROR(__xludf.DUMMYFUNCTION("""COMPUTED_VALUE"""),"ICW SWMP sites SS, PI")</f>
        <v>ICW SWMP sites SS, PI</v>
      </c>
      <c r="I865" s="15">
        <f ca="1">IFERROR(__xludf.DUMMYFUNCTION("""COMPUTED_VALUE"""),0.39583333333212)</f>
        <v>0.39583333333212001</v>
      </c>
      <c r="J865" s="16">
        <f ca="1">IFERROR(__xludf.DUMMYFUNCTION("""COMPUTED_VALUE"""),44719.4166666666)</f>
        <v>44719.416666666599</v>
      </c>
      <c r="K865" t="str">
        <f ca="1">IFERROR(__xludf.DUMMYFUNCTION("""COMPUTED_VALUE"""),"F 20ft Sea Ark (Easy 200) FL8534PY DEP21451")</f>
        <v>F 20ft Sea Ark (Easy 200) FL8534PY DEP21451</v>
      </c>
      <c r="M865" t="str">
        <f ca="1">IFERROR(__xludf.DUMMYFUNCTION("""COMPUTED_VALUE"""),"Ford F250 2017 (Moby Dix) - DEP0021578")</f>
        <v>Ford F250 2017 (Moby Dix) - DEP0021578</v>
      </c>
      <c r="N865" t="str">
        <f ca="1">IFERROR(__xludf.DUMMYFUNCTION("""COMPUTED_VALUE"""),"Silas Tanner, (904) 483-8423")</f>
        <v>Silas Tanner, (904) 483-8423</v>
      </c>
      <c r="O865" t="str">
        <f ca="1">IFERROR(__xludf.DUMMYFUNCTION("""COMPUTED_VALUE"""),"Emalee Swisshelm")</f>
        <v>Emalee Swisshelm</v>
      </c>
      <c r="P865" t="str">
        <f ca="1">IFERROR(__xludf.DUMMYFUNCTION("""COMPUTED_VALUE"""),"Silas Tanner")</f>
        <v>Silas Tanner</v>
      </c>
      <c r="Q865" t="str">
        <f ca="1">IFERROR(__xludf.DUMMYFUNCTION("""COMPUTED_VALUE"""),"All items in working order")</f>
        <v>All items in working order</v>
      </c>
      <c r="AE865" s="11"/>
      <c r="AF865" t="str">
        <v>Shannon.Dunnigan@floridadep.gov</v>
      </c>
      <c r="AG865" s="17" t="s">
        <v>639</v>
      </c>
      <c r="AH865" s="12">
        <v>917</v>
      </c>
      <c r="AI865" s="12" t="s">
        <v>2548</v>
      </c>
      <c r="AJ865" s="19" t="s">
        <v>2549</v>
      </c>
      <c r="AK865" s="20" t="str">
        <f>HYPERLINK("https://docs.google.com/document/d/15XYpnuH1je6oUIkwCjpsjD3wUjiB3an-2a5Ke4dn7bU/edit?usp=drivesdk","Silas Tanner - 6/7/2022 7:20 AM")</f>
        <v>Silas Tanner - 6/7/2022 7:20 AM</v>
      </c>
      <c r="AL865" s="12" t="s">
        <v>2550</v>
      </c>
    </row>
    <row r="866" spans="1:38" ht="12.75">
      <c r="A866" s="10">
        <f ca="1">IFERROR(__xludf.DUMMYFUNCTION("""COMPUTED_VALUE"""),44719.4049257638)</f>
        <v>44719.404925763803</v>
      </c>
      <c r="B866" s="11" t="str">
        <f ca="1">IFERROR(__xludf.DUMMYFUNCTION("""COMPUTED_VALUE"""),"Allix North")</f>
        <v>Allix North</v>
      </c>
      <c r="C866" t="str">
        <f ca="1">IFERROR(__xludf.DUMMYFUNCTION("""COMPUTED_VALUE"""),"allix.north@dep.state.fl.us")</f>
        <v>allix.north@dep.state.fl.us</v>
      </c>
      <c r="D866" t="str">
        <f ca="1">IFERROR(__xludf.DUMMYFUNCTION("""COMPUTED_VALUE"""),"Scott Eastman")</f>
        <v>Scott Eastman</v>
      </c>
      <c r="E866" t="str">
        <f ca="1">IFERROR(__xludf.DUMMYFUNCTION("""COMPUTED_VALUE"""),"Vilano")</f>
        <v>Vilano</v>
      </c>
      <c r="F866" s="13">
        <f ca="1">IFERROR(__xludf.DUMMYFUNCTION("""COMPUTED_VALUE"""),0.4375)</f>
        <v>0.4375</v>
      </c>
      <c r="G866" s="14">
        <f ca="1">IFERROR(__xludf.DUMMYFUNCTION("""COMPUTED_VALUE"""),44719)</f>
        <v>44719</v>
      </c>
      <c r="H866" t="str">
        <f ca="1">IFERROR(__xludf.DUMMYFUNCTION("""COMPUTED_VALUE"""),"Areas around St. Augustine")</f>
        <v>Areas around St. Augustine</v>
      </c>
      <c r="I866" s="15">
        <f ca="1">IFERROR(__xludf.DUMMYFUNCTION("""COMPUTED_VALUE"""),0.58333333333212)</f>
        <v>0.58333333333212001</v>
      </c>
      <c r="J866" s="16">
        <f ca="1">IFERROR(__xludf.DUMMYFUNCTION("""COMPUTED_VALUE"""),44719.6041666666)</f>
        <v>44719.604166666599</v>
      </c>
      <c r="K866" t="str">
        <f ca="1">IFERROR(__xludf.DUMMYFUNCTION("""COMPUTED_VALUE"""),"23ft Skiff (Bertha) FL7972LJ DEP07613")</f>
        <v>23ft Skiff (Bertha) FL7972LJ DEP07613</v>
      </c>
      <c r="M866" t="str">
        <f ca="1">IFERROR(__xludf.DUMMYFUNCTION("""COMPUTED_VALUE"""),"Ford F150 2018 (ML AP) - DEP21637")</f>
        <v>Ford F150 2018 (ML AP) - DEP21637</v>
      </c>
      <c r="N866" t="str">
        <f ca="1">IFERROR(__xludf.DUMMYFUNCTION("""COMPUTED_VALUE"""),"Jimmy Tomazinis, (904) 547-0094")</f>
        <v>Jimmy Tomazinis, (904) 547-0094</v>
      </c>
      <c r="O866" t="str">
        <f ca="1">IFERROR(__xludf.DUMMYFUNCTION("""COMPUTED_VALUE"""),"Savanna Mathis, Allix North")</f>
        <v>Savanna Mathis, Allix North</v>
      </c>
      <c r="P866" t="str">
        <f ca="1">IFERROR(__xludf.DUMMYFUNCTION("""COMPUTED_VALUE"""),"Jimmy")</f>
        <v>Jimmy</v>
      </c>
      <c r="Q866" t="str">
        <f ca="1">IFERROR(__xludf.DUMMYFUNCTION("""COMPUTED_VALUE"""),"All items in working order")</f>
        <v>All items in working order</v>
      </c>
      <c r="AE866" s="11"/>
      <c r="AF866" t="str">
        <v>Scott.Eastman@floridadep.gov</v>
      </c>
      <c r="AG866" s="17" t="s">
        <v>17</v>
      </c>
      <c r="AH866" s="12">
        <v>1545</v>
      </c>
      <c r="AI866" s="12" t="s">
        <v>2551</v>
      </c>
      <c r="AJ866" s="19" t="s">
        <v>2552</v>
      </c>
      <c r="AK866" s="20" t="str">
        <f>HYPERLINK("https://docs.google.com/document/d/1EBQ9bdCE9rHyvASXsOwyWFToG8TotTLr6jAnAL3kQz8/edit?usp=drivesdk","Allix North - 6/7/2022 10:30 AM")</f>
        <v>Allix North - 6/7/2022 10:30 AM</v>
      </c>
      <c r="AL866" s="12" t="s">
        <v>2553</v>
      </c>
    </row>
    <row r="867" spans="1:38" ht="12.75">
      <c r="A867" s="10">
        <f ca="1">IFERROR(__xludf.DUMMYFUNCTION("""COMPUTED_VALUE"""),44719.4772409722)</f>
        <v>44719.477240972199</v>
      </c>
      <c r="B867" s="11" t="str">
        <f ca="1">IFERROR(__xludf.DUMMYFUNCTION("""COMPUTED_VALUE"""),"Silas Tanner")</f>
        <v>Silas Tanner</v>
      </c>
      <c r="C867" t="str">
        <f ca="1">IFERROR(__xludf.DUMMYFUNCTION("""COMPUTED_VALUE"""),"silas.tanner@floridadep.gov")</f>
        <v>silas.tanner@floridadep.gov</v>
      </c>
      <c r="D867" t="str">
        <f ca="1">IFERROR(__xludf.DUMMYFUNCTION("""COMPUTED_VALUE"""),"Shannon Dunnigan")</f>
        <v>Shannon Dunnigan</v>
      </c>
      <c r="E867" t="str">
        <f ca="1">IFERROR(__xludf.DUMMYFUNCTION("""COMPUTED_VALUE"""),"Vilano Landing")</f>
        <v>Vilano Landing</v>
      </c>
      <c r="F867" s="13">
        <f ca="1">IFERROR(__xludf.DUMMYFUNCTION("""COMPUTED_VALUE"""),0.5)</f>
        <v>0.5</v>
      </c>
      <c r="G867" s="14">
        <f ca="1">IFERROR(__xludf.DUMMYFUNCTION("""COMPUTED_VALUE"""),44719)</f>
        <v>44719</v>
      </c>
      <c r="H867" t="str">
        <f ca="1">IFERROR(__xludf.DUMMYFUNCTION("""COMPUTED_VALUE"""),"ICW SWMP Sites PI &amp; SS")</f>
        <v>ICW SWMP Sites PI &amp; SS</v>
      </c>
      <c r="I867" s="15">
        <f ca="1">IFERROR(__xludf.DUMMYFUNCTION("""COMPUTED_VALUE"""),0.604166666667879)</f>
        <v>0.60416666666787899</v>
      </c>
      <c r="J867" s="16">
        <f ca="1">IFERROR(__xludf.DUMMYFUNCTION("""COMPUTED_VALUE"""),44719.625)</f>
        <v>44719.625</v>
      </c>
      <c r="K867" t="str">
        <f ca="1">IFERROR(__xludf.DUMMYFUNCTION("""COMPUTED_VALUE"""),"20ft Sea Ark FL5351SJ UNF 2015")</f>
        <v>20ft Sea Ark FL5351SJ UNF 2015</v>
      </c>
      <c r="M867" t="str">
        <f ca="1">IFERROR(__xludf.DUMMYFUNCTION("""COMPUTED_VALUE"""),"Ford F250 2017 (Moby Dix) - DEP0021578")</f>
        <v>Ford F250 2017 (Moby Dix) - DEP0021578</v>
      </c>
      <c r="N867" t="str">
        <f ca="1">IFERROR(__xludf.DUMMYFUNCTION("""COMPUTED_VALUE"""),"Silas Tanner, (904) 483-8423")</f>
        <v>Silas Tanner, (904) 483-8423</v>
      </c>
      <c r="O867" t="str">
        <f ca="1">IFERROR(__xludf.DUMMYFUNCTION("""COMPUTED_VALUE"""),"Emalee Swisshelm")</f>
        <v>Emalee Swisshelm</v>
      </c>
      <c r="P867" t="str">
        <f ca="1">IFERROR(__xludf.DUMMYFUNCTION("""COMPUTED_VALUE"""),"Silas Tanner")</f>
        <v>Silas Tanner</v>
      </c>
      <c r="Q867" t="str">
        <f ca="1">IFERROR(__xludf.DUMMYFUNCTION("""COMPUTED_VALUE"""),"All items in working order")</f>
        <v>All items in working order</v>
      </c>
      <c r="AE867" s="11"/>
      <c r="AF867" t="str">
        <v>Shannon.Dunnigan@floridadep.gov</v>
      </c>
      <c r="AG867" s="17" t="s">
        <v>639</v>
      </c>
      <c r="AH867" s="12">
        <v>1350</v>
      </c>
      <c r="AI867" s="12" t="s">
        <v>2554</v>
      </c>
      <c r="AJ867" s="19" t="s">
        <v>2555</v>
      </c>
      <c r="AK867" s="20" t="str">
        <f>HYPERLINK("https://docs.google.com/document/d/1hPhejmHJLjPSFOTpCdxcZeiSR7hR98hHPnTEW_zTKEE/edit?usp=drivesdk","Silas Tanner - 6/7/2022 12:00 PM")</f>
        <v>Silas Tanner - 6/7/2022 12:00 PM</v>
      </c>
      <c r="AL867" s="12" t="s">
        <v>2556</v>
      </c>
    </row>
    <row r="868" spans="1:38" ht="12.75">
      <c r="A868" s="10">
        <f ca="1">IFERROR(__xludf.DUMMYFUNCTION("""COMPUTED_VALUE"""),44720.3110762037)</f>
        <v>44720.311076203703</v>
      </c>
      <c r="B868" s="11" t="str">
        <f ca="1">IFERROR(__xludf.DUMMYFUNCTION("""COMPUTED_VALUE"""),"Silas Tanner")</f>
        <v>Silas Tanner</v>
      </c>
      <c r="C868" t="str">
        <f ca="1">IFERROR(__xludf.DUMMYFUNCTION("""COMPUTED_VALUE"""),"silas.tanner@floridadep.gov")</f>
        <v>silas.tanner@floridadep.gov</v>
      </c>
      <c r="D868" t="str">
        <f ca="1">IFERROR(__xludf.DUMMYFUNCTION("""COMPUTED_VALUE"""),"Shannon Dunnigan")</f>
        <v>Shannon Dunnigan</v>
      </c>
      <c r="E868" t="str">
        <f ca="1">IFERROR(__xludf.DUMMYFUNCTION("""COMPUTED_VALUE"""),"Vilano Landing")</f>
        <v>Vilano Landing</v>
      </c>
      <c r="F868" s="13">
        <f ca="1">IFERROR(__xludf.DUMMYFUNCTION("""COMPUTED_VALUE"""),0.322916666667879)</f>
        <v>0.32291666666787899</v>
      </c>
      <c r="G868" s="14">
        <f ca="1">IFERROR(__xludf.DUMMYFUNCTION("""COMPUTED_VALUE"""),44720)</f>
        <v>44720</v>
      </c>
      <c r="H868" t="str">
        <f ca="1">IFERROR(__xludf.DUMMYFUNCTION("""COMPUTED_VALUE"""),"ICW SWMP sites SS, PI")</f>
        <v>ICW SWMP sites SS, PI</v>
      </c>
      <c r="I868" s="15">
        <f ca="1">IFERROR(__xludf.DUMMYFUNCTION("""COMPUTED_VALUE"""),0.479166666667879)</f>
        <v>0.47916666666787899</v>
      </c>
      <c r="J868" s="16">
        <f ca="1">IFERROR(__xludf.DUMMYFUNCTION("""COMPUTED_VALUE"""),44720)</f>
        <v>44720</v>
      </c>
      <c r="K868" t="str">
        <f ca="1">IFERROR(__xludf.DUMMYFUNCTION("""COMPUTED_VALUE"""),"20ft Sea Ark FL5351SJ UNF 2015")</f>
        <v>20ft Sea Ark FL5351SJ UNF 2015</v>
      </c>
      <c r="M868" t="str">
        <f ca="1">IFERROR(__xludf.DUMMYFUNCTION("""COMPUTED_VALUE"""),"Ford F250 2017 (Moby Dix) - DEP0021578")</f>
        <v>Ford F250 2017 (Moby Dix) - DEP0021578</v>
      </c>
      <c r="N868" t="str">
        <f ca="1">IFERROR(__xludf.DUMMYFUNCTION("""COMPUTED_VALUE"""),"Silas Tanner, (904) 483-8423")</f>
        <v>Silas Tanner, (904) 483-8423</v>
      </c>
      <c r="O868" t="str">
        <f ca="1">IFERROR(__xludf.DUMMYFUNCTION("""COMPUTED_VALUE"""),"Emalee Swisshelm")</f>
        <v>Emalee Swisshelm</v>
      </c>
      <c r="P868" t="str">
        <f ca="1">IFERROR(__xludf.DUMMYFUNCTION("""COMPUTED_VALUE"""),"Silas Tanner")</f>
        <v>Silas Tanner</v>
      </c>
      <c r="Q868" t="str">
        <f ca="1">IFERROR(__xludf.DUMMYFUNCTION("""COMPUTED_VALUE"""),"All items in working order")</f>
        <v>All items in working order</v>
      </c>
      <c r="AE868" s="11"/>
      <c r="AF868" t="str">
        <v>Shannon.Dunnigan@floridadep.gov</v>
      </c>
      <c r="AG868" s="17" t="s">
        <v>639</v>
      </c>
      <c r="AH868" s="12">
        <v>919</v>
      </c>
      <c r="AI868" s="12" t="s">
        <v>2557</v>
      </c>
      <c r="AJ868" s="19" t="s">
        <v>2558</v>
      </c>
      <c r="AK868" s="20" t="str">
        <f>HYPERLINK("https://docs.google.com/document/d/1jx9otMehzTRWRmxe-TER7VJ-JBdydsYH4gEeIdV0fKI/edit?usp=drivesdk","Silas Tanner - 6/8/2022 7:45 AM")</f>
        <v>Silas Tanner - 6/8/2022 7:45 AM</v>
      </c>
      <c r="AL868" s="12" t="s">
        <v>2559</v>
      </c>
    </row>
    <row r="869" spans="1:38" ht="12.75">
      <c r="A869" s="10">
        <f ca="1">IFERROR(__xludf.DUMMYFUNCTION("""COMPUTED_VALUE"""),44720.5501074421)</f>
        <v>44720.550107442097</v>
      </c>
      <c r="B869" s="11" t="str">
        <f ca="1">IFERROR(__xludf.DUMMYFUNCTION("""COMPUTED_VALUE"""),"Silas Tanner")</f>
        <v>Silas Tanner</v>
      </c>
      <c r="C869" t="str">
        <f ca="1">IFERROR(__xludf.DUMMYFUNCTION("""COMPUTED_VALUE"""),"silas.tanner@dep.state.fl.us")</f>
        <v>silas.tanner@dep.state.fl.us</v>
      </c>
      <c r="D869" t="str">
        <f ca="1">IFERROR(__xludf.DUMMYFUNCTION("""COMPUTED_VALUE"""),"Shannon Dunnigan")</f>
        <v>Shannon Dunnigan</v>
      </c>
      <c r="E869" t="str">
        <f ca="1">IFERROR(__xludf.DUMMYFUNCTION("""COMPUTED_VALUE"""),"Vilano")</f>
        <v>Vilano</v>
      </c>
      <c r="F869" s="13">
        <f ca="1">IFERROR(__xludf.DUMMYFUNCTION("""COMPUTED_VALUE"""),0.541666666667879)</f>
        <v>0.54166666666787899</v>
      </c>
      <c r="G869" s="14">
        <f ca="1">IFERROR(__xludf.DUMMYFUNCTION("""COMPUTED_VALUE"""),44720)</f>
        <v>44720</v>
      </c>
      <c r="H869" t="str">
        <f ca="1">IFERROR(__xludf.DUMMYFUNCTION("""COMPUTED_VALUE"""),"ICW SWMP SS and PI")</f>
        <v>ICW SWMP SS and PI</v>
      </c>
      <c r="I869" s="15">
        <f ca="1">IFERROR(__xludf.DUMMYFUNCTION("""COMPUTED_VALUE"""),0.64583333333212)</f>
        <v>0.64583333333212001</v>
      </c>
      <c r="J869" s="16">
        <f ca="1">IFERROR(__xludf.DUMMYFUNCTION("""COMPUTED_VALUE"""),44720.6666666666)</f>
        <v>44720.666666666599</v>
      </c>
      <c r="K869" t="str">
        <f ca="1">IFERROR(__xludf.DUMMYFUNCTION("""COMPUTED_VALUE"""),"20ft Sea Ark FL5351SJ UNF 2015")</f>
        <v>20ft Sea Ark FL5351SJ UNF 2015</v>
      </c>
      <c r="M869" t="str">
        <f ca="1">IFERROR(__xludf.DUMMYFUNCTION("""COMPUTED_VALUE"""),"Ford F250 2017 (Moby Dix) - DEP0021578")</f>
        <v>Ford F250 2017 (Moby Dix) - DEP0021578</v>
      </c>
      <c r="N869" t="str">
        <f ca="1">IFERROR(__xludf.DUMMYFUNCTION("""COMPUTED_VALUE"""),"Silas Tanner, (904) 483-8423")</f>
        <v>Silas Tanner, (904) 483-8423</v>
      </c>
      <c r="O869" t="str">
        <f ca="1">IFERROR(__xludf.DUMMYFUNCTION("""COMPUTED_VALUE"""),"Emalee Swisshelm")</f>
        <v>Emalee Swisshelm</v>
      </c>
      <c r="P869" t="str">
        <f ca="1">IFERROR(__xludf.DUMMYFUNCTION("""COMPUTED_VALUE"""),"Tanner")</f>
        <v>Tanner</v>
      </c>
      <c r="Q869" t="str">
        <f ca="1">IFERROR(__xludf.DUMMYFUNCTION("""COMPUTED_VALUE"""),"All items in working order")</f>
        <v>All items in working order</v>
      </c>
      <c r="AE869" s="11"/>
      <c r="AF869" t="str">
        <v>Shannon.Dunnigan@floridadep.gov</v>
      </c>
      <c r="AG869" s="17" t="s">
        <v>639</v>
      </c>
      <c r="AH869" s="12">
        <v>1422</v>
      </c>
      <c r="AI869" s="12" t="s">
        <v>2560</v>
      </c>
      <c r="AJ869" s="19" t="s">
        <v>2561</v>
      </c>
      <c r="AK869" s="20" t="str">
        <f>HYPERLINK("https://docs.google.com/document/d/1jRBmf_0hFlqY6-Ku43UFuR6_WekZNV3tLFwyqSuZ7_c/edit?usp=drivesdk","Silas Tanner - 6/8/2022 1:00 PM")</f>
        <v>Silas Tanner - 6/8/2022 1:00 PM</v>
      </c>
      <c r="AL869" s="12" t="s">
        <v>2562</v>
      </c>
    </row>
    <row r="870" spans="1:38" ht="12.75">
      <c r="A870" s="10">
        <f ca="1">IFERROR(__xludf.DUMMYFUNCTION("""COMPUTED_VALUE"""),44721.3463747685)</f>
        <v>44721.346374768502</v>
      </c>
      <c r="B870" s="11" t="str">
        <f ca="1">IFERROR(__xludf.DUMMYFUNCTION("""COMPUTED_VALUE"""),"Shannon Dunnigan")</f>
        <v>Shannon Dunnigan</v>
      </c>
      <c r="C870" t="str">
        <f ca="1">IFERROR(__xludf.DUMMYFUNCTION("""COMPUTED_VALUE"""),"shannon.dunnigan@dep.state.fl.us")</f>
        <v>shannon.dunnigan@dep.state.fl.us</v>
      </c>
      <c r="D870" t="str">
        <f ca="1">IFERROR(__xludf.DUMMYFUNCTION("""COMPUTED_VALUE"""),"Scott Eastman")</f>
        <v>Scott Eastman</v>
      </c>
      <c r="E870" t="str">
        <f ca="1">IFERROR(__xludf.DUMMYFUNCTION("""COMPUTED_VALUE"""),"Vilano")</f>
        <v>Vilano</v>
      </c>
      <c r="F870" s="13">
        <f ca="1">IFERROR(__xludf.DUMMYFUNCTION("""COMPUTED_VALUE"""),0.36458333333212)</f>
        <v>0.36458333333212001</v>
      </c>
      <c r="G870" s="14">
        <f ca="1">IFERROR(__xludf.DUMMYFUNCTION("""COMPUTED_VALUE"""),44721)</f>
        <v>44721</v>
      </c>
      <c r="H870" t="str">
        <f ca="1">IFERROR(__xludf.DUMMYFUNCTION("""COMPUTED_VALUE"""),"PI and SS SWMP sites")</f>
        <v>PI and SS SWMP sites</v>
      </c>
      <c r="I870" s="15">
        <f ca="1">IFERROR(__xludf.DUMMYFUNCTION("""COMPUTED_VALUE"""),0.45833333333212)</f>
        <v>0.45833333333212001</v>
      </c>
      <c r="J870" s="16">
        <f ca="1">IFERROR(__xludf.DUMMYFUNCTION("""COMPUTED_VALUE"""),44721.5)</f>
        <v>44721.5</v>
      </c>
      <c r="K870" t="str">
        <f ca="1">IFERROR(__xludf.DUMMYFUNCTION("""COMPUTED_VALUE"""),"20ft Sea Ark FL5351SJ UNF 2015")</f>
        <v>20ft Sea Ark FL5351SJ UNF 2015</v>
      </c>
      <c r="M870" t="str">
        <f ca="1">IFERROR(__xludf.DUMMYFUNCTION("""COMPUTED_VALUE"""),"Ford F250 2017 (Moby Dix) - DEP0021578")</f>
        <v>Ford F250 2017 (Moby Dix) - DEP0021578</v>
      </c>
      <c r="N870" t="str">
        <f ca="1">IFERROR(__xludf.DUMMYFUNCTION("""COMPUTED_VALUE"""),"Shannon Dunnigan, (803) 727-5734")</f>
        <v>Shannon Dunnigan, (803) 727-5734</v>
      </c>
      <c r="O870" t="str">
        <f ca="1">IFERROR(__xludf.DUMMYFUNCTION("""COMPUTED_VALUE"""),"Emalee Swisshelm")</f>
        <v>Emalee Swisshelm</v>
      </c>
      <c r="P870" t="str">
        <f ca="1">IFERROR(__xludf.DUMMYFUNCTION("""COMPUTED_VALUE"""),"Shannon")</f>
        <v>Shannon</v>
      </c>
      <c r="Q870" t="str">
        <f ca="1">IFERROR(__xludf.DUMMYFUNCTION("""COMPUTED_VALUE"""),"All items in working order")</f>
        <v>All items in working order</v>
      </c>
      <c r="AE870" s="11"/>
      <c r="AF870" t="str">
        <v>Scott.Eastman@floridadep.gov</v>
      </c>
      <c r="AG870" s="17" t="s">
        <v>21</v>
      </c>
      <c r="AH870" s="12">
        <v>1046</v>
      </c>
      <c r="AI870" s="12" t="s">
        <v>2563</v>
      </c>
      <c r="AJ870" s="19" t="s">
        <v>2564</v>
      </c>
      <c r="AK870" s="20" t="str">
        <f>HYPERLINK("https://docs.google.com/document/d/14kAgBkTWtxB5UI5qw7O_UlnySpKkvxgARcYyIDRzJpg/edit?usp=drivesdk","Shannon Dunnigan - 6/9/2022 8:45 AM")</f>
        <v>Shannon Dunnigan - 6/9/2022 8:45 AM</v>
      </c>
      <c r="AL870" s="12" t="s">
        <v>2565</v>
      </c>
    </row>
    <row r="871" spans="1:38" ht="12.75">
      <c r="A871" s="10">
        <f ca="1">IFERROR(__xludf.DUMMYFUNCTION("""COMPUTED_VALUE"""),44721.5455895138)</f>
        <v>44721.5455895138</v>
      </c>
      <c r="B871" s="11" t="str">
        <f ca="1">IFERROR(__xludf.DUMMYFUNCTION("""COMPUTED_VALUE"""),"Shannon Dunnigan")</f>
        <v>Shannon Dunnigan</v>
      </c>
      <c r="C871" t="str">
        <f ca="1">IFERROR(__xludf.DUMMYFUNCTION("""COMPUTED_VALUE"""),"shannon.dunnigan@dep.state.fl.us")</f>
        <v>shannon.dunnigan@dep.state.fl.us</v>
      </c>
      <c r="D871" t="str">
        <f ca="1">IFERROR(__xludf.DUMMYFUNCTION("""COMPUTED_VALUE"""),"Scott Eastman")</f>
        <v>Scott Eastman</v>
      </c>
      <c r="E871" t="str">
        <f ca="1">IFERROR(__xludf.DUMMYFUNCTION("""COMPUTED_VALUE"""),"Vilano")</f>
        <v>Vilano</v>
      </c>
      <c r="F871" s="13">
        <f ca="1">IFERROR(__xludf.DUMMYFUNCTION("""COMPUTED_VALUE"""),0.5625)</f>
        <v>0.5625</v>
      </c>
      <c r="G871" s="14">
        <f ca="1">IFERROR(__xludf.DUMMYFUNCTION("""COMPUTED_VALUE"""),44721)</f>
        <v>44721</v>
      </c>
      <c r="H871" t="str">
        <f ca="1">IFERROR(__xludf.DUMMYFUNCTION("""COMPUTED_VALUE"""),"SWMP sites ")</f>
        <v xml:space="preserve">SWMP sites </v>
      </c>
      <c r="I871" s="15">
        <f ca="1">IFERROR(__xludf.DUMMYFUNCTION("""COMPUTED_VALUE"""),0.65625)</f>
        <v>0.65625</v>
      </c>
      <c r="J871" s="16">
        <f ca="1">IFERROR(__xludf.DUMMYFUNCTION("""COMPUTED_VALUE"""),44721.6666666666)</f>
        <v>44721.666666666599</v>
      </c>
      <c r="K871" t="str">
        <f ca="1">IFERROR(__xludf.DUMMYFUNCTION("""COMPUTED_VALUE"""),"20ft Sea Ark FL5351SJ UNF 2015")</f>
        <v>20ft Sea Ark FL5351SJ UNF 2015</v>
      </c>
      <c r="M871" t="str">
        <f ca="1">IFERROR(__xludf.DUMMYFUNCTION("""COMPUTED_VALUE"""),"Ford F250 2017 (Moby Dix) - DEP0021578")</f>
        <v>Ford F250 2017 (Moby Dix) - DEP0021578</v>
      </c>
      <c r="N871" t="str">
        <f ca="1">IFERROR(__xludf.DUMMYFUNCTION("""COMPUTED_VALUE"""),"Shannon Dunnigan, (803) 727-5734")</f>
        <v>Shannon Dunnigan, (803) 727-5734</v>
      </c>
      <c r="O871" t="str">
        <f ca="1">IFERROR(__xludf.DUMMYFUNCTION("""COMPUTED_VALUE"""),"Emalee Swisshelm")</f>
        <v>Emalee Swisshelm</v>
      </c>
      <c r="P871" t="str">
        <f ca="1">IFERROR(__xludf.DUMMYFUNCTION("""COMPUTED_VALUE"""),"Shannon Dunnigan")</f>
        <v>Shannon Dunnigan</v>
      </c>
      <c r="Q871" t="str">
        <f ca="1">IFERROR(__xludf.DUMMYFUNCTION("""COMPUTED_VALUE"""),"All items in working order")</f>
        <v>All items in working order</v>
      </c>
      <c r="AE871" s="11"/>
      <c r="AF871" t="str">
        <v>Scott.Eastman@floridadep.gov</v>
      </c>
      <c r="AG871" s="17" t="s">
        <v>21</v>
      </c>
      <c r="AH871" s="12">
        <v>1525</v>
      </c>
      <c r="AI871" s="12" t="s">
        <v>2566</v>
      </c>
      <c r="AJ871" s="19" t="s">
        <v>2567</v>
      </c>
      <c r="AK871" s="20" t="str">
        <f>HYPERLINK("https://docs.google.com/document/d/1mG7nM32uVVlBnXI1JDxReZ-DOBXSQkXTHkrWFIUoa2k/edit?usp=drivesdk","Shannon Dunnigan - 6/9/2022 1:30 PM")</f>
        <v>Shannon Dunnigan - 6/9/2022 1:30 PM</v>
      </c>
      <c r="AL871" s="12" t="s">
        <v>2568</v>
      </c>
    </row>
    <row r="872" spans="1:38" ht="12.75">
      <c r="A872" s="10">
        <f ca="1">IFERROR(__xludf.DUMMYFUNCTION("""COMPUTED_VALUE"""),44722.2717878703)</f>
        <v>44722.271787870297</v>
      </c>
      <c r="B872" s="11" t="str">
        <f ca="1">IFERROR(__xludf.DUMMYFUNCTION("""COMPUTED_VALUE"""),"Jessica Lee")</f>
        <v>Jessica Lee</v>
      </c>
      <c r="C872" t="str">
        <f ca="1">IFERROR(__xludf.DUMMYFUNCTION("""COMPUTED_VALUE"""),"jmcupp099@gmail.com")</f>
        <v>jmcupp099@gmail.com</v>
      </c>
      <c r="D872" t="str">
        <f ca="1">IFERROR(__xludf.DUMMYFUNCTION("""COMPUTED_VALUE"""),"Shannon Dunnigan")</f>
        <v>Shannon Dunnigan</v>
      </c>
      <c r="E872" t="str">
        <f ca="1">IFERROR(__xludf.DUMMYFUNCTION("""COMPUTED_VALUE"""),"Guana River Dam")</f>
        <v>Guana River Dam</v>
      </c>
      <c r="F872" s="13">
        <f ca="1">IFERROR(__xludf.DUMMYFUNCTION("""COMPUTED_VALUE"""),0.28125)</f>
        <v>0.28125</v>
      </c>
      <c r="G872" s="14">
        <f ca="1">IFERROR(__xludf.DUMMYFUNCTION("""COMPUTED_VALUE"""),44722)</f>
        <v>44722</v>
      </c>
      <c r="H872" t="str">
        <f ca="1">IFERROR(__xludf.DUMMYFUNCTION("""COMPUTED_VALUE"""),"Guana River")</f>
        <v>Guana River</v>
      </c>
      <c r="I872" s="15">
        <f ca="1">IFERROR(__xludf.DUMMYFUNCTION("""COMPUTED_VALUE"""),0.34375)</f>
        <v>0.34375</v>
      </c>
      <c r="J872" s="16">
        <f ca="1">IFERROR(__xludf.DUMMYFUNCTION("""COMPUTED_VALUE"""),44722.3541666666)</f>
        <v>44722.354166666599</v>
      </c>
      <c r="K872" t="str">
        <f ca="1">IFERROR(__xludf.DUMMYFUNCTION("""COMPUTED_VALUE"""),"Jon Boat 1 FL5992RR DEP154045")</f>
        <v>Jon Boat 1 FL5992RR DEP154045</v>
      </c>
      <c r="M872" t="str">
        <f ca="1">IFERROR(__xludf.DUMMYFUNCTION("""COMPUTED_VALUE"""),"Ford F150 2015 (White) - DEP21448")</f>
        <v>Ford F150 2015 (White) - DEP21448</v>
      </c>
      <c r="N872" t="str">
        <f ca="1">IFERROR(__xludf.DUMMYFUNCTION("""COMPUTED_VALUE"""),"Jessica Lee")</f>
        <v>Jessica Lee</v>
      </c>
      <c r="O872" t="str">
        <f ca="1">IFERROR(__xludf.DUMMYFUNCTION("""COMPUTED_VALUE"""),"Justina, Jenna")</f>
        <v>Justina, Jenna</v>
      </c>
      <c r="P872" t="str">
        <f ca="1">IFERROR(__xludf.DUMMYFUNCTION("""COMPUTED_VALUE"""),"Jessica Lee")</f>
        <v>Jessica Lee</v>
      </c>
      <c r="Q872" t="str">
        <f ca="1">IFERROR(__xludf.DUMMYFUNCTION("""COMPUTED_VALUE"""),"All items in working order")</f>
        <v>All items in working order</v>
      </c>
      <c r="AE872" s="11"/>
      <c r="AF872" t="str">
        <v>Shannon.Dunnigan@floridadep.gov</v>
      </c>
      <c r="AG872" s="17" t="s">
        <v>639</v>
      </c>
      <c r="AH872" s="12">
        <v>828</v>
      </c>
      <c r="AI872" s="12" t="s">
        <v>2569</v>
      </c>
      <c r="AJ872" s="19" t="s">
        <v>2570</v>
      </c>
      <c r="AK872" s="20" t="str">
        <f>HYPERLINK("https://docs.google.com/document/d/1quNwO__hKDdeEdO67juE1sj2qUjzIKoAOJ-VU7zbC-M/edit?usp=drivesdk","Jessica Lee - 6/10/2022 6:45 AM")</f>
        <v>Jessica Lee - 6/10/2022 6:45 AM</v>
      </c>
      <c r="AL872" s="12" t="s">
        <v>2571</v>
      </c>
    </row>
    <row r="873" spans="1:38" ht="12.75">
      <c r="A873" s="10">
        <f ca="1">IFERROR(__xludf.DUMMYFUNCTION("""COMPUTED_VALUE"""),44725.3584565509)</f>
        <v>44725.358456550901</v>
      </c>
      <c r="B873" s="11" t="str">
        <f ca="1">IFERROR(__xludf.DUMMYFUNCTION("""COMPUTED_VALUE"""),"Pam Marcum ")</f>
        <v xml:space="preserve">Pam Marcum </v>
      </c>
      <c r="C873" t="str">
        <f ca="1">IFERROR(__xludf.DUMMYFUNCTION("""COMPUTED_VALUE"""),"Pamela.Marcum@FloridaDEP.gov")</f>
        <v>Pamela.Marcum@FloridaDEP.gov</v>
      </c>
      <c r="D873" t="str">
        <f ca="1">IFERROR(__xludf.DUMMYFUNCTION("""COMPUTED_VALUE"""),"Pam Marcum")</f>
        <v>Pam Marcum</v>
      </c>
      <c r="E873" t="str">
        <f ca="1">IFERROR(__xludf.DUMMYFUNCTION("""COMPUTED_VALUE"""),"Vilano")</f>
        <v>Vilano</v>
      </c>
      <c r="F873" s="13">
        <f ca="1">IFERROR(__xludf.DUMMYFUNCTION("""COMPUTED_VALUE"""),0.354166666667879)</f>
        <v>0.35416666666787899</v>
      </c>
      <c r="G873" s="14">
        <f ca="1">IFERROR(__xludf.DUMMYFUNCTION("""COMPUTED_VALUE"""),44725)</f>
        <v>44725</v>
      </c>
      <c r="H873" t="str">
        <f ca="1">IFERROR(__xludf.DUMMYFUNCTION("""COMPUTED_VALUE"""),"San sebastian, pine island sondes")</f>
        <v>San sebastian, pine island sondes</v>
      </c>
      <c r="I873" s="15">
        <f ca="1">IFERROR(__xludf.DUMMYFUNCTION("""COMPUTED_VALUE"""),0.5)</f>
        <v>0.5</v>
      </c>
      <c r="J873" s="16">
        <f ca="1">IFERROR(__xludf.DUMMYFUNCTION("""COMPUTED_VALUE"""),44725.5208333333)</f>
        <v>44725.520833333299</v>
      </c>
      <c r="K873" t="str">
        <f ca="1">IFERROR(__xludf.DUMMYFUNCTION("""COMPUTED_VALUE"""),"20ft Sea Ark FL5351SJ UNF 2015")</f>
        <v>20ft Sea Ark FL5351SJ UNF 2015</v>
      </c>
      <c r="M873" t="str">
        <f ca="1">IFERROR(__xludf.DUMMYFUNCTION("""COMPUTED_VALUE"""),"Ford F250 2017 (Moby Dix) - DEP0021578")</f>
        <v>Ford F250 2017 (Moby Dix) - DEP0021578</v>
      </c>
      <c r="N873" t="str">
        <f ca="1">IFERROR(__xludf.DUMMYFUNCTION("""COMPUTED_VALUE"""),"Pam Marcum, (480) 332-5414")</f>
        <v>Pam Marcum, (480) 332-5414</v>
      </c>
      <c r="O873" t="str">
        <f ca="1">IFERROR(__xludf.DUMMYFUNCTION("""COMPUTED_VALUE"""),"Nate Schirmer, Emalee Swisshelm")</f>
        <v>Nate Schirmer, Emalee Swisshelm</v>
      </c>
      <c r="P873" t="str">
        <f ca="1">IFERROR(__xludf.DUMMYFUNCTION("""COMPUTED_VALUE"""),"Pam")</f>
        <v>Pam</v>
      </c>
      <c r="Q873" t="str">
        <f ca="1">IFERROR(__xludf.DUMMYFUNCTION("""COMPUTED_VALUE"""),"All items in working order")</f>
        <v>All items in working order</v>
      </c>
      <c r="AE873" s="11"/>
      <c r="AF873" t="str">
        <v>Pamela.Marcum@floridadep.gov</v>
      </c>
      <c r="AG873" s="17" t="s">
        <v>17</v>
      </c>
      <c r="AH873" s="12">
        <v>1045</v>
      </c>
      <c r="AI873" s="12" t="s">
        <v>2572</v>
      </c>
      <c r="AJ873" s="19" t="s">
        <v>2573</v>
      </c>
      <c r="AK873" s="20" t="str">
        <f>HYPERLINK("https://docs.google.com/document/d/1Yh-37oXlFb4vOa4UqdYKRpbdCllxUNmnuKP2Pa7ZaEg/edit?usp=drivesdk","Pam Marcum  - 6/13/2022 8:30 AM")</f>
        <v>Pam Marcum  - 6/13/2022 8:30 AM</v>
      </c>
      <c r="AL873" s="12" t="s">
        <v>2574</v>
      </c>
    </row>
    <row r="874" spans="1:38" ht="12.75">
      <c r="A874" s="10">
        <f ca="1">IFERROR(__xludf.DUMMYFUNCTION("""COMPUTED_VALUE"""),44725.5858562152)</f>
        <v>44725.585856215199</v>
      </c>
      <c r="B874" s="11" t="str">
        <f ca="1">IFERROR(__xludf.DUMMYFUNCTION("""COMPUTED_VALUE"""),"Pam Marcum ")</f>
        <v xml:space="preserve">Pam Marcum </v>
      </c>
      <c r="C874" t="str">
        <f ca="1">IFERROR(__xludf.DUMMYFUNCTION("""COMPUTED_VALUE"""),"Pamela.Marcum@FloridaDEP.gov")</f>
        <v>Pamela.Marcum@FloridaDEP.gov</v>
      </c>
      <c r="D874" t="str">
        <f ca="1">IFERROR(__xludf.DUMMYFUNCTION("""COMPUTED_VALUE"""),"Shannon Dunnigan")</f>
        <v>Shannon Dunnigan</v>
      </c>
      <c r="E874" t="str">
        <f ca="1">IFERROR(__xludf.DUMMYFUNCTION("""COMPUTED_VALUE"""),"Vilano ")</f>
        <v xml:space="preserve">Vilano </v>
      </c>
      <c r="F874" s="13">
        <f ca="1">IFERROR(__xludf.DUMMYFUNCTION("""COMPUTED_VALUE"""),0.572916666667879)</f>
        <v>0.57291666666787899</v>
      </c>
      <c r="G874" s="14">
        <f ca="1">IFERROR(__xludf.DUMMYFUNCTION("""COMPUTED_VALUE"""),44725)</f>
        <v>44725</v>
      </c>
      <c r="H874" t="str">
        <f ca="1">IFERROR(__xludf.DUMMYFUNCTION("""COMPUTED_VALUE"""),"Ss and pi sondes")</f>
        <v>Ss and pi sondes</v>
      </c>
      <c r="I874" s="15">
        <f ca="1">IFERROR(__xludf.DUMMYFUNCTION("""COMPUTED_VALUE"""),0.6875)</f>
        <v>0.6875</v>
      </c>
      <c r="J874" s="16">
        <f ca="1">IFERROR(__xludf.DUMMYFUNCTION("""COMPUTED_VALUE"""),44725.7083333333)</f>
        <v>44725.708333333299</v>
      </c>
      <c r="K874" t="str">
        <f ca="1">IFERROR(__xludf.DUMMYFUNCTION("""COMPUTED_VALUE"""),"20ft Sea Ark FL5351SJ UNF 2015")</f>
        <v>20ft Sea Ark FL5351SJ UNF 2015</v>
      </c>
      <c r="M874" t="str">
        <f ca="1">IFERROR(__xludf.DUMMYFUNCTION("""COMPUTED_VALUE"""),"Ford F250 2017 (Moby Dix) - DEP0021578")</f>
        <v>Ford F250 2017 (Moby Dix) - DEP0021578</v>
      </c>
      <c r="N874" t="str">
        <f ca="1">IFERROR(__xludf.DUMMYFUNCTION("""COMPUTED_VALUE"""),"Pam Marcum, (480) 332-5414")</f>
        <v>Pam Marcum, (480) 332-5414</v>
      </c>
      <c r="O874" t="str">
        <f ca="1">IFERROR(__xludf.DUMMYFUNCTION("""COMPUTED_VALUE"""),"Emalee Swisshelm")</f>
        <v>Emalee Swisshelm</v>
      </c>
      <c r="P874" t="str">
        <f ca="1">IFERROR(__xludf.DUMMYFUNCTION("""COMPUTED_VALUE"""),"Pam")</f>
        <v>Pam</v>
      </c>
      <c r="Q874" t="str">
        <f ca="1">IFERROR(__xludf.DUMMYFUNCTION("""COMPUTED_VALUE"""),"All items in working order")</f>
        <v>All items in working order</v>
      </c>
      <c r="AE874" s="11"/>
      <c r="AF874" t="str">
        <v>Shannon.Dunnigan@floridadep.gov</v>
      </c>
      <c r="AG874" s="17" t="s">
        <v>639</v>
      </c>
      <c r="AH874" s="12">
        <v>1602</v>
      </c>
      <c r="AI874" s="12" t="s">
        <v>2575</v>
      </c>
      <c r="AJ874" s="19" t="s">
        <v>2576</v>
      </c>
      <c r="AK874" s="20" t="str">
        <f>HYPERLINK("https://docs.google.com/document/d/1GWTMHhEG3qliYQ8kuhxetPwIJdYWw773ZmmxC0h10mM/edit?usp=drivesdk","Pam Marcum  - 6/13/2022 1:45 PM")</f>
        <v>Pam Marcum  - 6/13/2022 1:45 PM</v>
      </c>
      <c r="AL874" s="12" t="s">
        <v>2577</v>
      </c>
    </row>
    <row r="875" spans="1:38" ht="12.75">
      <c r="A875" s="10">
        <f ca="1">IFERROR(__xludf.DUMMYFUNCTION("""COMPUTED_VALUE"""),44726.3137702083)</f>
        <v>44726.313770208297</v>
      </c>
      <c r="B875" s="11" t="str">
        <f ca="1">IFERROR(__xludf.DUMMYFUNCTION("""COMPUTED_VALUE"""),"Silas Tanner")</f>
        <v>Silas Tanner</v>
      </c>
      <c r="C875" t="str">
        <f ca="1">IFERROR(__xludf.DUMMYFUNCTION("""COMPUTED_VALUE"""),"silas.tanner@floridadep.gov")</f>
        <v>silas.tanner@floridadep.gov</v>
      </c>
      <c r="D875" t="str">
        <f ca="1">IFERROR(__xludf.DUMMYFUNCTION("""COMPUTED_VALUE"""),"Shannon Dunnigan")</f>
        <v>Shannon Dunnigan</v>
      </c>
      <c r="E875" t="str">
        <f ca="1">IFERROR(__xludf.DUMMYFUNCTION("""COMPUTED_VALUE"""),"Vilano Landing")</f>
        <v>Vilano Landing</v>
      </c>
      <c r="F875" s="13">
        <f ca="1">IFERROR(__xludf.DUMMYFUNCTION("""COMPUTED_VALUE"""),0.354166666667879)</f>
        <v>0.35416666666787899</v>
      </c>
      <c r="G875" s="14">
        <f ca="1">IFERROR(__xludf.DUMMYFUNCTION("""COMPUTED_VALUE"""),44726)</f>
        <v>44726</v>
      </c>
      <c r="H875" t="str">
        <f ca="1">IFERROR(__xludf.DUMMYFUNCTION("""COMPUTED_VALUE"""),"IWC SWMP sites FM, SS, PI")</f>
        <v>IWC SWMP sites FM, SS, PI</v>
      </c>
      <c r="I875" s="15">
        <f ca="1">IFERROR(__xludf.DUMMYFUNCTION("""COMPUTED_VALUE"""),0.58333333333212)</f>
        <v>0.58333333333212001</v>
      </c>
      <c r="J875" s="16">
        <f ca="1">IFERROR(__xludf.DUMMYFUNCTION("""COMPUTED_VALUE"""),44726.6041666666)</f>
        <v>44726.604166666599</v>
      </c>
      <c r="K875" t="str">
        <f ca="1">IFERROR(__xludf.DUMMYFUNCTION("""COMPUTED_VALUE"""),"20ft Sea Ark FL5351SJ UNF 2015")</f>
        <v>20ft Sea Ark FL5351SJ UNF 2015</v>
      </c>
      <c r="M875" t="str">
        <f ca="1">IFERROR(__xludf.DUMMYFUNCTION("""COMPUTED_VALUE"""),"Ford F250 2017 (Moby Dix) - DEP0021578")</f>
        <v>Ford F250 2017 (Moby Dix) - DEP0021578</v>
      </c>
      <c r="N875" t="str">
        <f ca="1">IFERROR(__xludf.DUMMYFUNCTION("""COMPUTED_VALUE"""),"Silas Tanner, (904) 483-8423")</f>
        <v>Silas Tanner, (904) 483-8423</v>
      </c>
      <c r="O875" t="str">
        <f ca="1">IFERROR(__xludf.DUMMYFUNCTION("""COMPUTED_VALUE"""),"Emalee Swisshelm, Julie Drevenkar")</f>
        <v>Emalee Swisshelm, Julie Drevenkar</v>
      </c>
      <c r="P875" t="str">
        <f ca="1">IFERROR(__xludf.DUMMYFUNCTION("""COMPUTED_VALUE"""),"Silas Tanner")</f>
        <v>Silas Tanner</v>
      </c>
      <c r="Q875" t="str">
        <f ca="1">IFERROR(__xludf.DUMMYFUNCTION("""COMPUTED_VALUE"""),"All items in working order")</f>
        <v>All items in working order</v>
      </c>
      <c r="AE875" s="11"/>
      <c r="AF875" t="str">
        <v>Shannon.Dunnigan@floridadep.gov</v>
      </c>
      <c r="AG875" s="17" t="s">
        <v>639</v>
      </c>
      <c r="AH875" s="12">
        <v>1329</v>
      </c>
      <c r="AI875" s="12" t="s">
        <v>2578</v>
      </c>
      <c r="AJ875" s="19" t="s">
        <v>2579</v>
      </c>
      <c r="AK875" s="20" t="str">
        <f>HYPERLINK("https://docs.google.com/document/d/1ZJCGcvhnfwf-t_zdbviQxirSzGrI9otVyjXSP90YCTc/edit?usp=drivesdk","Silas Tanner - 6/14/2022 8:30 AM")</f>
        <v>Silas Tanner - 6/14/2022 8:30 AM</v>
      </c>
      <c r="AL875" s="12" t="s">
        <v>2580</v>
      </c>
    </row>
    <row r="876" spans="1:38" ht="12.75">
      <c r="A876" s="10">
        <f ca="1">IFERROR(__xludf.DUMMYFUNCTION("""COMPUTED_VALUE"""),44726.565813912)</f>
        <v>44726.565813911999</v>
      </c>
      <c r="B876" s="11" t="str">
        <f ca="1">IFERROR(__xludf.DUMMYFUNCTION("""COMPUTED_VALUE"""),"Pam Marcum")</f>
        <v>Pam Marcum</v>
      </c>
      <c r="C876" t="str">
        <f ca="1">IFERROR(__xludf.DUMMYFUNCTION("""COMPUTED_VALUE"""),"Pamela.Marcum@FloridaDEP.gov")</f>
        <v>Pamela.Marcum@FloridaDEP.gov</v>
      </c>
      <c r="D876" t="str">
        <f ca="1">IFERROR(__xludf.DUMMYFUNCTION("""COMPUTED_VALUE"""),"Shannon Dunnigan")</f>
        <v>Shannon Dunnigan</v>
      </c>
      <c r="E876" t="str">
        <f ca="1">IFERROR(__xludf.DUMMYFUNCTION("""COMPUTED_VALUE"""),"Guana Dam")</f>
        <v>Guana Dam</v>
      </c>
      <c r="F876" s="13">
        <f ca="1">IFERROR(__xludf.DUMMYFUNCTION("""COMPUTED_VALUE"""),0.45833333333212)</f>
        <v>0.45833333333212001</v>
      </c>
      <c r="G876" s="14">
        <f ca="1">IFERROR(__xludf.DUMMYFUNCTION("""COMPUTED_VALUE"""),44726)</f>
        <v>44726</v>
      </c>
      <c r="H876" t="str">
        <f ca="1">IFERROR(__xludf.DUMMYFUNCTION("""COMPUTED_VALUE"""),"Guana River mouth")</f>
        <v>Guana River mouth</v>
      </c>
      <c r="I876" s="15">
        <f ca="1">IFERROR(__xludf.DUMMYFUNCTION("""COMPUTED_VALUE"""),0.52083333333212)</f>
        <v>0.52083333333212001</v>
      </c>
      <c r="J876" s="16">
        <f ca="1">IFERROR(__xludf.DUMMYFUNCTION("""COMPUTED_VALUE"""),44726.5208333333)</f>
        <v>44726.520833333299</v>
      </c>
      <c r="K876" t="str">
        <f ca="1">IFERROR(__xludf.DUMMYFUNCTION("""COMPUTED_VALUE"""),"Jon Boat 1 FL5992RR DEP154045")</f>
        <v>Jon Boat 1 FL5992RR DEP154045</v>
      </c>
      <c r="M876" t="str">
        <f ca="1">IFERROR(__xludf.DUMMYFUNCTION("""COMPUTED_VALUE"""),"Silver Ranger F150")</f>
        <v>Silver Ranger F150</v>
      </c>
      <c r="N876" t="str">
        <f ca="1">IFERROR(__xludf.DUMMYFUNCTION("""COMPUTED_VALUE"""),"Pam Marcum, (480) 332-5414")</f>
        <v>Pam Marcum, (480) 332-5414</v>
      </c>
      <c r="O876" t="str">
        <f ca="1">IFERROR(__xludf.DUMMYFUNCTION("""COMPUTED_VALUE"""),"Rauney Mitchell, Courtney Schultz, Zach Lepera")</f>
        <v>Rauney Mitchell, Courtney Schultz, Zach Lepera</v>
      </c>
      <c r="P876" t="str">
        <f ca="1">IFERROR(__xludf.DUMMYFUNCTION("""COMPUTED_VALUE"""),"Pam")</f>
        <v>Pam</v>
      </c>
      <c r="Q876" t="str">
        <f ca="1">IFERROR(__xludf.DUMMYFUNCTION("""COMPUTED_VALUE"""),"All items in working order")</f>
        <v>All items in working order</v>
      </c>
      <c r="AE876" s="11"/>
      <c r="AF876" t="str">
        <v>Shannon.Dunnigan@floridadep.gov</v>
      </c>
      <c r="AG876" s="17" t="s">
        <v>639</v>
      </c>
      <c r="AH876" s="12">
        <v>1224</v>
      </c>
      <c r="AI876" s="12" t="s">
        <v>2581</v>
      </c>
      <c r="AJ876" s="19" t="s">
        <v>2582</v>
      </c>
      <c r="AK876" s="20" t="str">
        <f>HYPERLINK("https://docs.google.com/document/d/1hvJfOqGhQF7jAm0kqBPa8COF-1PmVAY7hNF0JTh2qK0/edit?usp=drivesdk","Pam Marcum - 6/14/2022 11:00 AM")</f>
        <v>Pam Marcum - 6/14/2022 11:00 AM</v>
      </c>
      <c r="AL876" s="12" t="s">
        <v>2583</v>
      </c>
    </row>
    <row r="877" spans="1:38" ht="12.75">
      <c r="A877" s="10">
        <f ca="1">IFERROR(__xludf.DUMMYFUNCTION("""COMPUTED_VALUE"""),44727.3228747916)</f>
        <v>44727.3228747916</v>
      </c>
      <c r="B877" s="11" t="str">
        <f ca="1">IFERROR(__xludf.DUMMYFUNCTION("""COMPUTED_VALUE"""),"Silas Tanner")</f>
        <v>Silas Tanner</v>
      </c>
      <c r="C877" t="str">
        <f ca="1">IFERROR(__xludf.DUMMYFUNCTION("""COMPUTED_VALUE"""),"silas.tanner@floridadep.gov")</f>
        <v>silas.tanner@floridadep.gov</v>
      </c>
      <c r="D877" t="str">
        <f ca="1">IFERROR(__xludf.DUMMYFUNCTION("""COMPUTED_VALUE"""),"Shannon Dunnigan")</f>
        <v>Shannon Dunnigan</v>
      </c>
      <c r="E877" t="str">
        <f ca="1">IFERROR(__xludf.DUMMYFUNCTION("""COMPUTED_VALUE"""),"Vilano Landing")</f>
        <v>Vilano Landing</v>
      </c>
      <c r="F877" s="13">
        <f ca="1">IFERROR(__xludf.DUMMYFUNCTION("""COMPUTED_VALUE"""),0.33333333333212)</f>
        <v>0.33333333333212001</v>
      </c>
      <c r="G877" s="14">
        <f ca="1">IFERROR(__xludf.DUMMYFUNCTION("""COMPUTED_VALUE"""),44727)</f>
        <v>44727</v>
      </c>
      <c r="H877" t="str">
        <f ca="1">IFERROR(__xludf.DUMMYFUNCTION("""COMPUTED_VALUE"""),"ICW SWMP SS, PI")</f>
        <v>ICW SWMP SS, PI</v>
      </c>
      <c r="I877" s="15">
        <f ca="1">IFERROR(__xludf.DUMMYFUNCTION("""COMPUTED_VALUE"""),0.45833333333212)</f>
        <v>0.45833333333212001</v>
      </c>
      <c r="J877" s="16">
        <f ca="1">IFERROR(__xludf.DUMMYFUNCTION("""COMPUTED_VALUE"""),44727.4791666666)</f>
        <v>44727.479166666599</v>
      </c>
      <c r="K877" t="str">
        <f ca="1">IFERROR(__xludf.DUMMYFUNCTION("""COMPUTED_VALUE"""),"20ft Sea Ark FL5351SJ UNF 2015")</f>
        <v>20ft Sea Ark FL5351SJ UNF 2015</v>
      </c>
      <c r="M877" t="str">
        <f ca="1">IFERROR(__xludf.DUMMYFUNCTION("""COMPUTED_VALUE"""),"Ford F250 2017 (Moby Dix) - DEP0021578")</f>
        <v>Ford F250 2017 (Moby Dix) - DEP0021578</v>
      </c>
      <c r="N877" t="str">
        <f ca="1">IFERROR(__xludf.DUMMYFUNCTION("""COMPUTED_VALUE"""),"Silas Tanner, (904) 483-8423")</f>
        <v>Silas Tanner, (904) 483-8423</v>
      </c>
      <c r="O877" t="str">
        <f ca="1">IFERROR(__xludf.DUMMYFUNCTION("""COMPUTED_VALUE"""),"Emalee Swisshelm")</f>
        <v>Emalee Swisshelm</v>
      </c>
      <c r="P877" t="str">
        <f ca="1">IFERROR(__xludf.DUMMYFUNCTION("""COMPUTED_VALUE"""),"Silas Tanner")</f>
        <v>Silas Tanner</v>
      </c>
      <c r="Q877" t="str">
        <f ca="1">IFERROR(__xludf.DUMMYFUNCTION("""COMPUTED_VALUE"""),"All items in working order")</f>
        <v>All items in working order</v>
      </c>
      <c r="AE877" s="11"/>
      <c r="AF877" t="str">
        <v>Shannon.Dunnigan@floridadep.gov</v>
      </c>
      <c r="AG877" s="17" t="s">
        <v>639</v>
      </c>
      <c r="AH877" s="12">
        <v>940</v>
      </c>
      <c r="AI877" s="12" t="s">
        <v>2584</v>
      </c>
      <c r="AJ877" s="19" t="s">
        <v>2585</v>
      </c>
      <c r="AK877" s="20" t="str">
        <f>HYPERLINK("https://docs.google.com/document/d/1HLzHHewWBdvgp_aL9h1BUhMEdLIliJob9Kw-bLOozGc/edit?usp=drivesdk","Silas Tanner - 6/15/2022 8:00 AM")</f>
        <v>Silas Tanner - 6/15/2022 8:00 AM</v>
      </c>
      <c r="AL877" s="12" t="s">
        <v>2586</v>
      </c>
    </row>
    <row r="878" spans="1:38" ht="12.75">
      <c r="A878" s="10">
        <f ca="1">IFERROR(__xludf.DUMMYFUNCTION("""COMPUTED_VALUE"""),44727.374861412)</f>
        <v>44727.374861411998</v>
      </c>
      <c r="B878" s="11" t="str">
        <f ca="1">IFERROR(__xludf.DUMMYFUNCTION("""COMPUTED_VALUE"""),"Pam Marcum ")</f>
        <v xml:space="preserve">Pam Marcum </v>
      </c>
      <c r="C878" t="str">
        <f ca="1">IFERROR(__xludf.DUMMYFUNCTION("""COMPUTED_VALUE"""),"Pamela.Marcum@FloridaDEP.gov")</f>
        <v>Pamela.Marcum@FloridaDEP.gov</v>
      </c>
      <c r="D878" t="str">
        <f ca="1">IFERROR(__xludf.DUMMYFUNCTION("""COMPUTED_VALUE"""),"Shannon Dunnigan")</f>
        <v>Shannon Dunnigan</v>
      </c>
      <c r="E878" t="str">
        <f ca="1">IFERROR(__xludf.DUMMYFUNCTION("""COMPUTED_VALUE"""),"Faver-Dykes")</f>
        <v>Faver-Dykes</v>
      </c>
      <c r="F878" s="13">
        <f ca="1">IFERROR(__xludf.DUMMYFUNCTION("""COMPUTED_VALUE"""),0.375)</f>
        <v>0.375</v>
      </c>
      <c r="G878" s="14">
        <f ca="1">IFERROR(__xludf.DUMMYFUNCTION("""COMPUTED_VALUE"""),44727)</f>
        <v>44727</v>
      </c>
      <c r="H878" t="str">
        <f ca="1">IFERROR(__xludf.DUMMYFUNCTION("""COMPUTED_VALUE"""),"Pellicer creek")</f>
        <v>Pellicer creek</v>
      </c>
      <c r="I878" s="15">
        <f ca="1">IFERROR(__xludf.DUMMYFUNCTION("""COMPUTED_VALUE"""),0.5)</f>
        <v>0.5</v>
      </c>
      <c r="J878" s="16">
        <f ca="1">IFERROR(__xludf.DUMMYFUNCTION("""COMPUTED_VALUE"""),44727.5208333333)</f>
        <v>44727.520833333299</v>
      </c>
      <c r="K878" t="str">
        <f ca="1">IFERROR(__xludf.DUMMYFUNCTION("""COMPUTED_VALUE"""),"17ft Skiff (Marsha) FL0642GW DEP07239")</f>
        <v>17ft Skiff (Marsha) FL0642GW DEP07239</v>
      </c>
      <c r="M878" t="str">
        <f ca="1">IFERROR(__xludf.DUMMYFUNCTION("""COMPUTED_VALUE"""),"Ford F150 2015 (White) - DEP21448")</f>
        <v>Ford F150 2015 (White) - DEP21448</v>
      </c>
      <c r="N878" t="str">
        <f ca="1">IFERROR(__xludf.DUMMYFUNCTION("""COMPUTED_VALUE"""),"Pam Marcum, (480) 332-5414, Remo Mondazzi")</f>
        <v>Pam Marcum, (480) 332-5414, Remo Mondazzi</v>
      </c>
      <c r="O878" t="str">
        <f ca="1">IFERROR(__xludf.DUMMYFUNCTION("""COMPUTED_VALUE"""),"Nate Schirmer")</f>
        <v>Nate Schirmer</v>
      </c>
      <c r="P878" t="str">
        <f ca="1">IFERROR(__xludf.DUMMYFUNCTION("""COMPUTED_VALUE"""),"Pam")</f>
        <v>Pam</v>
      </c>
      <c r="Q878" t="str">
        <f ca="1">IFERROR(__xludf.DUMMYFUNCTION("""COMPUTED_VALUE"""),"All items in working order")</f>
        <v>All items in working order</v>
      </c>
      <c r="AE878" s="11"/>
      <c r="AF878" t="str">
        <v>Shannon.Dunnigan@floridadep.gov</v>
      </c>
      <c r="AG878" s="17" t="s">
        <v>639</v>
      </c>
      <c r="AH878" s="12">
        <v>1214</v>
      </c>
      <c r="AI878" s="12" t="s">
        <v>2587</v>
      </c>
      <c r="AJ878" s="19" t="s">
        <v>2588</v>
      </c>
      <c r="AK878" s="20" t="str">
        <f>HYPERLINK("https://docs.google.com/document/d/1vp2z9GoJlmGQ5mPFexJ_yeX8JywNrEKMegDAuvXR56U/edit?usp=drivesdk","Pam Marcum  - 6/15/2022 9:00 AM")</f>
        <v>Pam Marcum  - 6/15/2022 9:00 AM</v>
      </c>
      <c r="AL878" s="12" t="s">
        <v>2589</v>
      </c>
    </row>
    <row r="879" spans="1:38" ht="12.75">
      <c r="A879" s="10">
        <f ca="1">IFERROR(__xludf.DUMMYFUNCTION("""COMPUTED_VALUE"""),44727.5150562847)</f>
        <v>44727.515056284697</v>
      </c>
      <c r="B879" s="11" t="str">
        <f ca="1">IFERROR(__xludf.DUMMYFUNCTION("""COMPUTED_VALUE"""),"Silas Tanner")</f>
        <v>Silas Tanner</v>
      </c>
      <c r="C879" t="str">
        <f ca="1">IFERROR(__xludf.DUMMYFUNCTION("""COMPUTED_VALUE"""),"silas.tanner@floridadep.gov")</f>
        <v>silas.tanner@floridadep.gov</v>
      </c>
      <c r="D879" t="str">
        <f ca="1">IFERROR(__xludf.DUMMYFUNCTION("""COMPUTED_VALUE"""),"Shannon Dunnigan")</f>
        <v>Shannon Dunnigan</v>
      </c>
      <c r="E879" t="str">
        <f ca="1">IFERROR(__xludf.DUMMYFUNCTION("""COMPUTED_VALUE"""),"Vilano Landing")</f>
        <v>Vilano Landing</v>
      </c>
      <c r="F879" s="13">
        <f ca="1">IFERROR(__xludf.DUMMYFUNCTION("""COMPUTED_VALUE"""),0.541666666667879)</f>
        <v>0.54166666666787899</v>
      </c>
      <c r="G879" s="14">
        <f ca="1">IFERROR(__xludf.DUMMYFUNCTION("""COMPUTED_VALUE"""),44727)</f>
        <v>44727</v>
      </c>
      <c r="H879" t="str">
        <f ca="1">IFERROR(__xludf.DUMMYFUNCTION("""COMPUTED_VALUE"""),"ICW PI &amp; SS SWMP sites")</f>
        <v>ICW PI &amp; SS SWMP sites</v>
      </c>
      <c r="I879" s="15">
        <f ca="1">IFERROR(__xludf.DUMMYFUNCTION("""COMPUTED_VALUE"""),0.625)</f>
        <v>0.625</v>
      </c>
      <c r="J879" s="16">
        <f ca="1">IFERROR(__xludf.DUMMYFUNCTION("""COMPUTED_VALUE"""),44727.6458333333)</f>
        <v>44727.645833333299</v>
      </c>
      <c r="K879" t="str">
        <f ca="1">IFERROR(__xludf.DUMMYFUNCTION("""COMPUTED_VALUE"""),"20ft Sea Ark FL5351SJ UNF 2015")</f>
        <v>20ft Sea Ark FL5351SJ UNF 2015</v>
      </c>
      <c r="M879" t="str">
        <f ca="1">IFERROR(__xludf.DUMMYFUNCTION("""COMPUTED_VALUE"""),"Ford F250 2017 (Moby Dix) - DEP0021578")</f>
        <v>Ford F250 2017 (Moby Dix) - DEP0021578</v>
      </c>
      <c r="N879" t="str">
        <f ca="1">IFERROR(__xludf.DUMMYFUNCTION("""COMPUTED_VALUE"""),"Silas Tanner, (904) 483-8423")</f>
        <v>Silas Tanner, (904) 483-8423</v>
      </c>
      <c r="O879" t="str">
        <f ca="1">IFERROR(__xludf.DUMMYFUNCTION("""COMPUTED_VALUE"""),"Emalee Swisshelm")</f>
        <v>Emalee Swisshelm</v>
      </c>
      <c r="P879" t="str">
        <f ca="1">IFERROR(__xludf.DUMMYFUNCTION("""COMPUTED_VALUE"""),"Silas Tanner")</f>
        <v>Silas Tanner</v>
      </c>
      <c r="Q879" t="str">
        <f ca="1">IFERROR(__xludf.DUMMYFUNCTION("""COMPUTED_VALUE"""),"All items in working order")</f>
        <v>All items in working order</v>
      </c>
      <c r="AE879" s="11"/>
      <c r="AF879" t="str">
        <v>Shannon.Dunnigan@floridadep.gov</v>
      </c>
      <c r="AG879" s="17" t="s">
        <v>639</v>
      </c>
      <c r="AH879" s="12">
        <v>1428</v>
      </c>
      <c r="AI879" s="12" t="s">
        <v>2590</v>
      </c>
      <c r="AJ879" s="19" t="s">
        <v>2591</v>
      </c>
      <c r="AK879" s="20" t="str">
        <f>HYPERLINK("https://docs.google.com/document/d/1Py0eELnjyMJBoK2Ni_wM5tf-ax0Ofra3psHqmRvrIpk/edit?usp=drivesdk","Silas Tanner - 6/15/2022 1:00 PM")</f>
        <v>Silas Tanner - 6/15/2022 1:00 PM</v>
      </c>
      <c r="AL879" s="12" t="s">
        <v>2592</v>
      </c>
    </row>
    <row r="880" spans="1:38" ht="12.75">
      <c r="A880" s="10">
        <f ca="1">IFERROR(__xludf.DUMMYFUNCTION("""COMPUTED_VALUE"""),44727.558394537)</f>
        <v>44727.558394537002</v>
      </c>
      <c r="B880" s="11" t="str">
        <f ca="1">IFERROR(__xludf.DUMMYFUNCTION("""COMPUTED_VALUE"""),"Jimmy")</f>
        <v>Jimmy</v>
      </c>
      <c r="C880" t="str">
        <f ca="1">IFERROR(__xludf.DUMMYFUNCTION("""COMPUTED_VALUE"""),"james.tomazinis@floridadep.gov")</f>
        <v>james.tomazinis@floridadep.gov</v>
      </c>
      <c r="D880" t="str">
        <f ca="1">IFERROR(__xludf.DUMMYFUNCTION("""COMPUTED_VALUE"""),"Scott Eastman")</f>
        <v>Scott Eastman</v>
      </c>
      <c r="E880" t="str">
        <f ca="1">IFERROR(__xludf.DUMMYFUNCTION("""COMPUTED_VALUE"""),"Vilano")</f>
        <v>Vilano</v>
      </c>
      <c r="F880" s="13">
        <f ca="1">IFERROR(__xludf.DUMMYFUNCTION("""COMPUTED_VALUE"""),0.55208333333212)</f>
        <v>0.55208333333212001</v>
      </c>
      <c r="G880" s="14">
        <f ca="1">IFERROR(__xludf.DUMMYFUNCTION("""COMPUTED_VALUE"""),44727)</f>
        <v>44727</v>
      </c>
      <c r="H880" t="str">
        <f ca="1">IFERROR(__xludf.DUMMYFUNCTION("""COMPUTED_VALUE"""),"Tolomato ")</f>
        <v xml:space="preserve">Tolomato </v>
      </c>
      <c r="I880" s="15">
        <f ca="1">IFERROR(__xludf.DUMMYFUNCTION("""COMPUTED_VALUE"""),0.666666666667879)</f>
        <v>0.66666666666787899</v>
      </c>
      <c r="J880" s="16"/>
      <c r="K880" t="str">
        <f ca="1">IFERROR(__xludf.DUMMYFUNCTION("""COMPUTED_VALUE"""),"23ft Skiff (Bertha) FL7972LJ DEP07613")</f>
        <v>23ft Skiff (Bertha) FL7972LJ DEP07613</v>
      </c>
      <c r="M880" t="str">
        <f ca="1">IFERROR(__xludf.DUMMYFUNCTION("""COMPUTED_VALUE"""),"Ford F150 2007 (F-Bomb) - DEP07055")</f>
        <v>Ford F150 2007 (F-Bomb) - DEP07055</v>
      </c>
      <c r="N880" t="str">
        <f ca="1">IFERROR(__xludf.DUMMYFUNCTION("""COMPUTED_VALUE"""),"Jimmy Tomazinis, (904) 547-0094")</f>
        <v>Jimmy Tomazinis, (904) 547-0094</v>
      </c>
      <c r="O880" t="str">
        <f ca="1">IFERROR(__xludf.DUMMYFUNCTION("""COMPUTED_VALUE"""),"Courtney, Rauney, Zach")</f>
        <v>Courtney, Rauney, Zach</v>
      </c>
      <c r="P880" t="str">
        <f ca="1">IFERROR(__xludf.DUMMYFUNCTION("""COMPUTED_VALUE"""),"Jimmy")</f>
        <v>Jimmy</v>
      </c>
      <c r="Q880" t="str">
        <f ca="1">IFERROR(__xludf.DUMMYFUNCTION("""COMPUTED_VALUE"""),"All items in working order")</f>
        <v>All items in working order</v>
      </c>
      <c r="AE880" s="11"/>
      <c r="AF880" t="str">
        <v>Scott.Eastman@floridadep.gov</v>
      </c>
      <c r="AG880" s="17" t="s">
        <v>17</v>
      </c>
      <c r="AH880" s="12">
        <v>1600</v>
      </c>
      <c r="AI880" s="12" t="s">
        <v>2593</v>
      </c>
      <c r="AJ880" s="19" t="s">
        <v>2594</v>
      </c>
      <c r="AK880" s="20" t="str">
        <f>HYPERLINK("https://docs.google.com/document/d/1BRJw2bdM1aYJfztrQhzxL9IXIuVuE7CBuSrnisRybno/edit?usp=drivesdk","Jimmy - 6/15/2022 1:15 PM")</f>
        <v>Jimmy - 6/15/2022 1:15 PM</v>
      </c>
      <c r="AL880" s="12" t="s">
        <v>2595</v>
      </c>
    </row>
    <row r="881" spans="1:38" ht="12.75">
      <c r="A881" s="10">
        <f ca="1">IFERROR(__xludf.DUMMYFUNCTION("""COMPUTED_VALUE"""),44728.323849375)</f>
        <v>44728.323849375003</v>
      </c>
      <c r="B881" s="11" t="str">
        <f ca="1">IFERROR(__xludf.DUMMYFUNCTION("""COMPUTED_VALUE"""),"Pam Marcum ")</f>
        <v xml:space="preserve">Pam Marcum </v>
      </c>
      <c r="C881" t="str">
        <f ca="1">IFERROR(__xludf.DUMMYFUNCTION("""COMPUTED_VALUE"""),"Pamela.Marcum@FloridaDEP.gov")</f>
        <v>Pamela.Marcum@FloridaDEP.gov</v>
      </c>
      <c r="D881" t="str">
        <f ca="1">IFERROR(__xludf.DUMMYFUNCTION("""COMPUTED_VALUE"""),"Shannon Dunnigan")</f>
        <v>Shannon Dunnigan</v>
      </c>
      <c r="E881" t="str">
        <f ca="1">IFERROR(__xludf.DUMMYFUNCTION("""COMPUTED_VALUE"""),"Faver-Dykes ")</f>
        <v xml:space="preserve">Faver-Dykes </v>
      </c>
      <c r="F881" s="13">
        <f ca="1">IFERROR(__xludf.DUMMYFUNCTION("""COMPUTED_VALUE"""),0.322916666667879)</f>
        <v>0.32291666666787899</v>
      </c>
      <c r="G881" s="14">
        <f ca="1">IFERROR(__xludf.DUMMYFUNCTION("""COMPUTED_VALUE"""),44728)</f>
        <v>44728</v>
      </c>
      <c r="H881" t="str">
        <f ca="1">IFERROR(__xludf.DUMMYFUNCTION("""COMPUTED_VALUE"""),"Middle pellicer creek")</f>
        <v>Middle pellicer creek</v>
      </c>
      <c r="I881" s="15">
        <f ca="1">IFERROR(__xludf.DUMMYFUNCTION("""COMPUTED_VALUE"""),0.479166666667879)</f>
        <v>0.47916666666787899</v>
      </c>
      <c r="J881" s="16">
        <f ca="1">IFERROR(__xludf.DUMMYFUNCTION("""COMPUTED_VALUE"""),44728.5208333333)</f>
        <v>44728.520833333299</v>
      </c>
      <c r="K881" t="str">
        <f ca="1">IFERROR(__xludf.DUMMYFUNCTION("""COMPUTED_VALUE"""),"17ft Skiff (Marsha) FL0642GW DEP07239")</f>
        <v>17ft Skiff (Marsha) FL0642GW DEP07239</v>
      </c>
      <c r="M881" t="str">
        <f ca="1">IFERROR(__xludf.DUMMYFUNCTION("""COMPUTED_VALUE"""),"Ford F150 2015 (White) - DEP21448")</f>
        <v>Ford F150 2015 (White) - DEP21448</v>
      </c>
      <c r="N881" t="str">
        <f ca="1">IFERROR(__xludf.DUMMYFUNCTION("""COMPUTED_VALUE"""),"Pam Marcum, (480) 332-5414, Remo Mondazzi")</f>
        <v>Pam Marcum, (480) 332-5414, Remo Mondazzi</v>
      </c>
      <c r="O881" t="str">
        <f ca="1">IFERROR(__xludf.DUMMYFUNCTION("""COMPUTED_VALUE"""),"Nate Schirmer")</f>
        <v>Nate Schirmer</v>
      </c>
      <c r="P881" t="str">
        <f ca="1">IFERROR(__xludf.DUMMYFUNCTION("""COMPUTED_VALUE"""),"Pam")</f>
        <v>Pam</v>
      </c>
      <c r="Q881" t="str">
        <f ca="1">IFERROR(__xludf.DUMMYFUNCTION("""COMPUTED_VALUE"""),"All items in working order")</f>
        <v>All items in working order</v>
      </c>
      <c r="AE881" s="11"/>
      <c r="AF881" t="str">
        <v>Shannon.Dunnigan@floridadep.gov</v>
      </c>
      <c r="AG881" s="17" t="s">
        <v>639</v>
      </c>
      <c r="AH881" s="12">
        <v>1135</v>
      </c>
      <c r="AI881" s="12" t="s">
        <v>2596</v>
      </c>
      <c r="AJ881" s="19" t="s">
        <v>2597</v>
      </c>
      <c r="AK881" s="20" t="str">
        <f>HYPERLINK("https://docs.google.com/document/d/1dZJMMDyCAlzBBB90I0BvE73CK9AgSYkLb7jDkVxBBF8/edit?usp=drivesdk","Pam Marcum  - 6/16/2022 7:45 AM")</f>
        <v>Pam Marcum  - 6/16/2022 7:45 AM</v>
      </c>
      <c r="AL881" s="12" t="s">
        <v>2598</v>
      </c>
    </row>
    <row r="882" spans="1:38" ht="12.75">
      <c r="A882" s="10">
        <f ca="1">IFERROR(__xludf.DUMMYFUNCTION("""COMPUTED_VALUE"""),44728.5126521064)</f>
        <v>44728.512652106401</v>
      </c>
      <c r="B882" s="11" t="str">
        <f ca="1">IFERROR(__xludf.DUMMYFUNCTION("""COMPUTED_VALUE"""),"Jimmy")</f>
        <v>Jimmy</v>
      </c>
      <c r="C882" t="str">
        <f ca="1">IFERROR(__xludf.DUMMYFUNCTION("""COMPUTED_VALUE"""),"janes.tomazinis@floridadep.gov")</f>
        <v>janes.tomazinis@floridadep.gov</v>
      </c>
      <c r="D882" t="str">
        <f ca="1">IFERROR(__xludf.DUMMYFUNCTION("""COMPUTED_VALUE"""),"Scott Eastman")</f>
        <v>Scott Eastman</v>
      </c>
      <c r="E882" t="str">
        <f ca="1">IFERROR(__xludf.DUMMYFUNCTION("""COMPUTED_VALUE"""),"Vilano")</f>
        <v>Vilano</v>
      </c>
      <c r="F882" s="13">
        <f ca="1">IFERROR(__xludf.DUMMYFUNCTION("""COMPUTED_VALUE"""),0.52083333333212)</f>
        <v>0.52083333333212001</v>
      </c>
      <c r="G882" s="14">
        <f ca="1">IFERROR(__xludf.DUMMYFUNCTION("""COMPUTED_VALUE"""),44728)</f>
        <v>44728</v>
      </c>
      <c r="H882" t="str">
        <f ca="1">IFERROR(__xludf.DUMMYFUNCTION("""COMPUTED_VALUE"""),"Salt run, San Sebastián, Moultrie")</f>
        <v>Salt run, San Sebastián, Moultrie</v>
      </c>
      <c r="I882" s="15">
        <f ca="1">IFERROR(__xludf.DUMMYFUNCTION("""COMPUTED_VALUE"""),0.697916666667879)</f>
        <v>0.69791666666787899</v>
      </c>
      <c r="J882" s="16"/>
      <c r="K882" t="str">
        <f ca="1">IFERROR(__xludf.DUMMYFUNCTION("""COMPUTED_VALUE"""),"23ft Skiff (Bertha) FL7972LJ DEP07613")</f>
        <v>23ft Skiff (Bertha) FL7972LJ DEP07613</v>
      </c>
      <c r="M882" t="str">
        <f ca="1">IFERROR(__xludf.DUMMYFUNCTION("""COMPUTED_VALUE"""),"Ford F150 2018 (ML AP) - DEP21637")</f>
        <v>Ford F150 2018 (ML AP) - DEP21637</v>
      </c>
      <c r="N882" t="str">
        <f ca="1">IFERROR(__xludf.DUMMYFUNCTION("""COMPUTED_VALUE"""),"Jimmy Tomazinis, (904) 547-0094")</f>
        <v>Jimmy Tomazinis, (904) 547-0094</v>
      </c>
      <c r="O882" t="str">
        <f ca="1">IFERROR(__xludf.DUMMYFUNCTION("""COMPUTED_VALUE"""),"Savanna Mathis, Allix North, Ed McGinley and class")</f>
        <v>Savanna Mathis, Allix North, Ed McGinley and class</v>
      </c>
      <c r="P882" t="str">
        <f ca="1">IFERROR(__xludf.DUMMYFUNCTION("""COMPUTED_VALUE"""),"Jimmy")</f>
        <v>Jimmy</v>
      </c>
      <c r="Q882" t="str">
        <f ca="1">IFERROR(__xludf.DUMMYFUNCTION("""COMPUTED_VALUE"""),"All items in working order")</f>
        <v>All items in working order</v>
      </c>
      <c r="AE882" s="11"/>
      <c r="AF882" t="str">
        <v>Scott.Eastman@floridadep.gov</v>
      </c>
      <c r="AG882" s="17" t="s">
        <v>17</v>
      </c>
      <c r="AH882" s="12">
        <v>1630</v>
      </c>
      <c r="AI882" s="12" t="s">
        <v>2599</v>
      </c>
      <c r="AJ882" s="19" t="s">
        <v>2600</v>
      </c>
      <c r="AK882" s="20" t="str">
        <f>HYPERLINK("https://docs.google.com/document/d/1jgQqQUT6rv1OYR067QfljONC9GGmea1zjGVhiprrAnA/edit?usp=drivesdk","Jimmy - 6/16/2022 12:30 PM")</f>
        <v>Jimmy - 6/16/2022 12:30 PM</v>
      </c>
      <c r="AL882" s="12" t="s">
        <v>2601</v>
      </c>
    </row>
    <row r="883" spans="1:38" ht="12.75">
      <c r="A883" s="10">
        <f ca="1">IFERROR(__xludf.DUMMYFUNCTION("""COMPUTED_VALUE"""),44729.340121574)</f>
        <v>44729.340121574001</v>
      </c>
      <c r="B883" s="11" t="str">
        <f ca="1">IFERROR(__xludf.DUMMYFUNCTION("""COMPUTED_VALUE"""),"Pam Marcum")</f>
        <v>Pam Marcum</v>
      </c>
      <c r="C883" t="str">
        <f ca="1">IFERROR(__xludf.DUMMYFUNCTION("""COMPUTED_VALUE"""),"Pamela.Marcum@FloridaDEP.gov")</f>
        <v>Pamela.Marcum@FloridaDEP.gov</v>
      </c>
      <c r="D883" t="str">
        <f ca="1">IFERROR(__xludf.DUMMYFUNCTION("""COMPUTED_VALUE"""),"Shannon Dunnigan")</f>
        <v>Shannon Dunnigan</v>
      </c>
      <c r="E883" t="str">
        <f ca="1">IFERROR(__xludf.DUMMYFUNCTION("""COMPUTED_VALUE"""),"Faver-Dykes ")</f>
        <v xml:space="preserve">Faver-Dykes </v>
      </c>
      <c r="F883" s="13">
        <f ca="1">IFERROR(__xludf.DUMMYFUNCTION("""COMPUTED_VALUE"""),0.33333333333212)</f>
        <v>0.33333333333212001</v>
      </c>
      <c r="G883" s="14">
        <f ca="1">IFERROR(__xludf.DUMMYFUNCTION("""COMPUTED_VALUE"""),44729)</f>
        <v>44729</v>
      </c>
      <c r="H883" t="str">
        <f ca="1">IFERROR(__xludf.DUMMYFUNCTION("""COMPUTED_VALUE"""),"Upper pellicer creek")</f>
        <v>Upper pellicer creek</v>
      </c>
      <c r="I883" s="15">
        <f ca="1">IFERROR(__xludf.DUMMYFUNCTION("""COMPUTED_VALUE"""),0.5)</f>
        <v>0.5</v>
      </c>
      <c r="J883" s="16">
        <f ca="1">IFERROR(__xludf.DUMMYFUNCTION("""COMPUTED_VALUE"""),44729.5416666666)</f>
        <v>44729.541666666599</v>
      </c>
      <c r="K883" t="str">
        <f ca="1">IFERROR(__xludf.DUMMYFUNCTION("""COMPUTED_VALUE"""),"17ft Skiff (Marsha) FL0642GW DEP07239")</f>
        <v>17ft Skiff (Marsha) FL0642GW DEP07239</v>
      </c>
      <c r="M883" t="str">
        <f ca="1">IFERROR(__xludf.DUMMYFUNCTION("""COMPUTED_VALUE"""),"Ford Explorer 2019 (ML AP/Stewardship) - DEP21833")</f>
        <v>Ford Explorer 2019 (ML AP/Stewardship) - DEP21833</v>
      </c>
      <c r="N883" t="str">
        <f ca="1">IFERROR(__xludf.DUMMYFUNCTION("""COMPUTED_VALUE"""),"Pam Marcum, (480) 332-5414")</f>
        <v>Pam Marcum, (480) 332-5414</v>
      </c>
      <c r="O883" t="str">
        <f ca="1">IFERROR(__xludf.DUMMYFUNCTION("""COMPUTED_VALUE"""),"Savanna Mathis, Allix North")</f>
        <v>Savanna Mathis, Allix North</v>
      </c>
      <c r="P883" t="str">
        <f ca="1">IFERROR(__xludf.DUMMYFUNCTION("""COMPUTED_VALUE"""),"Allix")</f>
        <v>Allix</v>
      </c>
      <c r="Q883" t="str">
        <f ca="1">IFERROR(__xludf.DUMMYFUNCTION("""COMPUTED_VALUE"""),"All items in working order")</f>
        <v>All items in working order</v>
      </c>
      <c r="AE883" s="11"/>
      <c r="AF883" t="str">
        <v>Shannon.Dunnigan@floridadep.gov</v>
      </c>
      <c r="AG883" s="17" t="s">
        <v>1568</v>
      </c>
      <c r="AH883" s="12">
        <v>1330</v>
      </c>
      <c r="AI883" s="12" t="s">
        <v>2602</v>
      </c>
      <c r="AJ883" s="19" t="s">
        <v>2603</v>
      </c>
      <c r="AK883" s="20" t="str">
        <f>HYPERLINK("https://docs.google.com/document/d/1Xr9941vqY4-hu2yih4FaE0O31yAdaI5UQbtKju1n2RY/edit?usp=drivesdk","Pam Marcum - 6/17/2022 8:00 AM")</f>
        <v>Pam Marcum - 6/17/2022 8:00 AM</v>
      </c>
      <c r="AL883" s="12" t="s">
        <v>2604</v>
      </c>
    </row>
    <row r="884" spans="1:38" ht="12.75">
      <c r="A884" s="10">
        <f ca="1">IFERROR(__xludf.DUMMYFUNCTION("""COMPUTED_VALUE"""),44732.3187380092)</f>
        <v>44732.318738009199</v>
      </c>
      <c r="B884" s="11" t="str">
        <f ca="1">IFERROR(__xludf.DUMMYFUNCTION("""COMPUTED_VALUE"""),"Silas Tanner")</f>
        <v>Silas Tanner</v>
      </c>
      <c r="C884" t="str">
        <f ca="1">IFERROR(__xludf.DUMMYFUNCTION("""COMPUTED_VALUE"""),"silas.tanner@floridadep.gov")</f>
        <v>silas.tanner@floridadep.gov</v>
      </c>
      <c r="D884" t="str">
        <f ca="1">IFERROR(__xludf.DUMMYFUNCTION("""COMPUTED_VALUE"""),"Nikki Dix")</f>
        <v>Nikki Dix</v>
      </c>
      <c r="E884" t="str">
        <f ca="1">IFERROR(__xludf.DUMMYFUNCTION("""COMPUTED_VALUE"""),"Vilano Landing")</f>
        <v>Vilano Landing</v>
      </c>
      <c r="F884" s="13">
        <f ca="1">IFERROR(__xludf.DUMMYFUNCTION("""COMPUTED_VALUE"""),0.33333333333212)</f>
        <v>0.33333333333212001</v>
      </c>
      <c r="G884" s="14">
        <f ca="1">IFERROR(__xludf.DUMMYFUNCTION("""COMPUTED_VALUE"""),44732)</f>
        <v>44732</v>
      </c>
      <c r="H884" t="str">
        <f ca="1">IFERROR(__xludf.DUMMYFUNCTION("""COMPUTED_VALUE"""),"ICW SWMP SS, PI")</f>
        <v>ICW SWMP SS, PI</v>
      </c>
      <c r="I884" s="15">
        <f ca="1">IFERROR(__xludf.DUMMYFUNCTION("""COMPUTED_VALUE"""),0.5)</f>
        <v>0.5</v>
      </c>
      <c r="J884" s="16">
        <f ca="1">IFERROR(__xludf.DUMMYFUNCTION("""COMPUTED_VALUE"""),44732.0208333333)</f>
        <v>44732.020833333299</v>
      </c>
      <c r="K884" t="str">
        <f ca="1">IFERROR(__xludf.DUMMYFUNCTION("""COMPUTED_VALUE"""),"20ft Sea Ark FL5351SJ UNF 2015")</f>
        <v>20ft Sea Ark FL5351SJ UNF 2015</v>
      </c>
      <c r="M884" t="str">
        <f ca="1">IFERROR(__xludf.DUMMYFUNCTION("""COMPUTED_VALUE"""),"Ford F250 2017 (Moby Dix) - DEP0021578")</f>
        <v>Ford F250 2017 (Moby Dix) - DEP0021578</v>
      </c>
      <c r="N884" t="str">
        <f ca="1">IFERROR(__xludf.DUMMYFUNCTION("""COMPUTED_VALUE"""),"Silas Tanner, (904) 483-8423")</f>
        <v>Silas Tanner, (904) 483-8423</v>
      </c>
      <c r="O884" t="str">
        <f ca="1">IFERROR(__xludf.DUMMYFUNCTION("""COMPUTED_VALUE"""),"Emalee Swisshelm")</f>
        <v>Emalee Swisshelm</v>
      </c>
      <c r="P884" t="str">
        <f ca="1">IFERROR(__xludf.DUMMYFUNCTION("""COMPUTED_VALUE"""),"Silas Tanner")</f>
        <v>Silas Tanner</v>
      </c>
      <c r="Q884" t="str">
        <f ca="1">IFERROR(__xludf.DUMMYFUNCTION("""COMPUTED_VALUE"""),"All items in working order")</f>
        <v>All items in working order</v>
      </c>
      <c r="AE884" s="11"/>
      <c r="AF884" t="str">
        <v>Nikki.Dix@floridadep.gov</v>
      </c>
      <c r="AG884" s="17" t="s">
        <v>1568</v>
      </c>
      <c r="AH884" s="12">
        <v>931</v>
      </c>
      <c r="AI884" s="12" t="s">
        <v>2605</v>
      </c>
      <c r="AJ884" s="19" t="s">
        <v>2606</v>
      </c>
      <c r="AK884" s="20" t="str">
        <f>HYPERLINK("https://docs.google.com/document/d/15lNDMSGEk_R1rMeziaLuwP95ngHoSL5S61DXP5E-EWQ/edit?usp=drivesdk","Silas Tanner - 6/20/2022 8:00 AM")</f>
        <v>Silas Tanner - 6/20/2022 8:00 AM</v>
      </c>
      <c r="AL884" s="12" t="s">
        <v>2607</v>
      </c>
    </row>
    <row r="885" spans="1:38" ht="12.75">
      <c r="A885" s="10">
        <f ca="1">IFERROR(__xludf.DUMMYFUNCTION("""COMPUTED_VALUE"""),44732.3273486921)</f>
        <v>44732.327348692103</v>
      </c>
      <c r="B885" s="11" t="str">
        <f ca="1">IFERROR(__xludf.DUMMYFUNCTION("""COMPUTED_VALUE"""),"Pamela Marcum ")</f>
        <v xml:space="preserve">Pamela Marcum </v>
      </c>
      <c r="C885" t="str">
        <f ca="1">IFERROR(__xludf.DUMMYFUNCTION("""COMPUTED_VALUE"""),"Pamela.Marcum@FloridaDEP.gov")</f>
        <v>Pamela.Marcum@FloridaDEP.gov</v>
      </c>
      <c r="D885" t="str">
        <f ca="1">IFERROR(__xludf.DUMMYFUNCTION("""COMPUTED_VALUE"""),"Nikki Dix")</f>
        <v>Nikki Dix</v>
      </c>
      <c r="E885" t="str">
        <f ca="1">IFERROR(__xludf.DUMMYFUNCTION("""COMPUTED_VALUE"""),"Aunt kates")</f>
        <v>Aunt kates</v>
      </c>
      <c r="F885" s="13">
        <f ca="1">IFERROR(__xludf.DUMMYFUNCTION("""COMPUTED_VALUE"""),0.322916666667879)</f>
        <v>0.32291666666787899</v>
      </c>
      <c r="G885" s="14">
        <f ca="1">IFERROR(__xludf.DUMMYFUNCTION("""COMPUTED_VALUE"""),44732)</f>
        <v>44732</v>
      </c>
      <c r="H885" t="str">
        <f ca="1">IFERROR(__xludf.DUMMYFUNCTION("""COMPUTED_VALUE"""),"Guana river")</f>
        <v>Guana river</v>
      </c>
      <c r="I885" s="15">
        <f ca="1">IFERROR(__xludf.DUMMYFUNCTION("""COMPUTED_VALUE"""),0.4375)</f>
        <v>0.4375</v>
      </c>
      <c r="J885" s="16">
        <f ca="1">IFERROR(__xludf.DUMMYFUNCTION("""COMPUTED_VALUE"""),44732.4583333333)</f>
        <v>44732.458333333299</v>
      </c>
      <c r="K885" t="str">
        <f ca="1">IFERROR(__xludf.DUMMYFUNCTION("""COMPUTED_VALUE"""),"23ft Skiff (Bertha) FL7972LJ DEP07613")</f>
        <v>23ft Skiff (Bertha) FL7972LJ DEP07613</v>
      </c>
      <c r="M885" t="str">
        <f ca="1">IFERROR(__xludf.DUMMYFUNCTION("""COMPUTED_VALUE"""),"Ford F150 2015 (White) - DEP21448")</f>
        <v>Ford F150 2015 (White) - DEP21448</v>
      </c>
      <c r="N885" t="str">
        <f ca="1">IFERROR(__xludf.DUMMYFUNCTION("""COMPUTED_VALUE"""),"Pam Marcum, (480) 332-5414")</f>
        <v>Pam Marcum, (480) 332-5414</v>
      </c>
      <c r="O885" t="str">
        <f ca="1">IFERROR(__xludf.DUMMYFUNCTION("""COMPUTED_VALUE"""),"Jaleigh Pier, Greg Dietl, Talyne Pier")</f>
        <v>Jaleigh Pier, Greg Dietl, Talyne Pier</v>
      </c>
      <c r="P885" t="str">
        <f ca="1">IFERROR(__xludf.DUMMYFUNCTION("""COMPUTED_VALUE"""),"Pam")</f>
        <v>Pam</v>
      </c>
      <c r="Q885" t="str">
        <f ca="1">IFERROR(__xludf.DUMMYFUNCTION("""COMPUTED_VALUE"""),"All items in working order")</f>
        <v>All items in working order</v>
      </c>
      <c r="AE885" s="11"/>
      <c r="AF885" t="str">
        <v>Nikki.Dix@floridadep.gov</v>
      </c>
      <c r="AG885" s="17" t="s">
        <v>17</v>
      </c>
      <c r="AH885" s="12">
        <v>1130</v>
      </c>
      <c r="AI885" s="12" t="s">
        <v>2608</v>
      </c>
      <c r="AJ885" s="19" t="s">
        <v>2609</v>
      </c>
      <c r="AK885" s="20" t="str">
        <f>HYPERLINK("https://docs.google.com/document/d/1p9TmGP2UwhfsiAdm7GT8VtNI_oMYbxWwn0M5F0QKEFA/edit?usp=drivesdk","Pamela Marcum  - 6/20/2022 7:45 AM")</f>
        <v>Pamela Marcum  - 6/20/2022 7:45 AM</v>
      </c>
      <c r="AL885" s="12" t="s">
        <v>2610</v>
      </c>
    </row>
    <row r="886" spans="1:38" ht="12.75">
      <c r="A886" s="10">
        <f ca="1">IFERROR(__xludf.DUMMYFUNCTION("""COMPUTED_VALUE"""),44732.4860955324)</f>
        <v>44732.486095532397</v>
      </c>
      <c r="B886" s="11" t="str">
        <f ca="1">IFERROR(__xludf.DUMMYFUNCTION("""COMPUTED_VALUE"""),"Silas Tanner")</f>
        <v>Silas Tanner</v>
      </c>
      <c r="C886" t="str">
        <f ca="1">IFERROR(__xludf.DUMMYFUNCTION("""COMPUTED_VALUE"""),"silas.tanner@floridadep.gov")</f>
        <v>silas.tanner@floridadep.gov</v>
      </c>
      <c r="D886" t="str">
        <f ca="1">IFERROR(__xludf.DUMMYFUNCTION("""COMPUTED_VALUE"""),"Nikki Dix")</f>
        <v>Nikki Dix</v>
      </c>
      <c r="E886" t="str">
        <f ca="1">IFERROR(__xludf.DUMMYFUNCTION("""COMPUTED_VALUE"""),"Vilano Landing")</f>
        <v>Vilano Landing</v>
      </c>
      <c r="F886" s="13">
        <f ca="1">IFERROR(__xludf.DUMMYFUNCTION("""COMPUTED_VALUE"""),0.510416666667879)</f>
        <v>0.51041666666787899</v>
      </c>
      <c r="G886" s="14">
        <f ca="1">IFERROR(__xludf.DUMMYFUNCTION("""COMPUTED_VALUE"""),44732)</f>
        <v>44732</v>
      </c>
      <c r="H886" t="str">
        <f ca="1">IFERROR(__xludf.DUMMYFUNCTION("""COMPUTED_VALUE"""),"ICW SS and PI SWMP sites")</f>
        <v>ICW SS and PI SWMP sites</v>
      </c>
      <c r="I886" s="15">
        <f ca="1">IFERROR(__xludf.DUMMYFUNCTION("""COMPUTED_VALUE"""),0.572916666667879)</f>
        <v>0.57291666666787899</v>
      </c>
      <c r="J886" s="16">
        <f ca="1">IFERROR(__xludf.DUMMYFUNCTION("""COMPUTED_VALUE"""),44732.5833333333)</f>
        <v>44732.583333333299</v>
      </c>
      <c r="K886" t="str">
        <f ca="1">IFERROR(__xludf.DUMMYFUNCTION("""COMPUTED_VALUE"""),"20ft Sea Ark FL5351SJ UNF 2015")</f>
        <v>20ft Sea Ark FL5351SJ UNF 2015</v>
      </c>
      <c r="M886" t="str">
        <f ca="1">IFERROR(__xludf.DUMMYFUNCTION("""COMPUTED_VALUE"""),"Ford F250 2017 (Moby Dix) - DEP0021578")</f>
        <v>Ford F250 2017 (Moby Dix) - DEP0021578</v>
      </c>
      <c r="N886" t="str">
        <f ca="1">IFERROR(__xludf.DUMMYFUNCTION("""COMPUTED_VALUE"""),"Silas Tanner, (904) 483-8423")</f>
        <v>Silas Tanner, (904) 483-8423</v>
      </c>
      <c r="O886" t="str">
        <f ca="1">IFERROR(__xludf.DUMMYFUNCTION("""COMPUTED_VALUE"""),"Emalee Swisshelm, Nate Shiermer")</f>
        <v>Emalee Swisshelm, Nate Shiermer</v>
      </c>
      <c r="P886" t="str">
        <f ca="1">IFERROR(__xludf.DUMMYFUNCTION("""COMPUTED_VALUE"""),"S. Tanner")</f>
        <v>S. Tanner</v>
      </c>
      <c r="Q886" t="str">
        <f ca="1">IFERROR(__xludf.DUMMYFUNCTION("""COMPUTED_VALUE"""),"All items in working order")</f>
        <v>All items in working order</v>
      </c>
      <c r="AE886" s="11"/>
      <c r="AF886" t="str">
        <v>Nikki.Dix@floridadep.gov</v>
      </c>
      <c r="AG886" s="17" t="s">
        <v>41</v>
      </c>
      <c r="AH886" s="12">
        <v>1330</v>
      </c>
      <c r="AI886" s="12" t="s">
        <v>2611</v>
      </c>
      <c r="AJ886" s="19" t="s">
        <v>2612</v>
      </c>
      <c r="AK886" s="20" t="str">
        <f>HYPERLINK("https://docs.google.com/document/d/1t-iXgZBRD6BHtMCUQ4VXPpyWX3djDTjyiF37jVwvZso/edit?usp=drivesdk","Silas Tanner - 6/20/2022 12:15 PM")</f>
        <v>Silas Tanner - 6/20/2022 12:15 PM</v>
      </c>
      <c r="AL886" s="12" t="s">
        <v>2613</v>
      </c>
    </row>
    <row r="887" spans="1:38" ht="12.75">
      <c r="A887" s="10">
        <f ca="1">IFERROR(__xludf.DUMMYFUNCTION("""COMPUTED_VALUE"""),44733.2740545023)</f>
        <v>44733.274054502297</v>
      </c>
      <c r="B887" s="11" t="str">
        <f ca="1">IFERROR(__xludf.DUMMYFUNCTION("""COMPUTED_VALUE"""),"Pam Marcum")</f>
        <v>Pam Marcum</v>
      </c>
      <c r="C887" t="str">
        <f ca="1">IFERROR(__xludf.DUMMYFUNCTION("""COMPUTED_VALUE"""),"Pamela.Marcum@FloridaDEP.gov")</f>
        <v>Pamela.Marcum@FloridaDEP.gov</v>
      </c>
      <c r="D887" t="str">
        <f ca="1">IFERROR(__xludf.DUMMYFUNCTION("""COMPUTED_VALUE"""),"Nikki Dix")</f>
        <v>Nikki Dix</v>
      </c>
      <c r="E887" t="str">
        <f ca="1">IFERROR(__xludf.DUMMYFUNCTION("""COMPUTED_VALUE"""),"Aunt Kate's")</f>
        <v>Aunt Kate's</v>
      </c>
      <c r="F887" s="13">
        <f ca="1">IFERROR(__xludf.DUMMYFUNCTION("""COMPUTED_VALUE"""),0.30208333333212)</f>
        <v>0.30208333333212001</v>
      </c>
      <c r="G887" s="14">
        <f ca="1">IFERROR(__xludf.DUMMYFUNCTION("""COMPUTED_VALUE"""),44733)</f>
        <v>44733</v>
      </c>
      <c r="H887" t="str">
        <f ca="1">IFERROR(__xludf.DUMMYFUNCTION("""COMPUTED_VALUE"""),"Guana River")</f>
        <v>Guana River</v>
      </c>
      <c r="I887" s="15">
        <f ca="1">IFERROR(__xludf.DUMMYFUNCTION("""COMPUTED_VALUE"""),0.45833333333212)</f>
        <v>0.45833333333212001</v>
      </c>
      <c r="J887" s="16">
        <f ca="1">IFERROR(__xludf.DUMMYFUNCTION("""COMPUTED_VALUE"""),44733.4791666666)</f>
        <v>44733.479166666599</v>
      </c>
      <c r="K887" t="str">
        <f ca="1">IFERROR(__xludf.DUMMYFUNCTION("""COMPUTED_VALUE"""),"23ft Skiff (Bertha) FL7972LJ DEP07613")</f>
        <v>23ft Skiff (Bertha) FL7972LJ DEP07613</v>
      </c>
      <c r="M887" t="str">
        <f ca="1">IFERROR(__xludf.DUMMYFUNCTION("""COMPUTED_VALUE"""),"Ford F150 2015 (White) - DEP21448")</f>
        <v>Ford F150 2015 (White) - DEP21448</v>
      </c>
      <c r="N887" t="str">
        <f ca="1">IFERROR(__xludf.DUMMYFUNCTION("""COMPUTED_VALUE"""),"Pam Marcum, (480) 332-5414")</f>
        <v>Pam Marcum, (480) 332-5414</v>
      </c>
      <c r="O887" t="str">
        <f ca="1">IFERROR(__xludf.DUMMYFUNCTION("""COMPUTED_VALUE"""),"Jacob Berna, Jaliegh Pier, Talyne Pier, Greg Dietl")</f>
        <v>Jacob Berna, Jaliegh Pier, Talyne Pier, Greg Dietl</v>
      </c>
      <c r="P887" t="str">
        <f ca="1">IFERROR(__xludf.DUMMYFUNCTION("""COMPUTED_VALUE"""),"Pam")</f>
        <v>Pam</v>
      </c>
      <c r="Q887" t="str">
        <f ca="1">IFERROR(__xludf.DUMMYFUNCTION("""COMPUTED_VALUE"""),"All items in working order")</f>
        <v>All items in working order</v>
      </c>
      <c r="AE887" s="11"/>
      <c r="AF887" t="str">
        <v>Nikki.Dix@floridadep.gov</v>
      </c>
      <c r="AG887" s="17" t="s">
        <v>126</v>
      </c>
      <c r="AH887" s="12">
        <v>1119</v>
      </c>
      <c r="AI887" s="12" t="s">
        <v>2614</v>
      </c>
      <c r="AJ887" s="19" t="s">
        <v>2615</v>
      </c>
      <c r="AK887" s="20" t="str">
        <f>HYPERLINK("https://docs.google.com/document/d/1v4coNZ73S1GtVPoxOlkQN9spJn13uE74cnmPyRObaLY/edit?usp=drivesdk","Pam Marcum - 6/21/2022 7:15 AM")</f>
        <v>Pam Marcum - 6/21/2022 7:15 AM</v>
      </c>
      <c r="AL887" s="12" t="s">
        <v>2616</v>
      </c>
    </row>
    <row r="888" spans="1:38" ht="12.75">
      <c r="A888" s="10">
        <f ca="1">IFERROR(__xludf.DUMMYFUNCTION("""COMPUTED_VALUE"""),44733.2867520833)</f>
        <v>44733.286752083302</v>
      </c>
      <c r="B888" s="11" t="str">
        <f ca="1">IFERROR(__xludf.DUMMYFUNCTION("""COMPUTED_VALUE"""),"Jimmy")</f>
        <v>Jimmy</v>
      </c>
      <c r="C888" t="str">
        <f ca="1">IFERROR(__xludf.DUMMYFUNCTION("""COMPUTED_VALUE"""),"james.tomazinis@floridadep.gov")</f>
        <v>james.tomazinis@floridadep.gov</v>
      </c>
      <c r="D888" t="str">
        <f ca="1">IFERROR(__xludf.DUMMYFUNCTION("""COMPUTED_VALUE"""),"Scott Eastman")</f>
        <v>Scott Eastman</v>
      </c>
      <c r="E888" t="str">
        <f ca="1">IFERROR(__xludf.DUMMYFUNCTION("""COMPUTED_VALUE"""),"Holly Point")</f>
        <v>Holly Point</v>
      </c>
      <c r="F888" s="13">
        <f ca="1">IFERROR(__xludf.DUMMYFUNCTION("""COMPUTED_VALUE"""),0.39583333333212)</f>
        <v>0.39583333333212001</v>
      </c>
      <c r="G888" s="14">
        <f ca="1">IFERROR(__xludf.DUMMYFUNCTION("""COMPUTED_VALUE"""),44733)</f>
        <v>44733</v>
      </c>
      <c r="H888" t="str">
        <f ca="1">IFERROR(__xludf.DUMMYFUNCTION("""COMPUTED_VALUE"""),"Edwards WQ site")</f>
        <v>Edwards WQ site</v>
      </c>
      <c r="I888" s="15">
        <f ca="1">IFERROR(__xludf.DUMMYFUNCTION("""COMPUTED_VALUE"""),0.541666666667879)</f>
        <v>0.54166666666787899</v>
      </c>
      <c r="J888" s="16"/>
      <c r="K888" t="str">
        <f ca="1">IFERROR(__xludf.DUMMYFUNCTION("""COMPUTED_VALUE"""),"F 20ft Sea Ark (Easy 200) FL8534PY DEP21451")</f>
        <v>F 20ft Sea Ark (Easy 200) FL8534PY DEP21451</v>
      </c>
      <c r="M888" t="str">
        <f ca="1">IFERROR(__xludf.DUMMYFUNCTION("""COMPUTED_VALUE"""),"Ford F150 2007 (F-Bomb) - DEP07055")</f>
        <v>Ford F150 2007 (F-Bomb) - DEP07055</v>
      </c>
      <c r="N888" t="str">
        <f ca="1">IFERROR(__xludf.DUMMYFUNCTION("""COMPUTED_VALUE"""),"Jimmy Tomazinis, (904) 547-0094")</f>
        <v>Jimmy Tomazinis, (904) 547-0094</v>
      </c>
      <c r="O888" t="str">
        <f ca="1">IFERROR(__xludf.DUMMYFUNCTION("""COMPUTED_VALUE"""),"Chris Kurtz ")</f>
        <v xml:space="preserve">Chris Kurtz </v>
      </c>
      <c r="P888" t="str">
        <f ca="1">IFERROR(__xludf.DUMMYFUNCTION("""COMPUTED_VALUE"""),"Jimmy")</f>
        <v>Jimmy</v>
      </c>
      <c r="Q888" t="str">
        <f ca="1">IFERROR(__xludf.DUMMYFUNCTION("""COMPUTED_VALUE"""),"All items in working order")</f>
        <v>All items in working order</v>
      </c>
      <c r="AE888" s="11"/>
      <c r="AF888" t="str">
        <v>Scott.Eastman@floridadep.gov</v>
      </c>
      <c r="AG888" s="17" t="s">
        <v>17</v>
      </c>
      <c r="AH888" s="12">
        <v>1630</v>
      </c>
      <c r="AI888" s="12" t="s">
        <v>2617</v>
      </c>
      <c r="AJ888" s="19" t="s">
        <v>2618</v>
      </c>
      <c r="AK888" s="20" t="str">
        <f>HYPERLINK("https://docs.google.com/document/d/1ro-4Y7p6cyziDtZoxCcvcm4YKUqSc90J4RxzMD550-U/edit?usp=drivesdk","Jimmy - 6/21/2022 9:30 AM")</f>
        <v>Jimmy - 6/21/2022 9:30 AM</v>
      </c>
      <c r="AL888" s="12" t="s">
        <v>2619</v>
      </c>
    </row>
    <row r="889" spans="1:38" ht="12.75">
      <c r="A889" s="10">
        <f ca="1">IFERROR(__xludf.DUMMYFUNCTION("""COMPUTED_VALUE"""),44733.3243448958)</f>
        <v>44733.324344895802</v>
      </c>
      <c r="B889" s="11" t="str">
        <f ca="1">IFERROR(__xludf.DUMMYFUNCTION("""COMPUTED_VALUE"""),"Silas Tanner")</f>
        <v>Silas Tanner</v>
      </c>
      <c r="C889" t="str">
        <f ca="1">IFERROR(__xludf.DUMMYFUNCTION("""COMPUTED_VALUE"""),"silas.tanner@floridadep.gov")</f>
        <v>silas.tanner@floridadep.gov</v>
      </c>
      <c r="D889" t="str">
        <f ca="1">IFERROR(__xludf.DUMMYFUNCTION("""COMPUTED_VALUE"""),"Nikki Dix")</f>
        <v>Nikki Dix</v>
      </c>
      <c r="E889" t="str">
        <f ca="1">IFERROR(__xludf.DUMMYFUNCTION("""COMPUTED_VALUE"""),"Vilano Landing")</f>
        <v>Vilano Landing</v>
      </c>
      <c r="F889" s="13">
        <f ca="1">IFERROR(__xludf.DUMMYFUNCTION("""COMPUTED_VALUE"""),0.33333333333212)</f>
        <v>0.33333333333212001</v>
      </c>
      <c r="G889" s="14">
        <f ca="1">IFERROR(__xludf.DUMMYFUNCTION("""COMPUTED_VALUE"""),44733)</f>
        <v>44733</v>
      </c>
      <c r="H889" t="str">
        <f ca="1">IFERROR(__xludf.DUMMYFUNCTION("""COMPUTED_VALUE"""),"ICW SWMP SS, PI")</f>
        <v>ICW SWMP SS, PI</v>
      </c>
      <c r="I889" s="15">
        <f ca="1">IFERROR(__xludf.DUMMYFUNCTION("""COMPUTED_VALUE"""),0.95833333333212)</f>
        <v>0.95833333333212001</v>
      </c>
      <c r="J889" s="16">
        <f ca="1">IFERROR(__xludf.DUMMYFUNCTION("""COMPUTED_VALUE"""),44733.4791666666)</f>
        <v>44733.479166666599</v>
      </c>
      <c r="K889" t="str">
        <f ca="1">IFERROR(__xludf.DUMMYFUNCTION("""COMPUTED_VALUE"""),"20ft Sea Ark FL5351SJ UNF 2015")</f>
        <v>20ft Sea Ark FL5351SJ UNF 2015</v>
      </c>
      <c r="M889" t="str">
        <f ca="1">IFERROR(__xludf.DUMMYFUNCTION("""COMPUTED_VALUE"""),"Ford F250 2017 (Moby Dix) - DEP0021578")</f>
        <v>Ford F250 2017 (Moby Dix) - DEP0021578</v>
      </c>
      <c r="N889" t="str">
        <f ca="1">IFERROR(__xludf.DUMMYFUNCTION("""COMPUTED_VALUE"""),"Silas Tanner, (904) 483-8423")</f>
        <v>Silas Tanner, (904) 483-8423</v>
      </c>
      <c r="O889" t="str">
        <f ca="1">IFERROR(__xludf.DUMMYFUNCTION("""COMPUTED_VALUE"""),"Emalee Swisshelm")</f>
        <v>Emalee Swisshelm</v>
      </c>
      <c r="P889" t="str">
        <f ca="1">IFERROR(__xludf.DUMMYFUNCTION("""COMPUTED_VALUE"""),"Silas Tanner")</f>
        <v>Silas Tanner</v>
      </c>
      <c r="Q889" t="str">
        <f ca="1">IFERROR(__xludf.DUMMYFUNCTION("""COMPUTED_VALUE"""),"All items in working order")</f>
        <v>All items in working order</v>
      </c>
      <c r="AE889" s="11"/>
      <c r="AF889" t="str">
        <v>Nikki.Dix@floridadep.gov</v>
      </c>
      <c r="AG889" s="17" t="s">
        <v>41</v>
      </c>
      <c r="AH889" s="12">
        <v>938</v>
      </c>
      <c r="AI889" s="12" t="s">
        <v>2620</v>
      </c>
      <c r="AJ889" s="19" t="s">
        <v>2621</v>
      </c>
      <c r="AK889" s="20" t="str">
        <f>HYPERLINK("https://docs.google.com/document/d/14gdSDwcjH75LHzQIapjW8GiD85udQ4PIdtP-kja9pAQ/edit?usp=drivesdk","Silas Tanner - 6/21/2022 8:00 AM")</f>
        <v>Silas Tanner - 6/21/2022 8:00 AM</v>
      </c>
      <c r="AL889" s="12" t="s">
        <v>2622</v>
      </c>
    </row>
    <row r="890" spans="1:38" ht="12.75">
      <c r="A890" s="10">
        <f ca="1">IFERROR(__xludf.DUMMYFUNCTION("""COMPUTED_VALUE"""),44733.5197507523)</f>
        <v>44733.519750752297</v>
      </c>
      <c r="B890" s="11" t="str">
        <f ca="1">IFERROR(__xludf.DUMMYFUNCTION("""COMPUTED_VALUE"""),"Silas Tanner")</f>
        <v>Silas Tanner</v>
      </c>
      <c r="C890" t="str">
        <f ca="1">IFERROR(__xludf.DUMMYFUNCTION("""COMPUTED_VALUE"""),"silas.tanner@floridadep.gov")</f>
        <v>silas.tanner@floridadep.gov</v>
      </c>
      <c r="D890" t="str">
        <f ca="1">IFERROR(__xludf.DUMMYFUNCTION("""COMPUTED_VALUE"""),"Nikki Dix")</f>
        <v>Nikki Dix</v>
      </c>
      <c r="E890" t="str">
        <f ca="1">IFERROR(__xludf.DUMMYFUNCTION("""COMPUTED_VALUE"""),"Vilano Landing")</f>
        <v>Vilano Landing</v>
      </c>
      <c r="F890" s="13">
        <f ca="1">IFERROR(__xludf.DUMMYFUNCTION("""COMPUTED_VALUE"""),0.541666666667879)</f>
        <v>0.54166666666787899</v>
      </c>
      <c r="G890" s="14">
        <f ca="1">IFERROR(__xludf.DUMMYFUNCTION("""COMPUTED_VALUE"""),44733)</f>
        <v>44733</v>
      </c>
      <c r="H890" t="str">
        <f ca="1">IFERROR(__xludf.DUMMYFUNCTION("""COMPUTED_VALUE"""),"ICW SWMP Sites PI &amp; SS")</f>
        <v>ICW SWMP Sites PI &amp; SS</v>
      </c>
      <c r="I890" s="15">
        <f ca="1">IFERROR(__xludf.DUMMYFUNCTION("""COMPUTED_VALUE"""),0.61458333333212)</f>
        <v>0.61458333333212001</v>
      </c>
      <c r="J890" s="16">
        <f ca="1">IFERROR(__xludf.DUMMYFUNCTION("""COMPUTED_VALUE"""),44733.625)</f>
        <v>44733.625</v>
      </c>
      <c r="K890" t="str">
        <f ca="1">IFERROR(__xludf.DUMMYFUNCTION("""COMPUTED_VALUE"""),"20ft Sea Ark FL5351SJ UNF 2015")</f>
        <v>20ft Sea Ark FL5351SJ UNF 2015</v>
      </c>
      <c r="M890" t="str">
        <f ca="1">IFERROR(__xludf.DUMMYFUNCTION("""COMPUTED_VALUE"""),"Ford F250 2017 (Moby Dix) - DEP0021578")</f>
        <v>Ford F250 2017 (Moby Dix) - DEP0021578</v>
      </c>
      <c r="N890" t="str">
        <f ca="1">IFERROR(__xludf.DUMMYFUNCTION("""COMPUTED_VALUE"""),"Silas Tanner, (904) 483-8423")</f>
        <v>Silas Tanner, (904) 483-8423</v>
      </c>
      <c r="O890" t="str">
        <f ca="1">IFERROR(__xludf.DUMMYFUNCTION("""COMPUTED_VALUE"""),"Emalee Swisshelm")</f>
        <v>Emalee Swisshelm</v>
      </c>
      <c r="P890" t="str">
        <f ca="1">IFERROR(__xludf.DUMMYFUNCTION("""COMPUTED_VALUE"""),"Silas Tanner")</f>
        <v>Silas Tanner</v>
      </c>
      <c r="Q890" t="str">
        <f ca="1">IFERROR(__xludf.DUMMYFUNCTION("""COMPUTED_VALUE"""),"All items in working order")</f>
        <v>All items in working order</v>
      </c>
      <c r="AE890" s="11"/>
      <c r="AF890" t="str">
        <v>Nikki.Dix@floridadep.gov</v>
      </c>
      <c r="AG890" s="17" t="s">
        <v>41</v>
      </c>
      <c r="AH890" s="12">
        <v>1440</v>
      </c>
      <c r="AI890" s="12" t="s">
        <v>2623</v>
      </c>
      <c r="AJ890" s="19" t="s">
        <v>2624</v>
      </c>
      <c r="AK890" s="20" t="str">
        <f>HYPERLINK("https://docs.google.com/document/d/17OnkznXDLUMXxnnB3QUe_MfYmMD4l6DKthEVWAJW0C8/edit?usp=drivesdk","Silas Tanner - 6/21/2022 1:00 PM")</f>
        <v>Silas Tanner - 6/21/2022 1:00 PM</v>
      </c>
      <c r="AL890" s="12" t="s">
        <v>2625</v>
      </c>
    </row>
    <row r="891" spans="1:38" ht="12.75">
      <c r="A891" s="10">
        <f ca="1">IFERROR(__xludf.DUMMYFUNCTION("""COMPUTED_VALUE"""),44734.2888318865)</f>
        <v>44734.288831886501</v>
      </c>
      <c r="B891" s="11" t="str">
        <f ca="1">IFERROR(__xludf.DUMMYFUNCTION("""COMPUTED_VALUE"""),"Jimmy")</f>
        <v>Jimmy</v>
      </c>
      <c r="C891" t="str">
        <f ca="1">IFERROR(__xludf.DUMMYFUNCTION("""COMPUTED_VALUE"""),"james.tomazinis@floridadep.gov")</f>
        <v>james.tomazinis@floridadep.gov</v>
      </c>
      <c r="D891" t="str">
        <f ca="1">IFERROR(__xludf.DUMMYFUNCTION("""COMPUTED_VALUE"""),"Scott Eastman")</f>
        <v>Scott Eastman</v>
      </c>
      <c r="E891" t="str">
        <f ca="1">IFERROR(__xludf.DUMMYFUNCTION("""COMPUTED_VALUE"""),"Holly Point")</f>
        <v>Holly Point</v>
      </c>
      <c r="F891" s="13">
        <f ca="1">IFERROR(__xludf.DUMMYFUNCTION("""COMPUTED_VALUE"""),0.39583333333212)</f>
        <v>0.39583333333212001</v>
      </c>
      <c r="G891" s="14">
        <f ca="1">IFERROR(__xludf.DUMMYFUNCTION("""COMPUTED_VALUE"""),44734)</f>
        <v>44734</v>
      </c>
      <c r="H891" t="str">
        <f ca="1">IFERROR(__xludf.DUMMYFUNCTION("""COMPUTED_VALUE"""),"Edwards sonde site")</f>
        <v>Edwards sonde site</v>
      </c>
      <c r="I891" s="15">
        <f ca="1">IFERROR(__xludf.DUMMYFUNCTION("""COMPUTED_VALUE"""),0.625)</f>
        <v>0.625</v>
      </c>
      <c r="J891" s="16"/>
      <c r="K891" t="str">
        <f ca="1">IFERROR(__xludf.DUMMYFUNCTION("""COMPUTED_VALUE"""),"F 20ft Sea Ark (Easy 200) FL8534PY DEP21451")</f>
        <v>F 20ft Sea Ark (Easy 200) FL8534PY DEP21451</v>
      </c>
      <c r="M891" t="str">
        <f ca="1">IFERROR(__xludf.DUMMYFUNCTION("""COMPUTED_VALUE"""),"Ford F150 2007 (F-Bomb) - DEP07055")</f>
        <v>Ford F150 2007 (F-Bomb) - DEP07055</v>
      </c>
      <c r="N891" t="str">
        <f ca="1">IFERROR(__xludf.DUMMYFUNCTION("""COMPUTED_VALUE"""),"Jimmy Tomazinis, (904) 547-0094")</f>
        <v>Jimmy Tomazinis, (904) 547-0094</v>
      </c>
      <c r="O891" t="str">
        <f ca="1">IFERROR(__xludf.DUMMYFUNCTION("""COMPUTED_VALUE"""),"Chris Kurtz")</f>
        <v>Chris Kurtz</v>
      </c>
      <c r="P891" t="str">
        <f ca="1">IFERROR(__xludf.DUMMYFUNCTION("""COMPUTED_VALUE"""),"Jimmy")</f>
        <v>Jimmy</v>
      </c>
      <c r="Q891" t="str">
        <f ca="1">IFERROR(__xludf.DUMMYFUNCTION("""COMPUTED_VALUE"""),"All items in working order")</f>
        <v>All items in working order</v>
      </c>
      <c r="AE891" s="11"/>
      <c r="AF891" t="str">
        <v>Scott.Eastman@floridadep.gov</v>
      </c>
      <c r="AG891" s="18"/>
      <c r="AI891" s="12" t="s">
        <v>2626</v>
      </c>
      <c r="AJ891" s="19" t="s">
        <v>2627</v>
      </c>
      <c r="AK891" s="20" t="str">
        <f>HYPERLINK("https://docs.google.com/document/d/1GM4Fa7kMUAsax3q5y8_21MNcaYO2AJNntZWfUSxr2ak/edit?usp=drivesdk","Jimmy - 6/22/2022 9:30 AM")</f>
        <v>Jimmy - 6/22/2022 9:30 AM</v>
      </c>
      <c r="AL891" s="12" t="s">
        <v>2628</v>
      </c>
    </row>
    <row r="892" spans="1:38" ht="12.75">
      <c r="A892" s="10">
        <f ca="1">IFERROR(__xludf.DUMMYFUNCTION("""COMPUTED_VALUE"""),44734.3395151041)</f>
        <v>44734.339515104097</v>
      </c>
      <c r="B892" s="11" t="str">
        <f ca="1">IFERROR(__xludf.DUMMYFUNCTION("""COMPUTED_VALUE"""),"Silas Tanner")</f>
        <v>Silas Tanner</v>
      </c>
      <c r="C892" t="str">
        <f ca="1">IFERROR(__xludf.DUMMYFUNCTION("""COMPUTED_VALUE"""),"silas.tanner@dep.state.fl.us")</f>
        <v>silas.tanner@dep.state.fl.us</v>
      </c>
      <c r="D892" t="str">
        <f ca="1">IFERROR(__xludf.DUMMYFUNCTION("""COMPUTED_VALUE"""),"Nikki Dix")</f>
        <v>Nikki Dix</v>
      </c>
      <c r="E892" t="str">
        <f ca="1">IFERROR(__xludf.DUMMYFUNCTION("""COMPUTED_VALUE"""),"Vilano Landing")</f>
        <v>Vilano Landing</v>
      </c>
      <c r="F892" s="13">
        <f ca="1">IFERROR(__xludf.DUMMYFUNCTION("""COMPUTED_VALUE"""),0.354166666667879)</f>
        <v>0.35416666666787899</v>
      </c>
      <c r="G892" s="14">
        <f ca="1">IFERROR(__xludf.DUMMYFUNCTION("""COMPUTED_VALUE"""),44734)</f>
        <v>44734</v>
      </c>
      <c r="H892" t="str">
        <f ca="1">IFERROR(__xludf.DUMMYFUNCTION("""COMPUTED_VALUE"""),"ICW SWMP Sites SS and PI")</f>
        <v>ICW SWMP Sites SS and PI</v>
      </c>
      <c r="I892" s="15">
        <f ca="1">IFERROR(__xludf.DUMMYFUNCTION("""COMPUTED_VALUE"""),0.42708333333212)</f>
        <v>0.42708333333212001</v>
      </c>
      <c r="J892" s="16">
        <f ca="1">IFERROR(__xludf.DUMMYFUNCTION("""COMPUTED_VALUE"""),44734.4375)</f>
        <v>44734.4375</v>
      </c>
      <c r="K892" t="str">
        <f ca="1">IFERROR(__xludf.DUMMYFUNCTION("""COMPUTED_VALUE"""),"20ft Sea Ark FL5351SJ UNF 2015")</f>
        <v>20ft Sea Ark FL5351SJ UNF 2015</v>
      </c>
      <c r="M892" t="str">
        <f ca="1">IFERROR(__xludf.DUMMYFUNCTION("""COMPUTED_VALUE"""),"Ford F250 2017 (Moby Dix) - DEP0021578")</f>
        <v>Ford F250 2017 (Moby Dix) - DEP0021578</v>
      </c>
      <c r="N892" t="str">
        <f ca="1">IFERROR(__xludf.DUMMYFUNCTION("""COMPUTED_VALUE"""),"Silas Tanner, (904) 483-8423")</f>
        <v>Silas Tanner, (904) 483-8423</v>
      </c>
      <c r="O892" t="str">
        <f ca="1">IFERROR(__xludf.DUMMYFUNCTION("""COMPUTED_VALUE"""),"Emalee Swisshelm")</f>
        <v>Emalee Swisshelm</v>
      </c>
      <c r="P892" t="str">
        <f ca="1">IFERROR(__xludf.DUMMYFUNCTION("""COMPUTED_VALUE"""),"Silas Tanner")</f>
        <v>Silas Tanner</v>
      </c>
      <c r="Q892" t="str">
        <f ca="1">IFERROR(__xludf.DUMMYFUNCTION("""COMPUTED_VALUE"""),"All items in working order")</f>
        <v>All items in working order</v>
      </c>
      <c r="AE892" s="11"/>
      <c r="AF892" t="str">
        <v>Nikki.Dix@floridadep.gov</v>
      </c>
      <c r="AG892" s="17" t="s">
        <v>41</v>
      </c>
      <c r="AH892" s="12">
        <v>1033</v>
      </c>
      <c r="AI892" s="12" t="s">
        <v>2629</v>
      </c>
      <c r="AJ892" s="19" t="s">
        <v>2630</v>
      </c>
      <c r="AK892" s="20" t="str">
        <f>HYPERLINK("https://docs.google.com/document/d/1Ge1rUUL3asJtbxW0wLNAEWEzyzz_kWGfdIyXraPx0u4/edit?usp=drivesdk","Silas Tanner - 6/22/2022 8:30 AM")</f>
        <v>Silas Tanner - 6/22/2022 8:30 AM</v>
      </c>
      <c r="AL892" s="12" t="s">
        <v>2631</v>
      </c>
    </row>
    <row r="893" spans="1:38" ht="12.75">
      <c r="A893" s="10">
        <f ca="1">IFERROR(__xludf.DUMMYFUNCTION("""COMPUTED_VALUE"""),44734.3399827314)</f>
        <v>44734.339982731399</v>
      </c>
      <c r="B893" s="11" t="str">
        <f ca="1">IFERROR(__xludf.DUMMYFUNCTION("""COMPUTED_VALUE"""),"Pamela Marcum ")</f>
        <v xml:space="preserve">Pamela Marcum </v>
      </c>
      <c r="C893" t="str">
        <f ca="1">IFERROR(__xludf.DUMMYFUNCTION("""COMPUTED_VALUE"""),"Pamela.Marcum@FloridaDEP.gov")</f>
        <v>Pamela.Marcum@FloridaDEP.gov</v>
      </c>
      <c r="D893" t="str">
        <f ca="1">IFERROR(__xludf.DUMMYFUNCTION("""COMPUTED_VALUE"""),"Nikki Dix")</f>
        <v>Nikki Dix</v>
      </c>
      <c r="E893" t="str">
        <f ca="1">IFERROR(__xludf.DUMMYFUNCTION("""COMPUTED_VALUE"""),"Aunt Kates ")</f>
        <v xml:space="preserve">Aunt Kates </v>
      </c>
      <c r="F893" s="13">
        <f ca="1">IFERROR(__xludf.DUMMYFUNCTION("""COMPUTED_VALUE"""),0.322916666667879)</f>
        <v>0.32291666666787899</v>
      </c>
      <c r="G893" s="14">
        <f ca="1">IFERROR(__xludf.DUMMYFUNCTION("""COMPUTED_VALUE"""),44734)</f>
        <v>44734</v>
      </c>
      <c r="H893" t="str">
        <f ca="1">IFERROR(__xludf.DUMMYFUNCTION("""COMPUTED_VALUE"""),"Guana River")</f>
        <v>Guana River</v>
      </c>
      <c r="I893" s="15">
        <f ca="1">IFERROR(__xludf.DUMMYFUNCTION("""COMPUTED_VALUE"""),0.5)</f>
        <v>0.5</v>
      </c>
      <c r="J893" s="16">
        <f ca="1">IFERROR(__xludf.DUMMYFUNCTION("""COMPUTED_VALUE"""),44734.5208333333)</f>
        <v>44734.520833333299</v>
      </c>
      <c r="K893" t="str">
        <f ca="1">IFERROR(__xludf.DUMMYFUNCTION("""COMPUTED_VALUE"""),"23ft Skiff (Bertha) FL7972LJ DEP07613")</f>
        <v>23ft Skiff (Bertha) FL7972LJ DEP07613</v>
      </c>
      <c r="M893" t="str">
        <f ca="1">IFERROR(__xludf.DUMMYFUNCTION("""COMPUTED_VALUE"""),"Ford F150 2015 (White) - DEP21448")</f>
        <v>Ford F150 2015 (White) - DEP21448</v>
      </c>
      <c r="N893" t="str">
        <f ca="1">IFERROR(__xludf.DUMMYFUNCTION("""COMPUTED_VALUE"""),"Pam Marcum, (480) 332-5414")</f>
        <v>Pam Marcum, (480) 332-5414</v>
      </c>
      <c r="O893" t="str">
        <f ca="1">IFERROR(__xludf.DUMMYFUNCTION("""COMPUTED_VALUE"""),"Jacob Berna, Greg Dietl, Jaleigh Pier, Talyne Pier ")</f>
        <v xml:space="preserve">Jacob Berna, Greg Dietl, Jaleigh Pier, Talyne Pier </v>
      </c>
      <c r="P893" t="str">
        <f ca="1">IFERROR(__xludf.DUMMYFUNCTION("""COMPUTED_VALUE"""),"Pam")</f>
        <v>Pam</v>
      </c>
      <c r="Q893" t="str">
        <f ca="1">IFERROR(__xludf.DUMMYFUNCTION("""COMPUTED_VALUE"""),"All items in working order")</f>
        <v>All items in working order</v>
      </c>
      <c r="AE893" s="11"/>
      <c r="AF893" t="str">
        <v>Nikki.Dix@floridadep.gov</v>
      </c>
      <c r="AG893" s="17" t="s">
        <v>41</v>
      </c>
      <c r="AH893" s="12">
        <v>1311</v>
      </c>
      <c r="AI893" s="12" t="s">
        <v>2632</v>
      </c>
      <c r="AJ893" s="19" t="s">
        <v>2633</v>
      </c>
      <c r="AK893" s="20" t="str">
        <f>HYPERLINK("https://docs.google.com/document/d/1PqNLRxM93w5m1ogMK5FtVniTPoec_JAGmCAQOlgkNnI/edit?usp=drivesdk","Pamela Marcum  - 6/22/2022 7:45 AM")</f>
        <v>Pamela Marcum  - 6/22/2022 7:45 AM</v>
      </c>
      <c r="AL893" s="12" t="s">
        <v>2634</v>
      </c>
    </row>
    <row r="894" spans="1:38" ht="12.75">
      <c r="A894" s="10">
        <f ca="1">IFERROR(__xludf.DUMMYFUNCTION("""COMPUTED_VALUE"""),44734.5387263425)</f>
        <v>44734.5387263425</v>
      </c>
      <c r="B894" s="11" t="str">
        <f ca="1">IFERROR(__xludf.DUMMYFUNCTION("""COMPUTED_VALUE"""),"Silas Tanner")</f>
        <v>Silas Tanner</v>
      </c>
      <c r="C894" t="str">
        <f ca="1">IFERROR(__xludf.DUMMYFUNCTION("""COMPUTED_VALUE"""),"silas.tanner@floridadep.gov")</f>
        <v>silas.tanner@floridadep.gov</v>
      </c>
      <c r="D894" t="str">
        <f ca="1">IFERROR(__xludf.DUMMYFUNCTION("""COMPUTED_VALUE"""),"Nikki Dix")</f>
        <v>Nikki Dix</v>
      </c>
      <c r="E894" t="str">
        <f ca="1">IFERROR(__xludf.DUMMYFUNCTION("""COMPUTED_VALUE"""),"Vilano Landing")</f>
        <v>Vilano Landing</v>
      </c>
      <c r="F894" s="13">
        <f ca="1">IFERROR(__xludf.DUMMYFUNCTION("""COMPUTED_VALUE"""),0.0347222222226264)</f>
        <v>3.47222222226264E-2</v>
      </c>
      <c r="G894" s="14">
        <f ca="1">IFERROR(__xludf.DUMMYFUNCTION("""COMPUTED_VALUE"""),44734)</f>
        <v>44734</v>
      </c>
      <c r="H894" t="str">
        <f ca="1">IFERROR(__xludf.DUMMYFUNCTION("""COMPUTED_VALUE"""),"ICW SWMP SS, PI")</f>
        <v>ICW SWMP SS, PI</v>
      </c>
      <c r="I894" s="15">
        <f ca="1">IFERROR(__xludf.DUMMYFUNCTION("""COMPUTED_VALUE"""),0.625)</f>
        <v>0.625</v>
      </c>
      <c r="J894" s="16">
        <f ca="1">IFERROR(__xludf.DUMMYFUNCTION("""COMPUTED_VALUE"""),44734.6458333333)</f>
        <v>44734.645833333299</v>
      </c>
      <c r="K894" t="str">
        <f ca="1">IFERROR(__xludf.DUMMYFUNCTION("""COMPUTED_VALUE"""),"20ft Sea Ark FL5351SJ UNF 2015")</f>
        <v>20ft Sea Ark FL5351SJ UNF 2015</v>
      </c>
      <c r="M894" t="str">
        <f ca="1">IFERROR(__xludf.DUMMYFUNCTION("""COMPUTED_VALUE"""),"Ford F250 2017 (Moby Dix) - DEP0021578")</f>
        <v>Ford F250 2017 (Moby Dix) - DEP0021578</v>
      </c>
      <c r="N894" t="str">
        <f ca="1">IFERROR(__xludf.DUMMYFUNCTION("""COMPUTED_VALUE"""),"Silas Tanner, (904) 483-8423")</f>
        <v>Silas Tanner, (904) 483-8423</v>
      </c>
      <c r="O894" t="str">
        <f ca="1">IFERROR(__xludf.DUMMYFUNCTION("""COMPUTED_VALUE"""),"Emalee Swisshelm")</f>
        <v>Emalee Swisshelm</v>
      </c>
      <c r="P894" t="str">
        <f ca="1">IFERROR(__xludf.DUMMYFUNCTION("""COMPUTED_VALUE"""),"Silas Tanner")</f>
        <v>Silas Tanner</v>
      </c>
      <c r="Q894" t="str">
        <f ca="1">IFERROR(__xludf.DUMMYFUNCTION("""COMPUTED_VALUE"""),"All items in working order")</f>
        <v>All items in working order</v>
      </c>
      <c r="AE894" s="11"/>
      <c r="AF894" t="str">
        <v>Nikki.Dix@floridadep.gov</v>
      </c>
      <c r="AG894" s="17" t="s">
        <v>17</v>
      </c>
      <c r="AH894" s="12">
        <v>1330</v>
      </c>
      <c r="AI894" s="12" t="s">
        <v>2635</v>
      </c>
      <c r="AJ894" s="19" t="s">
        <v>2636</v>
      </c>
      <c r="AK894" s="20" t="str">
        <f>HYPERLINK("https://docs.google.com/document/d/1e5oCMKtb8s_eKsGwO-qj_scE5oPmZl_3nx7JkIGJlBw/edit?usp=drivesdk","Silas Tanner - 6/22/2022 12:50 AM")</f>
        <v>Silas Tanner - 6/22/2022 12:50 AM</v>
      </c>
      <c r="AL894" s="12" t="s">
        <v>2637</v>
      </c>
    </row>
    <row r="895" spans="1:38" ht="12.75">
      <c r="A895" s="10">
        <f ca="1">IFERROR(__xludf.DUMMYFUNCTION("""COMPUTED_VALUE"""),44735.3565485069)</f>
        <v>44735.356548506898</v>
      </c>
      <c r="B895" s="11" t="str">
        <f ca="1">IFERROR(__xludf.DUMMYFUNCTION("""COMPUTED_VALUE"""),"Pamela Marcum")</f>
        <v>Pamela Marcum</v>
      </c>
      <c r="C895" t="str">
        <f ca="1">IFERROR(__xludf.DUMMYFUNCTION("""COMPUTED_VALUE"""),"Pamela.Marcum@FloridaDEP.gov")</f>
        <v>Pamela.Marcum@FloridaDEP.gov</v>
      </c>
      <c r="D895" t="str">
        <f ca="1">IFERROR(__xludf.DUMMYFUNCTION("""COMPUTED_VALUE"""),"Nikki Dix")</f>
        <v>Nikki Dix</v>
      </c>
      <c r="E895" t="str">
        <f ca="1">IFERROR(__xludf.DUMMYFUNCTION("""COMPUTED_VALUE"""),"Aunt Kate's")</f>
        <v>Aunt Kate's</v>
      </c>
      <c r="F895" s="13">
        <f ca="1">IFERROR(__xludf.DUMMYFUNCTION("""COMPUTED_VALUE"""),0.385416666667879)</f>
        <v>0.38541666666787899</v>
      </c>
      <c r="G895" s="14">
        <f ca="1">IFERROR(__xludf.DUMMYFUNCTION("""COMPUTED_VALUE"""),44735)</f>
        <v>44735</v>
      </c>
      <c r="H895" t="str">
        <f ca="1">IFERROR(__xludf.DUMMYFUNCTION("""COMPUTED_VALUE"""),"Guana River")</f>
        <v>Guana River</v>
      </c>
      <c r="I895" s="15">
        <f ca="1">IFERROR(__xludf.DUMMYFUNCTION("""COMPUTED_VALUE"""),0.541666666667879)</f>
        <v>0.54166666666787899</v>
      </c>
      <c r="J895" s="16">
        <f ca="1">IFERROR(__xludf.DUMMYFUNCTION("""COMPUTED_VALUE"""),44735.5625)</f>
        <v>44735.5625</v>
      </c>
      <c r="K895" t="str">
        <f ca="1">IFERROR(__xludf.DUMMYFUNCTION("""COMPUTED_VALUE"""),"23ft Skiff (Bertha) FL7972LJ DEP07613")</f>
        <v>23ft Skiff (Bertha) FL7972LJ DEP07613</v>
      </c>
      <c r="M895" t="str">
        <f ca="1">IFERROR(__xludf.DUMMYFUNCTION("""COMPUTED_VALUE"""),"Ford F150 2015 (White) - DEP21448")</f>
        <v>Ford F150 2015 (White) - DEP21448</v>
      </c>
      <c r="N895" t="str">
        <f ca="1">IFERROR(__xludf.DUMMYFUNCTION("""COMPUTED_VALUE"""),"Pam Marcum, (480) 332-5414")</f>
        <v>Pam Marcum, (480) 332-5414</v>
      </c>
      <c r="O895" t="str">
        <f ca="1">IFERROR(__xludf.DUMMYFUNCTION("""COMPUTED_VALUE"""),"Jabob Berna, Greg Dietl, Jayleigh Pier, Talyne Pier")</f>
        <v>Jabob Berna, Greg Dietl, Jayleigh Pier, Talyne Pier</v>
      </c>
      <c r="P895" t="str">
        <f ca="1">IFERROR(__xludf.DUMMYFUNCTION("""COMPUTED_VALUE"""),"Pam")</f>
        <v>Pam</v>
      </c>
      <c r="Q895" t="str">
        <f ca="1">IFERROR(__xludf.DUMMYFUNCTION("""COMPUTED_VALUE"""),"All items in working order")</f>
        <v>All items in working order</v>
      </c>
      <c r="AE895" s="11"/>
      <c r="AF895" t="str">
        <v>Nikki.Dix@floridadep.gov</v>
      </c>
      <c r="AG895" s="17" t="s">
        <v>126</v>
      </c>
      <c r="AH895" s="12">
        <v>1505</v>
      </c>
      <c r="AI895" s="12" t="s">
        <v>2638</v>
      </c>
      <c r="AJ895" s="19" t="s">
        <v>2639</v>
      </c>
      <c r="AK895" s="20" t="str">
        <f>HYPERLINK("https://docs.google.com/document/d/16dYCi1go_NcZnqx_wC1cNdkRoTcNSa8IECOK-ODwVic/edit?usp=drivesdk","Pamela Marcum - 6/23/2022 9:15 AM")</f>
        <v>Pamela Marcum - 6/23/2022 9:15 AM</v>
      </c>
      <c r="AL895" s="12" t="s">
        <v>2640</v>
      </c>
    </row>
    <row r="896" spans="1:38" ht="12.75">
      <c r="A896" s="10">
        <f ca="1">IFERROR(__xludf.DUMMYFUNCTION("""COMPUTED_VALUE"""),44735.3582921643)</f>
        <v>44735.358292164303</v>
      </c>
      <c r="B896" s="11" t="str">
        <f ca="1">IFERROR(__xludf.DUMMYFUNCTION("""COMPUTED_VALUE"""),"SIlas Tanner")</f>
        <v>SIlas Tanner</v>
      </c>
      <c r="C896" t="str">
        <f ca="1">IFERROR(__xludf.DUMMYFUNCTION("""COMPUTED_VALUE"""),"silas.tanner@floridadep.gov")</f>
        <v>silas.tanner@floridadep.gov</v>
      </c>
      <c r="D896" t="str">
        <f ca="1">IFERROR(__xludf.DUMMYFUNCTION("""COMPUTED_VALUE"""),"Nikki Dix")</f>
        <v>Nikki Dix</v>
      </c>
      <c r="E896" t="str">
        <f ca="1">IFERROR(__xludf.DUMMYFUNCTION("""COMPUTED_VALUE"""),"Vilano Landing")</f>
        <v>Vilano Landing</v>
      </c>
      <c r="F896" s="13">
        <f ca="1">IFERROR(__xludf.DUMMYFUNCTION("""COMPUTED_VALUE"""),0.375)</f>
        <v>0.375</v>
      </c>
      <c r="G896" s="14">
        <f ca="1">IFERROR(__xludf.DUMMYFUNCTION("""COMPUTED_VALUE"""),44735)</f>
        <v>44735</v>
      </c>
      <c r="H896" t="str">
        <f ca="1">IFERROR(__xludf.DUMMYFUNCTION("""COMPUTED_VALUE"""),"ICW SWMP SS, PI")</f>
        <v>ICW SWMP SS, PI</v>
      </c>
      <c r="I896" s="15">
        <f ca="1">IFERROR(__xludf.DUMMYFUNCTION("""COMPUTED_VALUE"""),0.5)</f>
        <v>0.5</v>
      </c>
      <c r="J896" s="16">
        <f ca="1">IFERROR(__xludf.DUMMYFUNCTION("""COMPUTED_VALUE"""),44735.5208333333)</f>
        <v>44735.520833333299</v>
      </c>
      <c r="K896" t="str">
        <f ca="1">IFERROR(__xludf.DUMMYFUNCTION("""COMPUTED_VALUE"""),"20ft Sea Ark FL5351SJ UNF 2015")</f>
        <v>20ft Sea Ark FL5351SJ UNF 2015</v>
      </c>
      <c r="M896" t="str">
        <f ca="1">IFERROR(__xludf.DUMMYFUNCTION("""COMPUTED_VALUE"""),"Ford F250 2017 (Moby Dix) - DEP0021578")</f>
        <v>Ford F250 2017 (Moby Dix) - DEP0021578</v>
      </c>
      <c r="N896" t="str">
        <f ca="1">IFERROR(__xludf.DUMMYFUNCTION("""COMPUTED_VALUE"""),"Silas Tanner, (904) 483-8423")</f>
        <v>Silas Tanner, (904) 483-8423</v>
      </c>
      <c r="O896" t="str">
        <f ca="1">IFERROR(__xludf.DUMMYFUNCTION("""COMPUTED_VALUE"""),"Emalee Swisshelm")</f>
        <v>Emalee Swisshelm</v>
      </c>
      <c r="P896" t="str">
        <f ca="1">IFERROR(__xludf.DUMMYFUNCTION("""COMPUTED_VALUE"""),"Silas Tanner")</f>
        <v>Silas Tanner</v>
      </c>
      <c r="Q896" t="str">
        <f ca="1">IFERROR(__xludf.DUMMYFUNCTION("""COMPUTED_VALUE"""),"All items in working order")</f>
        <v>All items in working order</v>
      </c>
      <c r="AE896" s="11"/>
      <c r="AF896" t="str">
        <v>Nikki.Dix@floridadep.gov</v>
      </c>
      <c r="AG896" s="17" t="s">
        <v>41</v>
      </c>
      <c r="AH896" s="12">
        <v>1045</v>
      </c>
      <c r="AI896" s="12" t="s">
        <v>2641</v>
      </c>
      <c r="AJ896" s="19" t="s">
        <v>2642</v>
      </c>
      <c r="AK896" s="20" t="str">
        <f>HYPERLINK("https://docs.google.com/document/d/1wCXg7JH1a5Dr1V1VRyz1_HYTMsTChiBrTvEXv6dKbMY/edit?usp=drivesdk","SIlas Tanner - 6/23/2022 9:00 AM")</f>
        <v>SIlas Tanner - 6/23/2022 9:00 AM</v>
      </c>
      <c r="AL896" s="12" t="s">
        <v>2643</v>
      </c>
    </row>
    <row r="897" spans="1:38" ht="12.75">
      <c r="A897" s="10">
        <f ca="1">IFERROR(__xludf.DUMMYFUNCTION("""COMPUTED_VALUE"""),44735.5303953009)</f>
        <v>44735.530395300899</v>
      </c>
      <c r="B897" s="11" t="str">
        <f ca="1">IFERROR(__xludf.DUMMYFUNCTION("""COMPUTED_VALUE"""),"Silas Tanner")</f>
        <v>Silas Tanner</v>
      </c>
      <c r="C897" t="str">
        <f ca="1">IFERROR(__xludf.DUMMYFUNCTION("""COMPUTED_VALUE"""),"silas.tanner@dep.state.fl.us")</f>
        <v>silas.tanner@dep.state.fl.us</v>
      </c>
      <c r="D897" t="str">
        <f ca="1">IFERROR(__xludf.DUMMYFUNCTION("""COMPUTED_VALUE"""),"Nikki Dix")</f>
        <v>Nikki Dix</v>
      </c>
      <c r="E897" t="str">
        <f ca="1">IFERROR(__xludf.DUMMYFUNCTION("""COMPUTED_VALUE"""),"Vilano Landing")</f>
        <v>Vilano Landing</v>
      </c>
      <c r="F897" s="13">
        <f ca="1">IFERROR(__xludf.DUMMYFUNCTION("""COMPUTED_VALUE"""),0.555555555554747)</f>
        <v>0.555555555554747</v>
      </c>
      <c r="G897" s="14">
        <f ca="1">IFERROR(__xludf.DUMMYFUNCTION("""COMPUTED_VALUE"""),44735)</f>
        <v>44735</v>
      </c>
      <c r="H897" t="str">
        <f ca="1">IFERROR(__xludf.DUMMYFUNCTION("""COMPUTED_VALUE"""),"ICW SWMP Sites PI and SS")</f>
        <v>ICW SWMP Sites PI and SS</v>
      </c>
      <c r="I897" s="15">
        <f ca="1">IFERROR(__xludf.DUMMYFUNCTION("""COMPUTED_VALUE"""),0.635416666667879)</f>
        <v>0.63541666666787899</v>
      </c>
      <c r="J897" s="16">
        <f ca="1">IFERROR(__xludf.DUMMYFUNCTION("""COMPUTED_VALUE"""),44735.6458333333)</f>
        <v>44735.645833333299</v>
      </c>
      <c r="K897" t="str">
        <f ca="1">IFERROR(__xludf.DUMMYFUNCTION("""COMPUTED_VALUE"""),"20ft Sea Ark FL5351SJ UNF 2015")</f>
        <v>20ft Sea Ark FL5351SJ UNF 2015</v>
      </c>
      <c r="M897" t="str">
        <f ca="1">IFERROR(__xludf.DUMMYFUNCTION("""COMPUTED_VALUE"""),"Ford F250 2017 (Moby Dix) - DEP0021578")</f>
        <v>Ford F250 2017 (Moby Dix) - DEP0021578</v>
      </c>
      <c r="N897" t="str">
        <f ca="1">IFERROR(__xludf.DUMMYFUNCTION("""COMPUTED_VALUE"""),"Silas Tanner, (904) 483-8423")</f>
        <v>Silas Tanner, (904) 483-8423</v>
      </c>
      <c r="O897" t="str">
        <f ca="1">IFERROR(__xludf.DUMMYFUNCTION("""COMPUTED_VALUE"""),"Emalee Swisshelm")</f>
        <v>Emalee Swisshelm</v>
      </c>
      <c r="P897" t="str">
        <f ca="1">IFERROR(__xludf.DUMMYFUNCTION("""COMPUTED_VALUE"""),"Silas Tanner")</f>
        <v>Silas Tanner</v>
      </c>
      <c r="Q897" t="str">
        <f ca="1">IFERROR(__xludf.DUMMYFUNCTION("""COMPUTED_VALUE"""),"All items in working order")</f>
        <v>All items in working order</v>
      </c>
      <c r="AE897" s="11"/>
      <c r="AF897" t="str">
        <v>Nikki.Dix@floridadep.gov</v>
      </c>
      <c r="AG897" s="17" t="s">
        <v>41</v>
      </c>
      <c r="AH897" s="12">
        <v>1530</v>
      </c>
      <c r="AI897" s="12" t="s">
        <v>2644</v>
      </c>
      <c r="AJ897" s="19" t="s">
        <v>2645</v>
      </c>
      <c r="AK897" s="20" t="str">
        <f>HYPERLINK("https://docs.google.com/document/d/1CLsEPNbtiMlBICQ7QSJM9HInpB5hNSsZUQ57flyjCMQ/edit?usp=drivesdk","Silas Tanner - 6/23/2022 1:20 PM")</f>
        <v>Silas Tanner - 6/23/2022 1:20 PM</v>
      </c>
      <c r="AL897" s="12" t="s">
        <v>2646</v>
      </c>
    </row>
    <row r="898" spans="1:38" ht="12.75">
      <c r="A898" s="10">
        <f ca="1">IFERROR(__xludf.DUMMYFUNCTION("""COMPUTED_VALUE"""),44736.372575324)</f>
        <v>44736.372575324</v>
      </c>
      <c r="B898" s="11" t="str">
        <f ca="1">IFERROR(__xludf.DUMMYFUNCTION("""COMPUTED_VALUE"""),"Silas Tanner")</f>
        <v>Silas Tanner</v>
      </c>
      <c r="C898" t="str">
        <f ca="1">IFERROR(__xludf.DUMMYFUNCTION("""COMPUTED_VALUE"""),"silas.tanner@floridadep.gov")</f>
        <v>silas.tanner@floridadep.gov</v>
      </c>
      <c r="D898" t="str">
        <f ca="1">IFERROR(__xludf.DUMMYFUNCTION("""COMPUTED_VALUE"""),"Nikki Dix")</f>
        <v>Nikki Dix</v>
      </c>
      <c r="E898" t="str">
        <f ca="1">IFERROR(__xludf.DUMMYFUNCTION("""COMPUTED_VALUE"""),"Vilano Landing")</f>
        <v>Vilano Landing</v>
      </c>
      <c r="F898" s="13">
        <f ca="1">IFERROR(__xludf.DUMMYFUNCTION("""COMPUTED_VALUE"""),0.39583333333212)</f>
        <v>0.39583333333212001</v>
      </c>
      <c r="G898" s="14">
        <f ca="1">IFERROR(__xludf.DUMMYFUNCTION("""COMPUTED_VALUE"""),44736)</f>
        <v>44736</v>
      </c>
      <c r="H898" t="str">
        <f ca="1">IFERROR(__xludf.DUMMYFUNCTION("""COMPUTED_VALUE"""),"ICW SWMP SS, PI")</f>
        <v>ICW SWMP SS, PI</v>
      </c>
      <c r="I898" s="15">
        <f ca="1">IFERROR(__xludf.DUMMYFUNCTION("""COMPUTED_VALUE"""),0.5)</f>
        <v>0.5</v>
      </c>
      <c r="J898" s="16">
        <f ca="1">IFERROR(__xludf.DUMMYFUNCTION("""COMPUTED_VALUE"""),44736.5208333333)</f>
        <v>44736.520833333299</v>
      </c>
      <c r="K898" t="str">
        <f ca="1">IFERROR(__xludf.DUMMYFUNCTION("""COMPUTED_VALUE"""),"20ft Sea Ark FL5351SJ UNF 2015")</f>
        <v>20ft Sea Ark FL5351SJ UNF 2015</v>
      </c>
      <c r="M898" t="str">
        <f ca="1">IFERROR(__xludf.DUMMYFUNCTION("""COMPUTED_VALUE"""),"Ford F250 2017 (Moby Dix) - DEP0021578")</f>
        <v>Ford F250 2017 (Moby Dix) - DEP0021578</v>
      </c>
      <c r="N898" t="str">
        <f ca="1">IFERROR(__xludf.DUMMYFUNCTION("""COMPUTED_VALUE"""),"Silas Tanner, (904) 483-8423")</f>
        <v>Silas Tanner, (904) 483-8423</v>
      </c>
      <c r="O898" t="str">
        <f ca="1">IFERROR(__xludf.DUMMYFUNCTION("""COMPUTED_VALUE"""),"Emalee Swisshelm")</f>
        <v>Emalee Swisshelm</v>
      </c>
      <c r="P898" t="str">
        <f ca="1">IFERROR(__xludf.DUMMYFUNCTION("""COMPUTED_VALUE"""),"Silas Tanner")</f>
        <v>Silas Tanner</v>
      </c>
      <c r="Q898" t="str">
        <f ca="1">IFERROR(__xludf.DUMMYFUNCTION("""COMPUTED_VALUE"""),"All items in working order")</f>
        <v>All items in working order</v>
      </c>
      <c r="AE898" s="11"/>
      <c r="AF898" t="str">
        <v>Nikki.Dix@floridadep.gov</v>
      </c>
      <c r="AG898" s="17" t="s">
        <v>41</v>
      </c>
      <c r="AH898" s="12">
        <v>1052</v>
      </c>
      <c r="AI898" s="12" t="s">
        <v>2647</v>
      </c>
      <c r="AJ898" s="19" t="s">
        <v>2648</v>
      </c>
      <c r="AK898" s="20" t="str">
        <f>HYPERLINK("https://docs.google.com/document/d/1RBHMjpI5oN5U21NgTp37NQns-aKSrjjKkFiMSxzj8Js/edit?usp=drivesdk","Silas Tanner - 6/24/2022 9:30 AM")</f>
        <v>Silas Tanner - 6/24/2022 9:30 AM</v>
      </c>
      <c r="AL898" s="12" t="s">
        <v>2649</v>
      </c>
    </row>
    <row r="899" spans="1:38" ht="12.75">
      <c r="A899" s="10">
        <f ca="1">IFERROR(__xludf.DUMMYFUNCTION("""COMPUTED_VALUE"""),44740.3994606828)</f>
        <v>44740.399460682798</v>
      </c>
      <c r="B899" s="11" t="str">
        <f ca="1">IFERROR(__xludf.DUMMYFUNCTION("""COMPUTED_VALUE"""),"Silas Tanner")</f>
        <v>Silas Tanner</v>
      </c>
      <c r="C899" t="str">
        <f ca="1">IFERROR(__xludf.DUMMYFUNCTION("""COMPUTED_VALUE"""),"silas.tanner@floridadep.gov")</f>
        <v>silas.tanner@floridadep.gov</v>
      </c>
      <c r="D899" t="str">
        <f ca="1">IFERROR(__xludf.DUMMYFUNCTION("""COMPUTED_VALUE"""),"Shannon Dunnigan")</f>
        <v>Shannon Dunnigan</v>
      </c>
      <c r="E899" t="str">
        <f ca="1">IFERROR(__xludf.DUMMYFUNCTION("""COMPUTED_VALUE"""),"Vilano Landing")</f>
        <v>Vilano Landing</v>
      </c>
      <c r="F899" s="13">
        <f ca="1">IFERROR(__xludf.DUMMYFUNCTION("""COMPUTED_VALUE"""),0.4375)</f>
        <v>0.4375</v>
      </c>
      <c r="G899" s="14">
        <f ca="1">IFERROR(__xludf.DUMMYFUNCTION("""COMPUTED_VALUE"""),44740)</f>
        <v>44740</v>
      </c>
      <c r="H899" t="str">
        <f ca="1">IFERROR(__xludf.DUMMYFUNCTION("""COMPUTED_VALUE"""),"SWMP ICW sites ")</f>
        <v xml:space="preserve">SWMP ICW sites </v>
      </c>
      <c r="I899" s="15">
        <f ca="1">IFERROR(__xludf.DUMMYFUNCTION("""COMPUTED_VALUE"""),0.625)</f>
        <v>0.625</v>
      </c>
      <c r="J899" s="16">
        <f ca="1">IFERROR(__xludf.DUMMYFUNCTION("""COMPUTED_VALUE"""),44740.6458333333)</f>
        <v>44740.645833333299</v>
      </c>
      <c r="K899" t="str">
        <f ca="1">IFERROR(__xludf.DUMMYFUNCTION("""COMPUTED_VALUE"""),"20ft Sea Ark FL5351SJ UNF 2015")</f>
        <v>20ft Sea Ark FL5351SJ UNF 2015</v>
      </c>
      <c r="M899" t="str">
        <f ca="1">IFERROR(__xludf.DUMMYFUNCTION("""COMPUTED_VALUE"""),"Ford F250 2017 (Moby Dix) - DEP0021578")</f>
        <v>Ford F250 2017 (Moby Dix) - DEP0021578</v>
      </c>
      <c r="N899" t="str">
        <f ca="1">IFERROR(__xludf.DUMMYFUNCTION("""COMPUTED_VALUE"""),"Nikki Dix, (352) 219-4079, Remo Mondazzi")</f>
        <v>Nikki Dix, (352) 219-4079, Remo Mondazzi</v>
      </c>
      <c r="P899" t="str">
        <f ca="1">IFERROR(__xludf.DUMMYFUNCTION("""COMPUTED_VALUE"""),"Silas Tanner")</f>
        <v>Silas Tanner</v>
      </c>
      <c r="Q899" t="str">
        <f ca="1">IFERROR(__xludf.DUMMYFUNCTION("""COMPUTED_VALUE"""),"All items in working order")</f>
        <v>All items in working order</v>
      </c>
      <c r="AE899" s="11"/>
      <c r="AF899" t="str">
        <v>Shannon.Dunnigan@floridadep.gov</v>
      </c>
      <c r="AG899" s="17" t="s">
        <v>41</v>
      </c>
      <c r="AH899" s="12">
        <v>1422</v>
      </c>
      <c r="AI899" s="12" t="s">
        <v>2650</v>
      </c>
      <c r="AJ899" s="19" t="s">
        <v>2651</v>
      </c>
      <c r="AK899" s="20" t="str">
        <f>HYPERLINK("https://docs.google.com/document/d/1c5l2a0XgVZ--ILn7XvMxMcxwqhqZn1aY2gglUKT1ozc/edit?usp=drivesdk","Silas Tanner - 6/28/2022 10:30 AM")</f>
        <v>Silas Tanner - 6/28/2022 10:30 AM</v>
      </c>
      <c r="AL899" s="12" t="s">
        <v>2652</v>
      </c>
    </row>
    <row r="900" spans="1:38" ht="12.75">
      <c r="A900" s="10">
        <f ca="1">IFERROR(__xludf.DUMMYFUNCTION("""COMPUTED_VALUE"""),44740.5232368749)</f>
        <v>44740.523236874898</v>
      </c>
      <c r="B900" s="11" t="str">
        <f ca="1">IFERROR(__xludf.DUMMYFUNCTION("""COMPUTED_VALUE"""),"Pamela Marcum ")</f>
        <v xml:space="preserve">Pamela Marcum </v>
      </c>
      <c r="D900" t="str">
        <f ca="1">IFERROR(__xludf.DUMMYFUNCTION("""COMPUTED_VALUE"""),"Nikki Dix")</f>
        <v>Nikki Dix</v>
      </c>
      <c r="E900" t="str">
        <f ca="1">IFERROR(__xludf.DUMMYFUNCTION("""COMPUTED_VALUE"""),"Vilano")</f>
        <v>Vilano</v>
      </c>
      <c r="F900" s="13">
        <f ca="1">IFERROR(__xludf.DUMMYFUNCTION("""COMPUTED_VALUE"""),0.5)</f>
        <v>0.5</v>
      </c>
      <c r="G900" s="14">
        <f ca="1">IFERROR(__xludf.DUMMYFUNCTION("""COMPUTED_VALUE"""),44740)</f>
        <v>44740</v>
      </c>
      <c r="H900" t="str">
        <f ca="1">IFERROR(__xludf.DUMMYFUNCTION("""COMPUTED_VALUE"""),"Vilano")</f>
        <v>Vilano</v>
      </c>
      <c r="I900" s="15">
        <f ca="1">IFERROR(__xludf.DUMMYFUNCTION("""COMPUTED_VALUE"""),0.5625)</f>
        <v>0.5625</v>
      </c>
      <c r="J900" s="16">
        <f ca="1">IFERROR(__xludf.DUMMYFUNCTION("""COMPUTED_VALUE"""),44740.5833333333)</f>
        <v>44740.583333333299</v>
      </c>
      <c r="K900" t="str">
        <f ca="1">IFERROR(__xludf.DUMMYFUNCTION("""COMPUTED_VALUE"""),"23ft Skiff (Bertha) FL7972LJ DEP07613")</f>
        <v>23ft Skiff (Bertha) FL7972LJ DEP07613</v>
      </c>
      <c r="M900" t="str">
        <f ca="1">IFERROR(__xludf.DUMMYFUNCTION("""COMPUTED_VALUE"""),"Ford F150 2010 (4 Door) - DEP07668")</f>
        <v>Ford F150 2010 (4 Door) - DEP07668</v>
      </c>
      <c r="N900" t="str">
        <f ca="1">IFERROR(__xludf.DUMMYFUNCTION("""COMPUTED_VALUE"""),"Pam Marcum, (480) 332-5414")</f>
        <v>Pam Marcum, (480) 332-5414</v>
      </c>
      <c r="O900" t="str">
        <f ca="1">IFERROR(__xludf.DUMMYFUNCTION("""COMPUTED_VALUE"""),"Zac Lepera, Rauney Mitchell, Courtney Schultz")</f>
        <v>Zac Lepera, Rauney Mitchell, Courtney Schultz</v>
      </c>
      <c r="P900" t="str">
        <f ca="1">IFERROR(__xludf.DUMMYFUNCTION("""COMPUTED_VALUE"""),"Pam")</f>
        <v>Pam</v>
      </c>
      <c r="Q900" t="str">
        <f ca="1">IFERROR(__xludf.DUMMYFUNCTION("""COMPUTED_VALUE"""),"All items in working order")</f>
        <v>All items in working order</v>
      </c>
      <c r="AE900" s="11"/>
      <c r="AF900" t="str">
        <v>Nikki.Dix@floridadep.gov</v>
      </c>
      <c r="AG900" s="17" t="s">
        <v>41</v>
      </c>
      <c r="AH900" s="12">
        <v>1320</v>
      </c>
      <c r="AI900" s="12" t="s">
        <v>2653</v>
      </c>
      <c r="AJ900" s="19" t="s">
        <v>2654</v>
      </c>
      <c r="AK900" s="20" t="str">
        <f>HYPERLINK("https://docs.google.com/document/d/1RNpvclHnJJr0u7JZP4GUl3UaxneiCGy09j_OwC6AbnQ/edit?usp=drivesdk","Pamela Marcum  - 6/28/2022 12:00 PM")</f>
        <v>Pamela Marcum  - 6/28/2022 12:00 PM</v>
      </c>
      <c r="AL900" s="12" t="s">
        <v>2655</v>
      </c>
    </row>
    <row r="901" spans="1:38" ht="12.75">
      <c r="A901" s="10">
        <f ca="1">IFERROR(__xludf.DUMMYFUNCTION("""COMPUTED_VALUE"""),44742.3486576157)</f>
        <v>44742.348657615701</v>
      </c>
      <c r="B901" s="11" t="str">
        <f ca="1">IFERROR(__xludf.DUMMYFUNCTION("""COMPUTED_VALUE"""),"Pamela Marcum ")</f>
        <v xml:space="preserve">Pamela Marcum </v>
      </c>
      <c r="C901" t="str">
        <f ca="1">IFERROR(__xludf.DUMMYFUNCTION("""COMPUTED_VALUE"""),"Pamela.Marcum@FloridaDEP.gov")</f>
        <v>Pamela.Marcum@FloridaDEP.gov</v>
      </c>
      <c r="D901" t="str">
        <f ca="1">IFERROR(__xludf.DUMMYFUNCTION("""COMPUTED_VALUE"""),"Nikki Dix")</f>
        <v>Nikki Dix</v>
      </c>
      <c r="E901" t="str">
        <f ca="1">IFERROR(__xludf.DUMMYFUNCTION("""COMPUTED_VALUE"""),"Faver-Dykes ")</f>
        <v xml:space="preserve">Faver-Dykes </v>
      </c>
      <c r="F901" s="13">
        <f ca="1">IFERROR(__xludf.DUMMYFUNCTION("""COMPUTED_VALUE"""),0.34375)</f>
        <v>0.34375</v>
      </c>
      <c r="G901" s="14">
        <f ca="1">IFERROR(__xludf.DUMMYFUNCTION("""COMPUTED_VALUE"""),44742)</f>
        <v>44742</v>
      </c>
      <c r="H901" t="str">
        <f ca="1">IFERROR(__xludf.DUMMYFUNCTION("""COMPUTED_VALUE"""),"Pellicer creek ")</f>
        <v xml:space="preserve">Pellicer creek </v>
      </c>
      <c r="I901" s="15">
        <f ca="1">IFERROR(__xludf.DUMMYFUNCTION("""COMPUTED_VALUE"""),0.666666666667879)</f>
        <v>0.66666666666787899</v>
      </c>
      <c r="J901" s="16">
        <f ca="1">IFERROR(__xludf.DUMMYFUNCTION("""COMPUTED_VALUE"""),44742.7083333333)</f>
        <v>44742.708333333299</v>
      </c>
      <c r="K901" t="str">
        <f ca="1">IFERROR(__xludf.DUMMYFUNCTION("""COMPUTED_VALUE"""),"17ft Skiff (Marsha) FL0642GW DEP07239")</f>
        <v>17ft Skiff (Marsha) FL0642GW DEP07239</v>
      </c>
      <c r="M901" t="str">
        <f ca="1">IFERROR(__xludf.DUMMYFUNCTION("""COMPUTED_VALUE"""),"Ford F150 2018 (ML AP) - DEP21637")</f>
        <v>Ford F150 2018 (ML AP) - DEP21637</v>
      </c>
      <c r="N901" t="str">
        <f ca="1">IFERROR(__xludf.DUMMYFUNCTION("""COMPUTED_VALUE"""),"Pam Marcum, (480) 332-5414")</f>
        <v>Pam Marcum, (480) 332-5414</v>
      </c>
      <c r="O901" t="str">
        <f ca="1">IFERROR(__xludf.DUMMYFUNCTION("""COMPUTED_VALUE"""),"Jacob Berna")</f>
        <v>Jacob Berna</v>
      </c>
      <c r="P901" t="str">
        <f ca="1">IFERROR(__xludf.DUMMYFUNCTION("""COMPUTED_VALUE"""),"Pam")</f>
        <v>Pam</v>
      </c>
      <c r="Q901" t="str">
        <f ca="1">IFERROR(__xludf.DUMMYFUNCTION("""COMPUTED_VALUE"""),"All items in working order")</f>
        <v>All items in working order</v>
      </c>
      <c r="AE901" s="11"/>
      <c r="AF901" t="str">
        <v>Nikki.Dix@floridadep.gov</v>
      </c>
      <c r="AG901" s="17" t="s">
        <v>126</v>
      </c>
      <c r="AH901" s="12">
        <v>1300</v>
      </c>
      <c r="AI901" s="12" t="s">
        <v>2656</v>
      </c>
      <c r="AJ901" s="19" t="s">
        <v>2657</v>
      </c>
      <c r="AK901" s="20" t="str">
        <f>HYPERLINK("https://docs.google.com/document/d/1ddMm0YunFs98NR-uXVxun77aRNAx051kf51ww3HRVSY/edit?usp=drivesdk","Pamela Marcum  - 6/30/2022 8:15 AM")</f>
        <v>Pamela Marcum  - 6/30/2022 8:15 AM</v>
      </c>
      <c r="AL901" s="12" t="s">
        <v>2658</v>
      </c>
    </row>
    <row r="902" spans="1:38" ht="12.75">
      <c r="A902" s="10">
        <f ca="1">IFERROR(__xludf.DUMMYFUNCTION("""COMPUTED_VALUE"""),44743.3006356365)</f>
        <v>44743.3006356365</v>
      </c>
      <c r="B902" s="11" t="str">
        <f ca="1">IFERROR(__xludf.DUMMYFUNCTION("""COMPUTED_VALUE"""),"Pam Marcum ")</f>
        <v xml:space="preserve">Pam Marcum </v>
      </c>
      <c r="C902" t="str">
        <f ca="1">IFERROR(__xludf.DUMMYFUNCTION("""COMPUTED_VALUE"""),"Pamela.Marcum@FloridaDEP.gov")</f>
        <v>Pamela.Marcum@FloridaDEP.gov</v>
      </c>
      <c r="D902" t="str">
        <f ca="1">IFERROR(__xludf.DUMMYFUNCTION("""COMPUTED_VALUE"""),"Nikki Dix")</f>
        <v>Nikki Dix</v>
      </c>
      <c r="E902" t="str">
        <f ca="1">IFERROR(__xludf.DUMMYFUNCTION("""COMPUTED_VALUE"""),"Faver-Dykes ")</f>
        <v xml:space="preserve">Faver-Dykes </v>
      </c>
      <c r="F902" s="13">
        <f ca="1">IFERROR(__xludf.DUMMYFUNCTION("""COMPUTED_VALUE"""),0.30208333333212)</f>
        <v>0.30208333333212001</v>
      </c>
      <c r="G902" s="14">
        <f ca="1">IFERROR(__xludf.DUMMYFUNCTION("""COMPUTED_VALUE"""),44743)</f>
        <v>44743</v>
      </c>
      <c r="H902" t="str">
        <f ca="1">IFERROR(__xludf.DUMMYFUNCTION("""COMPUTED_VALUE"""),"Upper Pellicer creek ")</f>
        <v xml:space="preserve">Upper Pellicer creek </v>
      </c>
      <c r="I902" s="15">
        <f ca="1">IFERROR(__xludf.DUMMYFUNCTION("""COMPUTED_VALUE"""),0.541666666667879)</f>
        <v>0.54166666666787899</v>
      </c>
      <c r="J902" s="16">
        <f ca="1">IFERROR(__xludf.DUMMYFUNCTION("""COMPUTED_VALUE"""),44743.5833333333)</f>
        <v>44743.583333333299</v>
      </c>
      <c r="K902" t="str">
        <f ca="1">IFERROR(__xludf.DUMMYFUNCTION("""COMPUTED_VALUE"""),"17ft Skiff (Marsha) FL0642GW DEP07239")</f>
        <v>17ft Skiff (Marsha) FL0642GW DEP07239</v>
      </c>
      <c r="M902" t="str">
        <f ca="1">IFERROR(__xludf.DUMMYFUNCTION("""COMPUTED_VALUE"""),"Ford F150 2018 (ML AP) - DEP21637")</f>
        <v>Ford F150 2018 (ML AP) - DEP21637</v>
      </c>
      <c r="N902" t="str">
        <f ca="1">IFERROR(__xludf.DUMMYFUNCTION("""COMPUTED_VALUE"""),"Pam Marcum, (480) 332-5414")</f>
        <v>Pam Marcum, (480) 332-5414</v>
      </c>
      <c r="O902" t="str">
        <f ca="1">IFERROR(__xludf.DUMMYFUNCTION("""COMPUTED_VALUE"""),"Jacob Berna ")</f>
        <v xml:space="preserve">Jacob Berna </v>
      </c>
      <c r="P902" t="str">
        <f ca="1">IFERROR(__xludf.DUMMYFUNCTION("""COMPUTED_VALUE"""),"Pam")</f>
        <v>Pam</v>
      </c>
      <c r="Q902" t="str">
        <f ca="1">IFERROR(__xludf.DUMMYFUNCTION("""COMPUTED_VALUE"""),"All items in working order")</f>
        <v>All items in working order</v>
      </c>
      <c r="AE902" s="11"/>
      <c r="AF902" t="str">
        <v>Nikki.Dix@floridadep.gov</v>
      </c>
      <c r="AG902" s="17" t="s">
        <v>126</v>
      </c>
      <c r="AH902" s="12">
        <v>1410</v>
      </c>
      <c r="AI902" s="12" t="s">
        <v>2659</v>
      </c>
      <c r="AJ902" s="19" t="s">
        <v>2660</v>
      </c>
      <c r="AK902" s="20" t="str">
        <f>HYPERLINK("https://docs.google.com/document/d/1a73xZa5IDDQDNO_nPzuvRa66JBEEWrNC6uxiYOwMsHY/edit?usp=drivesdk","Pam Marcum  - 7/1/2022 7:15 AM")</f>
        <v>Pam Marcum  - 7/1/2022 7:15 AM</v>
      </c>
      <c r="AL902" s="12" t="s">
        <v>2661</v>
      </c>
    </row>
    <row r="903" spans="1:38" ht="12.75">
      <c r="A903" s="10">
        <f ca="1">IFERROR(__xludf.DUMMYFUNCTION("""COMPUTED_VALUE"""),44750.3068077199)</f>
        <v>44750.306807719899</v>
      </c>
      <c r="B903" s="11" t="str">
        <f ca="1">IFERROR(__xludf.DUMMYFUNCTION("""COMPUTED_VALUE"""),"Pam Marcum ")</f>
        <v xml:space="preserve">Pam Marcum </v>
      </c>
      <c r="C903" t="str">
        <f ca="1">IFERROR(__xludf.DUMMYFUNCTION("""COMPUTED_VALUE"""),"Pamela.Marcum@FloridaDEP.gov")</f>
        <v>Pamela.Marcum@FloridaDEP.gov</v>
      </c>
      <c r="D903" t="str">
        <f ca="1">IFERROR(__xludf.DUMMYFUNCTION("""COMPUTED_VALUE"""),"Nikki Dix")</f>
        <v>Nikki Dix</v>
      </c>
      <c r="E903" t="str">
        <f ca="1">IFERROR(__xludf.DUMMYFUNCTION("""COMPUTED_VALUE"""),"Faver-Dykes ")</f>
        <v xml:space="preserve">Faver-Dykes </v>
      </c>
      <c r="F903" s="13">
        <f ca="1">IFERROR(__xludf.DUMMYFUNCTION("""COMPUTED_VALUE"""),0.30208333333212)</f>
        <v>0.30208333333212001</v>
      </c>
      <c r="G903" s="14">
        <f ca="1">IFERROR(__xludf.DUMMYFUNCTION("""COMPUTED_VALUE"""),44750)</f>
        <v>44750</v>
      </c>
      <c r="H903" t="str">
        <f ca="1">IFERROR(__xludf.DUMMYFUNCTION("""COMPUTED_VALUE"""),"Upper pellicer")</f>
        <v>Upper pellicer</v>
      </c>
      <c r="I903" s="15">
        <f ca="1">IFERROR(__xludf.DUMMYFUNCTION("""COMPUTED_VALUE"""),0.5)</f>
        <v>0.5</v>
      </c>
      <c r="J903" s="16">
        <f ca="1">IFERROR(__xludf.DUMMYFUNCTION("""COMPUTED_VALUE"""),44750.5416666666)</f>
        <v>44750.541666666599</v>
      </c>
      <c r="K903" t="str">
        <f ca="1">IFERROR(__xludf.DUMMYFUNCTION("""COMPUTED_VALUE"""),"F 20ft Sea Ark (Easy 200) FL8534PY DEP21451")</f>
        <v>F 20ft Sea Ark (Easy 200) FL8534PY DEP21451</v>
      </c>
      <c r="M903" t="str">
        <f ca="1">IFERROR(__xludf.DUMMYFUNCTION("""COMPUTED_VALUE"""),"Ford F150 2015 (White) - DEP21448")</f>
        <v>Ford F150 2015 (White) - DEP21448</v>
      </c>
      <c r="N903" t="str">
        <f ca="1">IFERROR(__xludf.DUMMYFUNCTION("""COMPUTED_VALUE"""),"Pam Marcum, (480) 332-5414")</f>
        <v>Pam Marcum, (480) 332-5414</v>
      </c>
      <c r="O903" t="str">
        <f ca="1">IFERROR(__xludf.DUMMYFUNCTION("""COMPUTED_VALUE"""),"Erick, Courtney")</f>
        <v>Erick, Courtney</v>
      </c>
      <c r="P903" t="str">
        <f ca="1">IFERROR(__xludf.DUMMYFUNCTION("""COMPUTED_VALUE"""),"Pam")</f>
        <v>Pam</v>
      </c>
      <c r="Q903" t="str">
        <f ca="1">IFERROR(__xludf.DUMMYFUNCTION("""COMPUTED_VALUE"""),"All items in working order")</f>
        <v>All items in working order</v>
      </c>
      <c r="AE903" s="11"/>
      <c r="AF903" t="str">
        <v>Nikki.Dix@floridadep.gov</v>
      </c>
      <c r="AG903" s="17" t="s">
        <v>41</v>
      </c>
      <c r="AH903" s="12">
        <v>1051</v>
      </c>
      <c r="AI903" s="12" t="s">
        <v>2662</v>
      </c>
      <c r="AJ903" s="19" t="s">
        <v>2663</v>
      </c>
      <c r="AK903" s="20" t="str">
        <f>HYPERLINK("https://docs.google.com/document/d/1X5omORKg9q1Q2uqzxp0k9JirDU65flqZ6bcze6GUIGw/edit?usp=drivesdk","Pam Marcum  - 7/8/2022 7:15 AM")</f>
        <v>Pam Marcum  - 7/8/2022 7:15 AM</v>
      </c>
      <c r="AL903" s="12" t="s">
        <v>2664</v>
      </c>
    </row>
    <row r="904" spans="1:38" ht="12.75">
      <c r="A904" s="10">
        <f ca="1">IFERROR(__xludf.DUMMYFUNCTION("""COMPUTED_VALUE"""),44753.3084757176)</f>
        <v>44753.308475717597</v>
      </c>
      <c r="B904" s="11" t="str">
        <f ca="1">IFERROR(__xludf.DUMMYFUNCTION("""COMPUTED_VALUE"""),"Jessica Lee")</f>
        <v>Jessica Lee</v>
      </c>
      <c r="C904" t="str">
        <f ca="1">IFERROR(__xludf.DUMMYFUNCTION("""COMPUTED_VALUE"""),"jmcupp099@gmail.com")</f>
        <v>jmcupp099@gmail.com</v>
      </c>
      <c r="D904" t="str">
        <f ca="1">IFERROR(__xludf.DUMMYFUNCTION("""COMPUTED_VALUE"""),"Nikki Dix")</f>
        <v>Nikki Dix</v>
      </c>
      <c r="E904" t="str">
        <f ca="1">IFERROR(__xludf.DUMMYFUNCTION("""COMPUTED_VALUE"""),"Guana Dam")</f>
        <v>Guana Dam</v>
      </c>
      <c r="F904" s="13">
        <f ca="1">IFERROR(__xludf.DUMMYFUNCTION("""COMPUTED_VALUE"""),0.326388888890505)</f>
        <v>0.32638888889050499</v>
      </c>
      <c r="G904" s="14">
        <f ca="1">IFERROR(__xludf.DUMMYFUNCTION("""COMPUTED_VALUE"""),44753)</f>
        <v>44753</v>
      </c>
      <c r="H904" t="str">
        <f ca="1">IFERROR(__xludf.DUMMYFUNCTION("""COMPUTED_VALUE"""),"Guana River ")</f>
        <v xml:space="preserve">Guana River </v>
      </c>
      <c r="I904" s="15">
        <f ca="1">IFERROR(__xludf.DUMMYFUNCTION("""COMPUTED_VALUE"""),0.375)</f>
        <v>0.375</v>
      </c>
      <c r="J904" s="16">
        <f ca="1">IFERROR(__xludf.DUMMYFUNCTION("""COMPUTED_VALUE"""),44753.3854166666)</f>
        <v>44753.385416666599</v>
      </c>
      <c r="K904" t="str">
        <f ca="1">IFERROR(__xludf.DUMMYFUNCTION("""COMPUTED_VALUE"""),"Jon Boat 1 FL5992RR DEP154045")</f>
        <v>Jon Boat 1 FL5992RR DEP154045</v>
      </c>
      <c r="M904" t="str">
        <f ca="1">IFERROR(__xludf.DUMMYFUNCTION("""COMPUTED_VALUE"""),"Ford F150 2015 (White) - DEP21448")</f>
        <v>Ford F150 2015 (White) - DEP21448</v>
      </c>
      <c r="N904" t="str">
        <f ca="1">IFERROR(__xludf.DUMMYFUNCTION("""COMPUTED_VALUE"""),"Jessica Lee")</f>
        <v>Jessica Lee</v>
      </c>
      <c r="O904" t="str">
        <f ca="1">IFERROR(__xludf.DUMMYFUNCTION("""COMPUTED_VALUE"""),"Jenna R")</f>
        <v>Jenna R</v>
      </c>
      <c r="P904" t="str">
        <f ca="1">IFERROR(__xludf.DUMMYFUNCTION("""COMPUTED_VALUE"""),"Jess")</f>
        <v>Jess</v>
      </c>
      <c r="Q904" t="str">
        <f ca="1">IFERROR(__xludf.DUMMYFUNCTION("""COMPUTED_VALUE"""),"All items in working order")</f>
        <v>All items in working order</v>
      </c>
      <c r="AE904" s="11"/>
      <c r="AF904" t="str">
        <v>Nikki.Dix@floridadep.gov</v>
      </c>
      <c r="AG904" s="17" t="s">
        <v>41</v>
      </c>
      <c r="AH904" s="12">
        <v>910</v>
      </c>
      <c r="AI904" s="12" t="s">
        <v>2665</v>
      </c>
      <c r="AJ904" s="19" t="s">
        <v>2666</v>
      </c>
      <c r="AK904" s="20" t="str">
        <f>HYPERLINK("https://docs.google.com/document/d/1uSihR3B2zuVCRc2LABznWXPKb6pB7vBb2tY9q3Ft6Uo/edit?usp=drivesdk","Jessica Lee - 7/11/2022 7:50 AM")</f>
        <v>Jessica Lee - 7/11/2022 7:50 AM</v>
      </c>
      <c r="AL904" s="12" t="s">
        <v>2667</v>
      </c>
    </row>
    <row r="905" spans="1:38" ht="12.75">
      <c r="A905" s="10">
        <f ca="1">IFERROR(__xludf.DUMMYFUNCTION("""COMPUTED_VALUE"""),44754.286579942)</f>
        <v>44754.286579942098</v>
      </c>
      <c r="B905" s="11" t="str">
        <f ca="1">IFERROR(__xludf.DUMMYFUNCTION("""COMPUTED_VALUE"""),"Silas Tanner")</f>
        <v>Silas Tanner</v>
      </c>
      <c r="C905" t="str">
        <f ca="1">IFERROR(__xludf.DUMMYFUNCTION("""COMPUTED_VALUE"""),"silas.tanner@floridadep.gov")</f>
        <v>silas.tanner@floridadep.gov</v>
      </c>
      <c r="D905" t="str">
        <f ca="1">IFERROR(__xludf.DUMMYFUNCTION("""COMPUTED_VALUE"""),"Nikki Dix")</f>
        <v>Nikki Dix</v>
      </c>
      <c r="E905" t="str">
        <f ca="1">IFERROR(__xludf.DUMMYFUNCTION("""COMPUTED_VALUE"""),"Vilano Landing")</f>
        <v>Vilano Landing</v>
      </c>
      <c r="F905" s="13">
        <f ca="1">IFERROR(__xludf.DUMMYFUNCTION("""COMPUTED_VALUE"""),0.3125)</f>
        <v>0.3125</v>
      </c>
      <c r="G905" s="14">
        <f ca="1">IFERROR(__xludf.DUMMYFUNCTION("""COMPUTED_VALUE"""),44754)</f>
        <v>44754</v>
      </c>
      <c r="H905" t="str">
        <f ca="1">IFERROR(__xludf.DUMMYFUNCTION("""COMPUTED_VALUE"""),"ICW SWMP FM, SS, PI")</f>
        <v>ICW SWMP FM, SS, PI</v>
      </c>
      <c r="I905" s="15">
        <f ca="1">IFERROR(__xludf.DUMMYFUNCTION("""COMPUTED_VALUE"""),0.604166666667879)</f>
        <v>0.60416666666787899</v>
      </c>
      <c r="J905" s="16">
        <f ca="1">IFERROR(__xludf.DUMMYFUNCTION("""COMPUTED_VALUE"""),44754.625)</f>
        <v>44754.625</v>
      </c>
      <c r="K905" t="str">
        <f ca="1">IFERROR(__xludf.DUMMYFUNCTION("""COMPUTED_VALUE"""),"23ft Skiff (Bertha) FL7972LJ DEP07613")</f>
        <v>23ft Skiff (Bertha) FL7972LJ DEP07613</v>
      </c>
      <c r="M905" t="str">
        <f ca="1">IFERROR(__xludf.DUMMYFUNCTION("""COMPUTED_VALUE"""),"Ford F250 2017 (Moby Dix) - DEP0021578")</f>
        <v>Ford F250 2017 (Moby Dix) - DEP0021578</v>
      </c>
      <c r="N905" t="str">
        <f ca="1">IFERROR(__xludf.DUMMYFUNCTION("""COMPUTED_VALUE"""),"Silas Tanner, (904) 483-8423")</f>
        <v>Silas Tanner, (904) 483-8423</v>
      </c>
      <c r="O905" t="str">
        <f ca="1">IFERROR(__xludf.DUMMYFUNCTION("""COMPUTED_VALUE"""),"Emalee Swisshelm and Nate Schirmer")</f>
        <v>Emalee Swisshelm and Nate Schirmer</v>
      </c>
      <c r="P905" t="str">
        <f ca="1">IFERROR(__xludf.DUMMYFUNCTION("""COMPUTED_VALUE"""),"Silas Tanner")</f>
        <v>Silas Tanner</v>
      </c>
      <c r="Q905" t="str">
        <f ca="1">IFERROR(__xludf.DUMMYFUNCTION("""COMPUTED_VALUE"""),"All items in working order")</f>
        <v>All items in working order</v>
      </c>
      <c r="AE905" s="11"/>
      <c r="AF905" t="str">
        <v>Nikki.Dix@floridadep.gov</v>
      </c>
      <c r="AG905" s="17" t="s">
        <v>41</v>
      </c>
      <c r="AH905" s="12">
        <v>1144</v>
      </c>
      <c r="AI905" s="12" t="s">
        <v>2668</v>
      </c>
      <c r="AJ905" s="19" t="s">
        <v>2669</v>
      </c>
      <c r="AK905" s="20" t="str">
        <f>HYPERLINK("https://docs.google.com/document/d/19grliXh_OuV8dEWqZQLuLaRqwBIh0UqYKeZmd1GdmqA/edit?usp=drivesdk","Silas Tanner - 7/12/2022 7:30 AM")</f>
        <v>Silas Tanner - 7/12/2022 7:30 AM</v>
      </c>
      <c r="AL905" s="12" t="s">
        <v>2670</v>
      </c>
    </row>
    <row r="906" spans="1:38" ht="12.75">
      <c r="A906" s="10">
        <f ca="1">IFERROR(__xludf.DUMMYFUNCTION("""COMPUTED_VALUE"""),44754.4090443981)</f>
        <v>44754.409044398097</v>
      </c>
      <c r="B906" s="11" t="str">
        <f ca="1">IFERROR(__xludf.DUMMYFUNCTION("""COMPUTED_VALUE"""),"Jimmy")</f>
        <v>Jimmy</v>
      </c>
      <c r="C906" t="str">
        <f ca="1">IFERROR(__xludf.DUMMYFUNCTION("""COMPUTED_VALUE"""),"james.tomazinis@floridadep.gov")</f>
        <v>james.tomazinis@floridadep.gov</v>
      </c>
      <c r="D906" t="str">
        <f ca="1">IFERROR(__xludf.DUMMYFUNCTION("""COMPUTED_VALUE"""),"Scott Eastman")</f>
        <v>Scott Eastman</v>
      </c>
      <c r="E906" t="str">
        <f ca="1">IFERROR(__xludf.DUMMYFUNCTION("""COMPUTED_VALUE"""),"Mayport")</f>
        <v>Mayport</v>
      </c>
      <c r="F906" s="13">
        <f ca="1">IFERROR(__xludf.DUMMYFUNCTION("""COMPUTED_VALUE"""),0.40625)</f>
        <v>0.40625</v>
      </c>
      <c r="G906" s="14">
        <f ca="1">IFERROR(__xludf.DUMMYFUNCTION("""COMPUTED_VALUE"""),44754)</f>
        <v>44754</v>
      </c>
      <c r="H906" t="str">
        <f ca="1">IFERROR(__xludf.DUMMYFUNCTION("""COMPUTED_VALUE"""),"Sisters creek")</f>
        <v>Sisters creek</v>
      </c>
      <c r="I906" s="15">
        <f ca="1">IFERROR(__xludf.DUMMYFUNCTION("""COMPUTED_VALUE"""),0.58333333333212)</f>
        <v>0.58333333333212001</v>
      </c>
      <c r="J906" s="16"/>
      <c r="K906" t="str">
        <f ca="1">IFERROR(__xludf.DUMMYFUNCTION("""COMPUTED_VALUE"""),"F 20ft Sea Ark (Easy 200) FL8534PY DEP21451")</f>
        <v>F 20ft Sea Ark (Easy 200) FL8534PY DEP21451</v>
      </c>
      <c r="M906" t="str">
        <f ca="1">IFERROR(__xludf.DUMMYFUNCTION("""COMPUTED_VALUE"""),"Ford F150 2007 (F-Bomb) - DEP07055")</f>
        <v>Ford F150 2007 (F-Bomb) - DEP07055</v>
      </c>
      <c r="N906" t="str">
        <f ca="1">IFERROR(__xludf.DUMMYFUNCTION("""COMPUTED_VALUE"""),"Jimmy Tomazinis, (904) 547-0094")</f>
        <v>Jimmy Tomazinis, (904) 547-0094</v>
      </c>
      <c r="O906" t="str">
        <f ca="1">IFERROR(__xludf.DUMMYFUNCTION("""COMPUTED_VALUE"""),"Chris")</f>
        <v>Chris</v>
      </c>
      <c r="P906" t="str">
        <f ca="1">IFERROR(__xludf.DUMMYFUNCTION("""COMPUTED_VALUE"""),"Jimmy")</f>
        <v>Jimmy</v>
      </c>
      <c r="Q906" t="str">
        <f ca="1">IFERROR(__xludf.DUMMYFUNCTION("""COMPUTED_VALUE"""),"All items in working order")</f>
        <v>All items in working order</v>
      </c>
      <c r="AE906" s="11"/>
      <c r="AF906" t="str">
        <v>Scott.Eastman@floridadep.gov</v>
      </c>
      <c r="AG906" s="17" t="s">
        <v>17</v>
      </c>
      <c r="AH906" s="12">
        <v>1405</v>
      </c>
      <c r="AI906" s="12" t="s">
        <v>2671</v>
      </c>
      <c r="AJ906" s="19" t="s">
        <v>2672</v>
      </c>
      <c r="AK906" s="20" t="str">
        <f>HYPERLINK("https://docs.google.com/document/d/1DT0Zx6uwyKzgx3z_u36aB1rUheUamDD3XCrKC_er6G0/edit?usp=drivesdk","Jimmy - 7/12/2022 9:45 AM")</f>
        <v>Jimmy - 7/12/2022 9:45 AM</v>
      </c>
      <c r="AL906" s="12" t="s">
        <v>2673</v>
      </c>
    </row>
    <row r="907" spans="1:38" ht="12.75">
      <c r="A907" s="10">
        <f ca="1">IFERROR(__xludf.DUMMYFUNCTION("""COMPUTED_VALUE"""),44755.3153102314)</f>
        <v>44755.315310231403</v>
      </c>
      <c r="B907" s="11" t="str">
        <f ca="1">IFERROR(__xludf.DUMMYFUNCTION("""COMPUTED_VALUE"""),"Jessica Lee")</f>
        <v>Jessica Lee</v>
      </c>
      <c r="C907" t="str">
        <f ca="1">IFERROR(__xludf.DUMMYFUNCTION("""COMPUTED_VALUE"""),"jmcupp099@gmail.com")</f>
        <v>jmcupp099@gmail.com</v>
      </c>
      <c r="D907" t="str">
        <f ca="1">IFERROR(__xludf.DUMMYFUNCTION("""COMPUTED_VALUE"""),"Nikki Dix")</f>
        <v>Nikki Dix</v>
      </c>
      <c r="E907" t="str">
        <f ca="1">IFERROR(__xludf.DUMMYFUNCTION("""COMPUTED_VALUE"""),"6 Mile")</f>
        <v>6 Mile</v>
      </c>
      <c r="F907" s="13">
        <f ca="1">IFERROR(__xludf.DUMMYFUNCTION("""COMPUTED_VALUE"""),0.33333333333212)</f>
        <v>0.33333333333212001</v>
      </c>
      <c r="G907" s="14">
        <f ca="1">IFERROR(__xludf.DUMMYFUNCTION("""COMPUTED_VALUE"""),44755)</f>
        <v>44755</v>
      </c>
      <c r="H907" t="str">
        <f ca="1">IFERROR(__xludf.DUMMYFUNCTION("""COMPUTED_VALUE"""),"Guana Lake")</f>
        <v>Guana Lake</v>
      </c>
      <c r="I907" s="15">
        <f ca="1">IFERROR(__xludf.DUMMYFUNCTION("""COMPUTED_VALUE"""),0.375)</f>
        <v>0.375</v>
      </c>
      <c r="J907" s="16">
        <f ca="1">IFERROR(__xludf.DUMMYFUNCTION("""COMPUTED_VALUE"""),44753.3958333333)</f>
        <v>44753.395833333299</v>
      </c>
      <c r="K907" t="str">
        <f ca="1">IFERROR(__xludf.DUMMYFUNCTION("""COMPUTED_VALUE"""),"Jon Boat 1 FL5992RR DEP154045")</f>
        <v>Jon Boat 1 FL5992RR DEP154045</v>
      </c>
      <c r="M907" t="str">
        <f ca="1">IFERROR(__xludf.DUMMYFUNCTION("""COMPUTED_VALUE"""),"Ford F150 2015 (White) - DEP21448")</f>
        <v>Ford F150 2015 (White) - DEP21448</v>
      </c>
      <c r="N907" t="str">
        <f ca="1">IFERROR(__xludf.DUMMYFUNCTION("""COMPUTED_VALUE"""),"Jessica Lee")</f>
        <v>Jessica Lee</v>
      </c>
      <c r="O907" t="str">
        <f ca="1">IFERROR(__xludf.DUMMYFUNCTION("""COMPUTED_VALUE"""),"Justina, Morgan ")</f>
        <v xml:space="preserve">Justina, Morgan </v>
      </c>
      <c r="P907" t="str">
        <f ca="1">IFERROR(__xludf.DUMMYFUNCTION("""COMPUTED_VALUE"""),"Jess")</f>
        <v>Jess</v>
      </c>
      <c r="Q907" t="str">
        <f ca="1">IFERROR(__xludf.DUMMYFUNCTION("""COMPUTED_VALUE"""),"All items in working order")</f>
        <v>All items in working order</v>
      </c>
      <c r="AE907" s="11"/>
      <c r="AF907" t="str">
        <v>Nikki.Dix@floridadep.gov</v>
      </c>
      <c r="AG907" s="17" t="s">
        <v>41</v>
      </c>
      <c r="AH907" s="12">
        <v>1027</v>
      </c>
      <c r="AI907" s="12" t="s">
        <v>2674</v>
      </c>
      <c r="AJ907" s="19" t="s">
        <v>2675</v>
      </c>
      <c r="AK907" s="20" t="str">
        <f>HYPERLINK("https://docs.google.com/document/d/1ZCS35kdIJcnZlQE03cEss_VXHIwNbPa9gGAzHfOKkvE/edit?usp=drivesdk","Jessica Lee - 7/13/2022 8:00 AM")</f>
        <v>Jessica Lee - 7/13/2022 8:00 AM</v>
      </c>
      <c r="AL907" s="12" t="s">
        <v>2676</v>
      </c>
    </row>
    <row r="908" spans="1:38" ht="12.75">
      <c r="A908" s="10">
        <f ca="1">IFERROR(__xludf.DUMMYFUNCTION("""COMPUTED_VALUE"""),44767.4589601041)</f>
        <v>44767.458960104101</v>
      </c>
      <c r="B908" s="11" t="str">
        <f ca="1">IFERROR(__xludf.DUMMYFUNCTION("""COMPUTED_VALUE"""),"Jimmy")</f>
        <v>Jimmy</v>
      </c>
      <c r="C908" t="str">
        <f ca="1">IFERROR(__xludf.DUMMYFUNCTION("""COMPUTED_VALUE"""),"james.tomazinis@floridadep.gov")</f>
        <v>james.tomazinis@floridadep.gov</v>
      </c>
      <c r="D908" t="str">
        <f ca="1">IFERROR(__xludf.DUMMYFUNCTION("""COMPUTED_VALUE"""),"Scott Eastman")</f>
        <v>Scott Eastman</v>
      </c>
      <c r="E908" t="str">
        <f ca="1">IFERROR(__xludf.DUMMYFUNCTION("""COMPUTED_VALUE"""),"Mayport ")</f>
        <v xml:space="preserve">Mayport </v>
      </c>
      <c r="F908" s="13">
        <f ca="1">IFERROR(__xludf.DUMMYFUNCTION("""COMPUTED_VALUE"""),0.45833333333212)</f>
        <v>0.45833333333212001</v>
      </c>
      <c r="G908" s="14">
        <f ca="1">IFERROR(__xludf.DUMMYFUNCTION("""COMPUTED_VALUE"""),44767)</f>
        <v>44767</v>
      </c>
      <c r="H908" t="str">
        <f ca="1">IFERROR(__xludf.DUMMYFUNCTION("""COMPUTED_VALUE"""),"St. John’s inlet and sisters")</f>
        <v>St. John’s inlet and sisters</v>
      </c>
      <c r="I908" s="15">
        <f ca="1">IFERROR(__xludf.DUMMYFUNCTION("""COMPUTED_VALUE"""),0.58333333333212)</f>
        <v>0.58333333333212001</v>
      </c>
      <c r="J908" s="16"/>
      <c r="K908" t="str">
        <f ca="1">IFERROR(__xludf.DUMMYFUNCTION("""COMPUTED_VALUE"""),"F 20ft Sea Ark (Easy 200) FL8534PY DEP21451")</f>
        <v>F 20ft Sea Ark (Easy 200) FL8534PY DEP21451</v>
      </c>
      <c r="M908" t="str">
        <f ca="1">IFERROR(__xludf.DUMMYFUNCTION("""COMPUTED_VALUE"""),"Ford F150 2007 (F-Bomb) - DEP07055")</f>
        <v>Ford F150 2007 (F-Bomb) - DEP07055</v>
      </c>
      <c r="N908" t="str">
        <f ca="1">IFERROR(__xludf.DUMMYFUNCTION("""COMPUTED_VALUE"""),"Jimmy Tomazinis, (904) 547-0094")</f>
        <v>Jimmy Tomazinis, (904) 547-0094</v>
      </c>
      <c r="O908" t="str">
        <f ca="1">IFERROR(__xludf.DUMMYFUNCTION("""COMPUTED_VALUE"""),"Chris ")</f>
        <v xml:space="preserve">Chris </v>
      </c>
      <c r="P908" t="str">
        <f ca="1">IFERROR(__xludf.DUMMYFUNCTION("""COMPUTED_VALUE"""),"Jimmy")</f>
        <v>Jimmy</v>
      </c>
      <c r="Q908" t="str">
        <f ca="1">IFERROR(__xludf.DUMMYFUNCTION("""COMPUTED_VALUE"""),"All items in working order")</f>
        <v>All items in working order</v>
      </c>
      <c r="AE908" s="11"/>
      <c r="AF908" t="str">
        <v>Scott.Eastman@floridadep.gov</v>
      </c>
      <c r="AG908" s="17" t="s">
        <v>17</v>
      </c>
      <c r="AH908" s="12">
        <v>1420</v>
      </c>
      <c r="AI908" s="12" t="s">
        <v>2677</v>
      </c>
      <c r="AJ908" s="19" t="s">
        <v>2678</v>
      </c>
      <c r="AK908" s="20" t="str">
        <f>HYPERLINK("https://docs.google.com/document/d/1hm4NrgHQKwMVu9Eq-JgzT17dXJV98HIjQcwNtMObRpU/edit?usp=drivesdk","Jimmy - 7/25/2022 11:00 AM")</f>
        <v>Jimmy - 7/25/2022 11:00 AM</v>
      </c>
      <c r="AL908" s="12" t="s">
        <v>2679</v>
      </c>
    </row>
    <row r="909" spans="1:38" ht="12.75">
      <c r="A909" s="10">
        <f ca="1">IFERROR(__xludf.DUMMYFUNCTION("""COMPUTED_VALUE"""),44769.3537382638)</f>
        <v>44769.353738263802</v>
      </c>
      <c r="B909" s="11" t="str">
        <f ca="1">IFERROR(__xludf.DUMMYFUNCTION("""COMPUTED_VALUE"""),"Jimmy")</f>
        <v>Jimmy</v>
      </c>
      <c r="C909" t="str">
        <f ca="1">IFERROR(__xludf.DUMMYFUNCTION("""COMPUTED_VALUE"""),"james.tomazinis@floridadep.gov")</f>
        <v>james.tomazinis@floridadep.gov</v>
      </c>
      <c r="D909" t="str">
        <f ca="1">IFERROR(__xludf.DUMMYFUNCTION("""COMPUTED_VALUE"""),"Scott Eastman")</f>
        <v>Scott Eastman</v>
      </c>
      <c r="E909" t="str">
        <f ca="1">IFERROR(__xludf.DUMMYFUNCTION("""COMPUTED_VALUE"""),"Dee Dee Bartels and Holly Point")</f>
        <v>Dee Dee Bartels and Holly Point</v>
      </c>
      <c r="F909" s="13">
        <f ca="1">IFERROR(__xludf.DUMMYFUNCTION("""COMPUTED_VALUE"""),0.416666666667879)</f>
        <v>0.41666666666787899</v>
      </c>
      <c r="G909" s="14">
        <f ca="1">IFERROR(__xludf.DUMMYFUNCTION("""COMPUTED_VALUE"""),44769)</f>
        <v>44769</v>
      </c>
      <c r="H909" t="str">
        <f ca="1">IFERROR(__xludf.DUMMYFUNCTION("""COMPUTED_VALUE"""),"NEAP WQ sites")</f>
        <v>NEAP WQ sites</v>
      </c>
      <c r="I909" s="15">
        <f ca="1">IFERROR(__xludf.DUMMYFUNCTION("""COMPUTED_VALUE"""),0.625)</f>
        <v>0.625</v>
      </c>
      <c r="J909" s="16"/>
      <c r="K909" t="str">
        <f ca="1">IFERROR(__xludf.DUMMYFUNCTION("""COMPUTED_VALUE"""),"F 20ft Sea Ark (Easy 200) FL8534PY DEP21451")</f>
        <v>F 20ft Sea Ark (Easy 200) FL8534PY DEP21451</v>
      </c>
      <c r="M909" t="str">
        <f ca="1">IFERROR(__xludf.DUMMYFUNCTION("""COMPUTED_VALUE"""),"Ford F150 2007 (F-Bomb) - DEP07055")</f>
        <v>Ford F150 2007 (F-Bomb) - DEP07055</v>
      </c>
      <c r="N909" t="str">
        <f ca="1">IFERROR(__xludf.DUMMYFUNCTION("""COMPUTED_VALUE"""),"Jimmy Tomazinis, (904) 547-0094")</f>
        <v>Jimmy Tomazinis, (904) 547-0094</v>
      </c>
      <c r="O909" t="str">
        <f ca="1">IFERROR(__xludf.DUMMYFUNCTION("""COMPUTED_VALUE"""),"Chris Kurtz")</f>
        <v>Chris Kurtz</v>
      </c>
      <c r="P909" t="str">
        <f ca="1">IFERROR(__xludf.DUMMYFUNCTION("""COMPUTED_VALUE"""),"Jimmy")</f>
        <v>Jimmy</v>
      </c>
      <c r="Q909" t="str">
        <f ca="1">IFERROR(__xludf.DUMMYFUNCTION("""COMPUTED_VALUE"""),"All items in working order")</f>
        <v>All items in working order</v>
      </c>
      <c r="AE909" s="11"/>
      <c r="AF909" t="str">
        <v>Scott.Eastman@floridadep.gov</v>
      </c>
      <c r="AG909" s="17" t="s">
        <v>17</v>
      </c>
      <c r="AH909" s="12">
        <v>1305</v>
      </c>
      <c r="AI909" s="12" t="s">
        <v>2680</v>
      </c>
      <c r="AJ909" s="19" t="s">
        <v>2681</v>
      </c>
      <c r="AK909" s="20" t="str">
        <f>HYPERLINK("https://docs.google.com/document/d/1mgd2mpQv8fh7nrB5OtNUG7FZDjHxvhBVEe-2YA29fIA/edit?usp=drivesdk","Jimmy - 7/27/2022 10:00 AM")</f>
        <v>Jimmy - 7/27/2022 10:00 AM</v>
      </c>
      <c r="AL909" s="12" t="s">
        <v>2682</v>
      </c>
    </row>
    <row r="910" spans="1:38" ht="12.75">
      <c r="A910" s="10">
        <f ca="1">IFERROR(__xludf.DUMMYFUNCTION("""COMPUTED_VALUE"""),44776.3190262152)</f>
        <v>44776.319026215198</v>
      </c>
      <c r="B910" s="11" t="str">
        <f ca="1">IFERROR(__xludf.DUMMYFUNCTION("""COMPUTED_VALUE"""),"Pam Marcum ")</f>
        <v xml:space="preserve">Pam Marcum </v>
      </c>
      <c r="C910" t="str">
        <f ca="1">IFERROR(__xludf.DUMMYFUNCTION("""COMPUTED_VALUE"""),"Pamela.Marcum@FloridaDEP.gov")</f>
        <v>Pamela.Marcum@FloridaDEP.gov</v>
      </c>
      <c r="D910" t="str">
        <f ca="1">IFERROR(__xludf.DUMMYFUNCTION("""COMPUTED_VALUE"""),"Nikki Dix")</f>
        <v>Nikki Dix</v>
      </c>
      <c r="E910" t="str">
        <f ca="1">IFERROR(__xludf.DUMMYFUNCTION("""COMPUTED_VALUE"""),"Bings")</f>
        <v>Bings</v>
      </c>
      <c r="F910" s="13">
        <f ca="1">IFERROR(__xludf.DUMMYFUNCTION("""COMPUTED_VALUE"""),0.3125)</f>
        <v>0.3125</v>
      </c>
      <c r="G910" s="14">
        <f ca="1">IFERROR(__xludf.DUMMYFUNCTION("""COMPUTED_VALUE"""),44776)</f>
        <v>44776</v>
      </c>
      <c r="H910" t="str">
        <f ca="1">IFERROR(__xludf.DUMMYFUNCTION("""COMPUTED_VALUE"""),"Dolphin creek, Matanzas river")</f>
        <v>Dolphin creek, Matanzas river</v>
      </c>
      <c r="I910" s="15">
        <f ca="1">IFERROR(__xludf.DUMMYFUNCTION("""COMPUTED_VALUE"""),0.5)</f>
        <v>0.5</v>
      </c>
      <c r="J910" s="16">
        <f ca="1">IFERROR(__xludf.DUMMYFUNCTION("""COMPUTED_VALUE"""),44776.5208333333)</f>
        <v>44776.520833333299</v>
      </c>
      <c r="K910" t="str">
        <f ca="1">IFERROR(__xludf.DUMMYFUNCTION("""COMPUTED_VALUE"""),"17ft Skiff (Marsha) FL0642GW DEP07239")</f>
        <v>17ft Skiff (Marsha) FL0642GW DEP07239</v>
      </c>
      <c r="M910" t="str">
        <f ca="1">IFERROR(__xludf.DUMMYFUNCTION("""COMPUTED_VALUE"""),"Ford F150 2018 (ML AP) - DEP21637")</f>
        <v>Ford F150 2018 (ML AP) - DEP21637</v>
      </c>
      <c r="N910" t="str">
        <f ca="1">IFERROR(__xludf.DUMMYFUNCTION("""COMPUTED_VALUE"""),"Pam Marcum, (480) 332-5414")</f>
        <v>Pam Marcum, (480) 332-5414</v>
      </c>
      <c r="O910" t="str">
        <f ca="1">IFERROR(__xludf.DUMMYFUNCTION("""COMPUTED_VALUE"""),"Jacob berna")</f>
        <v>Jacob berna</v>
      </c>
      <c r="P910" t="str">
        <f ca="1">IFERROR(__xludf.DUMMYFUNCTION("""COMPUTED_VALUE"""),"Pam")</f>
        <v>Pam</v>
      </c>
      <c r="Q910" t="str">
        <f ca="1">IFERROR(__xludf.DUMMYFUNCTION("""COMPUTED_VALUE"""),"All items in working order")</f>
        <v>All items in working order</v>
      </c>
      <c r="AE910" s="11"/>
      <c r="AF910" t="str">
        <v>Nikki.Dix@floridadep.gov</v>
      </c>
      <c r="AG910" s="17" t="s">
        <v>41</v>
      </c>
      <c r="AH910" s="12">
        <v>1247</v>
      </c>
      <c r="AI910" s="12" t="s">
        <v>2683</v>
      </c>
      <c r="AJ910" s="19" t="s">
        <v>2684</v>
      </c>
      <c r="AK910" s="20" t="str">
        <f>HYPERLINK("https://docs.google.com/document/d/1TDDjB2_bOKNzyRW0ANNSGnTIw2Mz2kRieAl9-ce9eFo/edit?usp=drivesdk","Pam Marcum  - 8/3/2022 7:30 AM")</f>
        <v>Pam Marcum  - 8/3/2022 7:30 AM</v>
      </c>
      <c r="AL910" s="12" t="s">
        <v>2685</v>
      </c>
    </row>
    <row r="911" spans="1:38" ht="12.75">
      <c r="A911" s="10">
        <f ca="1">IFERROR(__xludf.DUMMYFUNCTION("""COMPUTED_VALUE"""),44776.324089456)</f>
        <v>44776.324089456</v>
      </c>
      <c r="B911" s="11" t="str">
        <f ca="1">IFERROR(__xludf.DUMMYFUNCTION("""COMPUTED_VALUE"""),"Silas Tanner")</f>
        <v>Silas Tanner</v>
      </c>
      <c r="C911" t="str">
        <f ca="1">IFERROR(__xludf.DUMMYFUNCTION("""COMPUTED_VALUE"""),"silas.tanner@floridadep.gov")</f>
        <v>silas.tanner@floridadep.gov</v>
      </c>
      <c r="D911" t="str">
        <f ca="1">IFERROR(__xludf.DUMMYFUNCTION("""COMPUTED_VALUE"""),"Nikki Dix")</f>
        <v>Nikki Dix</v>
      </c>
      <c r="E911" t="str">
        <f ca="1">IFERROR(__xludf.DUMMYFUNCTION("""COMPUTED_VALUE"""),"Crane Ramp")</f>
        <v>Crane Ramp</v>
      </c>
      <c r="F911" s="13">
        <f ca="1">IFERROR(__xludf.DUMMYFUNCTION("""COMPUTED_VALUE"""),0.4375)</f>
        <v>0.4375</v>
      </c>
      <c r="G911" s="14">
        <f ca="1">IFERROR(__xludf.DUMMYFUNCTION("""COMPUTED_VALUE"""),44776)</f>
        <v>44776</v>
      </c>
      <c r="H911" t="str">
        <f ca="1">IFERROR(__xludf.DUMMYFUNCTION("""COMPUTED_VALUE"""),"ICW SWMP Sites")</f>
        <v>ICW SWMP Sites</v>
      </c>
      <c r="I911" s="15">
        <f ca="1">IFERROR(__xludf.DUMMYFUNCTION("""COMPUTED_VALUE"""),0.64583333333212)</f>
        <v>0.64583333333212001</v>
      </c>
      <c r="J911" s="16">
        <f ca="1">IFERROR(__xludf.DUMMYFUNCTION("""COMPUTED_VALUE"""),44776.6666666666)</f>
        <v>44776.666666666599</v>
      </c>
      <c r="K911" t="str">
        <f ca="1">IFERROR(__xludf.DUMMYFUNCTION("""COMPUTED_VALUE"""),"F 20ft Sea Ark (Easy 200) FL8534PY DEP21451")</f>
        <v>F 20ft Sea Ark (Easy 200) FL8534PY DEP21451</v>
      </c>
      <c r="M911" t="str">
        <f ca="1">IFERROR(__xludf.DUMMYFUNCTION("""COMPUTED_VALUE"""),"Ford F250 2017 (Moby Dix) - DEP0021578")</f>
        <v>Ford F250 2017 (Moby Dix) - DEP0021578</v>
      </c>
      <c r="N911" t="str">
        <f ca="1">IFERROR(__xludf.DUMMYFUNCTION("""COMPUTED_VALUE"""),"Silas Tanner, (904) 483-8423, Remo Mondazzi")</f>
        <v>Silas Tanner, (904) 483-8423, Remo Mondazzi</v>
      </c>
      <c r="P911" t="str">
        <f ca="1">IFERROR(__xludf.DUMMYFUNCTION("""COMPUTED_VALUE"""),"Silas Tanner")</f>
        <v>Silas Tanner</v>
      </c>
      <c r="Q911" t="str">
        <f ca="1">IFERROR(__xludf.DUMMYFUNCTION("""COMPUTED_VALUE"""),"All items in working order")</f>
        <v>All items in working order</v>
      </c>
      <c r="AE911" s="11"/>
      <c r="AF911" t="str">
        <v>Nikki.Dix@floridadep.gov</v>
      </c>
      <c r="AG911" s="17" t="s">
        <v>41</v>
      </c>
      <c r="AH911" s="12">
        <v>1450</v>
      </c>
      <c r="AI911" s="12" t="s">
        <v>2686</v>
      </c>
      <c r="AJ911" s="19" t="s">
        <v>2687</v>
      </c>
      <c r="AK911" s="20" t="str">
        <f>HYPERLINK("https://docs.google.com/document/d/1Vam4eAn0J_uSWai1w9dpRY1dAhOI4x27T2uQTWJfLLQ/edit?usp=drivesdk","Silas Tanner - 8/3/2022 10:30 AM")</f>
        <v>Silas Tanner - 8/3/2022 10:30 AM</v>
      </c>
      <c r="AL911" s="12" t="s">
        <v>2688</v>
      </c>
    </row>
    <row r="912" spans="1:38" ht="12.75">
      <c r="A912" s="10">
        <f ca="1">IFERROR(__xludf.DUMMYFUNCTION("""COMPUTED_VALUE"""),44778.3639860879)</f>
        <v>44778.363986087898</v>
      </c>
      <c r="B912" s="11" t="str">
        <f ca="1">IFERROR(__xludf.DUMMYFUNCTION("""COMPUTED_VALUE"""),"Allix North")</f>
        <v>Allix North</v>
      </c>
      <c r="C912" t="str">
        <f ca="1">IFERROR(__xludf.DUMMYFUNCTION("""COMPUTED_VALUE"""),"allix.north@dep.state.fl.us")</f>
        <v>allix.north@dep.state.fl.us</v>
      </c>
      <c r="D912" t="str">
        <f ca="1">IFERROR(__xludf.DUMMYFUNCTION("""COMPUTED_VALUE"""),"Scott Eastman")</f>
        <v>Scott Eastman</v>
      </c>
      <c r="E912" t="str">
        <f ca="1">IFERROR(__xludf.DUMMYFUNCTION("""COMPUTED_VALUE"""),"Butler West")</f>
        <v>Butler West</v>
      </c>
      <c r="F912" s="13">
        <f ca="1">IFERROR(__xludf.DUMMYFUNCTION("""COMPUTED_VALUE"""),0.375)</f>
        <v>0.375</v>
      </c>
      <c r="G912" s="14">
        <f ca="1">IFERROR(__xludf.DUMMYFUNCTION("""COMPUTED_VALUE"""),44778)</f>
        <v>44778</v>
      </c>
      <c r="H912" t="str">
        <f ca="1">IFERROR(__xludf.DUMMYFUNCTION("""COMPUTED_VALUE"""),"Bings to 312 Bridge")</f>
        <v>Bings to 312 Bridge</v>
      </c>
      <c r="I912" s="15">
        <f ca="1">IFERROR(__xludf.DUMMYFUNCTION("""COMPUTED_VALUE"""),0.58333333333212)</f>
        <v>0.58333333333212001</v>
      </c>
      <c r="J912" s="16">
        <f ca="1">IFERROR(__xludf.DUMMYFUNCTION("""COMPUTED_VALUE"""),44778.625)</f>
        <v>44778.625</v>
      </c>
      <c r="K912" t="str">
        <f ca="1">IFERROR(__xludf.DUMMYFUNCTION("""COMPUTED_VALUE"""),"23ft Skiff (Bertha) FL7972LJ DEP07613")</f>
        <v>23ft Skiff (Bertha) FL7972LJ DEP07613</v>
      </c>
      <c r="M912" t="str">
        <f ca="1">IFERROR(__xludf.DUMMYFUNCTION("""COMPUTED_VALUE"""),"Ford F150 2015 (White) - DEP21448")</f>
        <v>Ford F150 2015 (White) - DEP21448</v>
      </c>
      <c r="N912" t="str">
        <f ca="1">IFERROR(__xludf.DUMMYFUNCTION("""COMPUTED_VALUE"""),"Pam Marcum, (480) 332-5414")</f>
        <v>Pam Marcum, (480) 332-5414</v>
      </c>
      <c r="O912" t="str">
        <f ca="1">IFERROR(__xludf.DUMMYFUNCTION("""COMPUTED_VALUE"""),"Allix North")</f>
        <v>Allix North</v>
      </c>
      <c r="P912" t="str">
        <f ca="1">IFERROR(__xludf.DUMMYFUNCTION("""COMPUTED_VALUE"""),"Allix North")</f>
        <v>Allix North</v>
      </c>
      <c r="Q912" t="str">
        <f ca="1">IFERROR(__xludf.DUMMYFUNCTION("""COMPUTED_VALUE"""),"All items in working order")</f>
        <v>All items in working order</v>
      </c>
      <c r="AE912" s="11"/>
      <c r="AF912" t="str">
        <v>Scott.Eastman@floridadep.gov</v>
      </c>
      <c r="AG912" s="17" t="s">
        <v>17</v>
      </c>
      <c r="AH912" s="12">
        <v>1300</v>
      </c>
      <c r="AI912" s="12" t="s">
        <v>2689</v>
      </c>
      <c r="AJ912" s="19" t="s">
        <v>2690</v>
      </c>
      <c r="AK912" s="20" t="str">
        <f>HYPERLINK("https://docs.google.com/document/d/1RcuUkP0NsBcMMvdGlArCHR1WyCuQXK09SBwD4afbuXs/edit?usp=drivesdk","Allix North - 8/5/2022 9:00 AM")</f>
        <v>Allix North - 8/5/2022 9:00 AM</v>
      </c>
      <c r="AL912" s="12" t="s">
        <v>2691</v>
      </c>
    </row>
    <row r="913" spans="1:38" ht="12.75">
      <c r="A913" s="10">
        <f ca="1">IFERROR(__xludf.DUMMYFUNCTION("""COMPUTED_VALUE"""),44781.6708035879)</f>
        <v>44781.670803587898</v>
      </c>
      <c r="B913" s="11" t="str">
        <f ca="1">IFERROR(__xludf.DUMMYFUNCTION("""COMPUTED_VALUE"""),"Silas Tanner")</f>
        <v>Silas Tanner</v>
      </c>
      <c r="C913" t="str">
        <f ca="1">IFERROR(__xludf.DUMMYFUNCTION("""COMPUTED_VALUE"""),"silas.tanner@floridadep.gov")</f>
        <v>silas.tanner@floridadep.gov</v>
      </c>
      <c r="D913" t="str">
        <f ca="1">IFERROR(__xludf.DUMMYFUNCTION("""COMPUTED_VALUE"""),"Nikki Dix")</f>
        <v>Nikki Dix</v>
      </c>
      <c r="E913" t="str">
        <f ca="1">IFERROR(__xludf.DUMMYFUNCTION("""COMPUTED_VALUE"""),"Vilano Landing")</f>
        <v>Vilano Landing</v>
      </c>
      <c r="F913" s="13">
        <f ca="1">IFERROR(__xludf.DUMMYFUNCTION("""COMPUTED_VALUE"""),0.28125)</f>
        <v>0.28125</v>
      </c>
      <c r="G913" s="14">
        <f ca="1">IFERROR(__xludf.DUMMYFUNCTION("""COMPUTED_VALUE"""),44782)</f>
        <v>44782</v>
      </c>
      <c r="H913" t="str">
        <f ca="1">IFERROR(__xludf.DUMMYFUNCTION("""COMPUTED_VALUE"""),"ICW SWMP sites")</f>
        <v>ICW SWMP sites</v>
      </c>
      <c r="I913" s="15">
        <f ca="1">IFERROR(__xludf.DUMMYFUNCTION("""COMPUTED_VALUE"""),0.53125)</f>
        <v>0.53125</v>
      </c>
      <c r="J913" s="16">
        <f ca="1">IFERROR(__xludf.DUMMYFUNCTION("""COMPUTED_VALUE"""),44782.5416666666)</f>
        <v>44782.541666666599</v>
      </c>
      <c r="K913" t="str">
        <f ca="1">IFERROR(__xludf.DUMMYFUNCTION("""COMPUTED_VALUE"""),"23ft Skiff (Bertha) FL7972LJ DEP07613")</f>
        <v>23ft Skiff (Bertha) FL7972LJ DEP07613</v>
      </c>
      <c r="M913" t="str">
        <f ca="1">IFERROR(__xludf.DUMMYFUNCTION("""COMPUTED_VALUE"""),"Ford F150 2015 (White) - DEP21448")</f>
        <v>Ford F150 2015 (White) - DEP21448</v>
      </c>
      <c r="N913" t="str">
        <f ca="1">IFERROR(__xludf.DUMMYFUNCTION("""COMPUTED_VALUE"""),"Silas Tanner, (904) 483-8423, Gabby Canas, (904) 891-9743")</f>
        <v>Silas Tanner, (904) 483-8423, Gabby Canas, (904) 891-9743</v>
      </c>
      <c r="O913" t="str">
        <f ca="1">IFERROR(__xludf.DUMMYFUNCTION("""COMPUTED_VALUE"""),"Jacob Berna")</f>
        <v>Jacob Berna</v>
      </c>
      <c r="P913" t="str">
        <f ca="1">IFERROR(__xludf.DUMMYFUNCTION("""COMPUTED_VALUE"""),"Silas Tanner")</f>
        <v>Silas Tanner</v>
      </c>
      <c r="Q913" t="str">
        <f ca="1">IFERROR(__xludf.DUMMYFUNCTION("""COMPUTED_VALUE"""),"All items in working order")</f>
        <v>All items in working order</v>
      </c>
      <c r="AE913" s="11"/>
      <c r="AF913" t="str">
        <v>Nikki.Dix@floridadep.gov</v>
      </c>
      <c r="AG913" s="17" t="s">
        <v>41</v>
      </c>
      <c r="AH913" s="12">
        <v>1131</v>
      </c>
      <c r="AI913" s="12" t="s">
        <v>2692</v>
      </c>
      <c r="AJ913" s="19" t="s">
        <v>2693</v>
      </c>
      <c r="AK913" s="20" t="str">
        <f>HYPERLINK("https://docs.google.com/document/d/17P97fQUeMtfP6FWDjIN4XtKP1UVZHXztNwKTgGH5P7Q/edit?usp=drivesdk","Silas Tanner - 8/9/2022 6:45 AM")</f>
        <v>Silas Tanner - 8/9/2022 6:45 AM</v>
      </c>
      <c r="AL913" s="12" t="s">
        <v>2694</v>
      </c>
    </row>
    <row r="914" spans="1:38" ht="12.75">
      <c r="A914" s="10">
        <f ca="1">IFERROR(__xludf.DUMMYFUNCTION("""COMPUTED_VALUE"""),44782.3041042939)</f>
        <v>44782.3041042939</v>
      </c>
      <c r="B914" s="11" t="str">
        <f ca="1">IFERROR(__xludf.DUMMYFUNCTION("""COMPUTED_VALUE"""),"Jessica Lee")</f>
        <v>Jessica Lee</v>
      </c>
      <c r="C914" t="str">
        <f ca="1">IFERROR(__xludf.DUMMYFUNCTION("""COMPUTED_VALUE"""),"jmcupp099@gmail.com")</f>
        <v>jmcupp099@gmail.com</v>
      </c>
      <c r="D914" t="str">
        <f ca="1">IFERROR(__xludf.DUMMYFUNCTION("""COMPUTED_VALUE"""),"Nikki Dix")</f>
        <v>Nikki Dix</v>
      </c>
      <c r="E914" t="str">
        <f ca="1">IFERROR(__xludf.DUMMYFUNCTION("""COMPUTED_VALUE"""),"Guana dam")</f>
        <v>Guana dam</v>
      </c>
      <c r="F914" s="13">
        <f ca="1">IFERROR(__xludf.DUMMYFUNCTION("""COMPUTED_VALUE"""),0.3125)</f>
        <v>0.3125</v>
      </c>
      <c r="G914" s="14">
        <f ca="1">IFERROR(__xludf.DUMMYFUNCTION("""COMPUTED_VALUE"""),44782)</f>
        <v>44782</v>
      </c>
      <c r="H914" t="str">
        <f ca="1">IFERROR(__xludf.DUMMYFUNCTION("""COMPUTED_VALUE"""),"Guana River")</f>
        <v>Guana River</v>
      </c>
      <c r="I914" s="15">
        <f ca="1">IFERROR(__xludf.DUMMYFUNCTION("""COMPUTED_VALUE"""),0.375)</f>
        <v>0.375</v>
      </c>
      <c r="J914" s="16">
        <f ca="1">IFERROR(__xludf.DUMMYFUNCTION("""COMPUTED_VALUE"""),44782.3958333333)</f>
        <v>44782.395833333299</v>
      </c>
      <c r="K914" t="str">
        <f ca="1">IFERROR(__xludf.DUMMYFUNCTION("""COMPUTED_VALUE"""),"Jon Boat 1 FL5992RR DEP154045")</f>
        <v>Jon Boat 1 FL5992RR DEP154045</v>
      </c>
      <c r="M914" t="str">
        <f ca="1">IFERROR(__xludf.DUMMYFUNCTION("""COMPUTED_VALUE"""),"Ford F250 2017 (Moby Dix) - DEP0021578")</f>
        <v>Ford F250 2017 (Moby Dix) - DEP0021578</v>
      </c>
      <c r="N914" t="str">
        <f ca="1">IFERROR(__xludf.DUMMYFUNCTION("""COMPUTED_VALUE"""),"Jess Lee ")</f>
        <v xml:space="preserve">Jess Lee </v>
      </c>
      <c r="O914" t="str">
        <f ca="1">IFERROR(__xludf.DUMMYFUNCTION("""COMPUTED_VALUE"""),"Jenna")</f>
        <v>Jenna</v>
      </c>
      <c r="P914" t="str">
        <f ca="1">IFERROR(__xludf.DUMMYFUNCTION("""COMPUTED_VALUE"""),"Jess")</f>
        <v>Jess</v>
      </c>
      <c r="Q914" t="str">
        <f ca="1">IFERROR(__xludf.DUMMYFUNCTION("""COMPUTED_VALUE"""),"All items in working order")</f>
        <v>All items in working order</v>
      </c>
      <c r="AE914" s="11"/>
      <c r="AF914" t="str">
        <v>Nikki.Dix@floridadep.gov</v>
      </c>
      <c r="AG914" s="17" t="s">
        <v>41</v>
      </c>
      <c r="AH914" s="12">
        <v>915</v>
      </c>
      <c r="AI914" s="12" t="s">
        <v>2695</v>
      </c>
      <c r="AJ914" s="19" t="s">
        <v>2696</v>
      </c>
      <c r="AK914" s="20" t="str">
        <f>HYPERLINK("https://docs.google.com/document/d/1hKfRf4G64Bvv_kowa6RgiOmrDX3VxVdMUfCKfxeT9LQ/edit?usp=drivesdk","Jessica Lee - 8/9/2022 7:30 AM")</f>
        <v>Jessica Lee - 8/9/2022 7:30 AM</v>
      </c>
      <c r="AL914" s="12" t="s">
        <v>2697</v>
      </c>
    </row>
    <row r="915" spans="1:38" ht="12.75">
      <c r="A915" s="10">
        <f ca="1">IFERROR(__xludf.DUMMYFUNCTION("""COMPUTED_VALUE"""),44782.3409853819)</f>
        <v>44782.340985381903</v>
      </c>
      <c r="B915" s="11" t="str">
        <f ca="1">IFERROR(__xludf.DUMMYFUNCTION("""COMPUTED_VALUE"""),"Jimmy")</f>
        <v>Jimmy</v>
      </c>
      <c r="C915" t="str">
        <f ca="1">IFERROR(__xludf.DUMMYFUNCTION("""COMPUTED_VALUE"""),"james.tomazinis@floridadep.gov")</f>
        <v>james.tomazinis@floridadep.gov</v>
      </c>
      <c r="D915" t="str">
        <f ca="1">IFERROR(__xludf.DUMMYFUNCTION("""COMPUTED_VALUE"""),"Scott Eastman")</f>
        <v>Scott Eastman</v>
      </c>
      <c r="E915" t="str">
        <f ca="1">IFERROR(__xludf.DUMMYFUNCTION("""COMPUTED_VALUE"""),"Holly Point and Dee Dee Bartels")</f>
        <v>Holly Point and Dee Dee Bartels</v>
      </c>
      <c r="F915" s="13">
        <f ca="1">IFERROR(__xludf.DUMMYFUNCTION("""COMPUTED_VALUE"""),0.4375)</f>
        <v>0.4375</v>
      </c>
      <c r="G915" s="14">
        <f ca="1">IFERROR(__xludf.DUMMYFUNCTION("""COMPUTED_VALUE"""),44782)</f>
        <v>44782</v>
      </c>
      <c r="H915" t="str">
        <f ca="1">IFERROR(__xludf.DUMMYFUNCTION("""COMPUTED_VALUE"""),"NEAP WQ sites")</f>
        <v>NEAP WQ sites</v>
      </c>
      <c r="I915" s="15">
        <f ca="1">IFERROR(__xludf.DUMMYFUNCTION("""COMPUTED_VALUE"""),0.625)</f>
        <v>0.625</v>
      </c>
      <c r="J915" s="16"/>
      <c r="K915" t="str">
        <f ca="1">IFERROR(__xludf.DUMMYFUNCTION("""COMPUTED_VALUE"""),"F 20ft Sea Ark (Easy 200) FL8534PY DEP21451")</f>
        <v>F 20ft Sea Ark (Easy 200) FL8534PY DEP21451</v>
      </c>
      <c r="M915" t="str">
        <f ca="1">IFERROR(__xludf.DUMMYFUNCTION("""COMPUTED_VALUE"""),"Ford F150 2007 (F-Bomb) - DEP07055")</f>
        <v>Ford F150 2007 (F-Bomb) - DEP07055</v>
      </c>
      <c r="N915" t="str">
        <f ca="1">IFERROR(__xludf.DUMMYFUNCTION("""COMPUTED_VALUE"""),"Jimmy Tomazinis, (904) 547-0094")</f>
        <v>Jimmy Tomazinis, (904) 547-0094</v>
      </c>
      <c r="O915" t="str">
        <f ca="1">IFERROR(__xludf.DUMMYFUNCTION("""COMPUTED_VALUE"""),"Chris Kurtz")</f>
        <v>Chris Kurtz</v>
      </c>
      <c r="P915" t="str">
        <f ca="1">IFERROR(__xludf.DUMMYFUNCTION("""COMPUTED_VALUE"""),"Jimmy")</f>
        <v>Jimmy</v>
      </c>
      <c r="Q915" t="str">
        <f ca="1">IFERROR(__xludf.DUMMYFUNCTION("""COMPUTED_VALUE"""),"All items in working order")</f>
        <v>All items in working order</v>
      </c>
      <c r="AE915" s="11"/>
      <c r="AF915" t="str">
        <v>Scott.Eastman@floridadep.gov</v>
      </c>
      <c r="AG915" s="17" t="s">
        <v>444</v>
      </c>
      <c r="AH915" s="12">
        <v>1440</v>
      </c>
      <c r="AI915" s="12" t="s">
        <v>2698</v>
      </c>
      <c r="AJ915" s="19" t="s">
        <v>2699</v>
      </c>
      <c r="AK915" s="20" t="str">
        <f>HYPERLINK("https://docs.google.com/document/d/1xOvedWwB8qwbyzdN2Iwhd4eVevJ9cSgkI_5aTCXs0Dk/edit?usp=drivesdk","Jimmy - 8/9/2022 10:30 AM")</f>
        <v>Jimmy - 8/9/2022 10:30 AM</v>
      </c>
      <c r="AL915" s="12" t="s">
        <v>2700</v>
      </c>
    </row>
    <row r="916" spans="1:38" ht="12.75">
      <c r="A916" s="10">
        <f ca="1">IFERROR(__xludf.DUMMYFUNCTION("""COMPUTED_VALUE"""),44783.3084619213)</f>
        <v>44783.308461921297</v>
      </c>
      <c r="B916" s="11" t="str">
        <f ca="1">IFERROR(__xludf.DUMMYFUNCTION("""COMPUTED_VALUE"""),"Courtney Schultz")</f>
        <v>Courtney Schultz</v>
      </c>
      <c r="C916" t="str">
        <f ca="1">IFERROR(__xludf.DUMMYFUNCTION("""COMPUTED_VALUE"""),"courtney.l.schultz@floridadep.gov")</f>
        <v>courtney.l.schultz@floridadep.gov</v>
      </c>
      <c r="D916" t="str">
        <f ca="1">IFERROR(__xludf.DUMMYFUNCTION("""COMPUTED_VALUE"""),"Pam Marcum")</f>
        <v>Pam Marcum</v>
      </c>
      <c r="E916" t="str">
        <f ca="1">IFERROR(__xludf.DUMMYFUNCTION("""COMPUTED_VALUE"""),"Whitney Lab- Kayak Launch")</f>
        <v>Whitney Lab- Kayak Launch</v>
      </c>
      <c r="F916" s="13">
        <f ca="1">IFERROR(__xludf.DUMMYFUNCTION("""COMPUTED_VALUE"""),0.354166666667879)</f>
        <v>0.35416666666787899</v>
      </c>
      <c r="G916" s="14">
        <f ca="1">IFERROR(__xludf.DUMMYFUNCTION("""COMPUTED_VALUE"""),44783)</f>
        <v>44783</v>
      </c>
      <c r="H916" t="str">
        <f ca="1">IFERROR(__xludf.DUMMYFUNCTION("""COMPUTED_VALUE"""),"Around kayak launch boat looking for crown conch.")</f>
        <v>Around kayak launch boat looking for crown conch.</v>
      </c>
      <c r="I916" s="15">
        <f ca="1">IFERROR(__xludf.DUMMYFUNCTION("""COMPUTED_VALUE"""),0.479166666667879)</f>
        <v>0.47916666666787899</v>
      </c>
      <c r="J916" s="16">
        <f ca="1">IFERROR(__xludf.DUMMYFUNCTION("""COMPUTED_VALUE"""),44783.5416666666)</f>
        <v>44783.541666666599</v>
      </c>
      <c r="K916" t="str">
        <f ca="1">IFERROR(__xludf.DUMMYFUNCTION("""COMPUTED_VALUE"""),"Kayak(s)")</f>
        <v>Kayak(s)</v>
      </c>
      <c r="L916">
        <f ca="1">IFERROR(__xludf.DUMMYFUNCTION("""COMPUTED_VALUE"""),1)</f>
        <v>1</v>
      </c>
      <c r="M916" t="str">
        <f ca="1">IFERROR(__xludf.DUMMYFUNCTION("""COMPUTED_VALUE"""),"N/A")</f>
        <v>N/A</v>
      </c>
      <c r="N916" t="str">
        <f ca="1">IFERROR(__xludf.DUMMYFUNCTION("""COMPUTED_VALUE"""),"Courtney Schultz,")</f>
        <v>Courtney Schultz,</v>
      </c>
      <c r="O916" t="str">
        <f ca="1">IFERROR(__xludf.DUMMYFUNCTION("""COMPUTED_VALUE"""),"Mike Darragh")</f>
        <v>Mike Darragh</v>
      </c>
      <c r="P916" t="str">
        <f ca="1">IFERROR(__xludf.DUMMYFUNCTION("""COMPUTED_VALUE"""),"Courtney Schultz")</f>
        <v>Courtney Schultz</v>
      </c>
      <c r="Q916" t="str">
        <f ca="1">IFERROR(__xludf.DUMMYFUNCTION("""COMPUTED_VALUE"""),"All items in working order")</f>
        <v>All items in working order</v>
      </c>
      <c r="AE916" s="11"/>
      <c r="AF916" t="str">
        <v>Pamela.Marcum@floridadep.gov</v>
      </c>
      <c r="AG916" s="17" t="s">
        <v>17</v>
      </c>
      <c r="AH916" s="12">
        <v>1110</v>
      </c>
      <c r="AI916" s="12" t="s">
        <v>2701</v>
      </c>
      <c r="AJ916" s="19" t="s">
        <v>2702</v>
      </c>
      <c r="AK916" s="20" t="str">
        <f>HYPERLINK("https://docs.google.com/document/d/1jV8YgLr710ocIc2qmjU5A9XZ6bZX8zA9b3sIbT-Peng/edit?usp=drivesdk","Courtney Schultz - 8/10/2022 8:30 AM")</f>
        <v>Courtney Schultz - 8/10/2022 8:30 AM</v>
      </c>
      <c r="AL916" s="12" t="s">
        <v>2703</v>
      </c>
    </row>
    <row r="917" spans="1:38" ht="12.75">
      <c r="A917" s="10">
        <f ca="1">IFERROR(__xludf.DUMMYFUNCTION("""COMPUTED_VALUE"""),44784.4554048379)</f>
        <v>44784.4554048379</v>
      </c>
      <c r="B917" s="11" t="str">
        <f ca="1">IFERROR(__xludf.DUMMYFUNCTION("""COMPUTED_VALUE"""),"Silas Tanner")</f>
        <v>Silas Tanner</v>
      </c>
      <c r="C917" t="str">
        <f ca="1">IFERROR(__xludf.DUMMYFUNCTION("""COMPUTED_VALUE"""),"silas.tanner@floridadep.gov")</f>
        <v>silas.tanner@floridadep.gov</v>
      </c>
      <c r="D917" t="str">
        <f ca="1">IFERROR(__xludf.DUMMYFUNCTION("""COMPUTED_VALUE"""),"Shannon Dunnigan")</f>
        <v>Shannon Dunnigan</v>
      </c>
      <c r="E917" t="str">
        <f ca="1">IFERROR(__xludf.DUMMYFUNCTION("""COMPUTED_VALUE"""),"Green Rd")</f>
        <v>Green Rd</v>
      </c>
      <c r="F917" s="13">
        <f ca="1">IFERROR(__xludf.DUMMYFUNCTION("""COMPUTED_VALUE"""),0.454861111109494)</f>
        <v>0.45486111110949401</v>
      </c>
      <c r="G917" s="14">
        <f ca="1">IFERROR(__xludf.DUMMYFUNCTION("""COMPUTED_VALUE"""),44784)</f>
        <v>44784</v>
      </c>
      <c r="H917" t="str">
        <f ca="1">IFERROR(__xludf.DUMMYFUNCTION("""COMPUTED_VALUE"""),"ICW FM SWMP site")</f>
        <v>ICW FM SWMP site</v>
      </c>
      <c r="I917" s="15">
        <f ca="1">IFERROR(__xludf.DUMMYFUNCTION("""COMPUTED_VALUE"""),0.604166666667879)</f>
        <v>0.60416666666787899</v>
      </c>
      <c r="J917" s="16">
        <f ca="1">IFERROR(__xludf.DUMMYFUNCTION("""COMPUTED_VALUE"""),44784.6458333333)</f>
        <v>44784.645833333299</v>
      </c>
      <c r="K917" t="str">
        <f ca="1">IFERROR(__xludf.DUMMYFUNCTION("""COMPUTED_VALUE"""),"20ft Sea Ark FL5351SJ UNF 2015")</f>
        <v>20ft Sea Ark FL5351SJ UNF 2015</v>
      </c>
      <c r="M917" t="str">
        <f ca="1">IFERROR(__xludf.DUMMYFUNCTION("""COMPUTED_VALUE"""),"Ford F250 2017 (Moby Dix) - DEP0021578")</f>
        <v>Ford F250 2017 (Moby Dix) - DEP0021578</v>
      </c>
      <c r="N917" t="str">
        <f ca="1">IFERROR(__xludf.DUMMYFUNCTION("""COMPUTED_VALUE"""),"Silas Tanner, (904) 483-8423, Remi Mondazzi")</f>
        <v>Silas Tanner, (904) 483-8423, Remi Mondazzi</v>
      </c>
      <c r="P917" t="str">
        <f ca="1">IFERROR(__xludf.DUMMYFUNCTION("""COMPUTED_VALUE"""),"Tanner")</f>
        <v>Tanner</v>
      </c>
      <c r="Q917" t="str">
        <f ca="1">IFERROR(__xludf.DUMMYFUNCTION("""COMPUTED_VALUE"""),"All items in working order")</f>
        <v>All items in working order</v>
      </c>
      <c r="AE917" s="11"/>
      <c r="AF917" t="str">
        <v>Shannon.Dunnigan@floridadep.gov</v>
      </c>
      <c r="AG917" s="17" t="s">
        <v>639</v>
      </c>
      <c r="AH917" s="12">
        <v>1309</v>
      </c>
      <c r="AI917" s="12" t="s">
        <v>2704</v>
      </c>
      <c r="AJ917" s="19" t="s">
        <v>2705</v>
      </c>
      <c r="AK917" s="20" t="str">
        <f>HYPERLINK("https://docs.google.com/document/d/1V13gmgiF_K9qJ2_cHNnybPy4e7hXbs8oq-Wwh71eOi4/edit?usp=drivesdk","Silas Tanner - 8/11/2022 10:55 AM")</f>
        <v>Silas Tanner - 8/11/2022 10:55 AM</v>
      </c>
      <c r="AL917" s="12" t="s">
        <v>2706</v>
      </c>
    </row>
    <row r="918" spans="1:38" ht="12.75">
      <c r="A918" s="10">
        <f ca="1">IFERROR(__xludf.DUMMYFUNCTION("""COMPUTED_VALUE"""),44789.5083002893)</f>
        <v>44789.508300289301</v>
      </c>
      <c r="B918" s="11" t="str">
        <f ca="1">IFERROR(__xludf.DUMMYFUNCTION("""COMPUTED_VALUE"""),"Silas Tanner")</f>
        <v>Silas Tanner</v>
      </c>
      <c r="C918" t="str">
        <f ca="1">IFERROR(__xludf.DUMMYFUNCTION("""COMPUTED_VALUE"""),"silas.tanner@floridadep.gov")</f>
        <v>silas.tanner@floridadep.gov</v>
      </c>
      <c r="D918" t="str">
        <f ca="1">IFERROR(__xludf.DUMMYFUNCTION("""COMPUTED_VALUE"""),"Shannon Dunnigan")</f>
        <v>Shannon Dunnigan</v>
      </c>
      <c r="E918" t="str">
        <f ca="1">IFERROR(__xludf.DUMMYFUNCTION("""COMPUTED_VALUE"""),"Crane")</f>
        <v>Crane</v>
      </c>
      <c r="F918" s="13">
        <f ca="1">IFERROR(__xludf.DUMMYFUNCTION("""COMPUTED_VALUE"""),0.541666666667879)</f>
        <v>0.54166666666787899</v>
      </c>
      <c r="G918" s="14">
        <f ca="1">IFERROR(__xludf.DUMMYFUNCTION("""COMPUTED_VALUE"""),44789)</f>
        <v>44789</v>
      </c>
      <c r="H918" t="str">
        <f ca="1">IFERROR(__xludf.DUMMYFUNCTION("""COMPUTED_VALUE"""),"ICW SWMP Sites")</f>
        <v>ICW SWMP Sites</v>
      </c>
      <c r="I918" s="15">
        <f ca="1">IFERROR(__xludf.DUMMYFUNCTION("""COMPUTED_VALUE"""),0.6875)</f>
        <v>0.6875</v>
      </c>
      <c r="J918" s="16">
        <f ca="1">IFERROR(__xludf.DUMMYFUNCTION("""COMPUTED_VALUE"""),44789.7083333333)</f>
        <v>44789.708333333299</v>
      </c>
      <c r="K918" t="str">
        <f ca="1">IFERROR(__xludf.DUMMYFUNCTION("""COMPUTED_VALUE"""),"F 20ft Sea Ark (Easy 200) FL8534PY DEP21451")</f>
        <v>F 20ft Sea Ark (Easy 200) FL8534PY DEP21451</v>
      </c>
      <c r="M918" t="str">
        <f ca="1">IFERROR(__xludf.DUMMYFUNCTION("""COMPUTED_VALUE"""),"Ford F250 2017 (Moby Dix) - DEP0021578")</f>
        <v>Ford F250 2017 (Moby Dix) - DEP0021578</v>
      </c>
      <c r="N918" t="str">
        <f ca="1">IFERROR(__xludf.DUMMYFUNCTION("""COMPUTED_VALUE"""),"Silas Tanner, (904) 483-8423, Remo Mondazzi")</f>
        <v>Silas Tanner, (904) 483-8423, Remo Mondazzi</v>
      </c>
      <c r="P918" t="str">
        <f ca="1">IFERROR(__xludf.DUMMYFUNCTION("""COMPUTED_VALUE"""),"Silas Tanner")</f>
        <v>Silas Tanner</v>
      </c>
      <c r="Q918" t="str">
        <f ca="1">IFERROR(__xludf.DUMMYFUNCTION("""COMPUTED_VALUE"""),"All items in working order")</f>
        <v>All items in working order</v>
      </c>
      <c r="AE918" s="11"/>
      <c r="AF918" t="str">
        <v>Shannon.Dunnigan@floridadep.gov</v>
      </c>
      <c r="AG918" s="18"/>
      <c r="AI918" s="12" t="s">
        <v>2707</v>
      </c>
      <c r="AJ918" s="19" t="s">
        <v>2708</v>
      </c>
      <c r="AK918" s="20" t="str">
        <f>HYPERLINK("https://docs.google.com/document/d/13lDNKbEqSFndSkGzkFPWIcrNvupznN6GjNV6h24l9E0/edit?usp=drivesdk","Silas Tanner - 8/16/2022 1:00 PM")</f>
        <v>Silas Tanner - 8/16/2022 1:00 PM</v>
      </c>
      <c r="AL918" s="12" t="s">
        <v>2709</v>
      </c>
    </row>
    <row r="919" spans="1:38" ht="12.75">
      <c r="A919" s="10">
        <f ca="1">IFERROR(__xludf.DUMMYFUNCTION("""COMPUTED_VALUE"""),44803.4825690162)</f>
        <v>44803.482569016203</v>
      </c>
      <c r="B919" s="11" t="str">
        <f ca="1">IFERROR(__xludf.DUMMYFUNCTION("""COMPUTED_VALUE"""),"Pam Marcum ")</f>
        <v xml:space="preserve">Pam Marcum </v>
      </c>
      <c r="C919" t="str">
        <f ca="1">IFERROR(__xludf.DUMMYFUNCTION("""COMPUTED_VALUE"""),"Pamela.Marcum@FloridaDEP.gov")</f>
        <v>Pamela.Marcum@FloridaDEP.gov</v>
      </c>
      <c r="D919" t="str">
        <f ca="1">IFERROR(__xludf.DUMMYFUNCTION("""COMPUTED_VALUE"""),"Nikki Dix")</f>
        <v>Nikki Dix</v>
      </c>
      <c r="E919" t="str">
        <f ca="1">IFERROR(__xludf.DUMMYFUNCTION("""COMPUTED_VALUE"""),"Bings")</f>
        <v>Bings</v>
      </c>
      <c r="F919" s="13">
        <f ca="1">IFERROR(__xludf.DUMMYFUNCTION("""COMPUTED_VALUE"""),0.479166666667879)</f>
        <v>0.47916666666787899</v>
      </c>
      <c r="G919" s="14">
        <f ca="1">IFERROR(__xludf.DUMMYFUNCTION("""COMPUTED_VALUE"""),44803)</f>
        <v>44803</v>
      </c>
      <c r="H919" t="str">
        <f ca="1">IFERROR(__xludf.DUMMYFUNCTION("""COMPUTED_VALUE"""),"Washington oaks platforms ")</f>
        <v xml:space="preserve">Washington oaks platforms </v>
      </c>
      <c r="I919" s="15">
        <f ca="1">IFERROR(__xludf.DUMMYFUNCTION("""COMPUTED_VALUE"""),0.52083333333212)</f>
        <v>0.52083333333212001</v>
      </c>
      <c r="J919" s="16">
        <f ca="1">IFERROR(__xludf.DUMMYFUNCTION("""COMPUTED_VALUE"""),44803.6458333333)</f>
        <v>44803.645833333299</v>
      </c>
      <c r="K919" t="str">
        <f ca="1">IFERROR(__xludf.DUMMYFUNCTION("""COMPUTED_VALUE"""),"Jon Boat 1 FL5992RR DEP154045")</f>
        <v>Jon Boat 1 FL5992RR DEP154045</v>
      </c>
      <c r="M919" t="str">
        <f ca="1">IFERROR(__xludf.DUMMYFUNCTION("""COMPUTED_VALUE"""),"Ford F150 2015 (White) - DEP21448")</f>
        <v>Ford F150 2015 (White) - DEP21448</v>
      </c>
      <c r="N919" t="str">
        <f ca="1">IFERROR(__xludf.DUMMYFUNCTION("""COMPUTED_VALUE"""),"Pam Marcum, (480) 332-5414")</f>
        <v>Pam Marcum, (480) 332-5414</v>
      </c>
      <c r="O919" t="str">
        <f ca="1">IFERROR(__xludf.DUMMYFUNCTION("""COMPUTED_VALUE"""),"Jacob Berna")</f>
        <v>Jacob Berna</v>
      </c>
      <c r="P919" t="str">
        <f ca="1">IFERROR(__xludf.DUMMYFUNCTION("""COMPUTED_VALUE"""),"Pam")</f>
        <v>Pam</v>
      </c>
      <c r="Q919" t="str">
        <f ca="1">IFERROR(__xludf.DUMMYFUNCTION("""COMPUTED_VALUE"""),"All items in working order")</f>
        <v>All items in working order</v>
      </c>
      <c r="AE919" s="11"/>
      <c r="AF919" t="str">
        <v>Nikki.Dix@floridadep.gov</v>
      </c>
      <c r="AG919" s="17" t="s">
        <v>17</v>
      </c>
      <c r="AH919" s="12">
        <v>1245</v>
      </c>
      <c r="AI919" s="12" t="s">
        <v>2710</v>
      </c>
      <c r="AJ919" s="19" t="s">
        <v>2711</v>
      </c>
      <c r="AK919" s="20" t="str">
        <f>HYPERLINK("https://docs.google.com/document/d/1fXj3y-7RnJGNC0AeHgZY-SeIzaikF7F10xhTEgY9ocE/edit?usp=drivesdk","Pam Marcum  - 8/30/2022 11:30 AM")</f>
        <v>Pam Marcum  - 8/30/2022 11:30 AM</v>
      </c>
      <c r="AL919" s="12" t="s">
        <v>2712</v>
      </c>
    </row>
    <row r="920" spans="1:38" ht="12.75">
      <c r="A920" s="10">
        <f ca="1">IFERROR(__xludf.DUMMYFUNCTION("""COMPUTED_VALUE"""),44803.5704279745)</f>
        <v>44803.570427974497</v>
      </c>
      <c r="B920" s="11" t="str">
        <f ca="1">IFERROR(__xludf.DUMMYFUNCTION("""COMPUTED_VALUE"""),"Pam Marcum ")</f>
        <v xml:space="preserve">Pam Marcum </v>
      </c>
      <c r="C920" t="str">
        <f ca="1">IFERROR(__xludf.DUMMYFUNCTION("""COMPUTED_VALUE"""),"Pamela.Marcum@FloridaDEP.gov")</f>
        <v>Pamela.Marcum@FloridaDEP.gov</v>
      </c>
      <c r="D920" t="str">
        <f ca="1">IFERROR(__xludf.DUMMYFUNCTION("""COMPUTED_VALUE"""),"Nikki Dix")</f>
        <v>Nikki Dix</v>
      </c>
      <c r="E920" t="str">
        <f ca="1">IFERROR(__xludf.DUMMYFUNCTION("""COMPUTED_VALUE"""),"Faver Dykes")</f>
        <v>Faver Dykes</v>
      </c>
      <c r="F920" s="13">
        <f ca="1">IFERROR(__xludf.DUMMYFUNCTION("""COMPUTED_VALUE"""),0.569444444445252)</f>
        <v>0.569444444445252</v>
      </c>
      <c r="G920" s="14">
        <f ca="1">IFERROR(__xludf.DUMMYFUNCTION("""COMPUTED_VALUE"""),44803)</f>
        <v>44803</v>
      </c>
      <c r="H920" t="str">
        <f ca="1">IFERROR(__xludf.DUMMYFUNCTION("""COMPUTED_VALUE"""),"Pellicer mouth")</f>
        <v>Pellicer mouth</v>
      </c>
      <c r="I920" s="15">
        <f ca="1">IFERROR(__xludf.DUMMYFUNCTION("""COMPUTED_VALUE"""),0.61458333333212)</f>
        <v>0.61458333333212001</v>
      </c>
      <c r="J920" s="16">
        <f ca="1">IFERROR(__xludf.DUMMYFUNCTION("""COMPUTED_VALUE"""),44803.65625)</f>
        <v>44803.65625</v>
      </c>
      <c r="K920" t="str">
        <f ca="1">IFERROR(__xludf.DUMMYFUNCTION("""COMPUTED_VALUE"""),"Jon Boat 1 FL5992RR DEP154045")</f>
        <v>Jon Boat 1 FL5992RR DEP154045</v>
      </c>
      <c r="M920" t="str">
        <f ca="1">IFERROR(__xludf.DUMMYFUNCTION("""COMPUTED_VALUE"""),"Ford F150 2015 (White) - DEP21448")</f>
        <v>Ford F150 2015 (White) - DEP21448</v>
      </c>
      <c r="N920" t="str">
        <f ca="1">IFERROR(__xludf.DUMMYFUNCTION("""COMPUTED_VALUE"""),"Pam Marcum, (480) 332-5414")</f>
        <v>Pam Marcum, (480) 332-5414</v>
      </c>
      <c r="O920" t="str">
        <f ca="1">IFERROR(__xludf.DUMMYFUNCTION("""COMPUTED_VALUE"""),"Jacob Berna")</f>
        <v>Jacob Berna</v>
      </c>
      <c r="P920" t="str">
        <f ca="1">IFERROR(__xludf.DUMMYFUNCTION("""COMPUTED_VALUE"""),"Pam")</f>
        <v>Pam</v>
      </c>
      <c r="Q920" t="str">
        <f ca="1">IFERROR(__xludf.DUMMYFUNCTION("""COMPUTED_VALUE"""),"All items in working order")</f>
        <v>All items in working order</v>
      </c>
      <c r="AE920" s="11"/>
      <c r="AF920" t="str">
        <v>Nikki.Dix@floridadep.gov</v>
      </c>
      <c r="AG920" s="17" t="s">
        <v>41</v>
      </c>
      <c r="AH920" s="12">
        <v>1431</v>
      </c>
      <c r="AI920" s="12" t="s">
        <v>2713</v>
      </c>
      <c r="AJ920" s="19" t="s">
        <v>2714</v>
      </c>
      <c r="AK920" s="20" t="str">
        <f>HYPERLINK("https://docs.google.com/document/d/1sa7bALf1C9xS6U1zRhbFGcN92wAvNmmpVruVZ5l9HZ0/edit?usp=drivesdk","Pam Marcum  - 8/30/2022 1:40 PM")</f>
        <v>Pam Marcum  - 8/30/2022 1:40 PM</v>
      </c>
      <c r="AL920" s="12" t="s">
        <v>2715</v>
      </c>
    </row>
    <row r="921" spans="1:38" ht="12.75">
      <c r="A921" s="10">
        <f ca="1">IFERROR(__xludf.DUMMYFUNCTION("""COMPUTED_VALUE"""),44804.3840724421)</f>
        <v>44804.384072442102</v>
      </c>
      <c r="B921" s="11" t="str">
        <f ca="1">IFERROR(__xludf.DUMMYFUNCTION("""COMPUTED_VALUE"""),"Silas Tanner")</f>
        <v>Silas Tanner</v>
      </c>
      <c r="C921" t="str">
        <f ca="1">IFERROR(__xludf.DUMMYFUNCTION("""COMPUTED_VALUE"""),"silas.tanner@floridadep.gov")</f>
        <v>silas.tanner@floridadep.gov</v>
      </c>
      <c r="D921" t="str">
        <f ca="1">IFERROR(__xludf.DUMMYFUNCTION("""COMPUTED_VALUE"""),"Silas Tanner")</f>
        <v>Silas Tanner</v>
      </c>
      <c r="E921" t="str">
        <f ca="1">IFERROR(__xludf.DUMMYFUNCTION("""COMPUTED_VALUE"""),"Crane Ramp")</f>
        <v>Crane Ramp</v>
      </c>
      <c r="F921" s="13">
        <f ca="1">IFERROR(__xludf.DUMMYFUNCTION("""COMPUTED_VALUE"""),0.4375)</f>
        <v>0.4375</v>
      </c>
      <c r="G921" s="14">
        <f ca="1">IFERROR(__xludf.DUMMYFUNCTION("""COMPUTED_VALUE"""),44804)</f>
        <v>44804</v>
      </c>
      <c r="H921" t="str">
        <f ca="1">IFERROR(__xludf.DUMMYFUNCTION("""COMPUTED_VALUE"""),"ICW SWMP stations")</f>
        <v>ICW SWMP stations</v>
      </c>
      <c r="I921" s="15">
        <f ca="1">IFERROR(__xludf.DUMMYFUNCTION("""COMPUTED_VALUE"""),0.625)</f>
        <v>0.625</v>
      </c>
      <c r="J921" s="16">
        <f ca="1">IFERROR(__xludf.DUMMYFUNCTION("""COMPUTED_VALUE"""),44804.6458333333)</f>
        <v>44804.645833333299</v>
      </c>
      <c r="K921" t="str">
        <f ca="1">IFERROR(__xludf.DUMMYFUNCTION("""COMPUTED_VALUE"""),"17ft Skiff (Marsha) FL0642GW DEP07239")</f>
        <v>17ft Skiff (Marsha) FL0642GW DEP07239</v>
      </c>
      <c r="M921" t="str">
        <f ca="1">IFERROR(__xludf.DUMMYFUNCTION("""COMPUTED_VALUE"""),"Ford F250 2017 (Moby Dix) - DEP0021578")</f>
        <v>Ford F250 2017 (Moby Dix) - DEP0021578</v>
      </c>
      <c r="N921" t="str">
        <f ca="1">IFERROR(__xludf.DUMMYFUNCTION("""COMPUTED_VALUE"""),"Silas Tanner, (904) 483-8423, Remo Mondazzi")</f>
        <v>Silas Tanner, (904) 483-8423, Remo Mondazzi</v>
      </c>
      <c r="P921" t="str">
        <f ca="1">IFERROR(__xludf.DUMMYFUNCTION("""COMPUTED_VALUE"""),"Silas Tanner")</f>
        <v>Silas Tanner</v>
      </c>
      <c r="Q921" t="str">
        <f ca="1">IFERROR(__xludf.DUMMYFUNCTION("""COMPUTED_VALUE"""),"All items in working order")</f>
        <v>All items in working order</v>
      </c>
      <c r="AE921" s="11"/>
      <c r="AF921" t="str">
        <v>Silas.Tanner@floridadep.gov</v>
      </c>
      <c r="AG921" s="17" t="s">
        <v>507</v>
      </c>
      <c r="AH921" s="12">
        <v>1426</v>
      </c>
      <c r="AI921" s="12" t="s">
        <v>2716</v>
      </c>
      <c r="AJ921" s="19" t="s">
        <v>2717</v>
      </c>
      <c r="AK921" s="20" t="str">
        <f>HYPERLINK("https://docs.google.com/document/d/1O_1-eCrgJ9YUxJSS4Kj_Ge2EWkubt9ai68iPlm0Wy5A/edit?usp=drivesdk","Silas Tanner - 8/31/2022 10:30 AM")</f>
        <v>Silas Tanner - 8/31/2022 10:30 AM</v>
      </c>
      <c r="AL921" s="12" t="s">
        <v>2718</v>
      </c>
    </row>
    <row r="922" spans="1:38" ht="12.75">
      <c r="A922" s="10">
        <f ca="1">IFERROR(__xludf.DUMMYFUNCTION("""COMPUTED_VALUE"""),44804.4270312384)</f>
        <v>44804.427031238403</v>
      </c>
      <c r="B922" s="11" t="str">
        <f ca="1">IFERROR(__xludf.DUMMYFUNCTION("""COMPUTED_VALUE"""),"Pam Marcum ")</f>
        <v xml:space="preserve">Pam Marcum </v>
      </c>
      <c r="C922" t="str">
        <f ca="1">IFERROR(__xludf.DUMMYFUNCTION("""COMPUTED_VALUE"""),"Pamela.Marcum@FloridaDEP.gov")</f>
        <v>Pamela.Marcum@FloridaDEP.gov</v>
      </c>
      <c r="D922" t="str">
        <f ca="1">IFERROR(__xludf.DUMMYFUNCTION("""COMPUTED_VALUE"""),"Nikki Dix")</f>
        <v>Nikki Dix</v>
      </c>
      <c r="E922" t="str">
        <f ca="1">IFERROR(__xludf.DUMMYFUNCTION("""COMPUTED_VALUE"""),"Vilano ")</f>
        <v xml:space="preserve">Vilano </v>
      </c>
      <c r="F922" s="13">
        <f ca="1">IFERROR(__xludf.DUMMYFUNCTION("""COMPUTED_VALUE"""),0.416666666667879)</f>
        <v>0.41666666666787899</v>
      </c>
      <c r="G922" s="14">
        <f ca="1">IFERROR(__xludf.DUMMYFUNCTION("""COMPUTED_VALUE"""),44804)</f>
        <v>44804</v>
      </c>
      <c r="H922" t="str">
        <f ca="1">IFERROR(__xludf.DUMMYFUNCTION("""COMPUTED_VALUE"""),"Pine island, hat island, east creek")</f>
        <v>Pine island, hat island, east creek</v>
      </c>
      <c r="I922" s="15">
        <f ca="1">IFERROR(__xludf.DUMMYFUNCTION("""COMPUTED_VALUE"""),0.625)</f>
        <v>0.625</v>
      </c>
      <c r="J922" s="16">
        <f ca="1">IFERROR(__xludf.DUMMYFUNCTION("""COMPUTED_VALUE"""),44804.6458333333)</f>
        <v>44804.645833333299</v>
      </c>
      <c r="K922" t="str">
        <f ca="1">IFERROR(__xludf.DUMMYFUNCTION("""COMPUTED_VALUE"""),"20ft Sea Ark FL5351SJ UNF 2015")</f>
        <v>20ft Sea Ark FL5351SJ UNF 2015</v>
      </c>
      <c r="M922" t="str">
        <f ca="1">IFERROR(__xludf.DUMMYFUNCTION("""COMPUTED_VALUE"""),"Ford F150 2015 (White) - DEP21448")</f>
        <v>Ford F150 2015 (White) - DEP21448</v>
      </c>
      <c r="N922" t="str">
        <f ca="1">IFERROR(__xludf.DUMMYFUNCTION("""COMPUTED_VALUE"""),"Pam Marcum, (480) 332-5414")</f>
        <v>Pam Marcum, (480) 332-5414</v>
      </c>
      <c r="O922" t="str">
        <f ca="1">IFERROR(__xludf.DUMMYFUNCTION("""COMPUTED_VALUE"""),"Jacob Berna, Rauney Mitchell, (256) 665-5361")</f>
        <v>Jacob Berna, Rauney Mitchell, (256) 665-5361</v>
      </c>
      <c r="P922" t="str">
        <f ca="1">IFERROR(__xludf.DUMMYFUNCTION("""COMPUTED_VALUE"""),"Pam")</f>
        <v>Pam</v>
      </c>
      <c r="Q922" t="str">
        <f ca="1">IFERROR(__xludf.DUMMYFUNCTION("""COMPUTED_VALUE"""),"All items in working order")</f>
        <v>All items in working order</v>
      </c>
      <c r="AE922" s="11"/>
      <c r="AF922" t="str">
        <v>Nikki.Dix@floridadep.gov</v>
      </c>
      <c r="AG922" s="17" t="s">
        <v>17</v>
      </c>
      <c r="AH922" s="12">
        <v>1415</v>
      </c>
      <c r="AI922" s="12" t="s">
        <v>2719</v>
      </c>
      <c r="AJ922" s="19" t="s">
        <v>2720</v>
      </c>
      <c r="AK922" s="20" t="str">
        <f>HYPERLINK("https://docs.google.com/document/d/1DQnFIKzmjyhwZg9pJIXA6hgD4noav7xEJ3PqtjBrRhk/edit?usp=drivesdk","Pam Marcum  - 8/31/2022 10:00 AM")</f>
        <v>Pam Marcum  - 8/31/2022 10:00 AM</v>
      </c>
      <c r="AL922" s="12" t="s">
        <v>2721</v>
      </c>
    </row>
    <row r="923" spans="1:38" ht="12.75">
      <c r="A923" s="10">
        <f ca="1">IFERROR(__xludf.DUMMYFUNCTION("""COMPUTED_VALUE"""),44811.3107067939)</f>
        <v>44811.310706793898</v>
      </c>
      <c r="B923" s="11" t="str">
        <f ca="1">IFERROR(__xludf.DUMMYFUNCTION("""COMPUTED_VALUE"""),"Jessica Lee")</f>
        <v>Jessica Lee</v>
      </c>
      <c r="C923" t="str">
        <f ca="1">IFERROR(__xludf.DUMMYFUNCTION("""COMPUTED_VALUE"""),"jmcupp099@gmail.com")</f>
        <v>jmcupp099@gmail.com</v>
      </c>
      <c r="D923" t="str">
        <f ca="1">IFERROR(__xludf.DUMMYFUNCTION("""COMPUTED_VALUE"""),"Nikki Dix")</f>
        <v>Nikki Dix</v>
      </c>
      <c r="E923" t="str">
        <f ca="1">IFERROR(__xludf.DUMMYFUNCTION("""COMPUTED_VALUE"""),"Guana River")</f>
        <v>Guana River</v>
      </c>
      <c r="F923" s="13">
        <f ca="1">IFERROR(__xludf.DUMMYFUNCTION("""COMPUTED_VALUE"""),0.3125)</f>
        <v>0.3125</v>
      </c>
      <c r="G923" s="14">
        <f ca="1">IFERROR(__xludf.DUMMYFUNCTION("""COMPUTED_VALUE"""),44811)</f>
        <v>44811</v>
      </c>
      <c r="H923" t="str">
        <f ca="1">IFERROR(__xludf.DUMMYFUNCTION("""COMPUTED_VALUE"""),"Guana River ")</f>
        <v xml:space="preserve">Guana River </v>
      </c>
      <c r="I923" s="15">
        <f ca="1">IFERROR(__xludf.DUMMYFUNCTION("""COMPUTED_VALUE"""),0.39583333333212)</f>
        <v>0.39583333333212001</v>
      </c>
      <c r="J923" s="16">
        <f ca="1">IFERROR(__xludf.DUMMYFUNCTION("""COMPUTED_VALUE"""),44811.40625)</f>
        <v>44811.40625</v>
      </c>
      <c r="K923" t="str">
        <f ca="1">IFERROR(__xludf.DUMMYFUNCTION("""COMPUTED_VALUE"""),"Jon Boat 1 FL5992RR DEP154045")</f>
        <v>Jon Boat 1 FL5992RR DEP154045</v>
      </c>
      <c r="M923" t="str">
        <f ca="1">IFERROR(__xludf.DUMMYFUNCTION("""COMPUTED_VALUE"""),"Ford F150 2015 (White) - DEP21448")</f>
        <v>Ford F150 2015 (White) - DEP21448</v>
      </c>
      <c r="N923" t="str">
        <f ca="1">IFERROR(__xludf.DUMMYFUNCTION("""COMPUTED_VALUE"""),"Jessica Lee, (813) 748-2228")</f>
        <v>Jessica Lee, (813) 748-2228</v>
      </c>
      <c r="O923" t="str">
        <f ca="1">IFERROR(__xludf.DUMMYFUNCTION("""COMPUTED_VALUE"""),"Jenna")</f>
        <v>Jenna</v>
      </c>
      <c r="P923" t="str">
        <f ca="1">IFERROR(__xludf.DUMMYFUNCTION("""COMPUTED_VALUE"""),"Jessica Lee")</f>
        <v>Jessica Lee</v>
      </c>
      <c r="Q923" t="str">
        <f ca="1">IFERROR(__xludf.DUMMYFUNCTION("""COMPUTED_VALUE"""),"All applicable items have been found to be in good working order")</f>
        <v>All applicable items have been found to be in good working order</v>
      </c>
      <c r="AE923" s="11"/>
      <c r="AF923" t="str">
        <v>Nikki.Dix@floridadep.gov</v>
      </c>
      <c r="AG923" s="17" t="s">
        <v>41</v>
      </c>
      <c r="AH923" s="12">
        <v>858</v>
      </c>
      <c r="AI923" s="12" t="s">
        <v>2722</v>
      </c>
      <c r="AJ923" s="19" t="s">
        <v>2723</v>
      </c>
      <c r="AK923" s="20" t="str">
        <f>HYPERLINK("https://docs.google.com/document/d/1QYQAVJT4KOuQvEcNN6-hDWwYUik4vwwicY7MNRA5wLA/edit?usp=drivesdk","Jessica Lee - 9/7/2022 7:30 AM")</f>
        <v>Jessica Lee - 9/7/2022 7:30 AM</v>
      </c>
      <c r="AL923" s="12" t="s">
        <v>2724</v>
      </c>
    </row>
    <row r="924" spans="1:38" ht="12.75">
      <c r="A924" s="10">
        <f ca="1">IFERROR(__xludf.DUMMYFUNCTION("""COMPUTED_VALUE"""),44812.5062007175)</f>
        <v>44812.5062007175</v>
      </c>
      <c r="B924" s="11" t="str">
        <f ca="1">IFERROR(__xludf.DUMMYFUNCTION("""COMPUTED_VALUE"""),"Pam Marcum ")</f>
        <v xml:space="preserve">Pam Marcum </v>
      </c>
      <c r="C924" t="str">
        <f ca="1">IFERROR(__xludf.DUMMYFUNCTION("""COMPUTED_VALUE"""),"Pamela.Marcum@FloridaDEP.gov")</f>
        <v>Pamela.Marcum@FloridaDEP.gov</v>
      </c>
      <c r="D924" t="str">
        <f ca="1">IFERROR(__xludf.DUMMYFUNCTION("""COMPUTED_VALUE"""),"Nikki Dix")</f>
        <v>Nikki Dix</v>
      </c>
      <c r="E924" t="str">
        <f ca="1">IFERROR(__xludf.DUMMYFUNCTION("""COMPUTED_VALUE"""),"Aunt Kates ")</f>
        <v xml:space="preserve">Aunt Kates </v>
      </c>
      <c r="F924" s="13">
        <f ca="1">IFERROR(__xludf.DUMMYFUNCTION("""COMPUTED_VALUE"""),0.5)</f>
        <v>0.5</v>
      </c>
      <c r="G924" s="14">
        <f ca="1">IFERROR(__xludf.DUMMYFUNCTION("""COMPUTED_VALUE"""),44812)</f>
        <v>44812</v>
      </c>
      <c r="H924" t="str">
        <f ca="1">IFERROR(__xludf.DUMMYFUNCTION("""COMPUTED_VALUE"""),"Pine island then hat island")</f>
        <v>Pine island then hat island</v>
      </c>
      <c r="I924" s="15">
        <f ca="1">IFERROR(__xludf.DUMMYFUNCTION("""COMPUTED_VALUE"""),0.625)</f>
        <v>0.625</v>
      </c>
      <c r="J924" s="16">
        <f ca="1">IFERROR(__xludf.DUMMYFUNCTION("""COMPUTED_VALUE"""),44812.6458333333)</f>
        <v>44812.645833333299</v>
      </c>
      <c r="K924" t="str">
        <f ca="1">IFERROR(__xludf.DUMMYFUNCTION("""COMPUTED_VALUE"""),"20ft Sea Ark FL5351SJ UNF 2015")</f>
        <v>20ft Sea Ark FL5351SJ UNF 2015</v>
      </c>
      <c r="M924" t="str">
        <f ca="1">IFERROR(__xludf.DUMMYFUNCTION("""COMPUTED_VALUE"""),"Ford F250 2017 (Moby Dix) - DEP0021578")</f>
        <v>Ford F250 2017 (Moby Dix) - DEP0021578</v>
      </c>
      <c r="N924" t="str">
        <f ca="1">IFERROR(__xludf.DUMMYFUNCTION("""COMPUTED_VALUE"""),"Pam Marcum, (480) 332-5414")</f>
        <v>Pam Marcum, (480) 332-5414</v>
      </c>
      <c r="O924" t="str">
        <f ca="1">IFERROR(__xludf.DUMMYFUNCTION("""COMPUTED_VALUE"""),"Jacob Berna")</f>
        <v>Jacob Berna</v>
      </c>
      <c r="P924" t="str">
        <f ca="1">IFERROR(__xludf.DUMMYFUNCTION("""COMPUTED_VALUE"""),"Pam")</f>
        <v>Pam</v>
      </c>
      <c r="Q924" t="str">
        <f ca="1">IFERROR(__xludf.DUMMYFUNCTION("""COMPUTED_VALUE"""),"All items in working order")</f>
        <v>All items in working order</v>
      </c>
      <c r="AE924" s="11"/>
      <c r="AF924" t="str">
        <v>Nikki.Dix@floridadep.gov</v>
      </c>
      <c r="AG924" s="17" t="s">
        <v>41</v>
      </c>
      <c r="AH924" s="12">
        <v>1504</v>
      </c>
      <c r="AI924" s="12" t="s">
        <v>2725</v>
      </c>
      <c r="AJ924" s="19" t="s">
        <v>2726</v>
      </c>
      <c r="AK924" s="20" t="str">
        <f>HYPERLINK("https://docs.google.com/document/d/1G82bfglccreHjoSRRf1xzMAp_L4Pd0eFLrQ8wDRyo8M/edit?usp=drivesdk","Pam Marcum  - 9/8/2022 12:00 PM")</f>
        <v>Pam Marcum  - 9/8/2022 12:00 PM</v>
      </c>
      <c r="AL924" s="12" t="s">
        <v>2727</v>
      </c>
    </row>
    <row r="925" spans="1:38" ht="12.75">
      <c r="A925" s="10">
        <f ca="1">IFERROR(__xludf.DUMMYFUNCTION("""COMPUTED_VALUE"""),44813.4206413194)</f>
        <v>44813.420641319397</v>
      </c>
      <c r="B925" s="11" t="str">
        <f ca="1">IFERROR(__xludf.DUMMYFUNCTION("""COMPUTED_VALUE"""),"Pam Marcum ")</f>
        <v xml:space="preserve">Pam Marcum </v>
      </c>
      <c r="C925" t="str">
        <f ca="1">IFERROR(__xludf.DUMMYFUNCTION("""COMPUTED_VALUE"""),"Pamela.Marcum@FloridaDEP.gov")</f>
        <v>Pamela.Marcum@FloridaDEP.gov</v>
      </c>
      <c r="D925" t="str">
        <f ca="1">IFERROR(__xludf.DUMMYFUNCTION("""COMPUTED_VALUE"""),"Nikki Dix")</f>
        <v>Nikki Dix</v>
      </c>
      <c r="E925" t="str">
        <f ca="1">IFERROR(__xludf.DUMMYFUNCTION("""COMPUTED_VALUE"""),"Vilano ")</f>
        <v xml:space="preserve">Vilano </v>
      </c>
      <c r="F925" s="13">
        <f ca="1">IFERROR(__xludf.DUMMYFUNCTION("""COMPUTED_VALUE"""),0.416666666667879)</f>
        <v>0.41666666666787899</v>
      </c>
      <c r="G925" s="14">
        <f ca="1">IFERROR(__xludf.DUMMYFUNCTION("""COMPUTED_VALUE"""),44813)</f>
        <v>44813</v>
      </c>
      <c r="H925" t="str">
        <f ca="1">IFERROR(__xludf.DUMMYFUNCTION("""COMPUTED_VALUE"""),"Hat island")</f>
        <v>Hat island</v>
      </c>
      <c r="I925" s="15">
        <f ca="1">IFERROR(__xludf.DUMMYFUNCTION("""COMPUTED_VALUE"""),0.58333333333212)</f>
        <v>0.58333333333212001</v>
      </c>
      <c r="J925" s="16">
        <f ca="1">IFERROR(__xludf.DUMMYFUNCTION("""COMPUTED_VALUE"""),44813.6041666666)</f>
        <v>44813.604166666599</v>
      </c>
      <c r="K925" t="str">
        <f ca="1">IFERROR(__xludf.DUMMYFUNCTION("""COMPUTED_VALUE"""),"20ft Sea Ark FL5351SJ UNF 2015")</f>
        <v>20ft Sea Ark FL5351SJ UNF 2015</v>
      </c>
      <c r="M925" t="str">
        <f ca="1">IFERROR(__xludf.DUMMYFUNCTION("""COMPUTED_VALUE"""),"Ford F250 2017 (Moby Dix) - DEP0021578")</f>
        <v>Ford F250 2017 (Moby Dix) - DEP0021578</v>
      </c>
      <c r="N925" t="str">
        <f ca="1">IFERROR(__xludf.DUMMYFUNCTION("""COMPUTED_VALUE"""),"Pam Marcum, (480) 332-5414")</f>
        <v>Pam Marcum, (480) 332-5414</v>
      </c>
      <c r="O925" t="str">
        <f ca="1">IFERROR(__xludf.DUMMYFUNCTION("""COMPUTED_VALUE"""),"Jacob Berna")</f>
        <v>Jacob Berna</v>
      </c>
      <c r="P925" t="str">
        <f ca="1">IFERROR(__xludf.DUMMYFUNCTION("""COMPUTED_VALUE"""),"Pam")</f>
        <v>Pam</v>
      </c>
      <c r="Q925" t="str">
        <f ca="1">IFERROR(__xludf.DUMMYFUNCTION("""COMPUTED_VALUE"""),"All items in working order")</f>
        <v>All items in working order</v>
      </c>
      <c r="AE925" s="11"/>
      <c r="AF925" t="str">
        <v>Nikki.Dix@floridadep.gov</v>
      </c>
      <c r="AG925" s="17" t="s">
        <v>41</v>
      </c>
      <c r="AH925" s="12">
        <v>1333</v>
      </c>
      <c r="AI925" s="12" t="s">
        <v>2728</v>
      </c>
      <c r="AJ925" s="19" t="s">
        <v>2729</v>
      </c>
      <c r="AK925" s="20" t="str">
        <f>HYPERLINK("https://docs.google.com/document/d/1ywcCWmvTYzjPRu71_53WtV4Ws6XeC5sKmCfCC0Hkf6M/edit?usp=drivesdk","Pam Marcum  - 9/9/2022 10:00 AM")</f>
        <v>Pam Marcum  - 9/9/2022 10:00 AM</v>
      </c>
      <c r="AL925" s="12" t="s">
        <v>2730</v>
      </c>
    </row>
    <row r="926" spans="1:38" ht="12.75">
      <c r="A926" s="10">
        <f ca="1">IFERROR(__xludf.DUMMYFUNCTION("""COMPUTED_VALUE"""),44816.4087695717)</f>
        <v>44816.408769571703</v>
      </c>
      <c r="B926" s="11" t="str">
        <f ca="1">IFERROR(__xludf.DUMMYFUNCTION("""COMPUTED_VALUE"""),"Silas Tanner")</f>
        <v>Silas Tanner</v>
      </c>
      <c r="C926" t="str">
        <f ca="1">IFERROR(__xludf.DUMMYFUNCTION("""COMPUTED_VALUE"""),"silas.tanner@floridadep.gov")</f>
        <v>silas.tanner@floridadep.gov</v>
      </c>
      <c r="D926" t="str">
        <f ca="1">IFERROR(__xludf.DUMMYFUNCTION("""COMPUTED_VALUE"""),"Nikki Dix")</f>
        <v>Nikki Dix</v>
      </c>
      <c r="E926" t="str">
        <f ca="1">IFERROR(__xludf.DUMMYFUNCTION("""COMPUTED_VALUE"""),"Vilano")</f>
        <v>Vilano</v>
      </c>
      <c r="F926" s="13">
        <f ca="1">IFERROR(__xludf.DUMMYFUNCTION("""COMPUTED_VALUE"""),0.40625)</f>
        <v>0.40625</v>
      </c>
      <c r="G926" s="14">
        <f ca="1">IFERROR(__xludf.DUMMYFUNCTION("""COMPUTED_VALUE"""),44816)</f>
        <v>44816</v>
      </c>
      <c r="H926" t="str">
        <f ca="1">IFERROR(__xludf.DUMMYFUNCTION("""COMPUTED_VALUE"""),"ICW SWMP sites")</f>
        <v>ICW SWMP sites</v>
      </c>
      <c r="I926" s="15">
        <f ca="1">IFERROR(__xludf.DUMMYFUNCTION("""COMPUTED_VALUE"""),0.61458333333212)</f>
        <v>0.61458333333212001</v>
      </c>
      <c r="J926" s="16">
        <f ca="1">IFERROR(__xludf.DUMMYFUNCTION("""COMPUTED_VALUE"""),44816.625)</f>
        <v>44816.625</v>
      </c>
      <c r="K926" t="str">
        <f ca="1">IFERROR(__xludf.DUMMYFUNCTION("""COMPUTED_VALUE"""),"20ft Sea Ark FL5351SJ UNF 2015")</f>
        <v>20ft Sea Ark FL5351SJ UNF 2015</v>
      </c>
      <c r="M926" t="str">
        <f ca="1">IFERROR(__xludf.DUMMYFUNCTION("""COMPUTED_VALUE"""),"Ford F250 2017 (Moby Dix) - DEP0021578")</f>
        <v>Ford F250 2017 (Moby Dix) - DEP0021578</v>
      </c>
      <c r="N926" t="str">
        <f ca="1">IFERROR(__xludf.DUMMYFUNCTION("""COMPUTED_VALUE"""),"Silas Tanner, (904) 483-8423")</f>
        <v>Silas Tanner, (904) 483-8423</v>
      </c>
      <c r="O926" t="str">
        <f ca="1">IFERROR(__xludf.DUMMYFUNCTION("""COMPUTED_VALUE"""),"Jacob Berna")</f>
        <v>Jacob Berna</v>
      </c>
      <c r="P926" t="str">
        <f ca="1">IFERROR(__xludf.DUMMYFUNCTION("""COMPUTED_VALUE"""),"Silas Tanner")</f>
        <v>Silas Tanner</v>
      </c>
      <c r="Q926" t="str">
        <f ca="1">IFERROR(__xludf.DUMMYFUNCTION("""COMPUTED_VALUE"""),"All applicable items have been found to be in good working order")</f>
        <v>All applicable items have been found to be in good working order</v>
      </c>
      <c r="AE926" s="11"/>
      <c r="AF926" t="str">
        <v>Nikki.Dix@floridadep.gov</v>
      </c>
      <c r="AG926" s="17" t="s">
        <v>41</v>
      </c>
      <c r="AH926" s="12">
        <v>1430</v>
      </c>
      <c r="AI926" s="12" t="s">
        <v>2731</v>
      </c>
      <c r="AJ926" s="19" t="s">
        <v>2732</v>
      </c>
      <c r="AK926" s="20" t="str">
        <f>HYPERLINK("https://docs.google.com/document/d/16unQjogjJIPsG-F_BARKYu3h7Bw3HC9EKsGX7jo1d9o/edit?usp=drivesdk","Silas Tanner - 9/12/2022 9:45 AM")</f>
        <v>Silas Tanner - 9/12/2022 9:45 AM</v>
      </c>
      <c r="AL926" s="12" t="s">
        <v>2733</v>
      </c>
    </row>
    <row r="927" spans="1:38" ht="12.75">
      <c r="A927" s="10">
        <f ca="1">IFERROR(__xludf.DUMMYFUNCTION("""COMPUTED_VALUE"""),44818.3525591898)</f>
        <v>44818.3525591898</v>
      </c>
      <c r="B927" s="11" t="str">
        <f ca="1">IFERROR(__xludf.DUMMYFUNCTION("""COMPUTED_VALUE"""),"Silas Tanner")</f>
        <v>Silas Tanner</v>
      </c>
      <c r="C927" t="str">
        <f ca="1">IFERROR(__xludf.DUMMYFUNCTION("""COMPUTED_VALUE"""),"silas.tanner@floridadep.gov")</f>
        <v>silas.tanner@floridadep.gov</v>
      </c>
      <c r="D927" t="str">
        <f ca="1">IFERROR(__xludf.DUMMYFUNCTION("""COMPUTED_VALUE"""),"Shannon Dunnigan")</f>
        <v>Shannon Dunnigan</v>
      </c>
      <c r="E927" t="str">
        <f ca="1">IFERROR(__xludf.DUMMYFUNCTION("""COMPUTED_VALUE"""),"Vilano")</f>
        <v>Vilano</v>
      </c>
      <c r="F927" s="13">
        <f ca="1">IFERROR(__xludf.DUMMYFUNCTION("""COMPUTED_VALUE"""),0.39583333333212)</f>
        <v>0.39583333333212001</v>
      </c>
      <c r="G927" s="14">
        <f ca="1">IFERROR(__xludf.DUMMYFUNCTION("""COMPUTED_VALUE"""),44818)</f>
        <v>44818</v>
      </c>
      <c r="H927" t="str">
        <f ca="1">IFERROR(__xludf.DUMMYFUNCTION("""COMPUTED_VALUE"""),"ICW SWMP sites")</f>
        <v>ICW SWMP sites</v>
      </c>
      <c r="I927" s="15">
        <f ca="1">IFERROR(__xludf.DUMMYFUNCTION("""COMPUTED_VALUE"""),0.58333333333212)</f>
        <v>0.58333333333212001</v>
      </c>
      <c r="J927" s="16">
        <f ca="1">IFERROR(__xludf.DUMMYFUNCTION("""COMPUTED_VALUE"""),44818.6041666666)</f>
        <v>44818.604166666599</v>
      </c>
      <c r="K927" t="str">
        <f ca="1">IFERROR(__xludf.DUMMYFUNCTION("""COMPUTED_VALUE"""),"20ft Sea Ark FL5351SJ UNF 2015")</f>
        <v>20ft Sea Ark FL5351SJ UNF 2015</v>
      </c>
      <c r="M927" t="str">
        <f ca="1">IFERROR(__xludf.DUMMYFUNCTION("""COMPUTED_VALUE"""),"Ford F250 2017 (Moby Dix) - DEP0021578")</f>
        <v>Ford F250 2017 (Moby Dix) - DEP0021578</v>
      </c>
      <c r="N927" t="str">
        <f ca="1">IFERROR(__xludf.DUMMYFUNCTION("""COMPUTED_VALUE"""),"Silas Tanner, (904) 483-8423, Remo Mondazzi")</f>
        <v>Silas Tanner, (904) 483-8423, Remo Mondazzi</v>
      </c>
      <c r="P927" t="str">
        <f ca="1">IFERROR(__xludf.DUMMYFUNCTION("""COMPUTED_VALUE"""),"Silas Tanner")</f>
        <v>Silas Tanner</v>
      </c>
      <c r="Q927" t="str">
        <f ca="1">IFERROR(__xludf.DUMMYFUNCTION("""COMPUTED_VALUE"""),"All items in working order")</f>
        <v>All items in working order</v>
      </c>
      <c r="AE927" s="11"/>
      <c r="AF927" t="str">
        <v>Shannon.Dunnigan@floridadep.gov</v>
      </c>
      <c r="AG927" s="17" t="s">
        <v>639</v>
      </c>
      <c r="AH927" s="12">
        <v>1343</v>
      </c>
      <c r="AI927" s="12" t="s">
        <v>2734</v>
      </c>
      <c r="AJ927" s="19" t="s">
        <v>2735</v>
      </c>
      <c r="AK927" s="20" t="str">
        <f>HYPERLINK("https://docs.google.com/document/d/1tCrtJpQE_7LtmBawUuUooUmqnby6Y9o6l7xXQF_8bm0/edit?usp=drivesdk","Silas Tanner - 9/14/2022 9:30 AM")</f>
        <v>Silas Tanner - 9/14/2022 9:30 AM</v>
      </c>
      <c r="AL927" s="12" t="s">
        <v>2736</v>
      </c>
    </row>
    <row r="928" spans="1:38" ht="12.75">
      <c r="A928" s="10">
        <f ca="1">IFERROR(__xludf.DUMMYFUNCTION("""COMPUTED_VALUE"""),44819.3848294444)</f>
        <v>44819.384829444403</v>
      </c>
      <c r="B928" s="11" t="str">
        <f ca="1">IFERROR(__xludf.DUMMYFUNCTION("""COMPUTED_VALUE"""),"Pam Marcum ")</f>
        <v xml:space="preserve">Pam Marcum </v>
      </c>
      <c r="C928" t="str">
        <f ca="1">IFERROR(__xludf.DUMMYFUNCTION("""COMPUTED_VALUE"""),"Pamela.Marcum@FloridaDEP.gov")</f>
        <v>Pamela.Marcum@FloridaDEP.gov</v>
      </c>
      <c r="D928" t="str">
        <f ca="1">IFERROR(__xludf.DUMMYFUNCTION("""COMPUTED_VALUE"""),"Silas Tanner")</f>
        <v>Silas Tanner</v>
      </c>
      <c r="E928" t="str">
        <f ca="1">IFERROR(__xludf.DUMMYFUNCTION("""COMPUTED_VALUE"""),"Vilano")</f>
        <v>Vilano</v>
      </c>
      <c r="F928" s="13">
        <f ca="1">IFERROR(__xludf.DUMMYFUNCTION("""COMPUTED_VALUE"""),0.375)</f>
        <v>0.375</v>
      </c>
      <c r="G928" s="14">
        <f ca="1">IFERROR(__xludf.DUMMYFUNCTION("""COMPUTED_VALUE"""),44819)</f>
        <v>44819</v>
      </c>
      <c r="H928" t="str">
        <f ca="1">IFERROR(__xludf.DUMMYFUNCTION("""COMPUTED_VALUE"""),"Tolomato River")</f>
        <v>Tolomato River</v>
      </c>
      <c r="I928" s="15">
        <f ca="1">IFERROR(__xludf.DUMMYFUNCTION("""COMPUTED_VALUE"""),0.5)</f>
        <v>0.5</v>
      </c>
      <c r="J928" s="16">
        <f ca="1">IFERROR(__xludf.DUMMYFUNCTION("""COMPUTED_VALUE"""),44819.5208333333)</f>
        <v>44819.520833333299</v>
      </c>
      <c r="K928" t="str">
        <f ca="1">IFERROR(__xludf.DUMMYFUNCTION("""COMPUTED_VALUE"""),"20ft Sea Ark FL5351SJ UNF 2015")</f>
        <v>20ft Sea Ark FL5351SJ UNF 2015</v>
      </c>
      <c r="M928" t="str">
        <f ca="1">IFERROR(__xludf.DUMMYFUNCTION("""COMPUTED_VALUE"""),"Ford F250 2017 (Moby Dix) - DEP0021578")</f>
        <v>Ford F250 2017 (Moby Dix) - DEP0021578</v>
      </c>
      <c r="N928" t="str">
        <f ca="1">IFERROR(__xludf.DUMMYFUNCTION("""COMPUTED_VALUE"""),"Nikki Dix, (352) 219-4079, Pam Marcum, (480) 332-5414")</f>
        <v>Nikki Dix, (352) 219-4079, Pam Marcum, (480) 332-5414</v>
      </c>
      <c r="O928" t="str">
        <f ca="1">IFERROR(__xludf.DUMMYFUNCTION("""COMPUTED_VALUE"""),"Sam, Adam, lisa, tess, cathi")</f>
        <v>Sam, Adam, lisa, tess, cathi</v>
      </c>
      <c r="P928" t="str">
        <f ca="1">IFERROR(__xludf.DUMMYFUNCTION("""COMPUTED_VALUE"""),"Pam")</f>
        <v>Pam</v>
      </c>
      <c r="Q928" t="str">
        <f ca="1">IFERROR(__xludf.DUMMYFUNCTION("""COMPUTED_VALUE"""),"All items in working order")</f>
        <v>All items in working order</v>
      </c>
      <c r="AE928" s="11"/>
      <c r="AF928" t="str">
        <v>Silas.Tanner@floridadep.gov</v>
      </c>
      <c r="AG928" s="17" t="s">
        <v>2737</v>
      </c>
      <c r="AH928" s="12">
        <v>1237</v>
      </c>
      <c r="AI928" s="12" t="s">
        <v>2738</v>
      </c>
      <c r="AJ928" s="19" t="s">
        <v>2739</v>
      </c>
      <c r="AK928" s="20" t="str">
        <f>HYPERLINK("https://docs.google.com/document/d/15iOgpdqC-MR_VlmeyY_IpqO6qxDbhn_N6aZdBzrCAao/edit?usp=drivesdk","Pam Marcum  - 9/15/2022 9:00 AM")</f>
        <v>Pam Marcum  - 9/15/2022 9:00 AM</v>
      </c>
      <c r="AL928" s="12" t="s">
        <v>2740</v>
      </c>
    </row>
    <row r="929" spans="1:38" ht="12.75">
      <c r="A929" s="10">
        <f ca="1">IFERROR(__xludf.DUMMYFUNCTION("""COMPUTED_VALUE"""),44823.367980787)</f>
        <v>44823.367980786999</v>
      </c>
      <c r="B929" s="11" t="str">
        <f ca="1">IFERROR(__xludf.DUMMYFUNCTION("""COMPUTED_VALUE"""),"Pam Marcum ")</f>
        <v xml:space="preserve">Pam Marcum </v>
      </c>
      <c r="C929" t="str">
        <f ca="1">IFERROR(__xludf.DUMMYFUNCTION("""COMPUTED_VALUE"""),"Pamela.Marcum@FloridaDEP.gov")</f>
        <v>Pamela.Marcum@FloridaDEP.gov</v>
      </c>
      <c r="D929" t="str">
        <f ca="1">IFERROR(__xludf.DUMMYFUNCTION("""COMPUTED_VALUE"""),"Nikki Dix")</f>
        <v>Nikki Dix</v>
      </c>
      <c r="E929" t="str">
        <f ca="1">IFERROR(__xludf.DUMMYFUNCTION("""COMPUTED_VALUE"""),"6 mile")</f>
        <v>6 mile</v>
      </c>
      <c r="F929" s="13">
        <f ca="1">IFERROR(__xludf.DUMMYFUNCTION("""COMPUTED_VALUE"""),0.375)</f>
        <v>0.375</v>
      </c>
      <c r="G929" s="14">
        <f ca="1">IFERROR(__xludf.DUMMYFUNCTION("""COMPUTED_VALUE"""),44823)</f>
        <v>44823</v>
      </c>
      <c r="H929" t="str">
        <f ca="1">IFERROR(__xludf.DUMMYFUNCTION("""COMPUTED_VALUE"""),"Guana lake")</f>
        <v>Guana lake</v>
      </c>
      <c r="I929" s="15">
        <f ca="1">IFERROR(__xludf.DUMMYFUNCTION("""COMPUTED_VALUE"""),0.416666666667879)</f>
        <v>0.41666666666787899</v>
      </c>
      <c r="J929" s="16">
        <f ca="1">IFERROR(__xludf.DUMMYFUNCTION("""COMPUTED_VALUE"""),44823.4375)</f>
        <v>44823.4375</v>
      </c>
      <c r="K929" t="str">
        <f ca="1">IFERROR(__xludf.DUMMYFUNCTION("""COMPUTED_VALUE"""),"Jon Boat 1 FL5992RR DEP154045")</f>
        <v>Jon Boat 1 FL5992RR DEP154045</v>
      </c>
      <c r="M929" t="str">
        <f ca="1">IFERROR(__xludf.DUMMYFUNCTION("""COMPUTED_VALUE"""),"Ford F150 2015 (White) - DEP21448")</f>
        <v>Ford F150 2015 (White) - DEP21448</v>
      </c>
      <c r="N929" t="str">
        <f ca="1">IFERROR(__xludf.DUMMYFUNCTION("""COMPUTED_VALUE"""),"Pam Marcum, (480) 332-5414")</f>
        <v>Pam Marcum, (480) 332-5414</v>
      </c>
      <c r="O929" t="str">
        <f ca="1">IFERROR(__xludf.DUMMYFUNCTION("""COMPUTED_VALUE"""),"Justina, katie")</f>
        <v>Justina, katie</v>
      </c>
      <c r="P929" t="str">
        <f ca="1">IFERROR(__xludf.DUMMYFUNCTION("""COMPUTED_VALUE"""),"Pam")</f>
        <v>Pam</v>
      </c>
      <c r="Q929" t="str">
        <f ca="1">IFERROR(__xludf.DUMMYFUNCTION("""COMPUTED_VALUE"""),"All items in working order")</f>
        <v>All items in working order</v>
      </c>
      <c r="AE929" s="11"/>
      <c r="AF929" t="str">
        <v>Nikki.Dix@floridadep.gov</v>
      </c>
      <c r="AG929" s="17" t="s">
        <v>41</v>
      </c>
      <c r="AH929" s="12">
        <v>1010</v>
      </c>
      <c r="AI929" s="12" t="s">
        <v>2741</v>
      </c>
      <c r="AJ929" s="19" t="s">
        <v>2742</v>
      </c>
      <c r="AK929" s="20" t="str">
        <f>HYPERLINK("https://docs.google.com/document/d/1D0NrTmUEXZfSt-FoLPhlxvKGHidXi6CTl2aXjjmn2vU/edit?usp=drivesdk","Pam Marcum  - 9/19/2022 9:00 AM")</f>
        <v>Pam Marcum  - 9/19/2022 9:00 AM</v>
      </c>
      <c r="AL929" s="12" t="s">
        <v>2743</v>
      </c>
    </row>
    <row r="930" spans="1:38" ht="12.75">
      <c r="A930" s="10">
        <f ca="1">IFERROR(__xludf.DUMMYFUNCTION("""COMPUTED_VALUE"""),44825.2878565972)</f>
        <v>44825.287856597199</v>
      </c>
      <c r="B930" s="11" t="str">
        <f ca="1">IFERROR(__xludf.DUMMYFUNCTION("""COMPUTED_VALUE"""),"Jimmy")</f>
        <v>Jimmy</v>
      </c>
      <c r="C930" t="str">
        <f ca="1">IFERROR(__xludf.DUMMYFUNCTION("""COMPUTED_VALUE"""),"james.tomazinis@floridadep.gov")</f>
        <v>james.tomazinis@floridadep.gov</v>
      </c>
      <c r="D930" t="str">
        <f ca="1">IFERROR(__xludf.DUMMYFUNCTION("""COMPUTED_VALUE"""),"Scott Eastman")</f>
        <v>Scott Eastman</v>
      </c>
      <c r="E930" t="str">
        <f ca="1">IFERROR(__xludf.DUMMYFUNCTION("""COMPUTED_VALUE"""),"Holly Point and Dee Dee Bartels ")</f>
        <v xml:space="preserve">Holly Point and Dee Dee Bartels </v>
      </c>
      <c r="F930" s="13">
        <f ca="1">IFERROR(__xludf.DUMMYFUNCTION("""COMPUTED_VALUE"""),0.416666666667879)</f>
        <v>0.41666666666787899</v>
      </c>
      <c r="G930" s="14">
        <f ca="1">IFERROR(__xludf.DUMMYFUNCTION("""COMPUTED_VALUE"""),44825)</f>
        <v>44825</v>
      </c>
      <c r="H930" t="str">
        <f ca="1">IFERROR(__xludf.DUMMYFUNCTION("""COMPUTED_VALUE"""),"NEAP WQ sites")</f>
        <v>NEAP WQ sites</v>
      </c>
      <c r="I930" s="15">
        <f ca="1">IFERROR(__xludf.DUMMYFUNCTION("""COMPUTED_VALUE"""),0.625)</f>
        <v>0.625</v>
      </c>
      <c r="J930" s="16"/>
      <c r="K930" t="str">
        <f ca="1">IFERROR(__xludf.DUMMYFUNCTION("""COMPUTED_VALUE"""),"F 20ft Sea Ark (Easy 200) FL8534PY DEP21451")</f>
        <v>F 20ft Sea Ark (Easy 200) FL8534PY DEP21451</v>
      </c>
      <c r="M930" t="str">
        <f ca="1">IFERROR(__xludf.DUMMYFUNCTION("""COMPUTED_VALUE"""),"Ford F150 2007 (F-Bomb) - DEP07055")</f>
        <v>Ford F150 2007 (F-Bomb) - DEP07055</v>
      </c>
      <c r="N930" t="str">
        <f ca="1">IFERROR(__xludf.DUMMYFUNCTION("""COMPUTED_VALUE"""),"Jimmy Tomazinis, (904) 547-0094")</f>
        <v>Jimmy Tomazinis, (904) 547-0094</v>
      </c>
      <c r="O930" t="str">
        <f ca="1">IFERROR(__xludf.DUMMYFUNCTION("""COMPUTED_VALUE"""),"Chirs Kurtz")</f>
        <v>Chirs Kurtz</v>
      </c>
      <c r="P930" t="str">
        <f ca="1">IFERROR(__xludf.DUMMYFUNCTION("""COMPUTED_VALUE"""),"Jimmy")</f>
        <v>Jimmy</v>
      </c>
      <c r="AE930" s="11"/>
      <c r="AF930" t="str">
        <v>Scott.Eastman@floridadep.gov</v>
      </c>
      <c r="AG930" s="17" t="s">
        <v>17</v>
      </c>
      <c r="AH930" s="12">
        <v>1245</v>
      </c>
      <c r="AI930" s="12" t="s">
        <v>2744</v>
      </c>
      <c r="AJ930" s="19" t="s">
        <v>2745</v>
      </c>
      <c r="AK930" s="20" t="str">
        <f>HYPERLINK("https://docs.google.com/document/d/12prjhxN5a5cs59ywgET2x0Nrd3DDmK51RXMqTzJ1RYU/edit?usp=drivesdk","Jimmy - 9/21/2022 10:00 AM")</f>
        <v>Jimmy - 9/21/2022 10:00 AM</v>
      </c>
      <c r="AL930" s="12" t="s">
        <v>2746</v>
      </c>
    </row>
    <row r="931" spans="1:38" ht="12.75">
      <c r="A931" s="10">
        <f ca="1">IFERROR(__xludf.DUMMYFUNCTION("""COMPUTED_VALUE"""),44829.4622605555)</f>
        <v>44829.462260555498</v>
      </c>
      <c r="B931" s="11" t="str">
        <f ca="1">IFERROR(__xludf.DUMMYFUNCTION("""COMPUTED_VALUE"""),"Pam Marcum ")</f>
        <v xml:space="preserve">Pam Marcum </v>
      </c>
      <c r="C931" t="str">
        <f ca="1">IFERROR(__xludf.DUMMYFUNCTION("""COMPUTED_VALUE"""),"Pamela.Marcum@FloridaDEP.gov")</f>
        <v>Pamela.Marcum@FloridaDEP.gov</v>
      </c>
      <c r="D931" t="str">
        <f ca="1">IFERROR(__xludf.DUMMYFUNCTION("""COMPUTED_VALUE"""),"Nikki Dix")</f>
        <v>Nikki Dix</v>
      </c>
      <c r="E931" t="str">
        <f ca="1">IFERROR(__xludf.DUMMYFUNCTION("""COMPUTED_VALUE"""),"Vilano")</f>
        <v>Vilano</v>
      </c>
      <c r="F931" s="13">
        <f ca="1">IFERROR(__xludf.DUMMYFUNCTION("""COMPUTED_VALUE"""),0.45833333333212)</f>
        <v>0.45833333333212001</v>
      </c>
      <c r="G931" s="14">
        <f ca="1">IFERROR(__xludf.DUMMYFUNCTION("""COMPUTED_VALUE"""),44829)</f>
        <v>44829</v>
      </c>
      <c r="H931" t="str">
        <f ca="1">IFERROR(__xludf.DUMMYFUNCTION("""COMPUTED_VALUE"""),"PI-HI-22")</f>
        <v>PI-HI-22</v>
      </c>
      <c r="I931" s="15">
        <f ca="1">IFERROR(__xludf.DUMMYFUNCTION("""COMPUTED_VALUE"""),0.625)</f>
        <v>0.625</v>
      </c>
      <c r="J931" s="16">
        <f ca="1">IFERROR(__xludf.DUMMYFUNCTION("""COMPUTED_VALUE"""),44829.6458333333)</f>
        <v>44829.645833333299</v>
      </c>
      <c r="K931" t="str">
        <f ca="1">IFERROR(__xludf.DUMMYFUNCTION("""COMPUTED_VALUE"""),"20ft Sea Ark FL5351SJ UNF 2015")</f>
        <v>20ft Sea Ark FL5351SJ UNF 2015</v>
      </c>
      <c r="M931" t="str">
        <f ca="1">IFERROR(__xludf.DUMMYFUNCTION("""COMPUTED_VALUE"""),"Ford F250 2017 (Moby Dix) - DEP0021578")</f>
        <v>Ford F250 2017 (Moby Dix) - DEP0021578</v>
      </c>
      <c r="N931" t="str">
        <f ca="1">IFERROR(__xludf.DUMMYFUNCTION("""COMPUTED_VALUE"""),"Pam Marcum, (480) 332-5414")</f>
        <v>Pam Marcum, (480) 332-5414</v>
      </c>
      <c r="O931" t="str">
        <f ca="1">IFERROR(__xludf.DUMMYFUNCTION("""COMPUTED_VALUE"""),"Jacob Berna")</f>
        <v>Jacob Berna</v>
      </c>
      <c r="P931" t="str">
        <f ca="1">IFERROR(__xludf.DUMMYFUNCTION("""COMPUTED_VALUE"""),"Jacob ")</f>
        <v xml:space="preserve">Jacob </v>
      </c>
      <c r="AE931" s="11"/>
      <c r="AF931" t="str">
        <v>Nikki.Dix@floridadep.gov</v>
      </c>
      <c r="AG931" s="17" t="s">
        <v>41</v>
      </c>
      <c r="AH931" s="12">
        <v>1410</v>
      </c>
      <c r="AI931" s="12" t="s">
        <v>2747</v>
      </c>
      <c r="AJ931" s="19" t="s">
        <v>2748</v>
      </c>
      <c r="AK931" s="20" t="str">
        <f>HYPERLINK("https://docs.google.com/document/d/1DFy6isb3YaH8jceTQyAahMjLvq-aZ6SFqm8G6_dypIc/edit?usp=drivesdk","Pam Marcum  - 9/25/2022 11:00 AM")</f>
        <v>Pam Marcum  - 9/25/2022 11:00 AM</v>
      </c>
      <c r="AL931" s="12" t="s">
        <v>2749</v>
      </c>
    </row>
    <row r="932" spans="1:38" ht="12.75">
      <c r="A932" s="10">
        <f ca="1">IFERROR(__xludf.DUMMYFUNCTION("""COMPUTED_VALUE"""),44829.6086786921)</f>
        <v>44829.608678692101</v>
      </c>
      <c r="B932" s="11" t="str">
        <f ca="1">IFERROR(__xludf.DUMMYFUNCTION("""COMPUTED_VALUE"""),"Pam Marcum ")</f>
        <v xml:space="preserve">Pam Marcum </v>
      </c>
      <c r="C932" t="str">
        <f ca="1">IFERROR(__xludf.DUMMYFUNCTION("""COMPUTED_VALUE"""),"Pamela.Marcum@FloridaDEP.gov")</f>
        <v>Pamela.Marcum@FloridaDEP.gov</v>
      </c>
      <c r="D932" t="str">
        <f ca="1">IFERROR(__xludf.DUMMYFUNCTION("""COMPUTED_VALUE"""),"Nikki Dix")</f>
        <v>Nikki Dix</v>
      </c>
      <c r="E932" t="str">
        <f ca="1">IFERROR(__xludf.DUMMYFUNCTION("""COMPUTED_VALUE"""),"Shore Dr ")</f>
        <v xml:space="preserve">Shore Dr </v>
      </c>
      <c r="F932" s="13">
        <f ca="1">IFERROR(__xludf.DUMMYFUNCTION("""COMPUTED_VALUE"""),0.604166666667879)</f>
        <v>0.60416666666787899</v>
      </c>
      <c r="G932" s="14">
        <f ca="1">IFERROR(__xludf.DUMMYFUNCTION("""COMPUTED_VALUE"""),44829)</f>
        <v>44829</v>
      </c>
      <c r="H932" t="str">
        <f ca="1">IFERROR(__xludf.DUMMYFUNCTION("""COMPUTED_VALUE"""),"Site 22")</f>
        <v>Site 22</v>
      </c>
      <c r="I932" s="15">
        <f ca="1">IFERROR(__xludf.DUMMYFUNCTION("""COMPUTED_VALUE"""),0.6875)</f>
        <v>0.6875</v>
      </c>
      <c r="J932" s="16">
        <f ca="1">IFERROR(__xludf.DUMMYFUNCTION("""COMPUTED_VALUE"""),44829.7083333333)</f>
        <v>44829.708333333299</v>
      </c>
      <c r="K932" t="str">
        <f ca="1">IFERROR(__xludf.DUMMYFUNCTION("""COMPUTED_VALUE"""),"20ft Sea Ark FL5351SJ UNF 2015")</f>
        <v>20ft Sea Ark FL5351SJ UNF 2015</v>
      </c>
      <c r="M932" t="str">
        <f ca="1">IFERROR(__xludf.DUMMYFUNCTION("""COMPUTED_VALUE"""),"Ford F250 2017 (Moby Dix) - DEP0021578")</f>
        <v>Ford F250 2017 (Moby Dix) - DEP0021578</v>
      </c>
      <c r="N932" t="str">
        <f ca="1">IFERROR(__xludf.DUMMYFUNCTION("""COMPUTED_VALUE"""),"Pam Marcum, (480) 332-5414")</f>
        <v>Pam Marcum, (480) 332-5414</v>
      </c>
      <c r="O932" t="str">
        <f ca="1">IFERROR(__xludf.DUMMYFUNCTION("""COMPUTED_VALUE"""),"Jacob Berna")</f>
        <v>Jacob Berna</v>
      </c>
      <c r="P932" t="str">
        <f ca="1">IFERROR(__xludf.DUMMYFUNCTION("""COMPUTED_VALUE"""),"Jacob")</f>
        <v>Jacob</v>
      </c>
      <c r="AE932" s="11"/>
      <c r="AF932" t="str">
        <v>Nikki.Dix@floridadep.gov</v>
      </c>
      <c r="AG932" s="17" t="s">
        <v>41</v>
      </c>
      <c r="AH932" s="12">
        <v>1630</v>
      </c>
      <c r="AI932" s="12" t="s">
        <v>2750</v>
      </c>
      <c r="AJ932" s="19" t="s">
        <v>2751</v>
      </c>
      <c r="AK932" s="20" t="str">
        <f>HYPERLINK("https://docs.google.com/document/d/1MMdP_cXBpcKLREii8rNKwPoxeWrv0Er0jtl-yNZ1sfw/edit?usp=drivesdk","Pam Marcum  - 9/25/2022 2:30 PM")</f>
        <v>Pam Marcum  - 9/25/2022 2:30 PM</v>
      </c>
      <c r="AL932" s="12" t="s">
        <v>2752</v>
      </c>
    </row>
    <row r="933" spans="1:38" ht="12.75">
      <c r="A933" s="10">
        <f ca="1">IFERROR(__xludf.DUMMYFUNCTION("""COMPUTED_VALUE"""),44830.4176671296)</f>
        <v>44830.417667129601</v>
      </c>
      <c r="B933" s="11" t="str">
        <f ca="1">IFERROR(__xludf.DUMMYFUNCTION("""COMPUTED_VALUE"""),"Pam Marcum ")</f>
        <v xml:space="preserve">Pam Marcum </v>
      </c>
      <c r="C933" t="str">
        <f ca="1">IFERROR(__xludf.DUMMYFUNCTION("""COMPUTED_VALUE"""),"Pamela.Marcum@FloridaDEP.gov")</f>
        <v>Pamela.Marcum@FloridaDEP.gov</v>
      </c>
      <c r="D933" t="str">
        <f ca="1">IFERROR(__xludf.DUMMYFUNCTION("""COMPUTED_VALUE"""),"Nikki Dix")</f>
        <v>Nikki Dix</v>
      </c>
      <c r="E933" t="str">
        <f ca="1">IFERROR(__xludf.DUMMYFUNCTION("""COMPUTED_VALUE"""),"Faver dykes")</f>
        <v>Faver dykes</v>
      </c>
      <c r="F933" s="13">
        <f ca="1">IFERROR(__xludf.DUMMYFUNCTION("""COMPUTED_VALUE"""),0.40625)</f>
        <v>0.40625</v>
      </c>
      <c r="G933" s="14">
        <f ca="1">IFERROR(__xludf.DUMMYFUNCTION("""COMPUTED_VALUE"""),44830)</f>
        <v>44830</v>
      </c>
      <c r="H933" t="str">
        <f ca="1">IFERROR(__xludf.DUMMYFUNCTION("""COMPUTED_VALUE"""),"Pellicer creek ")</f>
        <v xml:space="preserve">Pellicer creek </v>
      </c>
      <c r="I933" s="15">
        <f ca="1">IFERROR(__xludf.DUMMYFUNCTION("""COMPUTED_VALUE"""),0.541666666667879)</f>
        <v>0.54166666666787899</v>
      </c>
      <c r="J933" s="16">
        <f ca="1">IFERROR(__xludf.DUMMYFUNCTION("""COMPUTED_VALUE"""),44830.5833333333)</f>
        <v>44830.583333333299</v>
      </c>
      <c r="K933" t="str">
        <f ca="1">IFERROR(__xludf.DUMMYFUNCTION("""COMPUTED_VALUE"""),"20ft Sea Ark FL5351SJ UNF 2015")</f>
        <v>20ft Sea Ark FL5351SJ UNF 2015</v>
      </c>
      <c r="M933" t="str">
        <f ca="1">IFERROR(__xludf.DUMMYFUNCTION("""COMPUTED_VALUE"""),"Ford F250 2017 (Moby Dix) - DEP0021578")</f>
        <v>Ford F250 2017 (Moby Dix) - DEP0021578</v>
      </c>
      <c r="N933" t="str">
        <f ca="1">IFERROR(__xludf.DUMMYFUNCTION("""COMPUTED_VALUE"""),"Pam Marcum, (480) 332-5414")</f>
        <v>Pam Marcum, (480) 332-5414</v>
      </c>
      <c r="O933" t="str">
        <f ca="1">IFERROR(__xludf.DUMMYFUNCTION("""COMPUTED_VALUE"""),"Jacob Berna")</f>
        <v>Jacob Berna</v>
      </c>
      <c r="P933" t="str">
        <f ca="1">IFERROR(__xludf.DUMMYFUNCTION("""COMPUTED_VALUE"""),"Jacob ")</f>
        <v xml:space="preserve">Jacob </v>
      </c>
      <c r="AE933" s="11"/>
      <c r="AF933" t="str">
        <v>Nikki.Dix@floridadep.gov</v>
      </c>
      <c r="AG933" s="17" t="s">
        <v>17</v>
      </c>
      <c r="AH933" s="12">
        <v>1430</v>
      </c>
      <c r="AI933" s="12" t="s">
        <v>2753</v>
      </c>
      <c r="AJ933" s="19" t="s">
        <v>2754</v>
      </c>
      <c r="AK933" s="20" t="str">
        <f>HYPERLINK("https://docs.google.com/document/d/16L2SYI_DHROVDdtCMXcVIFzOflevRZTuEjWMeVKV_2A/edit?usp=drivesdk","Pam Marcum  - 9/26/2022 9:45 AM")</f>
        <v>Pam Marcum  - 9/26/2022 9:45 AM</v>
      </c>
      <c r="AL933" s="12" t="s">
        <v>2755</v>
      </c>
    </row>
    <row r="934" spans="1:38" ht="12.75">
      <c r="A934" s="10">
        <f ca="1">IFERROR(__xludf.DUMMYFUNCTION("""COMPUTED_VALUE"""),44831.3910480092)</f>
        <v>44831.391048009202</v>
      </c>
      <c r="B934" s="11" t="str">
        <f ca="1">IFERROR(__xludf.DUMMYFUNCTION("""COMPUTED_VALUE"""),"Silas Tanner")</f>
        <v>Silas Tanner</v>
      </c>
      <c r="C934" t="str">
        <f ca="1">IFERROR(__xludf.DUMMYFUNCTION("""COMPUTED_VALUE"""),"silas.tanner@floridadep.gov")</f>
        <v>silas.tanner@floridadep.gov</v>
      </c>
      <c r="D934" t="str">
        <f ca="1">IFERROR(__xludf.DUMMYFUNCTION("""COMPUTED_VALUE"""),"Nikki Dix")</f>
        <v>Nikki Dix</v>
      </c>
      <c r="E934" t="str">
        <f ca="1">IFERROR(__xludf.DUMMYFUNCTION("""COMPUTED_VALUE"""),"Vilano")</f>
        <v>Vilano</v>
      </c>
      <c r="F934" s="13">
        <f ca="1">IFERROR(__xludf.DUMMYFUNCTION("""COMPUTED_VALUE"""),0.4375)</f>
        <v>0.4375</v>
      </c>
      <c r="G934" s="14">
        <f ca="1">IFERROR(__xludf.DUMMYFUNCTION("""COMPUTED_VALUE"""),44831)</f>
        <v>44831</v>
      </c>
      <c r="H934" t="str">
        <f ca="1">IFERROR(__xludf.DUMMYFUNCTION("""COMPUTED_VALUE"""),"ICW SWMP sites")</f>
        <v>ICW SWMP sites</v>
      </c>
      <c r="I934" s="15">
        <f ca="1">IFERROR(__xludf.DUMMYFUNCTION("""COMPUTED_VALUE"""),0.61458333333212)</f>
        <v>0.61458333333212001</v>
      </c>
      <c r="J934" s="16">
        <f ca="1">IFERROR(__xludf.DUMMYFUNCTION("""COMPUTED_VALUE"""),44831.6354166666)</f>
        <v>44831.635416666599</v>
      </c>
      <c r="K934" t="str">
        <f ca="1">IFERROR(__xludf.DUMMYFUNCTION("""COMPUTED_VALUE"""),"F 20ft Sea Ark (Easy 200) FL8534PY DEP21451")</f>
        <v>F 20ft Sea Ark (Easy 200) FL8534PY DEP21451</v>
      </c>
      <c r="M934" t="str">
        <f ca="1">IFERROR(__xludf.DUMMYFUNCTION("""COMPUTED_VALUE"""),"Ford F150 2007 (F-Bomb) - DEP07055")</f>
        <v>Ford F150 2007 (F-Bomb) - DEP07055</v>
      </c>
      <c r="N934" t="str">
        <f ca="1">IFERROR(__xludf.DUMMYFUNCTION("""COMPUTED_VALUE"""),"Silas Tanner, (904) 483-8423, Remo Mondazzi")</f>
        <v>Silas Tanner, (904) 483-8423, Remo Mondazzi</v>
      </c>
      <c r="P934" t="str">
        <f ca="1">IFERROR(__xludf.DUMMYFUNCTION("""COMPUTED_VALUE"""),"Silas Tanner")</f>
        <v>Silas Tanner</v>
      </c>
      <c r="AE934" s="11"/>
      <c r="AF934" t="str">
        <v>Nikki.Dix@floridadep.gov</v>
      </c>
      <c r="AG934" s="17" t="s">
        <v>41</v>
      </c>
      <c r="AH934" s="12">
        <v>1440</v>
      </c>
      <c r="AI934" s="12" t="s">
        <v>2756</v>
      </c>
      <c r="AJ934" s="19" t="s">
        <v>2757</v>
      </c>
      <c r="AK934" s="20" t="str">
        <f>HYPERLINK("https://docs.google.com/document/d/1xFBvZRE3qcFijad7ftcixPuQpTRWiY8Rkjaz3qRfyjY/edit?usp=drivesdk","Silas Tanner - 9/27/2022 10:30 AM")</f>
        <v>Silas Tanner - 9/27/2022 10:30 AM</v>
      </c>
      <c r="AL934" s="12" t="s">
        <v>2758</v>
      </c>
    </row>
    <row r="935" spans="1:38" ht="12.75">
      <c r="A935" s="10">
        <f ca="1">IFERROR(__xludf.DUMMYFUNCTION("""COMPUTED_VALUE"""),44839.3703431134)</f>
        <v>44839.370343113398</v>
      </c>
      <c r="B935" s="11" t="str">
        <f ca="1">IFERROR(__xludf.DUMMYFUNCTION("""COMPUTED_VALUE"""),"Silas Tanner")</f>
        <v>Silas Tanner</v>
      </c>
      <c r="C935" t="str">
        <f ca="1">IFERROR(__xludf.DUMMYFUNCTION("""COMPUTED_VALUE"""),"silas.tanner@floridadep.gov")</f>
        <v>silas.tanner@floridadep.gov</v>
      </c>
      <c r="D935" t="str">
        <f ca="1">IFERROR(__xludf.DUMMYFUNCTION("""COMPUTED_VALUE"""),"Nikki Dix")</f>
        <v>Nikki Dix</v>
      </c>
      <c r="E935" t="str">
        <f ca="1">IFERROR(__xludf.DUMMYFUNCTION("""COMPUTED_VALUE"""),"Vilano")</f>
        <v>Vilano</v>
      </c>
      <c r="F935" s="13">
        <f ca="1">IFERROR(__xludf.DUMMYFUNCTION("""COMPUTED_VALUE"""),0.416666666667879)</f>
        <v>0.41666666666787899</v>
      </c>
      <c r="G935" s="14">
        <f ca="1">IFERROR(__xludf.DUMMYFUNCTION("""COMPUTED_VALUE"""),44839)</f>
        <v>44839</v>
      </c>
      <c r="H935" t="str">
        <f ca="1">IFERROR(__xludf.DUMMYFUNCTION("""COMPUTED_VALUE"""),"ICW SWMP sites: SS &amp; PI")</f>
        <v>ICW SWMP sites: SS &amp; PI</v>
      </c>
      <c r="I935" s="15">
        <f ca="1">IFERROR(__xludf.DUMMYFUNCTION("""COMPUTED_VALUE"""),0.541666666667879)</f>
        <v>0.54166666666787899</v>
      </c>
      <c r="J935" s="16">
        <f ca="1">IFERROR(__xludf.DUMMYFUNCTION("""COMPUTED_VALUE"""),44839.5625)</f>
        <v>44839.5625</v>
      </c>
      <c r="K935" t="str">
        <f ca="1">IFERROR(__xludf.DUMMYFUNCTION("""COMPUTED_VALUE"""),"20ft Sea Ark FL5351SJ UNF 2015")</f>
        <v>20ft Sea Ark FL5351SJ UNF 2015</v>
      </c>
      <c r="M935" t="str">
        <f ca="1">IFERROR(__xludf.DUMMYFUNCTION("""COMPUTED_VALUE"""),"Ford F150 2015 (White) - DEP21448")</f>
        <v>Ford F150 2015 (White) - DEP21448</v>
      </c>
      <c r="N935" t="str">
        <f ca="1">IFERROR(__xludf.DUMMYFUNCTION("""COMPUTED_VALUE"""),"Shannon Dunnigan, (803) 727-5734, Silas Tanner, (904) 483-8423")</f>
        <v>Shannon Dunnigan, (803) 727-5734, Silas Tanner, (904) 483-8423</v>
      </c>
      <c r="P935" t="str">
        <f ca="1">IFERROR(__xludf.DUMMYFUNCTION("""COMPUTED_VALUE"""),"Shannon Dunnigan")</f>
        <v>Shannon Dunnigan</v>
      </c>
      <c r="AE935" s="11"/>
      <c r="AF935" t="str">
        <v>Nikki.Dix@floridadep.gov</v>
      </c>
      <c r="AG935" s="17" t="s">
        <v>41</v>
      </c>
      <c r="AH935" s="12">
        <v>1215</v>
      </c>
      <c r="AI935" s="12" t="s">
        <v>2759</v>
      </c>
      <c r="AJ935" s="19" t="s">
        <v>2760</v>
      </c>
      <c r="AK935" s="20" t="str">
        <f>HYPERLINK("https://docs.google.com/document/d/1kvF7G9YmHbK-kHsCp-FTJbOrvt0L2KKA6N3V1Yu6n6g/edit?usp=drivesdk","Silas Tanner - 10/5/2022 10:00 AM")</f>
        <v>Silas Tanner - 10/5/2022 10:00 AM</v>
      </c>
      <c r="AL935" s="12" t="s">
        <v>2761</v>
      </c>
    </row>
    <row r="936" spans="1:38" ht="12.75">
      <c r="A936" s="10">
        <f ca="1">IFERROR(__xludf.DUMMYFUNCTION("""COMPUTED_VALUE"""),44840.297067662)</f>
        <v>44840.297067662003</v>
      </c>
      <c r="B936" s="11" t="str">
        <f ca="1">IFERROR(__xludf.DUMMYFUNCTION("""COMPUTED_VALUE"""),"Jessica Lee")</f>
        <v>Jessica Lee</v>
      </c>
      <c r="C936" t="str">
        <f ca="1">IFERROR(__xludf.DUMMYFUNCTION("""COMPUTED_VALUE"""),"jessica.lee@floridadep.gov")</f>
        <v>jessica.lee@floridadep.gov</v>
      </c>
      <c r="D936" t="str">
        <f ca="1">IFERROR(__xludf.DUMMYFUNCTION("""COMPUTED_VALUE"""),"Nikki Dix")</f>
        <v>Nikki Dix</v>
      </c>
      <c r="E936" t="str">
        <f ca="1">IFERROR(__xludf.DUMMYFUNCTION("""COMPUTED_VALUE"""),"Guana River")</f>
        <v>Guana River</v>
      </c>
      <c r="F936" s="13">
        <f ca="1">IFERROR(__xludf.DUMMYFUNCTION("""COMPUTED_VALUE"""),0.30208333333212)</f>
        <v>0.30208333333212001</v>
      </c>
      <c r="G936" s="14">
        <f ca="1">IFERROR(__xludf.DUMMYFUNCTION("""COMPUTED_VALUE"""),44840)</f>
        <v>44840</v>
      </c>
      <c r="H936" t="str">
        <f ca="1">IFERROR(__xludf.DUMMYFUNCTION("""COMPUTED_VALUE"""),"Guana River")</f>
        <v>Guana River</v>
      </c>
      <c r="I936" s="15">
        <f ca="1">IFERROR(__xludf.DUMMYFUNCTION("""COMPUTED_VALUE"""),0.36458333333212)</f>
        <v>0.36458333333212001</v>
      </c>
      <c r="J936" s="16">
        <f ca="1">IFERROR(__xludf.DUMMYFUNCTION("""COMPUTED_VALUE"""),44840.375)</f>
        <v>44840.375</v>
      </c>
      <c r="K936" t="str">
        <f ca="1">IFERROR(__xludf.DUMMYFUNCTION("""COMPUTED_VALUE"""),"Jon Boat 1 FL5992RR DEP154045")</f>
        <v>Jon Boat 1 FL5992RR DEP154045</v>
      </c>
      <c r="M936" t="str">
        <f ca="1">IFERROR(__xludf.DUMMYFUNCTION("""COMPUTED_VALUE"""),"Ford F250 2017 (Moby Dix) - DEP0021578")</f>
        <v>Ford F250 2017 (Moby Dix) - DEP0021578</v>
      </c>
      <c r="N936" t="str">
        <f ca="1">IFERROR(__xludf.DUMMYFUNCTION("""COMPUTED_VALUE"""),"Jessica Lee, (813) 748-2228")</f>
        <v>Jessica Lee, (813) 748-2228</v>
      </c>
      <c r="O936" t="str">
        <f ca="1">IFERROR(__xludf.DUMMYFUNCTION("""COMPUTED_VALUE"""),"Jenna")</f>
        <v>Jenna</v>
      </c>
      <c r="P936" t="str">
        <f ca="1">IFERROR(__xludf.DUMMYFUNCTION("""COMPUTED_VALUE"""),"Jess")</f>
        <v>Jess</v>
      </c>
      <c r="AE936" s="11"/>
      <c r="AF936" t="str">
        <v>Nikki.Dix@floridadep.gov</v>
      </c>
      <c r="AG936" s="17" t="s">
        <v>41</v>
      </c>
      <c r="AH936" s="12">
        <v>842</v>
      </c>
      <c r="AI936" s="12" t="s">
        <v>2762</v>
      </c>
      <c r="AJ936" s="19" t="s">
        <v>2763</v>
      </c>
      <c r="AK936" s="20" t="str">
        <f>HYPERLINK("https://docs.google.com/document/d/1iqaaMs6923fCABIWXKbPSrIHg3EGKHOXykTwpfCOo2w/edit?usp=drivesdk","Jessica Lee - 10/6/2022 7:15 AM")</f>
        <v>Jessica Lee - 10/6/2022 7:15 AM</v>
      </c>
      <c r="AL936" s="12" t="s">
        <v>2764</v>
      </c>
    </row>
    <row r="937" spans="1:38" ht="12.75">
      <c r="A937" s="10">
        <f ca="1">IFERROR(__xludf.DUMMYFUNCTION("""COMPUTED_VALUE"""),44844.2914829398)</f>
        <v>44844.2914829398</v>
      </c>
      <c r="B937" s="11" t="str">
        <f ca="1">IFERROR(__xludf.DUMMYFUNCTION("""COMPUTED_VALUE"""),"Silas Tanner")</f>
        <v>Silas Tanner</v>
      </c>
      <c r="C937" t="str">
        <f ca="1">IFERROR(__xludf.DUMMYFUNCTION("""COMPUTED_VALUE"""),"silas.tanner@floridadep.gov")</f>
        <v>silas.tanner@floridadep.gov</v>
      </c>
      <c r="D937" t="str">
        <f ca="1">IFERROR(__xludf.DUMMYFUNCTION("""COMPUTED_VALUE"""),"Nikki Dix")</f>
        <v>Nikki Dix</v>
      </c>
      <c r="E937" t="str">
        <f ca="1">IFERROR(__xludf.DUMMYFUNCTION("""COMPUTED_VALUE"""),"Vilano")</f>
        <v>Vilano</v>
      </c>
      <c r="F937" s="13">
        <f ca="1">IFERROR(__xludf.DUMMYFUNCTION("""COMPUTED_VALUE"""),0.375)</f>
        <v>0.375</v>
      </c>
      <c r="G937" s="14">
        <f ca="1">IFERROR(__xludf.DUMMYFUNCTION("""COMPUTED_VALUE"""),44844)</f>
        <v>44844</v>
      </c>
      <c r="H937" t="str">
        <f ca="1">IFERROR(__xludf.DUMMYFUNCTION("""COMPUTED_VALUE"""),"ICW SWMP sites")</f>
        <v>ICW SWMP sites</v>
      </c>
      <c r="I937" s="15">
        <f ca="1">IFERROR(__xludf.DUMMYFUNCTION("""COMPUTED_VALUE"""),0.541666666667879)</f>
        <v>0.54166666666787899</v>
      </c>
      <c r="J937" s="16">
        <f ca="1">IFERROR(__xludf.DUMMYFUNCTION("""COMPUTED_VALUE"""),44844.5625)</f>
        <v>44844.5625</v>
      </c>
      <c r="K937" t="str">
        <f ca="1">IFERROR(__xludf.DUMMYFUNCTION("""COMPUTED_VALUE"""),"20ft Sea Ark FL5351SJ UNF 2015")</f>
        <v>20ft Sea Ark FL5351SJ UNF 2015</v>
      </c>
      <c r="M937" t="str">
        <f ca="1">IFERROR(__xludf.DUMMYFUNCTION("""COMPUTED_VALUE"""),"Ford F250 2017 (Moby Dix) - DEP0021578")</f>
        <v>Ford F250 2017 (Moby Dix) - DEP0021578</v>
      </c>
      <c r="N937" t="str">
        <f ca="1">IFERROR(__xludf.DUMMYFUNCTION("""COMPUTED_VALUE"""),"Silas Tanner, (904) 483-8423")</f>
        <v>Silas Tanner, (904) 483-8423</v>
      </c>
      <c r="O937" t="str">
        <f ca="1">IFERROR(__xludf.DUMMYFUNCTION("""COMPUTED_VALUE"""),"Jacob Berna")</f>
        <v>Jacob Berna</v>
      </c>
      <c r="P937" t="str">
        <f ca="1">IFERROR(__xludf.DUMMYFUNCTION("""COMPUTED_VALUE"""),"S. Tanner")</f>
        <v>S. Tanner</v>
      </c>
      <c r="AE937" s="11"/>
      <c r="AF937" t="str">
        <v>Nikki.Dix@floridadep.gov</v>
      </c>
      <c r="AG937" s="17" t="s">
        <v>17</v>
      </c>
      <c r="AH937" s="12">
        <v>1245</v>
      </c>
      <c r="AI937" s="12" t="s">
        <v>2765</v>
      </c>
      <c r="AJ937" s="19" t="s">
        <v>2766</v>
      </c>
      <c r="AK937" s="20" t="str">
        <f>HYPERLINK("https://docs.google.com/document/d/1eb6p4GErWM1l2xYYqQGBI_ISnbaZcZ-YgurGUp4SJuQ/edit?usp=drivesdk","Silas Tanner - 10/10/2022 9:00 AM")</f>
        <v>Silas Tanner - 10/10/2022 9:00 AM</v>
      </c>
      <c r="AL937" s="12" t="s">
        <v>2767</v>
      </c>
    </row>
    <row r="938" spans="1:38" ht="12.75">
      <c r="A938" s="10">
        <f ca="1">IFERROR(__xludf.DUMMYFUNCTION("""COMPUTED_VALUE"""),44845.4182621643)</f>
        <v>44845.418262164298</v>
      </c>
      <c r="B938" s="11" t="str">
        <f ca="1">IFERROR(__xludf.DUMMYFUNCTION("""COMPUTED_VALUE"""),"Silas Tanner")</f>
        <v>Silas Tanner</v>
      </c>
      <c r="C938" t="str">
        <f ca="1">IFERROR(__xludf.DUMMYFUNCTION("""COMPUTED_VALUE"""),"silas.tanner@floridadep.gov")</f>
        <v>silas.tanner@floridadep.gov</v>
      </c>
      <c r="D938" t="str">
        <f ca="1">IFERROR(__xludf.DUMMYFUNCTION("""COMPUTED_VALUE"""),"Shannon Dunnigan")</f>
        <v>Shannon Dunnigan</v>
      </c>
      <c r="E938" t="str">
        <f ca="1">IFERROR(__xludf.DUMMYFUNCTION("""COMPUTED_VALUE"""),"Vilano")</f>
        <v>Vilano</v>
      </c>
      <c r="F938" s="13">
        <f ca="1">IFERROR(__xludf.DUMMYFUNCTION("""COMPUTED_VALUE"""),0.45833333333212)</f>
        <v>0.45833333333212001</v>
      </c>
      <c r="G938" s="14">
        <f ca="1">IFERROR(__xludf.DUMMYFUNCTION("""COMPUTED_VALUE"""),44845)</f>
        <v>44845</v>
      </c>
      <c r="H938" t="str">
        <f ca="1">IFERROR(__xludf.DUMMYFUNCTION("""COMPUTED_VALUE"""),"ICW SWMP sites")</f>
        <v>ICW SWMP sites</v>
      </c>
      <c r="I938" s="15">
        <f ca="1">IFERROR(__xludf.DUMMYFUNCTION("""COMPUTED_VALUE"""),0.58333333333212)</f>
        <v>0.58333333333212001</v>
      </c>
      <c r="J938" s="16">
        <f ca="1">IFERROR(__xludf.DUMMYFUNCTION("""COMPUTED_VALUE"""),44845.6041666666)</f>
        <v>44845.604166666599</v>
      </c>
      <c r="K938" t="str">
        <f ca="1">IFERROR(__xludf.DUMMYFUNCTION("""COMPUTED_VALUE"""),"20ft Sea Ark FL5351SJ UNF 2015")</f>
        <v>20ft Sea Ark FL5351SJ UNF 2015</v>
      </c>
      <c r="M938" t="str">
        <f ca="1">IFERROR(__xludf.DUMMYFUNCTION("""COMPUTED_VALUE"""),"Ford F250 2017 (Moby Dix) - DEP0021578")</f>
        <v>Ford F250 2017 (Moby Dix) - DEP0021578</v>
      </c>
      <c r="N938" t="str">
        <f ca="1">IFERROR(__xludf.DUMMYFUNCTION("""COMPUTED_VALUE"""),"Silas Tanner, (904) 483-8423, Remo Mondazzi")</f>
        <v>Silas Tanner, (904) 483-8423, Remo Mondazzi</v>
      </c>
      <c r="P938" t="str">
        <f ca="1">IFERROR(__xludf.DUMMYFUNCTION("""COMPUTED_VALUE"""),"Silas Tanner")</f>
        <v>Silas Tanner</v>
      </c>
      <c r="AE938" s="11"/>
      <c r="AF938" t="str">
        <v>Shannon.Dunnigan@floridadep.gov</v>
      </c>
      <c r="AG938" s="17" t="s">
        <v>639</v>
      </c>
      <c r="AH938" s="12">
        <v>1439</v>
      </c>
      <c r="AI938" s="12" t="s">
        <v>2768</v>
      </c>
      <c r="AJ938" s="19" t="s">
        <v>2769</v>
      </c>
      <c r="AK938" s="20" t="str">
        <f>HYPERLINK("https://docs.google.com/document/d/1hY-QzWHBay4X0spOZkCc6iEWz2U7t0_9gMnhpFokMpY/edit?usp=drivesdk","Silas Tanner - 10/11/2022 11:00 AM")</f>
        <v>Silas Tanner - 10/11/2022 11:00 AM</v>
      </c>
      <c r="AL938" s="12" t="s">
        <v>2770</v>
      </c>
    </row>
    <row r="939" spans="1:38" ht="12.75">
      <c r="A939" s="10">
        <f ca="1">IFERROR(__xludf.DUMMYFUNCTION("""COMPUTED_VALUE"""),44847.3924161689)</f>
        <v>44847.392416168899</v>
      </c>
      <c r="B939" s="11" t="str">
        <f ca="1">IFERROR(__xludf.DUMMYFUNCTION("""COMPUTED_VALUE"""),"Pam Marcum ")</f>
        <v xml:space="preserve">Pam Marcum </v>
      </c>
      <c r="C939" t="str">
        <f ca="1">IFERROR(__xludf.DUMMYFUNCTION("""COMPUTED_VALUE"""),"Pamela.Marcum@FloridaDEP.gov")</f>
        <v>Pamela.Marcum@FloridaDEP.gov</v>
      </c>
      <c r="D939" t="str">
        <f ca="1">IFERROR(__xludf.DUMMYFUNCTION("""COMPUTED_VALUE"""),"Nikki Dix")</f>
        <v>Nikki Dix</v>
      </c>
      <c r="E939" t="str">
        <f ca="1">IFERROR(__xludf.DUMMYFUNCTION("""COMPUTED_VALUE"""),"Faver-Dykes ")</f>
        <v xml:space="preserve">Faver-Dykes </v>
      </c>
      <c r="F939" s="13">
        <f ca="1">IFERROR(__xludf.DUMMYFUNCTION("""COMPUTED_VALUE"""),0.34375)</f>
        <v>0.34375</v>
      </c>
      <c r="G939" s="14">
        <f ca="1">IFERROR(__xludf.DUMMYFUNCTION("""COMPUTED_VALUE"""),44847)</f>
        <v>44847</v>
      </c>
      <c r="H939" t="str">
        <f ca="1">IFERROR(__xludf.DUMMYFUNCTION("""COMPUTED_VALUE"""),"Pellicer mouth ")</f>
        <v xml:space="preserve">Pellicer mouth </v>
      </c>
      <c r="I939" s="15">
        <f ca="1">IFERROR(__xludf.DUMMYFUNCTION("""COMPUTED_VALUE"""),0.5)</f>
        <v>0.5</v>
      </c>
      <c r="J939" s="16">
        <f ca="1">IFERROR(__xludf.DUMMYFUNCTION("""COMPUTED_VALUE"""),44847.5416666666)</f>
        <v>44847.541666666599</v>
      </c>
      <c r="K939" t="str">
        <f ca="1">IFERROR(__xludf.DUMMYFUNCTION("""COMPUTED_VALUE"""),"Jon Boat 1 FL5992RR DEP154045")</f>
        <v>Jon Boat 1 FL5992RR DEP154045</v>
      </c>
      <c r="M939" t="str">
        <f ca="1">IFERROR(__xludf.DUMMYFUNCTION("""COMPUTED_VALUE"""),"Ford F150 2015 (White) - DEP21448")</f>
        <v>Ford F150 2015 (White) - DEP21448</v>
      </c>
      <c r="N939" t="str">
        <f ca="1">IFERROR(__xludf.DUMMYFUNCTION("""COMPUTED_VALUE"""),"Pam Marcum, (480) 332-5414")</f>
        <v>Pam Marcum, (480) 332-5414</v>
      </c>
      <c r="O939" t="str">
        <f ca="1">IFERROR(__xludf.DUMMYFUNCTION("""COMPUTED_VALUE"""),"Jacob Berna, Jeff Finnan ")</f>
        <v xml:space="preserve">Jacob Berna, Jeff Finnan </v>
      </c>
      <c r="P939" t="str">
        <f ca="1">IFERROR(__xludf.DUMMYFUNCTION("""COMPUTED_VALUE"""),"Jacob ")</f>
        <v xml:space="preserve">Jacob </v>
      </c>
      <c r="AE939" s="11"/>
      <c r="AF939" t="str">
        <v>Nikki.Dix@floridadep.gov</v>
      </c>
      <c r="AG939" s="17" t="s">
        <v>41</v>
      </c>
      <c r="AH939" s="12">
        <v>1143</v>
      </c>
      <c r="AI939" s="12" t="s">
        <v>2771</v>
      </c>
      <c r="AJ939" s="19" t="s">
        <v>2772</v>
      </c>
      <c r="AK939" s="20" t="str">
        <f>HYPERLINK("https://docs.google.com/document/d/1bbDwF4y4WaD1NJqZXrQ92xLVoz_4mFmcpB8bW-RJYvg/edit?usp=drivesdk","Pam Marcum  - 10/13/2022 8:15 AM")</f>
        <v>Pam Marcum  - 10/13/2022 8:15 AM</v>
      </c>
      <c r="AL939" s="12" t="s">
        <v>2773</v>
      </c>
    </row>
    <row r="940" spans="1:38" ht="12.75">
      <c r="A940" s="10">
        <f ca="1">IFERROR(__xludf.DUMMYFUNCTION("""COMPUTED_VALUE"""),44848.3240230324)</f>
        <v>44848.324023032401</v>
      </c>
      <c r="B940" s="11" t="str">
        <f ca="1">IFERROR(__xludf.DUMMYFUNCTION("""COMPUTED_VALUE"""),"Pam Marcum ")</f>
        <v xml:space="preserve">Pam Marcum </v>
      </c>
      <c r="C940" t="str">
        <f ca="1">IFERROR(__xludf.DUMMYFUNCTION("""COMPUTED_VALUE"""),"Pamela.Marcum@FloridaDEP.gov")</f>
        <v>Pamela.Marcum@FloridaDEP.gov</v>
      </c>
      <c r="D940" t="str">
        <f ca="1">IFERROR(__xludf.DUMMYFUNCTION("""COMPUTED_VALUE"""),"Nikki Dix")</f>
        <v>Nikki Dix</v>
      </c>
      <c r="E940" t="str">
        <f ca="1">IFERROR(__xludf.DUMMYFUNCTION("""COMPUTED_VALUE"""),"Bings")</f>
        <v>Bings</v>
      </c>
      <c r="F940" s="13">
        <f ca="1">IFERROR(__xludf.DUMMYFUNCTION("""COMPUTED_VALUE"""),0.3125)</f>
        <v>0.3125</v>
      </c>
      <c r="G940" s="14">
        <f ca="1">IFERROR(__xludf.DUMMYFUNCTION("""COMPUTED_VALUE"""),44848)</f>
        <v>44848</v>
      </c>
      <c r="H940" t="str">
        <f ca="1">IFERROR(__xludf.DUMMYFUNCTION("""COMPUTED_VALUE"""),"Washington oaks platforms ")</f>
        <v xml:space="preserve">Washington oaks platforms </v>
      </c>
      <c r="I940" s="15">
        <f ca="1">IFERROR(__xludf.DUMMYFUNCTION("""COMPUTED_VALUE"""),0.5)</f>
        <v>0.5</v>
      </c>
      <c r="J940" s="16">
        <f ca="1">IFERROR(__xludf.DUMMYFUNCTION("""COMPUTED_VALUE"""),44848.5416666666)</f>
        <v>44848.541666666599</v>
      </c>
      <c r="K940" t="str">
        <f ca="1">IFERROR(__xludf.DUMMYFUNCTION("""COMPUTED_VALUE"""),"17ft Skiff (Marsha) FL0642GW DEP07239")</f>
        <v>17ft Skiff (Marsha) FL0642GW DEP07239</v>
      </c>
      <c r="M940" t="str">
        <f ca="1">IFERROR(__xludf.DUMMYFUNCTION("""COMPUTED_VALUE"""),"Ford F250 2017 (Moby Dix) - DEP0021578")</f>
        <v>Ford F250 2017 (Moby Dix) - DEP0021578</v>
      </c>
      <c r="N940" t="str">
        <f ca="1">IFERROR(__xludf.DUMMYFUNCTION("""COMPUTED_VALUE"""),"Pam Marcum, (480) 332-5414")</f>
        <v>Pam Marcum, (480) 332-5414</v>
      </c>
      <c r="O940" t="str">
        <f ca="1">IFERROR(__xludf.DUMMYFUNCTION("""COMPUTED_VALUE"""),"Jacob Berna")</f>
        <v>Jacob Berna</v>
      </c>
      <c r="P940" t="str">
        <f ca="1">IFERROR(__xludf.DUMMYFUNCTION("""COMPUTED_VALUE"""),"Jacob ")</f>
        <v xml:space="preserve">Jacob </v>
      </c>
      <c r="AE940" s="11"/>
      <c r="AF940" t="str">
        <v>Nikki.Dix@floridadep.gov</v>
      </c>
      <c r="AG940" s="17" t="s">
        <v>41</v>
      </c>
      <c r="AH940" s="12">
        <v>1130</v>
      </c>
      <c r="AI940" s="12" t="s">
        <v>2774</v>
      </c>
      <c r="AJ940" s="19" t="s">
        <v>2775</v>
      </c>
      <c r="AK940" s="20" t="str">
        <f>HYPERLINK("https://docs.google.com/document/d/1bE4X6wClm7HiFrBNuDXxqkur4A-xbMSu2mhwcdlTUHY/edit?usp=drivesdk","Pam Marcum  - 10/14/2022 7:30 AM")</f>
        <v>Pam Marcum  - 10/14/2022 7:30 AM</v>
      </c>
      <c r="AL940" s="12" t="s">
        <v>2776</v>
      </c>
    </row>
    <row r="941" spans="1:38" ht="12.75">
      <c r="A941" s="10">
        <f ca="1">IFERROR(__xludf.DUMMYFUNCTION("""COMPUTED_VALUE"""),44851.3352827777)</f>
        <v>44851.335282777698</v>
      </c>
      <c r="B941" s="11" t="str">
        <f ca="1">IFERROR(__xludf.DUMMYFUNCTION("""COMPUTED_VALUE"""),"Jacob Berna")</f>
        <v>Jacob Berna</v>
      </c>
      <c r="C941" t="str">
        <f ca="1">IFERROR(__xludf.DUMMYFUNCTION("""COMPUTED_VALUE"""),"Jacob.Berna@FloridaDEP.gov")</f>
        <v>Jacob.Berna@FloridaDEP.gov</v>
      </c>
      <c r="D941" t="str">
        <f ca="1">IFERROR(__xludf.DUMMYFUNCTION("""COMPUTED_VALUE"""),"Nikki Dix")</f>
        <v>Nikki Dix</v>
      </c>
      <c r="E941" t="str">
        <f ca="1">IFERROR(__xludf.DUMMYFUNCTION("""COMPUTED_VALUE"""),"Frank Butler")</f>
        <v>Frank Butler</v>
      </c>
      <c r="F941" s="13">
        <f ca="1">IFERROR(__xludf.DUMMYFUNCTION("""COMPUTED_VALUE"""),0.33333333333212)</f>
        <v>0.33333333333212001</v>
      </c>
      <c r="G941" s="14">
        <f ca="1">IFERROR(__xludf.DUMMYFUNCTION("""COMPUTED_VALUE"""),44851)</f>
        <v>44851</v>
      </c>
      <c r="H941" t="str">
        <f ca="1">IFERROR(__xludf.DUMMYFUNCTION("""COMPUTED_VALUE"""),"Moses Creek Transects")</f>
        <v>Moses Creek Transects</v>
      </c>
      <c r="I941" s="15">
        <f ca="1">IFERROR(__xludf.DUMMYFUNCTION("""COMPUTED_VALUE"""),0.625)</f>
        <v>0.625</v>
      </c>
      <c r="J941" s="16">
        <f ca="1">IFERROR(__xludf.DUMMYFUNCTION("""COMPUTED_VALUE"""),44851.6666666666)</f>
        <v>44851.666666666599</v>
      </c>
      <c r="K941" t="str">
        <f ca="1">IFERROR(__xludf.DUMMYFUNCTION("""COMPUTED_VALUE"""),"Jon Boat 1 FL5992RR DEP154045")</f>
        <v>Jon Boat 1 FL5992RR DEP154045</v>
      </c>
      <c r="M941" t="str">
        <f ca="1">IFERROR(__xludf.DUMMYFUNCTION("""COMPUTED_VALUE"""),"Ford F250 2017 (Moby Dix) - DEP0021578")</f>
        <v>Ford F250 2017 (Moby Dix) - DEP0021578</v>
      </c>
      <c r="N941" t="str">
        <f ca="1">IFERROR(__xludf.DUMMYFUNCTION("""COMPUTED_VALUE"""),"Pam Marcum, (480) 332-5414")</f>
        <v>Pam Marcum, (480) 332-5414</v>
      </c>
      <c r="O941" t="str">
        <f ca="1">IFERROR(__xludf.DUMMYFUNCTION("""COMPUTED_VALUE"""),"Jacob Berna, Remo mondazzi")</f>
        <v>Jacob Berna, Remo mondazzi</v>
      </c>
      <c r="P941" t="str">
        <f ca="1">IFERROR(__xludf.DUMMYFUNCTION("""COMPUTED_VALUE"""),"Pam Marcum")</f>
        <v>Pam Marcum</v>
      </c>
      <c r="AE941" s="11"/>
      <c r="AF941" t="str">
        <v>Nikki.Dix@floridadep.gov</v>
      </c>
      <c r="AG941" s="17" t="s">
        <v>41</v>
      </c>
      <c r="AH941" s="12">
        <v>1338</v>
      </c>
      <c r="AI941" s="12" t="s">
        <v>2777</v>
      </c>
      <c r="AJ941" s="19" t="s">
        <v>2778</v>
      </c>
      <c r="AK941" s="20" t="str">
        <f>HYPERLINK("https://docs.google.com/document/d/1Xt4ayVP5CNQkjnlzBXxHfJkQ51ViteXE7KsPkGnXMiI/edit?usp=drivesdk","Jacob Berna - 10/17/2022 8:00 AM")</f>
        <v>Jacob Berna - 10/17/2022 8:00 AM</v>
      </c>
      <c r="AL941" s="12" t="s">
        <v>2779</v>
      </c>
    </row>
    <row r="942" spans="1:38" ht="12.75">
      <c r="A942" s="10">
        <f ca="1">IFERROR(__xludf.DUMMYFUNCTION("""COMPUTED_VALUE"""),44852.4015649421)</f>
        <v>44852.401564942098</v>
      </c>
      <c r="B942" s="11" t="str">
        <f ca="1">IFERROR(__xludf.DUMMYFUNCTION("""COMPUTED_VALUE"""),"Jacob Berna")</f>
        <v>Jacob Berna</v>
      </c>
      <c r="C942" t="str">
        <f ca="1">IFERROR(__xludf.DUMMYFUNCTION("""COMPUTED_VALUE"""),"Jacob.Berna@FloridaDEP.gov")</f>
        <v>Jacob.Berna@FloridaDEP.gov</v>
      </c>
      <c r="D942" t="str">
        <f ca="1">IFERROR(__xludf.DUMMYFUNCTION("""COMPUTED_VALUE"""),"Nikki Dix")</f>
        <v>Nikki Dix</v>
      </c>
      <c r="E942" t="str">
        <f ca="1">IFERROR(__xludf.DUMMYFUNCTION("""COMPUTED_VALUE"""),"Palm Valley Boat Ramp")</f>
        <v>Palm Valley Boat Ramp</v>
      </c>
      <c r="F942" s="13">
        <f ca="1">IFERROR(__xludf.DUMMYFUNCTION("""COMPUTED_VALUE"""),0.416666666667879)</f>
        <v>0.41666666666787899</v>
      </c>
      <c r="G942" s="14">
        <f ca="1">IFERROR(__xludf.DUMMYFUNCTION("""COMPUTED_VALUE"""),44852)</f>
        <v>44852</v>
      </c>
      <c r="H942" t="str">
        <f ca="1">IFERROR(__xludf.DUMMYFUNCTION("""COMPUTED_VALUE"""),"Pine Island Marsh Edge Plots")</f>
        <v>Pine Island Marsh Edge Plots</v>
      </c>
      <c r="I942" s="15">
        <f ca="1">IFERROR(__xludf.DUMMYFUNCTION("""COMPUTED_VALUE"""),0.58333333333212)</f>
        <v>0.58333333333212001</v>
      </c>
      <c r="J942" s="16">
        <f ca="1">IFERROR(__xludf.DUMMYFUNCTION("""COMPUTED_VALUE"""),44852.6041666666)</f>
        <v>44852.604166666599</v>
      </c>
      <c r="K942" t="str">
        <f ca="1">IFERROR(__xludf.DUMMYFUNCTION("""COMPUTED_VALUE"""),"20ft Sea Ark FL5351SJ UNF 2015")</f>
        <v>20ft Sea Ark FL5351SJ UNF 2015</v>
      </c>
      <c r="M942" t="str">
        <f ca="1">IFERROR(__xludf.DUMMYFUNCTION("""COMPUTED_VALUE"""),"Ford F250 2017 (Moby Dix) - DEP0021578")</f>
        <v>Ford F250 2017 (Moby Dix) - DEP0021578</v>
      </c>
      <c r="N942" t="str">
        <f ca="1">IFERROR(__xludf.DUMMYFUNCTION("""COMPUTED_VALUE"""),"Pam Marcum, (480) 332-5414")</f>
        <v>Pam Marcum, (480) 332-5414</v>
      </c>
      <c r="O942" t="str">
        <f ca="1">IFERROR(__xludf.DUMMYFUNCTION("""COMPUTED_VALUE"""),"Jacob Berna, Scott Jones")</f>
        <v>Jacob Berna, Scott Jones</v>
      </c>
      <c r="P942" t="str">
        <f ca="1">IFERROR(__xludf.DUMMYFUNCTION("""COMPUTED_VALUE"""),"Jacob Berna")</f>
        <v>Jacob Berna</v>
      </c>
      <c r="AE942" s="11"/>
      <c r="AF942" t="str">
        <v>Nikki.Dix@floridadep.gov</v>
      </c>
      <c r="AG942" s="17" t="s">
        <v>41</v>
      </c>
      <c r="AH942" s="12">
        <v>1355</v>
      </c>
      <c r="AI942" s="12" t="s">
        <v>2780</v>
      </c>
      <c r="AJ942" s="19" t="s">
        <v>2781</v>
      </c>
      <c r="AK942" s="20" t="str">
        <f>HYPERLINK("https://docs.google.com/document/d/1Ax5whJAXoyvkNv80yhIVDXTah_j70azkxvOzVN0nuDo/edit?usp=drivesdk","Jacob Berna - 10/18/2022 10:00 AM")</f>
        <v>Jacob Berna - 10/18/2022 10:00 AM</v>
      </c>
      <c r="AL942" s="12" t="s">
        <v>2782</v>
      </c>
    </row>
    <row r="943" spans="1:38" ht="12.75">
      <c r="A943" s="10">
        <f ca="1">IFERROR(__xludf.DUMMYFUNCTION("""COMPUTED_VALUE"""),44853.4091150694)</f>
        <v>44853.4091150694</v>
      </c>
      <c r="B943" s="11" t="str">
        <f ca="1">IFERROR(__xludf.DUMMYFUNCTION("""COMPUTED_VALUE"""),"Jacob Berna")</f>
        <v>Jacob Berna</v>
      </c>
      <c r="C943" t="str">
        <f ca="1">IFERROR(__xludf.DUMMYFUNCTION("""COMPUTED_VALUE"""),"Jacob.Berna@FloridaDEP.gov")</f>
        <v>Jacob.Berna@FloridaDEP.gov</v>
      </c>
      <c r="D943" t="str">
        <f ca="1">IFERROR(__xludf.DUMMYFUNCTION("""COMPUTED_VALUE"""),"Nikki Dix")</f>
        <v>Nikki Dix</v>
      </c>
      <c r="E943" t="str">
        <f ca="1">IFERROR(__xludf.DUMMYFUNCTION("""COMPUTED_VALUE"""),"Frank Butler")</f>
        <v>Frank Butler</v>
      </c>
      <c r="F943" s="13">
        <f ca="1">IFERROR(__xludf.DUMMYFUNCTION("""COMPUTED_VALUE"""),0.416666666667879)</f>
        <v>0.41666666666787899</v>
      </c>
      <c r="G943" s="14">
        <f ca="1">IFERROR(__xludf.DUMMYFUNCTION("""COMPUTED_VALUE"""),44853)</f>
        <v>44853</v>
      </c>
      <c r="H943" t="str">
        <f ca="1">IFERROR(__xludf.DUMMYFUNCTION("""COMPUTED_VALUE"""),"East Creek Platforms")</f>
        <v>East Creek Platforms</v>
      </c>
      <c r="I943" s="15">
        <f ca="1">IFERROR(__xludf.DUMMYFUNCTION("""COMPUTED_VALUE"""),0.625)</f>
        <v>0.625</v>
      </c>
      <c r="J943" s="16">
        <f ca="1">IFERROR(__xludf.DUMMYFUNCTION("""COMPUTED_VALUE"""),44853.6666666666)</f>
        <v>44853.666666666599</v>
      </c>
      <c r="K943" t="str">
        <f ca="1">IFERROR(__xludf.DUMMYFUNCTION("""COMPUTED_VALUE"""),"20ft Sea Ark FL5351SJ UNF 2015")</f>
        <v>20ft Sea Ark FL5351SJ UNF 2015</v>
      </c>
      <c r="M943" t="str">
        <f ca="1">IFERROR(__xludf.DUMMYFUNCTION("""COMPUTED_VALUE"""),"Ford F250 2017 (Moby Dix) - DEP0021578")</f>
        <v>Ford F250 2017 (Moby Dix) - DEP0021578</v>
      </c>
      <c r="N943" t="str">
        <f ca="1">IFERROR(__xludf.DUMMYFUNCTION("""COMPUTED_VALUE"""),"Pam Marcum, (480) 332-5414")</f>
        <v>Pam Marcum, (480) 332-5414</v>
      </c>
      <c r="O943" t="str">
        <f ca="1">IFERROR(__xludf.DUMMYFUNCTION("""COMPUTED_VALUE"""),"Jacob Berna, Mike Darragh")</f>
        <v>Jacob Berna, Mike Darragh</v>
      </c>
      <c r="P943" t="str">
        <f ca="1">IFERROR(__xludf.DUMMYFUNCTION("""COMPUTED_VALUE"""),"Jacob Berna")</f>
        <v>Jacob Berna</v>
      </c>
      <c r="AE943" s="11"/>
      <c r="AF943" t="str">
        <v>Nikki.Dix@floridadep.gov</v>
      </c>
      <c r="AG943" s="17" t="s">
        <v>41</v>
      </c>
      <c r="AH943" s="12">
        <v>1517</v>
      </c>
      <c r="AI943" s="12" t="s">
        <v>2783</v>
      </c>
      <c r="AJ943" s="19" t="s">
        <v>2784</v>
      </c>
      <c r="AK943" s="20" t="str">
        <f>HYPERLINK("https://docs.google.com/document/d/1MXbex7R-jCLWwyreOHvDbWo_aiQKnthk73BOX0CGEWU/edit?usp=drivesdk","Jacob Berna - 10/19/2022 10:00 AM")</f>
        <v>Jacob Berna - 10/19/2022 10:00 AM</v>
      </c>
      <c r="AL943" s="12" t="s">
        <v>2785</v>
      </c>
    </row>
    <row r="944" spans="1:38" ht="12.75">
      <c r="A944" s="10">
        <f ca="1">IFERROR(__xludf.DUMMYFUNCTION("""COMPUTED_VALUE"""),44854.4317017129)</f>
        <v>44854.4317017129</v>
      </c>
      <c r="B944" s="11" t="str">
        <f ca="1">IFERROR(__xludf.DUMMYFUNCTION("""COMPUTED_VALUE"""),"Jacob Berna")</f>
        <v>Jacob Berna</v>
      </c>
      <c r="C944" t="str">
        <f ca="1">IFERROR(__xludf.DUMMYFUNCTION("""COMPUTED_VALUE"""),"Jacob.Berna@FloridaDEP.gov")</f>
        <v>Jacob.Berna@FloridaDEP.gov</v>
      </c>
      <c r="D944" t="str">
        <f ca="1">IFERROR(__xludf.DUMMYFUNCTION("""COMPUTED_VALUE"""),"Silas Tanner")</f>
        <v>Silas Tanner</v>
      </c>
      <c r="E944" t="str">
        <f ca="1">IFERROR(__xludf.DUMMYFUNCTION("""COMPUTED_VALUE"""),"Usina boat ramp")</f>
        <v>Usina boat ramp</v>
      </c>
      <c r="F944" s="13">
        <f ca="1">IFERROR(__xludf.DUMMYFUNCTION("""COMPUTED_VALUE"""),0.4375)</f>
        <v>0.4375</v>
      </c>
      <c r="G944" s="14">
        <f ca="1">IFERROR(__xludf.DUMMYFUNCTION("""COMPUTED_VALUE"""),44854)</f>
        <v>44854</v>
      </c>
      <c r="H944" t="str">
        <f ca="1">IFERROR(__xludf.DUMMYFUNCTION("""COMPUTED_VALUE"""),"Hat Island platforms")</f>
        <v>Hat Island platforms</v>
      </c>
      <c r="I944" s="15">
        <f ca="1">IFERROR(__xludf.DUMMYFUNCTION("""COMPUTED_VALUE"""),0.64583333333212)</f>
        <v>0.64583333333212001</v>
      </c>
      <c r="J944" s="16">
        <f ca="1">IFERROR(__xludf.DUMMYFUNCTION("""COMPUTED_VALUE"""),44854.6666666666)</f>
        <v>44854.666666666599</v>
      </c>
      <c r="K944" t="str">
        <f ca="1">IFERROR(__xludf.DUMMYFUNCTION("""COMPUTED_VALUE"""),"20ft Sea Ark FL5351SJ UNF 2015")</f>
        <v>20ft Sea Ark FL5351SJ UNF 2015</v>
      </c>
      <c r="M944" t="str">
        <f ca="1">IFERROR(__xludf.DUMMYFUNCTION("""COMPUTED_VALUE"""),"Ford F250 2017 (Moby Dix) - DEP0021578")</f>
        <v>Ford F250 2017 (Moby Dix) - DEP0021578</v>
      </c>
      <c r="N944" t="str">
        <f ca="1">IFERROR(__xludf.DUMMYFUNCTION("""COMPUTED_VALUE"""),"Pam Marcum, (480) 332-5414, Silas Tanner, (904) 483-8423")</f>
        <v>Pam Marcum, (480) 332-5414, Silas Tanner, (904) 483-8423</v>
      </c>
      <c r="O944" t="str">
        <f ca="1">IFERROR(__xludf.DUMMYFUNCTION("""COMPUTED_VALUE"""),"Jacob Berna, Mike daraugh")</f>
        <v>Jacob Berna, Mike daraugh</v>
      </c>
      <c r="P944" t="str">
        <f ca="1">IFERROR(__xludf.DUMMYFUNCTION("""COMPUTED_VALUE"""),"Jacob Berna")</f>
        <v>Jacob Berna</v>
      </c>
      <c r="AE944" s="11"/>
      <c r="AF944" t="str">
        <v>Silas.Tanner@floridadep.gov</v>
      </c>
      <c r="AG944" s="17" t="s">
        <v>41</v>
      </c>
      <c r="AH944" s="12">
        <v>1411</v>
      </c>
      <c r="AI944" s="12" t="s">
        <v>2786</v>
      </c>
      <c r="AJ944" s="19" t="s">
        <v>2787</v>
      </c>
      <c r="AK944" s="20" t="str">
        <f>HYPERLINK("https://docs.google.com/document/d/1f7S7eFjtv7oaSZ2EcGqy-7CtBgOc7qqo1FMFhrjl8yQ/edit?usp=drivesdk","Jacob Berna - 10/20/2022 10:30 AM")</f>
        <v>Jacob Berna - 10/20/2022 10:30 AM</v>
      </c>
      <c r="AL944" s="12" t="s">
        <v>2788</v>
      </c>
    </row>
    <row r="945" spans="1:38" ht="12.75">
      <c r="A945" s="10">
        <f ca="1">IFERROR(__xludf.DUMMYFUNCTION("""COMPUTED_VALUE"""),44855.4697153125)</f>
        <v>44855.469715312502</v>
      </c>
      <c r="B945" s="11" t="str">
        <f ca="1">IFERROR(__xludf.DUMMYFUNCTION("""COMPUTED_VALUE"""),"Jacob Berna")</f>
        <v>Jacob Berna</v>
      </c>
      <c r="C945" t="str">
        <f ca="1">IFERROR(__xludf.DUMMYFUNCTION("""COMPUTED_VALUE"""),"Jacob.Berna@FloridaDEP.gov")</f>
        <v>Jacob.Berna@FloridaDEP.gov</v>
      </c>
      <c r="D945" t="str">
        <f ca="1">IFERROR(__xludf.DUMMYFUNCTION("""COMPUTED_VALUE"""),"Nikki Dix")</f>
        <v>Nikki Dix</v>
      </c>
      <c r="E945" t="str">
        <f ca="1">IFERROR(__xludf.DUMMYFUNCTION("""COMPUTED_VALUE"""),"Frank Butler")</f>
        <v>Frank Butler</v>
      </c>
      <c r="F945" s="13">
        <f ca="1">IFERROR(__xludf.DUMMYFUNCTION("""COMPUTED_VALUE"""),0.46875)</f>
        <v>0.46875</v>
      </c>
      <c r="G945" s="14">
        <f ca="1">IFERROR(__xludf.DUMMYFUNCTION("""COMPUTED_VALUE"""),44855)</f>
        <v>44855</v>
      </c>
      <c r="H945" t="str">
        <f ca="1">IFERROR(__xludf.DUMMYFUNCTION("""COMPUTED_VALUE"""),"Moses Creek Transects")</f>
        <v>Moses Creek Transects</v>
      </c>
      <c r="I945" s="15">
        <f ca="1">IFERROR(__xludf.DUMMYFUNCTION("""COMPUTED_VALUE"""),0.71875)</f>
        <v>0.71875</v>
      </c>
      <c r="J945" s="16">
        <f ca="1">IFERROR(__xludf.DUMMYFUNCTION("""COMPUTED_VALUE"""),44855.75)</f>
        <v>44855.75</v>
      </c>
      <c r="K945" t="str">
        <f ca="1">IFERROR(__xludf.DUMMYFUNCTION("""COMPUTED_VALUE"""),"20ft Sea Ark FL5351SJ UNF 2015")</f>
        <v>20ft Sea Ark FL5351SJ UNF 2015</v>
      </c>
      <c r="M945" t="str">
        <f ca="1">IFERROR(__xludf.DUMMYFUNCTION("""COMPUTED_VALUE"""),"Ford F250 2017 (Moby Dix) - DEP0021578")</f>
        <v>Ford F250 2017 (Moby Dix) - DEP0021578</v>
      </c>
      <c r="N945" t="str">
        <f ca="1">IFERROR(__xludf.DUMMYFUNCTION("""COMPUTED_VALUE"""),"Pam Marcum, (480) 332-5414")</f>
        <v>Pam Marcum, (480) 332-5414</v>
      </c>
      <c r="O945" t="str">
        <f ca="1">IFERROR(__xludf.DUMMYFUNCTION("""COMPUTED_VALUE"""),"Jacob Berna, Nate Shirmer")</f>
        <v>Jacob Berna, Nate Shirmer</v>
      </c>
      <c r="P945" t="str">
        <f ca="1">IFERROR(__xludf.DUMMYFUNCTION("""COMPUTED_VALUE"""),"Jacob Berna")</f>
        <v>Jacob Berna</v>
      </c>
      <c r="AE945" s="11"/>
      <c r="AF945" t="str">
        <v>Nikki.Dix@floridadep.gov</v>
      </c>
      <c r="AG945" s="17" t="s">
        <v>41</v>
      </c>
      <c r="AH945" s="12">
        <v>1700</v>
      </c>
      <c r="AI945" s="12" t="s">
        <v>2789</v>
      </c>
      <c r="AJ945" s="19" t="s">
        <v>2790</v>
      </c>
      <c r="AK945" s="20" t="str">
        <f>HYPERLINK("https://docs.google.com/document/d/1AXmjglSZyT-fgClbv1_snrdEzJhFXsBrN53DsuqPFow/edit?usp=drivesdk","Jacob Berna - 10/21/2022 11:15 AM")</f>
        <v>Jacob Berna - 10/21/2022 11:15 AM</v>
      </c>
      <c r="AL945" s="12" t="s">
        <v>2791</v>
      </c>
    </row>
    <row r="946" spans="1:38" ht="12.75">
      <c r="A946" s="10">
        <f ca="1">IFERROR(__xludf.DUMMYFUNCTION("""COMPUTED_VALUE"""),44858.4371670023)</f>
        <v>44858.437167002303</v>
      </c>
      <c r="B946" s="11" t="str">
        <f ca="1">IFERROR(__xludf.DUMMYFUNCTION("""COMPUTED_VALUE"""),"Jacob Berna")</f>
        <v>Jacob Berna</v>
      </c>
      <c r="C946" t="str">
        <f ca="1">IFERROR(__xludf.DUMMYFUNCTION("""COMPUTED_VALUE"""),"Jacob.Berna@FloridaDEP.gov")</f>
        <v>Jacob.Berna@FloridaDEP.gov</v>
      </c>
      <c r="D946" t="str">
        <f ca="1">IFERROR(__xludf.DUMMYFUNCTION("""COMPUTED_VALUE"""),"Silas Tanner")</f>
        <v>Silas Tanner</v>
      </c>
      <c r="E946" t="str">
        <f ca="1">IFERROR(__xludf.DUMMYFUNCTION("""COMPUTED_VALUE"""),"Frank Butler")</f>
        <v>Frank Butler</v>
      </c>
      <c r="F946" s="13">
        <f ca="1">IFERROR(__xludf.DUMMYFUNCTION("""COMPUTED_VALUE"""),0.4375)</f>
        <v>0.4375</v>
      </c>
      <c r="G946" s="14">
        <f ca="1">IFERROR(__xludf.DUMMYFUNCTION("""COMPUTED_VALUE"""),44858)</f>
        <v>44858</v>
      </c>
      <c r="H946" t="str">
        <f ca="1">IFERROR(__xludf.DUMMYFUNCTION("""COMPUTED_VALUE"""),"Moses Transects")</f>
        <v>Moses Transects</v>
      </c>
      <c r="I946" s="15">
        <f ca="1">IFERROR(__xludf.DUMMYFUNCTION("""COMPUTED_VALUE"""),0.666666666667879)</f>
        <v>0.66666666666787899</v>
      </c>
      <c r="J946" s="16">
        <f ca="1">IFERROR(__xludf.DUMMYFUNCTION("""COMPUTED_VALUE"""),44858.7083333333)</f>
        <v>44858.708333333299</v>
      </c>
      <c r="K946" t="str">
        <f ca="1">IFERROR(__xludf.DUMMYFUNCTION("""COMPUTED_VALUE"""),"20ft Sea Ark FL5351SJ UNF 2015")</f>
        <v>20ft Sea Ark FL5351SJ UNF 2015</v>
      </c>
      <c r="M946" t="str">
        <f ca="1">IFERROR(__xludf.DUMMYFUNCTION("""COMPUTED_VALUE"""),"Ford F250 2017 (Moby Dix) - DEP0021578")</f>
        <v>Ford F250 2017 (Moby Dix) - DEP0021578</v>
      </c>
      <c r="N946" t="str">
        <f ca="1">IFERROR(__xludf.DUMMYFUNCTION("""COMPUTED_VALUE"""),"Pam Marcum, (480) 332-5414")</f>
        <v>Pam Marcum, (480) 332-5414</v>
      </c>
      <c r="O946" t="str">
        <f ca="1">IFERROR(__xludf.DUMMYFUNCTION("""COMPUTED_VALUE"""),"Jacob Berna")</f>
        <v>Jacob Berna</v>
      </c>
      <c r="P946" t="str">
        <f ca="1">IFERROR(__xludf.DUMMYFUNCTION("""COMPUTED_VALUE"""),"Jacob Berna")</f>
        <v>Jacob Berna</v>
      </c>
      <c r="AE946" s="11"/>
      <c r="AF946" t="str">
        <v>Silas.Tanner@floridadep.gov</v>
      </c>
      <c r="AG946" s="17" t="s">
        <v>1568</v>
      </c>
      <c r="AH946" s="12">
        <v>1800</v>
      </c>
      <c r="AI946" s="12" t="s">
        <v>2792</v>
      </c>
      <c r="AJ946" s="19" t="s">
        <v>2793</v>
      </c>
      <c r="AK946" s="20" t="str">
        <f>HYPERLINK("https://docs.google.com/document/d/1cj6b6LeEu3bbAbShZwChVJrQuAFsb0aZuH8XuKCWJqU/edit?usp=drivesdk","Jacob Berna - 10/24/2022 10:30 AM")</f>
        <v>Jacob Berna - 10/24/2022 10:30 AM</v>
      </c>
      <c r="AL946" s="12" t="s">
        <v>2794</v>
      </c>
    </row>
    <row r="947" spans="1:38" ht="12.75">
      <c r="A947" s="10">
        <f ca="1">IFERROR(__xludf.DUMMYFUNCTION("""COMPUTED_VALUE"""),44860.3958622106)</f>
        <v>44860.3958622106</v>
      </c>
      <c r="B947" s="11" t="str">
        <f ca="1">IFERROR(__xludf.DUMMYFUNCTION("""COMPUTED_VALUE"""),"Silas Tanner")</f>
        <v>Silas Tanner</v>
      </c>
      <c r="C947" t="str">
        <f ca="1">IFERROR(__xludf.DUMMYFUNCTION("""COMPUTED_VALUE"""),"silas.tanner@floridadep.gov")</f>
        <v>silas.tanner@floridadep.gov</v>
      </c>
      <c r="D947" t="str">
        <f ca="1">IFERROR(__xludf.DUMMYFUNCTION("""COMPUTED_VALUE"""),"Shannon Dunnigan")</f>
        <v>Shannon Dunnigan</v>
      </c>
      <c r="E947" t="str">
        <f ca="1">IFERROR(__xludf.DUMMYFUNCTION("""COMPUTED_VALUE"""),"Vilano Landing")</f>
        <v>Vilano Landing</v>
      </c>
      <c r="F947" s="13">
        <f ca="1">IFERROR(__xludf.DUMMYFUNCTION("""COMPUTED_VALUE"""),0.4375)</f>
        <v>0.4375</v>
      </c>
      <c r="G947" s="14">
        <f ca="1">IFERROR(__xludf.DUMMYFUNCTION("""COMPUTED_VALUE"""),44860)</f>
        <v>44860</v>
      </c>
      <c r="H947" t="str">
        <f ca="1">IFERROR(__xludf.DUMMYFUNCTION("""COMPUTED_VALUE"""),"ICW SWMP sites")</f>
        <v>ICW SWMP sites</v>
      </c>
      <c r="I947" s="15">
        <f ca="1">IFERROR(__xludf.DUMMYFUNCTION("""COMPUTED_VALUE"""),0.604166666667879)</f>
        <v>0.60416666666787899</v>
      </c>
      <c r="J947" s="16">
        <f ca="1">IFERROR(__xludf.DUMMYFUNCTION("""COMPUTED_VALUE"""),44860.625)</f>
        <v>44860.625</v>
      </c>
      <c r="K947" t="str">
        <f ca="1">IFERROR(__xludf.DUMMYFUNCTION("""COMPUTED_VALUE"""),"20ft Sea Ark FL5351SJ UNF 2015")</f>
        <v>20ft Sea Ark FL5351SJ UNF 2015</v>
      </c>
      <c r="M947" t="str">
        <f ca="1">IFERROR(__xludf.DUMMYFUNCTION("""COMPUTED_VALUE"""),"Ford F250 2017 (Moby Dix) - DEP0021578")</f>
        <v>Ford F250 2017 (Moby Dix) - DEP0021578</v>
      </c>
      <c r="N947" t="str">
        <f ca="1">IFERROR(__xludf.DUMMYFUNCTION("""COMPUTED_VALUE"""),"Silas Tanner, (904) 483-8423, Remo Mondazzi")</f>
        <v>Silas Tanner, (904) 483-8423, Remo Mondazzi</v>
      </c>
      <c r="P947" t="str">
        <f ca="1">IFERROR(__xludf.DUMMYFUNCTION("""COMPUTED_VALUE"""),"Silas Tanner")</f>
        <v>Silas Tanner</v>
      </c>
      <c r="AE947" s="11"/>
      <c r="AF947" t="str">
        <v>Shannon.Dunnigan@floridadep.gov</v>
      </c>
      <c r="AG947" s="17" t="s">
        <v>639</v>
      </c>
      <c r="AH947" s="12">
        <v>1532</v>
      </c>
      <c r="AI947" s="12" t="s">
        <v>2795</v>
      </c>
      <c r="AJ947" s="19" t="s">
        <v>2796</v>
      </c>
      <c r="AK947" s="20" t="str">
        <f>HYPERLINK("https://docs.google.com/document/d/123ut7z1m-eqYHOtQdDpCAKH5sfmZLfTxuXlqMhmHYOE/edit?usp=drivesdk","Silas Tanner - 10/26/2022 10:30 AM")</f>
        <v>Silas Tanner - 10/26/2022 10:30 AM</v>
      </c>
      <c r="AL947" s="12" t="s">
        <v>2797</v>
      </c>
    </row>
    <row r="948" spans="1:38" ht="12.75">
      <c r="A948" s="10">
        <f ca="1">IFERROR(__xludf.DUMMYFUNCTION("""COMPUTED_VALUE"""),44861.3043397916)</f>
        <v>44861.304339791597</v>
      </c>
      <c r="B948" s="11" t="str">
        <f ca="1">IFERROR(__xludf.DUMMYFUNCTION("""COMPUTED_VALUE"""),"Pam Marcum ")</f>
        <v xml:space="preserve">Pam Marcum </v>
      </c>
      <c r="C948" t="str">
        <f ca="1">IFERROR(__xludf.DUMMYFUNCTION("""COMPUTED_VALUE"""),"Pamela.Marcum@FloridaDEP.gov")</f>
        <v>Pamela.Marcum@FloridaDEP.gov</v>
      </c>
      <c r="D948" t="str">
        <f ca="1">IFERROR(__xludf.DUMMYFUNCTION("""COMPUTED_VALUE"""),"Shannon Dunnigan")</f>
        <v>Shannon Dunnigan</v>
      </c>
      <c r="E948" t="str">
        <f ca="1">IFERROR(__xludf.DUMMYFUNCTION("""COMPUTED_VALUE"""),"Faver-Dykes ")</f>
        <v xml:space="preserve">Faver-Dykes </v>
      </c>
      <c r="F948" s="13">
        <f ca="1">IFERROR(__xludf.DUMMYFUNCTION("""COMPUTED_VALUE"""),0.322916666667879)</f>
        <v>0.32291666666787899</v>
      </c>
      <c r="G948" s="14">
        <f ca="1">IFERROR(__xludf.DUMMYFUNCTION("""COMPUTED_VALUE"""),44861)</f>
        <v>44861</v>
      </c>
      <c r="H948" t="str">
        <f ca="1">IFERROR(__xludf.DUMMYFUNCTION("""COMPUTED_VALUE"""),"Pellicer Creek")</f>
        <v>Pellicer Creek</v>
      </c>
      <c r="I948" s="15">
        <f ca="1">IFERROR(__xludf.DUMMYFUNCTION("""COMPUTED_VALUE"""),0.5)</f>
        <v>0.5</v>
      </c>
      <c r="J948" s="16">
        <f ca="1">IFERROR(__xludf.DUMMYFUNCTION("""COMPUTED_VALUE"""),44861.5416666666)</f>
        <v>44861.541666666599</v>
      </c>
      <c r="K948" t="str">
        <f ca="1">IFERROR(__xludf.DUMMYFUNCTION("""COMPUTED_VALUE"""),"20ft Sea Ark FL5351SJ UNF 2015")</f>
        <v>20ft Sea Ark FL5351SJ UNF 2015</v>
      </c>
      <c r="M948" t="str">
        <f ca="1">IFERROR(__xludf.DUMMYFUNCTION("""COMPUTED_VALUE"""),"Ford F250 2017 (Moby Dix) - DEP0021578")</f>
        <v>Ford F250 2017 (Moby Dix) - DEP0021578</v>
      </c>
      <c r="N948" t="str">
        <f ca="1">IFERROR(__xludf.DUMMYFUNCTION("""COMPUTED_VALUE"""),"Pam Marcum, (480) 332-5414")</f>
        <v>Pam Marcum, (480) 332-5414</v>
      </c>
      <c r="O948" t="str">
        <f ca="1">IFERROR(__xludf.DUMMYFUNCTION("""COMPUTED_VALUE"""),"Jacob Berna")</f>
        <v>Jacob Berna</v>
      </c>
      <c r="P948" t="str">
        <f ca="1">IFERROR(__xludf.DUMMYFUNCTION("""COMPUTED_VALUE"""),"Jacob ")</f>
        <v xml:space="preserve">Jacob </v>
      </c>
      <c r="AE948" s="11"/>
      <c r="AF948" t="str">
        <v>Shannon.Dunnigan@floridadep.gov</v>
      </c>
      <c r="AG948" s="17" t="s">
        <v>639</v>
      </c>
      <c r="AH948" s="12">
        <v>1129</v>
      </c>
      <c r="AI948" s="12" t="s">
        <v>2798</v>
      </c>
      <c r="AJ948" s="19" t="s">
        <v>2799</v>
      </c>
      <c r="AK948" s="20" t="str">
        <f>HYPERLINK("https://docs.google.com/document/d/1bU2XcSyug0fbDiHb3XS-D1tFWdLMQo2QWl83PTxlB5c/edit?usp=drivesdk","Pam Marcum  - 10/27/2022 7:45 AM")</f>
        <v>Pam Marcum  - 10/27/2022 7:45 AM</v>
      </c>
      <c r="AL948" s="12" t="s">
        <v>2800</v>
      </c>
    </row>
    <row r="949" spans="1:38" ht="12.75">
      <c r="A949" s="10">
        <f ca="1">IFERROR(__xludf.DUMMYFUNCTION("""COMPUTED_VALUE"""),44862.3303564004)</f>
        <v>44862.330356400402</v>
      </c>
      <c r="B949" s="11" t="str">
        <f ca="1">IFERROR(__xludf.DUMMYFUNCTION("""COMPUTED_VALUE"""),"Pam Marcum ")</f>
        <v xml:space="preserve">Pam Marcum </v>
      </c>
      <c r="C949" t="str">
        <f ca="1">IFERROR(__xludf.DUMMYFUNCTION("""COMPUTED_VALUE"""),"Pamela.Marcum@FloridaDEP.gov")</f>
        <v>Pamela.Marcum@FloridaDEP.gov</v>
      </c>
      <c r="D949" t="str">
        <f ca="1">IFERROR(__xludf.DUMMYFUNCTION("""COMPUTED_VALUE"""),"Shannon Dunnigan")</f>
        <v>Shannon Dunnigan</v>
      </c>
      <c r="E949" t="str">
        <f ca="1">IFERROR(__xludf.DUMMYFUNCTION("""COMPUTED_VALUE"""),"Faver-Dykes ")</f>
        <v xml:space="preserve">Faver-Dykes </v>
      </c>
      <c r="F949" s="13">
        <f ca="1">IFERROR(__xludf.DUMMYFUNCTION("""COMPUTED_VALUE"""),0.326388888890505)</f>
        <v>0.32638888889050499</v>
      </c>
      <c r="G949" s="14">
        <f ca="1">IFERROR(__xludf.DUMMYFUNCTION("""COMPUTED_VALUE"""),44862)</f>
        <v>44862</v>
      </c>
      <c r="H949" t="str">
        <f ca="1">IFERROR(__xludf.DUMMYFUNCTION("""COMPUTED_VALUE"""),"Upper Pellicer creek ")</f>
        <v xml:space="preserve">Upper Pellicer creek </v>
      </c>
      <c r="I949" s="15">
        <f ca="1">IFERROR(__xludf.DUMMYFUNCTION("""COMPUTED_VALUE"""),0.5)</f>
        <v>0.5</v>
      </c>
      <c r="J949" s="16">
        <f ca="1">IFERROR(__xludf.DUMMYFUNCTION("""COMPUTED_VALUE"""),44862.5416666666)</f>
        <v>44862.541666666599</v>
      </c>
      <c r="K949" t="str">
        <f ca="1">IFERROR(__xludf.DUMMYFUNCTION("""COMPUTED_VALUE"""),"20ft Sea Ark FL5351SJ UNF 2015")</f>
        <v>20ft Sea Ark FL5351SJ UNF 2015</v>
      </c>
      <c r="M949" t="str">
        <f ca="1">IFERROR(__xludf.DUMMYFUNCTION("""COMPUTED_VALUE"""),"Ford F250 2017 (Moby Dix) - DEP0021578")</f>
        <v>Ford F250 2017 (Moby Dix) - DEP0021578</v>
      </c>
      <c r="N949" t="str">
        <f ca="1">IFERROR(__xludf.DUMMYFUNCTION("""COMPUTED_VALUE"""),"Pam Marcum, (480) 332-5414")</f>
        <v>Pam Marcum, (480) 332-5414</v>
      </c>
      <c r="O949" t="str">
        <f ca="1">IFERROR(__xludf.DUMMYFUNCTION("""COMPUTED_VALUE"""),"Jacob Berna")</f>
        <v>Jacob Berna</v>
      </c>
      <c r="P949" t="str">
        <f ca="1">IFERROR(__xludf.DUMMYFUNCTION("""COMPUTED_VALUE"""),"Jacob ")</f>
        <v xml:space="preserve">Jacob </v>
      </c>
      <c r="AE949" s="11"/>
      <c r="AF949" t="str">
        <v>Shannon.Dunnigan@floridadep.gov</v>
      </c>
      <c r="AG949" s="17" t="s">
        <v>639</v>
      </c>
      <c r="AH949" s="12">
        <v>1107</v>
      </c>
      <c r="AI949" s="12" t="s">
        <v>2801</v>
      </c>
      <c r="AJ949" s="19" t="s">
        <v>2802</v>
      </c>
      <c r="AK949" s="20" t="str">
        <f>HYPERLINK("https://docs.google.com/document/d/16Iz1VksoxjRNGQhHDya6ne3GBHeLeUQm1gm2S2pQ9E4/edit?usp=drivesdk","Pam Marcum  - 10/28/2022 7:50 AM")</f>
        <v>Pam Marcum  - 10/28/2022 7:50 AM</v>
      </c>
      <c r="AL949" s="12" t="s">
        <v>2803</v>
      </c>
    </row>
    <row r="950" spans="1:38" ht="12.75">
      <c r="A950" s="10">
        <f ca="1">IFERROR(__xludf.DUMMYFUNCTION("""COMPUTED_VALUE"""),44866.8739204398)</f>
        <v>44866.873920439801</v>
      </c>
      <c r="B950" s="11" t="str">
        <f ca="1">IFERROR(__xludf.DUMMYFUNCTION("""COMPUTED_VALUE"""),"Jimmy")</f>
        <v>Jimmy</v>
      </c>
      <c r="C950" t="str">
        <f ca="1">IFERROR(__xludf.DUMMYFUNCTION("""COMPUTED_VALUE"""),"james.tomazinis@floridadep.gov")</f>
        <v>james.tomazinis@floridadep.gov</v>
      </c>
      <c r="D950" t="str">
        <f ca="1">IFERROR(__xludf.DUMMYFUNCTION("""COMPUTED_VALUE"""),"Scott Eastman")</f>
        <v>Scott Eastman</v>
      </c>
      <c r="E950" t="str">
        <f ca="1">IFERROR(__xludf.DUMMYFUNCTION("""COMPUTED_VALUE"""),"Holly Point and Dee Dee Bartels Possibly ")</f>
        <v xml:space="preserve">Holly Point and Dee Dee Bartels Possibly </v>
      </c>
      <c r="F950" s="13">
        <f ca="1">IFERROR(__xludf.DUMMYFUNCTION("""COMPUTED_VALUE"""),0.416666666667879)</f>
        <v>0.41666666666787899</v>
      </c>
      <c r="G950" s="14">
        <f ca="1">IFERROR(__xludf.DUMMYFUNCTION("""COMPUTED_VALUE"""),44867)</f>
        <v>44867</v>
      </c>
      <c r="H950" t="str">
        <f ca="1">IFERROR(__xludf.DUMMYFUNCTION("""COMPUTED_VALUE"""),"Alligator Creek")</f>
        <v>Alligator Creek</v>
      </c>
      <c r="I950" s="15">
        <f ca="1">IFERROR(__xludf.DUMMYFUNCTION("""COMPUTED_VALUE"""),0.625)</f>
        <v>0.625</v>
      </c>
      <c r="J950" s="16"/>
      <c r="K950" t="str">
        <f ca="1">IFERROR(__xludf.DUMMYFUNCTION("""COMPUTED_VALUE"""),"F 20ft Sea Ark (Easy 200) FL8534PY DEP21451")</f>
        <v>F 20ft Sea Ark (Easy 200) FL8534PY DEP21451</v>
      </c>
      <c r="M950" t="str">
        <f ca="1">IFERROR(__xludf.DUMMYFUNCTION("""COMPUTED_VALUE"""),"Ford F150 2007 (F-Bomb) - DEP07055")</f>
        <v>Ford F150 2007 (F-Bomb) - DEP07055</v>
      </c>
      <c r="N950" t="str">
        <f ca="1">IFERROR(__xludf.DUMMYFUNCTION("""COMPUTED_VALUE"""),"Jimmy Tomazinis, (904) 547-0094")</f>
        <v>Jimmy Tomazinis, (904) 547-0094</v>
      </c>
      <c r="O950" t="str">
        <f ca="1">IFERROR(__xludf.DUMMYFUNCTION("""COMPUTED_VALUE"""),"Chirs Kurtz")</f>
        <v>Chirs Kurtz</v>
      </c>
      <c r="P950" t="str">
        <f ca="1">IFERROR(__xludf.DUMMYFUNCTION("""COMPUTED_VALUE"""),"Jimmy")</f>
        <v>Jimmy</v>
      </c>
      <c r="AE950" s="11"/>
      <c r="AF950" t="str">
        <v>Scott.Eastman@floridadep.gov</v>
      </c>
      <c r="AG950" s="17" t="s">
        <v>17</v>
      </c>
      <c r="AH950" s="12">
        <v>1415</v>
      </c>
      <c r="AI950" s="12" t="s">
        <v>2804</v>
      </c>
      <c r="AJ950" s="19" t="s">
        <v>2805</v>
      </c>
      <c r="AK950" s="20" t="str">
        <f>HYPERLINK("https://docs.google.com/document/d/1NFy1O2PqImq_wHVQBw2rb3OAm1vseC5iVNiIqJDlzhk/edit?usp=drivesdk","Jimmy - 11/2/2022 10:00 AM")</f>
        <v>Jimmy - 11/2/2022 10:00 AM</v>
      </c>
      <c r="AL950" s="12" t="s">
        <v>2806</v>
      </c>
    </row>
    <row r="951" spans="1:38" ht="12.75">
      <c r="A951" s="10">
        <f ca="1">IFERROR(__xludf.DUMMYFUNCTION("""COMPUTED_VALUE"""),44868.2574329629)</f>
        <v>44868.257432962899</v>
      </c>
      <c r="B951" s="11" t="str">
        <f ca="1">IFERROR(__xludf.DUMMYFUNCTION("""COMPUTED_VALUE"""),"Jimmy")</f>
        <v>Jimmy</v>
      </c>
      <c r="C951" t="str">
        <f ca="1">IFERROR(__xludf.DUMMYFUNCTION("""COMPUTED_VALUE"""),"james.tomazinis@floridadep.gov")</f>
        <v>james.tomazinis@floridadep.gov</v>
      </c>
      <c r="D951" t="str">
        <f ca="1">IFERROR(__xludf.DUMMYFUNCTION("""COMPUTED_VALUE"""),"Scott Eastman")</f>
        <v>Scott Eastman</v>
      </c>
      <c r="E951" t="str">
        <f ca="1">IFERROR(__xludf.DUMMYFUNCTION("""COMPUTED_VALUE"""),"Holly Point")</f>
        <v>Holly Point</v>
      </c>
      <c r="F951" s="13">
        <f ca="1">IFERROR(__xludf.DUMMYFUNCTION("""COMPUTED_VALUE"""),0.416666666667879)</f>
        <v>0.41666666666787899</v>
      </c>
      <c r="G951" s="14">
        <f ca="1">IFERROR(__xludf.DUMMYFUNCTION("""COMPUTED_VALUE"""),44868)</f>
        <v>44868</v>
      </c>
      <c r="H951" t="str">
        <f ca="1">IFERROR(__xludf.DUMMYFUNCTION("""COMPUTED_VALUE"""),"NEAP WQ sites")</f>
        <v>NEAP WQ sites</v>
      </c>
      <c r="I951" s="15">
        <f ca="1">IFERROR(__xludf.DUMMYFUNCTION("""COMPUTED_VALUE"""),0.625)</f>
        <v>0.625</v>
      </c>
      <c r="J951" s="16"/>
      <c r="K951" t="str">
        <f ca="1">IFERROR(__xludf.DUMMYFUNCTION("""COMPUTED_VALUE"""),"F 20ft Sea Ark (Easy 200) FL8534PY DEP21451")</f>
        <v>F 20ft Sea Ark (Easy 200) FL8534PY DEP21451</v>
      </c>
      <c r="M951" t="str">
        <f ca="1">IFERROR(__xludf.DUMMYFUNCTION("""COMPUTED_VALUE"""),"Ford F150 2007 (F-Bomb) - DEP07055")</f>
        <v>Ford F150 2007 (F-Bomb) - DEP07055</v>
      </c>
      <c r="N951" t="str">
        <f ca="1">IFERROR(__xludf.DUMMYFUNCTION("""COMPUTED_VALUE"""),"Jimmy Tomazinis, (904) 547-0094")</f>
        <v>Jimmy Tomazinis, (904) 547-0094</v>
      </c>
      <c r="O951" t="str">
        <f ca="1">IFERROR(__xludf.DUMMYFUNCTION("""COMPUTED_VALUE"""),"Chirs Kurtz")</f>
        <v>Chirs Kurtz</v>
      </c>
      <c r="P951" t="str">
        <f ca="1">IFERROR(__xludf.DUMMYFUNCTION("""COMPUTED_VALUE"""),"Jimmy")</f>
        <v>Jimmy</v>
      </c>
      <c r="AE951" s="11"/>
      <c r="AF951" t="str">
        <v>Scott.Eastman@floridadep.gov</v>
      </c>
      <c r="AG951" s="7" t="s">
        <v>17</v>
      </c>
      <c r="AH951" s="12">
        <v>1415</v>
      </c>
      <c r="AI951" s="12" t="s">
        <v>2807</v>
      </c>
      <c r="AJ951" s="19" t="s">
        <v>2808</v>
      </c>
      <c r="AK951" s="20" t="str">
        <f>HYPERLINK("https://docs.google.com/document/d/1DO-1slZ5Bu1G5XvG0dwG4d1-hVIfxAqmFbey0sNptV4/edit?usp=drivesdk","Jimmy - 11/3/2022 10:00 AM")</f>
        <v>Jimmy - 11/3/2022 10:00 AM</v>
      </c>
      <c r="AL951" s="12" t="s">
        <v>2809</v>
      </c>
    </row>
    <row r="952" spans="1:38" ht="12.75">
      <c r="A952" s="10">
        <f ca="1">IFERROR(__xludf.DUMMYFUNCTION("""COMPUTED_VALUE"""),44872.3292892592)</f>
        <v>44872.3292892592</v>
      </c>
      <c r="B952" s="11" t="str">
        <f ca="1">IFERROR(__xludf.DUMMYFUNCTION("""COMPUTED_VALUE"""),"Jessica Lee")</f>
        <v>Jessica Lee</v>
      </c>
      <c r="C952" t="str">
        <f ca="1">IFERROR(__xludf.DUMMYFUNCTION("""COMPUTED_VALUE"""),"jessica.lee@floridadep.gov")</f>
        <v>jessica.lee@floridadep.gov</v>
      </c>
      <c r="D952" t="str">
        <f ca="1">IFERROR(__xludf.DUMMYFUNCTION("""COMPUTED_VALUE"""),"Nikki Dix")</f>
        <v>Nikki Dix</v>
      </c>
      <c r="E952" t="str">
        <f ca="1">IFERROR(__xludf.DUMMYFUNCTION("""COMPUTED_VALUE"""),"Guana")</f>
        <v>Guana</v>
      </c>
      <c r="F952" s="13">
        <f ca="1">IFERROR(__xludf.DUMMYFUNCTION("""COMPUTED_VALUE"""),0.350694444445252)</f>
        <v>0.350694444445252</v>
      </c>
      <c r="G952" s="14">
        <f ca="1">IFERROR(__xludf.DUMMYFUNCTION("""COMPUTED_VALUE"""),44872)</f>
        <v>44872</v>
      </c>
      <c r="H952" t="str">
        <f ca="1">IFERROR(__xludf.DUMMYFUNCTION("""COMPUTED_VALUE"""),"Guana River")</f>
        <v>Guana River</v>
      </c>
      <c r="I952" s="15">
        <f ca="1">IFERROR(__xludf.DUMMYFUNCTION("""COMPUTED_VALUE"""),0.39583333333212)</f>
        <v>0.39583333333212001</v>
      </c>
      <c r="J952" s="16">
        <f ca="1">IFERROR(__xludf.DUMMYFUNCTION("""COMPUTED_VALUE"""),44872.40625)</f>
        <v>44872.40625</v>
      </c>
      <c r="K952" t="str">
        <f ca="1">IFERROR(__xludf.DUMMYFUNCTION("""COMPUTED_VALUE"""),"Jon Boat 1 FL5992RR DEP154045")</f>
        <v>Jon Boat 1 FL5992RR DEP154045</v>
      </c>
      <c r="M952" t="str">
        <f ca="1">IFERROR(__xludf.DUMMYFUNCTION("""COMPUTED_VALUE"""),"Ford F150 2015 (White) - DEP21448")</f>
        <v>Ford F150 2015 (White) - DEP21448</v>
      </c>
      <c r="N952" t="str">
        <f ca="1">IFERROR(__xludf.DUMMYFUNCTION("""COMPUTED_VALUE"""),"Jessica Lee, (813) 748-2228")</f>
        <v>Jessica Lee, (813) 748-2228</v>
      </c>
      <c r="O952" t="str">
        <f ca="1">IFERROR(__xludf.DUMMYFUNCTION("""COMPUTED_VALUE"""),"Jenna")</f>
        <v>Jenna</v>
      </c>
      <c r="P952" t="str">
        <f ca="1">IFERROR(__xludf.DUMMYFUNCTION("""COMPUTED_VALUE"""),"Jessica ")</f>
        <v xml:space="preserve">Jessica </v>
      </c>
      <c r="AE952" s="11"/>
      <c r="AF952" t="str">
        <v>Nikki.Dix@floridadep.gov</v>
      </c>
      <c r="AG952" s="17" t="s">
        <v>41</v>
      </c>
      <c r="AH952" s="12">
        <v>946</v>
      </c>
      <c r="AI952" s="12" t="s">
        <v>2810</v>
      </c>
      <c r="AJ952" s="19" t="s">
        <v>2811</v>
      </c>
      <c r="AK952" s="20" t="str">
        <f>HYPERLINK("https://docs.google.com/document/d/1MHGXt_KA_yQI1HrE8A-F7w0o-V8hQGWYEqoGtf3auDU/edit?usp=drivesdk","Jessica Lee - 11/7/2022 8:25 AM")</f>
        <v>Jessica Lee - 11/7/2022 8:25 AM</v>
      </c>
      <c r="AL952" s="12" t="s">
        <v>2812</v>
      </c>
    </row>
    <row r="953" spans="1:38" ht="12.75">
      <c r="A953" s="10">
        <f ca="1">IFERROR(__xludf.DUMMYFUNCTION("""COMPUTED_VALUE"""),44872.5658084838)</f>
        <v>44872.5658084838</v>
      </c>
      <c r="B953" s="11" t="str">
        <f ca="1">IFERROR(__xludf.DUMMYFUNCTION("""COMPUTED_VALUE"""),"Jacob Berna")</f>
        <v>Jacob Berna</v>
      </c>
      <c r="C953" t="str">
        <f ca="1">IFERROR(__xludf.DUMMYFUNCTION("""COMPUTED_VALUE"""),"Jacob.Berna@FloridaDEP.gov")</f>
        <v>Jacob.Berna@FloridaDEP.gov</v>
      </c>
      <c r="D953" t="str">
        <f ca="1">IFERROR(__xludf.DUMMYFUNCTION("""COMPUTED_VALUE"""),"Nikki Dix")</f>
        <v>Nikki Dix</v>
      </c>
      <c r="E953" t="str">
        <f ca="1">IFERROR(__xludf.DUMMYFUNCTION("""COMPUTED_VALUE"""),"Vilano")</f>
        <v>Vilano</v>
      </c>
      <c r="F953" s="13">
        <f ca="1">IFERROR(__xludf.DUMMYFUNCTION("""COMPUTED_VALUE"""),0.5625)</f>
        <v>0.5625</v>
      </c>
      <c r="G953" s="14">
        <f ca="1">IFERROR(__xludf.DUMMYFUNCTION("""COMPUTED_VALUE"""),44872)</f>
        <v>44872</v>
      </c>
      <c r="H953" t="str">
        <f ca="1">IFERROR(__xludf.DUMMYFUNCTION("""COMPUTED_VALUE"""),"PI and EC platforms")</f>
        <v>PI and EC platforms</v>
      </c>
      <c r="I953" s="15">
        <f ca="1">IFERROR(__xludf.DUMMYFUNCTION("""COMPUTED_VALUE"""),0.729166666667879)</f>
        <v>0.72916666666787899</v>
      </c>
      <c r="J953" s="16">
        <f ca="1">IFERROR(__xludf.DUMMYFUNCTION("""COMPUTED_VALUE"""),44872.75)</f>
        <v>44872.75</v>
      </c>
      <c r="K953" t="str">
        <f ca="1">IFERROR(__xludf.DUMMYFUNCTION("""COMPUTED_VALUE"""),"20ft Sea Ark FL5351SJ UNF 2015")</f>
        <v>20ft Sea Ark FL5351SJ UNF 2015</v>
      </c>
      <c r="M953" t="str">
        <f ca="1">IFERROR(__xludf.DUMMYFUNCTION("""COMPUTED_VALUE"""),"Ford F250 2017 (Moby Dix) - DEP0021578")</f>
        <v>Ford F250 2017 (Moby Dix) - DEP0021578</v>
      </c>
      <c r="N953" t="str">
        <f ca="1">IFERROR(__xludf.DUMMYFUNCTION("""COMPUTED_VALUE"""),"Pam Marcum, (480) 332-5414")</f>
        <v>Pam Marcum, (480) 332-5414</v>
      </c>
      <c r="O953" t="str">
        <f ca="1">IFERROR(__xludf.DUMMYFUNCTION("""COMPUTED_VALUE"""),"Jacob Berna")</f>
        <v>Jacob Berna</v>
      </c>
      <c r="P953" t="str">
        <f ca="1">IFERROR(__xludf.DUMMYFUNCTION("""COMPUTED_VALUE"""),"Jacob Berna")</f>
        <v>Jacob Berna</v>
      </c>
      <c r="AE953" s="11"/>
      <c r="AF953" t="str">
        <v>Nikki.Dix@floridadep.gov</v>
      </c>
      <c r="AG953" s="17" t="s">
        <v>41</v>
      </c>
      <c r="AH953" s="12">
        <v>1557</v>
      </c>
      <c r="AI953" s="12" t="s">
        <v>2813</v>
      </c>
      <c r="AJ953" s="19" t="s">
        <v>2814</v>
      </c>
      <c r="AK953" s="20" t="str">
        <f>HYPERLINK("https://docs.google.com/document/d/1IgQxMF75KPn2PEBatkooPV5A16sAEX_ibVhMqjcz1Tw/edit?usp=drivesdk","Jacob Berna - 11/7/2022 1:30 PM")</f>
        <v>Jacob Berna - 11/7/2022 1:30 PM</v>
      </c>
      <c r="AL953" s="12" t="s">
        <v>2815</v>
      </c>
    </row>
    <row r="954" spans="1:38" ht="12.75">
      <c r="A954" s="10">
        <f ca="1">IFERROR(__xludf.DUMMYFUNCTION("""COMPUTED_VALUE"""),44872.6948700346)</f>
        <v>44872.694870034698</v>
      </c>
      <c r="B954" s="11" t="str">
        <f ca="1">IFERROR(__xludf.DUMMYFUNCTION("""COMPUTED_VALUE"""),"Pam Marcum ")</f>
        <v xml:space="preserve">Pam Marcum </v>
      </c>
      <c r="C954" t="str">
        <f ca="1">IFERROR(__xludf.DUMMYFUNCTION("""COMPUTED_VALUE"""),"Pamela.Marcum@FloridaDEP.gov")</f>
        <v>Pamela.Marcum@FloridaDEP.gov</v>
      </c>
      <c r="D954" t="str">
        <f ca="1">IFERROR(__xludf.DUMMYFUNCTION("""COMPUTED_VALUE"""),"Nikki Dix")</f>
        <v>Nikki Dix</v>
      </c>
      <c r="E954" t="str">
        <f ca="1">IFERROR(__xludf.DUMMYFUNCTION("""COMPUTED_VALUE"""),"Palm valley")</f>
        <v>Palm valley</v>
      </c>
      <c r="F954" s="13">
        <f ca="1">IFERROR(__xludf.DUMMYFUNCTION("""COMPUTED_VALUE"""),0.6875)</f>
        <v>0.6875</v>
      </c>
      <c r="G954" s="14">
        <f ca="1">IFERROR(__xludf.DUMMYFUNCTION("""COMPUTED_VALUE"""),44872)</f>
        <v>44872</v>
      </c>
      <c r="H954" t="str">
        <f ca="1">IFERROR(__xludf.DUMMYFUNCTION("""COMPUTED_VALUE"""),"Pine island marsh site")</f>
        <v>Pine island marsh site</v>
      </c>
      <c r="I954" s="15">
        <f ca="1">IFERROR(__xludf.DUMMYFUNCTION("""COMPUTED_VALUE"""),0.729166666667879)</f>
        <v>0.72916666666787899</v>
      </c>
      <c r="J954" s="16">
        <f ca="1">IFERROR(__xludf.DUMMYFUNCTION("""COMPUTED_VALUE"""),44872.75)</f>
        <v>44872.75</v>
      </c>
      <c r="K954" t="str">
        <f ca="1">IFERROR(__xludf.DUMMYFUNCTION("""COMPUTED_VALUE"""),"20ft Sea Ark FL5351SJ UNF 2015")</f>
        <v>20ft Sea Ark FL5351SJ UNF 2015</v>
      </c>
      <c r="M954" t="str">
        <f ca="1">IFERROR(__xludf.DUMMYFUNCTION("""COMPUTED_VALUE"""),"Ford F250 2017 (Moby Dix) - DEP0021578")</f>
        <v>Ford F250 2017 (Moby Dix) - DEP0021578</v>
      </c>
      <c r="N954" t="str">
        <f ca="1">IFERROR(__xludf.DUMMYFUNCTION("""COMPUTED_VALUE"""),"Pam Marcum, (480) 332-5414")</f>
        <v>Pam Marcum, (480) 332-5414</v>
      </c>
      <c r="O954" t="str">
        <f ca="1">IFERROR(__xludf.DUMMYFUNCTION("""COMPUTED_VALUE"""),"Jacob Berna")</f>
        <v>Jacob Berna</v>
      </c>
      <c r="P954" t="str">
        <f ca="1">IFERROR(__xludf.DUMMYFUNCTION("""COMPUTED_VALUE"""),"Jacob")</f>
        <v>Jacob</v>
      </c>
      <c r="AE954" s="11"/>
      <c r="AF954" t="str">
        <v>Nikki.Dix@floridadep.gov</v>
      </c>
      <c r="AG954" s="17" t="s">
        <v>41</v>
      </c>
      <c r="AH954" s="12">
        <v>1739</v>
      </c>
      <c r="AI954" s="12" t="s">
        <v>2816</v>
      </c>
      <c r="AJ954" s="19" t="s">
        <v>2817</v>
      </c>
      <c r="AK954" s="20" t="str">
        <f>HYPERLINK("https://docs.google.com/document/d/1K5Q1YNcbbnFigP1EPaCwgp5LHSNvRpg2QWAEMpDA0-E/edit?usp=drivesdk","Pam Marcum  - 11/7/2022 4:30 PM")</f>
        <v>Pam Marcum  - 11/7/2022 4:30 PM</v>
      </c>
      <c r="AL954" s="12" t="s">
        <v>2818</v>
      </c>
    </row>
    <row r="955" spans="1:38" ht="12.75">
      <c r="A955" s="10">
        <f ca="1">IFERROR(__xludf.DUMMYFUNCTION("""COMPUTED_VALUE"""),44873.5264318171)</f>
        <v>44873.526431817103</v>
      </c>
      <c r="B955" s="11" t="str">
        <f ca="1">IFERROR(__xludf.DUMMYFUNCTION("""COMPUTED_VALUE"""),"Silas Tanner")</f>
        <v>Silas Tanner</v>
      </c>
      <c r="C955" t="str">
        <f ca="1">IFERROR(__xludf.DUMMYFUNCTION("""COMPUTED_VALUE"""),"silas.tanner@dep.state.fl.us")</f>
        <v>silas.tanner@dep.state.fl.us</v>
      </c>
      <c r="D955" t="str">
        <f ca="1">IFERROR(__xludf.DUMMYFUNCTION("""COMPUTED_VALUE"""),"Shannon Dunnigan")</f>
        <v>Shannon Dunnigan</v>
      </c>
      <c r="E955" t="str">
        <f ca="1">IFERROR(__xludf.DUMMYFUNCTION("""COMPUTED_VALUE"""),"Vilano Landing")</f>
        <v>Vilano Landing</v>
      </c>
      <c r="F955" s="13">
        <f ca="1">IFERROR(__xludf.DUMMYFUNCTION("""COMPUTED_VALUE"""),0.33333333333212)</f>
        <v>0.33333333333212001</v>
      </c>
      <c r="G955" s="14">
        <f ca="1">IFERROR(__xludf.DUMMYFUNCTION("""COMPUTED_VALUE"""),44873)</f>
        <v>44873</v>
      </c>
      <c r="H955" t="str">
        <f ca="1">IFERROR(__xludf.DUMMYFUNCTION("""COMPUTED_VALUE"""),"ICW swmp sites")</f>
        <v>ICW swmp sites</v>
      </c>
      <c r="I955" s="15">
        <f ca="1">IFERROR(__xludf.DUMMYFUNCTION("""COMPUTED_VALUE"""),0.540277777778101)</f>
        <v>0.54027777777810104</v>
      </c>
      <c r="J955" s="16">
        <f ca="1">IFERROR(__xludf.DUMMYFUNCTION("""COMPUTED_VALUE"""),44873.5555555555)</f>
        <v>44873.555555555497</v>
      </c>
      <c r="K955" t="str">
        <f ca="1">IFERROR(__xludf.DUMMYFUNCTION("""COMPUTED_VALUE"""),"20ft Sea Ark FL5351SJ UNF 2015")</f>
        <v>20ft Sea Ark FL5351SJ UNF 2015</v>
      </c>
      <c r="M955" t="str">
        <f ca="1">IFERROR(__xludf.DUMMYFUNCTION("""COMPUTED_VALUE"""),"Ford F250 2017 (Moby Dix) - DEP0021578")</f>
        <v>Ford F250 2017 (Moby Dix) - DEP0021578</v>
      </c>
      <c r="N955" t="str">
        <f ca="1">IFERROR(__xludf.DUMMYFUNCTION("""COMPUTED_VALUE"""),"Nikki Dix, (352) 219-4079, Silas Tanner, (904) 483-8423, Gabby Canas")</f>
        <v>Nikki Dix, (352) 219-4079, Silas Tanner, (904) 483-8423, Gabby Canas</v>
      </c>
      <c r="O955" t="str">
        <f ca="1">IFERROR(__xludf.DUMMYFUNCTION("""COMPUTED_VALUE"""),"Jacob Berna")</f>
        <v>Jacob Berna</v>
      </c>
      <c r="P955" t="str">
        <f ca="1">IFERROR(__xludf.DUMMYFUNCTION("""COMPUTED_VALUE"""),"Silas Tanner")</f>
        <v>Silas Tanner</v>
      </c>
      <c r="AE955" s="11"/>
      <c r="AF955" t="str">
        <v>Shannon.Dunnigan@floridadep.gov</v>
      </c>
      <c r="AG955" s="17" t="s">
        <v>639</v>
      </c>
      <c r="AH955" s="12">
        <v>1324</v>
      </c>
      <c r="AI955" s="12" t="s">
        <v>2819</v>
      </c>
      <c r="AJ955" s="19" t="s">
        <v>2820</v>
      </c>
      <c r="AK955" s="20" t="str">
        <f>HYPERLINK("https://docs.google.com/document/d/189mkY3uc7eO_0x5KG-VlcY1xMlWClOI_H5XtgtHQiBc/edit?usp=drivesdk","Silas Tanner - 11/8/2022 8:00 AM")</f>
        <v>Silas Tanner - 11/8/2022 8:00 AM</v>
      </c>
      <c r="AL955" s="12" t="s">
        <v>2821</v>
      </c>
    </row>
    <row r="956" spans="1:38" ht="12.75">
      <c r="A956" s="10">
        <f ca="1">IFERROR(__xludf.DUMMYFUNCTION("""COMPUTED_VALUE"""),44879.5575718634)</f>
        <v>44879.557571863399</v>
      </c>
      <c r="B956" s="11" t="str">
        <f ca="1">IFERROR(__xludf.DUMMYFUNCTION("""COMPUTED_VALUE"""),"Jacob Berna")</f>
        <v>Jacob Berna</v>
      </c>
      <c r="C956" t="str">
        <f ca="1">IFERROR(__xludf.DUMMYFUNCTION("""COMPUTED_VALUE"""),"Jacob.Berna@FloridaDEP.gov")</f>
        <v>Jacob.Berna@FloridaDEP.gov</v>
      </c>
      <c r="D956" t="str">
        <f ca="1">IFERROR(__xludf.DUMMYFUNCTION("""COMPUTED_VALUE"""),"Nikki Dix")</f>
        <v>Nikki Dix</v>
      </c>
      <c r="E956" t="str">
        <f ca="1">IFERROR(__xludf.DUMMYFUNCTION("""COMPUTED_VALUE"""),"Frank Butler")</f>
        <v>Frank Butler</v>
      </c>
      <c r="F956" s="13">
        <f ca="1">IFERROR(__xludf.DUMMYFUNCTION("""COMPUTED_VALUE"""),0.576388888890505)</f>
        <v>0.57638888889050499</v>
      </c>
      <c r="G956" s="14">
        <f ca="1">IFERROR(__xludf.DUMMYFUNCTION("""COMPUTED_VALUE"""),44879)</f>
        <v>44879</v>
      </c>
      <c r="H956" t="str">
        <f ca="1">IFERROR(__xludf.DUMMYFUNCTION("""COMPUTED_VALUE"""),"Frank Butler")</f>
        <v>Frank Butler</v>
      </c>
      <c r="I956" s="15">
        <f ca="1">IFERROR(__xludf.DUMMYFUNCTION("""COMPUTED_VALUE"""),0.6875)</f>
        <v>0.6875</v>
      </c>
      <c r="J956" s="16">
        <f ca="1">IFERROR(__xludf.DUMMYFUNCTION("""COMPUTED_VALUE"""),44879.7083333333)</f>
        <v>44879.708333333299</v>
      </c>
      <c r="K956" t="str">
        <f ca="1">IFERROR(__xludf.DUMMYFUNCTION("""COMPUTED_VALUE"""),"20ft Sea Ark FL5351SJ UNF 2015")</f>
        <v>20ft Sea Ark FL5351SJ UNF 2015</v>
      </c>
      <c r="M956" t="str">
        <f ca="1">IFERROR(__xludf.DUMMYFUNCTION("""COMPUTED_VALUE"""),"Ford F250 2017 (Moby Dix) - DEP0021578")</f>
        <v>Ford F250 2017 (Moby Dix) - DEP0021578</v>
      </c>
      <c r="N956" t="str">
        <f ca="1">IFERROR(__xludf.DUMMYFUNCTION("""COMPUTED_VALUE"""),"Pam Marcum, (480) 332-5414")</f>
        <v>Pam Marcum, (480) 332-5414</v>
      </c>
      <c r="O956" t="str">
        <f ca="1">IFERROR(__xludf.DUMMYFUNCTION("""COMPUTED_VALUE"""),"Jacob Berna")</f>
        <v>Jacob Berna</v>
      </c>
      <c r="P956" t="str">
        <f ca="1">IFERROR(__xludf.DUMMYFUNCTION("""COMPUTED_VALUE"""),"Jacob Berna")</f>
        <v>Jacob Berna</v>
      </c>
      <c r="AE956" s="11"/>
      <c r="AF956" t="str">
        <v>Nikki.Dix@floridadep.gov</v>
      </c>
      <c r="AG956" s="17" t="s">
        <v>41</v>
      </c>
      <c r="AH956" s="12">
        <v>1615</v>
      </c>
      <c r="AI956" s="12" t="s">
        <v>2822</v>
      </c>
      <c r="AJ956" s="19" t="s">
        <v>2823</v>
      </c>
      <c r="AK956" s="20" t="str">
        <f>HYPERLINK("https://docs.google.com/document/d/1JwLAAoIjoCxsk1TIgtaY49Csia2vRzEuf9gY96LebkU/edit?usp=drivesdk","Jacob Berna - 11/14/2022 1:50 PM")</f>
        <v>Jacob Berna - 11/14/2022 1:50 PM</v>
      </c>
      <c r="AL956" s="12" t="s">
        <v>2824</v>
      </c>
    </row>
    <row r="957" spans="1:38" ht="12.75">
      <c r="A957" s="10">
        <f ca="1">IFERROR(__xludf.DUMMYFUNCTION("""COMPUTED_VALUE"""),44880.4213139004)</f>
        <v>44880.421313900399</v>
      </c>
      <c r="B957" s="11" t="str">
        <f ca="1">IFERROR(__xludf.DUMMYFUNCTION("""COMPUTED_VALUE"""),"Jacob Berna")</f>
        <v>Jacob Berna</v>
      </c>
      <c r="C957" t="str">
        <f ca="1">IFERROR(__xludf.DUMMYFUNCTION("""COMPUTED_VALUE"""),"Jacob.Berna@FloridaDEP.gov")</f>
        <v>Jacob.Berna@FloridaDEP.gov</v>
      </c>
      <c r="D957" t="str">
        <f ca="1">IFERROR(__xludf.DUMMYFUNCTION("""COMPUTED_VALUE"""),"Nikki Dix")</f>
        <v>Nikki Dix</v>
      </c>
      <c r="E957" t="str">
        <f ca="1">IFERROR(__xludf.DUMMYFUNCTION("""COMPUTED_VALUE"""),"Faver Dykes ")</f>
        <v xml:space="preserve">Faver Dykes </v>
      </c>
      <c r="F957" s="13">
        <f ca="1">IFERROR(__xludf.DUMMYFUNCTION("""COMPUTED_VALUE"""),0.46875)</f>
        <v>0.46875</v>
      </c>
      <c r="G957" s="14">
        <f ca="1">IFERROR(__xludf.DUMMYFUNCTION("""COMPUTED_VALUE"""),44880)</f>
        <v>44880</v>
      </c>
      <c r="H957" t="str">
        <f ca="1">IFERROR(__xludf.DUMMYFUNCTION("""COMPUTED_VALUE"""),"PC oysters")</f>
        <v>PC oysters</v>
      </c>
      <c r="I957" s="15">
        <f ca="1">IFERROR(__xludf.DUMMYFUNCTION("""COMPUTED_VALUE"""),0.70833333333212)</f>
        <v>0.70833333333212001</v>
      </c>
      <c r="J957" s="16">
        <f ca="1">IFERROR(__xludf.DUMMYFUNCTION("""COMPUTED_VALUE"""),44880.75)</f>
        <v>44880.75</v>
      </c>
      <c r="K957" t="str">
        <f ca="1">IFERROR(__xludf.DUMMYFUNCTION("""COMPUTED_VALUE"""),"20ft Sea Ark FL5351SJ UNF 2015")</f>
        <v>20ft Sea Ark FL5351SJ UNF 2015</v>
      </c>
      <c r="M957" t="str">
        <f ca="1">IFERROR(__xludf.DUMMYFUNCTION("""COMPUTED_VALUE"""),"Ford F250 2017 (Moby Dix) - DEP0021578")</f>
        <v>Ford F250 2017 (Moby Dix) - DEP0021578</v>
      </c>
      <c r="N957" t="str">
        <f ca="1">IFERROR(__xludf.DUMMYFUNCTION("""COMPUTED_VALUE"""),"Pam Marcum, (480) 332-5414")</f>
        <v>Pam Marcum, (480) 332-5414</v>
      </c>
      <c r="O957" t="str">
        <f ca="1">IFERROR(__xludf.DUMMYFUNCTION("""COMPUTED_VALUE"""),"Jacob Berna")</f>
        <v>Jacob Berna</v>
      </c>
      <c r="P957" t="str">
        <f ca="1">IFERROR(__xludf.DUMMYFUNCTION("""COMPUTED_VALUE"""),"Jacob Berna")</f>
        <v>Jacob Berna</v>
      </c>
      <c r="AE957" s="11"/>
      <c r="AF957" t="str">
        <v>Nikki.Dix@floridadep.gov</v>
      </c>
      <c r="AG957" s="17" t="s">
        <v>17</v>
      </c>
      <c r="AH957" s="12">
        <v>1410</v>
      </c>
      <c r="AI957" s="12" t="s">
        <v>2825</v>
      </c>
      <c r="AJ957" s="19" t="s">
        <v>2826</v>
      </c>
      <c r="AK957" s="20" t="str">
        <f>HYPERLINK("https://docs.google.com/document/d/1Dgx03u6sDF3TsqHKk7tYbquA-CYulyhLafc839drt3U/edit?usp=drivesdk","Jacob Berna - 11/15/2022 11:15 AM")</f>
        <v>Jacob Berna - 11/15/2022 11:15 AM</v>
      </c>
      <c r="AL957" s="12" t="s">
        <v>2827</v>
      </c>
    </row>
    <row r="958" spans="1:38" ht="12.75">
      <c r="A958" s="10">
        <f ca="1">IFERROR(__xludf.DUMMYFUNCTION("""COMPUTED_VALUE"""),44880.5104054976)</f>
        <v>44880.510405497596</v>
      </c>
      <c r="B958" s="11" t="str">
        <f ca="1">IFERROR(__xludf.DUMMYFUNCTION("""COMPUTED_VALUE"""),"Silas Tanner")</f>
        <v>Silas Tanner</v>
      </c>
      <c r="C958" t="str">
        <f ca="1">IFERROR(__xludf.DUMMYFUNCTION("""COMPUTED_VALUE"""),"silas.tanner@dep.state.fl.us")</f>
        <v>silas.tanner@dep.state.fl.us</v>
      </c>
      <c r="D958" t="str">
        <f ca="1">IFERROR(__xludf.DUMMYFUNCTION("""COMPUTED_VALUE"""),"Nikki Dix")</f>
        <v>Nikki Dix</v>
      </c>
      <c r="E958" t="str">
        <f ca="1">IFERROR(__xludf.DUMMYFUNCTION("""COMPUTED_VALUE"""),"Vilano Landing")</f>
        <v>Vilano Landing</v>
      </c>
      <c r="F958" s="13">
        <f ca="1">IFERROR(__xludf.DUMMYFUNCTION("""COMPUTED_VALUE"""),0.510416666667879)</f>
        <v>0.51041666666787899</v>
      </c>
      <c r="G958" s="14">
        <f ca="1">IFERROR(__xludf.DUMMYFUNCTION("""COMPUTED_VALUE"""),44880)</f>
        <v>44880</v>
      </c>
      <c r="H958" t="str">
        <f ca="1">IFERROR(__xludf.DUMMYFUNCTION("""COMPUTED_VALUE"""),"ICW swmp sites")</f>
        <v>ICW swmp sites</v>
      </c>
      <c r="I958" s="15">
        <f ca="1">IFERROR(__xludf.DUMMYFUNCTION("""COMPUTED_VALUE"""),0.67708333333212)</f>
        <v>0.67708333333212001</v>
      </c>
      <c r="J958" s="16">
        <f ca="1">IFERROR(__xludf.DUMMYFUNCTION("""COMPUTED_VALUE"""),44880.6979166666)</f>
        <v>44880.697916666599</v>
      </c>
      <c r="K958" t="str">
        <f ca="1">IFERROR(__xludf.DUMMYFUNCTION("""COMPUTED_VALUE"""),"F 20ft Sea Ark (Easy 200) FL8534PY DEP21451")</f>
        <v>F 20ft Sea Ark (Easy 200) FL8534PY DEP21451</v>
      </c>
      <c r="M958" t="str">
        <f ca="1">IFERROR(__xludf.DUMMYFUNCTION("""COMPUTED_VALUE"""),"Ford F150 2015 (White) - DEP21448")</f>
        <v>Ford F150 2015 (White) - DEP21448</v>
      </c>
      <c r="N958" t="str">
        <f ca="1">IFERROR(__xludf.DUMMYFUNCTION("""COMPUTED_VALUE"""),"Silas Tanner, (904) 483-8423, Jessica Lee, (813) 748-2228, Remo Mondazzi")</f>
        <v>Silas Tanner, (904) 483-8423, Jessica Lee, (813) 748-2228, Remo Mondazzi</v>
      </c>
      <c r="P958" t="str">
        <f ca="1">IFERROR(__xludf.DUMMYFUNCTION("""COMPUTED_VALUE"""),"Lee")</f>
        <v>Lee</v>
      </c>
      <c r="AE958" s="11"/>
      <c r="AF958" t="str">
        <v>Nikki.Dix@floridadep.gov</v>
      </c>
      <c r="AG958" s="17" t="s">
        <v>41</v>
      </c>
      <c r="AH958" s="12">
        <v>1544</v>
      </c>
      <c r="AI958" s="12" t="s">
        <v>2828</v>
      </c>
      <c r="AJ958" s="19" t="s">
        <v>2829</v>
      </c>
      <c r="AK958" s="20" t="str">
        <f>HYPERLINK("https://docs.google.com/document/d/1rys_QpsALyGKGxvy4x6gCRKOSJHNDcpV3DIpYcxsjK4/edit?usp=drivesdk","Silas Tanner - 11/15/2022 12:15 PM")</f>
        <v>Silas Tanner - 11/15/2022 12:15 PM</v>
      </c>
      <c r="AL958" s="12" t="s">
        <v>2830</v>
      </c>
    </row>
    <row r="959" spans="1:38" ht="12.75">
      <c r="A959" s="10">
        <f ca="1">IFERROR(__xludf.DUMMYFUNCTION("""COMPUTED_VALUE"""),44895.3525513657)</f>
        <v>44895.3525513657</v>
      </c>
      <c r="B959" s="11" t="str">
        <f ca="1">IFERROR(__xludf.DUMMYFUNCTION("""COMPUTED_VALUE"""),"Jacob Berna")</f>
        <v>Jacob Berna</v>
      </c>
      <c r="C959" t="str">
        <f ca="1">IFERROR(__xludf.DUMMYFUNCTION("""COMPUTED_VALUE"""),"Jacob.Berna@FloridaDEP.gov")</f>
        <v>Jacob.Berna@FloridaDEP.gov</v>
      </c>
      <c r="D959" t="str">
        <f ca="1">IFERROR(__xludf.DUMMYFUNCTION("""COMPUTED_VALUE"""),"Nikki Dix")</f>
        <v>Nikki Dix</v>
      </c>
      <c r="E959" t="str">
        <f ca="1">IFERROR(__xludf.DUMMYFUNCTION("""COMPUTED_VALUE"""),"Faver Dykes")</f>
        <v>Faver Dykes</v>
      </c>
      <c r="F959" s="13">
        <f ca="1">IFERROR(__xludf.DUMMYFUNCTION("""COMPUTED_VALUE"""),0.42708333333212)</f>
        <v>0.42708333333212001</v>
      </c>
      <c r="G959" s="14">
        <f ca="1">IFERROR(__xludf.DUMMYFUNCTION("""COMPUTED_VALUE"""),44895)</f>
        <v>44895</v>
      </c>
      <c r="H959" t="str">
        <f ca="1">IFERROR(__xludf.DUMMYFUNCTION("""COMPUTED_VALUE"""),"Platforms and Transects at Pellicer")</f>
        <v>Platforms and Transects at Pellicer</v>
      </c>
      <c r="I959" s="15">
        <f ca="1">IFERROR(__xludf.DUMMYFUNCTION("""COMPUTED_VALUE"""),0.64583333333212)</f>
        <v>0.64583333333212001</v>
      </c>
      <c r="J959" s="16">
        <f ca="1">IFERROR(__xludf.DUMMYFUNCTION("""COMPUTED_VALUE"""),44895.6875)</f>
        <v>44895.6875</v>
      </c>
      <c r="K959" t="str">
        <f ca="1">IFERROR(__xludf.DUMMYFUNCTION("""COMPUTED_VALUE"""),"20ft Sea Ark FL5351SJ UNF 2015")</f>
        <v>20ft Sea Ark FL5351SJ UNF 2015</v>
      </c>
      <c r="M959" t="str">
        <f ca="1">IFERROR(__xludf.DUMMYFUNCTION("""COMPUTED_VALUE"""),"Ford F250 2017 (Moby Dix) - DEP0021578")</f>
        <v>Ford F250 2017 (Moby Dix) - DEP0021578</v>
      </c>
      <c r="N959" t="str">
        <f ca="1">IFERROR(__xludf.DUMMYFUNCTION("""COMPUTED_VALUE"""),"Jacob Berna (904)-392-1966")</f>
        <v>Jacob Berna (904)-392-1966</v>
      </c>
      <c r="O959" t="str">
        <f ca="1">IFERROR(__xludf.DUMMYFUNCTION("""COMPUTED_VALUE"""),"Remo Mondazzi")</f>
        <v>Remo Mondazzi</v>
      </c>
      <c r="P959" t="str">
        <f ca="1">IFERROR(__xludf.DUMMYFUNCTION("""COMPUTED_VALUE"""),"Jacob Berna")</f>
        <v>Jacob Berna</v>
      </c>
      <c r="AE959" s="11"/>
      <c r="AF959" t="str">
        <v>Nikki.Dix@floridadep.gov</v>
      </c>
      <c r="AG959" s="17" t="s">
        <v>41</v>
      </c>
      <c r="AH959" s="12">
        <v>1330</v>
      </c>
      <c r="AI959" s="12" t="s">
        <v>2831</v>
      </c>
      <c r="AJ959" s="19" t="s">
        <v>2832</v>
      </c>
      <c r="AK959" s="20" t="str">
        <f>HYPERLINK("https://docs.google.com/document/d/1Zxcj8fhQc8sfCVErWC0EQJdZGdneVswjFZdwpi1J8CE/edit?usp=drivesdk","Jacob Berna - 11/30/2022 10:15 AM")</f>
        <v>Jacob Berna - 11/30/2022 10:15 AM</v>
      </c>
      <c r="AL959" s="12" t="s">
        <v>2833</v>
      </c>
    </row>
    <row r="960" spans="1:38" ht="12.75">
      <c r="A960" s="10">
        <f ca="1">IFERROR(__xludf.DUMMYFUNCTION("""COMPUTED_VALUE"""),44895.3847361805)</f>
        <v>44895.384736180502</v>
      </c>
      <c r="B960" s="11" t="str">
        <f ca="1">IFERROR(__xludf.DUMMYFUNCTION("""COMPUTED_VALUE"""),"Silas Tanner")</f>
        <v>Silas Tanner</v>
      </c>
      <c r="C960" t="str">
        <f ca="1">IFERROR(__xludf.DUMMYFUNCTION("""COMPUTED_VALUE"""),"silas.tanner@floridadep.gov")</f>
        <v>silas.tanner@floridadep.gov</v>
      </c>
      <c r="D960" t="str">
        <f ca="1">IFERROR(__xludf.DUMMYFUNCTION("""COMPUTED_VALUE"""),"Shannon Dunnigan")</f>
        <v>Shannon Dunnigan</v>
      </c>
      <c r="E960" t="str">
        <f ca="1">IFERROR(__xludf.DUMMYFUNCTION("""COMPUTED_VALUE"""),"Vilano Landing")</f>
        <v>Vilano Landing</v>
      </c>
      <c r="F960" s="13">
        <f ca="1">IFERROR(__xludf.DUMMYFUNCTION("""COMPUTED_VALUE"""),0.42708333333212)</f>
        <v>0.42708333333212001</v>
      </c>
      <c r="G960" s="14">
        <f ca="1">IFERROR(__xludf.DUMMYFUNCTION("""COMPUTED_VALUE"""),44895)</f>
        <v>44895</v>
      </c>
      <c r="H960" t="str">
        <f ca="1">IFERROR(__xludf.DUMMYFUNCTION("""COMPUTED_VALUE"""),"ICW SWMP sites")</f>
        <v>ICW SWMP sites</v>
      </c>
      <c r="I960" s="15">
        <f ca="1">IFERROR(__xludf.DUMMYFUNCTION("""COMPUTED_VALUE"""),0.61458333333212)</f>
        <v>0.61458333333212001</v>
      </c>
      <c r="J960" s="16">
        <f ca="1">IFERROR(__xludf.DUMMYFUNCTION("""COMPUTED_VALUE"""),44895.625)</f>
        <v>44895.625</v>
      </c>
      <c r="K960" t="str">
        <f ca="1">IFERROR(__xludf.DUMMYFUNCTION("""COMPUTED_VALUE"""),"F 20ft Sea Ark (Easy 200) FL8534PY DEP21451")</f>
        <v>F 20ft Sea Ark (Easy 200) FL8534PY DEP21451</v>
      </c>
      <c r="M960" t="str">
        <f ca="1">IFERROR(__xludf.DUMMYFUNCTION("""COMPUTED_VALUE"""),"Ford F150 2015 (White) - DEP21448")</f>
        <v>Ford F150 2015 (White) - DEP21448</v>
      </c>
      <c r="N960" t="str">
        <f ca="1">IFERROR(__xludf.DUMMYFUNCTION("""COMPUTED_VALUE"""),"Silas Tanner, (904) 483-8423, Jessica Lee, (813) 748-2228")</f>
        <v>Silas Tanner, (904) 483-8423, Jessica Lee, (813) 748-2228</v>
      </c>
      <c r="P960" t="str">
        <f ca="1">IFERROR(__xludf.DUMMYFUNCTION("""COMPUTED_VALUE"""),"Silas Tanner")</f>
        <v>Silas Tanner</v>
      </c>
      <c r="AE960" s="11"/>
      <c r="AF960" t="str">
        <v>Shannon.Dunnigan@floridadep.gov</v>
      </c>
      <c r="AG960" s="17" t="s">
        <v>639</v>
      </c>
      <c r="AH960" s="12">
        <v>1328</v>
      </c>
      <c r="AI960" s="12" t="s">
        <v>2834</v>
      </c>
      <c r="AJ960" s="19" t="s">
        <v>2835</v>
      </c>
      <c r="AK960" s="20" t="str">
        <f>HYPERLINK("https://docs.google.com/document/d/1-tKd8XbRO-Kbd36ht_hK3oT82Eb7Z_BIK2HJMMc8-d4/edit?usp=drivesdk","Silas Tanner - 11/30/2022 10:15 AM")</f>
        <v>Silas Tanner - 11/30/2022 10:15 AM</v>
      </c>
      <c r="AL960" s="12" t="s">
        <v>2836</v>
      </c>
    </row>
    <row r="961" spans="1:38" ht="12.75">
      <c r="A961" s="10">
        <f ca="1">IFERROR(__xludf.DUMMYFUNCTION("""COMPUTED_VALUE"""),44896.339309699)</f>
        <v>44896.339309698997</v>
      </c>
      <c r="B961" s="11" t="str">
        <f ca="1">IFERROR(__xludf.DUMMYFUNCTION("""COMPUTED_VALUE"""),"Jacob Berna")</f>
        <v>Jacob Berna</v>
      </c>
      <c r="C961" t="str">
        <f ca="1">IFERROR(__xludf.DUMMYFUNCTION("""COMPUTED_VALUE"""),"Jacob.Berna@FloridaDEP.gov")</f>
        <v>Jacob.Berna@FloridaDEP.gov</v>
      </c>
      <c r="D961" t="str">
        <f ca="1">IFERROR(__xludf.DUMMYFUNCTION("""COMPUTED_VALUE"""),"Nikki Dix")</f>
        <v>Nikki Dix</v>
      </c>
      <c r="E961" t="str">
        <f ca="1">IFERROR(__xludf.DUMMYFUNCTION("""COMPUTED_VALUE"""),"Usina")</f>
        <v>Usina</v>
      </c>
      <c r="F961" s="13">
        <f ca="1">IFERROR(__xludf.DUMMYFUNCTION("""COMPUTED_VALUE"""),0.36458333333212)</f>
        <v>0.36458333333212001</v>
      </c>
      <c r="G961" s="14">
        <f ca="1">IFERROR(__xludf.DUMMYFUNCTION("""COMPUTED_VALUE"""),44896)</f>
        <v>44896</v>
      </c>
      <c r="H961" t="str">
        <f ca="1">IFERROR(__xludf.DUMMYFUNCTION("""COMPUTED_VALUE"""),"Southern Tip of Guana Peninsula ")</f>
        <v xml:space="preserve">Southern Tip of Guana Peninsula </v>
      </c>
      <c r="I961" s="15">
        <f ca="1">IFERROR(__xludf.DUMMYFUNCTION("""COMPUTED_VALUE"""),0.541666666667879)</f>
        <v>0.54166666666787899</v>
      </c>
      <c r="J961" s="16">
        <f ca="1">IFERROR(__xludf.DUMMYFUNCTION("""COMPUTED_VALUE"""),44896.5625)</f>
        <v>44896.5625</v>
      </c>
      <c r="K961" t="str">
        <f ca="1">IFERROR(__xludf.DUMMYFUNCTION("""COMPUTED_VALUE"""),"20ft Sea Ark FL5351SJ UNF 2015")</f>
        <v>20ft Sea Ark FL5351SJ UNF 2015</v>
      </c>
      <c r="M961" t="str">
        <f ca="1">IFERROR(__xludf.DUMMYFUNCTION("""COMPUTED_VALUE"""),"Ford F250 2017 (Moby Dix) - DEP0021578")</f>
        <v>Ford F250 2017 (Moby Dix) - DEP0021578</v>
      </c>
      <c r="N961" t="str">
        <f ca="1">IFERROR(__xludf.DUMMYFUNCTION("""COMPUTED_VALUE"""),"Jacob Berna (904)-392-1966")</f>
        <v>Jacob Berna (904)-392-1966</v>
      </c>
      <c r="O961" t="str">
        <f ca="1">IFERROR(__xludf.DUMMYFUNCTION("""COMPUTED_VALUE"""),"Lauren Griffiths, Hallie Fishman, Justina Dacey")</f>
        <v>Lauren Griffiths, Hallie Fishman, Justina Dacey</v>
      </c>
      <c r="P961" t="str">
        <f ca="1">IFERROR(__xludf.DUMMYFUNCTION("""COMPUTED_VALUE"""),"Jacob Berna")</f>
        <v>Jacob Berna</v>
      </c>
      <c r="AE961" s="11"/>
      <c r="AF961" t="str">
        <v>Nikki.Dix@floridadep.gov</v>
      </c>
      <c r="AG961" s="17" t="s">
        <v>41</v>
      </c>
      <c r="AH961" s="12">
        <v>1112</v>
      </c>
      <c r="AI961" s="12" t="s">
        <v>2837</v>
      </c>
      <c r="AJ961" s="19" t="s">
        <v>2838</v>
      </c>
      <c r="AK961" s="20" t="str">
        <f>HYPERLINK("https://docs.google.com/document/d/1KLmOnfvjPcc7G-cAB2ny7FL7N6gRg0YfdpOvh_vT-sQ/edit?usp=drivesdk","Jacob Berna - 12/1/2022 8:45 AM")</f>
        <v>Jacob Berna - 12/1/2022 8:45 AM</v>
      </c>
      <c r="AL961" s="12" t="s">
        <v>2839</v>
      </c>
    </row>
    <row r="962" spans="1:38" ht="12.75">
      <c r="A962" s="10">
        <f ca="1">IFERROR(__xludf.DUMMYFUNCTION("""COMPUTED_VALUE"""),44901.2778487384)</f>
        <v>44901.277848738398</v>
      </c>
      <c r="B962" s="11" t="str">
        <f ca="1">IFERROR(__xludf.DUMMYFUNCTION("""COMPUTED_VALUE"""),"Silas Tanner")</f>
        <v>Silas Tanner</v>
      </c>
      <c r="C962" t="str">
        <f ca="1">IFERROR(__xludf.DUMMYFUNCTION("""COMPUTED_VALUE"""),"silas.tanner@floridadep.gov")</f>
        <v>silas.tanner@floridadep.gov</v>
      </c>
      <c r="D962" t="str">
        <f ca="1">IFERROR(__xludf.DUMMYFUNCTION("""COMPUTED_VALUE"""),"Shannon Dunnigan")</f>
        <v>Shannon Dunnigan</v>
      </c>
      <c r="E962" t="str">
        <f ca="1">IFERROR(__xludf.DUMMYFUNCTION("""COMPUTED_VALUE"""),"Vilano Landing")</f>
        <v>Vilano Landing</v>
      </c>
      <c r="F962" s="13">
        <f ca="1">IFERROR(__xludf.DUMMYFUNCTION("""COMPUTED_VALUE"""),0.30208333333212)</f>
        <v>0.30208333333212001</v>
      </c>
      <c r="G962" s="14">
        <f ca="1">IFERROR(__xludf.DUMMYFUNCTION("""COMPUTED_VALUE"""),44901)</f>
        <v>44901</v>
      </c>
      <c r="H962" t="str">
        <f ca="1">IFERROR(__xludf.DUMMYFUNCTION("""COMPUTED_VALUE"""),"ICW SWMP Sites")</f>
        <v>ICW SWMP Sites</v>
      </c>
      <c r="I962" s="15">
        <f ca="1">IFERROR(__xludf.DUMMYFUNCTION("""COMPUTED_VALUE"""),0.541666666667879)</f>
        <v>0.54166666666787899</v>
      </c>
      <c r="J962" s="16">
        <f ca="1">IFERROR(__xludf.DUMMYFUNCTION("""COMPUTED_VALUE"""),44901.5625)</f>
        <v>44901.5625</v>
      </c>
      <c r="K962" t="str">
        <f ca="1">IFERROR(__xludf.DUMMYFUNCTION("""COMPUTED_VALUE"""),"23ft Skiff (Bertha) FL7972LJ DEP07613")</f>
        <v>23ft Skiff (Bertha) FL7972LJ DEP07613</v>
      </c>
      <c r="M962" t="str">
        <f ca="1">IFERROR(__xludf.DUMMYFUNCTION("""COMPUTED_VALUE"""),"Ford F150 2015 (White) - DEP21448")</f>
        <v>Ford F150 2015 (White) - DEP21448</v>
      </c>
      <c r="N962" t="str">
        <f ca="1">IFERROR(__xludf.DUMMYFUNCTION("""COMPUTED_VALUE"""),"Silas Tanner, (904) 483-8423, Jacob Berna")</f>
        <v>Silas Tanner, (904) 483-8423, Jacob Berna</v>
      </c>
      <c r="P962" t="str">
        <f ca="1">IFERROR(__xludf.DUMMYFUNCTION("""COMPUTED_VALUE"""),"Silas Tanner")</f>
        <v>Silas Tanner</v>
      </c>
      <c r="AE962" s="11"/>
      <c r="AF962" t="str">
        <v>Shannon.Dunnigan@floridadep.gov</v>
      </c>
      <c r="AG962" s="17" t="s">
        <v>639</v>
      </c>
      <c r="AH962" s="12">
        <v>1117</v>
      </c>
      <c r="AI962" s="12" t="s">
        <v>2840</v>
      </c>
      <c r="AJ962" s="19" t="s">
        <v>2841</v>
      </c>
      <c r="AK962" s="20" t="str">
        <f>HYPERLINK("https://docs.google.com/document/d/1fKpng-P49KlWpmGADkL10mPqxIbcw_1qKeZ1andnXs8/edit?usp=drivesdk","Silas Tanner - 12/6/2022 7:15 AM")</f>
        <v>Silas Tanner - 12/6/2022 7:15 AM</v>
      </c>
      <c r="AL962" s="12" t="s">
        <v>2842</v>
      </c>
    </row>
    <row r="963" spans="1:38" ht="12.75">
      <c r="A963" s="10">
        <f ca="1">IFERROR(__xludf.DUMMYFUNCTION("""COMPUTED_VALUE"""),44902.3833735416)</f>
        <v>44902.383373541597</v>
      </c>
      <c r="B963" s="11" t="str">
        <f ca="1">IFERROR(__xludf.DUMMYFUNCTION("""COMPUTED_VALUE"""),"Jacob Berna")</f>
        <v>Jacob Berna</v>
      </c>
      <c r="C963" t="str">
        <f ca="1">IFERROR(__xludf.DUMMYFUNCTION("""COMPUTED_VALUE"""),"Jacob.Berna@FloridaDEP.gov")</f>
        <v>Jacob.Berna@FloridaDEP.gov</v>
      </c>
      <c r="D963" t="str">
        <f ca="1">IFERROR(__xludf.DUMMYFUNCTION("""COMPUTED_VALUE"""),"Nikki Dix")</f>
        <v>Nikki Dix</v>
      </c>
      <c r="E963" t="str">
        <f ca="1">IFERROR(__xludf.DUMMYFUNCTION("""COMPUTED_VALUE"""),"Faver Dykes")</f>
        <v>Faver Dykes</v>
      </c>
      <c r="F963" s="13">
        <f ca="1">IFERROR(__xludf.DUMMYFUNCTION("""COMPUTED_VALUE"""),0.46875)</f>
        <v>0.46875</v>
      </c>
      <c r="G963" s="14">
        <f ca="1">IFERROR(__xludf.DUMMYFUNCTION("""COMPUTED_VALUE"""),44902)</f>
        <v>44902</v>
      </c>
      <c r="H963" t="str">
        <f ca="1">IFERROR(__xludf.DUMMYFUNCTION("""COMPUTED_VALUE"""),"Pellicer Transects ")</f>
        <v xml:space="preserve">Pellicer Transects </v>
      </c>
      <c r="I963" s="15">
        <f ca="1">IFERROR(__xludf.DUMMYFUNCTION("""COMPUTED_VALUE"""),0.666666666667879)</f>
        <v>0.66666666666787899</v>
      </c>
      <c r="J963" s="16">
        <f ca="1">IFERROR(__xludf.DUMMYFUNCTION("""COMPUTED_VALUE"""),44902.7083333333)</f>
        <v>44902.708333333299</v>
      </c>
      <c r="K963" t="str">
        <f ca="1">IFERROR(__xludf.DUMMYFUNCTION("""COMPUTED_VALUE"""),"20ft Sea Ark FL5351SJ UNF 2015")</f>
        <v>20ft Sea Ark FL5351SJ UNF 2015</v>
      </c>
      <c r="M963" t="str">
        <f ca="1">IFERROR(__xludf.DUMMYFUNCTION("""COMPUTED_VALUE"""),"Ford F250 2017 (Moby Dix) - DEP0021578")</f>
        <v>Ford F250 2017 (Moby Dix) - DEP0021578</v>
      </c>
      <c r="N963" t="str">
        <f ca="1">IFERROR(__xludf.DUMMYFUNCTION("""COMPUTED_VALUE"""),"Jacob Berna (904)-392-1966")</f>
        <v>Jacob Berna (904)-392-1966</v>
      </c>
      <c r="O963" t="str">
        <f ca="1">IFERROR(__xludf.DUMMYFUNCTION("""COMPUTED_VALUE"""),"Vitalii Sheremet")</f>
        <v>Vitalii Sheremet</v>
      </c>
      <c r="P963" t="str">
        <f ca="1">IFERROR(__xludf.DUMMYFUNCTION("""COMPUTED_VALUE"""),"Jacob Berna")</f>
        <v>Jacob Berna</v>
      </c>
      <c r="AE963" s="11"/>
      <c r="AF963" t="str">
        <v>Nikki.Dix@floridadep.gov</v>
      </c>
      <c r="AG963" s="17" t="s">
        <v>41</v>
      </c>
      <c r="AH963" s="12">
        <v>1756</v>
      </c>
      <c r="AI963" s="12" t="s">
        <v>2843</v>
      </c>
      <c r="AJ963" s="19" t="s">
        <v>2844</v>
      </c>
      <c r="AK963" s="20" t="str">
        <f>HYPERLINK("https://docs.google.com/document/d/1mCRYQdEGJ546jAJxobFOQVGiu4OyXXmwp8MWEgLskEI/edit?usp=drivesdk","Jacob Berna - 12/7/2022 11:15 AM")</f>
        <v>Jacob Berna - 12/7/2022 11:15 AM</v>
      </c>
      <c r="AL963" s="12" t="s">
        <v>2845</v>
      </c>
    </row>
    <row r="964" spans="1:38" ht="12.75">
      <c r="A964" s="10">
        <f ca="1">IFERROR(__xludf.DUMMYFUNCTION("""COMPUTED_VALUE"""),44907.4443905208)</f>
        <v>44907.444390520803</v>
      </c>
      <c r="B964" s="11" t="str">
        <f ca="1">IFERROR(__xludf.DUMMYFUNCTION("""COMPUTED_VALUE"""),"Allix North")</f>
        <v>Allix North</v>
      </c>
      <c r="C964" t="str">
        <f ca="1">IFERROR(__xludf.DUMMYFUNCTION("""COMPUTED_VALUE"""),"allix.north@dep.state.fl.us")</f>
        <v>allix.north@dep.state.fl.us</v>
      </c>
      <c r="D964" t="str">
        <f ca="1">IFERROR(__xludf.DUMMYFUNCTION("""COMPUTED_VALUE"""),"Blythe Odzinski")</f>
        <v>Blythe Odzinski</v>
      </c>
      <c r="E964" t="str">
        <f ca="1">IFERROR(__xludf.DUMMYFUNCTION("""COMPUTED_VALUE"""),"Favor Dykes State Park")</f>
        <v>Favor Dykes State Park</v>
      </c>
      <c r="F964" s="13">
        <f ca="1">IFERROR(__xludf.DUMMYFUNCTION("""COMPUTED_VALUE"""),0.5625)</f>
        <v>0.5625</v>
      </c>
      <c r="G964" s="14">
        <f ca="1">IFERROR(__xludf.DUMMYFUNCTION("""COMPUTED_VALUE"""),44907)</f>
        <v>44907</v>
      </c>
      <c r="H964" t="str">
        <f ca="1">IFERROR(__xludf.DUMMYFUNCTION("""COMPUTED_VALUE"""),"Pellicer Creek Lower Transect and SET site")</f>
        <v>Pellicer Creek Lower Transect and SET site</v>
      </c>
      <c r="I964" s="15">
        <f ca="1">IFERROR(__xludf.DUMMYFUNCTION("""COMPUTED_VALUE"""),0.666666666667879)</f>
        <v>0.66666666666787899</v>
      </c>
      <c r="J964" s="16">
        <f ca="1">IFERROR(__xludf.DUMMYFUNCTION("""COMPUTED_VALUE"""),44907.7083333333)</f>
        <v>44907.708333333299</v>
      </c>
      <c r="K964" t="str">
        <f ca="1">IFERROR(__xludf.DUMMYFUNCTION("""COMPUTED_VALUE"""),"17ft Skiff (Marsha) FL0642GW DEP07239")</f>
        <v>17ft Skiff (Marsha) FL0642GW DEP07239</v>
      </c>
      <c r="M964" t="str">
        <f ca="1">IFERROR(__xludf.DUMMYFUNCTION("""COMPUTED_VALUE"""),"Ford F150 2018 (ML AP) - DEP21637")</f>
        <v>Ford F150 2018 (ML AP) - DEP21637</v>
      </c>
      <c r="N964" t="str">
        <f ca="1">IFERROR(__xludf.DUMMYFUNCTION("""COMPUTED_VALUE"""),"Allix North, (850) 420-7495, Greg Curry (239)682-4755 Rookery Bay NERR")</f>
        <v>Allix North, (850) 420-7495, Greg Curry (239)682-4755 Rookery Bay NERR</v>
      </c>
      <c r="O964" t="str">
        <f ca="1">IFERROR(__xludf.DUMMYFUNCTION("""COMPUTED_VALUE"""),"Savanna Mathis, Jill Schmid Rookery Bay NERR")</f>
        <v>Savanna Mathis, Jill Schmid Rookery Bay NERR</v>
      </c>
      <c r="P964" t="str">
        <f ca="1">IFERROR(__xludf.DUMMYFUNCTION("""COMPUTED_VALUE"""),"Allix North")</f>
        <v>Allix North</v>
      </c>
      <c r="AD964" t="str">
        <f ca="1">IFERROR(__xludf.DUMMYFUNCTION("""COMPUTED_VALUE"""),"Good")</f>
        <v>Good</v>
      </c>
      <c r="AE964" s="11" t="str">
        <f ca="1">IFERROR(__xludf.DUMMYFUNCTION("""COMPUTED_VALUE"""),"Good")</f>
        <v>Good</v>
      </c>
      <c r="AF964" t="str">
        <v>Blythe.Odzinski@floridadep.gov</v>
      </c>
      <c r="AG964" s="17" t="s">
        <v>17</v>
      </c>
      <c r="AH964" s="12">
        <v>1550</v>
      </c>
      <c r="AI964" s="12" t="s">
        <v>2846</v>
      </c>
      <c r="AJ964" s="19" t="s">
        <v>2847</v>
      </c>
      <c r="AK964" s="20" t="str">
        <f>HYPERLINK("https://docs.google.com/document/d/1JkH8yjET55FIGYZsYWYdzq0b7YO-szZL847QUpB-Ovs/edit?usp=drivesdk","Allix North - 12/12/2022 1:30 PM")</f>
        <v>Allix North - 12/12/2022 1:30 PM</v>
      </c>
      <c r="AL964" s="12" t="s">
        <v>2848</v>
      </c>
    </row>
    <row r="965" spans="1:38" ht="12.75">
      <c r="A965" s="10">
        <f ca="1">IFERROR(__xludf.DUMMYFUNCTION("""COMPUTED_VALUE"""),44911.2757534143)</f>
        <v>44911.275753414302</v>
      </c>
      <c r="B965" s="11" t="str">
        <f ca="1">IFERROR(__xludf.DUMMYFUNCTION("""COMPUTED_VALUE"""),"Jacob Berna")</f>
        <v>Jacob Berna</v>
      </c>
      <c r="C965" t="str">
        <f ca="1">IFERROR(__xludf.DUMMYFUNCTION("""COMPUTED_VALUE"""),"Jacob.Berna@FloridaDEP.gov")</f>
        <v>Jacob.Berna@FloridaDEP.gov</v>
      </c>
      <c r="D965" t="str">
        <f ca="1">IFERROR(__xludf.DUMMYFUNCTION("""COMPUTED_VALUE"""),"Blythe Odzinski")</f>
        <v>Blythe Odzinski</v>
      </c>
      <c r="E965" t="str">
        <f ca="1">IFERROR(__xludf.DUMMYFUNCTION("""COMPUTED_VALUE"""),"Usina")</f>
        <v>Usina</v>
      </c>
      <c r="F965" s="13">
        <f ca="1">IFERROR(__xludf.DUMMYFUNCTION("""COMPUTED_VALUE"""),0.28125)</f>
        <v>0.28125</v>
      </c>
      <c r="G965" s="14">
        <f ca="1">IFERROR(__xludf.DUMMYFUNCTION("""COMPUTED_VALUE"""),44911)</f>
        <v>44911</v>
      </c>
      <c r="H965" t="str">
        <f ca="1">IFERROR(__xludf.DUMMYFUNCTION("""COMPUTED_VALUE"""),"St Augustine oyster reefs")</f>
        <v>St Augustine oyster reefs</v>
      </c>
      <c r="I965" s="15">
        <f ca="1">IFERROR(__xludf.DUMMYFUNCTION("""COMPUTED_VALUE"""),0.64583333333212)</f>
        <v>0.64583333333212001</v>
      </c>
      <c r="J965" s="16">
        <f ca="1">IFERROR(__xludf.DUMMYFUNCTION("""COMPUTED_VALUE"""),44911.6666666666)</f>
        <v>44911.666666666599</v>
      </c>
      <c r="K965" t="str">
        <f ca="1">IFERROR(__xludf.DUMMYFUNCTION("""COMPUTED_VALUE"""),"23ft Skiff (Bertha) FL7972LJ DEP07613")</f>
        <v>23ft Skiff (Bertha) FL7972LJ DEP07613</v>
      </c>
      <c r="M965" t="str">
        <f ca="1">IFERROR(__xludf.DUMMYFUNCTION("""COMPUTED_VALUE"""),"Ford F150 2015 (White) - DEP21448")</f>
        <v>Ford F150 2015 (White) - DEP21448</v>
      </c>
      <c r="N965" t="str">
        <f ca="1">IFERROR(__xludf.DUMMYFUNCTION("""COMPUTED_VALUE"""),"Jacob Berna (904)-392-1966")</f>
        <v>Jacob Berna (904)-392-1966</v>
      </c>
      <c r="O965" t="str">
        <f ca="1">IFERROR(__xludf.DUMMYFUNCTION("""COMPUTED_VALUE"""),"Nikki, Sarah, Joseph agee")</f>
        <v>Nikki, Sarah, Joseph agee</v>
      </c>
      <c r="P965" t="str">
        <f ca="1">IFERROR(__xludf.DUMMYFUNCTION("""COMPUTED_VALUE"""),"Jacob Berna")</f>
        <v>Jacob Berna</v>
      </c>
      <c r="AE965" s="11"/>
      <c r="AF965" t="str">
        <v>Blythe.Odzinski@floridadep.gov</v>
      </c>
      <c r="AG965" s="17" t="s">
        <v>17</v>
      </c>
      <c r="AH965" s="12">
        <v>1055</v>
      </c>
      <c r="AI965" s="12" t="s">
        <v>2849</v>
      </c>
      <c r="AJ965" s="19" t="s">
        <v>2850</v>
      </c>
      <c r="AK965" s="20" t="str">
        <f>HYPERLINK("https://docs.google.com/document/d/19-5F91WwjsX9ALFpBNsas3vcPBSJAXUKLTN5kotamW4/edit?usp=drivesdk","Jacob Berna - 12/16/2022 6:45 AM")</f>
        <v>Jacob Berna - 12/16/2022 6:45 AM</v>
      </c>
      <c r="AL965" s="12" t="s">
        <v>2851</v>
      </c>
    </row>
    <row r="966" spans="1:38" ht="12.75">
      <c r="A966" s="10">
        <f ca="1">IFERROR(__xludf.DUMMYFUNCTION("""COMPUTED_VALUE"""),44913.2259499884)</f>
        <v>44913.225949988402</v>
      </c>
      <c r="B966" s="11" t="str">
        <f ca="1">IFERROR(__xludf.DUMMYFUNCTION("""COMPUTED_VALUE"""),"Jimmy")</f>
        <v>Jimmy</v>
      </c>
      <c r="C966" t="str">
        <f ca="1">IFERROR(__xludf.DUMMYFUNCTION("""COMPUTED_VALUE"""),"james.tomazinis@floridadep.gov")</f>
        <v>james.tomazinis@floridadep.gov</v>
      </c>
      <c r="D966" t="str">
        <f ca="1">IFERROR(__xludf.DUMMYFUNCTION("""COMPUTED_VALUE"""),"Scott Eastman")</f>
        <v>Scott Eastman</v>
      </c>
      <c r="E966" t="str">
        <f ca="1">IFERROR(__xludf.DUMMYFUNCTION("""COMPUTED_VALUE"""),"Vilano")</f>
        <v>Vilano</v>
      </c>
      <c r="F966" s="13">
        <f ca="1">IFERROR(__xludf.DUMMYFUNCTION("""COMPUTED_VALUE"""),0.354166666667879)</f>
        <v>0.35416666666787899</v>
      </c>
      <c r="G966" s="14">
        <f ca="1">IFERROR(__xludf.DUMMYFUNCTION("""COMPUTED_VALUE"""),44913)</f>
        <v>44913</v>
      </c>
      <c r="H966" t="str">
        <f ca="1">IFERROR(__xludf.DUMMYFUNCTION("""COMPUTED_VALUE"""),"Tolomato River to Shell Bluff")</f>
        <v>Tolomato River to Shell Bluff</v>
      </c>
      <c r="I966" s="15">
        <f ca="1">IFERROR(__xludf.DUMMYFUNCTION("""COMPUTED_VALUE"""),0.541666666667879)</f>
        <v>0.54166666666787899</v>
      </c>
      <c r="J966" s="16"/>
      <c r="K966" t="str">
        <f ca="1">IFERROR(__xludf.DUMMYFUNCTION("""COMPUTED_VALUE"""),"23ft Skiff (Bertha) FL7972LJ DEP07613")</f>
        <v>23ft Skiff (Bertha) FL7972LJ DEP07613</v>
      </c>
      <c r="M966" t="str">
        <f ca="1">IFERROR(__xludf.DUMMYFUNCTION("""COMPUTED_VALUE"""),"Ford F150 2007 (F-Bomb) - DEP07055")</f>
        <v>Ford F150 2007 (F-Bomb) - DEP07055</v>
      </c>
      <c r="N966" t="str">
        <f ca="1">IFERROR(__xludf.DUMMYFUNCTION("""COMPUTED_VALUE"""),"Jimmy Tomazinis, (904) 547-0094")</f>
        <v>Jimmy Tomazinis, (904) 547-0094</v>
      </c>
      <c r="O966" t="str">
        <f ca="1">IFERROR(__xludf.DUMMYFUNCTION("""COMPUTED_VALUE"""),"Lia Sansom, (520) 940-4888, Zach Lepera, Ky ")</f>
        <v xml:space="preserve">Lia Sansom, (520) 940-4888, Zach Lepera, Ky </v>
      </c>
      <c r="P966" t="str">
        <f ca="1">IFERROR(__xludf.DUMMYFUNCTION("""COMPUTED_VALUE"""),"Jimmy")</f>
        <v>Jimmy</v>
      </c>
      <c r="AE966" s="11"/>
      <c r="AF966" t="str">
        <v>Scott.Eastman@floridadep.gov</v>
      </c>
      <c r="AG966" s="17" t="s">
        <v>21</v>
      </c>
      <c r="AH966" s="12">
        <v>1300</v>
      </c>
      <c r="AI966" s="12" t="s">
        <v>2852</v>
      </c>
      <c r="AJ966" s="19" t="s">
        <v>2853</v>
      </c>
      <c r="AK966" s="20" t="str">
        <f>HYPERLINK("https://docs.google.com/document/d/1lkoSIuZV_dmplgtLpfr-4J0RP6kvS6QHaoT8faNnYmg/edit?usp=drivesdk","Jimmy - 12/18/2022 8:30 AM")</f>
        <v>Jimmy - 12/18/2022 8:30 AM</v>
      </c>
      <c r="AL966" s="12" t="s">
        <v>2854</v>
      </c>
    </row>
    <row r="967" spans="1:38" ht="12.75">
      <c r="A967" s="10">
        <f ca="1">IFERROR(__xludf.DUMMYFUNCTION("""COMPUTED_VALUE"""),44915.394526956)</f>
        <v>44915.394526955999</v>
      </c>
      <c r="B967" s="11" t="str">
        <f ca="1">IFERROR(__xludf.DUMMYFUNCTION("""COMPUTED_VALUE"""),"Silas Tanner")</f>
        <v>Silas Tanner</v>
      </c>
      <c r="C967" t="str">
        <f ca="1">IFERROR(__xludf.DUMMYFUNCTION("""COMPUTED_VALUE"""),"silas.tanner@floridadep.gov")</f>
        <v>silas.tanner@floridadep.gov</v>
      </c>
      <c r="D967" t="str">
        <f ca="1">IFERROR(__xludf.DUMMYFUNCTION("""COMPUTED_VALUE"""),"Nikki Dix")</f>
        <v>Nikki Dix</v>
      </c>
      <c r="E967" t="str">
        <f ca="1">IFERROR(__xludf.DUMMYFUNCTION("""COMPUTED_VALUE"""),"Vilano Landing")</f>
        <v>Vilano Landing</v>
      </c>
      <c r="F967" s="13">
        <f ca="1">IFERROR(__xludf.DUMMYFUNCTION("""COMPUTED_VALUE"""),0.45833333333212)</f>
        <v>0.45833333333212001</v>
      </c>
      <c r="G967" s="14">
        <f ca="1">IFERROR(__xludf.DUMMYFUNCTION("""COMPUTED_VALUE"""),44915)</f>
        <v>44915</v>
      </c>
      <c r="H967" t="str">
        <f ca="1">IFERROR(__xludf.DUMMYFUNCTION("""COMPUTED_VALUE"""),"ICW SWMP sites")</f>
        <v>ICW SWMP sites</v>
      </c>
      <c r="I967" s="15">
        <f ca="1">IFERROR(__xludf.DUMMYFUNCTION("""COMPUTED_VALUE"""),0.625)</f>
        <v>0.625</v>
      </c>
      <c r="J967" s="16">
        <f ca="1">IFERROR(__xludf.DUMMYFUNCTION("""COMPUTED_VALUE"""),44915.6458333333)</f>
        <v>44915.645833333299</v>
      </c>
      <c r="K967" t="str">
        <f ca="1">IFERROR(__xludf.DUMMYFUNCTION("""COMPUTED_VALUE"""),"23ft Skiff (Bertha) FL7972LJ DEP07613")</f>
        <v>23ft Skiff (Bertha) FL7972LJ DEP07613</v>
      </c>
      <c r="M967" t="str">
        <f ca="1">IFERROR(__xludf.DUMMYFUNCTION("""COMPUTED_VALUE"""),"Ford F250 2017 (Moby Dix) - DEP0021578")</f>
        <v>Ford F250 2017 (Moby Dix) - DEP0021578</v>
      </c>
      <c r="N967" t="str">
        <f ca="1">IFERROR(__xludf.DUMMYFUNCTION("""COMPUTED_VALUE"""),"Silas Tanner, (904) 483-8423, Remo Mondazzi")</f>
        <v>Silas Tanner, (904) 483-8423, Remo Mondazzi</v>
      </c>
      <c r="P967" t="str">
        <f ca="1">IFERROR(__xludf.DUMMYFUNCTION("""COMPUTED_VALUE"""),"Silas Tanner")</f>
        <v>Silas Tanner</v>
      </c>
      <c r="AE967" s="11"/>
      <c r="AF967" t="str">
        <v>Nikki.Dix@floridadep.gov</v>
      </c>
      <c r="AG967" s="17" t="s">
        <v>41</v>
      </c>
      <c r="AH967" s="12">
        <v>1345</v>
      </c>
      <c r="AI967" s="12" t="s">
        <v>2855</v>
      </c>
      <c r="AJ967" s="19" t="s">
        <v>2856</v>
      </c>
      <c r="AK967" s="20" t="str">
        <f>HYPERLINK("https://docs.google.com/document/d/1NEYka_0hwOS8Orqa0tmV85I3OlDD8X8y6VtYblhbHQw/edit?usp=drivesdk","Silas Tanner - 12/20/2022 11:00 AM")</f>
        <v>Silas Tanner - 12/20/2022 11:00 AM</v>
      </c>
      <c r="AL967" s="12" t="s">
        <v>2857</v>
      </c>
    </row>
    <row r="968" spans="1:38" ht="12.75">
      <c r="A968" s="10">
        <f ca="1">IFERROR(__xludf.DUMMYFUNCTION("""COMPUTED_VALUE"""),44916.4249492129)</f>
        <v>44916.424949212902</v>
      </c>
      <c r="B968" s="11" t="str">
        <f ca="1">IFERROR(__xludf.DUMMYFUNCTION("""COMPUTED_VALUE"""),"Jacob Berna")</f>
        <v>Jacob Berna</v>
      </c>
      <c r="C968" t="str">
        <f ca="1">IFERROR(__xludf.DUMMYFUNCTION("""COMPUTED_VALUE"""),"Jacob.Berna@FloridaDEP.gov")</f>
        <v>Jacob.Berna@FloridaDEP.gov</v>
      </c>
      <c r="D968" t="str">
        <f ca="1">IFERROR(__xludf.DUMMYFUNCTION("""COMPUTED_VALUE"""),"Nikki Dix")</f>
        <v>Nikki Dix</v>
      </c>
      <c r="E968" t="str">
        <f ca="1">IFERROR(__xludf.DUMMYFUNCTION("""COMPUTED_VALUE"""),"Vilano ")</f>
        <v xml:space="preserve">Vilano </v>
      </c>
      <c r="F968" s="13">
        <f ca="1">IFERROR(__xludf.DUMMYFUNCTION("""COMPUTED_VALUE"""),0.42708333333212)</f>
        <v>0.42708333333212001</v>
      </c>
      <c r="G968" s="14">
        <f ca="1">IFERROR(__xludf.DUMMYFUNCTION("""COMPUTED_VALUE"""),44916)</f>
        <v>44916</v>
      </c>
      <c r="H968" t="str">
        <f ca="1">IFERROR(__xludf.DUMMYFUNCTION("""COMPUTED_VALUE"""),"Salt run")</f>
        <v>Salt run</v>
      </c>
      <c r="I968" s="15">
        <f ca="1">IFERROR(__xludf.DUMMYFUNCTION("""COMPUTED_VALUE"""),0.625)</f>
        <v>0.625</v>
      </c>
      <c r="J968" s="16">
        <f ca="1">IFERROR(__xludf.DUMMYFUNCTION("""COMPUTED_VALUE"""),44916.6666666666)</f>
        <v>44916.666666666599</v>
      </c>
      <c r="K968" t="str">
        <f ca="1">IFERROR(__xludf.DUMMYFUNCTION("""COMPUTED_VALUE"""),"23ft Skiff (Bertha) FL7972LJ DEP07613")</f>
        <v>23ft Skiff (Bertha) FL7972LJ DEP07613</v>
      </c>
      <c r="M968" t="str">
        <f ca="1">IFERROR(__xludf.DUMMYFUNCTION("""COMPUTED_VALUE"""),"Ford F250 2017 (Moby Dix) - DEP0021578")</f>
        <v>Ford F250 2017 (Moby Dix) - DEP0021578</v>
      </c>
      <c r="N968" t="str">
        <f ca="1">IFERROR(__xludf.DUMMYFUNCTION("""COMPUTED_VALUE"""),"Jacob Berna")</f>
        <v>Jacob Berna</v>
      </c>
      <c r="O968" t="str">
        <f ca="1">IFERROR(__xludf.DUMMYFUNCTION("""COMPUTED_VALUE"""),"Anastasia Utley, Jeff Finnain, Pam korchun")</f>
        <v>Anastasia Utley, Jeff Finnain, Pam korchun</v>
      </c>
      <c r="P968" t="str">
        <f ca="1">IFERROR(__xludf.DUMMYFUNCTION("""COMPUTED_VALUE"""),"Jacob Berna")</f>
        <v>Jacob Berna</v>
      </c>
      <c r="AE968" s="11"/>
      <c r="AF968" t="str">
        <v>Nikki.Dix@floridadep.gov</v>
      </c>
      <c r="AG968" s="17" t="s">
        <v>41</v>
      </c>
      <c r="AH968" s="12">
        <v>1328</v>
      </c>
      <c r="AI968" s="12" t="s">
        <v>2858</v>
      </c>
      <c r="AJ968" s="19" t="s">
        <v>2859</v>
      </c>
      <c r="AK968" s="20" t="str">
        <f>HYPERLINK("https://docs.google.com/document/d/1JATayVX_khwNwcx-kKNUyfDfN9jocGSePajdp6w5mVw/edit?usp=drivesdk","Jacob Berna - 12/21/2022 10:15 AM")</f>
        <v>Jacob Berna - 12/21/2022 10:15 AM</v>
      </c>
      <c r="AL968" s="12" t="s">
        <v>2860</v>
      </c>
    </row>
    <row r="969" spans="1:38" ht="12.75">
      <c r="A969" s="10">
        <f ca="1">IFERROR(__xludf.DUMMYFUNCTION("""COMPUTED_VALUE"""),44930.4595164351)</f>
        <v>44930.459516435098</v>
      </c>
      <c r="B969" s="11" t="str">
        <f ca="1">IFERROR(__xludf.DUMMYFUNCTION("""COMPUTED_VALUE"""),"Jacob Berna")</f>
        <v>Jacob Berna</v>
      </c>
      <c r="C969" t="str">
        <f ca="1">IFERROR(__xludf.DUMMYFUNCTION("""COMPUTED_VALUE"""),"Jacob.Berna@FloridaDEP.gov")</f>
        <v>Jacob.Berna@FloridaDEP.gov</v>
      </c>
      <c r="D969" t="str">
        <f ca="1">IFERROR(__xludf.DUMMYFUNCTION("""COMPUTED_VALUE"""),"Nikki Dix")</f>
        <v>Nikki Dix</v>
      </c>
      <c r="E969" t="str">
        <f ca="1">IFERROR(__xludf.DUMMYFUNCTION("""COMPUTED_VALUE"""),"Vilano")</f>
        <v>Vilano</v>
      </c>
      <c r="F969" s="13">
        <f ca="1">IFERROR(__xludf.DUMMYFUNCTION("""COMPUTED_VALUE"""),0.46875)</f>
        <v>0.46875</v>
      </c>
      <c r="G969" s="14">
        <f ca="1">IFERROR(__xludf.DUMMYFUNCTION("""COMPUTED_VALUE"""),44930)</f>
        <v>44930</v>
      </c>
      <c r="H969" t="str">
        <f ca="1">IFERROR(__xludf.DUMMYFUNCTION("""COMPUTED_VALUE"""),"Salt Run Reefs")</f>
        <v>Salt Run Reefs</v>
      </c>
      <c r="I969" s="15">
        <f ca="1">IFERROR(__xludf.DUMMYFUNCTION("""COMPUTED_VALUE"""),0.666666666667879)</f>
        <v>0.66666666666787899</v>
      </c>
      <c r="J969" s="16">
        <f ca="1">IFERROR(__xludf.DUMMYFUNCTION("""COMPUTED_VALUE"""),44930.6875)</f>
        <v>44930.6875</v>
      </c>
      <c r="K969" t="str">
        <f ca="1">IFERROR(__xludf.DUMMYFUNCTION("""COMPUTED_VALUE"""),"23ft Skiff (Bertha) FL7972LJ DEP07613")</f>
        <v>23ft Skiff (Bertha) FL7972LJ DEP07613</v>
      </c>
      <c r="M969" t="str">
        <f ca="1">IFERROR(__xludf.DUMMYFUNCTION("""COMPUTED_VALUE"""),"Ford F250 2017 (Moby Dix) - DEP0021578")</f>
        <v>Ford F250 2017 (Moby Dix) - DEP0021578</v>
      </c>
      <c r="N969" t="str">
        <f ca="1">IFERROR(__xludf.DUMMYFUNCTION("""COMPUTED_VALUE"""),"Jacob Berna")</f>
        <v>Jacob Berna</v>
      </c>
      <c r="O969" t="str">
        <f ca="1">IFERROR(__xludf.DUMMYFUNCTION("""COMPUTED_VALUE"""),"Jeff Finnain, Nathan")</f>
        <v>Jeff Finnain, Nathan</v>
      </c>
      <c r="P969" t="str">
        <f ca="1">IFERROR(__xludf.DUMMYFUNCTION("""COMPUTED_VALUE"""),"Jacob Berna")</f>
        <v>Jacob Berna</v>
      </c>
      <c r="AE969" s="11"/>
      <c r="AF969" t="str">
        <v>Nikki.Dix@floridadep.gov</v>
      </c>
      <c r="AG969" s="17" t="s">
        <v>41</v>
      </c>
      <c r="AH969" s="12">
        <v>1538</v>
      </c>
      <c r="AI969" s="12" t="s">
        <v>2861</v>
      </c>
      <c r="AJ969" s="19" t="s">
        <v>2862</v>
      </c>
      <c r="AK969" s="20" t="str">
        <f>HYPERLINK("https://docs.google.com/document/d/18kkCIIc2g5bj-85gxt_blcEmZXwl3A2nT0qLYX5LJ48/edit?usp=drivesdk","Jacob Berna - 1/4/2023 11:15 AM")</f>
        <v>Jacob Berna - 1/4/2023 11:15 AM</v>
      </c>
      <c r="AL969" s="12" t="s">
        <v>2863</v>
      </c>
    </row>
    <row r="970" spans="1:38" ht="12.75">
      <c r="A970" s="10">
        <f ca="1">IFERROR(__xludf.DUMMYFUNCTION("""COMPUTED_VALUE"""),44931.3258514467)</f>
        <v>44931.325851446702</v>
      </c>
      <c r="B970" s="11" t="str">
        <f ca="1">IFERROR(__xludf.DUMMYFUNCTION("""COMPUTED_VALUE"""),"Jessica Lee")</f>
        <v>Jessica Lee</v>
      </c>
      <c r="C970" t="str">
        <f ca="1">IFERROR(__xludf.DUMMYFUNCTION("""COMPUTED_VALUE"""),"jessica.lee@floridadep.gov")</f>
        <v>jessica.lee@floridadep.gov</v>
      </c>
      <c r="D970" t="str">
        <f ca="1">IFERROR(__xludf.DUMMYFUNCTION("""COMPUTED_VALUE"""),"Nikki Dix")</f>
        <v>Nikki Dix</v>
      </c>
      <c r="E970" t="str">
        <f ca="1">IFERROR(__xludf.DUMMYFUNCTION("""COMPUTED_VALUE"""),"Guana River")</f>
        <v>Guana River</v>
      </c>
      <c r="F970" s="13">
        <f ca="1">IFERROR(__xludf.DUMMYFUNCTION("""COMPUTED_VALUE"""),0.34375)</f>
        <v>0.34375</v>
      </c>
      <c r="G970" s="14">
        <f ca="1">IFERROR(__xludf.DUMMYFUNCTION("""COMPUTED_VALUE"""),44931)</f>
        <v>44931</v>
      </c>
      <c r="H970" t="str">
        <f ca="1">IFERROR(__xludf.DUMMYFUNCTION("""COMPUTED_VALUE"""),"Guana River")</f>
        <v>Guana River</v>
      </c>
      <c r="I970" s="15">
        <f ca="1">IFERROR(__xludf.DUMMYFUNCTION("""COMPUTED_VALUE"""),0.39583333333212)</f>
        <v>0.39583333333212001</v>
      </c>
      <c r="J970" s="16">
        <f ca="1">IFERROR(__xludf.DUMMYFUNCTION("""COMPUTED_VALUE"""),44931.40625)</f>
        <v>44931.40625</v>
      </c>
      <c r="K970" t="str">
        <f ca="1">IFERROR(__xludf.DUMMYFUNCTION("""COMPUTED_VALUE"""),"Jon Boat 1 FL5992RR DEP154045")</f>
        <v>Jon Boat 1 FL5992RR DEP154045</v>
      </c>
      <c r="M970" t="str">
        <f ca="1">IFERROR(__xludf.DUMMYFUNCTION("""COMPUTED_VALUE"""),"Ford F150 2015 (White) - DEP21448")</f>
        <v>Ford F150 2015 (White) - DEP21448</v>
      </c>
      <c r="N970" t="str">
        <f ca="1">IFERROR(__xludf.DUMMYFUNCTION("""COMPUTED_VALUE"""),"Jessica Lee, (813) 748-2228")</f>
        <v>Jessica Lee, (813) 748-2228</v>
      </c>
      <c r="O970" t="str">
        <f ca="1">IFERROR(__xludf.DUMMYFUNCTION("""COMPUTED_VALUE"""),"Jenna")</f>
        <v>Jenna</v>
      </c>
      <c r="P970" t="str">
        <f ca="1">IFERROR(__xludf.DUMMYFUNCTION("""COMPUTED_VALUE"""),"Jess Lee")</f>
        <v>Jess Lee</v>
      </c>
      <c r="AE970" s="11"/>
      <c r="AF970" t="str">
        <v>Nikki.Dix@floridadep.gov</v>
      </c>
      <c r="AG970" s="17" t="s">
        <v>41</v>
      </c>
      <c r="AH970" s="12">
        <v>930</v>
      </c>
      <c r="AI970" s="12" t="s">
        <v>2864</v>
      </c>
      <c r="AJ970" s="19" t="s">
        <v>2865</v>
      </c>
      <c r="AK970" s="20" t="str">
        <f>HYPERLINK("https://docs.google.com/document/d/1B63RMZQIkQ_BQTBIsxz4sFoBhexgNi7hgFafs-r5sTU/edit?usp=drivesdk","Jessica Lee - 1/5/2023 8:15 AM")</f>
        <v>Jessica Lee - 1/5/2023 8:15 AM</v>
      </c>
      <c r="AL970" s="12" t="s">
        <v>2866</v>
      </c>
    </row>
    <row r="971" spans="1:38" ht="12.75">
      <c r="A971" s="10">
        <f ca="1">IFERROR(__xludf.DUMMYFUNCTION("""COMPUTED_VALUE"""),44931.4781291666)</f>
        <v>44931.4781291666</v>
      </c>
      <c r="B971" s="11" t="str">
        <f ca="1">IFERROR(__xludf.DUMMYFUNCTION("""COMPUTED_VALUE"""),"Jacob Berna")</f>
        <v>Jacob Berna</v>
      </c>
      <c r="C971" t="str">
        <f ca="1">IFERROR(__xludf.DUMMYFUNCTION("""COMPUTED_VALUE"""),"Jacob.Berna@FloridaDEP.gov")</f>
        <v>Jacob.Berna@FloridaDEP.gov</v>
      </c>
      <c r="D971" t="str">
        <f ca="1">IFERROR(__xludf.DUMMYFUNCTION("""COMPUTED_VALUE"""),"Nikki Dix")</f>
        <v>Nikki Dix</v>
      </c>
      <c r="E971" t="str">
        <f ca="1">IFERROR(__xludf.DUMMYFUNCTION("""COMPUTED_VALUE"""),"Vilano")</f>
        <v>Vilano</v>
      </c>
      <c r="F971" s="13">
        <f ca="1">IFERROR(__xludf.DUMMYFUNCTION("""COMPUTED_VALUE"""),0.48958333333212)</f>
        <v>0.48958333333212001</v>
      </c>
      <c r="G971" s="14">
        <f ca="1">IFERROR(__xludf.DUMMYFUNCTION("""COMPUTED_VALUE"""),44931)</f>
        <v>44931</v>
      </c>
      <c r="H971" t="str">
        <f ca="1">IFERROR(__xludf.DUMMYFUNCTION("""COMPUTED_VALUE"""),"Salt Run Reefs")</f>
        <v>Salt Run Reefs</v>
      </c>
      <c r="I971" s="15">
        <f ca="1">IFERROR(__xludf.DUMMYFUNCTION("""COMPUTED_VALUE"""),0.70833333333212)</f>
        <v>0.70833333333212001</v>
      </c>
      <c r="J971" s="16">
        <f ca="1">IFERROR(__xludf.DUMMYFUNCTION("""COMPUTED_VALUE"""),44931.7291666666)</f>
        <v>44931.729166666599</v>
      </c>
      <c r="K971" t="str">
        <f ca="1">IFERROR(__xludf.DUMMYFUNCTION("""COMPUTED_VALUE"""),"23ft Skiff (Bertha) FL7972LJ DEP07613")</f>
        <v>23ft Skiff (Bertha) FL7972LJ DEP07613</v>
      </c>
      <c r="M971" t="str">
        <f ca="1">IFERROR(__xludf.DUMMYFUNCTION("""COMPUTED_VALUE"""),"Ford F250 2017 (Moby Dix) - DEP0021578")</f>
        <v>Ford F250 2017 (Moby Dix) - DEP0021578</v>
      </c>
      <c r="N971" t="str">
        <f ca="1">IFERROR(__xludf.DUMMYFUNCTION("""COMPUTED_VALUE"""),"Jacob Berna")</f>
        <v>Jacob Berna</v>
      </c>
      <c r="O971" t="str">
        <f ca="1">IFERROR(__xludf.DUMMYFUNCTION("""COMPUTED_VALUE"""),"Pam, Jeff, Mike, Michelle ")</f>
        <v xml:space="preserve">Pam, Jeff, Mike, Michelle </v>
      </c>
      <c r="P971" t="str">
        <f ca="1">IFERROR(__xludf.DUMMYFUNCTION("""COMPUTED_VALUE"""),"Jacob Berna")</f>
        <v>Jacob Berna</v>
      </c>
      <c r="AE971" s="11"/>
      <c r="AF971" t="str">
        <v>Nikki.Dix@floridadep.gov</v>
      </c>
      <c r="AG971" s="17" t="s">
        <v>41</v>
      </c>
      <c r="AH971" s="12">
        <v>1554</v>
      </c>
      <c r="AI971" s="12" t="s">
        <v>2867</v>
      </c>
      <c r="AJ971" s="19" t="s">
        <v>2868</v>
      </c>
      <c r="AK971" s="20" t="str">
        <f>HYPERLINK("https://docs.google.com/document/d/1BWI4STkMAyxVFDTLuzKlp2Hl95nY7ZiRiiNar2110DE/edit?usp=drivesdk","Jacob Berna - 1/5/2023 11:45 AM")</f>
        <v>Jacob Berna - 1/5/2023 11:45 AM</v>
      </c>
      <c r="AL971" s="12" t="s">
        <v>2869</v>
      </c>
    </row>
    <row r="972" spans="1:38" ht="12.75">
      <c r="A972" s="10">
        <f ca="1">IFERROR(__xludf.DUMMYFUNCTION("""COMPUTED_VALUE"""),44932.3255437615)</f>
        <v>44932.325543761501</v>
      </c>
      <c r="B972" s="11" t="str">
        <f ca="1">IFERROR(__xludf.DUMMYFUNCTION("""COMPUTED_VALUE"""),"Jimmy ")</f>
        <v xml:space="preserve">Jimmy </v>
      </c>
      <c r="C972" t="str">
        <f ca="1">IFERROR(__xludf.DUMMYFUNCTION("""COMPUTED_VALUE"""),"james.tomazinis@floridadep.gov")</f>
        <v>james.tomazinis@floridadep.gov</v>
      </c>
      <c r="D972" t="str">
        <f ca="1">IFERROR(__xludf.DUMMYFUNCTION("""COMPUTED_VALUE"""),"Scott Eastman")</f>
        <v>Scott Eastman</v>
      </c>
      <c r="E972" t="str">
        <f ca="1">IFERROR(__xludf.DUMMYFUNCTION("""COMPUTED_VALUE"""),"Nelson Melton")</f>
        <v>Nelson Melton</v>
      </c>
      <c r="F972" s="13">
        <f ca="1">IFERROR(__xludf.DUMMYFUNCTION("""COMPUTED_VALUE"""),0.979166666667879)</f>
        <v>0.97916666666787899</v>
      </c>
      <c r="G972" s="14">
        <f ca="1">IFERROR(__xludf.DUMMYFUNCTION("""COMPUTED_VALUE"""),44932)</f>
        <v>44932</v>
      </c>
      <c r="H972" t="str">
        <f ca="1">IFERROR(__xludf.DUMMYFUNCTION("""COMPUTED_VALUE"""),"Lofton Creek")</f>
        <v>Lofton Creek</v>
      </c>
      <c r="I972" s="15">
        <f ca="1">IFERROR(__xludf.DUMMYFUNCTION("""COMPUTED_VALUE"""),0.625)</f>
        <v>0.625</v>
      </c>
      <c r="J972" s="16"/>
      <c r="K972" t="str">
        <f ca="1">IFERROR(__xludf.DUMMYFUNCTION("""COMPUTED_VALUE"""),"F 20ft Sea Ark (Easy 200) FL8534PY DEP21451")</f>
        <v>F 20ft Sea Ark (Easy 200) FL8534PY DEP21451</v>
      </c>
      <c r="M972" t="str">
        <f ca="1">IFERROR(__xludf.DUMMYFUNCTION("""COMPUTED_VALUE"""),"2022 NEAP F150")</f>
        <v>2022 NEAP F150</v>
      </c>
      <c r="N972" t="str">
        <f ca="1">IFERROR(__xludf.DUMMYFUNCTION("""COMPUTED_VALUE"""),"Jimmy Tomazinis, (904) 547-0094")</f>
        <v>Jimmy Tomazinis, (904) 547-0094</v>
      </c>
      <c r="O972" t="str">
        <f ca="1">IFERROR(__xludf.DUMMYFUNCTION("""COMPUTED_VALUE"""),"Chirs Kurtz")</f>
        <v>Chirs Kurtz</v>
      </c>
      <c r="P972" t="str">
        <f ca="1">IFERROR(__xludf.DUMMYFUNCTION("""COMPUTED_VALUE"""),"Jimmy")</f>
        <v>Jimmy</v>
      </c>
      <c r="AE972" s="11"/>
      <c r="AF972" t="str">
        <v>Scott.Eastman@floridadep.gov</v>
      </c>
      <c r="AG972" s="17" t="s">
        <v>17</v>
      </c>
      <c r="AH972" s="12">
        <v>1510</v>
      </c>
      <c r="AI972" s="12" t="s">
        <v>2870</v>
      </c>
      <c r="AJ972" s="19" t="s">
        <v>2871</v>
      </c>
      <c r="AK972" s="20" t="str">
        <f>HYPERLINK("https://docs.google.com/document/d/1-COIe64KcBgQpzgwIEMpHdKS_zv38ySIKRk2kkuH8-8/edit?usp=drivesdk","Jimmy  - 1/6/2023 11:30 PM")</f>
        <v>Jimmy  - 1/6/2023 11:30 PM</v>
      </c>
      <c r="AL972" s="12" t="s">
        <v>2872</v>
      </c>
    </row>
    <row r="973" spans="1:38" ht="12.75">
      <c r="A973" s="10">
        <f ca="1">IFERROR(__xludf.DUMMYFUNCTION("""COMPUTED_VALUE"""),44932.4988384143)</f>
        <v>44932.4988384143</v>
      </c>
      <c r="B973" s="11" t="str">
        <f ca="1">IFERROR(__xludf.DUMMYFUNCTION("""COMPUTED_VALUE"""),"Jacob Berna")</f>
        <v>Jacob Berna</v>
      </c>
      <c r="C973" t="str">
        <f ca="1">IFERROR(__xludf.DUMMYFUNCTION("""COMPUTED_VALUE"""),"Jacob.Berna@FloridaDEP.gov")</f>
        <v>Jacob.Berna@FloridaDEP.gov</v>
      </c>
      <c r="D973" t="str">
        <f ca="1">IFERROR(__xludf.DUMMYFUNCTION("""COMPUTED_VALUE"""),"Blythe Odzinski")</f>
        <v>Blythe Odzinski</v>
      </c>
      <c r="E973" t="str">
        <f ca="1">IFERROR(__xludf.DUMMYFUNCTION("""COMPUTED_VALUE"""),"Vilano")</f>
        <v>Vilano</v>
      </c>
      <c r="F973" s="13">
        <f ca="1">IFERROR(__xludf.DUMMYFUNCTION("""COMPUTED_VALUE"""),0.5)</f>
        <v>0.5</v>
      </c>
      <c r="G973" s="14">
        <f ca="1">IFERROR(__xludf.DUMMYFUNCTION("""COMPUTED_VALUE"""),44932)</f>
        <v>44932</v>
      </c>
      <c r="H973" t="str">
        <f ca="1">IFERROR(__xludf.DUMMYFUNCTION("""COMPUTED_VALUE"""),"Salt Run")</f>
        <v>Salt Run</v>
      </c>
      <c r="I973" s="15">
        <f ca="1">IFERROR(__xludf.DUMMYFUNCTION("""COMPUTED_VALUE"""),0.70833333333212)</f>
        <v>0.70833333333212001</v>
      </c>
      <c r="J973" s="16">
        <f ca="1">IFERROR(__xludf.DUMMYFUNCTION("""COMPUTED_VALUE"""),44932.7291666666)</f>
        <v>44932.729166666599</v>
      </c>
      <c r="K973" t="str">
        <f ca="1">IFERROR(__xludf.DUMMYFUNCTION("""COMPUTED_VALUE"""),"23ft Skiff (Bertha) FL7972LJ DEP07613")</f>
        <v>23ft Skiff (Bertha) FL7972LJ DEP07613</v>
      </c>
      <c r="M973" t="str">
        <f ca="1">IFERROR(__xludf.DUMMYFUNCTION("""COMPUTED_VALUE"""),"Ford F250 2017 (Moby Dix) - DEP0021578")</f>
        <v>Ford F250 2017 (Moby Dix) - DEP0021578</v>
      </c>
      <c r="N973" t="str">
        <f ca="1">IFERROR(__xludf.DUMMYFUNCTION("""COMPUTED_VALUE"""),"Jacob Berna")</f>
        <v>Jacob Berna</v>
      </c>
      <c r="O973" t="str">
        <f ca="1">IFERROR(__xludf.DUMMYFUNCTION("""COMPUTED_VALUE"""),"Jeff, Alee, Nikki, Michelle, Mike, Griffin")</f>
        <v>Jeff, Alee, Nikki, Michelle, Mike, Griffin</v>
      </c>
      <c r="P973" t="str">
        <f ca="1">IFERROR(__xludf.DUMMYFUNCTION("""COMPUTED_VALUE"""),"Jacob Berna")</f>
        <v>Jacob Berna</v>
      </c>
      <c r="AE973" s="11"/>
      <c r="AF973" t="str">
        <v>Blythe.Odzinski@floridadep.gov</v>
      </c>
      <c r="AG973" s="17" t="s">
        <v>17</v>
      </c>
      <c r="AH973" s="12">
        <v>1515</v>
      </c>
      <c r="AI973" s="12" t="s">
        <v>2873</v>
      </c>
      <c r="AJ973" s="19" t="s">
        <v>2874</v>
      </c>
      <c r="AK973" s="20" t="str">
        <f>HYPERLINK("https://docs.google.com/document/d/16R1Elvgge74p1YRX--lBcAapIqp4h7R8oqHwVevPvj4/edit?usp=drivesdk","Jacob Berna - 1/6/2023 12:00 PM")</f>
        <v>Jacob Berna - 1/6/2023 12:00 PM</v>
      </c>
      <c r="AL973" s="12" t="s">
        <v>2875</v>
      </c>
    </row>
    <row r="974" spans="1:38" ht="12.75">
      <c r="A974" s="10">
        <f ca="1">IFERROR(__xludf.DUMMYFUNCTION("""COMPUTED_VALUE"""),44934.7021966087)</f>
        <v>44934.702196608698</v>
      </c>
      <c r="B974" s="11" t="str">
        <f ca="1">IFERROR(__xludf.DUMMYFUNCTION("""COMPUTED_VALUE"""),"Silas Tanner")</f>
        <v>Silas Tanner</v>
      </c>
      <c r="C974" t="str">
        <f ca="1">IFERROR(__xludf.DUMMYFUNCTION("""COMPUTED_VALUE"""),"silas.tanner@floridadep.gov")</f>
        <v>silas.tanner@floridadep.gov</v>
      </c>
      <c r="D974" t="str">
        <f ca="1">IFERROR(__xludf.DUMMYFUNCTION("""COMPUTED_VALUE"""),"Nikki Dix")</f>
        <v>Nikki Dix</v>
      </c>
      <c r="E974" t="str">
        <f ca="1">IFERROR(__xludf.DUMMYFUNCTION("""COMPUTED_VALUE"""),"Vilano Landing")</f>
        <v>Vilano Landing</v>
      </c>
      <c r="F974" s="13">
        <f ca="1">IFERROR(__xludf.DUMMYFUNCTION("""COMPUTED_VALUE"""),0.375)</f>
        <v>0.375</v>
      </c>
      <c r="G974" s="14">
        <f ca="1">IFERROR(__xludf.DUMMYFUNCTION("""COMPUTED_VALUE"""),44935)</f>
        <v>44935</v>
      </c>
      <c r="H974" t="str">
        <f ca="1">IFERROR(__xludf.DUMMYFUNCTION("""COMPUTED_VALUE"""),"ICW SWMP sites")</f>
        <v>ICW SWMP sites</v>
      </c>
      <c r="I974" s="15">
        <f ca="1">IFERROR(__xludf.DUMMYFUNCTION("""COMPUTED_VALUE"""),0.58333333333212)</f>
        <v>0.58333333333212001</v>
      </c>
      <c r="J974" s="16">
        <f ca="1">IFERROR(__xludf.DUMMYFUNCTION("""COMPUTED_VALUE"""),44935.6041666666)</f>
        <v>44935.604166666599</v>
      </c>
      <c r="K974" t="str">
        <f ca="1">IFERROR(__xludf.DUMMYFUNCTION("""COMPUTED_VALUE"""),"23ft Skiff (Bertha) FL7972LJ DEP07613")</f>
        <v>23ft Skiff (Bertha) FL7972LJ DEP07613</v>
      </c>
      <c r="M974" t="str">
        <f ca="1">IFERROR(__xludf.DUMMYFUNCTION("""COMPUTED_VALUE"""),"Ford F250 2017 (Moby Dix) - DEP0021578")</f>
        <v>Ford F250 2017 (Moby Dix) - DEP0021578</v>
      </c>
      <c r="N974" t="str">
        <f ca="1">IFERROR(__xludf.DUMMYFUNCTION("""COMPUTED_VALUE"""),"Silas Tanner, (904) 483-8423, Alee Knoell")</f>
        <v>Silas Tanner, (904) 483-8423, Alee Knoell</v>
      </c>
      <c r="P974" t="str">
        <f ca="1">IFERROR(__xludf.DUMMYFUNCTION("""COMPUTED_VALUE"""),"Silas Tanner")</f>
        <v>Silas Tanner</v>
      </c>
      <c r="AE974" s="11"/>
      <c r="AF974" t="str">
        <v>Nikki.Dix@floridadep.gov</v>
      </c>
      <c r="AG974" s="17" t="s">
        <v>41</v>
      </c>
      <c r="AH974" s="12">
        <v>1320</v>
      </c>
      <c r="AI974" s="12" t="s">
        <v>2876</v>
      </c>
      <c r="AJ974" s="19" t="s">
        <v>2877</v>
      </c>
      <c r="AK974" s="20" t="str">
        <f>HYPERLINK("https://docs.google.com/document/d/1FA_dWDmtf3OmDbReFBdDHs1seFSIZAgv6GuwVov1NQg/edit?usp=drivesdk","Silas Tanner - 1/9/2023 9:00 AM")</f>
        <v>Silas Tanner - 1/9/2023 9:00 AM</v>
      </c>
      <c r="AL974" s="12" t="s">
        <v>2878</v>
      </c>
    </row>
    <row r="975" spans="1:38" ht="12.75">
      <c r="A975" s="10">
        <f ca="1">IFERROR(__xludf.DUMMYFUNCTION("""COMPUTED_VALUE"""),44936.3831061342)</f>
        <v>44936.383106134199</v>
      </c>
      <c r="B975" s="11" t="str">
        <f ca="1">IFERROR(__xludf.DUMMYFUNCTION("""COMPUTED_VALUE"""),"Silas Tanner")</f>
        <v>Silas Tanner</v>
      </c>
      <c r="C975" t="str">
        <f ca="1">IFERROR(__xludf.DUMMYFUNCTION("""COMPUTED_VALUE"""),"silas.tanner@floridadep.gov")</f>
        <v>silas.tanner@floridadep.gov</v>
      </c>
      <c r="D975" t="str">
        <f ca="1">IFERROR(__xludf.DUMMYFUNCTION("""COMPUTED_VALUE"""),"Nikki Dix")</f>
        <v>Nikki Dix</v>
      </c>
      <c r="E975" t="str">
        <f ca="1">IFERROR(__xludf.DUMMYFUNCTION("""COMPUTED_VALUE"""),"Vilano Landing")</f>
        <v>Vilano Landing</v>
      </c>
      <c r="F975" s="13">
        <f ca="1">IFERROR(__xludf.DUMMYFUNCTION("""COMPUTED_VALUE"""),0.4375)</f>
        <v>0.4375</v>
      </c>
      <c r="G975" s="14">
        <f ca="1">IFERROR(__xludf.DUMMYFUNCTION("""COMPUTED_VALUE"""),44936)</f>
        <v>44936</v>
      </c>
      <c r="H975" t="str">
        <f ca="1">IFERROR(__xludf.DUMMYFUNCTION("""COMPUTED_VALUE"""),"ICW SWMP sites")</f>
        <v>ICW SWMP sites</v>
      </c>
      <c r="I975" s="15">
        <f ca="1">IFERROR(__xludf.DUMMYFUNCTION("""COMPUTED_VALUE"""),0.625)</f>
        <v>0.625</v>
      </c>
      <c r="J975" s="16">
        <f ca="1">IFERROR(__xludf.DUMMYFUNCTION("""COMPUTED_VALUE"""),44936.6458333333)</f>
        <v>44936.645833333299</v>
      </c>
      <c r="K975" t="str">
        <f ca="1">IFERROR(__xludf.DUMMYFUNCTION("""COMPUTED_VALUE"""),"23ft Skiff (Bertha) FL7972LJ DEP07613")</f>
        <v>23ft Skiff (Bertha) FL7972LJ DEP07613</v>
      </c>
      <c r="M975" t="str">
        <f ca="1">IFERROR(__xludf.DUMMYFUNCTION("""COMPUTED_VALUE"""),"Ford F250 2017 (Moby Dix) - DEP0021578")</f>
        <v>Ford F250 2017 (Moby Dix) - DEP0021578</v>
      </c>
      <c r="N975" t="str">
        <f ca="1">IFERROR(__xludf.DUMMYFUNCTION("""COMPUTED_VALUE"""),"Silas Tanner, (904) 483-8423")</f>
        <v>Silas Tanner, (904) 483-8423</v>
      </c>
      <c r="O975" t="str">
        <f ca="1">IFERROR(__xludf.DUMMYFUNCTION("""COMPUTED_VALUE"""),"Remo Mondazi")</f>
        <v>Remo Mondazi</v>
      </c>
      <c r="P975" t="str">
        <f ca="1">IFERROR(__xludf.DUMMYFUNCTION("""COMPUTED_VALUE"""),"Silas Tanner")</f>
        <v>Silas Tanner</v>
      </c>
      <c r="AE975" s="11"/>
      <c r="AF975" t="str">
        <v>Nikki.Dix@floridadep.gov</v>
      </c>
      <c r="AG975" s="17" t="s">
        <v>41</v>
      </c>
      <c r="AH975" s="12">
        <v>1435</v>
      </c>
      <c r="AI975" s="12" t="s">
        <v>2879</v>
      </c>
      <c r="AJ975" s="19" t="s">
        <v>2880</v>
      </c>
      <c r="AK975" s="20" t="str">
        <f>HYPERLINK("https://docs.google.com/document/d/1NROaleDAzD-tCqzIUe4dhM5EC9pJyVOJhPZm7GisFDM/edit?usp=drivesdk","Silas Tanner - 1/10/2023 10:30 AM")</f>
        <v>Silas Tanner - 1/10/2023 10:30 AM</v>
      </c>
      <c r="AL975" s="12" t="s">
        <v>2881</v>
      </c>
    </row>
    <row r="976" spans="1:38" ht="12.75">
      <c r="A976" s="10">
        <f ca="1">IFERROR(__xludf.DUMMYFUNCTION("""COMPUTED_VALUE"""),44938.2837565856)</f>
        <v>44938.283756585603</v>
      </c>
      <c r="B976" s="11" t="str">
        <f ca="1">IFERROR(__xludf.DUMMYFUNCTION("""COMPUTED_VALUE"""),"Jimmy")</f>
        <v>Jimmy</v>
      </c>
      <c r="C976" t="str">
        <f ca="1">IFERROR(__xludf.DUMMYFUNCTION("""COMPUTED_VALUE"""),"james.tomazinis@floridadep.gov")</f>
        <v>james.tomazinis@floridadep.gov</v>
      </c>
      <c r="D976" t="str">
        <f ca="1">IFERROR(__xludf.DUMMYFUNCTION("""COMPUTED_VALUE"""),"Scott Eastman")</f>
        <v>Scott Eastman</v>
      </c>
      <c r="E976" t="str">
        <f ca="1">IFERROR(__xludf.DUMMYFUNCTION("""COMPUTED_VALUE"""),"Holly Point and Dee Dee Bartels")</f>
        <v>Holly Point and Dee Dee Bartels</v>
      </c>
      <c r="F976" s="13">
        <f ca="1">IFERROR(__xludf.DUMMYFUNCTION("""COMPUTED_VALUE"""),0.479166666667879)</f>
        <v>0.47916666666787899</v>
      </c>
      <c r="G976" s="14">
        <f ca="1">IFERROR(__xludf.DUMMYFUNCTION("""COMPUTED_VALUE"""),44938)</f>
        <v>44938</v>
      </c>
      <c r="H976" t="str">
        <f ca="1">IFERROR(__xludf.DUMMYFUNCTION("""COMPUTED_VALUE"""),"NEAP WQ sites")</f>
        <v>NEAP WQ sites</v>
      </c>
      <c r="I976" s="15">
        <f ca="1">IFERROR(__xludf.DUMMYFUNCTION("""COMPUTED_VALUE"""),0.625)</f>
        <v>0.625</v>
      </c>
      <c r="J976" s="16"/>
      <c r="K976" t="str">
        <f ca="1">IFERROR(__xludf.DUMMYFUNCTION("""COMPUTED_VALUE"""),"23ft Skiff (Bertha) FL7972LJ DEP07613")</f>
        <v>23ft Skiff (Bertha) FL7972LJ DEP07613</v>
      </c>
      <c r="M976" t="str">
        <f ca="1">IFERROR(__xludf.DUMMYFUNCTION("""COMPUTED_VALUE"""),"2022 NEAP F150")</f>
        <v>2022 NEAP F150</v>
      </c>
      <c r="N976" t="str">
        <f ca="1">IFERROR(__xludf.DUMMYFUNCTION("""COMPUTED_VALUE"""),"Jimmy Tomazinis, (904) 547-0094")</f>
        <v>Jimmy Tomazinis, (904) 547-0094</v>
      </c>
      <c r="O976" t="str">
        <f ca="1">IFERROR(__xludf.DUMMYFUNCTION("""COMPUTED_VALUE"""),"Chirs Kurtz")</f>
        <v>Chirs Kurtz</v>
      </c>
      <c r="P976" t="str">
        <f ca="1">IFERROR(__xludf.DUMMYFUNCTION("""COMPUTED_VALUE"""),"Jimmy")</f>
        <v>Jimmy</v>
      </c>
      <c r="AE976" s="11"/>
      <c r="AF976" t="str">
        <v>Scott.Eastman@floridadep.gov</v>
      </c>
      <c r="AG976" s="17" t="s">
        <v>17</v>
      </c>
      <c r="AH976" s="12">
        <v>1409</v>
      </c>
      <c r="AI976" s="12" t="s">
        <v>2882</v>
      </c>
      <c r="AJ976" s="19" t="s">
        <v>2883</v>
      </c>
      <c r="AK976" s="20" t="str">
        <f>HYPERLINK("https://docs.google.com/document/d/1mCUJlP9oKa5CsXamyOYyOOsIvU5NyFvRaYK3yTR8HMw/edit?usp=drivesdk","Jimmy - 1/12/2023 11:30 AM")</f>
        <v>Jimmy - 1/12/2023 11:30 AM</v>
      </c>
      <c r="AL976" s="12" t="s">
        <v>2884</v>
      </c>
    </row>
    <row r="977" spans="1:38" ht="12.75">
      <c r="A977" s="10">
        <f ca="1">IFERROR(__xludf.DUMMYFUNCTION("""COMPUTED_VALUE"""),44942.3197849537)</f>
        <v>44942.319784953703</v>
      </c>
      <c r="B977" s="11" t="str">
        <f ca="1">IFERROR(__xludf.DUMMYFUNCTION("""COMPUTED_VALUE"""),"Jacob Berna")</f>
        <v>Jacob Berna</v>
      </c>
      <c r="C977" t="str">
        <f ca="1">IFERROR(__xludf.DUMMYFUNCTION("""COMPUTED_VALUE"""),"Jacob.Berna@FloridaDEP.gov")</f>
        <v>Jacob.Berna@FloridaDEP.gov</v>
      </c>
      <c r="D977" t="str">
        <f ca="1">IFERROR(__xludf.DUMMYFUNCTION("""COMPUTED_VALUE"""),"Nikki Dix")</f>
        <v>Nikki Dix</v>
      </c>
      <c r="E977" t="str">
        <f ca="1">IFERROR(__xludf.DUMMYFUNCTION("""COMPUTED_VALUE"""),"Vilano ")</f>
        <v xml:space="preserve">Vilano </v>
      </c>
      <c r="F977" s="13">
        <f ca="1">IFERROR(__xludf.DUMMYFUNCTION("""COMPUTED_VALUE"""),0.322916666667879)</f>
        <v>0.32291666666787899</v>
      </c>
      <c r="G977" s="14">
        <f ca="1">IFERROR(__xludf.DUMMYFUNCTION("""COMPUTED_VALUE"""),44942)</f>
        <v>44942</v>
      </c>
      <c r="H977" t="str">
        <f ca="1">IFERROR(__xludf.DUMMYFUNCTION("""COMPUTED_VALUE"""),"Salt Run")</f>
        <v>Salt Run</v>
      </c>
      <c r="I977" s="15">
        <f ca="1">IFERROR(__xludf.DUMMYFUNCTION("""COMPUTED_VALUE"""),0.541666666667879)</f>
        <v>0.54166666666787899</v>
      </c>
      <c r="J977" s="16">
        <f ca="1">IFERROR(__xludf.DUMMYFUNCTION("""COMPUTED_VALUE"""),44942.5625)</f>
        <v>44942.5625</v>
      </c>
      <c r="K977" t="str">
        <f ca="1">IFERROR(__xludf.DUMMYFUNCTION("""COMPUTED_VALUE"""),"23ft Skiff (Bertha) FL7972LJ DEP07613")</f>
        <v>23ft Skiff (Bertha) FL7972LJ DEP07613</v>
      </c>
      <c r="M977" t="str">
        <f ca="1">IFERROR(__xludf.DUMMYFUNCTION("""COMPUTED_VALUE"""),"Ford F150 2015 (White) - DEP21448")</f>
        <v>Ford F150 2015 (White) - DEP21448</v>
      </c>
      <c r="N977" t="str">
        <f ca="1">IFERROR(__xludf.DUMMYFUNCTION("""COMPUTED_VALUE"""),"Jacob Berna")</f>
        <v>Jacob Berna</v>
      </c>
      <c r="O977" t="str">
        <f ca="1">IFERROR(__xludf.DUMMYFUNCTION("""COMPUTED_VALUE"""),"Alee, Alyah")</f>
        <v>Alee, Alyah</v>
      </c>
      <c r="P977" t="str">
        <f ca="1">IFERROR(__xludf.DUMMYFUNCTION("""COMPUTED_VALUE"""),"Jacob Berna")</f>
        <v>Jacob Berna</v>
      </c>
      <c r="AE977" s="11"/>
      <c r="AF977" t="str">
        <v>Nikki.Dix@floridadep.gov</v>
      </c>
      <c r="AG977" s="17" t="s">
        <v>41</v>
      </c>
      <c r="AH977" s="12">
        <v>1145</v>
      </c>
      <c r="AI977" s="12" t="s">
        <v>2885</v>
      </c>
      <c r="AJ977" s="19" t="s">
        <v>2886</v>
      </c>
      <c r="AK977" s="20" t="str">
        <f>HYPERLINK("https://docs.google.com/document/d/1p5FtK8KxKaxod6zChNYGOCvzh9inhuw8jdJWqptdlk4/edit?usp=drivesdk","Jacob Berna - 1/16/2023 7:45 AM")</f>
        <v>Jacob Berna - 1/16/2023 7:45 AM</v>
      </c>
      <c r="AL977" s="12" t="s">
        <v>2887</v>
      </c>
    </row>
    <row r="978" spans="1:38" ht="12.75">
      <c r="A978" s="10">
        <f ca="1">IFERROR(__xludf.DUMMYFUNCTION("""COMPUTED_VALUE"""),44943.3499294212)</f>
        <v>44943.349929421202</v>
      </c>
      <c r="B978" s="11" t="str">
        <f ca="1">IFERROR(__xludf.DUMMYFUNCTION("""COMPUTED_VALUE"""),"Jacob Berna")</f>
        <v>Jacob Berna</v>
      </c>
      <c r="C978" t="str">
        <f ca="1">IFERROR(__xludf.DUMMYFUNCTION("""COMPUTED_VALUE"""),"Jacob.Berna@FloridaDEP.gov")</f>
        <v>Jacob.Berna@FloridaDEP.gov</v>
      </c>
      <c r="D978" t="str">
        <f ca="1">IFERROR(__xludf.DUMMYFUNCTION("""COMPUTED_VALUE"""),"Nikki Dix")</f>
        <v>Nikki Dix</v>
      </c>
      <c r="E978" t="str">
        <f ca="1">IFERROR(__xludf.DUMMYFUNCTION("""COMPUTED_VALUE"""),"Vilano")</f>
        <v>Vilano</v>
      </c>
      <c r="F978" s="13">
        <f ca="1">IFERROR(__xludf.DUMMYFUNCTION("""COMPUTED_VALUE"""),0.354166666667879)</f>
        <v>0.35416666666787899</v>
      </c>
      <c r="G978" s="14">
        <f ca="1">IFERROR(__xludf.DUMMYFUNCTION("""COMPUTED_VALUE"""),44943)</f>
        <v>44943</v>
      </c>
      <c r="H978" t="str">
        <f ca="1">IFERROR(__xludf.DUMMYFUNCTION("""COMPUTED_VALUE"""),"Salt Run")</f>
        <v>Salt Run</v>
      </c>
      <c r="I978" s="15">
        <f ca="1">IFERROR(__xludf.DUMMYFUNCTION("""COMPUTED_VALUE"""),0.5625)</f>
        <v>0.5625</v>
      </c>
      <c r="J978" s="16">
        <f ca="1">IFERROR(__xludf.DUMMYFUNCTION("""COMPUTED_VALUE"""),44943.5833333333)</f>
        <v>44943.583333333299</v>
      </c>
      <c r="K978" t="str">
        <f ca="1">IFERROR(__xludf.DUMMYFUNCTION("""COMPUTED_VALUE"""),"23ft Skiff (Bertha) FL7972LJ DEP07613")</f>
        <v>23ft Skiff (Bertha) FL7972LJ DEP07613</v>
      </c>
      <c r="M978" t="str">
        <f ca="1">IFERROR(__xludf.DUMMYFUNCTION("""COMPUTED_VALUE"""),"Ford F150 2015 (White) - DEP21448")</f>
        <v>Ford F150 2015 (White) - DEP21448</v>
      </c>
      <c r="N978" t="str">
        <f ca="1">IFERROR(__xludf.DUMMYFUNCTION("""COMPUTED_VALUE"""),"Jacob Berna")</f>
        <v>Jacob Berna</v>
      </c>
      <c r="O978" t="str">
        <f ca="1">IFERROR(__xludf.DUMMYFUNCTION("""COMPUTED_VALUE"""),"Alee, Alyah, Mike, Jeff, Nathan ")</f>
        <v xml:space="preserve">Alee, Alyah, Mike, Jeff, Nathan </v>
      </c>
      <c r="P978" t="str">
        <f ca="1">IFERROR(__xludf.DUMMYFUNCTION("""COMPUTED_VALUE"""),"Jacob Berna")</f>
        <v>Jacob Berna</v>
      </c>
      <c r="AE978" s="11"/>
      <c r="AF978" t="str">
        <v>Nikki.Dix@floridadep.gov</v>
      </c>
      <c r="AG978" s="17" t="s">
        <v>41</v>
      </c>
      <c r="AH978" s="12">
        <v>1149</v>
      </c>
      <c r="AI978" s="12" t="s">
        <v>2888</v>
      </c>
      <c r="AJ978" s="19" t="s">
        <v>2889</v>
      </c>
      <c r="AK978" s="20" t="str">
        <f>HYPERLINK("https://docs.google.com/document/d/1Prk8_fnvolVGiW1vrMnpszsRwuu18kSjzDVQvwVAOTM/edit?usp=drivesdk","Jacob Berna - 1/17/2023 8:30 AM")</f>
        <v>Jacob Berna - 1/17/2023 8:30 AM</v>
      </c>
      <c r="AL978" s="12" t="s">
        <v>2890</v>
      </c>
    </row>
    <row r="979" spans="1:38" ht="12.75">
      <c r="A979" s="10">
        <f ca="1">IFERROR(__xludf.DUMMYFUNCTION("""COMPUTED_VALUE"""),44943.4233740972)</f>
        <v>44943.423374097198</v>
      </c>
      <c r="B979" s="11" t="str">
        <f ca="1">IFERROR(__xludf.DUMMYFUNCTION("""COMPUTED_VALUE"""),"Silas Tanner")</f>
        <v>Silas Tanner</v>
      </c>
      <c r="C979" t="str">
        <f ca="1">IFERROR(__xludf.DUMMYFUNCTION("""COMPUTED_VALUE"""),"silas.tanner@floridadeo.gov")</f>
        <v>silas.tanner@floridadeo.gov</v>
      </c>
      <c r="D979" t="str">
        <f ca="1">IFERROR(__xludf.DUMMYFUNCTION("""COMPUTED_VALUE"""),"Nikki Dix")</f>
        <v>Nikki Dix</v>
      </c>
      <c r="E979" t="str">
        <f ca="1">IFERROR(__xludf.DUMMYFUNCTION("""COMPUTED_VALUE"""),"Vilano landing")</f>
        <v>Vilano landing</v>
      </c>
      <c r="F979" s="13">
        <f ca="1">IFERROR(__xludf.DUMMYFUNCTION("""COMPUTED_VALUE"""),0.416666666667879)</f>
        <v>0.41666666666787899</v>
      </c>
      <c r="G979" s="14">
        <f ca="1">IFERROR(__xludf.DUMMYFUNCTION("""COMPUTED_VALUE"""),44943)</f>
        <v>44943</v>
      </c>
      <c r="H979" t="str">
        <f ca="1">IFERROR(__xludf.DUMMYFUNCTION("""COMPUTED_VALUE"""),"ICW PI and SS swmp sites")</f>
        <v>ICW PI and SS swmp sites</v>
      </c>
      <c r="I979" s="15">
        <f ca="1">IFERROR(__xludf.DUMMYFUNCTION("""COMPUTED_VALUE"""),0.52083333333212)</f>
        <v>0.52083333333212001</v>
      </c>
      <c r="J979" s="16">
        <f ca="1">IFERROR(__xludf.DUMMYFUNCTION("""COMPUTED_VALUE"""),44943.5416666666)</f>
        <v>44943.541666666599</v>
      </c>
      <c r="K979" t="str">
        <f ca="1">IFERROR(__xludf.DUMMYFUNCTION("""COMPUTED_VALUE"""),"20ft Sea Ark FL5351SJ UNF 2015")</f>
        <v>20ft Sea Ark FL5351SJ UNF 2015</v>
      </c>
      <c r="M979" t="str">
        <f ca="1">IFERROR(__xludf.DUMMYFUNCTION("""COMPUTED_VALUE"""),"Ford F250 2017 (Moby Dix) - DEP0021578")</f>
        <v>Ford F250 2017 (Moby Dix) - DEP0021578</v>
      </c>
      <c r="N979" t="str">
        <f ca="1">IFERROR(__xludf.DUMMYFUNCTION("""COMPUTED_VALUE"""),"Silas Tanner, (904) 483-8423, Remo")</f>
        <v>Silas Tanner, (904) 483-8423, Remo</v>
      </c>
      <c r="P979" t="str">
        <f ca="1">IFERROR(__xludf.DUMMYFUNCTION("""COMPUTED_VALUE"""),"Silas Tanner")</f>
        <v>Silas Tanner</v>
      </c>
      <c r="AE979" s="11"/>
      <c r="AF979" t="str">
        <v>Nikki.Dix@floridadep.gov</v>
      </c>
      <c r="AG979" s="17" t="s">
        <v>41</v>
      </c>
      <c r="AH979" s="12">
        <v>1155</v>
      </c>
      <c r="AI979" s="12" t="s">
        <v>2891</v>
      </c>
      <c r="AJ979" s="19" t="s">
        <v>2892</v>
      </c>
      <c r="AK979" s="20" t="str">
        <f>HYPERLINK("https://docs.google.com/document/d/1TVc6MZybt0ANaOVZaOdBTgmqrqfmNqGBNY1zxtl1e18/edit?usp=drivesdk","Silas Tanner - 1/17/2023 10:00 AM")</f>
        <v>Silas Tanner - 1/17/2023 10:00 AM</v>
      </c>
      <c r="AL979" s="12" t="s">
        <v>2893</v>
      </c>
    </row>
    <row r="980" spans="1:38" ht="12.75">
      <c r="A980" s="10">
        <f ca="1">IFERROR(__xludf.DUMMYFUNCTION("""COMPUTED_VALUE"""),44944.2725536921)</f>
        <v>44944.272553692099</v>
      </c>
      <c r="B980" s="11" t="str">
        <f ca="1">IFERROR(__xludf.DUMMYFUNCTION("""COMPUTED_VALUE"""),"Jimmy")</f>
        <v>Jimmy</v>
      </c>
      <c r="C980" t="str">
        <f ca="1">IFERROR(__xludf.DUMMYFUNCTION("""COMPUTED_VALUE"""),"james.tomazinis@floridadep.gov")</f>
        <v>james.tomazinis@floridadep.gov</v>
      </c>
      <c r="D980" t="str">
        <f ca="1">IFERROR(__xludf.DUMMYFUNCTION("""COMPUTED_VALUE"""),"Scott Eastman")</f>
        <v>Scott Eastman</v>
      </c>
      <c r="E980" t="str">
        <f ca="1">IFERROR(__xludf.DUMMYFUNCTION("""COMPUTED_VALUE"""),"Mayport")</f>
        <v>Mayport</v>
      </c>
      <c r="F980" s="13">
        <f ca="1">IFERROR(__xludf.DUMMYFUNCTION("""COMPUTED_VALUE"""),0.416666666667879)</f>
        <v>0.41666666666787899</v>
      </c>
      <c r="G980" s="14">
        <f ca="1">IFERROR(__xludf.DUMMYFUNCTION("""COMPUTED_VALUE"""),44944)</f>
        <v>44944</v>
      </c>
      <c r="H980" t="str">
        <f ca="1">IFERROR(__xludf.DUMMYFUNCTION("""COMPUTED_VALUE"""),"Gunnison Cut")</f>
        <v>Gunnison Cut</v>
      </c>
      <c r="I980" s="15">
        <f ca="1">IFERROR(__xludf.DUMMYFUNCTION("""COMPUTED_VALUE"""),0.625)</f>
        <v>0.625</v>
      </c>
      <c r="J980" s="16"/>
      <c r="K980" t="str">
        <f ca="1">IFERROR(__xludf.DUMMYFUNCTION("""COMPUTED_VALUE"""),"F 20ft Sea Ark (Easy 200) FL8534PY DEP21451")</f>
        <v>F 20ft Sea Ark (Easy 200) FL8534PY DEP21451</v>
      </c>
      <c r="M980" t="str">
        <f ca="1">IFERROR(__xludf.DUMMYFUNCTION("""COMPUTED_VALUE"""),"2022 NEAP F150")</f>
        <v>2022 NEAP F150</v>
      </c>
      <c r="N980" t="str">
        <f ca="1">IFERROR(__xludf.DUMMYFUNCTION("""COMPUTED_VALUE"""),"Jimmy Tomazinis, (904) 547-0094")</f>
        <v>Jimmy Tomazinis, (904) 547-0094</v>
      </c>
      <c r="O980" t="str">
        <f ca="1">IFERROR(__xludf.DUMMYFUNCTION("""COMPUTED_VALUE"""),"Chirs Kurtz")</f>
        <v>Chirs Kurtz</v>
      </c>
      <c r="P980" t="str">
        <f ca="1">IFERROR(__xludf.DUMMYFUNCTION("""COMPUTED_VALUE"""),"Jimmy")</f>
        <v>Jimmy</v>
      </c>
      <c r="AE980" s="11"/>
      <c r="AF980" t="str">
        <v>Scott.Eastman@floridadep.gov</v>
      </c>
      <c r="AG980" s="17" t="s">
        <v>17</v>
      </c>
      <c r="AH980" s="12">
        <v>1500</v>
      </c>
      <c r="AI980" s="12" t="s">
        <v>2894</v>
      </c>
      <c r="AJ980" s="19" t="s">
        <v>2895</v>
      </c>
      <c r="AK980" s="20" t="str">
        <f>HYPERLINK("https://docs.google.com/document/d/1qHQXrmYLNhGtVevWwTOIXTCanHEGF37CTT2qo3ILBoc/edit?usp=drivesdk","Jimmy - 1/18/2023 10:00 AM")</f>
        <v>Jimmy - 1/18/2023 10:00 AM</v>
      </c>
      <c r="AL980" s="12" t="s">
        <v>2896</v>
      </c>
    </row>
    <row r="981" spans="1:38" ht="12.75">
      <c r="A981" s="10">
        <f ca="1">IFERROR(__xludf.DUMMYFUNCTION("""COMPUTED_VALUE"""),44944.3906761689)</f>
        <v>44944.3906761689</v>
      </c>
      <c r="B981" s="11" t="str">
        <f ca="1">IFERROR(__xludf.DUMMYFUNCTION("""COMPUTED_VALUE"""),"Jacob Berna")</f>
        <v>Jacob Berna</v>
      </c>
      <c r="C981" t="str">
        <f ca="1">IFERROR(__xludf.DUMMYFUNCTION("""COMPUTED_VALUE"""),"Jacob.Berna@FloridaDEP.gov")</f>
        <v>Jacob.Berna@FloridaDEP.gov</v>
      </c>
      <c r="D981" t="str">
        <f ca="1">IFERROR(__xludf.DUMMYFUNCTION("""COMPUTED_VALUE"""),"Nikki Dix")</f>
        <v>Nikki Dix</v>
      </c>
      <c r="E981" t="str">
        <f ca="1">IFERROR(__xludf.DUMMYFUNCTION("""COMPUTED_VALUE"""),"Vilano")</f>
        <v>Vilano</v>
      </c>
      <c r="F981" s="13">
        <f ca="1">IFERROR(__xludf.DUMMYFUNCTION("""COMPUTED_VALUE"""),0.39583333333212)</f>
        <v>0.39583333333212001</v>
      </c>
      <c r="G981" s="14">
        <f ca="1">IFERROR(__xludf.DUMMYFUNCTION("""COMPUTED_VALUE"""),44944)</f>
        <v>44944</v>
      </c>
      <c r="H981" t="str">
        <f ca="1">IFERROR(__xludf.DUMMYFUNCTION("""COMPUTED_VALUE"""),"Salt Run Reefs")</f>
        <v>Salt Run Reefs</v>
      </c>
      <c r="I981" s="15">
        <f ca="1">IFERROR(__xludf.DUMMYFUNCTION("""COMPUTED_VALUE"""),0.58333333333212)</f>
        <v>0.58333333333212001</v>
      </c>
      <c r="J981" s="16">
        <f ca="1">IFERROR(__xludf.DUMMYFUNCTION("""COMPUTED_VALUE"""),44944.6041666666)</f>
        <v>44944.604166666599</v>
      </c>
      <c r="K981" t="str">
        <f ca="1">IFERROR(__xludf.DUMMYFUNCTION("""COMPUTED_VALUE"""),"23ft Skiff (Bertha) FL7972LJ DEP07613")</f>
        <v>23ft Skiff (Bertha) FL7972LJ DEP07613</v>
      </c>
      <c r="M981" t="str">
        <f ca="1">IFERROR(__xludf.DUMMYFUNCTION("""COMPUTED_VALUE"""),"Ford F150 2015 (White) - DEP21448")</f>
        <v>Ford F150 2015 (White) - DEP21448</v>
      </c>
      <c r="N981" t="str">
        <f ca="1">IFERROR(__xludf.DUMMYFUNCTION("""COMPUTED_VALUE"""),"Jacob Berna")</f>
        <v>Jacob Berna</v>
      </c>
      <c r="O981" t="str">
        <f ca="1">IFERROR(__xludf.DUMMYFUNCTION("""COMPUTED_VALUE"""),"Jeff, David, Michelle, Alee")</f>
        <v>Jeff, David, Michelle, Alee</v>
      </c>
      <c r="P981" t="str">
        <f ca="1">IFERROR(__xludf.DUMMYFUNCTION("""COMPUTED_VALUE"""),"Jacob Berna")</f>
        <v>Jacob Berna</v>
      </c>
      <c r="AE981" s="11"/>
      <c r="AF981" t="str">
        <v>Nikki.Dix@floridadep.gov</v>
      </c>
      <c r="AG981" s="17" t="s">
        <v>41</v>
      </c>
      <c r="AH981" s="12">
        <v>1305</v>
      </c>
      <c r="AI981" s="12" t="s">
        <v>2897</v>
      </c>
      <c r="AJ981" s="19" t="s">
        <v>2898</v>
      </c>
      <c r="AK981" s="20" t="str">
        <f>HYPERLINK("https://docs.google.com/document/d/1MigLgUpDveYKNQudw3uGzBNw3aVRz3dREv584_BjKs8/edit?usp=drivesdk","Jacob Berna - 1/18/2023 9:30 AM")</f>
        <v>Jacob Berna - 1/18/2023 9:30 AM</v>
      </c>
      <c r="AL981" s="12" t="s">
        <v>2899</v>
      </c>
    </row>
    <row r="982" spans="1:38" ht="12.75">
      <c r="A982" s="10">
        <f ca="1">IFERROR(__xludf.DUMMYFUNCTION("""COMPUTED_VALUE"""),44945.2829265162)</f>
        <v>44945.2829265162</v>
      </c>
      <c r="B982" s="11" t="str">
        <f ca="1">IFERROR(__xludf.DUMMYFUNCTION("""COMPUTED_VALUE"""),"Jimmy")</f>
        <v>Jimmy</v>
      </c>
      <c r="C982" t="str">
        <f ca="1">IFERROR(__xludf.DUMMYFUNCTION("""COMPUTED_VALUE"""),"james.tomazinis@floridadep.gov")</f>
        <v>james.tomazinis@floridadep.gov</v>
      </c>
      <c r="D982" t="str">
        <f ca="1">IFERROR(__xludf.DUMMYFUNCTION("""COMPUTED_VALUE"""),"Scott Eastman")</f>
        <v>Scott Eastman</v>
      </c>
      <c r="E982" t="str">
        <f ca="1">IFERROR(__xludf.DUMMYFUNCTION("""COMPUTED_VALUE"""),"Mayport")</f>
        <v>Mayport</v>
      </c>
      <c r="F982" s="13">
        <f ca="1">IFERROR(__xludf.DUMMYFUNCTION("""COMPUTED_VALUE"""),0.416666666667879)</f>
        <v>0.41666666666787899</v>
      </c>
      <c r="G982" s="14">
        <f ca="1">IFERROR(__xludf.DUMMYFUNCTION("""COMPUTED_VALUE"""),44945)</f>
        <v>44945</v>
      </c>
      <c r="H982" t="str">
        <f ca="1">IFERROR(__xludf.DUMMYFUNCTION("""COMPUTED_VALUE"""),"Shad and Clapboard creeks")</f>
        <v>Shad and Clapboard creeks</v>
      </c>
      <c r="I982" s="15">
        <f ca="1">IFERROR(__xludf.DUMMYFUNCTION("""COMPUTED_VALUE"""),0.58333333333212)</f>
        <v>0.58333333333212001</v>
      </c>
      <c r="J982" s="16"/>
      <c r="K982" t="str">
        <f ca="1">IFERROR(__xludf.DUMMYFUNCTION("""COMPUTED_VALUE"""),"F 20ft Sea Ark (Easy 200) FL8534PY DEP21451")</f>
        <v>F 20ft Sea Ark (Easy 200) FL8534PY DEP21451</v>
      </c>
      <c r="M982" t="str">
        <f ca="1">IFERROR(__xludf.DUMMYFUNCTION("""COMPUTED_VALUE"""),"2022 NEAP F150")</f>
        <v>2022 NEAP F150</v>
      </c>
      <c r="N982" t="str">
        <f ca="1">IFERROR(__xludf.DUMMYFUNCTION("""COMPUTED_VALUE"""),"Jimmy Tomazinis, (904) 547-0094")</f>
        <v>Jimmy Tomazinis, (904) 547-0094</v>
      </c>
      <c r="O982" t="str">
        <f ca="1">IFERROR(__xludf.DUMMYFUNCTION("""COMPUTED_VALUE"""),"Chirs Kurtz")</f>
        <v>Chirs Kurtz</v>
      </c>
      <c r="P982" t="str">
        <f ca="1">IFERROR(__xludf.DUMMYFUNCTION("""COMPUTED_VALUE"""),"Jimmy ")</f>
        <v xml:space="preserve">Jimmy </v>
      </c>
      <c r="AE982" s="11"/>
      <c r="AF982" t="str">
        <v>Scott.Eastman@floridadep.gov</v>
      </c>
      <c r="AG982" s="17" t="s">
        <v>126</v>
      </c>
      <c r="AH982" s="12">
        <v>1515</v>
      </c>
      <c r="AI982" s="12" t="s">
        <v>2900</v>
      </c>
      <c r="AJ982" s="19" t="s">
        <v>2901</v>
      </c>
      <c r="AK982" s="20" t="str">
        <f>HYPERLINK("https://docs.google.com/document/d/1csow9KuxNR_anB0bMyWU8MRaCktETmpcbqrRAo2Cm_0/edit?usp=drivesdk","Jimmy - 1/19/2023 10:00 AM")</f>
        <v>Jimmy - 1/19/2023 10:00 AM</v>
      </c>
      <c r="AL982" s="12" t="s">
        <v>2902</v>
      </c>
    </row>
    <row r="983" spans="1:38" ht="12.75">
      <c r="A983" s="10">
        <f ca="1">IFERROR(__xludf.DUMMYFUNCTION("""COMPUTED_VALUE"""),44945.4316181481)</f>
        <v>44945.431618148097</v>
      </c>
      <c r="B983" s="11" t="str">
        <f ca="1">IFERROR(__xludf.DUMMYFUNCTION("""COMPUTED_VALUE"""),"Jacob Berna")</f>
        <v>Jacob Berna</v>
      </c>
      <c r="C983" t="str">
        <f ca="1">IFERROR(__xludf.DUMMYFUNCTION("""COMPUTED_VALUE"""),"Jacob.Berna@FloridaDEP.gov")</f>
        <v>Jacob.Berna@FloridaDEP.gov</v>
      </c>
      <c r="D983" t="str">
        <f ca="1">IFERROR(__xludf.DUMMYFUNCTION("""COMPUTED_VALUE"""),"Nikki Dix")</f>
        <v>Nikki Dix</v>
      </c>
      <c r="E983" t="str">
        <f ca="1">IFERROR(__xludf.DUMMYFUNCTION("""COMPUTED_VALUE"""),"Vilano")</f>
        <v>Vilano</v>
      </c>
      <c r="F983" s="13">
        <f ca="1">IFERROR(__xludf.DUMMYFUNCTION("""COMPUTED_VALUE"""),0.4375)</f>
        <v>0.4375</v>
      </c>
      <c r="G983" s="14">
        <f ca="1">IFERROR(__xludf.DUMMYFUNCTION("""COMPUTED_VALUE"""),44945)</f>
        <v>44945</v>
      </c>
      <c r="H983" t="str">
        <f ca="1">IFERROR(__xludf.DUMMYFUNCTION("""COMPUTED_VALUE"""),"Salt Run Reefs")</f>
        <v>Salt Run Reefs</v>
      </c>
      <c r="I983" s="15">
        <f ca="1">IFERROR(__xludf.DUMMYFUNCTION("""COMPUTED_VALUE"""),0.625)</f>
        <v>0.625</v>
      </c>
      <c r="J983" s="16">
        <f ca="1">IFERROR(__xludf.DUMMYFUNCTION("""COMPUTED_VALUE"""),44945.6458333333)</f>
        <v>44945.645833333299</v>
      </c>
      <c r="K983" t="str">
        <f ca="1">IFERROR(__xludf.DUMMYFUNCTION("""COMPUTED_VALUE"""),"23ft Skiff (Bertha) FL7972LJ DEP07613")</f>
        <v>23ft Skiff (Bertha) FL7972LJ DEP07613</v>
      </c>
      <c r="M983" t="str">
        <f ca="1">IFERROR(__xludf.DUMMYFUNCTION("""COMPUTED_VALUE"""),"Ford F150 2015 (White) - DEP21448")</f>
        <v>Ford F150 2015 (White) - DEP21448</v>
      </c>
      <c r="N983" t="str">
        <f ca="1">IFERROR(__xludf.DUMMYFUNCTION("""COMPUTED_VALUE"""),"Jacob Berna")</f>
        <v>Jacob Berna</v>
      </c>
      <c r="O983" t="str">
        <f ca="1">IFERROR(__xludf.DUMMYFUNCTION("""COMPUTED_VALUE"""),"Alee, Alyah, Debbie, Carol, Jeff, Lynn")</f>
        <v>Alee, Alyah, Debbie, Carol, Jeff, Lynn</v>
      </c>
      <c r="P983" t="str">
        <f ca="1">IFERROR(__xludf.DUMMYFUNCTION("""COMPUTED_VALUE"""),"Jacob Berna")</f>
        <v>Jacob Berna</v>
      </c>
      <c r="AE983" s="11"/>
      <c r="AF983" t="str">
        <v>Nikki.Dix@floridadep.gov</v>
      </c>
      <c r="AG983" s="17" t="s">
        <v>41</v>
      </c>
      <c r="AH983" s="12">
        <v>1445</v>
      </c>
      <c r="AI983" s="12" t="s">
        <v>2903</v>
      </c>
      <c r="AJ983" s="19" t="s">
        <v>2904</v>
      </c>
      <c r="AK983" s="20" t="str">
        <f>HYPERLINK("https://docs.google.com/document/d/1h3g8d6dDet5s0q35f7nW8dZKPlX0No3ECTxTvDKotVo/edit?usp=drivesdk","Jacob Berna - 1/19/2023 10:30 AM")</f>
        <v>Jacob Berna - 1/19/2023 10:30 AM</v>
      </c>
      <c r="AL983" s="12" t="s">
        <v>2905</v>
      </c>
    </row>
    <row r="984" spans="1:38" ht="12.75">
      <c r="A984" s="10">
        <f ca="1">IFERROR(__xludf.DUMMYFUNCTION("""COMPUTED_VALUE"""),44956.332486655)</f>
        <v>44956.332486655003</v>
      </c>
      <c r="B984" s="11" t="str">
        <f ca="1">IFERROR(__xludf.DUMMYFUNCTION("""COMPUTED_VALUE"""),"Jacob Berna")</f>
        <v>Jacob Berna</v>
      </c>
      <c r="C984" t="str">
        <f ca="1">IFERROR(__xludf.DUMMYFUNCTION("""COMPUTED_VALUE"""),"Jacob.Berna@FloridaDEP.gov")</f>
        <v>Jacob.Berna@FloridaDEP.gov</v>
      </c>
      <c r="D984" t="str">
        <f ca="1">IFERROR(__xludf.DUMMYFUNCTION("""COMPUTED_VALUE"""),"Nikki Dix")</f>
        <v>Nikki Dix</v>
      </c>
      <c r="E984" t="str">
        <f ca="1">IFERROR(__xludf.DUMMYFUNCTION("""COMPUTED_VALUE"""),"Vilano")</f>
        <v>Vilano</v>
      </c>
      <c r="F984" s="13">
        <f ca="1">IFERROR(__xludf.DUMMYFUNCTION("""COMPUTED_VALUE"""),0.33333333333212)</f>
        <v>0.33333333333212001</v>
      </c>
      <c r="G984" s="14">
        <f ca="1">IFERROR(__xludf.DUMMYFUNCTION("""COMPUTED_VALUE"""),44956)</f>
        <v>44956</v>
      </c>
      <c r="H984" t="str">
        <f ca="1">IFERROR(__xludf.DUMMYFUNCTION("""COMPUTED_VALUE"""),"San Sebastian Reefs")</f>
        <v>San Sebastian Reefs</v>
      </c>
      <c r="I984" s="15">
        <f ca="1">IFERROR(__xludf.DUMMYFUNCTION("""COMPUTED_VALUE"""),0.5)</f>
        <v>0.5</v>
      </c>
      <c r="J984" s="16">
        <f ca="1">IFERROR(__xludf.DUMMYFUNCTION("""COMPUTED_VALUE"""),44956.5208333333)</f>
        <v>44956.520833333299</v>
      </c>
      <c r="K984" t="str">
        <f ca="1">IFERROR(__xludf.DUMMYFUNCTION("""COMPUTED_VALUE"""),"23ft Skiff (Bertha) FL7972LJ DEP07613")</f>
        <v>23ft Skiff (Bertha) FL7972LJ DEP07613</v>
      </c>
      <c r="M984" t="str">
        <f ca="1">IFERROR(__xludf.DUMMYFUNCTION("""COMPUTED_VALUE"""),"Ford F250 2017 (Moby Dix) - DEP0021578")</f>
        <v>Ford F250 2017 (Moby Dix) - DEP0021578</v>
      </c>
      <c r="N984" t="str">
        <f ca="1">IFERROR(__xludf.DUMMYFUNCTION("""COMPUTED_VALUE"""),"Jacob Berna")</f>
        <v>Jacob Berna</v>
      </c>
      <c r="O984" t="str">
        <f ca="1">IFERROR(__xludf.DUMMYFUNCTION("""COMPUTED_VALUE"""),"Alee, Alyah, Kyelee Spence, Sarah , Lynn")</f>
        <v>Alee, Alyah, Kyelee Spence, Sarah , Lynn</v>
      </c>
      <c r="P984" t="str">
        <f ca="1">IFERROR(__xludf.DUMMYFUNCTION("""COMPUTED_VALUE"""),"Jacob Berna")</f>
        <v>Jacob Berna</v>
      </c>
      <c r="AE984" s="11"/>
      <c r="AF984" t="str">
        <v>Nikki.Dix@floridadep.gov</v>
      </c>
      <c r="AG984" s="17" t="s">
        <v>41</v>
      </c>
      <c r="AH984" s="12">
        <v>1135</v>
      </c>
      <c r="AI984" s="12" t="s">
        <v>2906</v>
      </c>
      <c r="AJ984" s="19" t="s">
        <v>2907</v>
      </c>
      <c r="AK984" s="20" t="str">
        <f>HYPERLINK("https://docs.google.com/document/d/1Pb2EgSPuWH0vva2fU4gzOxz0CWRbqByXtV4nMpkLmZs/edit?usp=drivesdk","Jacob Berna - 1/30/2023 8:00 AM")</f>
        <v>Jacob Berna - 1/30/2023 8:00 AM</v>
      </c>
      <c r="AL984" s="12" t="s">
        <v>2908</v>
      </c>
    </row>
    <row r="985" spans="1:38" ht="12.75">
      <c r="A985" s="10">
        <f ca="1">IFERROR(__xludf.DUMMYFUNCTION("""COMPUTED_VALUE"""),44956.669554618)</f>
        <v>44956.669554617998</v>
      </c>
      <c r="B985" s="11" t="str">
        <f ca="1">IFERROR(__xludf.DUMMYFUNCTION("""COMPUTED_VALUE"""),"Silas Tanner")</f>
        <v>Silas Tanner</v>
      </c>
      <c r="C985" t="str">
        <f ca="1">IFERROR(__xludf.DUMMYFUNCTION("""COMPUTED_VALUE"""),"silas.tanner@floridadep.gov")</f>
        <v>silas.tanner@floridadep.gov</v>
      </c>
      <c r="D985" t="str">
        <f ca="1">IFERROR(__xludf.DUMMYFUNCTION("""COMPUTED_VALUE"""),"Nikki Dix")</f>
        <v>Nikki Dix</v>
      </c>
      <c r="E985" t="str">
        <f ca="1">IFERROR(__xludf.DUMMYFUNCTION("""COMPUTED_VALUE"""),"Vilano Landing")</f>
        <v>Vilano Landing</v>
      </c>
      <c r="F985" s="13">
        <f ca="1">IFERROR(__xludf.DUMMYFUNCTION("""COMPUTED_VALUE"""),0.479166666667879)</f>
        <v>0.47916666666787899</v>
      </c>
      <c r="G985" s="14">
        <f ca="1">IFERROR(__xludf.DUMMYFUNCTION("""COMPUTED_VALUE"""),44957)</f>
        <v>44957</v>
      </c>
      <c r="H985" t="str">
        <f ca="1">IFERROR(__xludf.DUMMYFUNCTION("""COMPUTED_VALUE"""),"ICW SWMP Sites")</f>
        <v>ICW SWMP Sites</v>
      </c>
      <c r="I985" s="15">
        <f ca="1">IFERROR(__xludf.DUMMYFUNCTION("""COMPUTED_VALUE"""),0.666666666667879)</f>
        <v>0.66666666666787899</v>
      </c>
      <c r="J985" s="16">
        <f ca="1">IFERROR(__xludf.DUMMYFUNCTION("""COMPUTED_VALUE"""),44957.6875)</f>
        <v>44957.6875</v>
      </c>
      <c r="K985" t="str">
        <f ca="1">IFERROR(__xludf.DUMMYFUNCTION("""COMPUTED_VALUE"""),"F 20ft Sea Ark (Easy 200) FL8534PY DEP21451")</f>
        <v>F 20ft Sea Ark (Easy 200) FL8534PY DEP21451</v>
      </c>
      <c r="M985" t="str">
        <f ca="1">IFERROR(__xludf.DUMMYFUNCTION("""COMPUTED_VALUE"""),"Ford F150 2015 (White) - DEP21448")</f>
        <v>Ford F150 2015 (White) - DEP21448</v>
      </c>
      <c r="N985" t="str">
        <f ca="1">IFERROR(__xludf.DUMMYFUNCTION("""COMPUTED_VALUE"""),"Silas Tanner, (904) 483-8423, Remo Mondazzi")</f>
        <v>Silas Tanner, (904) 483-8423, Remo Mondazzi</v>
      </c>
      <c r="P985" t="str">
        <f ca="1">IFERROR(__xludf.DUMMYFUNCTION("""COMPUTED_VALUE"""),"Silas Tanner")</f>
        <v>Silas Tanner</v>
      </c>
      <c r="AE985" s="11"/>
      <c r="AF985" t="str">
        <v>Nikki.Dix@floridadep.gov</v>
      </c>
      <c r="AG985" s="17" t="s">
        <v>41</v>
      </c>
      <c r="AH985" s="12">
        <v>1530</v>
      </c>
      <c r="AI985" s="12" t="s">
        <v>2909</v>
      </c>
      <c r="AJ985" s="19" t="s">
        <v>2910</v>
      </c>
      <c r="AK985" s="20" t="str">
        <f>HYPERLINK("https://docs.google.com/document/d/13Kj6QTA86lsQcffdhA0d7RtTxrhpW9uiIelPt2gYdCQ/edit?usp=drivesdk","Silas Tanner - 1/31/2023 11:30 AM")</f>
        <v>Silas Tanner - 1/31/2023 11:30 AM</v>
      </c>
      <c r="AL985" s="12" t="s">
        <v>2911</v>
      </c>
    </row>
    <row r="986" spans="1:38" ht="12.75">
      <c r="A986" s="10">
        <f ca="1">IFERROR(__xludf.DUMMYFUNCTION("""COMPUTED_VALUE"""),44957.3673695601)</f>
        <v>44957.367369560103</v>
      </c>
      <c r="B986" s="11" t="str">
        <f ca="1">IFERROR(__xludf.DUMMYFUNCTION("""COMPUTED_VALUE"""),"Jacob Berna")</f>
        <v>Jacob Berna</v>
      </c>
      <c r="C986" t="str">
        <f ca="1">IFERROR(__xludf.DUMMYFUNCTION("""COMPUTED_VALUE"""),"Jacob.Berna@FloridaDEP.gov")</f>
        <v>Jacob.Berna@FloridaDEP.gov</v>
      </c>
      <c r="D986" t="str">
        <f ca="1">IFERROR(__xludf.DUMMYFUNCTION("""COMPUTED_VALUE"""),"Nikki Dix")</f>
        <v>Nikki Dix</v>
      </c>
      <c r="E986" t="str">
        <f ca="1">IFERROR(__xludf.DUMMYFUNCTION("""COMPUTED_VALUE"""),"Vilano ")</f>
        <v xml:space="preserve">Vilano </v>
      </c>
      <c r="F986" s="13">
        <f ca="1">IFERROR(__xludf.DUMMYFUNCTION("""COMPUTED_VALUE"""),0.375)</f>
        <v>0.375</v>
      </c>
      <c r="G986" s="14">
        <f ca="1">IFERROR(__xludf.DUMMYFUNCTION("""COMPUTED_VALUE"""),44957)</f>
        <v>44957</v>
      </c>
      <c r="H986" t="str">
        <f ca="1">IFERROR(__xludf.DUMMYFUNCTION("""COMPUTED_VALUE"""),"San Sebastian Reefs")</f>
        <v>San Sebastian Reefs</v>
      </c>
      <c r="I986" s="15">
        <f ca="1">IFERROR(__xludf.DUMMYFUNCTION("""COMPUTED_VALUE"""),0.541666666667879)</f>
        <v>0.54166666666787899</v>
      </c>
      <c r="J986" s="16">
        <f ca="1">IFERROR(__xludf.DUMMYFUNCTION("""COMPUTED_VALUE"""),44957.5625)</f>
        <v>44957.5625</v>
      </c>
      <c r="K986" t="str">
        <f ca="1">IFERROR(__xludf.DUMMYFUNCTION("""COMPUTED_VALUE"""),"23ft Skiff (Bertha) FL7972LJ DEP07613")</f>
        <v>23ft Skiff (Bertha) FL7972LJ DEP07613</v>
      </c>
      <c r="M986" t="str">
        <f ca="1">IFERROR(__xludf.DUMMYFUNCTION("""COMPUTED_VALUE"""),"Ford F250 2017 (Moby Dix) - DEP0021578")</f>
        <v>Ford F250 2017 (Moby Dix) - DEP0021578</v>
      </c>
      <c r="N986" t="str">
        <f ca="1">IFERROR(__xludf.DUMMYFUNCTION("""COMPUTED_VALUE"""),"Jacob Berna")</f>
        <v>Jacob Berna</v>
      </c>
      <c r="O986" t="str">
        <f ca="1">IFERROR(__xludf.DUMMYFUNCTION("""COMPUTED_VALUE"""),"Alee, Alyah, Jeff, Mike, Pam, Nathan ")</f>
        <v xml:space="preserve">Alee, Alyah, Jeff, Mike, Pam, Nathan </v>
      </c>
      <c r="P986" t="str">
        <f ca="1">IFERROR(__xludf.DUMMYFUNCTION("""COMPUTED_VALUE"""),"Jacob Berna")</f>
        <v>Jacob Berna</v>
      </c>
      <c r="AE986" s="11"/>
      <c r="AF986" t="str">
        <v>Nikki.Dix@floridadep.gov</v>
      </c>
      <c r="AG986" s="17" t="s">
        <v>41</v>
      </c>
      <c r="AH986" s="12">
        <v>1223</v>
      </c>
      <c r="AI986" s="12" t="s">
        <v>2912</v>
      </c>
      <c r="AJ986" s="19" t="s">
        <v>2913</v>
      </c>
      <c r="AK986" s="20" t="str">
        <f>HYPERLINK("https://docs.google.com/document/d/1gYu1jaaz1Trv_xOD5UPqYXsZIEy876OBEp4Q5drGLCw/edit?usp=drivesdk","Jacob Berna - 1/31/2023 9:00 AM")</f>
        <v>Jacob Berna - 1/31/2023 9:00 AM</v>
      </c>
      <c r="AL986" s="12" t="s">
        <v>2914</v>
      </c>
    </row>
    <row r="987" spans="1:38" ht="12.75">
      <c r="A987" s="10">
        <f ca="1">IFERROR(__xludf.DUMMYFUNCTION("""COMPUTED_VALUE"""),44959.2998931828)</f>
        <v>44959.299893182797</v>
      </c>
      <c r="B987" s="11" t="str">
        <f ca="1">IFERROR(__xludf.DUMMYFUNCTION("""COMPUTED_VALUE"""),"Jessica Lee")</f>
        <v>Jessica Lee</v>
      </c>
      <c r="C987" t="str">
        <f ca="1">IFERROR(__xludf.DUMMYFUNCTION("""COMPUTED_VALUE"""),"jessica.lee@floridadep.gov")</f>
        <v>jessica.lee@floridadep.gov</v>
      </c>
      <c r="D987" t="str">
        <f ca="1">IFERROR(__xludf.DUMMYFUNCTION("""COMPUTED_VALUE"""),"Nikki Dix")</f>
        <v>Nikki Dix</v>
      </c>
      <c r="E987" t="str">
        <f ca="1">IFERROR(__xludf.DUMMYFUNCTION("""COMPUTED_VALUE"""),"Guana River")</f>
        <v>Guana River</v>
      </c>
      <c r="F987" s="13">
        <f ca="1">IFERROR(__xludf.DUMMYFUNCTION("""COMPUTED_VALUE"""),0.3125)</f>
        <v>0.3125</v>
      </c>
      <c r="G987" s="14">
        <f ca="1">IFERROR(__xludf.DUMMYFUNCTION("""COMPUTED_VALUE"""),44959)</f>
        <v>44959</v>
      </c>
      <c r="H987" t="str">
        <f ca="1">IFERROR(__xludf.DUMMYFUNCTION("""COMPUTED_VALUE"""),"Guana River")</f>
        <v>Guana River</v>
      </c>
      <c r="I987" s="15">
        <f ca="1">IFERROR(__xludf.DUMMYFUNCTION("""COMPUTED_VALUE"""),0.33333333333212)</f>
        <v>0.33333333333212001</v>
      </c>
      <c r="J987" s="16">
        <f ca="1">IFERROR(__xludf.DUMMYFUNCTION("""COMPUTED_VALUE"""),44959.3541666666)</f>
        <v>44959.354166666599</v>
      </c>
      <c r="K987" t="str">
        <f ca="1">IFERROR(__xludf.DUMMYFUNCTION("""COMPUTED_VALUE"""),"Jon Boat 1 FL5992RR DEP154045")</f>
        <v>Jon Boat 1 FL5992RR DEP154045</v>
      </c>
      <c r="M987" t="str">
        <f ca="1">IFERROR(__xludf.DUMMYFUNCTION("""COMPUTED_VALUE"""),"Ford F150 2015 (White) - DEP21448")</f>
        <v>Ford F150 2015 (White) - DEP21448</v>
      </c>
      <c r="N987" t="str">
        <f ca="1">IFERROR(__xludf.DUMMYFUNCTION("""COMPUTED_VALUE"""),"Jessica Lee, (813) 748-2228")</f>
        <v>Jessica Lee, (813) 748-2228</v>
      </c>
      <c r="O987" t="str">
        <f ca="1">IFERROR(__xludf.DUMMYFUNCTION("""COMPUTED_VALUE"""),"Monica, Myka ")</f>
        <v xml:space="preserve">Monica, Myka </v>
      </c>
      <c r="P987" t="str">
        <f ca="1">IFERROR(__xludf.DUMMYFUNCTION("""COMPUTED_VALUE"""),"Jess")</f>
        <v>Jess</v>
      </c>
      <c r="AE987" s="11"/>
      <c r="AF987" t="str">
        <v>Nikki.Dix@floridadep.gov</v>
      </c>
      <c r="AG987" s="17" t="s">
        <v>41</v>
      </c>
      <c r="AH987" s="12">
        <v>820</v>
      </c>
      <c r="AI987" s="12" t="s">
        <v>2915</v>
      </c>
      <c r="AJ987" s="19" t="s">
        <v>2916</v>
      </c>
      <c r="AK987" s="20" t="str">
        <f>HYPERLINK("https://docs.google.com/document/d/1nZuojiG1Zz2B9baWliDwqINIwE_xuHB8dqiMVX-y-6E/edit?usp=drivesdk","Jessica Lee - 2/2/2023 7:30 AM")</f>
        <v>Jessica Lee - 2/2/2023 7:30 AM</v>
      </c>
      <c r="AL987" s="12" t="s">
        <v>2917</v>
      </c>
    </row>
    <row r="988" spans="1:38" ht="12.75">
      <c r="A988" s="10">
        <f ca="1">IFERROR(__xludf.DUMMYFUNCTION("""COMPUTED_VALUE"""),44959.507230949)</f>
        <v>44959.507230948999</v>
      </c>
      <c r="B988" s="11" t="str">
        <f ca="1">IFERROR(__xludf.DUMMYFUNCTION("""COMPUTED_VALUE"""),"Jacob Berna")</f>
        <v>Jacob Berna</v>
      </c>
      <c r="C988" t="str">
        <f ca="1">IFERROR(__xludf.DUMMYFUNCTION("""COMPUTED_VALUE"""),"Jacob.Berna@FloridaDEP.gov")</f>
        <v>Jacob.Berna@FloridaDEP.gov</v>
      </c>
      <c r="D988" t="str">
        <f ca="1">IFERROR(__xludf.DUMMYFUNCTION("""COMPUTED_VALUE"""),"Nikki Dix")</f>
        <v>Nikki Dix</v>
      </c>
      <c r="E988" t="str">
        <f ca="1">IFERROR(__xludf.DUMMYFUNCTION("""COMPUTED_VALUE"""),"Frank Butler")</f>
        <v>Frank Butler</v>
      </c>
      <c r="F988" s="13">
        <f ca="1">IFERROR(__xludf.DUMMYFUNCTION("""COMPUTED_VALUE"""),0.5)</f>
        <v>0.5</v>
      </c>
      <c r="G988" s="14">
        <f ca="1">IFERROR(__xludf.DUMMYFUNCTION("""COMPUTED_VALUE"""),44959)</f>
        <v>44959</v>
      </c>
      <c r="H988" t="str">
        <f ca="1">IFERROR(__xludf.DUMMYFUNCTION("""COMPUTED_VALUE"""),"Butler Reefs")</f>
        <v>Butler Reefs</v>
      </c>
      <c r="I988" s="15">
        <f ca="1">IFERROR(__xludf.DUMMYFUNCTION("""COMPUTED_VALUE"""),0.666666666667879)</f>
        <v>0.66666666666787899</v>
      </c>
      <c r="J988" s="16">
        <f ca="1">IFERROR(__xludf.DUMMYFUNCTION("""COMPUTED_VALUE"""),44959.7083333333)</f>
        <v>44959.708333333299</v>
      </c>
      <c r="K988" t="str">
        <f ca="1">IFERROR(__xludf.DUMMYFUNCTION("""COMPUTED_VALUE"""),"23ft Skiff (Bertha) FL7972LJ DEP07613")</f>
        <v>23ft Skiff (Bertha) FL7972LJ DEP07613</v>
      </c>
      <c r="M988" t="str">
        <f ca="1">IFERROR(__xludf.DUMMYFUNCTION("""COMPUTED_VALUE"""),"Ford F250 2017 (Moby Dix) - DEP0021578")</f>
        <v>Ford F250 2017 (Moby Dix) - DEP0021578</v>
      </c>
      <c r="N988" t="str">
        <f ca="1">IFERROR(__xludf.DUMMYFUNCTION("""COMPUTED_VALUE"""),"Jacob Berna")</f>
        <v>Jacob Berna</v>
      </c>
      <c r="O988" t="str">
        <f ca="1">IFERROR(__xludf.DUMMYFUNCTION("""COMPUTED_VALUE"""),"Alee, Alyah, Jeff, Mike, Debbie")</f>
        <v>Alee, Alyah, Jeff, Mike, Debbie</v>
      </c>
      <c r="P988" t="str">
        <f ca="1">IFERROR(__xludf.DUMMYFUNCTION("""COMPUTED_VALUE"""),"Jacob Berna")</f>
        <v>Jacob Berna</v>
      </c>
      <c r="AE988" s="11"/>
      <c r="AF988" t="str">
        <v>Nikki.Dix@floridadep.gov</v>
      </c>
      <c r="AG988" s="17" t="s">
        <v>41</v>
      </c>
      <c r="AH988" s="12">
        <v>1600</v>
      </c>
      <c r="AI988" s="12" t="s">
        <v>2918</v>
      </c>
      <c r="AJ988" s="19" t="s">
        <v>2919</v>
      </c>
      <c r="AK988" s="20" t="str">
        <f>HYPERLINK("https://docs.google.com/document/d/1Z6QVM8vtKSkTQJzR8PF5WQqpEjwUAN4ctuqgyAiusUs/edit?usp=drivesdk","Jacob Berna - 2/2/2023 12:00 PM")</f>
        <v>Jacob Berna - 2/2/2023 12:00 PM</v>
      </c>
      <c r="AL988" s="12" t="s">
        <v>2920</v>
      </c>
    </row>
    <row r="989" spans="1:38" ht="12.75">
      <c r="A989" s="10">
        <f ca="1">IFERROR(__xludf.DUMMYFUNCTION("""COMPUTED_VALUE"""),44964.3512326504)</f>
        <v>44964.351232650399</v>
      </c>
      <c r="B989" s="11" t="str">
        <f ca="1">IFERROR(__xludf.DUMMYFUNCTION("""COMPUTED_VALUE"""),"Jacob Berna")</f>
        <v>Jacob Berna</v>
      </c>
      <c r="C989" t="str">
        <f ca="1">IFERROR(__xludf.DUMMYFUNCTION("""COMPUTED_VALUE"""),"Jacob.Berna@FloridaDEP.gov")</f>
        <v>Jacob.Berna@FloridaDEP.gov</v>
      </c>
      <c r="D989" t="str">
        <f ca="1">IFERROR(__xludf.DUMMYFUNCTION("""COMPUTED_VALUE"""),"Blythe Odzinski")</f>
        <v>Blythe Odzinski</v>
      </c>
      <c r="E989" t="str">
        <f ca="1">IFERROR(__xludf.DUMMYFUNCTION("""COMPUTED_VALUE"""),"Vilano ")</f>
        <v xml:space="preserve">Vilano </v>
      </c>
      <c r="F989" s="13">
        <f ca="1">IFERROR(__xludf.DUMMYFUNCTION("""COMPUTED_VALUE"""),0.36458333333212)</f>
        <v>0.36458333333212001</v>
      </c>
      <c r="G989" s="14">
        <f ca="1">IFERROR(__xludf.DUMMYFUNCTION("""COMPUTED_VALUE"""),44964)</f>
        <v>44964</v>
      </c>
      <c r="H989" t="str">
        <f ca="1">IFERROR(__xludf.DUMMYFUNCTION("""COMPUTED_VALUE"""),"Nut Run")</f>
        <v>Nut Run</v>
      </c>
      <c r="I989" s="15">
        <f ca="1">IFERROR(__xludf.DUMMYFUNCTION("""COMPUTED_VALUE"""),0.58333333333212)</f>
        <v>0.58333333333212001</v>
      </c>
      <c r="J989" s="16">
        <f ca="1">IFERROR(__xludf.DUMMYFUNCTION("""COMPUTED_VALUE"""),44964.6041666666)</f>
        <v>44964.604166666599</v>
      </c>
      <c r="K989" t="str">
        <f ca="1">IFERROR(__xludf.DUMMYFUNCTION("""COMPUTED_VALUE"""),"23ft Skiff (Bertha) FL7972LJ DEP07613")</f>
        <v>23ft Skiff (Bertha) FL7972LJ DEP07613</v>
      </c>
      <c r="M989" t="str">
        <f ca="1">IFERROR(__xludf.DUMMYFUNCTION("""COMPUTED_VALUE"""),"Ford F250 2017 (Moby Dix) - DEP0021578")</f>
        <v>Ford F250 2017 (Moby Dix) - DEP0021578</v>
      </c>
      <c r="N989" t="str">
        <f ca="1">IFERROR(__xludf.DUMMYFUNCTION("""COMPUTED_VALUE"""),"Silas Tanner, (904) 483-8423, Jacob Berna")</f>
        <v>Silas Tanner, (904) 483-8423, Jacob Berna</v>
      </c>
      <c r="O989" t="str">
        <f ca="1">IFERROR(__xludf.DUMMYFUNCTION("""COMPUTED_VALUE"""),"Nikki Dix")</f>
        <v>Nikki Dix</v>
      </c>
      <c r="P989" t="str">
        <f ca="1">IFERROR(__xludf.DUMMYFUNCTION("""COMPUTED_VALUE"""),"Silas Tanner ")</f>
        <v xml:space="preserve">Silas Tanner </v>
      </c>
      <c r="AE989" s="11"/>
      <c r="AF989" t="str">
        <v>Blythe.Odzinski@floridadep.gov</v>
      </c>
      <c r="AG989" s="17" t="s">
        <v>17</v>
      </c>
      <c r="AH989" s="12">
        <v>1330</v>
      </c>
      <c r="AI989" s="12" t="s">
        <v>2921</v>
      </c>
      <c r="AJ989" s="19" t="s">
        <v>2922</v>
      </c>
      <c r="AK989" s="20" t="str">
        <f>HYPERLINK("https://docs.google.com/document/d/1gYgU-QfaqEu6KpSw0iKxDCQKQMe1_tStWMQx9DevoFE/edit?usp=drivesdk","Jacob Berna - 2/7/2023 8:45 AM")</f>
        <v>Jacob Berna - 2/7/2023 8:45 AM</v>
      </c>
      <c r="AL989" s="12" t="s">
        <v>2923</v>
      </c>
    </row>
    <row r="990" spans="1:38" ht="12.75">
      <c r="A990" s="10">
        <f ca="1">IFERROR(__xludf.DUMMYFUNCTION("""COMPUTED_VALUE"""),44966.2676319097)</f>
        <v>44966.267631909701</v>
      </c>
      <c r="B990" s="11" t="str">
        <f ca="1">IFERROR(__xludf.DUMMYFUNCTION("""COMPUTED_VALUE"""),"Jimmy")</f>
        <v>Jimmy</v>
      </c>
      <c r="C990" t="str">
        <f ca="1">IFERROR(__xludf.DUMMYFUNCTION("""COMPUTED_VALUE"""),"james.tomazinis@floridadep.gov")</f>
        <v>james.tomazinis@floridadep.gov</v>
      </c>
      <c r="D990" t="str">
        <f ca="1">IFERROR(__xludf.DUMMYFUNCTION("""COMPUTED_VALUE"""),"Scott Eastman")</f>
        <v>Scott Eastman</v>
      </c>
      <c r="E990" t="str">
        <f ca="1">IFERROR(__xludf.DUMMYFUNCTION("""COMPUTED_VALUE"""),"Holly Point and Dee Dee Bartels")</f>
        <v>Holly Point and Dee Dee Bartels</v>
      </c>
      <c r="F990" s="13">
        <f ca="1">IFERROR(__xludf.DUMMYFUNCTION("""COMPUTED_VALUE"""),0.375)</f>
        <v>0.375</v>
      </c>
      <c r="G990" s="14">
        <f ca="1">IFERROR(__xludf.DUMMYFUNCTION("""COMPUTED_VALUE"""),45178)</f>
        <v>45178</v>
      </c>
      <c r="H990" t="str">
        <f ca="1">IFERROR(__xludf.DUMMYFUNCTION("""COMPUTED_VALUE"""),"NEAP WQ sites")</f>
        <v>NEAP WQ sites</v>
      </c>
      <c r="I990" s="15">
        <f ca="1">IFERROR(__xludf.DUMMYFUNCTION("""COMPUTED_VALUE"""),0.0416666666678793)</f>
        <v>4.1666666667879299E-2</v>
      </c>
      <c r="J990" s="16"/>
      <c r="K990" t="str">
        <f ca="1">IFERROR(__xludf.DUMMYFUNCTION("""COMPUTED_VALUE"""),"F 20ft Sea Ark (Easy 200) FL8534PY DEP21451")</f>
        <v>F 20ft Sea Ark (Easy 200) FL8534PY DEP21451</v>
      </c>
      <c r="M990" t="str">
        <f ca="1">IFERROR(__xludf.DUMMYFUNCTION("""COMPUTED_VALUE"""),"2022 NEAP Truck")</f>
        <v>2022 NEAP Truck</v>
      </c>
      <c r="N990" t="str">
        <f ca="1">IFERROR(__xludf.DUMMYFUNCTION("""COMPUTED_VALUE"""),"Jimmy Tomazinis, (904) 547-0094")</f>
        <v>Jimmy Tomazinis, (904) 547-0094</v>
      </c>
      <c r="O990" t="str">
        <f ca="1">IFERROR(__xludf.DUMMYFUNCTION("""COMPUTED_VALUE"""),"Chirs Kurtz")</f>
        <v>Chirs Kurtz</v>
      </c>
      <c r="P990" t="str">
        <f ca="1">IFERROR(__xludf.DUMMYFUNCTION("""COMPUTED_VALUE"""),"Jimmy")</f>
        <v>Jimmy</v>
      </c>
      <c r="AE990" s="11"/>
      <c r="AF990" t="str">
        <v>Scott.Eastman@floridadep.gov</v>
      </c>
      <c r="AG990" s="17" t="s">
        <v>444</v>
      </c>
      <c r="AH990" s="12">
        <v>1300</v>
      </c>
      <c r="AI990" s="12" t="s">
        <v>2924</v>
      </c>
      <c r="AJ990" s="19" t="s">
        <v>2925</v>
      </c>
      <c r="AK990" s="20" t="str">
        <f>HYPERLINK("https://docs.google.com/document/d/1RTTtQz2gqUtuhmdkGowFobwsRkv-WkPBPg_El8aBW64/edit?usp=drivesdk","Jimmy - 9/9/2023 9:00 AM")</f>
        <v>Jimmy - 9/9/2023 9:00 AM</v>
      </c>
      <c r="AL990" s="12" t="s">
        <v>2926</v>
      </c>
    </row>
    <row r="991" spans="1:38" ht="12.75">
      <c r="A991" s="10">
        <f ca="1">IFERROR(__xludf.DUMMYFUNCTION("""COMPUTED_VALUE"""),44966.3198261574)</f>
        <v>44966.3198261574</v>
      </c>
      <c r="B991" s="11" t="str">
        <f ca="1">IFERROR(__xludf.DUMMYFUNCTION("""COMPUTED_VALUE"""),"Kyia Herlth ")</f>
        <v xml:space="preserve">Kyia Herlth </v>
      </c>
      <c r="C991" t="str">
        <f ca="1">IFERROR(__xludf.DUMMYFUNCTION("""COMPUTED_VALUE"""),"kyia.herlth@floridadep.gov")</f>
        <v>kyia.herlth@floridadep.gov</v>
      </c>
      <c r="D991" t="str">
        <f ca="1">IFERROR(__xludf.DUMMYFUNCTION("""COMPUTED_VALUE"""),"Candace Killian")</f>
        <v>Candace Killian</v>
      </c>
      <c r="E991" t="str">
        <f ca="1">IFERROR(__xludf.DUMMYFUNCTION("""COMPUTED_VALUE"""),"Marineland")</f>
        <v>Marineland</v>
      </c>
      <c r="F991" s="13">
        <f ca="1">IFERROR(__xludf.DUMMYFUNCTION("""COMPUTED_VALUE"""),0.375)</f>
        <v>0.375</v>
      </c>
      <c r="G991" s="14">
        <f ca="1">IFERROR(__xludf.DUMMYFUNCTION("""COMPUTED_VALUE"""),44966)</f>
        <v>44966</v>
      </c>
      <c r="H991" t="str">
        <f ca="1">IFERROR(__xludf.DUMMYFUNCTION("""COMPUTED_VALUE"""),"Close to the launch, around the shoreline. Not going far out. ")</f>
        <v xml:space="preserve">Close to the launch, around the shoreline. Not going far out. </v>
      </c>
      <c r="I991" s="15">
        <f ca="1">IFERROR(__xludf.DUMMYFUNCTION("""COMPUTED_VALUE"""),0.0833333333321206)</f>
        <v>8.3333333332120604E-2</v>
      </c>
      <c r="J991" s="16">
        <f ca="1">IFERROR(__xludf.DUMMYFUNCTION("""COMPUTED_VALUE"""),44966.5)</f>
        <v>44966.5</v>
      </c>
      <c r="K991" t="str">
        <f ca="1">IFERROR(__xludf.DUMMYFUNCTION("""COMPUTED_VALUE"""),"Kayak(s)")</f>
        <v>Kayak(s)</v>
      </c>
      <c r="L991">
        <f ca="1">IFERROR(__xludf.DUMMYFUNCTION("""COMPUTED_VALUE"""),2)</f>
        <v>2</v>
      </c>
      <c r="M991" t="str">
        <f ca="1">IFERROR(__xludf.DUMMYFUNCTION("""COMPUTED_VALUE"""),"Personal Truck")</f>
        <v>Personal Truck</v>
      </c>
      <c r="N991" t="str">
        <f ca="1">IFERROR(__xludf.DUMMYFUNCTION("""COMPUTED_VALUE"""),"Kyia Herlth")</f>
        <v>Kyia Herlth</v>
      </c>
      <c r="O991" t="str">
        <f ca="1">IFERROR(__xludf.DUMMYFUNCTION("""COMPUTED_VALUE"""),"Savanna Mathis, Larry Herlth")</f>
        <v>Savanna Mathis, Larry Herlth</v>
      </c>
      <c r="P991" t="str">
        <f ca="1">IFERROR(__xludf.DUMMYFUNCTION("""COMPUTED_VALUE"""),"Kyia Herlth")</f>
        <v>Kyia Herlth</v>
      </c>
      <c r="AE991" s="11"/>
      <c r="AF991" t="str">
        <v>Candace.Killian@floridadep.gov</v>
      </c>
      <c r="AG991" s="18"/>
      <c r="AI991" s="12" t="s">
        <v>2927</v>
      </c>
      <c r="AJ991" s="19" t="s">
        <v>2928</v>
      </c>
      <c r="AK991" s="20" t="str">
        <f>HYPERLINK("https://docs.google.com/document/d/1vvDqfvrIOqmeOymSw-irOyn1msNY6v6S_JpSLSizMEc/edit?usp=drivesdk","Kyia Herlth  - 2/9/2023 9:00 AM")</f>
        <v>Kyia Herlth  - 2/9/2023 9:00 AM</v>
      </c>
      <c r="AL991" s="12" t="s">
        <v>2929</v>
      </c>
    </row>
    <row r="992" spans="1:38" ht="12.75">
      <c r="A992" s="10">
        <f ca="1">IFERROR(__xludf.DUMMYFUNCTION("""COMPUTED_VALUE"""),44970.32839125)</f>
        <v>44970.328391249997</v>
      </c>
      <c r="B992" s="11" t="str">
        <f ca="1">IFERROR(__xludf.DUMMYFUNCTION("""COMPUTED_VALUE"""),"Jacob Berna")</f>
        <v>Jacob Berna</v>
      </c>
      <c r="C992" t="str">
        <f ca="1">IFERROR(__xludf.DUMMYFUNCTION("""COMPUTED_VALUE"""),"Jacob.Berna@FloridaDEP.gov")</f>
        <v>Jacob.Berna@FloridaDEP.gov</v>
      </c>
      <c r="D992" t="str">
        <f ca="1">IFERROR(__xludf.DUMMYFUNCTION("""COMPUTED_VALUE"""),"Nikki Dix")</f>
        <v>Nikki Dix</v>
      </c>
      <c r="E992" t="str">
        <f ca="1">IFERROR(__xludf.DUMMYFUNCTION("""COMPUTED_VALUE"""),"Butler")</f>
        <v>Butler</v>
      </c>
      <c r="F992" s="13">
        <f ca="1">IFERROR(__xludf.DUMMYFUNCTION("""COMPUTED_VALUE"""),0.33333333333212)</f>
        <v>0.33333333333212001</v>
      </c>
      <c r="G992" s="14">
        <f ca="1">IFERROR(__xludf.DUMMYFUNCTION("""COMPUTED_VALUE"""),44970)</f>
        <v>44970</v>
      </c>
      <c r="H992" t="str">
        <f ca="1">IFERROR(__xludf.DUMMYFUNCTION("""COMPUTED_VALUE"""),"Butler Reef")</f>
        <v>Butler Reef</v>
      </c>
      <c r="I992" s="15">
        <f ca="1">IFERROR(__xludf.DUMMYFUNCTION("""COMPUTED_VALUE"""),0.5)</f>
        <v>0.5</v>
      </c>
      <c r="J992" s="16">
        <f ca="1">IFERROR(__xludf.DUMMYFUNCTION("""COMPUTED_VALUE"""),44970.5416666666)</f>
        <v>44970.541666666599</v>
      </c>
      <c r="K992" t="str">
        <f ca="1">IFERROR(__xludf.DUMMYFUNCTION("""COMPUTED_VALUE"""),"20ft Sea Ark FL5351SJ UNF 2015")</f>
        <v>20ft Sea Ark FL5351SJ UNF 2015</v>
      </c>
      <c r="M992" t="str">
        <f ca="1">IFERROR(__xludf.DUMMYFUNCTION("""COMPUTED_VALUE"""),"Ford F250 2017 (Moby Dix) - DEP0021578")</f>
        <v>Ford F250 2017 (Moby Dix) - DEP0021578</v>
      </c>
      <c r="N992" t="str">
        <f ca="1">IFERROR(__xludf.DUMMYFUNCTION("""COMPUTED_VALUE"""),"Jacob Berna")</f>
        <v>Jacob Berna</v>
      </c>
      <c r="O992" t="str">
        <f ca="1">IFERROR(__xludf.DUMMYFUNCTION("""COMPUTED_VALUE"""),"Alee, Alyah, Mathew")</f>
        <v>Alee, Alyah, Mathew</v>
      </c>
      <c r="P992" t="str">
        <f ca="1">IFERROR(__xludf.DUMMYFUNCTION("""COMPUTED_VALUE"""),"Jacob Berna")</f>
        <v>Jacob Berna</v>
      </c>
      <c r="AE992" s="11"/>
      <c r="AF992" t="str">
        <v>Nikki.Dix@floridadep.gov</v>
      </c>
      <c r="AG992" s="17" t="s">
        <v>41</v>
      </c>
      <c r="AH992" s="12">
        <v>1111</v>
      </c>
      <c r="AI992" s="12" t="s">
        <v>2930</v>
      </c>
      <c r="AJ992" s="19" t="s">
        <v>2931</v>
      </c>
      <c r="AK992" s="20" t="str">
        <f>HYPERLINK("https://docs.google.com/document/d/1MvTgsE1iDl3lQYft7YZO6S1i-AFzJc8916VMeb8X_ys/edit?usp=drivesdk","Jacob Berna - 2/13/2023 8:00 AM")</f>
        <v>Jacob Berna - 2/13/2023 8:00 AM</v>
      </c>
      <c r="AL992" s="12" t="s">
        <v>2932</v>
      </c>
    </row>
    <row r="993" spans="1:38" ht="12.75">
      <c r="A993" s="10">
        <f ca="1">IFERROR(__xludf.DUMMYFUNCTION("""COMPUTED_VALUE"""),44970.3364761226)</f>
        <v>44970.336476122597</v>
      </c>
      <c r="B993" s="11" t="str">
        <f ca="1">IFERROR(__xludf.DUMMYFUNCTION("""COMPUTED_VALUE"""),"Silas Tanner")</f>
        <v>Silas Tanner</v>
      </c>
      <c r="C993" t="str">
        <f ca="1">IFERROR(__xludf.DUMMYFUNCTION("""COMPUTED_VALUE"""),"silas.tanner@floridadep.gov")</f>
        <v>silas.tanner@floridadep.gov</v>
      </c>
      <c r="D993" t="str">
        <f ca="1">IFERROR(__xludf.DUMMYFUNCTION("""COMPUTED_VALUE"""),"Nikki Dix")</f>
        <v>Nikki Dix</v>
      </c>
      <c r="E993" t="str">
        <f ca="1">IFERROR(__xludf.DUMMYFUNCTION("""COMPUTED_VALUE"""),"Usina ramp")</f>
        <v>Usina ramp</v>
      </c>
      <c r="F993" s="13">
        <f ca="1">IFERROR(__xludf.DUMMYFUNCTION("""COMPUTED_VALUE"""),0.354166666667879)</f>
        <v>0.35416666666787899</v>
      </c>
      <c r="G993" s="14">
        <f ca="1">IFERROR(__xludf.DUMMYFUNCTION("""COMPUTED_VALUE"""),44970)</f>
        <v>44970</v>
      </c>
      <c r="H993" t="str">
        <f ca="1">IFERROR(__xludf.DUMMYFUNCTION("""COMPUTED_VALUE"""),"ICW root n rakes sites")</f>
        <v>ICW root n rakes sites</v>
      </c>
      <c r="I993" s="15">
        <f ca="1">IFERROR(__xludf.DUMMYFUNCTION("""COMPUTED_VALUE"""),0.6875)</f>
        <v>0.6875</v>
      </c>
      <c r="J993" s="16">
        <f ca="1">IFERROR(__xludf.DUMMYFUNCTION("""COMPUTED_VALUE"""),44970.6979166666)</f>
        <v>44970.697916666599</v>
      </c>
      <c r="K993" t="str">
        <f ca="1">IFERROR(__xludf.DUMMYFUNCTION("""COMPUTED_VALUE"""),"23ft Skiff (Bertha) FL7972LJ DEP07613")</f>
        <v>23ft Skiff (Bertha) FL7972LJ DEP07613</v>
      </c>
      <c r="M993" t="str">
        <f ca="1">IFERROR(__xludf.DUMMYFUNCTION("""COMPUTED_VALUE"""),"Ford F150 2015 (White) - DEP21448")</f>
        <v>Ford F150 2015 (White) - DEP21448</v>
      </c>
      <c r="N993" t="str">
        <f ca="1">IFERROR(__xludf.DUMMYFUNCTION("""COMPUTED_VALUE"""),"Silas Tanner, (904) 483-8423")</f>
        <v>Silas Tanner, (904) 483-8423</v>
      </c>
      <c r="O993" t="str">
        <f ca="1">IFERROR(__xludf.DUMMYFUNCTION("""COMPUTED_VALUE"""),"Tess Adgie, Adam Langley, Lisa Chambers, and undergrads")</f>
        <v>Tess Adgie, Adam Langley, Lisa Chambers, and undergrads</v>
      </c>
      <c r="P993" t="str">
        <f ca="1">IFERROR(__xludf.DUMMYFUNCTION("""COMPUTED_VALUE"""),"Silas Tanner")</f>
        <v>Silas Tanner</v>
      </c>
      <c r="AE993" s="11"/>
      <c r="AF993" t="str">
        <v>Nikki.Dix@floridadep.gov</v>
      </c>
      <c r="AG993" s="17" t="s">
        <v>41</v>
      </c>
      <c r="AH993" s="12">
        <v>1600</v>
      </c>
      <c r="AI993" s="12" t="s">
        <v>2933</v>
      </c>
      <c r="AJ993" s="19" t="s">
        <v>2934</v>
      </c>
      <c r="AK993" s="20" t="str">
        <f>HYPERLINK("https://docs.google.com/document/d/1qTNtisk6l7OU0_Q_FAgAO60CvfRlKUL6nCB4-ubBj70/edit?usp=drivesdk","Silas Tanner - 2/13/2023 8:30 AM")</f>
        <v>Silas Tanner - 2/13/2023 8:30 AM</v>
      </c>
      <c r="AL993" s="12" t="s">
        <v>2935</v>
      </c>
    </row>
    <row r="994" spans="1:38" ht="12.75">
      <c r="A994" s="10">
        <f ca="1">IFERROR(__xludf.DUMMYFUNCTION("""COMPUTED_VALUE"""),44971.3036495949)</f>
        <v>44971.303649594898</v>
      </c>
      <c r="B994" s="11" t="str">
        <f ca="1">IFERROR(__xludf.DUMMYFUNCTION("""COMPUTED_VALUE"""),"Jimmy")</f>
        <v>Jimmy</v>
      </c>
      <c r="C994" t="str">
        <f ca="1">IFERROR(__xludf.DUMMYFUNCTION("""COMPUTED_VALUE"""),"james.tomazinis@floridadep.gov")</f>
        <v>james.tomazinis@floridadep.gov</v>
      </c>
      <c r="D994" t="str">
        <f ca="1">IFERROR(__xludf.DUMMYFUNCTION("""COMPUTED_VALUE"""),"Scott Eastman")</f>
        <v>Scott Eastman</v>
      </c>
      <c r="E994" t="str">
        <f ca="1">IFERROR(__xludf.DUMMYFUNCTION("""COMPUTED_VALUE"""),"Mayport")</f>
        <v>Mayport</v>
      </c>
      <c r="F994" s="13">
        <f ca="1">IFERROR(__xludf.DUMMYFUNCTION("""COMPUTED_VALUE"""),0.375)</f>
        <v>0.375</v>
      </c>
      <c r="G994" s="14">
        <f ca="1">IFERROR(__xludf.DUMMYFUNCTION("""COMPUTED_VALUE"""),44971)</f>
        <v>44971</v>
      </c>
      <c r="H994" t="str">
        <f ca="1">IFERROR(__xludf.DUMMYFUNCTION("""COMPUTED_VALUE"""),"Shad and Christopher Creek")</f>
        <v>Shad and Christopher Creek</v>
      </c>
      <c r="I994" s="15">
        <f ca="1">IFERROR(__xludf.DUMMYFUNCTION("""COMPUTED_VALUE"""),0.58333333333212)</f>
        <v>0.58333333333212001</v>
      </c>
      <c r="J994" s="16"/>
      <c r="K994" t="str">
        <f ca="1">IFERROR(__xludf.DUMMYFUNCTION("""COMPUTED_VALUE"""),"F 20ft Sea Ark (Easy 200) FL8534PY DEP21451")</f>
        <v>F 20ft Sea Ark (Easy 200) FL8534PY DEP21451</v>
      </c>
      <c r="M994" t="str">
        <f ca="1">IFERROR(__xludf.DUMMYFUNCTION("""COMPUTED_VALUE"""),"NEAP F150")</f>
        <v>NEAP F150</v>
      </c>
      <c r="N994" t="str">
        <f ca="1">IFERROR(__xludf.DUMMYFUNCTION("""COMPUTED_VALUE"""),"Jimmy Tomazinis, (904) 547-0094")</f>
        <v>Jimmy Tomazinis, (904) 547-0094</v>
      </c>
      <c r="O994" t="str">
        <f ca="1">IFERROR(__xludf.DUMMYFUNCTION("""COMPUTED_VALUE"""),"Chirs Kurtz")</f>
        <v>Chirs Kurtz</v>
      </c>
      <c r="P994" t="str">
        <f ca="1">IFERROR(__xludf.DUMMYFUNCTION("""COMPUTED_VALUE"""),"Jimmy")</f>
        <v>Jimmy</v>
      </c>
      <c r="AE994" s="11"/>
      <c r="AF994" t="str">
        <v>Scott.Eastman@floridadep.gov</v>
      </c>
      <c r="AG994" s="17" t="s">
        <v>17</v>
      </c>
      <c r="AH994" s="12">
        <v>1300</v>
      </c>
      <c r="AI994" s="12" t="s">
        <v>2936</v>
      </c>
      <c r="AJ994" s="19" t="s">
        <v>2937</v>
      </c>
      <c r="AK994" s="20" t="str">
        <f>HYPERLINK("https://docs.google.com/document/d/1M_nxNjejQ1I4RcBYCLNnUOpEpDc1yK119giiH2aZmoI/edit?usp=drivesdk","Jimmy - 2/14/2023 9:00 AM")</f>
        <v>Jimmy - 2/14/2023 9:00 AM</v>
      </c>
      <c r="AL994" s="12" t="s">
        <v>2938</v>
      </c>
    </row>
    <row r="995" spans="1:38" ht="12.75">
      <c r="A995" s="10">
        <f ca="1">IFERROR(__xludf.DUMMYFUNCTION("""COMPUTED_VALUE"""),44971.3670213078)</f>
        <v>44971.3670213078</v>
      </c>
      <c r="B995" s="11" t="str">
        <f ca="1">IFERROR(__xludf.DUMMYFUNCTION("""COMPUTED_VALUE"""),"Jacob Berna")</f>
        <v>Jacob Berna</v>
      </c>
      <c r="C995" t="str">
        <f ca="1">IFERROR(__xludf.DUMMYFUNCTION("""COMPUTED_VALUE"""),"Jacob.Berna@FloridaDEP.gov")</f>
        <v>Jacob.Berna@FloridaDEP.gov</v>
      </c>
      <c r="D995" t="str">
        <f ca="1">IFERROR(__xludf.DUMMYFUNCTION("""COMPUTED_VALUE"""),"Nikki Dix")</f>
        <v>Nikki Dix</v>
      </c>
      <c r="E995" t="str">
        <f ca="1">IFERROR(__xludf.DUMMYFUNCTION("""COMPUTED_VALUE"""),"Butler ")</f>
        <v xml:space="preserve">Butler </v>
      </c>
      <c r="F995" s="13">
        <f ca="1">IFERROR(__xludf.DUMMYFUNCTION("""COMPUTED_VALUE"""),0.36458333333212)</f>
        <v>0.36458333333212001</v>
      </c>
      <c r="G995" s="14">
        <f ca="1">IFERROR(__xludf.DUMMYFUNCTION("""COMPUTED_VALUE"""),44971)</f>
        <v>44971</v>
      </c>
      <c r="H995" t="str">
        <f ca="1">IFERROR(__xludf.DUMMYFUNCTION("""COMPUTED_VALUE"""),"Butler reefs")</f>
        <v>Butler reefs</v>
      </c>
      <c r="I995" s="15">
        <f ca="1">IFERROR(__xludf.DUMMYFUNCTION("""COMPUTED_VALUE"""),0.52083333333212)</f>
        <v>0.52083333333212001</v>
      </c>
      <c r="J995" s="16">
        <f ca="1">IFERROR(__xludf.DUMMYFUNCTION("""COMPUTED_VALUE"""),44971.5625)</f>
        <v>44971.5625</v>
      </c>
      <c r="K995" t="str">
        <f ca="1">IFERROR(__xludf.DUMMYFUNCTION("""COMPUTED_VALUE"""),"23ft Skiff (Bertha) FL7972LJ DEP07613")</f>
        <v>23ft Skiff (Bertha) FL7972LJ DEP07613</v>
      </c>
      <c r="M995" t="str">
        <f ca="1">IFERROR(__xludf.DUMMYFUNCTION("""COMPUTED_VALUE"""),"Ford F150 2015 (White) - DEP21448")</f>
        <v>Ford F150 2015 (White) - DEP21448</v>
      </c>
      <c r="N995" t="str">
        <f ca="1">IFERROR(__xludf.DUMMYFUNCTION("""COMPUTED_VALUE"""),"Jacob Berna")</f>
        <v>Jacob Berna</v>
      </c>
      <c r="O995" t="str">
        <f ca="1">IFERROR(__xludf.DUMMYFUNCTION("""COMPUTED_VALUE"""),"Alee, Alyah, Jeff, Mike, Remo, Nathan")</f>
        <v>Alee, Alyah, Jeff, Mike, Remo, Nathan</v>
      </c>
      <c r="P995" t="str">
        <f ca="1">IFERROR(__xludf.DUMMYFUNCTION("""COMPUTED_VALUE"""),"Jacob Berna")</f>
        <v>Jacob Berna</v>
      </c>
      <c r="AE995" s="11"/>
      <c r="AF995" t="str">
        <v>Nikki.Dix@floridadep.gov</v>
      </c>
      <c r="AG995" s="17" t="s">
        <v>41</v>
      </c>
      <c r="AH995" s="12">
        <v>1120</v>
      </c>
      <c r="AI995" s="12" t="s">
        <v>2939</v>
      </c>
      <c r="AJ995" s="19" t="s">
        <v>2940</v>
      </c>
      <c r="AK995" s="20" t="str">
        <f>HYPERLINK("https://docs.google.com/document/d/1qXhYhs84JVytnsSuPrRtjVFlbgRJVzqXVYgWkSgEvhc/edit?usp=drivesdk","Jacob Berna - 2/14/2023 8:45 AM")</f>
        <v>Jacob Berna - 2/14/2023 8:45 AM</v>
      </c>
      <c r="AL995" s="12" t="s">
        <v>2941</v>
      </c>
    </row>
    <row r="996" spans="1:38" ht="12.75">
      <c r="A996" s="10">
        <f ca="1">IFERROR(__xludf.DUMMYFUNCTION("""COMPUTED_VALUE"""),44972.284648449)</f>
        <v>44972.284648449</v>
      </c>
      <c r="B996" s="11" t="str">
        <f ca="1">IFERROR(__xludf.DUMMYFUNCTION("""COMPUTED_VALUE"""),"Jimmy")</f>
        <v>Jimmy</v>
      </c>
      <c r="C996" t="str">
        <f ca="1">IFERROR(__xludf.DUMMYFUNCTION("""COMPUTED_VALUE"""),"james.tomazinis@floridadep.gov")</f>
        <v>james.tomazinis@floridadep.gov</v>
      </c>
      <c r="D996" t="str">
        <f ca="1">IFERROR(__xludf.DUMMYFUNCTION("""COMPUTED_VALUE"""),"Scott Eastman")</f>
        <v>Scott Eastman</v>
      </c>
      <c r="E996" t="str">
        <f ca="1">IFERROR(__xludf.DUMMYFUNCTION("""COMPUTED_VALUE"""),"Vilano ")</f>
        <v xml:space="preserve">Vilano </v>
      </c>
      <c r="F996" s="13">
        <f ca="1">IFERROR(__xludf.DUMMYFUNCTION("""COMPUTED_VALUE"""),0.39583333333212)</f>
        <v>0.39583333333212001</v>
      </c>
      <c r="G996" s="14">
        <f ca="1">IFERROR(__xludf.DUMMYFUNCTION("""COMPUTED_VALUE"""),44972)</f>
        <v>44972</v>
      </c>
      <c r="H996" t="str">
        <f ca="1">IFERROR(__xludf.DUMMYFUNCTION("""COMPUTED_VALUE"""),"Tolomato ")</f>
        <v xml:space="preserve">Tolomato </v>
      </c>
      <c r="I996" s="15">
        <f ca="1">IFERROR(__xludf.DUMMYFUNCTION("""COMPUTED_VALUE"""),0.58333333333212)</f>
        <v>0.58333333333212001</v>
      </c>
      <c r="J996" s="16"/>
      <c r="K996" t="str">
        <f ca="1">IFERROR(__xludf.DUMMYFUNCTION("""COMPUTED_VALUE"""),"F 20ft Sea Ark (Easy 200) FL8534PY DEP21451")</f>
        <v>F 20ft Sea Ark (Easy 200) FL8534PY DEP21451</v>
      </c>
      <c r="M996" t="str">
        <f ca="1">IFERROR(__xludf.DUMMYFUNCTION("""COMPUTED_VALUE"""),"NEAP F150")</f>
        <v>NEAP F150</v>
      </c>
      <c r="N996" t="str">
        <f ca="1">IFERROR(__xludf.DUMMYFUNCTION("""COMPUTED_VALUE"""),"Jimmy Tomazinis, (904) 547-0094")</f>
        <v>Jimmy Tomazinis, (904) 547-0094</v>
      </c>
      <c r="O996" t="str">
        <f ca="1">IFERROR(__xludf.DUMMYFUNCTION("""COMPUTED_VALUE"""),"Chirs Kurtz, Matt Bernanke")</f>
        <v>Chirs Kurtz, Matt Bernanke</v>
      </c>
      <c r="P996" t="str">
        <f ca="1">IFERROR(__xludf.DUMMYFUNCTION("""COMPUTED_VALUE"""),"Jimmy")</f>
        <v>Jimmy</v>
      </c>
      <c r="AE996" s="11"/>
      <c r="AF996" t="str">
        <v>Scott.Eastman@floridadep.gov</v>
      </c>
      <c r="AG996" s="17" t="s">
        <v>17</v>
      </c>
      <c r="AH996" s="12">
        <v>1230</v>
      </c>
      <c r="AI996" s="12" t="s">
        <v>2942</v>
      </c>
      <c r="AJ996" s="19" t="s">
        <v>2943</v>
      </c>
      <c r="AK996" s="20" t="str">
        <f>HYPERLINK("https://docs.google.com/document/d/1FFPPvCWonFyuD-4mNXWR6g_BETCqCPeMzDf0mkaA-Fg/edit?usp=drivesdk","Jimmy - 2/15/2023 9:30 AM")</f>
        <v>Jimmy - 2/15/2023 9:30 AM</v>
      </c>
      <c r="AL996" s="12" t="s">
        <v>2944</v>
      </c>
    </row>
    <row r="997" spans="1:38" ht="12.75">
      <c r="A997" s="10">
        <f ca="1">IFERROR(__xludf.DUMMYFUNCTION("""COMPUTED_VALUE"""),44972.3611242476)</f>
        <v>44972.361124247604</v>
      </c>
      <c r="B997" s="11" t="str">
        <f ca="1">IFERROR(__xludf.DUMMYFUNCTION("""COMPUTED_VALUE"""),"Jacob Berna")</f>
        <v>Jacob Berna</v>
      </c>
      <c r="C997" t="str">
        <f ca="1">IFERROR(__xludf.DUMMYFUNCTION("""COMPUTED_VALUE"""),"Jacob.Berna@FloridaDEP.gov")</f>
        <v>Jacob.Berna@FloridaDEP.gov</v>
      </c>
      <c r="D997" t="str">
        <f ca="1">IFERROR(__xludf.DUMMYFUNCTION("""COMPUTED_VALUE"""),"Nikki Dix")</f>
        <v>Nikki Dix</v>
      </c>
      <c r="E997" t="str">
        <f ca="1">IFERROR(__xludf.DUMMYFUNCTION("""COMPUTED_VALUE"""),"Vilano")</f>
        <v>Vilano</v>
      </c>
      <c r="F997" s="13">
        <f ca="1">IFERROR(__xludf.DUMMYFUNCTION("""COMPUTED_VALUE"""),0.36458333333212)</f>
        <v>0.36458333333212001</v>
      </c>
      <c r="G997" s="14">
        <f ca="1">IFERROR(__xludf.DUMMYFUNCTION("""COMPUTED_VALUE"""),44972)</f>
        <v>44972</v>
      </c>
      <c r="H997" t="str">
        <f ca="1">IFERROR(__xludf.DUMMYFUNCTION("""COMPUTED_VALUE"""),"SA4 reefs")</f>
        <v>SA4 reefs</v>
      </c>
      <c r="I997" s="15">
        <f ca="1">IFERROR(__xludf.DUMMYFUNCTION("""COMPUTED_VALUE"""),0.541666666667879)</f>
        <v>0.54166666666787899</v>
      </c>
      <c r="J997" s="16">
        <f ca="1">IFERROR(__xludf.DUMMYFUNCTION("""COMPUTED_VALUE"""),44972.5625)</f>
        <v>44972.5625</v>
      </c>
      <c r="K997" t="str">
        <f ca="1">IFERROR(__xludf.DUMMYFUNCTION("""COMPUTED_VALUE"""),"20ft Sea Ark FL5351SJ UNF 2015")</f>
        <v>20ft Sea Ark FL5351SJ UNF 2015</v>
      </c>
      <c r="M997" t="str">
        <f ca="1">IFERROR(__xludf.DUMMYFUNCTION("""COMPUTED_VALUE"""),"Ford F150 2015 (White) - DEP21448")</f>
        <v>Ford F150 2015 (White) - DEP21448</v>
      </c>
      <c r="N997" t="str">
        <f ca="1">IFERROR(__xludf.DUMMYFUNCTION("""COMPUTED_VALUE"""),"Jacob Berna")</f>
        <v>Jacob Berna</v>
      </c>
      <c r="O997" t="str">
        <f ca="1">IFERROR(__xludf.DUMMYFUNCTION("""COMPUTED_VALUE"""),"Alyah")</f>
        <v>Alyah</v>
      </c>
      <c r="P997" t="str">
        <f ca="1">IFERROR(__xludf.DUMMYFUNCTION("""COMPUTED_VALUE"""),"Jacob Berna")</f>
        <v>Jacob Berna</v>
      </c>
      <c r="AE997" s="11"/>
      <c r="AF997" t="str">
        <v>Nikki.Dix@floridadep.gov</v>
      </c>
      <c r="AG997" s="17" t="s">
        <v>41</v>
      </c>
      <c r="AH997" s="12">
        <v>1248</v>
      </c>
      <c r="AI997" s="12" t="s">
        <v>2945</v>
      </c>
      <c r="AJ997" s="19" t="s">
        <v>2946</v>
      </c>
      <c r="AK997" s="20" t="str">
        <f>HYPERLINK("https://docs.google.com/document/d/1aXhiUnfLc-VRDqgwlYdFMMASsIHTKpXN4QnoRcOCkGw/edit?usp=drivesdk","Jacob Berna - 2/15/2023 8:45 AM")</f>
        <v>Jacob Berna - 2/15/2023 8:45 AM</v>
      </c>
      <c r="AL997" s="12" t="s">
        <v>2947</v>
      </c>
    </row>
    <row r="998" spans="1:38" ht="12.75">
      <c r="A998" s="10">
        <f ca="1">IFERROR(__xludf.DUMMYFUNCTION("""COMPUTED_VALUE"""),44978.3920939583)</f>
        <v>44978.392093958297</v>
      </c>
      <c r="B998" s="11" t="str">
        <f ca="1">IFERROR(__xludf.DUMMYFUNCTION("""COMPUTED_VALUE"""),"Silas Tanner")</f>
        <v>Silas Tanner</v>
      </c>
      <c r="C998" t="str">
        <f ca="1">IFERROR(__xludf.DUMMYFUNCTION("""COMPUTED_VALUE"""),"silas.tanner@floridadep.gov")</f>
        <v>silas.tanner@floridadep.gov</v>
      </c>
      <c r="D998" t="str">
        <f ca="1">IFERROR(__xludf.DUMMYFUNCTION("""COMPUTED_VALUE"""),"Nikki Dix")</f>
        <v>Nikki Dix</v>
      </c>
      <c r="E998" t="str">
        <f ca="1">IFERROR(__xludf.DUMMYFUNCTION("""COMPUTED_VALUE"""),"Vilano Landing")</f>
        <v>Vilano Landing</v>
      </c>
      <c r="F998" s="13">
        <f ca="1">IFERROR(__xludf.DUMMYFUNCTION("""COMPUTED_VALUE"""),0.45833333333212)</f>
        <v>0.45833333333212001</v>
      </c>
      <c r="G998" s="14">
        <f ca="1">IFERROR(__xludf.DUMMYFUNCTION("""COMPUTED_VALUE"""),44978)</f>
        <v>44978</v>
      </c>
      <c r="H998" t="str">
        <f ca="1">IFERROR(__xludf.DUMMYFUNCTION("""COMPUTED_VALUE"""),"ICW SWMP Sites")</f>
        <v>ICW SWMP Sites</v>
      </c>
      <c r="I998" s="15">
        <f ca="1">IFERROR(__xludf.DUMMYFUNCTION("""COMPUTED_VALUE"""),0.666666666667879)</f>
        <v>0.66666666666787899</v>
      </c>
      <c r="J998" s="16">
        <f ca="1">IFERROR(__xludf.DUMMYFUNCTION("""COMPUTED_VALUE"""),44978.6875)</f>
        <v>44978.6875</v>
      </c>
      <c r="K998" t="str">
        <f ca="1">IFERROR(__xludf.DUMMYFUNCTION("""COMPUTED_VALUE"""),"F 20ft Sea Ark (Easy 200) FL8534PY DEP21451")</f>
        <v>F 20ft Sea Ark (Easy 200) FL8534PY DEP21451</v>
      </c>
      <c r="M998" t="str">
        <f ca="1">IFERROR(__xludf.DUMMYFUNCTION("""COMPUTED_VALUE"""),"Ford F250 2017 (Moby Dix) - DEP0021578")</f>
        <v>Ford F250 2017 (Moby Dix) - DEP0021578</v>
      </c>
      <c r="N998" t="str">
        <f ca="1">IFERROR(__xludf.DUMMYFUNCTION("""COMPUTED_VALUE"""),"Silas Tanner, (904) 483-8423, Remo Mondazzi")</f>
        <v>Silas Tanner, (904) 483-8423, Remo Mondazzi</v>
      </c>
      <c r="P998" t="str">
        <f ca="1">IFERROR(__xludf.DUMMYFUNCTION("""COMPUTED_VALUE"""),"Capt. S. Tanner")</f>
        <v>Capt. S. Tanner</v>
      </c>
      <c r="AE998" s="11"/>
      <c r="AF998" t="str">
        <v>Nikki.Dix@floridadep.gov</v>
      </c>
      <c r="AG998" s="17" t="s">
        <v>41</v>
      </c>
      <c r="AH998" s="12">
        <v>1432</v>
      </c>
      <c r="AI998" s="12" t="s">
        <v>2948</v>
      </c>
      <c r="AJ998" s="19" t="s">
        <v>2949</v>
      </c>
      <c r="AK998" s="20" t="str">
        <f>HYPERLINK("https://docs.google.com/document/d/1l-iFtoGNM2B6-dcpQdwQCJ2BT2hve12jli6JoxWhvco/edit?usp=drivesdk","Silas Tanner - 2/21/2023 11:00 AM")</f>
        <v>Silas Tanner - 2/21/2023 11:00 AM</v>
      </c>
      <c r="AL998" s="12" t="s">
        <v>2950</v>
      </c>
    </row>
    <row r="999" spans="1:38" ht="12.75">
      <c r="A999" s="10">
        <f ca="1">IFERROR(__xludf.DUMMYFUNCTION("""COMPUTED_VALUE"""),44984.3377446296)</f>
        <v>44984.3377446296</v>
      </c>
      <c r="B999" s="11" t="str">
        <f ca="1">IFERROR(__xludf.DUMMYFUNCTION("""COMPUTED_VALUE"""),"Jacob Berna")</f>
        <v>Jacob Berna</v>
      </c>
      <c r="C999" t="str">
        <f ca="1">IFERROR(__xludf.DUMMYFUNCTION("""COMPUTED_VALUE"""),"Jacob.Berna@FloridaDEP.gov")</f>
        <v>Jacob.Berna@FloridaDEP.gov</v>
      </c>
      <c r="D999" t="str">
        <f ca="1">IFERROR(__xludf.DUMMYFUNCTION("""COMPUTED_VALUE"""),"Nikki Dix")</f>
        <v>Nikki Dix</v>
      </c>
      <c r="E999" t="str">
        <f ca="1">IFERROR(__xludf.DUMMYFUNCTION("""COMPUTED_VALUE"""),"Butler")</f>
        <v>Butler</v>
      </c>
      <c r="F999" s="13">
        <f ca="1">IFERROR(__xludf.DUMMYFUNCTION("""COMPUTED_VALUE"""),0.33333333333212)</f>
        <v>0.33333333333212001</v>
      </c>
      <c r="G999" s="14">
        <f ca="1">IFERROR(__xludf.DUMMYFUNCTION("""COMPUTED_VALUE"""),44984)</f>
        <v>44984</v>
      </c>
      <c r="H999" t="str">
        <f ca="1">IFERROR(__xludf.DUMMYFUNCTION("""COMPUTED_VALUE"""),"Butler Reefs")</f>
        <v>Butler Reefs</v>
      </c>
      <c r="I999" s="15">
        <f ca="1">IFERROR(__xludf.DUMMYFUNCTION("""COMPUTED_VALUE"""),0.5)</f>
        <v>0.5</v>
      </c>
      <c r="J999" s="16">
        <f ca="1">IFERROR(__xludf.DUMMYFUNCTION("""COMPUTED_VALUE"""),44984.5416666666)</f>
        <v>44984.541666666599</v>
      </c>
      <c r="K999" t="str">
        <f ca="1">IFERROR(__xludf.DUMMYFUNCTION("""COMPUTED_VALUE"""),"23ft Skiff (Bertha) FL7972LJ DEP07613")</f>
        <v>23ft Skiff (Bertha) FL7972LJ DEP07613</v>
      </c>
      <c r="M999" t="str">
        <f ca="1">IFERROR(__xludf.DUMMYFUNCTION("""COMPUTED_VALUE"""),"Ford F150 2015 (White) - DEP21448")</f>
        <v>Ford F150 2015 (White) - DEP21448</v>
      </c>
      <c r="N999" t="str">
        <f ca="1">IFERROR(__xludf.DUMMYFUNCTION("""COMPUTED_VALUE"""),"Jacob Berna")</f>
        <v>Jacob Berna</v>
      </c>
      <c r="O999" t="str">
        <f ca="1">IFERROR(__xludf.DUMMYFUNCTION("""COMPUTED_VALUE"""),"Alee, Alyah")</f>
        <v>Alee, Alyah</v>
      </c>
      <c r="P999" t="str">
        <f ca="1">IFERROR(__xludf.DUMMYFUNCTION("""COMPUTED_VALUE"""),"Jacob Berna")</f>
        <v>Jacob Berna</v>
      </c>
      <c r="AE999" s="11"/>
      <c r="AF999" t="str">
        <v>Nikki.Dix@floridadep.gov</v>
      </c>
      <c r="AG999" s="17" t="s">
        <v>41</v>
      </c>
      <c r="AH999" s="12">
        <v>1154</v>
      </c>
      <c r="AI999" s="12" t="s">
        <v>2951</v>
      </c>
      <c r="AJ999" s="19" t="s">
        <v>2952</v>
      </c>
      <c r="AK999" s="20" t="str">
        <f>HYPERLINK("https://docs.google.com/document/d/1PiGRf87FQYbon8Bd8tRK_MWvePIvMnMe_l7cS9sIJiQ/edit?usp=drivesdk","Jacob Berna - 2/27/2023 8:00 AM")</f>
        <v>Jacob Berna - 2/27/2023 8:00 AM</v>
      </c>
      <c r="AL999" s="12" t="s">
        <v>2953</v>
      </c>
    </row>
    <row r="1000" spans="1:38" ht="12.75">
      <c r="A1000" s="10">
        <f ca="1">IFERROR(__xludf.DUMMYFUNCTION("""COMPUTED_VALUE"""),44984.3431888541)</f>
        <v>44984.343188854102</v>
      </c>
      <c r="B1000" s="11" t="str">
        <f ca="1">IFERROR(__xludf.DUMMYFUNCTION("""COMPUTED_VALUE"""),"Silas Tanner")</f>
        <v>Silas Tanner</v>
      </c>
      <c r="C1000" t="str">
        <f ca="1">IFERROR(__xludf.DUMMYFUNCTION("""COMPUTED_VALUE"""),"silas.tanner@floridadep.gov")</f>
        <v>silas.tanner@floridadep.gov</v>
      </c>
      <c r="D1000" t="str">
        <f ca="1">IFERROR(__xludf.DUMMYFUNCTION("""COMPUTED_VALUE"""),"Nikki Dix")</f>
        <v>Nikki Dix</v>
      </c>
      <c r="E1000" t="str">
        <f ca="1">IFERROR(__xludf.DUMMYFUNCTION("""COMPUTED_VALUE"""),"Usina boat ramp")</f>
        <v>Usina boat ramp</v>
      </c>
      <c r="F1000" s="13">
        <f ca="1">IFERROR(__xludf.DUMMYFUNCTION("""COMPUTED_VALUE"""),0.354166666667879)</f>
        <v>0.35416666666787899</v>
      </c>
      <c r="G1000" s="14">
        <f ca="1">IFERROR(__xludf.DUMMYFUNCTION("""COMPUTED_VALUE"""),44984)</f>
        <v>44984</v>
      </c>
      <c r="H1000" t="str">
        <f ca="1">IFERROR(__xludf.DUMMYFUNCTION("""COMPUTED_VALUE"""),"ICW Roots and Rakes sites ")</f>
        <v xml:space="preserve">ICW Roots and Rakes sites </v>
      </c>
      <c r="I1000" s="15">
        <f ca="1">IFERROR(__xludf.DUMMYFUNCTION("""COMPUTED_VALUE"""),0.59375)</f>
        <v>0.59375</v>
      </c>
      <c r="J1000" s="16">
        <f ca="1">IFERROR(__xludf.DUMMYFUNCTION("""COMPUTED_VALUE"""),44984.7291666666)</f>
        <v>44984.729166666599</v>
      </c>
      <c r="K1000" t="str">
        <f ca="1">IFERROR(__xludf.DUMMYFUNCTION("""COMPUTED_VALUE"""),"20ft Sea Ark FL5351SJ UNF 2015")</f>
        <v>20ft Sea Ark FL5351SJ UNF 2015</v>
      </c>
      <c r="M1000" t="str">
        <f ca="1">IFERROR(__xludf.DUMMYFUNCTION("""COMPUTED_VALUE"""),"Ford F250 2017 (Moby Dix) - DEP0021578")</f>
        <v>Ford F250 2017 (Moby Dix) - DEP0021578</v>
      </c>
      <c r="N1000" t="str">
        <f ca="1">IFERROR(__xludf.DUMMYFUNCTION("""COMPUTED_VALUE"""),"Silas Tanner, (904) 483-8423")</f>
        <v>Silas Tanner, (904) 483-8423</v>
      </c>
      <c r="O1000" t="str">
        <f ca="1">IFERROR(__xludf.DUMMYFUNCTION("""COMPUTED_VALUE"""),"Lisa Chambers, Sara Gay")</f>
        <v>Lisa Chambers, Sara Gay</v>
      </c>
      <c r="P1000" t="str">
        <f ca="1">IFERROR(__xludf.DUMMYFUNCTION("""COMPUTED_VALUE"""),"Silas Tanner")</f>
        <v>Silas Tanner</v>
      </c>
      <c r="AE1000" s="11"/>
      <c r="AF1000" t="str">
        <v>Nikki.Dix@floridadep.gov</v>
      </c>
      <c r="AG1000" s="17" t="s">
        <v>41</v>
      </c>
      <c r="AH1000" s="12">
        <v>1318</v>
      </c>
      <c r="AI1000" s="12" t="s">
        <v>2954</v>
      </c>
      <c r="AJ1000" s="19" t="s">
        <v>2955</v>
      </c>
      <c r="AK1000" s="20" t="str">
        <f>HYPERLINK("https://docs.google.com/document/d/1P-BFqZTHN9dEPA-KiAZcwcxeocA5jxgc46026aOmr_Q/edit?usp=drivesdk","Silas Tanner - 2/27/2023 8:30 AM")</f>
        <v>Silas Tanner - 2/27/2023 8:30 AM</v>
      </c>
      <c r="AL1000" s="12" t="s">
        <v>2956</v>
      </c>
    </row>
    <row r="1001" spans="1:38" ht="12.75">
      <c r="A1001" s="10">
        <f ca="1">IFERROR(__xludf.DUMMYFUNCTION("""COMPUTED_VALUE"""),44985.3042100463)</f>
        <v>44985.304210046299</v>
      </c>
      <c r="B1001" s="11" t="str">
        <f ca="1">IFERROR(__xludf.DUMMYFUNCTION("""COMPUTED_VALUE"""),"Jimmy")</f>
        <v>Jimmy</v>
      </c>
      <c r="C1001" t="str">
        <f ca="1">IFERROR(__xludf.DUMMYFUNCTION("""COMPUTED_VALUE"""),"james.tomazinis@floridadep.gov")</f>
        <v>james.tomazinis@floridadep.gov</v>
      </c>
      <c r="D1001" t="str">
        <f ca="1">IFERROR(__xludf.DUMMYFUNCTION("""COMPUTED_VALUE"""),"Scott Eastman")</f>
        <v>Scott Eastman</v>
      </c>
      <c r="E1001" t="str">
        <f ca="1">IFERROR(__xludf.DUMMYFUNCTION("""COMPUTED_VALUE"""),"Melton Nelson")</f>
        <v>Melton Nelson</v>
      </c>
      <c r="F1001" s="13">
        <f ca="1">IFERROR(__xludf.DUMMYFUNCTION("""COMPUTED_VALUE"""),0.95833333333212)</f>
        <v>0.95833333333212001</v>
      </c>
      <c r="G1001" s="14">
        <f ca="1">IFERROR(__xludf.DUMMYFUNCTION("""COMPUTED_VALUE"""),44985)</f>
        <v>44985</v>
      </c>
      <c r="H1001" t="str">
        <f ca="1">IFERROR(__xludf.DUMMYFUNCTION("""COMPUTED_VALUE"""),"Lofton Creek")</f>
        <v>Lofton Creek</v>
      </c>
      <c r="I1001" s="15">
        <f ca="1">IFERROR(__xludf.DUMMYFUNCTION("""COMPUTED_VALUE"""),0.666666666667879)</f>
        <v>0.66666666666787899</v>
      </c>
      <c r="J1001" s="16"/>
      <c r="K1001" t="str">
        <f ca="1">IFERROR(__xludf.DUMMYFUNCTION("""COMPUTED_VALUE"""),"F 20ft Sea Ark (Easy 200) FL8534PY DEP21451")</f>
        <v>F 20ft Sea Ark (Easy 200) FL8534PY DEP21451</v>
      </c>
      <c r="M1001" t="str">
        <f ca="1">IFERROR(__xludf.DUMMYFUNCTION("""COMPUTED_VALUE"""),"2022 NEAP F150")</f>
        <v>2022 NEAP F150</v>
      </c>
      <c r="N1001" t="str">
        <f ca="1">IFERROR(__xludf.DUMMYFUNCTION("""COMPUTED_VALUE"""),"Jimmy Tomazinis, (904) 547-0094")</f>
        <v>Jimmy Tomazinis, (904) 547-0094</v>
      </c>
      <c r="O1001" t="str">
        <f ca="1">IFERROR(__xludf.DUMMYFUNCTION("""COMPUTED_VALUE"""),"Chirs Kurtz")</f>
        <v>Chirs Kurtz</v>
      </c>
      <c r="P1001" t="str">
        <f ca="1">IFERROR(__xludf.DUMMYFUNCTION("""COMPUTED_VALUE"""),"Jimmy")</f>
        <v>Jimmy</v>
      </c>
      <c r="AE1001" s="11"/>
      <c r="AF1001" t="str">
        <v>Scott.Eastman@floridadep.gov</v>
      </c>
      <c r="AG1001" s="7" t="s">
        <v>17</v>
      </c>
      <c r="AH1001" s="12">
        <v>1655</v>
      </c>
      <c r="AI1001" s="12" t="s">
        <v>2957</v>
      </c>
      <c r="AJ1001" s="19" t="s">
        <v>2958</v>
      </c>
      <c r="AK1001" s="20" t="str">
        <f>HYPERLINK("https://docs.google.com/document/d/17HeAl_OmbbP074viBGB_uMnW72l7CFMsy5cLF_aA5ak/edit?usp=drivesdk","Jimmy - 2/28/2023 11:00 PM")</f>
        <v>Jimmy - 2/28/2023 11:00 PM</v>
      </c>
      <c r="AL1001" s="12" t="s">
        <v>2959</v>
      </c>
    </row>
    <row r="1002" spans="1:38" ht="12.75">
      <c r="A1002" s="10">
        <f ca="1">IFERROR(__xludf.DUMMYFUNCTION("""COMPUTED_VALUE"""),44985.3759200115)</f>
        <v>44985.375920011502</v>
      </c>
      <c r="B1002" s="11" t="str">
        <f ca="1">IFERROR(__xludf.DUMMYFUNCTION("""COMPUTED_VALUE"""),"Jacob Berna")</f>
        <v>Jacob Berna</v>
      </c>
      <c r="C1002" t="str">
        <f ca="1">IFERROR(__xludf.DUMMYFUNCTION("""COMPUTED_VALUE"""),"Jacob.Berna@FloridaDEP.gov")</f>
        <v>Jacob.Berna@FloridaDEP.gov</v>
      </c>
      <c r="D1002" t="str">
        <f ca="1">IFERROR(__xludf.DUMMYFUNCTION("""COMPUTED_VALUE"""),"Nikki Dix")</f>
        <v>Nikki Dix</v>
      </c>
      <c r="E1002" t="str">
        <f ca="1">IFERROR(__xludf.DUMMYFUNCTION("""COMPUTED_VALUE"""),"Butler")</f>
        <v>Butler</v>
      </c>
      <c r="F1002" s="13">
        <f ca="1">IFERROR(__xludf.DUMMYFUNCTION("""COMPUTED_VALUE"""),0.375)</f>
        <v>0.375</v>
      </c>
      <c r="G1002" s="14">
        <f ca="1">IFERROR(__xludf.DUMMYFUNCTION("""COMPUTED_VALUE"""),44985)</f>
        <v>44985</v>
      </c>
      <c r="H1002" t="str">
        <f ca="1">IFERROR(__xludf.DUMMYFUNCTION("""COMPUTED_VALUE"""),"Butler Reefs")</f>
        <v>Butler Reefs</v>
      </c>
      <c r="I1002" s="15">
        <f ca="1">IFERROR(__xludf.DUMMYFUNCTION("""COMPUTED_VALUE"""),0.5625)</f>
        <v>0.5625</v>
      </c>
      <c r="J1002" s="16">
        <f ca="1">IFERROR(__xludf.DUMMYFUNCTION("""COMPUTED_VALUE"""),44985.6041666666)</f>
        <v>44985.604166666599</v>
      </c>
      <c r="K1002" t="str">
        <f ca="1">IFERROR(__xludf.DUMMYFUNCTION("""COMPUTED_VALUE"""),"23ft Skiff (Bertha) FL7972LJ DEP07613")</f>
        <v>23ft Skiff (Bertha) FL7972LJ DEP07613</v>
      </c>
      <c r="M1002" t="str">
        <f ca="1">IFERROR(__xludf.DUMMYFUNCTION("""COMPUTED_VALUE"""),"Ford F150 2015 (White) - DEP21448")</f>
        <v>Ford F150 2015 (White) - DEP21448</v>
      </c>
      <c r="N1002" t="str">
        <f ca="1">IFERROR(__xludf.DUMMYFUNCTION("""COMPUTED_VALUE"""),"Jacob Berna")</f>
        <v>Jacob Berna</v>
      </c>
      <c r="O1002" t="str">
        <f ca="1">IFERROR(__xludf.DUMMYFUNCTION("""COMPUTED_VALUE"""),"Alee, Alyah, Jeff, Mike, Remo, nathan")</f>
        <v>Alee, Alyah, Jeff, Mike, Remo, nathan</v>
      </c>
      <c r="P1002" t="str">
        <f ca="1">IFERROR(__xludf.DUMMYFUNCTION("""COMPUTED_VALUE"""),"Jacob Berna")</f>
        <v>Jacob Berna</v>
      </c>
      <c r="AE1002" s="11"/>
      <c r="AF1002" t="str">
        <v>Nikki.Dix@floridadep.gov</v>
      </c>
      <c r="AG1002" s="17" t="s">
        <v>41</v>
      </c>
      <c r="AH1002" s="12">
        <v>1208</v>
      </c>
      <c r="AI1002" s="12" t="s">
        <v>2960</v>
      </c>
      <c r="AJ1002" s="19" t="s">
        <v>2961</v>
      </c>
      <c r="AK1002" s="20" t="str">
        <f>HYPERLINK("https://docs.google.com/document/d/1SpkPMGtLF6qVPUM9BBCdqzW5cfn7rAe99LzwgX0kYZI/edit?usp=drivesdk","Jacob Berna - 2/28/2023 9:00 AM")</f>
        <v>Jacob Berna - 2/28/2023 9:00 AM</v>
      </c>
      <c r="AL1002" s="12" t="s">
        <v>2962</v>
      </c>
    </row>
    <row r="1003" spans="1:38" ht="12.75">
      <c r="A1003" s="10">
        <f ca="1">IFERROR(__xludf.DUMMYFUNCTION("""COMPUTED_VALUE"""),44986.4203542824)</f>
        <v>44986.420354282403</v>
      </c>
      <c r="B1003" s="11" t="str">
        <f ca="1">IFERROR(__xludf.DUMMYFUNCTION("""COMPUTED_VALUE"""),"Jacob Berna")</f>
        <v>Jacob Berna</v>
      </c>
      <c r="C1003" t="str">
        <f ca="1">IFERROR(__xludf.DUMMYFUNCTION("""COMPUTED_VALUE"""),"Jacob.Berna@FloridaDEP.gov")</f>
        <v>Jacob.Berna@FloridaDEP.gov</v>
      </c>
      <c r="D1003" t="str">
        <f ca="1">IFERROR(__xludf.DUMMYFUNCTION("""COMPUTED_VALUE"""),"Nikki Dix")</f>
        <v>Nikki Dix</v>
      </c>
      <c r="E1003" t="str">
        <f ca="1">IFERROR(__xludf.DUMMYFUNCTION("""COMPUTED_VALUE"""),"Butler")</f>
        <v>Butler</v>
      </c>
      <c r="F1003" s="13">
        <f ca="1">IFERROR(__xludf.DUMMYFUNCTION("""COMPUTED_VALUE"""),0.416666666667879)</f>
        <v>0.41666666666787899</v>
      </c>
      <c r="G1003" s="14">
        <f ca="1">IFERROR(__xludf.DUMMYFUNCTION("""COMPUTED_VALUE"""),44986)</f>
        <v>44986</v>
      </c>
      <c r="H1003" t="str">
        <f ca="1">IFERROR(__xludf.DUMMYFUNCTION("""COMPUTED_VALUE"""),"Butler Reefs")</f>
        <v>Butler Reefs</v>
      </c>
      <c r="I1003" s="15">
        <f ca="1">IFERROR(__xludf.DUMMYFUNCTION("""COMPUTED_VALUE"""),0.604166666667879)</f>
        <v>0.60416666666787899</v>
      </c>
      <c r="J1003" s="16">
        <f ca="1">IFERROR(__xludf.DUMMYFUNCTION("""COMPUTED_VALUE"""),44986.6458333333)</f>
        <v>44986.645833333299</v>
      </c>
      <c r="K1003" t="str">
        <f ca="1">IFERROR(__xludf.DUMMYFUNCTION("""COMPUTED_VALUE"""),"23ft Skiff (Bertha) FL7972LJ DEP07613")</f>
        <v>23ft Skiff (Bertha) FL7972LJ DEP07613</v>
      </c>
      <c r="M1003" t="str">
        <f ca="1">IFERROR(__xludf.DUMMYFUNCTION("""COMPUTED_VALUE"""),"Ford F150 2015 (White) - DEP21448")</f>
        <v>Ford F150 2015 (White) - DEP21448</v>
      </c>
      <c r="N1003" t="str">
        <f ca="1">IFERROR(__xludf.DUMMYFUNCTION("""COMPUTED_VALUE"""),"Jacob Berna")</f>
        <v>Jacob Berna</v>
      </c>
      <c r="O1003" t="str">
        <f ca="1">IFERROR(__xludf.DUMMYFUNCTION("""COMPUTED_VALUE"""),"Alee, Jeff, Mike, Spencer")</f>
        <v>Alee, Jeff, Mike, Spencer</v>
      </c>
      <c r="P1003" t="str">
        <f ca="1">IFERROR(__xludf.DUMMYFUNCTION("""COMPUTED_VALUE"""),"Jacob Berna")</f>
        <v>Jacob Berna</v>
      </c>
      <c r="AE1003" s="11"/>
      <c r="AF1003" t="str">
        <v>Nikki.Dix@floridadep.gov</v>
      </c>
      <c r="AG1003" s="17" t="s">
        <v>41</v>
      </c>
      <c r="AH1003" s="12">
        <v>1400</v>
      </c>
      <c r="AI1003" s="12" t="s">
        <v>2963</v>
      </c>
      <c r="AJ1003" s="19" t="s">
        <v>2964</v>
      </c>
      <c r="AK1003" s="20" t="str">
        <f>HYPERLINK("https://docs.google.com/document/d/1S4RdLABRl1wRc4v94jEitUOBobjLcIRtBdcUkuMExQ8/edit?usp=drivesdk","Jacob Berna - 3/1/2023 10:00 AM")</f>
        <v>Jacob Berna - 3/1/2023 10:00 AM</v>
      </c>
      <c r="AL1003" s="12" t="s">
        <v>2965</v>
      </c>
    </row>
    <row r="1004" spans="1:38" ht="12.75">
      <c r="A1004" s="10">
        <f ca="1">IFERROR(__xludf.DUMMYFUNCTION("""COMPUTED_VALUE"""),44991.2877051273)</f>
        <v>44991.287705127303</v>
      </c>
      <c r="B1004" s="11" t="str">
        <f ca="1">IFERROR(__xludf.DUMMYFUNCTION("""COMPUTED_VALUE"""),"Jimmy")</f>
        <v>Jimmy</v>
      </c>
      <c r="C1004" t="str">
        <f ca="1">IFERROR(__xludf.DUMMYFUNCTION("""COMPUTED_VALUE"""),"james.tomazinis@floridadep.gov")</f>
        <v>james.tomazinis@floridadep.gov</v>
      </c>
      <c r="D1004" t="str">
        <f ca="1">IFERROR(__xludf.DUMMYFUNCTION("""COMPUTED_VALUE"""),"Scott Eastman")</f>
        <v>Scott Eastman</v>
      </c>
      <c r="E1004" t="str">
        <f ca="1">IFERROR(__xludf.DUMMYFUNCTION("""COMPUTED_VALUE"""),"Guana Dam")</f>
        <v>Guana Dam</v>
      </c>
      <c r="F1004" s="13">
        <f ca="1">IFERROR(__xludf.DUMMYFUNCTION("""COMPUTED_VALUE"""),0.354166666667879)</f>
        <v>0.35416666666787899</v>
      </c>
      <c r="G1004" s="14">
        <f ca="1">IFERROR(__xludf.DUMMYFUNCTION("""COMPUTED_VALUE"""),44991)</f>
        <v>44991</v>
      </c>
      <c r="H1004" t="str">
        <f ca="1">IFERROR(__xludf.DUMMYFUNCTION("""COMPUTED_VALUE"""),"Guana River WQ sites")</f>
        <v>Guana River WQ sites</v>
      </c>
      <c r="I1004" s="15">
        <f ca="1">IFERROR(__xludf.DUMMYFUNCTION("""COMPUTED_VALUE"""),0.39583333333212)</f>
        <v>0.39583333333212001</v>
      </c>
      <c r="J1004" s="16"/>
      <c r="K1004" t="str">
        <f ca="1">IFERROR(__xludf.DUMMYFUNCTION("""COMPUTED_VALUE"""),"Jon Boat 1 FL5992RR DEP154045")</f>
        <v>Jon Boat 1 FL5992RR DEP154045</v>
      </c>
      <c r="M1004" t="str">
        <f ca="1">IFERROR(__xludf.DUMMYFUNCTION("""COMPUTED_VALUE"""),"Ford F150 2015 (White) - DEP21448")</f>
        <v>Ford F150 2015 (White) - DEP21448</v>
      </c>
      <c r="N1004" t="str">
        <f ca="1">IFERROR(__xludf.DUMMYFUNCTION("""COMPUTED_VALUE"""),"Jimmy Tomazinis, (904) 547-0094")</f>
        <v>Jimmy Tomazinis, (904) 547-0094</v>
      </c>
      <c r="O1004" t="str">
        <f ca="1">IFERROR(__xludf.DUMMYFUNCTION("""COMPUTED_VALUE"""),"Nicole")</f>
        <v>Nicole</v>
      </c>
      <c r="P1004" t="str">
        <f ca="1">IFERROR(__xludf.DUMMYFUNCTION("""COMPUTED_VALUE"""),"Jimmy")</f>
        <v>Jimmy</v>
      </c>
      <c r="AE1004" s="11"/>
      <c r="AF1004" t="str">
        <v>Scott.Eastman@floridadep.gov</v>
      </c>
      <c r="AG1004" s="18"/>
      <c r="AI1004" s="12" t="s">
        <v>2966</v>
      </c>
      <c r="AJ1004" s="19" t="s">
        <v>2967</v>
      </c>
      <c r="AK1004" s="20" t="str">
        <f>HYPERLINK("https://docs.google.com/document/d/1S9PnpTSZN5NJQJmBlQYdIFb3DunUjQ5YdxS6ZE32qTw/edit?usp=drivesdk","Jimmy - 3/6/2023 8:30 AM")</f>
        <v>Jimmy - 3/6/2023 8:30 AM</v>
      </c>
      <c r="AL1004" s="12" t="s">
        <v>2968</v>
      </c>
    </row>
    <row r="1005" spans="1:38" ht="12.75">
      <c r="A1005" s="10">
        <f ca="1">IFERROR(__xludf.DUMMYFUNCTION("""COMPUTED_VALUE"""),44991.5713266087)</f>
        <v>44991.571326608697</v>
      </c>
      <c r="B1005" s="11" t="str">
        <f ca="1">IFERROR(__xludf.DUMMYFUNCTION("""COMPUTED_VALUE"""),"Silas Tanner")</f>
        <v>Silas Tanner</v>
      </c>
      <c r="C1005" t="str">
        <f ca="1">IFERROR(__xludf.DUMMYFUNCTION("""COMPUTED_VALUE"""),"silas.tanner@floridadep.gov")</f>
        <v>silas.tanner@floridadep.gov</v>
      </c>
      <c r="D1005" t="str">
        <f ca="1">IFERROR(__xludf.DUMMYFUNCTION("""COMPUTED_VALUE"""),"Nikki Dix")</f>
        <v>Nikki Dix</v>
      </c>
      <c r="E1005" t="str">
        <f ca="1">IFERROR(__xludf.DUMMYFUNCTION("""COMPUTED_VALUE"""),"Vilano Landing")</f>
        <v>Vilano Landing</v>
      </c>
      <c r="F1005" s="13">
        <f ca="1">IFERROR(__xludf.DUMMYFUNCTION("""COMPUTED_VALUE"""),0.322916666667879)</f>
        <v>0.32291666666787899</v>
      </c>
      <c r="G1005" s="14">
        <f ca="1">IFERROR(__xludf.DUMMYFUNCTION("""COMPUTED_VALUE"""),44992)</f>
        <v>44992</v>
      </c>
      <c r="H1005" t="str">
        <f ca="1">IFERROR(__xludf.DUMMYFUNCTION("""COMPUTED_VALUE"""),"ICW SWMP sites")</f>
        <v>ICW SWMP sites</v>
      </c>
      <c r="I1005" s="15">
        <f ca="1">IFERROR(__xludf.DUMMYFUNCTION("""COMPUTED_VALUE"""),0.5625)</f>
        <v>0.5625</v>
      </c>
      <c r="J1005" s="16">
        <f ca="1">IFERROR(__xludf.DUMMYFUNCTION("""COMPUTED_VALUE"""),44992.5833333333)</f>
        <v>44992.583333333299</v>
      </c>
      <c r="K1005" t="str">
        <f ca="1">IFERROR(__xludf.DUMMYFUNCTION("""COMPUTED_VALUE"""),"F 20ft Sea Ark (Easy 200) FL8534PY DEP21451")</f>
        <v>F 20ft Sea Ark (Easy 200) FL8534PY DEP21451</v>
      </c>
      <c r="M1005" t="str">
        <f ca="1">IFERROR(__xludf.DUMMYFUNCTION("""COMPUTED_VALUE"""),"Ford F250 2017 (Moby Dix) - DEP0021578")</f>
        <v>Ford F250 2017 (Moby Dix) - DEP0021578</v>
      </c>
      <c r="N1005" t="str">
        <f ca="1">IFERROR(__xludf.DUMMYFUNCTION("""COMPUTED_VALUE"""),"Silas Tanner, (904) 483-8423, Alee Knoell")</f>
        <v>Silas Tanner, (904) 483-8423, Alee Knoell</v>
      </c>
      <c r="P1005" t="str">
        <f ca="1">IFERROR(__xludf.DUMMYFUNCTION("""COMPUTED_VALUE"""),"Silas Tanner")</f>
        <v>Silas Tanner</v>
      </c>
      <c r="AE1005" s="11"/>
      <c r="AF1005" t="str">
        <v>Nikki.Dix@floridadep.gov</v>
      </c>
      <c r="AG1005" s="17" t="s">
        <v>41</v>
      </c>
      <c r="AH1005" s="12">
        <v>1305</v>
      </c>
      <c r="AI1005" s="12" t="s">
        <v>2969</v>
      </c>
      <c r="AJ1005" s="19" t="s">
        <v>2970</v>
      </c>
      <c r="AK1005" s="20" t="str">
        <f>HYPERLINK("https://docs.google.com/document/d/1ZWJzgoP4zfz5QBAnrSi3JWpf5SU_c3efpUkllhyP3rs/edit?usp=drivesdk","Silas Tanner - 3/7/2023 7:45 AM")</f>
        <v>Silas Tanner - 3/7/2023 7:45 AM</v>
      </c>
      <c r="AL1005" s="12" t="s">
        <v>2971</v>
      </c>
    </row>
    <row r="1006" spans="1:38" ht="12.75">
      <c r="A1006" s="10">
        <f ca="1">IFERROR(__xludf.DUMMYFUNCTION("""COMPUTED_VALUE"""),44993.2810256597)</f>
        <v>44993.2810256597</v>
      </c>
      <c r="B1006" s="11" t="str">
        <f ca="1">IFERROR(__xludf.DUMMYFUNCTION("""COMPUTED_VALUE"""),"Jimmy")</f>
        <v>Jimmy</v>
      </c>
      <c r="C1006" t="str">
        <f ca="1">IFERROR(__xludf.DUMMYFUNCTION("""COMPUTED_VALUE"""),"james.tomazinis@floridadeo.gov")</f>
        <v>james.tomazinis@floridadeo.gov</v>
      </c>
      <c r="D1006" t="str">
        <f ca="1">IFERROR(__xludf.DUMMYFUNCTION("""COMPUTED_VALUE"""),"Scott Eastman")</f>
        <v>Scott Eastman</v>
      </c>
      <c r="E1006" t="str">
        <f ca="1">IFERROR(__xludf.DUMMYFUNCTION("""COMPUTED_VALUE"""),"Holly Point and Dee Dee Bartels")</f>
        <v>Holly Point and Dee Dee Bartels</v>
      </c>
      <c r="F1006" s="13">
        <f ca="1">IFERROR(__xludf.DUMMYFUNCTION("""COMPUTED_VALUE"""),0.416666666667879)</f>
        <v>0.41666666666787899</v>
      </c>
      <c r="G1006" s="14">
        <f ca="1">IFERROR(__xludf.DUMMYFUNCTION("""COMPUTED_VALUE"""),44993)</f>
        <v>44993</v>
      </c>
      <c r="H1006" t="str">
        <f ca="1">IFERROR(__xludf.DUMMYFUNCTION("""COMPUTED_VALUE"""),"NEAP WQ sites")</f>
        <v>NEAP WQ sites</v>
      </c>
      <c r="I1006" s="15">
        <f ca="1">IFERROR(__xludf.DUMMYFUNCTION("""COMPUTED_VALUE"""),0.58333333333212)</f>
        <v>0.58333333333212001</v>
      </c>
      <c r="J1006" s="16"/>
      <c r="K1006" t="str">
        <f ca="1">IFERROR(__xludf.DUMMYFUNCTION("""COMPUTED_VALUE"""),"F 20ft Sea Ark (Easy 200) FL8534PY DEP21451")</f>
        <v>F 20ft Sea Ark (Easy 200) FL8534PY DEP21451</v>
      </c>
      <c r="M1006" t="str">
        <f ca="1">IFERROR(__xludf.DUMMYFUNCTION("""COMPUTED_VALUE"""),"2022 NEAP Truck")</f>
        <v>2022 NEAP Truck</v>
      </c>
      <c r="N1006" t="str">
        <f ca="1">IFERROR(__xludf.DUMMYFUNCTION("""COMPUTED_VALUE"""),"Jimmy Tomazinis, (904) 547-0094")</f>
        <v>Jimmy Tomazinis, (904) 547-0094</v>
      </c>
      <c r="O1006" t="str">
        <f ca="1">IFERROR(__xludf.DUMMYFUNCTION("""COMPUTED_VALUE"""),"Chirs Kurtz")</f>
        <v>Chirs Kurtz</v>
      </c>
      <c r="P1006" t="str">
        <f ca="1">IFERROR(__xludf.DUMMYFUNCTION("""COMPUTED_VALUE"""),"Jimmy")</f>
        <v>Jimmy</v>
      </c>
      <c r="AE1006" s="11"/>
      <c r="AF1006" t="str">
        <v>Scott.Eastman@floridadep.gov</v>
      </c>
      <c r="AG1006" s="17" t="s">
        <v>17</v>
      </c>
      <c r="AH1006" s="12">
        <v>1300</v>
      </c>
      <c r="AI1006" s="12" t="s">
        <v>2972</v>
      </c>
      <c r="AJ1006" s="19" t="s">
        <v>2973</v>
      </c>
      <c r="AK1006" s="20" t="str">
        <f>HYPERLINK("https://docs.google.com/document/d/1VTH2_VmoXNsC_PCEAjpKUDjS4mLk-3mtplLR4Ml4luQ/edit?usp=drivesdk","Jimmy - 3/8/2023 10:00 AM")</f>
        <v>Jimmy - 3/8/2023 10:00 AM</v>
      </c>
      <c r="AL1006" s="12" t="s">
        <v>2974</v>
      </c>
    </row>
    <row r="1007" spans="1:38" ht="12.75">
      <c r="A1007" s="10">
        <f ca="1">IFERROR(__xludf.DUMMYFUNCTION("""COMPUTED_VALUE"""),45002.4339991666)</f>
        <v>45002.433999166598</v>
      </c>
      <c r="B1007" s="11" t="str">
        <f ca="1">IFERROR(__xludf.DUMMYFUNCTION("""COMPUTED_VALUE"""),"Jacob Berna")</f>
        <v>Jacob Berna</v>
      </c>
      <c r="C1007" t="str">
        <f ca="1">IFERROR(__xludf.DUMMYFUNCTION("""COMPUTED_VALUE"""),"Jacob.Berna@FloridaDEP.gov")</f>
        <v>Jacob.Berna@FloridaDEP.gov</v>
      </c>
      <c r="D1007" t="str">
        <f ca="1">IFERROR(__xludf.DUMMYFUNCTION("""COMPUTED_VALUE"""),"Blythe Odzinski")</f>
        <v>Blythe Odzinski</v>
      </c>
      <c r="E1007" t="str">
        <f ca="1">IFERROR(__xludf.DUMMYFUNCTION("""COMPUTED_VALUE"""),"16 bridge ")</f>
        <v xml:space="preserve">16 bridge </v>
      </c>
      <c r="F1007" s="13">
        <f ca="1">IFERROR(__xludf.DUMMYFUNCTION("""COMPUTED_VALUE"""),0.4375)</f>
        <v>0.4375</v>
      </c>
      <c r="G1007" s="14">
        <f ca="1">IFERROR(__xludf.DUMMYFUNCTION("""COMPUTED_VALUE"""),45002)</f>
        <v>45002</v>
      </c>
      <c r="H1007" t="str">
        <f ca="1">IFERROR(__xludf.DUMMYFUNCTION("""COMPUTED_VALUE"""),"San Sebastian reefs")</f>
        <v>San Sebastian reefs</v>
      </c>
      <c r="I1007" s="15">
        <f ca="1">IFERROR(__xludf.DUMMYFUNCTION("""COMPUTED_VALUE"""),0.604166666667879)</f>
        <v>0.60416666666787899</v>
      </c>
      <c r="J1007" s="16">
        <f ca="1">IFERROR(__xludf.DUMMYFUNCTION("""COMPUTED_VALUE"""),45002.625)</f>
        <v>45002.625</v>
      </c>
      <c r="K1007" t="str">
        <f ca="1">IFERROR(__xludf.DUMMYFUNCTION("""COMPUTED_VALUE"""),"Kayak(s)")</f>
        <v>Kayak(s)</v>
      </c>
      <c r="L1007">
        <f ca="1">IFERROR(__xludf.DUMMYFUNCTION("""COMPUTED_VALUE"""),2)</f>
        <v>2</v>
      </c>
      <c r="M1007" t="str">
        <f ca="1">IFERROR(__xludf.DUMMYFUNCTION("""COMPUTED_VALUE"""),"Ford F250 2017 (Moby Dix) - DEP0021578")</f>
        <v>Ford F250 2017 (Moby Dix) - DEP0021578</v>
      </c>
      <c r="N1007" t="str">
        <f ca="1">IFERROR(__xludf.DUMMYFUNCTION("""COMPUTED_VALUE"""),"Jacob Berna, Alee")</f>
        <v>Jacob Berna, Alee</v>
      </c>
      <c r="O1007" t="str">
        <f ca="1">IFERROR(__xludf.DUMMYFUNCTION("""COMPUTED_VALUE"""),"Alyah")</f>
        <v>Alyah</v>
      </c>
      <c r="P1007" t="str">
        <f ca="1">IFERROR(__xludf.DUMMYFUNCTION("""COMPUTED_VALUE"""),"Jacob Berna")</f>
        <v>Jacob Berna</v>
      </c>
      <c r="AE1007" s="11"/>
      <c r="AF1007" t="str">
        <v>Blythe.Odzinski@floridadep.gov</v>
      </c>
      <c r="AG1007" s="17" t="s">
        <v>17</v>
      </c>
      <c r="AH1007" s="12">
        <v>1500</v>
      </c>
      <c r="AI1007" s="12" t="s">
        <v>2975</v>
      </c>
      <c r="AJ1007" s="19" t="s">
        <v>2976</v>
      </c>
      <c r="AK1007" s="20" t="str">
        <f>HYPERLINK("https://docs.google.com/document/d/1GKqmoG9GJL60c45fsALGgHf4hBqezfMJOlgnBOFmcp4/edit?usp=drivesdk","Jacob Berna - 3/17/2023 10:30 AM")</f>
        <v>Jacob Berna - 3/17/2023 10:30 AM</v>
      </c>
      <c r="AL1007" s="12" t="s">
        <v>2977</v>
      </c>
    </row>
    <row r="1008" spans="1:38" ht="12.75">
      <c r="A1008" s="10">
        <f ca="1">IFERROR(__xludf.DUMMYFUNCTION("""COMPUTED_VALUE"""),45005.5666439004)</f>
        <v>45005.566643900398</v>
      </c>
      <c r="B1008" s="11" t="str">
        <f ca="1">IFERROR(__xludf.DUMMYFUNCTION("""COMPUTED_VALUE"""),"Jacob Berna")</f>
        <v>Jacob Berna</v>
      </c>
      <c r="C1008" t="str">
        <f ca="1">IFERROR(__xludf.DUMMYFUNCTION("""COMPUTED_VALUE"""),"Jacob.Berna@FloridaDEP.gov")</f>
        <v>Jacob.Berna@FloridaDEP.gov</v>
      </c>
      <c r="D1008" t="str">
        <f ca="1">IFERROR(__xludf.DUMMYFUNCTION("""COMPUTED_VALUE"""),"Nikki Dix")</f>
        <v>Nikki Dix</v>
      </c>
      <c r="E1008" t="str">
        <f ca="1">IFERROR(__xludf.DUMMYFUNCTION("""COMPUTED_VALUE"""),"16 bridge")</f>
        <v>16 bridge</v>
      </c>
      <c r="F1008" s="13">
        <f ca="1">IFERROR(__xludf.DUMMYFUNCTION("""COMPUTED_VALUE"""),0.5625)</f>
        <v>0.5625</v>
      </c>
      <c r="G1008" s="14">
        <f ca="1">IFERROR(__xludf.DUMMYFUNCTION("""COMPUTED_VALUE"""),45005)</f>
        <v>45005</v>
      </c>
      <c r="H1008" t="str">
        <f ca="1">IFERROR(__xludf.DUMMYFUNCTION("""COMPUTED_VALUE"""),"San Sebastian reefs")</f>
        <v>San Sebastian reefs</v>
      </c>
      <c r="I1008" s="15">
        <f ca="1">IFERROR(__xludf.DUMMYFUNCTION("""COMPUTED_VALUE"""),0.666666666667879)</f>
        <v>0.66666666666787899</v>
      </c>
      <c r="J1008" s="16">
        <f ca="1">IFERROR(__xludf.DUMMYFUNCTION("""COMPUTED_VALUE"""),45005.6875)</f>
        <v>45005.6875</v>
      </c>
      <c r="K1008" t="str">
        <f ca="1">IFERROR(__xludf.DUMMYFUNCTION("""COMPUTED_VALUE"""),"Kayak(s)")</f>
        <v>Kayak(s)</v>
      </c>
      <c r="L1008">
        <f ca="1">IFERROR(__xludf.DUMMYFUNCTION("""COMPUTED_VALUE"""),2)</f>
        <v>2</v>
      </c>
      <c r="M1008" t="str">
        <f ca="1">IFERROR(__xludf.DUMMYFUNCTION("""COMPUTED_VALUE"""),"Ford F250 2017 (Moby Dix) - DEP0021578")</f>
        <v>Ford F250 2017 (Moby Dix) - DEP0021578</v>
      </c>
      <c r="N1008" t="str">
        <f ca="1">IFERROR(__xludf.DUMMYFUNCTION("""COMPUTED_VALUE"""),"Jacob Berna, Alee Knoell")</f>
        <v>Jacob Berna, Alee Knoell</v>
      </c>
      <c r="P1008" t="str">
        <f ca="1">IFERROR(__xludf.DUMMYFUNCTION("""COMPUTED_VALUE"""),"Jacob Berna")</f>
        <v>Jacob Berna</v>
      </c>
      <c r="AE1008" s="11"/>
      <c r="AF1008" t="str">
        <v>Nikki.Dix@floridadep.gov</v>
      </c>
      <c r="AG1008" s="17" t="s">
        <v>41</v>
      </c>
      <c r="AH1008" s="12">
        <v>1600</v>
      </c>
      <c r="AI1008" s="12" t="s">
        <v>2978</v>
      </c>
      <c r="AJ1008" s="19" t="s">
        <v>2979</v>
      </c>
      <c r="AK1008" s="20" t="str">
        <f>HYPERLINK("https://docs.google.com/document/d/1D99DfLhI-SGQ5ShtMszGaTlItsuLzZTtUkgb0LvRWqc/edit?usp=drivesdk","Jacob Berna - 3/20/2023 1:30 PM")</f>
        <v>Jacob Berna - 3/20/2023 1:30 PM</v>
      </c>
      <c r="AL1008" s="12" t="s">
        <v>2980</v>
      </c>
    </row>
    <row r="1009" spans="1:38" ht="12.75">
      <c r="A1009" s="10">
        <f ca="1">IFERROR(__xludf.DUMMYFUNCTION("""COMPUTED_VALUE"""),45007.409806956)</f>
        <v>45007.409806955999</v>
      </c>
      <c r="B1009" s="11" t="str">
        <f ca="1">IFERROR(__xludf.DUMMYFUNCTION("""COMPUTED_VALUE"""),"Silas Tanner")</f>
        <v>Silas Tanner</v>
      </c>
      <c r="C1009" t="str">
        <f ca="1">IFERROR(__xludf.DUMMYFUNCTION("""COMPUTED_VALUE"""),"silas.tanner@floridadep.gov")</f>
        <v>silas.tanner@floridadep.gov</v>
      </c>
      <c r="D1009" t="str">
        <f ca="1">IFERROR(__xludf.DUMMYFUNCTION("""COMPUTED_VALUE"""),"Shannon Dunnigan")</f>
        <v>Shannon Dunnigan</v>
      </c>
      <c r="E1009" t="str">
        <f ca="1">IFERROR(__xludf.DUMMYFUNCTION("""COMPUTED_VALUE"""),"Vilano Landing")</f>
        <v>Vilano Landing</v>
      </c>
      <c r="F1009" s="13">
        <f ca="1">IFERROR(__xludf.DUMMYFUNCTION("""COMPUTED_VALUE"""),0.46875)</f>
        <v>0.46875</v>
      </c>
      <c r="G1009" s="14">
        <f ca="1">IFERROR(__xludf.DUMMYFUNCTION("""COMPUTED_VALUE"""),45007)</f>
        <v>45007</v>
      </c>
      <c r="H1009" t="str">
        <f ca="1">IFERROR(__xludf.DUMMYFUNCTION("""COMPUTED_VALUE"""),"ICW SWMP sites")</f>
        <v>ICW SWMP sites</v>
      </c>
      <c r="I1009" s="15">
        <f ca="1">IFERROR(__xludf.DUMMYFUNCTION("""COMPUTED_VALUE"""),0.65625)</f>
        <v>0.65625</v>
      </c>
      <c r="J1009" s="16">
        <f ca="1">IFERROR(__xludf.DUMMYFUNCTION("""COMPUTED_VALUE"""),45007.6666666666)</f>
        <v>45007.666666666599</v>
      </c>
      <c r="K1009" t="str">
        <f ca="1">IFERROR(__xludf.DUMMYFUNCTION("""COMPUTED_VALUE"""),"F 20ft Sea Ark (Easy 200) FL8534PY DEP21451")</f>
        <v>F 20ft Sea Ark (Easy 200) FL8534PY DEP21451</v>
      </c>
      <c r="M1009" t="str">
        <f ca="1">IFERROR(__xludf.DUMMYFUNCTION("""COMPUTED_VALUE"""),"Ford F250 2017 (Moby Dix) - DEP0021578")</f>
        <v>Ford F250 2017 (Moby Dix) - DEP0021578</v>
      </c>
      <c r="N1009" t="str">
        <f ca="1">IFERROR(__xludf.DUMMYFUNCTION("""COMPUTED_VALUE"""),"Silas Tanner, (904) 483-8423, Alee Kneoll")</f>
        <v>Silas Tanner, (904) 483-8423, Alee Kneoll</v>
      </c>
      <c r="P1009" t="str">
        <f ca="1">IFERROR(__xludf.DUMMYFUNCTION("""COMPUTED_VALUE"""),"Silas Tanner")</f>
        <v>Silas Tanner</v>
      </c>
      <c r="AE1009" s="11"/>
      <c r="AF1009" t="str">
        <v>Shannon.Dunnigan@floridadep.gov</v>
      </c>
      <c r="AG1009" s="17" t="s">
        <v>639</v>
      </c>
      <c r="AH1009" s="12">
        <v>1545</v>
      </c>
      <c r="AI1009" s="12" t="s">
        <v>2981</v>
      </c>
      <c r="AJ1009" s="19" t="s">
        <v>2982</v>
      </c>
      <c r="AK1009" s="20" t="str">
        <f>HYPERLINK("https://docs.google.com/document/d/1vuSrtCXQT7_Dj9IvtlFwGjxtRhz8Tq5CtWg1W1s-3yA/edit?usp=drivesdk","Silas Tanner - 3/22/2023 11:15 AM")</f>
        <v>Silas Tanner - 3/22/2023 11:15 AM</v>
      </c>
      <c r="AL1009" s="12" t="s">
        <v>2983</v>
      </c>
    </row>
    <row r="1010" spans="1:38" ht="12.75">
      <c r="A1010" s="10">
        <f ca="1">IFERROR(__xludf.DUMMYFUNCTION("""COMPUTED_VALUE"""),45019.3326522106)</f>
        <v>45019.3326522106</v>
      </c>
      <c r="B1010" s="11" t="str">
        <f ca="1">IFERROR(__xludf.DUMMYFUNCTION("""COMPUTED_VALUE"""),"Jessica Lee")</f>
        <v>Jessica Lee</v>
      </c>
      <c r="C1010" t="str">
        <f ca="1">IFERROR(__xludf.DUMMYFUNCTION("""COMPUTED_VALUE"""),"jessica.lee@floridadep.gov")</f>
        <v>jessica.lee@floridadep.gov</v>
      </c>
      <c r="D1010" t="str">
        <f ca="1">IFERROR(__xludf.DUMMYFUNCTION("""COMPUTED_VALUE"""),"Nikki Dix")</f>
        <v>Nikki Dix</v>
      </c>
      <c r="E1010" t="str">
        <f ca="1">IFERROR(__xludf.DUMMYFUNCTION("""COMPUTED_VALUE"""),"Guana River")</f>
        <v>Guana River</v>
      </c>
      <c r="F1010" s="13">
        <f ca="1">IFERROR(__xludf.DUMMYFUNCTION("""COMPUTED_VALUE"""),0.34375)</f>
        <v>0.34375</v>
      </c>
      <c r="G1010" s="14">
        <f ca="1">IFERROR(__xludf.DUMMYFUNCTION("""COMPUTED_VALUE"""),45019)</f>
        <v>45019</v>
      </c>
      <c r="H1010" t="str">
        <f ca="1">IFERROR(__xludf.DUMMYFUNCTION("""COMPUTED_VALUE"""),"Guana River")</f>
        <v>Guana River</v>
      </c>
      <c r="I1010" s="15">
        <f ca="1">IFERROR(__xludf.DUMMYFUNCTION("""COMPUTED_VALUE"""),0.39583333333212)</f>
        <v>0.39583333333212001</v>
      </c>
      <c r="J1010" s="16">
        <f ca="1">IFERROR(__xludf.DUMMYFUNCTION("""COMPUTED_VALUE"""),45019.40625)</f>
        <v>45019.40625</v>
      </c>
      <c r="K1010" t="str">
        <f ca="1">IFERROR(__xludf.DUMMYFUNCTION("""COMPUTED_VALUE"""),"Jon Boat 1 FL5992RR DEP154045")</f>
        <v>Jon Boat 1 FL5992RR DEP154045</v>
      </c>
      <c r="M1010" t="str">
        <f ca="1">IFERROR(__xludf.DUMMYFUNCTION("""COMPUTED_VALUE"""),"Ford F150 2015 (White) - DEP21448")</f>
        <v>Ford F150 2015 (White) - DEP21448</v>
      </c>
      <c r="N1010" t="str">
        <f ca="1">IFERROR(__xludf.DUMMYFUNCTION("""COMPUTED_VALUE"""),"Jessica Lee, (813) 748-2228")</f>
        <v>Jessica Lee, (813) 748-2228</v>
      </c>
      <c r="O1010" t="str">
        <f ca="1">IFERROR(__xludf.DUMMYFUNCTION("""COMPUTED_VALUE"""),"Monica")</f>
        <v>Monica</v>
      </c>
      <c r="P1010" t="str">
        <f ca="1">IFERROR(__xludf.DUMMYFUNCTION("""COMPUTED_VALUE"""),"Jess")</f>
        <v>Jess</v>
      </c>
      <c r="AE1010" s="11"/>
      <c r="AF1010" t="str">
        <v>Nikki.Dix@floridadep.gov</v>
      </c>
      <c r="AG1010" s="17" t="s">
        <v>41</v>
      </c>
      <c r="AH1010" s="12">
        <v>922</v>
      </c>
      <c r="AI1010" s="12" t="s">
        <v>2984</v>
      </c>
      <c r="AJ1010" s="19" t="s">
        <v>2985</v>
      </c>
      <c r="AK1010" s="20" t="str">
        <f>HYPERLINK("https://docs.google.com/document/d/1oXXoGXH76qUl4tIJYfkkfpEP9LHH0C_HqgzBWSfk7G8/edit?usp=drivesdk","Jessica Lee - 4/3/2023 8:15 AM")</f>
        <v>Jessica Lee - 4/3/2023 8:15 AM</v>
      </c>
      <c r="AL1010" s="12" t="s">
        <v>2986</v>
      </c>
    </row>
    <row r="1011" spans="1:38" ht="12.75">
      <c r="A1011" s="10">
        <f ca="1">IFERROR(__xludf.DUMMYFUNCTION("""COMPUTED_VALUE"""),45020.2889362847)</f>
        <v>45020.288936284698</v>
      </c>
      <c r="B1011" s="11" t="str">
        <f ca="1">IFERROR(__xludf.DUMMYFUNCTION("""COMPUTED_VALUE"""),"Silas Tanner")</f>
        <v>Silas Tanner</v>
      </c>
      <c r="C1011" t="str">
        <f ca="1">IFERROR(__xludf.DUMMYFUNCTION("""COMPUTED_VALUE"""),"silas.tanner@floridadep.gov")</f>
        <v>silas.tanner@floridadep.gov</v>
      </c>
      <c r="D1011" t="str">
        <f ca="1">IFERROR(__xludf.DUMMYFUNCTION("""COMPUTED_VALUE"""),"Nikki Dix")</f>
        <v>Nikki Dix</v>
      </c>
      <c r="E1011" t="str">
        <f ca="1">IFERROR(__xludf.DUMMYFUNCTION("""COMPUTED_VALUE"""),"Vilano Landing")</f>
        <v>Vilano Landing</v>
      </c>
      <c r="F1011" s="13">
        <f ca="1">IFERROR(__xludf.DUMMYFUNCTION("""COMPUTED_VALUE"""),0.322916666667879)</f>
        <v>0.32291666666787899</v>
      </c>
      <c r="G1011" s="14">
        <f ca="1">IFERROR(__xludf.DUMMYFUNCTION("""COMPUTED_VALUE"""),45020)</f>
        <v>45020</v>
      </c>
      <c r="H1011" t="str">
        <f ca="1">IFERROR(__xludf.DUMMYFUNCTION("""COMPUTED_VALUE"""),"ICW SWMP sites")</f>
        <v>ICW SWMP sites</v>
      </c>
      <c r="I1011" s="15">
        <f ca="1">IFERROR(__xludf.DUMMYFUNCTION("""COMPUTED_VALUE"""),0.5625)</f>
        <v>0.5625</v>
      </c>
      <c r="J1011" s="16">
        <f ca="1">IFERROR(__xludf.DUMMYFUNCTION("""COMPUTED_VALUE"""),45020.5729166666)</f>
        <v>45020.572916666599</v>
      </c>
      <c r="K1011" t="str">
        <f ca="1">IFERROR(__xludf.DUMMYFUNCTION("""COMPUTED_VALUE"""),"F 20ft Sea Ark (Easy 200) FL8534PY DEP21451")</f>
        <v>F 20ft Sea Ark (Easy 200) FL8534PY DEP21451</v>
      </c>
      <c r="M1011" t="str">
        <f ca="1">IFERROR(__xludf.DUMMYFUNCTION("""COMPUTED_VALUE"""),"Ford F250 2017 (Moby Dix) - DEP0021578")</f>
        <v>Ford F250 2017 (Moby Dix) - DEP0021578</v>
      </c>
      <c r="N1011" t="str">
        <f ca="1">IFERROR(__xludf.DUMMYFUNCTION("""COMPUTED_VALUE"""),"Silas Tanner, (904) 483-8423, Alee Kneoll")</f>
        <v>Silas Tanner, (904) 483-8423, Alee Kneoll</v>
      </c>
      <c r="P1011" t="str">
        <f ca="1">IFERROR(__xludf.DUMMYFUNCTION("""COMPUTED_VALUE"""),"Silas Tanner")</f>
        <v>Silas Tanner</v>
      </c>
      <c r="AE1011" s="11"/>
      <c r="AF1011" t="str">
        <v>Nikki.Dix@floridadep.gov</v>
      </c>
      <c r="AG1011" s="17" t="s">
        <v>41</v>
      </c>
      <c r="AH1011" s="12">
        <v>1300</v>
      </c>
      <c r="AI1011" s="12" t="s">
        <v>2987</v>
      </c>
      <c r="AJ1011" s="19" t="s">
        <v>2988</v>
      </c>
      <c r="AK1011" s="20" t="str">
        <f>HYPERLINK("https://docs.google.com/document/d/1Eb6dsX92Rh8ATpeGGeRTwg49pVCzW9Wp6B3qe83lpLQ/edit?usp=drivesdk","Silas Tanner - 4/4/2023 7:45 AM")</f>
        <v>Silas Tanner - 4/4/2023 7:45 AM</v>
      </c>
      <c r="AL1011" s="12" t="s">
        <v>2989</v>
      </c>
    </row>
    <row r="1012" spans="1:38" ht="12.75">
      <c r="A1012" s="10">
        <f ca="1">IFERROR(__xludf.DUMMYFUNCTION("""COMPUTED_VALUE"""),45034.3940189004)</f>
        <v>45034.394018900399</v>
      </c>
      <c r="B1012" s="11" t="str">
        <f ca="1">IFERROR(__xludf.DUMMYFUNCTION("""COMPUTED_VALUE"""),"Silas Tanner")</f>
        <v>Silas Tanner</v>
      </c>
      <c r="C1012" t="str">
        <f ca="1">IFERROR(__xludf.DUMMYFUNCTION("""COMPUTED_VALUE"""),"silas.tanner@floridadep.gov")</f>
        <v>silas.tanner@floridadep.gov</v>
      </c>
      <c r="D1012" t="str">
        <f ca="1">IFERROR(__xludf.DUMMYFUNCTION("""COMPUTED_VALUE"""),"Shannon Dunnigan")</f>
        <v>Shannon Dunnigan</v>
      </c>
      <c r="E1012" t="str">
        <f ca="1">IFERROR(__xludf.DUMMYFUNCTION("""COMPUTED_VALUE"""),"Vilano Landing")</f>
        <v>Vilano Landing</v>
      </c>
      <c r="F1012" s="13">
        <f ca="1">IFERROR(__xludf.DUMMYFUNCTION("""COMPUTED_VALUE"""),0.4375)</f>
        <v>0.4375</v>
      </c>
      <c r="G1012" s="14">
        <f ca="1">IFERROR(__xludf.DUMMYFUNCTION("""COMPUTED_VALUE"""),45034)</f>
        <v>45034</v>
      </c>
      <c r="H1012" t="str">
        <f ca="1">IFERROR(__xludf.DUMMYFUNCTION("""COMPUTED_VALUE"""),"ICW SWMP sites")</f>
        <v>ICW SWMP sites</v>
      </c>
      <c r="I1012" s="15">
        <f ca="1">IFERROR(__xludf.DUMMYFUNCTION("""COMPUTED_VALUE"""),0.64583333333212)</f>
        <v>0.64583333333212001</v>
      </c>
      <c r="J1012" s="16">
        <f ca="1">IFERROR(__xludf.DUMMYFUNCTION("""COMPUTED_VALUE"""),45034.6666666666)</f>
        <v>45034.666666666599</v>
      </c>
      <c r="K1012" t="str">
        <f ca="1">IFERROR(__xludf.DUMMYFUNCTION("""COMPUTED_VALUE"""),"F 20ft Sea Ark (Easy 200) FL8534PY DEP21451")</f>
        <v>F 20ft Sea Ark (Easy 200) FL8534PY DEP21451</v>
      </c>
      <c r="M1012" t="str">
        <f ca="1">IFERROR(__xludf.DUMMYFUNCTION("""COMPUTED_VALUE"""),"Ford F150 2015 (White) - DEP21448")</f>
        <v>Ford F150 2015 (White) - DEP21448</v>
      </c>
      <c r="N1012" t="str">
        <f ca="1">IFERROR(__xludf.DUMMYFUNCTION("""COMPUTED_VALUE"""),"Silas Tanner, (904) 483-8423, Remo Mondazzi")</f>
        <v>Silas Tanner, (904) 483-8423, Remo Mondazzi</v>
      </c>
      <c r="P1012" t="str">
        <f ca="1">IFERROR(__xludf.DUMMYFUNCTION("""COMPUTED_VALUE"""),"Silas Tanner")</f>
        <v>Silas Tanner</v>
      </c>
      <c r="AE1012" s="11"/>
      <c r="AF1012" t="str">
        <v>Shannon.Dunnigan@floridadep.gov</v>
      </c>
      <c r="AG1012" s="17" t="s">
        <v>639</v>
      </c>
      <c r="AH1012" s="12">
        <v>1450</v>
      </c>
      <c r="AI1012" s="12" t="s">
        <v>2990</v>
      </c>
      <c r="AJ1012" s="19" t="s">
        <v>2991</v>
      </c>
      <c r="AK1012" s="20" t="str">
        <f>HYPERLINK("https://docs.google.com/document/d/1qDBxXi4V44KQg9u1_bxMhgzabaDCDmxd5t28AjsIH8U/edit?usp=drivesdk","Silas Tanner - 4/18/2023 10:30 AM")</f>
        <v>Silas Tanner - 4/18/2023 10:30 AM</v>
      </c>
      <c r="AL1012" s="12" t="s">
        <v>2992</v>
      </c>
    </row>
    <row r="1013" spans="1:38" ht="12.75">
      <c r="A1013" s="10">
        <f ca="1">IFERROR(__xludf.DUMMYFUNCTION("""COMPUTED_VALUE"""),45035.3633082175)</f>
        <v>45035.3633082175</v>
      </c>
      <c r="B1013" s="11" t="str">
        <f ca="1">IFERROR(__xludf.DUMMYFUNCTION("""COMPUTED_VALUE"""),"Jessica Lee")</f>
        <v>Jessica Lee</v>
      </c>
      <c r="C1013" t="str">
        <f ca="1">IFERROR(__xludf.DUMMYFUNCTION("""COMPUTED_VALUE"""),"jessica.lee@floridadep.gov")</f>
        <v>jessica.lee@floridadep.gov</v>
      </c>
      <c r="D1013" t="str">
        <f ca="1">IFERROR(__xludf.DUMMYFUNCTION("""COMPUTED_VALUE"""),"Nikki Dix")</f>
        <v>Nikki Dix</v>
      </c>
      <c r="E1013" t="str">
        <f ca="1">IFERROR(__xludf.DUMMYFUNCTION("""COMPUTED_VALUE"""),"Guana")</f>
        <v>Guana</v>
      </c>
      <c r="F1013" s="13">
        <f ca="1">IFERROR(__xludf.DUMMYFUNCTION("""COMPUTED_VALUE"""),0.375)</f>
        <v>0.375</v>
      </c>
      <c r="G1013" s="14">
        <f ca="1">IFERROR(__xludf.DUMMYFUNCTION("""COMPUTED_VALUE"""),45035)</f>
        <v>45035</v>
      </c>
      <c r="H1013" t="str">
        <f ca="1">IFERROR(__xludf.DUMMYFUNCTION("""COMPUTED_VALUE"""),"Guana Lake")</f>
        <v>Guana Lake</v>
      </c>
      <c r="I1013" s="15">
        <f ca="1">IFERROR(__xludf.DUMMYFUNCTION("""COMPUTED_VALUE"""),0.666666666667879)</f>
        <v>0.66666666666787899</v>
      </c>
      <c r="J1013" s="16">
        <f ca="1">IFERROR(__xludf.DUMMYFUNCTION("""COMPUTED_VALUE"""),45035.6875)</f>
        <v>45035.6875</v>
      </c>
      <c r="K1013" t="str">
        <f ca="1">IFERROR(__xludf.DUMMYFUNCTION("""COMPUTED_VALUE"""),"Jon Boat 1 FL5992RR DEP154045")</f>
        <v>Jon Boat 1 FL5992RR DEP154045</v>
      </c>
      <c r="M1013" t="str">
        <f ca="1">IFERROR(__xludf.DUMMYFUNCTION("""COMPUTED_VALUE"""),"Ford F250 2017 (Moby Dix) - DEP0021578")</f>
        <v>Ford F250 2017 (Moby Dix) - DEP0021578</v>
      </c>
      <c r="N1013" t="str">
        <f ca="1">IFERROR(__xludf.DUMMYFUNCTION("""COMPUTED_VALUE"""),"Jessica Lee, (813) 748-2228")</f>
        <v>Jessica Lee, (813) 748-2228</v>
      </c>
      <c r="O1013" t="str">
        <f ca="1">IFERROR(__xludf.DUMMYFUNCTION("""COMPUTED_VALUE"""),"Danielle")</f>
        <v>Danielle</v>
      </c>
      <c r="P1013" t="str">
        <f ca="1">IFERROR(__xludf.DUMMYFUNCTION("""COMPUTED_VALUE"""),"Jess")</f>
        <v>Jess</v>
      </c>
      <c r="AE1013" s="11"/>
      <c r="AF1013" t="str">
        <v>Nikki.Dix@floridadep.gov</v>
      </c>
      <c r="AG1013" s="17" t="s">
        <v>41</v>
      </c>
      <c r="AH1013" s="12">
        <v>1445</v>
      </c>
      <c r="AI1013" s="12" t="s">
        <v>2993</v>
      </c>
      <c r="AJ1013" s="19" t="s">
        <v>2994</v>
      </c>
      <c r="AK1013" s="20" t="str">
        <f>HYPERLINK("https://docs.google.com/document/d/1kBeQeEMW2PPOh0Posn_JzxAB8Mb15ae53Mzm40oDRPQ/edit?usp=drivesdk","Jessica Lee - 4/19/2023 9:00 AM")</f>
        <v>Jessica Lee - 4/19/2023 9:00 AM</v>
      </c>
      <c r="AL1013" s="12" t="s">
        <v>2995</v>
      </c>
    </row>
    <row r="1014" spans="1:38" ht="12.75">
      <c r="A1014" s="10">
        <f ca="1">IFERROR(__xludf.DUMMYFUNCTION("""COMPUTED_VALUE"""),45036.3640021759)</f>
        <v>45036.364002175898</v>
      </c>
      <c r="B1014" s="11" t="str">
        <f ca="1">IFERROR(__xludf.DUMMYFUNCTION("""COMPUTED_VALUE"""),"Jessica Lee")</f>
        <v>Jessica Lee</v>
      </c>
      <c r="C1014" t="str">
        <f ca="1">IFERROR(__xludf.DUMMYFUNCTION("""COMPUTED_VALUE"""),"jessica.lee@floridadep.gov")</f>
        <v>jessica.lee@floridadep.gov</v>
      </c>
      <c r="D1014" t="str">
        <f ca="1">IFERROR(__xludf.DUMMYFUNCTION("""COMPUTED_VALUE"""),"Silas Tanner")</f>
        <v>Silas Tanner</v>
      </c>
      <c r="E1014" t="str">
        <f ca="1">IFERROR(__xludf.DUMMYFUNCTION("""COMPUTED_VALUE"""),"Guana Dam")</f>
        <v>Guana Dam</v>
      </c>
      <c r="F1014" s="13">
        <f ca="1">IFERROR(__xludf.DUMMYFUNCTION("""COMPUTED_VALUE"""),0.375)</f>
        <v>0.375</v>
      </c>
      <c r="G1014" s="14">
        <f ca="1">IFERROR(__xludf.DUMMYFUNCTION("""COMPUTED_VALUE"""),45036)</f>
        <v>45036</v>
      </c>
      <c r="H1014" t="str">
        <f ca="1">IFERROR(__xludf.DUMMYFUNCTION("""COMPUTED_VALUE"""),"Guana Lake")</f>
        <v>Guana Lake</v>
      </c>
      <c r="I1014" s="15">
        <f ca="1">IFERROR(__xludf.DUMMYFUNCTION("""COMPUTED_VALUE"""),0.58333333333212)</f>
        <v>0.58333333333212001</v>
      </c>
      <c r="J1014" s="16">
        <f ca="1">IFERROR(__xludf.DUMMYFUNCTION("""COMPUTED_VALUE"""),45036.625)</f>
        <v>45036.625</v>
      </c>
      <c r="K1014" t="str">
        <f ca="1">IFERROR(__xludf.DUMMYFUNCTION("""COMPUTED_VALUE"""),"Jon Boat 1 FL5992RR DEP154045")</f>
        <v>Jon Boat 1 FL5992RR DEP154045</v>
      </c>
      <c r="M1014" t="str">
        <f ca="1">IFERROR(__xludf.DUMMYFUNCTION("""COMPUTED_VALUE"""),"Ford F150 2015 (White) - DEP21448")</f>
        <v>Ford F150 2015 (White) - DEP21448</v>
      </c>
      <c r="N1014" t="str">
        <f ca="1">IFERROR(__xludf.DUMMYFUNCTION("""COMPUTED_VALUE"""),"Jessica Lee, (813) 748-2228")</f>
        <v>Jessica Lee, (813) 748-2228</v>
      </c>
      <c r="O1014" t="str">
        <f ca="1">IFERROR(__xludf.DUMMYFUNCTION("""COMPUTED_VALUE"""),"Danielle")</f>
        <v>Danielle</v>
      </c>
      <c r="P1014" t="str">
        <f ca="1">IFERROR(__xludf.DUMMYFUNCTION("""COMPUTED_VALUE"""),"Jess")</f>
        <v>Jess</v>
      </c>
      <c r="AE1014" s="11"/>
      <c r="AF1014" t="str">
        <v>Silas.Tanner@floridadep.gov</v>
      </c>
      <c r="AG1014" s="18"/>
      <c r="AI1014" s="12" t="s">
        <v>2996</v>
      </c>
      <c r="AJ1014" s="19" t="s">
        <v>2997</v>
      </c>
      <c r="AK1014" s="20" t="str">
        <f>HYPERLINK("https://docs.google.com/document/d/1AZbJqxORjj9vjh8fcS7ADWtE91SvDdoUZVaR_LhwRkI/edit?usp=drivesdk","Jessica Lee - 4/20/2023 9:00 AM")</f>
        <v>Jessica Lee - 4/20/2023 9:00 AM</v>
      </c>
      <c r="AL1014" s="12" t="s">
        <v>2998</v>
      </c>
    </row>
    <row r="1015" spans="1:38" ht="12.75">
      <c r="A1015" s="10">
        <f ca="1">IFERROR(__xludf.DUMMYFUNCTION("""COMPUTED_VALUE"""),45047.3111528124)</f>
        <v>45047.311152812399</v>
      </c>
      <c r="B1015" s="11" t="str">
        <f ca="1">IFERROR(__xludf.DUMMYFUNCTION("""COMPUTED_VALUE"""),"Jessica Lee")</f>
        <v>Jessica Lee</v>
      </c>
      <c r="C1015" t="str">
        <f ca="1">IFERROR(__xludf.DUMMYFUNCTION("""COMPUTED_VALUE"""),"jessica.lee@floridadep.gov")</f>
        <v>jessica.lee@floridadep.gov</v>
      </c>
      <c r="D1015" t="str">
        <f ca="1">IFERROR(__xludf.DUMMYFUNCTION("""COMPUTED_VALUE"""),"Nikki Dix")</f>
        <v>Nikki Dix</v>
      </c>
      <c r="E1015" t="str">
        <f ca="1">IFERROR(__xludf.DUMMYFUNCTION("""COMPUTED_VALUE"""),"Guana ")</f>
        <v xml:space="preserve">Guana </v>
      </c>
      <c r="F1015" s="13">
        <f ca="1">IFERROR(__xludf.DUMMYFUNCTION("""COMPUTED_VALUE"""),0.3125)</f>
        <v>0.3125</v>
      </c>
      <c r="G1015" s="14">
        <f ca="1">IFERROR(__xludf.DUMMYFUNCTION("""COMPUTED_VALUE"""),45047)</f>
        <v>45047</v>
      </c>
      <c r="H1015" t="str">
        <f ca="1">IFERROR(__xludf.DUMMYFUNCTION("""COMPUTED_VALUE"""),"Guana river")</f>
        <v>Guana river</v>
      </c>
      <c r="I1015" s="15">
        <f ca="1">IFERROR(__xludf.DUMMYFUNCTION("""COMPUTED_VALUE"""),0.354166666667879)</f>
        <v>0.35416666666787899</v>
      </c>
      <c r="J1015" s="16">
        <f ca="1">IFERROR(__xludf.DUMMYFUNCTION("""COMPUTED_VALUE"""),45047.3645833333)</f>
        <v>45047.364583333299</v>
      </c>
      <c r="K1015" t="str">
        <f ca="1">IFERROR(__xludf.DUMMYFUNCTION("""COMPUTED_VALUE"""),"Jon Boat 1 FL5992RR DEP154045")</f>
        <v>Jon Boat 1 FL5992RR DEP154045</v>
      </c>
      <c r="M1015" t="str">
        <f ca="1">IFERROR(__xludf.DUMMYFUNCTION("""COMPUTED_VALUE"""),"Ford F150 2015 (White) - DEP21448")</f>
        <v>Ford F150 2015 (White) - DEP21448</v>
      </c>
      <c r="N1015" t="str">
        <f ca="1">IFERROR(__xludf.DUMMYFUNCTION("""COMPUTED_VALUE"""),"Jessica Lee, (813) 748-2228")</f>
        <v>Jessica Lee, (813) 748-2228</v>
      </c>
      <c r="O1015" t="str">
        <f ca="1">IFERROR(__xludf.DUMMYFUNCTION("""COMPUTED_VALUE"""),"Monica ")</f>
        <v xml:space="preserve">Monica </v>
      </c>
      <c r="P1015" t="str">
        <f ca="1">IFERROR(__xludf.DUMMYFUNCTION("""COMPUTED_VALUE"""),"Jess ")</f>
        <v xml:space="preserve">Jess </v>
      </c>
      <c r="AE1015" s="11"/>
      <c r="AF1015" t="str">
        <v>Nikki.Dix@floridadep.gov</v>
      </c>
      <c r="AG1015" s="17" t="s">
        <v>41</v>
      </c>
      <c r="AH1015" s="12">
        <v>830</v>
      </c>
      <c r="AI1015" s="12" t="s">
        <v>2999</v>
      </c>
      <c r="AJ1015" s="19" t="s">
        <v>3000</v>
      </c>
      <c r="AK1015" s="20" t="str">
        <f>HYPERLINK("https://docs.google.com/document/d/1CASd18gaOx2lCQ2ert7OBhDTks6lDY34gvTp5COXVvk/edit?usp=drivesdk","Jessica Lee - 5/1/2023 7:30 AM")</f>
        <v>Jessica Lee - 5/1/2023 7:30 AM</v>
      </c>
      <c r="AL1015" s="12" t="s">
        <v>3001</v>
      </c>
    </row>
    <row r="1016" spans="1:38" ht="12.75">
      <c r="A1016" s="10">
        <f ca="1">IFERROR(__xludf.DUMMYFUNCTION("""COMPUTED_VALUE"""),45048.2903245949)</f>
        <v>45048.290324594898</v>
      </c>
      <c r="B1016" s="11" t="str">
        <f ca="1">IFERROR(__xludf.DUMMYFUNCTION("""COMPUTED_VALUE"""),"Silas Tanner")</f>
        <v>Silas Tanner</v>
      </c>
      <c r="C1016" t="str">
        <f ca="1">IFERROR(__xludf.DUMMYFUNCTION("""COMPUTED_VALUE"""),"silas.tanner@floridadep.gov")</f>
        <v>silas.tanner@floridadep.gov</v>
      </c>
      <c r="D1016" t="str">
        <f ca="1">IFERROR(__xludf.DUMMYFUNCTION("""COMPUTED_VALUE"""),"Nikki Dix")</f>
        <v>Nikki Dix</v>
      </c>
      <c r="E1016" t="str">
        <f ca="1">IFERROR(__xludf.DUMMYFUNCTION("""COMPUTED_VALUE"""),"Vilano Landing")</f>
        <v>Vilano Landing</v>
      </c>
      <c r="F1016" s="13">
        <f ca="1">IFERROR(__xludf.DUMMYFUNCTION("""COMPUTED_VALUE"""),0.3125)</f>
        <v>0.3125</v>
      </c>
      <c r="G1016" s="14">
        <f ca="1">IFERROR(__xludf.DUMMYFUNCTION("""COMPUTED_VALUE"""),45048)</f>
        <v>45048</v>
      </c>
      <c r="H1016" t="str">
        <f ca="1">IFERROR(__xludf.DUMMYFUNCTION("""COMPUTED_VALUE"""),"ICW SWMP sites")</f>
        <v>ICW SWMP sites</v>
      </c>
      <c r="I1016" s="15">
        <f ca="1">IFERROR(__xludf.DUMMYFUNCTION("""COMPUTED_VALUE"""),0.5625)</f>
        <v>0.5625</v>
      </c>
      <c r="J1016" s="16">
        <f ca="1">IFERROR(__xludf.DUMMYFUNCTION("""COMPUTED_VALUE"""),45048.5833333333)</f>
        <v>45048.583333333299</v>
      </c>
      <c r="K1016" t="str">
        <f ca="1">IFERROR(__xludf.DUMMYFUNCTION("""COMPUTED_VALUE"""),"23ft Skiff (Bertha) FL7972LJ DEP07613")</f>
        <v>23ft Skiff (Bertha) FL7972LJ DEP07613</v>
      </c>
      <c r="M1016" t="str">
        <f ca="1">IFERROR(__xludf.DUMMYFUNCTION("""COMPUTED_VALUE"""),"Ford F150 2015 (White) - DEP21448")</f>
        <v>Ford F150 2015 (White) - DEP21448</v>
      </c>
      <c r="N1016" t="str">
        <f ca="1">IFERROR(__xludf.DUMMYFUNCTION("""COMPUTED_VALUE"""),"Silas Tanner, (904) 483-8423, Jacob Berna")</f>
        <v>Silas Tanner, (904) 483-8423, Jacob Berna</v>
      </c>
      <c r="O1016" t="str">
        <f ca="1">IFERROR(__xludf.DUMMYFUNCTION("""COMPUTED_VALUE"""),"Jess Lee, Nate Schumer")</f>
        <v>Jess Lee, Nate Schumer</v>
      </c>
      <c r="P1016" t="str">
        <f ca="1">IFERROR(__xludf.DUMMYFUNCTION("""COMPUTED_VALUE"""),"Silas Tanner")</f>
        <v>Silas Tanner</v>
      </c>
      <c r="AE1016" s="11"/>
      <c r="AF1016" t="str">
        <v>Nikki.Dix@floridadep.gov</v>
      </c>
      <c r="AG1016" s="17" t="s">
        <v>41</v>
      </c>
      <c r="AH1016" s="12">
        <v>1205</v>
      </c>
      <c r="AI1016" s="12" t="s">
        <v>3002</v>
      </c>
      <c r="AJ1016" s="19" t="s">
        <v>3003</v>
      </c>
      <c r="AK1016" s="20" t="str">
        <f>HYPERLINK("https://docs.google.com/document/d/1YvcZZP08enAf0IvIpaSAiflRxd2ix_X3AU3yH792JPA/edit?usp=drivesdk","Silas Tanner - 5/2/2023 7:30 AM")</f>
        <v>Silas Tanner - 5/2/2023 7:30 AM</v>
      </c>
      <c r="AL1016" s="12" t="s">
        <v>3004</v>
      </c>
    </row>
    <row r="1017" spans="1:38" ht="12.75">
      <c r="A1017" s="10">
        <f ca="1">IFERROR(__xludf.DUMMYFUNCTION("""COMPUTED_VALUE"""),45049.3770631713)</f>
        <v>45049.377063171298</v>
      </c>
      <c r="B1017" s="11" t="str">
        <f ca="1">IFERROR(__xludf.DUMMYFUNCTION("""COMPUTED_VALUE"""),"Silas Tanner")</f>
        <v>Silas Tanner</v>
      </c>
      <c r="C1017" t="str">
        <f ca="1">IFERROR(__xludf.DUMMYFUNCTION("""COMPUTED_VALUE"""),"silas.tanner@floridadep.gov")</f>
        <v>silas.tanner@floridadep.gov</v>
      </c>
      <c r="D1017" t="str">
        <f ca="1">IFERROR(__xludf.DUMMYFUNCTION("""COMPUTED_VALUE"""),"Shannon Dunnigan")</f>
        <v>Shannon Dunnigan</v>
      </c>
      <c r="E1017" t="str">
        <f ca="1">IFERROR(__xludf.DUMMYFUNCTION("""COMPUTED_VALUE"""),"Palm Valley")</f>
        <v>Palm Valley</v>
      </c>
      <c r="F1017" s="13">
        <f ca="1">IFERROR(__xludf.DUMMYFUNCTION("""COMPUTED_VALUE"""),0.39583333333212)</f>
        <v>0.39583333333212001</v>
      </c>
      <c r="G1017" s="14">
        <f ca="1">IFERROR(__xludf.DUMMYFUNCTION("""COMPUTED_VALUE"""),45049)</f>
        <v>45049</v>
      </c>
      <c r="H1017" t="str">
        <f ca="1">IFERROR(__xludf.DUMMYFUNCTION("""COMPUTED_VALUE"""),"Pine Island SWMP station")</f>
        <v>Pine Island SWMP station</v>
      </c>
      <c r="I1017" s="15">
        <f ca="1">IFERROR(__xludf.DUMMYFUNCTION("""COMPUTED_VALUE"""),0.45833333333212)</f>
        <v>0.45833333333212001</v>
      </c>
      <c r="J1017" s="16">
        <f ca="1">IFERROR(__xludf.DUMMYFUNCTION("""COMPUTED_VALUE"""),45049.4791666666)</f>
        <v>45049.479166666599</v>
      </c>
      <c r="K1017" t="str">
        <f ca="1">IFERROR(__xludf.DUMMYFUNCTION("""COMPUTED_VALUE"""),"20ft Sea Ark FL5351SJ UNF 2015")</f>
        <v>20ft Sea Ark FL5351SJ UNF 2015</v>
      </c>
      <c r="M1017" t="str">
        <f ca="1">IFERROR(__xludf.DUMMYFUNCTION("""COMPUTED_VALUE"""),"Ford F150 2015 (White) - DEP21448")</f>
        <v>Ford F150 2015 (White) - DEP21448</v>
      </c>
      <c r="N1017" t="str">
        <f ca="1">IFERROR(__xludf.DUMMYFUNCTION("""COMPUTED_VALUE"""),"Silas Tanner, (904) 483-8423, Jessica Lee, (813) 748-2228")</f>
        <v>Silas Tanner, (904) 483-8423, Jessica Lee, (813) 748-2228</v>
      </c>
      <c r="P1017" t="str">
        <f ca="1">IFERROR(__xludf.DUMMYFUNCTION("""COMPUTED_VALUE"""),"Silas Tanner")</f>
        <v>Silas Tanner</v>
      </c>
      <c r="AE1017" s="11"/>
      <c r="AF1017" t="str">
        <v>Shannon.Dunnigan@floridadep.gov</v>
      </c>
      <c r="AG1017" s="17" t="s">
        <v>639</v>
      </c>
      <c r="AH1017" s="12">
        <v>1023</v>
      </c>
      <c r="AI1017" s="12" t="s">
        <v>3005</v>
      </c>
      <c r="AJ1017" s="19" t="s">
        <v>3006</v>
      </c>
      <c r="AK1017" s="20" t="str">
        <f>HYPERLINK("https://docs.google.com/document/d/1PhLM-7PbkBkkr0cdE2tXtED-0GlkgiCE4EE1Dt-al7I/edit?usp=drivesdk","Silas Tanner - 5/3/2023 9:30 AM")</f>
        <v>Silas Tanner - 5/3/2023 9:30 AM</v>
      </c>
      <c r="AL1017" s="12" t="s">
        <v>3007</v>
      </c>
    </row>
    <row r="1018" spans="1:38" ht="12.75">
      <c r="A1018" s="10">
        <f ca="1">IFERROR(__xludf.DUMMYFUNCTION("""COMPUTED_VALUE"""),45057.3593564814)</f>
        <v>45057.3593564814</v>
      </c>
      <c r="B1018" s="11" t="str">
        <f ca="1">IFERROR(__xludf.DUMMYFUNCTION("""COMPUTED_VALUE"""),"Jacob Berna")</f>
        <v>Jacob Berna</v>
      </c>
      <c r="C1018" t="str">
        <f ca="1">IFERROR(__xludf.DUMMYFUNCTION("""COMPUTED_VALUE"""),"Jacob.Berna@FloridaDEP.gov")</f>
        <v>Jacob.Berna@FloridaDEP.gov</v>
      </c>
      <c r="D1018" t="str">
        <f ca="1">IFERROR(__xludf.DUMMYFUNCTION("""COMPUTED_VALUE"""),"Shannon Dunnigan")</f>
        <v>Shannon Dunnigan</v>
      </c>
      <c r="E1018" t="str">
        <f ca="1">IFERROR(__xludf.DUMMYFUNCTION("""COMPUTED_VALUE"""),"Pellicer")</f>
        <v>Pellicer</v>
      </c>
      <c r="F1018" s="13">
        <f ca="1">IFERROR(__xludf.DUMMYFUNCTION("""COMPUTED_VALUE"""),0.416666666667879)</f>
        <v>0.41666666666787899</v>
      </c>
      <c r="G1018" s="14">
        <f ca="1">IFERROR(__xludf.DUMMYFUNCTION("""COMPUTED_VALUE"""),45057)</f>
        <v>45057</v>
      </c>
      <c r="H1018" t="str">
        <f ca="1">IFERROR(__xludf.DUMMYFUNCTION("""COMPUTED_VALUE"""),"Pellicer lower, middle, and upper transects")</f>
        <v>Pellicer lower, middle, and upper transects</v>
      </c>
      <c r="I1018" s="15">
        <f ca="1">IFERROR(__xludf.DUMMYFUNCTION("""COMPUTED_VALUE"""),0.64583333333212)</f>
        <v>0.64583333333212001</v>
      </c>
      <c r="J1018" s="16">
        <f ca="1">IFERROR(__xludf.DUMMYFUNCTION("""COMPUTED_VALUE"""),45057.6875)</f>
        <v>45057.6875</v>
      </c>
      <c r="K1018" t="str">
        <f ca="1">IFERROR(__xludf.DUMMYFUNCTION("""COMPUTED_VALUE"""),"20ft Sea Ark FL5351SJ UNF 2015")</f>
        <v>20ft Sea Ark FL5351SJ UNF 2015</v>
      </c>
      <c r="M1018" t="str">
        <f ca="1">IFERROR(__xludf.DUMMYFUNCTION("""COMPUTED_VALUE"""),"Ford F150 2015 (White) - DEP21448")</f>
        <v>Ford F150 2015 (White) - DEP21448</v>
      </c>
      <c r="N1018" t="str">
        <f ca="1">IFERROR(__xludf.DUMMYFUNCTION("""COMPUTED_VALUE"""),"Jacob Berna (904)-392-1966")</f>
        <v>Jacob Berna (904)-392-1966</v>
      </c>
      <c r="O1018" t="str">
        <f ca="1">IFERROR(__xludf.DUMMYFUNCTION("""COMPUTED_VALUE"""),"Hans Prevost, Avah Avonda")</f>
        <v>Hans Prevost, Avah Avonda</v>
      </c>
      <c r="P1018" t="str">
        <f ca="1">IFERROR(__xludf.DUMMYFUNCTION("""COMPUTED_VALUE"""),"Jacob Berna")</f>
        <v>Jacob Berna</v>
      </c>
      <c r="AE1018" s="11"/>
      <c r="AF1018" t="str">
        <v>Shannon.Dunnigan@floridadep.gov</v>
      </c>
      <c r="AG1018" s="17" t="s">
        <v>639</v>
      </c>
      <c r="AH1018" s="12">
        <v>1456</v>
      </c>
      <c r="AI1018" s="12" t="s">
        <v>3008</v>
      </c>
      <c r="AJ1018" s="19" t="s">
        <v>3009</v>
      </c>
      <c r="AK1018" s="20" t="str">
        <f>HYPERLINK("https://docs.google.com/document/d/1YG3k9pbaxT3SGLmE7ZdU4N1Uee2yd9NghJqUu7Aeh5A/edit?usp=drivesdk","Jacob Berna - 5/11/2023 10:00 AM")</f>
        <v>Jacob Berna - 5/11/2023 10:00 AM</v>
      </c>
      <c r="AL1018" s="12" t="s">
        <v>3010</v>
      </c>
    </row>
    <row r="1019" spans="1:38" ht="12.75">
      <c r="A1019" s="10">
        <f ca="1">IFERROR(__xludf.DUMMYFUNCTION("""COMPUTED_VALUE"""),45061.430800868)</f>
        <v>45061.430800868002</v>
      </c>
      <c r="B1019" s="11" t="str">
        <f ca="1">IFERROR(__xludf.DUMMYFUNCTION("""COMPUTED_VALUE"""),"Jacob Berna")</f>
        <v>Jacob Berna</v>
      </c>
      <c r="C1019" t="str">
        <f ca="1">IFERROR(__xludf.DUMMYFUNCTION("""COMPUTED_VALUE"""),"Jacob.Berna@FloridaDEP.gov")</f>
        <v>Jacob.Berna@FloridaDEP.gov</v>
      </c>
      <c r="D1019" t="str">
        <f ca="1">IFERROR(__xludf.DUMMYFUNCTION("""COMPUTED_VALUE"""),"Nikki Dix")</f>
        <v>Nikki Dix</v>
      </c>
      <c r="E1019" t="str">
        <f ca="1">IFERROR(__xludf.DUMMYFUNCTION("""COMPUTED_VALUE"""),"Usina")</f>
        <v>Usina</v>
      </c>
      <c r="F1019" s="13">
        <f ca="1">IFERROR(__xludf.DUMMYFUNCTION("""COMPUTED_VALUE"""),0.430555555554747)</f>
        <v>0.430555555554747</v>
      </c>
      <c r="G1019" s="14">
        <f ca="1">IFERROR(__xludf.DUMMYFUNCTION("""COMPUTED_VALUE"""),45061)</f>
        <v>45061</v>
      </c>
      <c r="H1019" t="str">
        <f ca="1">IFERROR(__xludf.DUMMYFUNCTION("""COMPUTED_VALUE"""),"Guana River Reefs")</f>
        <v>Guana River Reefs</v>
      </c>
      <c r="I1019" s="15">
        <f ca="1">IFERROR(__xludf.DUMMYFUNCTION("""COMPUTED_VALUE"""),0.64583333333212)</f>
        <v>0.64583333333212001</v>
      </c>
      <c r="J1019" s="16">
        <f ca="1">IFERROR(__xludf.DUMMYFUNCTION("""COMPUTED_VALUE"""),45061.6666666666)</f>
        <v>45061.666666666599</v>
      </c>
      <c r="K1019" t="str">
        <f ca="1">IFERROR(__xludf.DUMMYFUNCTION("""COMPUTED_VALUE"""),"23ft Skiff (Bertha) FL7972LJ DEP07613")</f>
        <v>23ft Skiff (Bertha) FL7972LJ DEP07613</v>
      </c>
      <c r="M1019" t="str">
        <f ca="1">IFERROR(__xludf.DUMMYFUNCTION("""COMPUTED_VALUE"""),"Ford F150 2015 (White) - DEP21448")</f>
        <v>Ford F150 2015 (White) - DEP21448</v>
      </c>
      <c r="N1019" t="str">
        <f ca="1">IFERROR(__xludf.DUMMYFUNCTION("""COMPUTED_VALUE"""),"Jacob Berna")</f>
        <v>Jacob Berna</v>
      </c>
      <c r="O1019" t="str">
        <f ca="1">IFERROR(__xludf.DUMMYFUNCTION("""COMPUTED_VALUE"""),"Greg, Jaleigh, Abry, Tally")</f>
        <v>Greg, Jaleigh, Abry, Tally</v>
      </c>
      <c r="P1019" t="str">
        <f ca="1">IFERROR(__xludf.DUMMYFUNCTION("""COMPUTED_VALUE"""),"Jacob Berna")</f>
        <v>Jacob Berna</v>
      </c>
      <c r="AE1019" s="11"/>
      <c r="AF1019" t="str">
        <v>Nikki.Dix@floridadep.gov</v>
      </c>
      <c r="AG1019" s="17" t="s">
        <v>41</v>
      </c>
      <c r="AH1019" s="12">
        <v>1600</v>
      </c>
      <c r="AI1019" s="12" t="s">
        <v>3011</v>
      </c>
      <c r="AJ1019" s="19" t="s">
        <v>3012</v>
      </c>
      <c r="AK1019" s="20" t="str">
        <f>HYPERLINK("https://docs.google.com/document/d/1uhAvGUJ1MlS7JG4Q8SLaFV8qToA6LPg46A4cywd4dhI/edit?usp=drivesdk","Jacob Berna - 5/15/2023 10:20 AM")</f>
        <v>Jacob Berna - 5/15/2023 10:20 AM</v>
      </c>
      <c r="AL1019" s="12" t="s">
        <v>3013</v>
      </c>
    </row>
    <row r="1020" spans="1:38" ht="12.75">
      <c r="A1020" s="10">
        <f ca="1">IFERROR(__xludf.DUMMYFUNCTION("""COMPUTED_VALUE"""),45062.4165729166)</f>
        <v>45062.416572916598</v>
      </c>
      <c r="B1020" s="11" t="str">
        <f ca="1">IFERROR(__xludf.DUMMYFUNCTION("""COMPUTED_VALUE"""),"Jacob Berna ")</f>
        <v xml:space="preserve">Jacob Berna </v>
      </c>
      <c r="C1020" t="str">
        <f ca="1">IFERROR(__xludf.DUMMYFUNCTION("""COMPUTED_VALUE"""),"Jacob.Berna@FloridaDEP.gov")</f>
        <v>Jacob.Berna@FloridaDEP.gov</v>
      </c>
      <c r="D1020" t="str">
        <f ca="1">IFERROR(__xludf.DUMMYFUNCTION("""COMPUTED_VALUE"""),"Shannon Dunnigan")</f>
        <v>Shannon Dunnigan</v>
      </c>
      <c r="E1020" t="str">
        <f ca="1">IFERROR(__xludf.DUMMYFUNCTION("""COMPUTED_VALUE"""),"Usina")</f>
        <v>Usina</v>
      </c>
      <c r="F1020" s="13">
        <f ca="1">IFERROR(__xludf.DUMMYFUNCTION("""COMPUTED_VALUE"""),0.465277777777373)</f>
        <v>0.465277777777373</v>
      </c>
      <c r="G1020" s="14">
        <f ca="1">IFERROR(__xludf.DUMMYFUNCTION("""COMPUTED_VALUE"""),45062)</f>
        <v>45062</v>
      </c>
      <c r="H1020" t="str">
        <f ca="1">IFERROR(__xludf.DUMMYFUNCTION("""COMPUTED_VALUE"""),"Guana Reefs")</f>
        <v>Guana Reefs</v>
      </c>
      <c r="I1020" s="15">
        <f ca="1">IFERROR(__xludf.DUMMYFUNCTION("""COMPUTED_VALUE"""),0.67708333333212)</f>
        <v>0.67708333333212001</v>
      </c>
      <c r="J1020" s="16">
        <f ca="1">IFERROR(__xludf.DUMMYFUNCTION("""COMPUTED_VALUE"""),45062.6979166666)</f>
        <v>45062.697916666599</v>
      </c>
      <c r="K1020" t="str">
        <f ca="1">IFERROR(__xludf.DUMMYFUNCTION("""COMPUTED_VALUE"""),"23ft Skiff (Bertha) FL7972LJ DEP07613")</f>
        <v>23ft Skiff (Bertha) FL7972LJ DEP07613</v>
      </c>
      <c r="M1020" t="str">
        <f ca="1">IFERROR(__xludf.DUMMYFUNCTION("""COMPUTED_VALUE"""),"Ford F150 2015 (White) - DEP21448")</f>
        <v>Ford F150 2015 (White) - DEP21448</v>
      </c>
      <c r="N1020" t="str">
        <f ca="1">IFERROR(__xludf.DUMMYFUNCTION("""COMPUTED_VALUE"""),"Jacob Berna ")</f>
        <v xml:space="preserve">Jacob Berna </v>
      </c>
      <c r="O1020" t="str">
        <f ca="1">IFERROR(__xludf.DUMMYFUNCTION("""COMPUTED_VALUE"""),"Hans Prevost, Talyre Pier, Aubrey Burns, Jaleigh Pier, Greg Dietl")</f>
        <v>Hans Prevost, Talyre Pier, Aubrey Burns, Jaleigh Pier, Greg Dietl</v>
      </c>
      <c r="P1020" t="str">
        <f ca="1">IFERROR(__xludf.DUMMYFUNCTION("""COMPUTED_VALUE"""),"Jacob Berna")</f>
        <v>Jacob Berna</v>
      </c>
      <c r="AE1020" s="11"/>
      <c r="AF1020" t="str">
        <v>Shannon.Dunnigan@floridadep.gov</v>
      </c>
      <c r="AG1020" s="17" t="s">
        <v>639</v>
      </c>
      <c r="AH1020" s="12">
        <v>1546</v>
      </c>
      <c r="AI1020" s="12" t="s">
        <v>3014</v>
      </c>
      <c r="AJ1020" s="19" t="s">
        <v>3015</v>
      </c>
      <c r="AK1020" s="20" t="str">
        <f>HYPERLINK("https://docs.google.com/document/d/1s1JX6z8DZPXnX2WkBZ3cvLr9rnDCywmEKC9_kKYIdNw/edit?usp=drivesdk","Jacob Berna  - 5/16/2023 11:10 AM")</f>
        <v>Jacob Berna  - 5/16/2023 11:10 AM</v>
      </c>
      <c r="AL1020" s="12" t="s">
        <v>3016</v>
      </c>
    </row>
    <row r="1021" spans="1:38" ht="12.75">
      <c r="A1021" s="10">
        <f ca="1">IFERROR(__xludf.DUMMYFUNCTION("""COMPUTED_VALUE"""),45062.4713806018)</f>
        <v>45062.471380601797</v>
      </c>
      <c r="B1021" s="11" t="str">
        <f ca="1">IFERROR(__xludf.DUMMYFUNCTION("""COMPUTED_VALUE"""),"Allix North")</f>
        <v>Allix North</v>
      </c>
      <c r="C1021" t="str">
        <f ca="1">IFERROR(__xludf.DUMMYFUNCTION("""COMPUTED_VALUE"""),"Allix.North@dep.state.fl.us")</f>
        <v>Allix.North@dep.state.fl.us</v>
      </c>
      <c r="D1021" t="str">
        <f ca="1">IFERROR(__xludf.DUMMYFUNCTION("""COMPUTED_VALUE"""),"Scott Eastman")</f>
        <v>Scott Eastman</v>
      </c>
      <c r="E1021" t="str">
        <f ca="1">IFERROR(__xludf.DUMMYFUNCTION("""COMPUTED_VALUE"""),"Whitney Lab")</f>
        <v>Whitney Lab</v>
      </c>
      <c r="F1021" s="13">
        <f ca="1">IFERROR(__xludf.DUMMYFUNCTION("""COMPUTED_VALUE"""),0.541666666667879)</f>
        <v>0.54166666666787899</v>
      </c>
      <c r="G1021" s="14">
        <f ca="1">IFERROR(__xludf.DUMMYFUNCTION("""COMPUTED_VALUE"""),45062)</f>
        <v>45062</v>
      </c>
      <c r="H1021" t="str">
        <f ca="1">IFERROR(__xludf.DUMMYFUNCTION("""COMPUTED_VALUE"""),"Marineland Oyster Reefs next to Whitney Lab")</f>
        <v>Marineland Oyster Reefs next to Whitney Lab</v>
      </c>
      <c r="I1021" s="15">
        <f ca="1">IFERROR(__xludf.DUMMYFUNCTION("""COMPUTED_VALUE"""),0.666666666667879)</f>
        <v>0.66666666666787899</v>
      </c>
      <c r="J1021" s="16">
        <f ca="1">IFERROR(__xludf.DUMMYFUNCTION("""COMPUTED_VALUE"""),45062.6875)</f>
        <v>45062.6875</v>
      </c>
      <c r="K1021" t="str">
        <f ca="1">IFERROR(__xludf.DUMMYFUNCTION("""COMPUTED_VALUE"""),"20ft Sea Ark FL5351SJ UNF 2015")</f>
        <v>20ft Sea Ark FL5351SJ UNF 2015</v>
      </c>
      <c r="M1021" t="str">
        <f ca="1">IFERROR(__xludf.DUMMYFUNCTION("""COMPUTED_VALUE"""),"Ford F150 2022 (ML) DEP22510")</f>
        <v>Ford F150 2022 (ML) DEP22510</v>
      </c>
      <c r="N1021" t="str">
        <f ca="1">IFERROR(__xludf.DUMMYFUNCTION("""COMPUTED_VALUE"""),"Nikki Dix, (352) 219-4079, Allix North, (850) 420-7495")</f>
        <v>Nikki Dix, (352) 219-4079, Allix North, (850) 420-7495</v>
      </c>
      <c r="O1021" t="str">
        <f ca="1">IFERROR(__xludf.DUMMYFUNCTION("""COMPUTED_VALUE"""),"Alyah Bennett, Jeff Finnan, and Mike Darragh")</f>
        <v>Alyah Bennett, Jeff Finnan, and Mike Darragh</v>
      </c>
      <c r="P1021" t="str">
        <f ca="1">IFERROR(__xludf.DUMMYFUNCTION("""COMPUTED_VALUE"""),"Allix North")</f>
        <v>Allix North</v>
      </c>
      <c r="AD1021" t="str">
        <f ca="1">IFERROR(__xludf.DUMMYFUNCTION("""COMPUTED_VALUE"""),"Good to GO")</f>
        <v>Good to GO</v>
      </c>
      <c r="AE1021" s="11" t="str">
        <f ca="1">IFERROR(__xludf.DUMMYFUNCTION("""COMPUTED_VALUE"""),"Good to GO")</f>
        <v>Good to GO</v>
      </c>
      <c r="AF1021" t="str">
        <v>Scott.Eastman@floridadep.gov</v>
      </c>
      <c r="AG1021" s="17" t="s">
        <v>21</v>
      </c>
      <c r="AH1021" s="12">
        <v>1600</v>
      </c>
      <c r="AI1021" s="12" t="s">
        <v>3017</v>
      </c>
      <c r="AJ1021" s="19" t="s">
        <v>3018</v>
      </c>
      <c r="AK1021" s="20" t="str">
        <f>HYPERLINK("https://docs.google.com/document/d/1W4xH1DYp_Xeq7mTKqRqj7-Kzzlv23eVhIKQHTYEJDv0/edit?usp=drivesdk","Allix North - 5/16/2023 1:00 PM")</f>
        <v>Allix North - 5/16/2023 1:00 PM</v>
      </c>
      <c r="AL1021" s="12" t="s">
        <v>3019</v>
      </c>
    </row>
    <row r="1022" spans="1:38" ht="12.75">
      <c r="A1022" s="10">
        <f ca="1">IFERROR(__xludf.DUMMYFUNCTION("""COMPUTED_VALUE"""),45064.4859260763)</f>
        <v>45064.485926076297</v>
      </c>
      <c r="B1022" s="11" t="str">
        <f ca="1">IFERROR(__xludf.DUMMYFUNCTION("""COMPUTED_VALUE"""),"Jacob Berna")</f>
        <v>Jacob Berna</v>
      </c>
      <c r="C1022" t="str">
        <f ca="1">IFERROR(__xludf.DUMMYFUNCTION("""COMPUTED_VALUE"""),"Jacob.Berna@FloridaDEP.gov")</f>
        <v>Jacob.Berna@FloridaDEP.gov</v>
      </c>
      <c r="D1022" t="str">
        <f ca="1">IFERROR(__xludf.DUMMYFUNCTION("""COMPUTED_VALUE"""),"Nikki Dix")</f>
        <v>Nikki Dix</v>
      </c>
      <c r="E1022" t="str">
        <f ca="1">IFERROR(__xludf.DUMMYFUNCTION("""COMPUTED_VALUE"""),"Usina")</f>
        <v>Usina</v>
      </c>
      <c r="F1022" s="13">
        <f ca="1">IFERROR(__xludf.DUMMYFUNCTION("""COMPUTED_VALUE"""),0.527777777777373)</f>
        <v>0.527777777777373</v>
      </c>
      <c r="G1022" s="14">
        <f ca="1">IFERROR(__xludf.DUMMYFUNCTION("""COMPUTED_VALUE"""),45064)</f>
        <v>45064</v>
      </c>
      <c r="H1022" t="str">
        <f ca="1">IFERROR(__xludf.DUMMYFUNCTION("""COMPUTED_VALUE"""),"Guana Reefs ")</f>
        <v xml:space="preserve">Guana Reefs </v>
      </c>
      <c r="I1022" s="15">
        <f ca="1">IFERROR(__xludf.DUMMYFUNCTION("""COMPUTED_VALUE"""),0.70833333333212)</f>
        <v>0.70833333333212001</v>
      </c>
      <c r="J1022" s="16">
        <f ca="1">IFERROR(__xludf.DUMMYFUNCTION("""COMPUTED_VALUE"""),45064.7291666666)</f>
        <v>45064.729166666599</v>
      </c>
      <c r="K1022" t="str">
        <f ca="1">IFERROR(__xludf.DUMMYFUNCTION("""COMPUTED_VALUE"""),"23ft Skiff (Bertha) FL7972LJ DEP07613")</f>
        <v>23ft Skiff (Bertha) FL7972LJ DEP07613</v>
      </c>
      <c r="M1022" t="str">
        <f ca="1">IFERROR(__xludf.DUMMYFUNCTION("""COMPUTED_VALUE"""),"Ford F150 2015 (White) - DEP21448")</f>
        <v>Ford F150 2015 (White) - DEP21448</v>
      </c>
      <c r="N1022" t="str">
        <f ca="1">IFERROR(__xludf.DUMMYFUNCTION("""COMPUTED_VALUE"""),"Jacob Berna")</f>
        <v>Jacob Berna</v>
      </c>
      <c r="O1022" t="str">
        <f ca="1">IFERROR(__xludf.DUMMYFUNCTION("""COMPUTED_VALUE"""),"Hans Prevost, Talyre Pier, Aubrey Burns, Jaleigh Pier, Greg Dietl ")</f>
        <v xml:space="preserve">Hans Prevost, Talyre Pier, Aubrey Burns, Jaleigh Pier, Greg Dietl </v>
      </c>
      <c r="P1022" t="str">
        <f ca="1">IFERROR(__xludf.DUMMYFUNCTION("""COMPUTED_VALUE"""),"Jacob Berna")</f>
        <v>Jacob Berna</v>
      </c>
      <c r="AE1022" s="11"/>
      <c r="AF1022" t="str">
        <v>Nikki.Dix@floridadep.gov</v>
      </c>
      <c r="AG1022" s="17" t="s">
        <v>41</v>
      </c>
      <c r="AH1022" s="12">
        <v>1610</v>
      </c>
      <c r="AI1022" s="12" t="s">
        <v>3020</v>
      </c>
      <c r="AJ1022" s="19" t="s">
        <v>3021</v>
      </c>
      <c r="AK1022" s="20" t="str">
        <f>HYPERLINK("https://docs.google.com/document/d/1BudSAgJxdaUUaXjTWjVETFgGp62r_wTou1_5hJNBPn4/edit?usp=drivesdk","Jacob Berna - 5/18/2023 12:40 PM")</f>
        <v>Jacob Berna - 5/18/2023 12:40 PM</v>
      </c>
      <c r="AL1022" s="12" t="s">
        <v>3022</v>
      </c>
    </row>
    <row r="1023" spans="1:38" ht="12.75">
      <c r="A1023" s="10">
        <f ca="1">IFERROR(__xludf.DUMMYFUNCTION("""COMPUTED_VALUE"""),45065.5409150578)</f>
        <v>45065.540915057798</v>
      </c>
      <c r="B1023" s="11" t="str">
        <f ca="1">IFERROR(__xludf.DUMMYFUNCTION("""COMPUTED_VALUE"""),"Jacob Berna")</f>
        <v>Jacob Berna</v>
      </c>
      <c r="C1023" t="str">
        <f ca="1">IFERROR(__xludf.DUMMYFUNCTION("""COMPUTED_VALUE"""),"Jacob.Berna@FloridaDEP.gov")</f>
        <v>Jacob.Berna@FloridaDEP.gov</v>
      </c>
      <c r="D1023" t="str">
        <f ca="1">IFERROR(__xludf.DUMMYFUNCTION("""COMPUTED_VALUE"""),"Nikki Dix")</f>
        <v>Nikki Dix</v>
      </c>
      <c r="E1023" t="str">
        <f ca="1">IFERROR(__xludf.DUMMYFUNCTION("""COMPUTED_VALUE"""),"Usina ")</f>
        <v xml:space="preserve">Usina </v>
      </c>
      <c r="F1023" s="13">
        <f ca="1">IFERROR(__xludf.DUMMYFUNCTION("""COMPUTED_VALUE"""),0.55208333333212)</f>
        <v>0.55208333333212001</v>
      </c>
      <c r="G1023" s="14">
        <f ca="1">IFERROR(__xludf.DUMMYFUNCTION("""COMPUTED_VALUE"""),45065)</f>
        <v>45065</v>
      </c>
      <c r="H1023" t="str">
        <f ca="1">IFERROR(__xludf.DUMMYFUNCTION("""COMPUTED_VALUE"""),"Guana Reefs")</f>
        <v>Guana Reefs</v>
      </c>
      <c r="I1023" s="15">
        <f ca="1">IFERROR(__xludf.DUMMYFUNCTION("""COMPUTED_VALUE"""),0.70833333333212)</f>
        <v>0.70833333333212001</v>
      </c>
      <c r="J1023" s="16">
        <f ca="1">IFERROR(__xludf.DUMMYFUNCTION("""COMPUTED_VALUE"""),45065.7291666666)</f>
        <v>45065.729166666599</v>
      </c>
      <c r="K1023" t="str">
        <f ca="1">IFERROR(__xludf.DUMMYFUNCTION("""COMPUTED_VALUE"""),"23ft Skiff (Bertha) FL7972LJ DEP07613")</f>
        <v>23ft Skiff (Bertha) FL7972LJ DEP07613</v>
      </c>
      <c r="M1023" t="str">
        <f ca="1">IFERROR(__xludf.DUMMYFUNCTION("""COMPUTED_VALUE"""),"Ford F150 2015 (White) - DEP21448")</f>
        <v>Ford F150 2015 (White) - DEP21448</v>
      </c>
      <c r="N1023" t="str">
        <f ca="1">IFERROR(__xludf.DUMMYFUNCTION("""COMPUTED_VALUE"""),"Jacob Berna")</f>
        <v>Jacob Berna</v>
      </c>
      <c r="O1023" t="str">
        <f ca="1">IFERROR(__xludf.DUMMYFUNCTION("""COMPUTED_VALUE"""),"Hans Prevost, Jaleigh Pier, Talyre Pier, Greg Diet")</f>
        <v>Hans Prevost, Jaleigh Pier, Talyre Pier, Greg Diet</v>
      </c>
      <c r="P1023" t="str">
        <f ca="1">IFERROR(__xludf.DUMMYFUNCTION("""COMPUTED_VALUE"""),"Jacob Berna")</f>
        <v>Jacob Berna</v>
      </c>
      <c r="AE1023" s="11"/>
      <c r="AF1023" t="str">
        <v>Nikki.Dix@floridadep.gov</v>
      </c>
      <c r="AG1023" s="17" t="s">
        <v>41</v>
      </c>
      <c r="AH1023" s="12">
        <v>1650</v>
      </c>
      <c r="AI1023" s="12" t="s">
        <v>3023</v>
      </c>
      <c r="AJ1023" s="19" t="s">
        <v>3024</v>
      </c>
      <c r="AK1023" s="20" t="str">
        <f>HYPERLINK("https://docs.google.com/document/d/1F6b_W3k9oJyxkfVnCi16z04bR1CJQ8cBdgFg-i3WOaA/edit?usp=drivesdk","Jacob Berna - 5/19/2023 1:15 PM")</f>
        <v>Jacob Berna - 5/19/2023 1:15 PM</v>
      </c>
      <c r="AL1023" s="12" t="s">
        <v>3025</v>
      </c>
    </row>
    <row r="1024" spans="1:38" ht="12.75">
      <c r="A1024" s="10">
        <f ca="1">IFERROR(__xludf.DUMMYFUNCTION("""COMPUTED_VALUE"""),45069.4100193865)</f>
        <v>45069.410019386502</v>
      </c>
      <c r="B1024" s="11" t="str">
        <f ca="1">IFERROR(__xludf.DUMMYFUNCTION("""COMPUTED_VALUE"""),"Shannon ")</f>
        <v xml:space="preserve">Shannon </v>
      </c>
      <c r="C1024" t="str">
        <f ca="1">IFERROR(__xludf.DUMMYFUNCTION("""COMPUTED_VALUE"""),"shannon.dunnigan@dep.state.fl.us")</f>
        <v>shannon.dunnigan@dep.state.fl.us</v>
      </c>
      <c r="D1024" t="str">
        <f ca="1">IFERROR(__xludf.DUMMYFUNCTION("""COMPUTED_VALUE"""),"Nikki Dix")</f>
        <v>Nikki Dix</v>
      </c>
      <c r="E1024" t="str">
        <f ca="1">IFERROR(__xludf.DUMMYFUNCTION("""COMPUTED_VALUE"""),"Vilano")</f>
        <v>Vilano</v>
      </c>
      <c r="F1024" s="13">
        <f ca="1">IFERROR(__xludf.DUMMYFUNCTION("""COMPUTED_VALUE"""),0.408333333332848)</f>
        <v>0.40833333333284799</v>
      </c>
      <c r="G1024" s="14">
        <f ca="1">IFERROR(__xludf.DUMMYFUNCTION("""COMPUTED_VALUE"""),45069)</f>
        <v>45069</v>
      </c>
      <c r="H1024" t="str">
        <f ca="1">IFERROR(__xludf.DUMMYFUNCTION("""COMPUTED_VALUE"""),"ICW Sonde Sites")</f>
        <v>ICW Sonde Sites</v>
      </c>
      <c r="I1024" s="15">
        <f ca="1">IFERROR(__xludf.DUMMYFUNCTION("""COMPUTED_VALUE"""),0.58333333333212)</f>
        <v>0.58333333333212001</v>
      </c>
      <c r="J1024" s="16">
        <f ca="1">IFERROR(__xludf.DUMMYFUNCTION("""COMPUTED_VALUE"""),45069.625)</f>
        <v>45069.625</v>
      </c>
      <c r="K1024" t="str">
        <f ca="1">IFERROR(__xludf.DUMMYFUNCTION("""COMPUTED_VALUE"""),"23ft Skiff (Bertha) FL7972LJ DEP07613")</f>
        <v>23ft Skiff (Bertha) FL7972LJ DEP07613</v>
      </c>
      <c r="M1024" t="str">
        <f ca="1">IFERROR(__xludf.DUMMYFUNCTION("""COMPUTED_VALUE"""),"Ford F250 2017 (Moby Dix) - DEP0021578")</f>
        <v>Ford F250 2017 (Moby Dix) - DEP0021578</v>
      </c>
      <c r="N1024" t="str">
        <f ca="1">IFERROR(__xludf.DUMMYFUNCTION("""COMPUTED_VALUE"""),"Shannon Dunnigan, (803) 727-5734")</f>
        <v>Shannon Dunnigan, (803) 727-5734</v>
      </c>
      <c r="O1024" t="str">
        <f ca="1">IFERROR(__xludf.DUMMYFUNCTION("""COMPUTED_VALUE"""),"Jess and Avah")</f>
        <v>Jess and Avah</v>
      </c>
      <c r="P1024" t="str">
        <f ca="1">IFERROR(__xludf.DUMMYFUNCTION("""COMPUTED_VALUE"""),"Shannon")</f>
        <v>Shannon</v>
      </c>
      <c r="AE1024" s="11"/>
      <c r="AF1024" t="str">
        <v>Nikki.Dix@floridadep.gov</v>
      </c>
      <c r="AG1024" s="17" t="s">
        <v>41</v>
      </c>
      <c r="AH1024" s="12">
        <v>1250</v>
      </c>
      <c r="AI1024" s="12" t="s">
        <v>3026</v>
      </c>
      <c r="AJ1024" s="19" t="s">
        <v>3027</v>
      </c>
      <c r="AK1024" s="20" t="str">
        <f>HYPERLINK("https://docs.google.com/document/d/1JHE2-n3g0Z-HFgsQAqhUAzfsu0_HHwuo3xGXLQbzL44/edit?usp=drivesdk","Shannon  - 5/23/2023 9:48 AM")</f>
        <v>Shannon  - 5/23/2023 9:48 AM</v>
      </c>
      <c r="AL1024" s="12" t="s">
        <v>3028</v>
      </c>
    </row>
    <row r="1025" spans="1:38" ht="12.75">
      <c r="A1025" s="10">
        <f ca="1">IFERROR(__xludf.DUMMYFUNCTION("""COMPUTED_VALUE"""),45078.3209630208)</f>
        <v>45078.3209630208</v>
      </c>
      <c r="B1025" s="11" t="str">
        <f ca="1">IFERROR(__xludf.DUMMYFUNCTION("""COMPUTED_VALUE"""),"Jessica Lee")</f>
        <v>Jessica Lee</v>
      </c>
      <c r="C1025" t="str">
        <f ca="1">IFERROR(__xludf.DUMMYFUNCTION("""COMPUTED_VALUE"""),"jeasica.lee@floridadep.gov")</f>
        <v>jeasica.lee@floridadep.gov</v>
      </c>
      <c r="D1025" t="str">
        <f ca="1">IFERROR(__xludf.DUMMYFUNCTION("""COMPUTED_VALUE"""),"Blythe Odzinski")</f>
        <v>Blythe Odzinski</v>
      </c>
      <c r="E1025" t="str">
        <f ca="1">IFERROR(__xludf.DUMMYFUNCTION("""COMPUTED_VALUE"""),"Guana Dam")</f>
        <v>Guana Dam</v>
      </c>
      <c r="F1025" s="13">
        <f ca="1">IFERROR(__xludf.DUMMYFUNCTION("""COMPUTED_VALUE"""),0.322916666667879)</f>
        <v>0.32291666666787899</v>
      </c>
      <c r="G1025" s="14">
        <f ca="1">IFERROR(__xludf.DUMMYFUNCTION("""COMPUTED_VALUE"""),45078)</f>
        <v>45078</v>
      </c>
      <c r="H1025" t="str">
        <f ca="1">IFERROR(__xludf.DUMMYFUNCTION("""COMPUTED_VALUE"""),"Guana River")</f>
        <v>Guana River</v>
      </c>
      <c r="I1025" s="15">
        <f ca="1">IFERROR(__xludf.DUMMYFUNCTION("""COMPUTED_VALUE"""),0.36458333333212)</f>
        <v>0.36458333333212001</v>
      </c>
      <c r="J1025" s="16">
        <f ca="1">IFERROR(__xludf.DUMMYFUNCTION("""COMPUTED_VALUE"""),45078.375)</f>
        <v>45078.375</v>
      </c>
      <c r="K1025" t="str">
        <f ca="1">IFERROR(__xludf.DUMMYFUNCTION("""COMPUTED_VALUE"""),"Jon Boat 1 FL5992RR DEP154045")</f>
        <v>Jon Boat 1 FL5992RR DEP154045</v>
      </c>
      <c r="M1025" t="str">
        <f ca="1">IFERROR(__xludf.DUMMYFUNCTION("""COMPUTED_VALUE"""),"Ford F150 2015 (White) - DEP21448")</f>
        <v>Ford F150 2015 (White) - DEP21448</v>
      </c>
      <c r="N1025" t="str">
        <f ca="1">IFERROR(__xludf.DUMMYFUNCTION("""COMPUTED_VALUE"""),"Jessica Lee, (813) 748-2228")</f>
        <v>Jessica Lee, (813) 748-2228</v>
      </c>
      <c r="O1025" t="str">
        <f ca="1">IFERROR(__xludf.DUMMYFUNCTION("""COMPUTED_VALUE"""),"Hans, Monica ")</f>
        <v xml:space="preserve">Hans, Monica </v>
      </c>
      <c r="P1025" t="str">
        <f ca="1">IFERROR(__xludf.DUMMYFUNCTION("""COMPUTED_VALUE"""),"Jess")</f>
        <v>Jess</v>
      </c>
      <c r="AE1025" s="11"/>
      <c r="AF1025" t="str">
        <v>Blythe.Odzinski@floridadep.gov</v>
      </c>
      <c r="AG1025" s="17" t="s">
        <v>17</v>
      </c>
      <c r="AH1025" s="12">
        <v>833</v>
      </c>
      <c r="AI1025" s="12" t="s">
        <v>3029</v>
      </c>
      <c r="AJ1025" s="19" t="s">
        <v>3030</v>
      </c>
      <c r="AK1025" s="20" t="str">
        <f>HYPERLINK("https://docs.google.com/document/d/1braqLx2SryVZcgPqNaQdwgU5HBkJHJC2UrqfjfyZQXY/edit?usp=drivesdk","Jessica Lee - 6/1/2023 7:45 AM")</f>
        <v>Jessica Lee - 6/1/2023 7:45 AM</v>
      </c>
      <c r="AL1025" s="12" t="s">
        <v>3031</v>
      </c>
    </row>
    <row r="1026" spans="1:38" ht="12.75">
      <c r="A1026" s="10">
        <f ca="1">IFERROR(__xludf.DUMMYFUNCTION("""COMPUTED_VALUE"""),45082.3783101273)</f>
        <v>45082.3783101273</v>
      </c>
      <c r="B1026" s="11" t="str">
        <f ca="1">IFERROR(__xludf.DUMMYFUNCTION("""COMPUTED_VALUE"""),"Shannon Dunnigan")</f>
        <v>Shannon Dunnigan</v>
      </c>
      <c r="C1026" t="str">
        <f ca="1">IFERROR(__xludf.DUMMYFUNCTION("""COMPUTED_VALUE"""),"shannon.dunnigan@dep.state.fl.us")</f>
        <v>shannon.dunnigan@dep.state.fl.us</v>
      </c>
      <c r="D1026" t="str">
        <f ca="1">IFERROR(__xludf.DUMMYFUNCTION("""COMPUTED_VALUE"""),"Shannon Dunnigan")</f>
        <v>Shannon Dunnigan</v>
      </c>
      <c r="E1026" t="str">
        <f ca="1">IFERROR(__xludf.DUMMYFUNCTION("""COMPUTED_VALUE"""),"Crane")</f>
        <v>Crane</v>
      </c>
      <c r="F1026" s="13">
        <f ca="1">IFERROR(__xludf.DUMMYFUNCTION("""COMPUTED_VALUE"""),0.39583333333212)</f>
        <v>0.39583333333212001</v>
      </c>
      <c r="G1026" s="14">
        <f ca="1">IFERROR(__xludf.DUMMYFUNCTION("""COMPUTED_VALUE"""),45082)</f>
        <v>45082</v>
      </c>
      <c r="H1026" t="str">
        <f ca="1">IFERROR(__xludf.DUMMYFUNCTION("""COMPUTED_VALUE"""),"ICW Sonde sites")</f>
        <v>ICW Sonde sites</v>
      </c>
      <c r="I1026" s="15">
        <f ca="1">IFERROR(__xludf.DUMMYFUNCTION("""COMPUTED_VALUE"""),0.604166666667879)</f>
        <v>0.60416666666787899</v>
      </c>
      <c r="J1026" s="16">
        <f ca="1">IFERROR(__xludf.DUMMYFUNCTION("""COMPUTED_VALUE"""),45082.6666666666)</f>
        <v>45082.666666666599</v>
      </c>
      <c r="K1026" t="str">
        <f ca="1">IFERROR(__xludf.DUMMYFUNCTION("""COMPUTED_VALUE"""),"20ft Sea Ark FL5351SJ UNF 2015")</f>
        <v>20ft Sea Ark FL5351SJ UNF 2015</v>
      </c>
      <c r="M1026" t="str">
        <f ca="1">IFERROR(__xludf.DUMMYFUNCTION("""COMPUTED_VALUE"""),"Ford F250 2017 (Moby Dix) - DEP0021578")</f>
        <v>Ford F250 2017 (Moby Dix) - DEP0021578</v>
      </c>
      <c r="N1026" t="str">
        <f ca="1">IFERROR(__xludf.DUMMYFUNCTION("""COMPUTED_VALUE"""),"Shannon Dunnigan, (803) 727-5734, Jacob Berna")</f>
        <v>Shannon Dunnigan, (803) 727-5734, Jacob Berna</v>
      </c>
      <c r="O1026" t="str">
        <f ca="1">IFERROR(__xludf.DUMMYFUNCTION("""COMPUTED_VALUE"""),"Avah Avonda")</f>
        <v>Avah Avonda</v>
      </c>
      <c r="P1026" t="str">
        <f ca="1">IFERROR(__xludf.DUMMYFUNCTION("""COMPUTED_VALUE"""),"Shannon ")</f>
        <v xml:space="preserve">Shannon </v>
      </c>
      <c r="AE1026" s="11"/>
      <c r="AF1026" t="str">
        <v>Shannon.Dunnigan@floridadep.gov</v>
      </c>
      <c r="AG1026" s="17" t="s">
        <v>17</v>
      </c>
      <c r="AH1026" s="12">
        <v>1354</v>
      </c>
      <c r="AI1026" s="12" t="s">
        <v>3032</v>
      </c>
      <c r="AJ1026" s="19" t="s">
        <v>3033</v>
      </c>
      <c r="AK1026" s="20" t="str">
        <f>HYPERLINK("https://docs.google.com/document/d/15jKXlIM7xkbNSuXitQYKXSHui1pHg4OjAtnh9Bnrxsw/edit?usp=drivesdk","Shannon Dunnigan - 6/5/2023 9:30 AM")</f>
        <v>Shannon Dunnigan - 6/5/2023 9:30 AM</v>
      </c>
      <c r="AL1026" s="12" t="s">
        <v>3034</v>
      </c>
    </row>
    <row r="1027" spans="1:38" ht="12.75">
      <c r="A1027" s="10">
        <f ca="1">IFERROR(__xludf.DUMMYFUNCTION("""COMPUTED_VALUE"""),45083.4133859606)</f>
        <v>45083.413385960601</v>
      </c>
      <c r="B1027" s="11" t="str">
        <f ca="1">IFERROR(__xludf.DUMMYFUNCTION("""COMPUTED_VALUE"""),"Jimmy")</f>
        <v>Jimmy</v>
      </c>
      <c r="C1027" t="str">
        <f ca="1">IFERROR(__xludf.DUMMYFUNCTION("""COMPUTED_VALUE"""),"james.tomazinis@floridadep.gov")</f>
        <v>james.tomazinis@floridadep.gov</v>
      </c>
      <c r="D1027" t="str">
        <f ca="1">IFERROR(__xludf.DUMMYFUNCTION("""COMPUTED_VALUE"""),"Blythe Odzinski")</f>
        <v>Blythe Odzinski</v>
      </c>
      <c r="E1027" t="str">
        <f ca="1">IFERROR(__xludf.DUMMYFUNCTION("""COMPUTED_VALUE"""),"Guana Dam")</f>
        <v>Guana Dam</v>
      </c>
      <c r="F1027" s="13">
        <f ca="1">IFERROR(__xludf.DUMMYFUNCTION("""COMPUTED_VALUE"""),0.4375)</f>
        <v>0.4375</v>
      </c>
      <c r="G1027" s="14">
        <f ca="1">IFERROR(__xludf.DUMMYFUNCTION("""COMPUTED_VALUE"""),45083)</f>
        <v>45083</v>
      </c>
      <c r="H1027" t="str">
        <f ca="1">IFERROR(__xludf.DUMMYFUNCTION("""COMPUTED_VALUE"""),"Guana River")</f>
        <v>Guana River</v>
      </c>
      <c r="I1027" s="15">
        <f ca="1">IFERROR(__xludf.DUMMYFUNCTION("""COMPUTED_VALUE"""),0.625)</f>
        <v>0.625</v>
      </c>
      <c r="J1027" s="16"/>
      <c r="K1027" t="str">
        <f ca="1">IFERROR(__xludf.DUMMYFUNCTION("""COMPUTED_VALUE"""),"Kayak(s)")</f>
        <v>Kayak(s)</v>
      </c>
      <c r="L1027">
        <f ca="1">IFERROR(__xludf.DUMMYFUNCTION("""COMPUTED_VALUE"""),3)</f>
        <v>3</v>
      </c>
      <c r="M1027" t="str">
        <f ca="1">IFERROR(__xludf.DUMMYFUNCTION("""COMPUTED_VALUE"""),"2022 NEAP F150")</f>
        <v>2022 NEAP F150</v>
      </c>
      <c r="N1027" t="str">
        <f ca="1">IFERROR(__xludf.DUMMYFUNCTION("""COMPUTED_VALUE"""),"Jimmy Tomazinis, (904) 547-0094")</f>
        <v>Jimmy Tomazinis, (904) 547-0094</v>
      </c>
      <c r="O1027" t="str">
        <f ca="1">IFERROR(__xludf.DUMMYFUNCTION("""COMPUTED_VALUE"""),"Nate and Hans")</f>
        <v>Nate and Hans</v>
      </c>
      <c r="P1027" t="str">
        <f ca="1">IFERROR(__xludf.DUMMYFUNCTION("""COMPUTED_VALUE"""),"Jimmy")</f>
        <v>Jimmy</v>
      </c>
      <c r="AE1027" s="11"/>
      <c r="AF1027" t="str">
        <v>Blythe.Odzinski@floridadep.gov</v>
      </c>
      <c r="AG1027" s="18"/>
      <c r="AI1027" s="12" t="s">
        <v>3035</v>
      </c>
      <c r="AJ1027" s="19" t="s">
        <v>3036</v>
      </c>
      <c r="AK1027" s="20" t="str">
        <f>HYPERLINK("https://docs.google.com/document/d/14y-kqLeNd1jKuXrFqJ92ypbzVIYKmNkqt7bVCLOq-wA/edit?usp=drivesdk","Jimmy - 6/6/2023 10:30 AM")</f>
        <v>Jimmy - 6/6/2023 10:30 AM</v>
      </c>
      <c r="AL1027" s="12" t="s">
        <v>3037</v>
      </c>
    </row>
    <row r="1028" spans="1:38" ht="12.75">
      <c r="A1028" s="10">
        <f ca="1">IFERROR(__xludf.DUMMYFUNCTION("""COMPUTED_VALUE"""),45083.4782767013)</f>
        <v>45083.478276701302</v>
      </c>
      <c r="B1028" s="11" t="str">
        <f ca="1">IFERROR(__xludf.DUMMYFUNCTION("""COMPUTED_VALUE"""),"TEST")</f>
        <v>TEST</v>
      </c>
      <c r="C1028" t="str">
        <f ca="1">IFERROR(__xludf.DUMMYFUNCTION("""COMPUTED_VALUE"""),"Shannon.Dunnigan@dep.state.fl.us")</f>
        <v>Shannon.Dunnigan@dep.state.fl.us</v>
      </c>
      <c r="D1028" t="str">
        <f ca="1">IFERROR(__xludf.DUMMYFUNCTION("""COMPUTED_VALUE"""),"Jessica Lee")</f>
        <v>Jessica Lee</v>
      </c>
      <c r="E1028" t="str">
        <f ca="1">IFERROR(__xludf.DUMMYFUNCTION("""COMPUTED_VALUE"""),"Guana Dam")</f>
        <v>Guana Dam</v>
      </c>
      <c r="F1028" s="13">
        <f ca="1">IFERROR(__xludf.DUMMYFUNCTION("""COMPUTED_VALUE"""),0.45833333333212)</f>
        <v>0.45833333333212001</v>
      </c>
      <c r="G1028" s="14">
        <f ca="1">IFERROR(__xludf.DUMMYFUNCTION("""COMPUTED_VALUE"""),45083)</f>
        <v>45083</v>
      </c>
      <c r="H1028" t="str">
        <f ca="1">IFERROR(__xludf.DUMMYFUNCTION("""COMPUTED_VALUE"""),"The Office")</f>
        <v>The Office</v>
      </c>
      <c r="I1028" s="15">
        <f ca="1">IFERROR(__xludf.DUMMYFUNCTION("""COMPUTED_VALUE"""),0.5)</f>
        <v>0.5</v>
      </c>
      <c r="J1028" s="16">
        <f ca="1">IFERROR(__xludf.DUMMYFUNCTION("""COMPUTED_VALUE"""),45083.5034722222)</f>
        <v>45083.503472222197</v>
      </c>
      <c r="K1028" t="str">
        <f ca="1">IFERROR(__xludf.DUMMYFUNCTION("""COMPUTED_VALUE"""),"Canoe(s)")</f>
        <v>Canoe(s)</v>
      </c>
      <c r="L1028">
        <f ca="1">IFERROR(__xludf.DUMMYFUNCTION("""COMPUTED_VALUE"""),1)</f>
        <v>1</v>
      </c>
      <c r="M1028" t="str">
        <f ca="1">IFERROR(__xludf.DUMMYFUNCTION("""COMPUTED_VALUE"""),"Ford Explorer 2019 (ML AP/Stewardship) - DEP21833")</f>
        <v>Ford Explorer 2019 (ML AP/Stewardship) - DEP21833</v>
      </c>
      <c r="N1028" t="str">
        <f ca="1">IFERROR(__xludf.DUMMYFUNCTION("""COMPUTED_VALUE"""),"Jacob Berna, (904) 392-1966, Shannon Dunnigan, (803) 727-5734")</f>
        <v>Jacob Berna, (904) 392-1966, Shannon Dunnigan, (803) 727-5734</v>
      </c>
      <c r="P1028" t="str">
        <f ca="1">IFERROR(__xludf.DUMMYFUNCTION("""COMPUTED_VALUE"""),"Jacob")</f>
        <v>Jacob</v>
      </c>
      <c r="AE1028" s="11"/>
      <c r="AF1028" t="str">
        <v>Jessica.Lee@floridadep.gov</v>
      </c>
      <c r="AG1028" s="17" t="s">
        <v>54</v>
      </c>
      <c r="AH1028" s="12" t="s">
        <v>278</v>
      </c>
      <c r="AI1028" s="12" t="s">
        <v>3038</v>
      </c>
      <c r="AJ1028" s="19" t="s">
        <v>3039</v>
      </c>
      <c r="AK1028" s="20" t="str">
        <f>HYPERLINK("https://docs.google.com/document/d/1iF1vByLSFz8UqR13nww9soYlKNY1IhTp2ZYRLzXauLQ/edit?usp=drivesdk","TEST - 6/6/2023 11:00 AM")</f>
        <v>TEST - 6/6/2023 11:00 AM</v>
      </c>
      <c r="AL1028" s="12" t="s">
        <v>3040</v>
      </c>
    </row>
    <row r="1029" spans="1:38" ht="12.75">
      <c r="A1029" s="10">
        <f ca="1">IFERROR(__xludf.DUMMYFUNCTION("""COMPUTED_VALUE"""),45083.4909826041)</f>
        <v>45083.490982604097</v>
      </c>
      <c r="B1029" s="11" t="str">
        <f ca="1">IFERROR(__xludf.DUMMYFUNCTION("""COMPUTED_VALUE"""),"TEST2")</f>
        <v>TEST2</v>
      </c>
      <c r="C1029" t="str">
        <f ca="1">IFERROR(__xludf.DUMMYFUNCTION("""COMPUTED_VALUE"""),"Shannon.Dunnigan@dep.state.fl.us")</f>
        <v>Shannon.Dunnigan@dep.state.fl.us</v>
      </c>
      <c r="D1029" t="str">
        <f ca="1">IFERROR(__xludf.DUMMYFUNCTION("""COMPUTED_VALUE"""),"Jessica Lee")</f>
        <v>Jessica Lee</v>
      </c>
      <c r="E1029" t="str">
        <f ca="1">IFERROR(__xludf.DUMMYFUNCTION("""COMPUTED_VALUE"""),"Palm Valley Boat Ramp")</f>
        <v>Palm Valley Boat Ramp</v>
      </c>
      <c r="F1029" s="13">
        <f ca="1">IFERROR(__xludf.DUMMYFUNCTION("""COMPUTED_VALUE"""),0.5)</f>
        <v>0.5</v>
      </c>
      <c r="G1029" s="14">
        <f ca="1">IFERROR(__xludf.DUMMYFUNCTION("""COMPUTED_VALUE"""),45083)</f>
        <v>45083</v>
      </c>
      <c r="H1029" t="str">
        <f ca="1">IFERROR(__xludf.DUMMYFUNCTION("""COMPUTED_VALUE"""),"Nowhere")</f>
        <v>Nowhere</v>
      </c>
      <c r="I1029" s="15">
        <f ca="1">IFERROR(__xludf.DUMMYFUNCTION("""COMPUTED_VALUE"""),0.541666666667879)</f>
        <v>0.54166666666787899</v>
      </c>
      <c r="J1029" s="16">
        <f ca="1">IFERROR(__xludf.DUMMYFUNCTION("""COMPUTED_VALUE"""),45083.5625)</f>
        <v>45083.5625</v>
      </c>
      <c r="K1029" t="str">
        <f ca="1">IFERROR(__xludf.DUMMYFUNCTION("""COMPUTED_VALUE"""),"F 20ft Sea Ark (Easy 200) FL8534PY DEP21451")</f>
        <v>F 20ft Sea Ark (Easy 200) FL8534PY DEP21451</v>
      </c>
      <c r="M1029" t="str">
        <f ca="1">IFERROR(__xludf.DUMMYFUNCTION("""COMPUTED_VALUE"""),"Ford F250 2017 (Moby Dix) - DEP0021578")</f>
        <v>Ford F250 2017 (Moby Dix) - DEP0021578</v>
      </c>
      <c r="N1029" t="str">
        <f ca="1">IFERROR(__xludf.DUMMYFUNCTION("""COMPUTED_VALUE"""),"Jacob Berna, (904) 392-1966, Shannon Dunnigan, (803) 727-5734")</f>
        <v>Jacob Berna, (904) 392-1966, Shannon Dunnigan, (803) 727-5734</v>
      </c>
      <c r="P1029" t="str">
        <f ca="1">IFERROR(__xludf.DUMMYFUNCTION("""COMPUTED_VALUE"""),"Shannon")</f>
        <v>Shannon</v>
      </c>
      <c r="AE1029" s="11"/>
      <c r="AF1029" t="str">
        <v>Jessica.Lee@floridadep.gov</v>
      </c>
      <c r="AG1029" s="17" t="s">
        <v>54</v>
      </c>
      <c r="AH1029" s="12" t="s">
        <v>278</v>
      </c>
      <c r="AI1029" s="12" t="s">
        <v>3041</v>
      </c>
      <c r="AJ1029" s="19" t="s">
        <v>3042</v>
      </c>
      <c r="AK1029" s="20" t="str">
        <f>HYPERLINK("https://docs.google.com/document/d/1ajHrTrKCT2Q7oI0yHsSlCla1cU-eibIp7XbVM5KMess/edit?usp=drivesdk","TEST2 - 6/6/2023 12:00 PM")</f>
        <v>TEST2 - 6/6/2023 12:00 PM</v>
      </c>
      <c r="AL1029" s="12" t="s">
        <v>3043</v>
      </c>
    </row>
    <row r="1030" spans="1:38" ht="12.75">
      <c r="A1030" s="10">
        <f ca="1">IFERROR(__xludf.DUMMYFUNCTION("""COMPUTED_VALUE"""),45083.5020141088)</f>
        <v>45083.502014108803</v>
      </c>
      <c r="B1030" s="11" t="str">
        <f ca="1">IFERROR(__xludf.DUMMYFUNCTION("""COMPUTED_VALUE"""),"TEST3")</f>
        <v>TEST3</v>
      </c>
      <c r="C1030" t="str">
        <f ca="1">IFERROR(__xludf.DUMMYFUNCTION("""COMPUTED_VALUE"""),"Shannon.Dunnigan@dep.state.fl.us")</f>
        <v>Shannon.Dunnigan@dep.state.fl.us</v>
      </c>
      <c r="D1030" t="str">
        <f ca="1">IFERROR(__xludf.DUMMYFUNCTION("""COMPUTED_VALUE"""),"Jessica Lee")</f>
        <v>Jessica Lee</v>
      </c>
      <c r="E1030" t="str">
        <f ca="1">IFERROR(__xludf.DUMMYFUNCTION("""COMPUTED_VALUE"""),"Bing's Landing")</f>
        <v>Bing's Landing</v>
      </c>
      <c r="F1030" s="13">
        <f ca="1">IFERROR(__xludf.DUMMYFUNCTION("""COMPUTED_VALUE"""),0.5)</f>
        <v>0.5</v>
      </c>
      <c r="G1030" s="14">
        <f ca="1">IFERROR(__xludf.DUMMYFUNCTION("""COMPUTED_VALUE"""),45083)</f>
        <v>45083</v>
      </c>
      <c r="H1030" t="str">
        <f ca="1">IFERROR(__xludf.DUMMYFUNCTION("""COMPUTED_VALUE"""),"Nowhere, this is a test of the float plan update")</f>
        <v>Nowhere, this is a test of the float plan update</v>
      </c>
      <c r="I1030" s="15">
        <f ca="1">IFERROR(__xludf.DUMMYFUNCTION("""COMPUTED_VALUE"""),0.542361111110949)</f>
        <v>0.54236111111094898</v>
      </c>
      <c r="J1030" s="16">
        <f ca="1">IFERROR(__xludf.DUMMYFUNCTION("""COMPUTED_VALUE"""),0.5625)</f>
        <v>0.5625</v>
      </c>
      <c r="K1030" t="str">
        <f ca="1">IFERROR(__xludf.DUMMYFUNCTION("""COMPUTED_VALUE"""),"F 20ft Sea Ark (Easy 200) FL8534PY DEP21451")</f>
        <v>F 20ft Sea Ark (Easy 200) FL8534PY DEP21451</v>
      </c>
      <c r="M1030" t="str">
        <f ca="1">IFERROR(__xludf.DUMMYFUNCTION("""COMPUTED_VALUE"""),"Ford F250 2017 (Moby Dix) - DEP0021578")</f>
        <v>Ford F250 2017 (Moby Dix) - DEP0021578</v>
      </c>
      <c r="N1030" t="str">
        <f ca="1">IFERROR(__xludf.DUMMYFUNCTION("""COMPUTED_VALUE"""),"Jacob Berna, (904) 392-1966, Jessica Lee, (813) 748-2228")</f>
        <v>Jacob Berna, (904) 392-1966, Jessica Lee, (813) 748-2228</v>
      </c>
      <c r="P1030" t="str">
        <f ca="1">IFERROR(__xludf.DUMMYFUNCTION("""COMPUTED_VALUE"""),"Shannon")</f>
        <v>Shannon</v>
      </c>
      <c r="AE1030" s="11"/>
      <c r="AF1030" t="str">
        <v>Jessica.Lee@floridadep.gov</v>
      </c>
      <c r="AG1030" s="17" t="s">
        <v>54</v>
      </c>
      <c r="AH1030" s="12" t="s">
        <v>278</v>
      </c>
      <c r="AI1030" s="12" t="s">
        <v>3044</v>
      </c>
      <c r="AJ1030" s="19" t="s">
        <v>3045</v>
      </c>
      <c r="AK1030" s="20" t="str">
        <f>HYPERLINK("https://docs.google.com/document/d/1FW_xJVJ2zZByfz2rrHPuKHIhy_200BWxUu1w-msZRnY/edit?usp=drivesdk","TEST3 - 6/6/2023 12:00 PM")</f>
        <v>TEST3 - 6/6/2023 12:00 PM</v>
      </c>
      <c r="AL1030" s="12" t="s">
        <v>3046</v>
      </c>
    </row>
    <row r="1031" spans="1:38" ht="12.75">
      <c r="A1031" s="10">
        <f ca="1">IFERROR(__xludf.DUMMYFUNCTION("""COMPUTED_VALUE"""),45083.5065007407)</f>
        <v>45083.506500740703</v>
      </c>
      <c r="B1031" s="11" t="str">
        <f ca="1">IFERROR(__xludf.DUMMYFUNCTION("""COMPUTED_VALUE"""),"TEST4")</f>
        <v>TEST4</v>
      </c>
      <c r="C1031" t="str">
        <f ca="1">IFERROR(__xludf.DUMMYFUNCTION("""COMPUTED_VALUE"""),"Shannon.Dunnigan@dep.state.fl.us")</f>
        <v>Shannon.Dunnigan@dep.state.fl.us</v>
      </c>
      <c r="D1031" t="str">
        <f ca="1">IFERROR(__xludf.DUMMYFUNCTION("""COMPUTED_VALUE"""),"Shannon Dunnigan")</f>
        <v>Shannon Dunnigan</v>
      </c>
      <c r="E1031" t="str">
        <f ca="1">IFERROR(__xludf.DUMMYFUNCTION("""COMPUTED_VALUE"""),"Palm Valley Boat Ramp")</f>
        <v>Palm Valley Boat Ramp</v>
      </c>
      <c r="F1031" s="13">
        <f ca="1">IFERROR(__xludf.DUMMYFUNCTION("""COMPUTED_VALUE"""),0.252083333332848)</f>
        <v>0.25208333333284799</v>
      </c>
      <c r="G1031" s="14">
        <f ca="1">IFERROR(__xludf.DUMMYFUNCTION("""COMPUTED_VALUE"""),45083)</f>
        <v>45083</v>
      </c>
      <c r="H1031" t="str">
        <f ca="1">IFERROR(__xludf.DUMMYFUNCTION("""COMPUTED_VALUE"""),"Nowhere, this is a test")</f>
        <v>Nowhere, this is a test</v>
      </c>
      <c r="I1031" s="15">
        <f ca="1">IFERROR(__xludf.DUMMYFUNCTION("""COMPUTED_VALUE"""),0.211805555554747)</f>
        <v>0.211805555554747</v>
      </c>
      <c r="J1031" s="16">
        <f ca="1">IFERROR(__xludf.DUMMYFUNCTION("""COMPUTED_VALUE"""),0.211805555554747)</f>
        <v>0.211805555554747</v>
      </c>
      <c r="K1031" t="str">
        <f ca="1">IFERROR(__xludf.DUMMYFUNCTION("""COMPUTED_VALUE"""),"F 20ft Sea Ark (Easy 200) FL8534PY DEP21451")</f>
        <v>F 20ft Sea Ark (Easy 200) FL8534PY DEP21451</v>
      </c>
      <c r="M1031" t="str">
        <f ca="1">IFERROR(__xludf.DUMMYFUNCTION("""COMPUTED_VALUE"""),"Ford F250 2017 (Moby Dix) - DEP0021578")</f>
        <v>Ford F250 2017 (Moby Dix) - DEP0021578</v>
      </c>
      <c r="N1031" t="str">
        <f ca="1">IFERROR(__xludf.DUMMYFUNCTION("""COMPUTED_VALUE"""),"Jacob Berna, (904) 392-1966")</f>
        <v>Jacob Berna, (904) 392-1966</v>
      </c>
      <c r="P1031" t="str">
        <f ca="1">IFERROR(__xludf.DUMMYFUNCTION("""COMPUTED_VALUE"""),"Shannon")</f>
        <v>Shannon</v>
      </c>
      <c r="AE1031" s="11"/>
      <c r="AF1031" t="str">
        <v>Shannon.Dunnigan@floridadep.gov</v>
      </c>
      <c r="AG1031" s="17" t="s">
        <v>54</v>
      </c>
      <c r="AH1031" s="12" t="s">
        <v>278</v>
      </c>
      <c r="AI1031" s="12" t="s">
        <v>3047</v>
      </c>
      <c r="AJ1031" s="19" t="s">
        <v>3048</v>
      </c>
      <c r="AK1031" s="20" t="str">
        <f>HYPERLINK("https://docs.google.com/document/d/100yr0OhUh7TuisaJMg88LU2HbmxxvJDUmscBreyYt3U/edit?usp=drivesdk","TEST4 - 6/6/2023 6:03 AM")</f>
        <v>TEST4 - 6/6/2023 6:03 AM</v>
      </c>
      <c r="AL1031" s="12" t="s">
        <v>3049</v>
      </c>
    </row>
    <row r="1032" spans="1:38" ht="12.75">
      <c r="A1032" s="10">
        <f ca="1">IFERROR(__xludf.DUMMYFUNCTION("""COMPUTED_VALUE"""),45083.5077525)</f>
        <v>45083.507752500002</v>
      </c>
      <c r="B1032" s="11" t="str">
        <f ca="1">IFERROR(__xludf.DUMMYFUNCTION("""COMPUTED_VALUE"""),"TEST5")</f>
        <v>TEST5</v>
      </c>
      <c r="C1032" t="str">
        <f ca="1">IFERROR(__xludf.DUMMYFUNCTION("""COMPUTED_VALUE"""),"Shannon.Dunnigan@dep.state.fl.us")</f>
        <v>Shannon.Dunnigan@dep.state.fl.us</v>
      </c>
      <c r="D1032" t="str">
        <f ca="1">IFERROR(__xludf.DUMMYFUNCTION("""COMPUTED_VALUE"""),"Blythe Odzinski")</f>
        <v>Blythe Odzinski</v>
      </c>
      <c r="E1032" t="str">
        <f ca="1">IFERROR(__xludf.DUMMYFUNCTION("""COMPUTED_VALUE"""),"Guana Dam")</f>
        <v>Guana Dam</v>
      </c>
      <c r="F1032" s="13">
        <f ca="1">IFERROR(__xludf.DUMMYFUNCTION("""COMPUTED_VALUE"""),0.381249999998544)</f>
        <v>0.38124999999854398</v>
      </c>
      <c r="G1032" s="14">
        <f ca="1">IFERROR(__xludf.DUMMYFUNCTION("""COMPUTED_VALUE"""),45083)</f>
        <v>45083</v>
      </c>
      <c r="H1032" t="str">
        <f ca="1">IFERROR(__xludf.DUMMYFUNCTION("""COMPUTED_VALUE"""),"Nowhere, this is a test ")</f>
        <v xml:space="preserve">Nowhere, this is a test </v>
      </c>
      <c r="I1032" s="15">
        <f ca="1">IFERROR(__xludf.DUMMYFUNCTION("""COMPUTED_VALUE"""),0.211805555554747)</f>
        <v>0.211805555554747</v>
      </c>
      <c r="J1032" s="16">
        <f ca="1">IFERROR(__xludf.DUMMYFUNCTION("""COMPUTED_VALUE"""),0.211805555554747)</f>
        <v>0.211805555554747</v>
      </c>
      <c r="K1032" t="str">
        <f ca="1">IFERROR(__xludf.DUMMYFUNCTION("""COMPUTED_VALUE"""),"F 20ft Sea Ark (Easy 200) FL8534PY DEP21451")</f>
        <v>F 20ft Sea Ark (Easy 200) FL8534PY DEP21451</v>
      </c>
      <c r="M1032" t="str">
        <f ca="1">IFERROR(__xludf.DUMMYFUNCTION("""COMPUTED_VALUE"""),"Ford F250 2017 (Moby Dix) - DEP0021578")</f>
        <v>Ford F250 2017 (Moby Dix) - DEP0021578</v>
      </c>
      <c r="N1032" t="str">
        <f ca="1">IFERROR(__xludf.DUMMYFUNCTION("""COMPUTED_VALUE"""),"Jacob Berna, (904) 392-1966")</f>
        <v>Jacob Berna, (904) 392-1966</v>
      </c>
      <c r="P1032" t="str">
        <f ca="1">IFERROR(__xludf.DUMMYFUNCTION("""COMPUTED_VALUE"""),"Shannon")</f>
        <v>Shannon</v>
      </c>
      <c r="AE1032" s="11"/>
      <c r="AF1032" t="str">
        <v>Blythe.Odzinski@floridadep.gov</v>
      </c>
      <c r="AG1032" s="17" t="s">
        <v>54</v>
      </c>
      <c r="AH1032" s="12" t="s">
        <v>278</v>
      </c>
      <c r="AI1032" s="12" t="s">
        <v>3050</v>
      </c>
      <c r="AJ1032" s="19" t="s">
        <v>3051</v>
      </c>
      <c r="AK1032" s="20" t="str">
        <f>HYPERLINK("https://docs.google.com/document/d/1KNCZLl_ZY3EhKcrEBZDY2qR3MPmRxQavlZuUjYB4Qug/edit?usp=drivesdk","TEST5 - 6/6/2023 9:09 AM")</f>
        <v>TEST5 - 6/6/2023 9:09 AM</v>
      </c>
      <c r="AL1032" s="12" t="s">
        <v>3052</v>
      </c>
    </row>
    <row r="1033" spans="1:38" ht="12.75">
      <c r="A1033" s="10">
        <f ca="1">IFERROR(__xludf.DUMMYFUNCTION("""COMPUTED_VALUE"""),45083.5108640856)</f>
        <v>45083.510864085598</v>
      </c>
      <c r="B1033" s="11" t="str">
        <f ca="1">IFERROR(__xludf.DUMMYFUNCTION("""COMPUTED_VALUE"""),"TEST6")</f>
        <v>TEST6</v>
      </c>
      <c r="C1033" t="str">
        <f ca="1">IFERROR(__xludf.DUMMYFUNCTION("""COMPUTED_VALUE"""),"Shannon.Dunnigan@dep.state.fl.us")</f>
        <v>Shannon.Dunnigan@dep.state.fl.us</v>
      </c>
      <c r="D1033" t="str">
        <f ca="1">IFERROR(__xludf.DUMMYFUNCTION("""COMPUTED_VALUE"""),"Blythe Odzinski")</f>
        <v>Blythe Odzinski</v>
      </c>
      <c r="E1033" t="str">
        <f ca="1">IFERROR(__xludf.DUMMYFUNCTION("""COMPUTED_VALUE"""),"Palm Valley Boat Ramp")</f>
        <v>Palm Valley Boat Ramp</v>
      </c>
      <c r="F1033" s="13">
        <f ca="1">IFERROR(__xludf.DUMMYFUNCTION("""COMPUTED_VALUE"""),0)</f>
        <v>0</v>
      </c>
      <c r="G1033" s="14">
        <f ca="1">IFERROR(__xludf.DUMMYFUNCTION("""COMPUTED_VALUE"""),45083)</f>
        <v>45083</v>
      </c>
      <c r="H1033" t="str">
        <f ca="1">IFERROR(__xludf.DUMMYFUNCTION("""COMPUTED_VALUE"""),"Nowhere, this is a test")</f>
        <v>Nowhere, this is a test</v>
      </c>
      <c r="I1033" s="15">
        <f ca="1">IFERROR(__xludf.DUMMYFUNCTION("""COMPUTED_VALUE"""),0)</f>
        <v>0</v>
      </c>
      <c r="J1033" s="16">
        <f ca="1">IFERROR(__xludf.DUMMYFUNCTION("""COMPUTED_VALUE"""),0.0416666666678793)</f>
        <v>4.1666666667879299E-2</v>
      </c>
      <c r="K1033" t="str">
        <f ca="1">IFERROR(__xludf.DUMMYFUNCTION("""COMPUTED_VALUE"""),"F 20ft Sea Ark (Easy 200) FL8534PY DEP21451")</f>
        <v>F 20ft Sea Ark (Easy 200) FL8534PY DEP21451</v>
      </c>
      <c r="M1033" t="str">
        <f ca="1">IFERROR(__xludf.DUMMYFUNCTION("""COMPUTED_VALUE"""),"Ford F250 2017 (Moby Dix) - DEP0021578")</f>
        <v>Ford F250 2017 (Moby Dix) - DEP0021578</v>
      </c>
      <c r="N1033" t="str">
        <f ca="1">IFERROR(__xludf.DUMMYFUNCTION("""COMPUTED_VALUE"""),"Jessica Lee, (813) 748-2228")</f>
        <v>Jessica Lee, (813) 748-2228</v>
      </c>
      <c r="P1033" t="str">
        <f ca="1">IFERROR(__xludf.DUMMYFUNCTION("""COMPUTED_VALUE"""),"TEST6")</f>
        <v>TEST6</v>
      </c>
      <c r="AE1033" s="11"/>
      <c r="AF1033" t="str">
        <v>Blythe.Odzinski@floridadep.gov</v>
      </c>
      <c r="AG1033" s="17" t="s">
        <v>54</v>
      </c>
      <c r="AH1033" s="12" t="s">
        <v>278</v>
      </c>
      <c r="AI1033" s="12" t="s">
        <v>3053</v>
      </c>
      <c r="AJ1033" s="19" t="s">
        <v>3054</v>
      </c>
      <c r="AK1033" s="20" t="str">
        <f>HYPERLINK("https://docs.google.com/document/d/18AGevNj9cRT7yTQrcorCYy_POfI6GLB178Ewi8xpVV0/edit?usp=drivesdk","TEST6 - 6/6/2023 12:00 AM")</f>
        <v>TEST6 - 6/6/2023 12:00 AM</v>
      </c>
      <c r="AL1033" s="12" t="s">
        <v>3055</v>
      </c>
    </row>
    <row r="1034" spans="1:38" ht="12.75">
      <c r="A1034" s="10">
        <f ca="1">IFERROR(__xludf.DUMMYFUNCTION("""COMPUTED_VALUE"""),45083.5131900115)</f>
        <v>45083.513190011501</v>
      </c>
      <c r="B1034" s="11" t="str">
        <f ca="1">IFERROR(__xludf.DUMMYFUNCTION("""COMPUTED_VALUE"""),"TEST7")</f>
        <v>TEST7</v>
      </c>
      <c r="C1034" t="str">
        <f ca="1">IFERROR(__xludf.DUMMYFUNCTION("""COMPUTED_VALUE"""),"Shannon.Dunnigan@dep.state.fl.us")</f>
        <v>Shannon.Dunnigan@dep.state.fl.us</v>
      </c>
      <c r="D1034" t="str">
        <f ca="1">IFERROR(__xludf.DUMMYFUNCTION("""COMPUTED_VALUE"""),"Jessica Lee")</f>
        <v>Jessica Lee</v>
      </c>
      <c r="E1034" t="str">
        <f ca="1">IFERROR(__xludf.DUMMYFUNCTION("""COMPUTED_VALUE"""),"Palm Valley Boat Ramp")</f>
        <v>Palm Valley Boat Ramp</v>
      </c>
      <c r="F1034" s="13">
        <f ca="1">IFERROR(__xludf.DUMMYFUNCTION("""COMPUTED_VALUE"""),0.0423611111109494)</f>
        <v>4.2361111110949402E-2</v>
      </c>
      <c r="G1034" s="14">
        <f ca="1">IFERROR(__xludf.DUMMYFUNCTION("""COMPUTED_VALUE"""),45083)</f>
        <v>45083</v>
      </c>
      <c r="H1034" t="str">
        <f ca="1">IFERROR(__xludf.DUMMYFUNCTION("""COMPUTED_VALUE"""),"Nowhere, this is a test")</f>
        <v>Nowhere, this is a test</v>
      </c>
      <c r="I1034" s="15">
        <f ca="1">IFERROR(__xludf.DUMMYFUNCTION("""COMPUTED_VALUE"""),0.0423611111109494)</f>
        <v>4.2361111110949402E-2</v>
      </c>
      <c r="J1034" s="16">
        <f ca="1">IFERROR(__xludf.DUMMYFUNCTION("""COMPUTED_VALUE"""),0.0423611111109494)</f>
        <v>4.2361111110949402E-2</v>
      </c>
      <c r="K1034" t="str">
        <f ca="1">IFERROR(__xludf.DUMMYFUNCTION("""COMPUTED_VALUE"""),"F 20ft Sea Ark (Easy 200) FL8534PY DEP21451")</f>
        <v>F 20ft Sea Ark (Easy 200) FL8534PY DEP21451</v>
      </c>
      <c r="M1034" t="str">
        <f ca="1">IFERROR(__xludf.DUMMYFUNCTION("""COMPUTED_VALUE"""),"Ford F250 2017 (Moby Dix) - DEP0021578")</f>
        <v>Ford F250 2017 (Moby Dix) - DEP0021578</v>
      </c>
      <c r="N1034" t="str">
        <f ca="1">IFERROR(__xludf.DUMMYFUNCTION("""COMPUTED_VALUE"""),"Jacob Berna, (904) 392-1966")</f>
        <v>Jacob Berna, (904) 392-1966</v>
      </c>
      <c r="P1034" t="str">
        <f ca="1">IFERROR(__xludf.DUMMYFUNCTION("""COMPUTED_VALUE"""),"TEST")</f>
        <v>TEST</v>
      </c>
      <c r="AE1034" s="11"/>
      <c r="AF1034" t="str">
        <v>Jessica.Lee@floridadep.gov</v>
      </c>
      <c r="AG1034" s="17" t="s">
        <v>54</v>
      </c>
      <c r="AH1034" s="12" t="s">
        <v>278</v>
      </c>
      <c r="AI1034" s="12" t="s">
        <v>3056</v>
      </c>
      <c r="AJ1034" s="19" t="s">
        <v>3057</v>
      </c>
      <c r="AK1034" s="20" t="str">
        <f>HYPERLINK("https://docs.google.com/document/d/1PChf2JfilFwD0GmROtkVICm_o_Hvb53_-8F3F1zIV1A/edit?usp=drivesdk","TEST7 - 6/6/2023 1:01 AM")</f>
        <v>TEST7 - 6/6/2023 1:01 AM</v>
      </c>
      <c r="AL1034" s="12" t="s">
        <v>3058</v>
      </c>
    </row>
    <row r="1035" spans="1:38" ht="12.75">
      <c r="A1035" s="10">
        <f ca="1">IFERROR(__xludf.DUMMYFUNCTION("""COMPUTED_VALUE"""),45084.339477037)</f>
        <v>45084.339477037</v>
      </c>
      <c r="B1035" s="11" t="str">
        <f ca="1">IFERROR(__xludf.DUMMYFUNCTION("""COMPUTED_VALUE"""),"Jacob Berna")</f>
        <v>Jacob Berna</v>
      </c>
      <c r="C1035" t="str">
        <f ca="1">IFERROR(__xludf.DUMMYFUNCTION("""COMPUTED_VALUE"""),"Jacob.Berna@FloridaDEP.gov")</f>
        <v>Jacob.Berna@FloridaDEP.gov</v>
      </c>
      <c r="D1035" t="str">
        <f ca="1">IFERROR(__xludf.DUMMYFUNCTION("""COMPUTED_VALUE"""),"Blythe Odzinski")</f>
        <v>Blythe Odzinski</v>
      </c>
      <c r="E1035" t="str">
        <f ca="1">IFERROR(__xludf.DUMMYFUNCTION("""COMPUTED_VALUE"""),"Faver-Dykes State Park Boat Ramp")</f>
        <v>Faver-Dykes State Park Boat Ramp</v>
      </c>
      <c r="F1035" s="13">
        <f ca="1">IFERROR(__xludf.DUMMYFUNCTION("""COMPUTED_VALUE"""),0.33333333333212)</f>
        <v>0.33333333333212001</v>
      </c>
      <c r="G1035" s="14">
        <f ca="1">IFERROR(__xludf.DUMMYFUNCTION("""COMPUTED_VALUE"""),45084)</f>
        <v>45084</v>
      </c>
      <c r="H1035" t="str">
        <f ca="1">IFERROR(__xludf.DUMMYFUNCTION("""COMPUTED_VALUE"""),"Pc Transects ")</f>
        <v xml:space="preserve">Pc Transects </v>
      </c>
      <c r="I1035" s="15">
        <f ca="1">IFERROR(__xludf.DUMMYFUNCTION("""COMPUTED_VALUE"""),0.58333333333212)</f>
        <v>0.58333333333212001</v>
      </c>
      <c r="J1035" s="16">
        <f ca="1">IFERROR(__xludf.DUMMYFUNCTION("""COMPUTED_VALUE"""),45084.625)</f>
        <v>45084.625</v>
      </c>
      <c r="K1035" t="str">
        <f ca="1">IFERROR(__xludf.DUMMYFUNCTION("""COMPUTED_VALUE"""),"20ft Sea Ark FL5351SJ UNF 2015")</f>
        <v>20ft Sea Ark FL5351SJ UNF 2015</v>
      </c>
      <c r="M1035" t="str">
        <f ca="1">IFERROR(__xludf.DUMMYFUNCTION("""COMPUTED_VALUE"""),"Ford F250 2017 (Moby Dix) - DEP0021578")</f>
        <v>Ford F250 2017 (Moby Dix) - DEP0021578</v>
      </c>
      <c r="N1035" t="str">
        <f ca="1">IFERROR(__xludf.DUMMYFUNCTION("""COMPUTED_VALUE"""),"Jacob Berna, (904) 392-1966")</f>
        <v>Jacob Berna, (904) 392-1966</v>
      </c>
      <c r="O1035" t="str">
        <f ca="1">IFERROR(__xludf.DUMMYFUNCTION("""COMPUTED_VALUE"""),"Hans Prevost, Avah")</f>
        <v>Hans Prevost, Avah</v>
      </c>
      <c r="P1035" t="str">
        <f ca="1">IFERROR(__xludf.DUMMYFUNCTION("""COMPUTED_VALUE"""),"Jacob Berna")</f>
        <v>Jacob Berna</v>
      </c>
      <c r="AE1035" s="11"/>
      <c r="AF1035" t="str">
        <v>Blythe.Odzinski@floridadep.gov</v>
      </c>
      <c r="AG1035" s="17" t="s">
        <v>17</v>
      </c>
      <c r="AH1035" s="12">
        <v>1340</v>
      </c>
      <c r="AI1035" s="12" t="s">
        <v>3059</v>
      </c>
      <c r="AJ1035" s="19" t="s">
        <v>3060</v>
      </c>
      <c r="AK1035" s="20" t="str">
        <f>HYPERLINK("https://docs.google.com/document/d/1TlsiSVWl3HOSvQ0D7IQkq-FOeuy_nynVEaXSeX96qz0/edit?usp=drivesdk","Jacob Berna - 6/7/2023 8:00 AM")</f>
        <v>Jacob Berna - 6/7/2023 8:00 AM</v>
      </c>
      <c r="AL1035" s="12" t="s">
        <v>3061</v>
      </c>
    </row>
    <row r="1036" spans="1:38" ht="12.75">
      <c r="A1036" s="10">
        <f ca="1">IFERROR(__xludf.DUMMYFUNCTION("""COMPUTED_VALUE"""),45084.3421329282)</f>
        <v>45084.342132928199</v>
      </c>
      <c r="B1036" s="11" t="str">
        <f ca="1">IFERROR(__xludf.DUMMYFUNCTION("""COMPUTED_VALUE"""),"Jimmy")</f>
        <v>Jimmy</v>
      </c>
      <c r="C1036" t="str">
        <f ca="1">IFERROR(__xludf.DUMMYFUNCTION("""COMPUTED_VALUE"""),"james.tomazinis@floridadep.gov")</f>
        <v>james.tomazinis@floridadep.gov</v>
      </c>
      <c r="D1036" t="str">
        <f ca="1">IFERROR(__xludf.DUMMYFUNCTION("""COMPUTED_VALUE"""),"Blythe Odzinski")</f>
        <v>Blythe Odzinski</v>
      </c>
      <c r="E1036" t="str">
        <f ca="1">IFERROR(__xludf.DUMMYFUNCTION("""COMPUTED_VALUE"""),"Dee Dee Bartels and Holly Point")</f>
        <v>Dee Dee Bartels and Holly Point</v>
      </c>
      <c r="F1036" s="13">
        <f ca="1">IFERROR(__xludf.DUMMYFUNCTION("""COMPUTED_VALUE"""),0.42708333333212)</f>
        <v>0.42708333333212001</v>
      </c>
      <c r="G1036" s="14">
        <f ca="1">IFERROR(__xludf.DUMMYFUNCTION("""COMPUTED_VALUE"""),45084)</f>
        <v>45084</v>
      </c>
      <c r="H1036" t="str">
        <f ca="1">IFERROR(__xludf.DUMMYFUNCTION("""COMPUTED_VALUE"""),"NEAP WQ Sites ")</f>
        <v xml:space="preserve">NEAP WQ Sites </v>
      </c>
      <c r="I1036" s="15">
        <f ca="1">IFERROR(__xludf.DUMMYFUNCTION("""COMPUTED_VALUE"""),0.14583333333212)</f>
        <v>0.14583333333212001</v>
      </c>
      <c r="J1036" s="16"/>
      <c r="K1036" t="str">
        <f ca="1">IFERROR(__xludf.DUMMYFUNCTION("""COMPUTED_VALUE"""),"F 20ft Sea Ark (Easy 200) FL8534PY DEP21451")</f>
        <v>F 20ft Sea Ark (Easy 200) FL8534PY DEP21451</v>
      </c>
      <c r="M1036" t="str">
        <f ca="1">IFERROR(__xludf.DUMMYFUNCTION("""COMPUTED_VALUE"""),"2022 NEAP 150")</f>
        <v>2022 NEAP 150</v>
      </c>
      <c r="N1036" t="str">
        <f ca="1">IFERROR(__xludf.DUMMYFUNCTION("""COMPUTED_VALUE"""),"Jimmy Tomazinis, (904) 547-0094")</f>
        <v>Jimmy Tomazinis, (904) 547-0094</v>
      </c>
      <c r="O1036" t="str">
        <f ca="1">IFERROR(__xludf.DUMMYFUNCTION("""COMPUTED_VALUE"""),"Chris Kurtz")</f>
        <v>Chris Kurtz</v>
      </c>
      <c r="P1036" t="str">
        <f ca="1">IFERROR(__xludf.DUMMYFUNCTION("""COMPUTED_VALUE"""),"Jimmy")</f>
        <v>Jimmy</v>
      </c>
      <c r="AE1036" s="11"/>
      <c r="AF1036" t="str">
        <v>Blythe.Odzinski@floridadep.gov</v>
      </c>
      <c r="AG1036" s="17" t="s">
        <v>17</v>
      </c>
      <c r="AH1036" s="12">
        <v>1530</v>
      </c>
      <c r="AI1036" s="12" t="s">
        <v>3062</v>
      </c>
      <c r="AJ1036" s="19" t="s">
        <v>3063</v>
      </c>
      <c r="AK1036" s="20" t="str">
        <f>HYPERLINK("https://docs.google.com/document/d/1ePki7qRN0lHztB_4KAvGVVQNaLT1lKhdLgQI8uE0at8/edit?usp=drivesdk","Jimmy - 6/7/2023 10:15 AM")</f>
        <v>Jimmy - 6/7/2023 10:15 AM</v>
      </c>
      <c r="AL1036" s="12" t="s">
        <v>3064</v>
      </c>
    </row>
    <row r="1037" spans="1:38" ht="12.75">
      <c r="A1037" s="10">
        <f ca="1">IFERROR(__xludf.DUMMYFUNCTION("""COMPUTED_VALUE"""),45085.3474965972)</f>
        <v>45085.347496597198</v>
      </c>
      <c r="B1037" s="11" t="str">
        <f ca="1">IFERROR(__xludf.DUMMYFUNCTION("""COMPUTED_VALUE"""),"Hans Prevost ")</f>
        <v xml:space="preserve">Hans Prevost </v>
      </c>
      <c r="C1037" t="str">
        <f ca="1">IFERROR(__xludf.DUMMYFUNCTION("""COMPUTED_VALUE"""),"hans.prevost@floridadep.gov")</f>
        <v>hans.prevost@floridadep.gov</v>
      </c>
      <c r="D1037" t="str">
        <f ca="1">IFERROR(__xludf.DUMMYFUNCTION("""COMPUTED_VALUE"""),"Shannon Dunnigan")</f>
        <v>Shannon Dunnigan</v>
      </c>
      <c r="E1037" t="str">
        <f ca="1">IFERROR(__xludf.DUMMYFUNCTION("""COMPUTED_VALUE"""),"Faver-Dykes State Park Boat Ramp")</f>
        <v>Faver-Dykes State Park Boat Ramp</v>
      </c>
      <c r="F1037" s="13">
        <f ca="1">IFERROR(__xludf.DUMMYFUNCTION("""COMPUTED_VALUE"""),0.375)</f>
        <v>0.375</v>
      </c>
      <c r="G1037" s="14">
        <f ca="1">IFERROR(__xludf.DUMMYFUNCTION("""COMPUTED_VALUE"""),45085)</f>
        <v>45085</v>
      </c>
      <c r="H1037" t="str">
        <f ca="1">IFERROR(__xludf.DUMMYFUNCTION("""COMPUTED_VALUE"""),"PC middle transect ")</f>
        <v xml:space="preserve">PC middle transect </v>
      </c>
      <c r="I1037" s="15">
        <f ca="1">IFERROR(__xludf.DUMMYFUNCTION("""COMPUTED_VALUE"""),0.625)</f>
        <v>0.625</v>
      </c>
      <c r="J1037" s="16">
        <f ca="1">IFERROR(__xludf.DUMMYFUNCTION("""COMPUTED_VALUE"""),45085.6666666666)</f>
        <v>45085.666666666599</v>
      </c>
      <c r="K1037" t="str">
        <f ca="1">IFERROR(__xludf.DUMMYFUNCTION("""COMPUTED_VALUE"""),"20ft Sea Ark FL5351SJ UNF 2015")</f>
        <v>20ft Sea Ark FL5351SJ UNF 2015</v>
      </c>
      <c r="M1037" t="str">
        <f ca="1">IFERROR(__xludf.DUMMYFUNCTION("""COMPUTED_VALUE"""),"Ford F250 2017 (Moby Dix) - DEP0021578")</f>
        <v>Ford F250 2017 (Moby Dix) - DEP0021578</v>
      </c>
      <c r="N1037" t="str">
        <f ca="1">IFERROR(__xludf.DUMMYFUNCTION("""COMPUTED_VALUE"""),"Jacob Berna, (904) 392-1966")</f>
        <v>Jacob Berna, (904) 392-1966</v>
      </c>
      <c r="O1037" t="str">
        <f ca="1">IFERROR(__xludf.DUMMYFUNCTION("""COMPUTED_VALUE"""),"Hans Prevost, Avah Avonda ")</f>
        <v xml:space="preserve">Hans Prevost, Avah Avonda </v>
      </c>
      <c r="P1037" t="str">
        <f ca="1">IFERROR(__xludf.DUMMYFUNCTION("""COMPUTED_VALUE"""),"Jacob Berna ")</f>
        <v xml:space="preserve">Jacob Berna </v>
      </c>
      <c r="AE1037" s="11"/>
      <c r="AF1037" t="str">
        <v>Shannon.Dunnigan@floridadep.gov</v>
      </c>
      <c r="AG1037" s="17" t="s">
        <v>639</v>
      </c>
      <c r="AH1037" s="12">
        <v>1245</v>
      </c>
      <c r="AI1037" s="12" t="s">
        <v>3065</v>
      </c>
      <c r="AJ1037" s="19" t="s">
        <v>3066</v>
      </c>
      <c r="AK1037" s="20" t="str">
        <f>HYPERLINK("https://docs.google.com/document/d/1T7BSaPkOG9Yr-TUty7cKfy0mrTo0kEQuEUKJhw6hMKg/edit?usp=drivesdk","Hans Prevost  - 6/8/2023 9:00 AM")</f>
        <v>Hans Prevost  - 6/8/2023 9:00 AM</v>
      </c>
      <c r="AL1037" s="12" t="s">
        <v>3067</v>
      </c>
    </row>
    <row r="1038" spans="1:38" ht="12.75">
      <c r="A1038" s="10">
        <f ca="1">IFERROR(__xludf.DUMMYFUNCTION("""COMPUTED_VALUE"""),45089.4965325578)</f>
        <v>45089.496532557801</v>
      </c>
      <c r="B1038" s="11" t="str">
        <f ca="1">IFERROR(__xludf.DUMMYFUNCTION("""COMPUTED_VALUE"""),"Jacob Berna")</f>
        <v>Jacob Berna</v>
      </c>
      <c r="C1038" t="str">
        <f ca="1">IFERROR(__xludf.DUMMYFUNCTION("""COMPUTED_VALUE"""),"Jacob.Berna@FloridaDEP.gov")</f>
        <v>Jacob.Berna@FloridaDEP.gov</v>
      </c>
      <c r="D1038" t="str">
        <f ca="1">IFERROR(__xludf.DUMMYFUNCTION("""COMPUTED_VALUE"""),"Shannon Dunnigan")</f>
        <v>Shannon Dunnigan</v>
      </c>
      <c r="E1038" t="str">
        <f ca="1">IFERROR(__xludf.DUMMYFUNCTION("""COMPUTED_VALUE"""),"Faver-Dykes State Park Boat Ramp")</f>
        <v>Faver-Dykes State Park Boat Ramp</v>
      </c>
      <c r="F1038" s="13">
        <f ca="1">IFERROR(__xludf.DUMMYFUNCTION("""COMPUTED_VALUE"""),0.5)</f>
        <v>0.5</v>
      </c>
      <c r="G1038" s="14">
        <f ca="1">IFERROR(__xludf.DUMMYFUNCTION("""COMPUTED_VALUE"""),45089)</f>
        <v>45089</v>
      </c>
      <c r="H1038" t="str">
        <f ca="1">IFERROR(__xludf.DUMMYFUNCTION("""COMPUTED_VALUE"""),"PC upper transect")</f>
        <v>PC upper transect</v>
      </c>
      <c r="I1038" s="15">
        <f ca="1">IFERROR(__xludf.DUMMYFUNCTION("""COMPUTED_VALUE"""),0.666666666667879)</f>
        <v>0.66666666666787899</v>
      </c>
      <c r="J1038" s="16">
        <f ca="1">IFERROR(__xludf.DUMMYFUNCTION("""COMPUTED_VALUE"""),45089.7083333333)</f>
        <v>45089.708333333299</v>
      </c>
      <c r="K1038" t="str">
        <f ca="1">IFERROR(__xludf.DUMMYFUNCTION("""COMPUTED_VALUE"""),"20ft Sea Ark FL5351SJ UNF 2015")</f>
        <v>20ft Sea Ark FL5351SJ UNF 2015</v>
      </c>
      <c r="M1038" t="str">
        <f ca="1">IFERROR(__xludf.DUMMYFUNCTION("""COMPUTED_VALUE"""),"Ford F250 2017 (Moby Dix) - DEP0021578")</f>
        <v>Ford F250 2017 (Moby Dix) - DEP0021578</v>
      </c>
      <c r="N1038" t="str">
        <f ca="1">IFERROR(__xludf.DUMMYFUNCTION("""COMPUTED_VALUE"""),"Jacob Berna, (904) 392-1966")</f>
        <v>Jacob Berna, (904) 392-1966</v>
      </c>
      <c r="O1038" t="str">
        <f ca="1">IFERROR(__xludf.DUMMYFUNCTION("""COMPUTED_VALUE"""),"Hans Prevost, Avah")</f>
        <v>Hans Prevost, Avah</v>
      </c>
      <c r="P1038" t="str">
        <f ca="1">IFERROR(__xludf.DUMMYFUNCTION("""COMPUTED_VALUE"""),"Jacob Berna")</f>
        <v>Jacob Berna</v>
      </c>
      <c r="AE1038" s="11"/>
      <c r="AF1038" t="str">
        <v>Shannon.Dunnigan@floridadep.gov</v>
      </c>
      <c r="AG1038" s="17" t="s">
        <v>639</v>
      </c>
      <c r="AH1038" s="12">
        <v>1554</v>
      </c>
      <c r="AI1038" s="12" t="s">
        <v>3068</v>
      </c>
      <c r="AJ1038" s="19" t="s">
        <v>3069</v>
      </c>
      <c r="AK1038" s="20" t="str">
        <f>HYPERLINK("https://docs.google.com/document/d/11nOFS5H3fVnhwSWdbAULHekHnQLzKZSQ4-4v94-_g4c/edit?usp=drivesdk","Jacob Berna - 6/12/2023 12:00 PM")</f>
        <v>Jacob Berna - 6/12/2023 12:00 PM</v>
      </c>
      <c r="AL1038" s="12" t="s">
        <v>3070</v>
      </c>
    </row>
    <row r="1039" spans="1:38" ht="12.75">
      <c r="A1039" s="10">
        <f ca="1">IFERROR(__xludf.DUMMYFUNCTION("""COMPUTED_VALUE"""),45091.3838615856)</f>
        <v>45091.3838615856</v>
      </c>
      <c r="B1039" s="11" t="str">
        <f ca="1">IFERROR(__xludf.DUMMYFUNCTION("""COMPUTED_VALUE"""),"Shannon Dunnigan")</f>
        <v>Shannon Dunnigan</v>
      </c>
      <c r="C1039" t="str">
        <f ca="1">IFERROR(__xludf.DUMMYFUNCTION("""COMPUTED_VALUE"""),"Shannon.Dunnigan@dep.state.fl.us")</f>
        <v>Shannon.Dunnigan@dep.state.fl.us</v>
      </c>
      <c r="D1039" t="str">
        <f ca="1">IFERROR(__xludf.DUMMYFUNCTION("""COMPUTED_VALUE"""),"Jacob Berna")</f>
        <v>Jacob Berna</v>
      </c>
      <c r="E1039" t="str">
        <f ca="1">IFERROR(__xludf.DUMMYFUNCTION("""COMPUTED_VALUE"""),"Vilano Boat Ramp")</f>
        <v>Vilano Boat Ramp</v>
      </c>
      <c r="F1039" s="13">
        <f ca="1">IFERROR(__xludf.DUMMYFUNCTION("""COMPUTED_VALUE"""),0.402777777777373)</f>
        <v>0.402777777777373</v>
      </c>
      <c r="G1039" s="14">
        <f ca="1">IFERROR(__xludf.DUMMYFUNCTION("""COMPUTED_VALUE"""),45091)</f>
        <v>45091</v>
      </c>
      <c r="H1039" t="str">
        <f ca="1">IFERROR(__xludf.DUMMYFUNCTION("""COMPUTED_VALUE"""),"ICW SWMP WQ sites")</f>
        <v>ICW SWMP WQ sites</v>
      </c>
      <c r="I1039" s="15">
        <f ca="1">IFERROR(__xludf.DUMMYFUNCTION("""COMPUTED_VALUE"""),0.604166666667879)</f>
        <v>0.60416666666787899</v>
      </c>
      <c r="J1039" s="16">
        <f ca="1">IFERROR(__xludf.DUMMYFUNCTION("""COMPUTED_VALUE"""),45091.625)</f>
        <v>45091.625</v>
      </c>
      <c r="K1039" t="str">
        <f ca="1">IFERROR(__xludf.DUMMYFUNCTION("""COMPUTED_VALUE"""),"23ft Skiff (Bertha) FL7972LJ DEP07613")</f>
        <v>23ft Skiff (Bertha) FL7972LJ DEP07613</v>
      </c>
      <c r="M1039" t="str">
        <f ca="1">IFERROR(__xludf.DUMMYFUNCTION("""COMPUTED_VALUE"""),"Ford F250 2017 (Moby Dix) - DEP0021578")</f>
        <v>Ford F250 2017 (Moby Dix) - DEP0021578</v>
      </c>
      <c r="N1039" t="str">
        <f ca="1">IFERROR(__xludf.DUMMYFUNCTION("""COMPUTED_VALUE"""),"Shannon Dunnigan, (803) 727-5734")</f>
        <v>Shannon Dunnigan, (803) 727-5734</v>
      </c>
      <c r="O1039" t="str">
        <f ca="1">IFERROR(__xludf.DUMMYFUNCTION("""COMPUTED_VALUE"""),"Avah Avonda")</f>
        <v>Avah Avonda</v>
      </c>
      <c r="P1039" t="str">
        <f ca="1">IFERROR(__xludf.DUMMYFUNCTION("""COMPUTED_VALUE"""),"Shannon Dunnigan")</f>
        <v>Shannon Dunnigan</v>
      </c>
      <c r="AE1039" s="11"/>
      <c r="AF1039" t="str">
        <v>Jacob.Berna@floridadep.gov</v>
      </c>
      <c r="AG1039" s="17" t="s">
        <v>3071</v>
      </c>
      <c r="AH1039" s="12">
        <v>1355</v>
      </c>
      <c r="AI1039" s="12" t="s">
        <v>3072</v>
      </c>
      <c r="AJ1039" s="19" t="s">
        <v>3073</v>
      </c>
      <c r="AK1039" s="20" t="str">
        <f>HYPERLINK("https://docs.google.com/document/d/1HCGl_xmhXoj0hzi3TMBUBKgDSMfKCutqMzDf1t0iDK4/edit?usp=drivesdk","Shannon Dunnigan - 6/14/2023 9:40 AM")</f>
        <v>Shannon Dunnigan - 6/14/2023 9:40 AM</v>
      </c>
      <c r="AL1039" s="12" t="s">
        <v>3074</v>
      </c>
    </row>
    <row r="1040" spans="1:38" ht="12.75">
      <c r="A1040" s="10">
        <f ca="1">IFERROR(__xludf.DUMMYFUNCTION("""COMPUTED_VALUE"""),45098.4591084606)</f>
        <v>45098.4591084606</v>
      </c>
      <c r="B1040" s="11" t="str">
        <f ca="1">IFERROR(__xludf.DUMMYFUNCTION("""COMPUTED_VALUE"""),"Jacob Berna")</f>
        <v>Jacob Berna</v>
      </c>
      <c r="C1040" t="str">
        <f ca="1">IFERROR(__xludf.DUMMYFUNCTION("""COMPUTED_VALUE"""),"Jacob.Berna@FloridaDEP.gov")</f>
        <v>Jacob.Berna@FloridaDEP.gov</v>
      </c>
      <c r="D1040" t="str">
        <f ca="1">IFERROR(__xludf.DUMMYFUNCTION("""COMPUTED_VALUE"""),"Nikki Dix")</f>
        <v>Nikki Dix</v>
      </c>
      <c r="E1040" t="str">
        <f ca="1">IFERROR(__xludf.DUMMYFUNCTION("""COMPUTED_VALUE"""),"Vilano Boat Ramp")</f>
        <v>Vilano Boat Ramp</v>
      </c>
      <c r="F1040" s="13">
        <f ca="1">IFERROR(__xludf.DUMMYFUNCTION("""COMPUTED_VALUE"""),0.965277777777373)</f>
        <v>0.965277777777373</v>
      </c>
      <c r="G1040" s="14">
        <f ca="1">IFERROR(__xludf.DUMMYFUNCTION("""COMPUTED_VALUE"""),45098)</f>
        <v>45098</v>
      </c>
      <c r="H1040" t="str">
        <f ca="1">IFERROR(__xludf.DUMMYFUNCTION("""COMPUTED_VALUE"""),"Vilano Ramp (test leak)")</f>
        <v>Vilano Ramp (test leak)</v>
      </c>
      <c r="I1040" s="15">
        <f ca="1">IFERROR(__xludf.DUMMYFUNCTION("""COMPUTED_VALUE"""),0.541666666667879)</f>
        <v>0.54166666666787899</v>
      </c>
      <c r="J1040" s="16">
        <f ca="1">IFERROR(__xludf.DUMMYFUNCTION("""COMPUTED_VALUE"""),45098.5625)</f>
        <v>45098.5625</v>
      </c>
      <c r="K1040" t="str">
        <f ca="1">IFERROR(__xludf.DUMMYFUNCTION("""COMPUTED_VALUE"""),"20ft Sea Ark FL5351SJ UNF 2015")</f>
        <v>20ft Sea Ark FL5351SJ UNF 2015</v>
      </c>
      <c r="M1040" t="str">
        <f ca="1">IFERROR(__xludf.DUMMYFUNCTION("""COMPUTED_VALUE"""),"Ford F150 2015 (White) - DEP21448")</f>
        <v>Ford F150 2015 (White) - DEP21448</v>
      </c>
      <c r="N1040" t="str">
        <f ca="1">IFERROR(__xludf.DUMMYFUNCTION("""COMPUTED_VALUE"""),"Jacob Berna, (904) 392-1966")</f>
        <v>Jacob Berna, (904) 392-1966</v>
      </c>
      <c r="O1040" t="str">
        <f ca="1">IFERROR(__xludf.DUMMYFUNCTION("""COMPUTED_VALUE"""),"Hans Prevost")</f>
        <v>Hans Prevost</v>
      </c>
      <c r="P1040" t="str">
        <f ca="1">IFERROR(__xludf.DUMMYFUNCTION("""COMPUTED_VALUE"""),"Jacob Berna")</f>
        <v>Jacob Berna</v>
      </c>
      <c r="AE1040" s="11"/>
      <c r="AF1040" t="str">
        <v>Nikki.Dix@floridadep.gov</v>
      </c>
      <c r="AG1040" s="17" t="s">
        <v>41</v>
      </c>
      <c r="AH1040" s="12">
        <v>1238</v>
      </c>
      <c r="AI1040" s="12" t="s">
        <v>3075</v>
      </c>
      <c r="AJ1040" s="19" t="s">
        <v>3076</v>
      </c>
      <c r="AK1040" s="20" t="str">
        <f>HYPERLINK("https://docs.google.com/document/d/1RzGSq5fDPd4qR4Y61M-L41q1N5eErFd3dXnoVJzQteo/edit?usp=drivesdk","Jacob Berna - 6/21/2023 11:10 PM")</f>
        <v>Jacob Berna - 6/21/2023 11:10 PM</v>
      </c>
      <c r="AL1040" s="12" t="s">
        <v>3077</v>
      </c>
    </row>
    <row r="1041" spans="1:38" ht="12.75">
      <c r="A1041" s="10">
        <f ca="1">IFERROR(__xludf.DUMMYFUNCTION("""COMPUTED_VALUE"""),45099.315425081)</f>
        <v>45099.315425080997</v>
      </c>
      <c r="B1041" s="11" t="str">
        <f ca="1">IFERROR(__xludf.DUMMYFUNCTION("""COMPUTED_VALUE"""),"Jacob Berna")</f>
        <v>Jacob Berna</v>
      </c>
      <c r="C1041" t="str">
        <f ca="1">IFERROR(__xludf.DUMMYFUNCTION("""COMPUTED_VALUE"""),"Jacob.Berna@FloridaDEP.gov")</f>
        <v>Jacob.Berna@FloridaDEP.gov</v>
      </c>
      <c r="D1041" t="str">
        <f ca="1">IFERROR(__xludf.DUMMYFUNCTION("""COMPUTED_VALUE"""),"Nikki Dix")</f>
        <v>Nikki Dix</v>
      </c>
      <c r="E1041" t="str">
        <f ca="1">IFERROR(__xludf.DUMMYFUNCTION("""COMPUTED_VALUE"""),"Usina Boat Ramp (Aunt Kate's)")</f>
        <v>Usina Boat Ramp (Aunt Kate's)</v>
      </c>
      <c r="F1041" s="13">
        <f ca="1">IFERROR(__xludf.DUMMYFUNCTION("""COMPUTED_VALUE"""),0.33333333333212)</f>
        <v>0.33333333333212001</v>
      </c>
      <c r="G1041" s="14">
        <f ca="1">IFERROR(__xludf.DUMMYFUNCTION("""COMPUTED_VALUE"""),45099)</f>
        <v>45099</v>
      </c>
      <c r="H1041" t="str">
        <f ca="1">IFERROR(__xludf.DUMMYFUNCTION("""COMPUTED_VALUE"""),"Big Mama site")</f>
        <v>Big Mama site</v>
      </c>
      <c r="I1041" s="15">
        <f ca="1">IFERROR(__xludf.DUMMYFUNCTION("""COMPUTED_VALUE"""),0.541666666667879)</f>
        <v>0.54166666666787899</v>
      </c>
      <c r="J1041" s="16">
        <f ca="1">IFERROR(__xludf.DUMMYFUNCTION("""COMPUTED_VALUE"""),45099.5625)</f>
        <v>45099.5625</v>
      </c>
      <c r="K1041" t="str">
        <f ca="1">IFERROR(__xludf.DUMMYFUNCTION("""COMPUTED_VALUE"""),"23ft Skiff (Bertha) FL7972LJ DEP07613")</f>
        <v>23ft Skiff (Bertha) FL7972LJ DEP07613</v>
      </c>
      <c r="M1041" t="str">
        <f ca="1">IFERROR(__xludf.DUMMYFUNCTION("""COMPUTED_VALUE"""),"Ford F250 2017 (Moby Dix) - DEP0021578")</f>
        <v>Ford F250 2017 (Moby Dix) - DEP0021578</v>
      </c>
      <c r="N1041" t="str">
        <f ca="1">IFERROR(__xludf.DUMMYFUNCTION("""COMPUTED_VALUE"""),"Jacob Berna, (904) 392-1966")</f>
        <v>Jacob Berna, (904) 392-1966</v>
      </c>
      <c r="O1041" t="str">
        <f ca="1">IFERROR(__xludf.DUMMYFUNCTION("""COMPUTED_VALUE"""),"Hans Prevost, Allix, Jacob Simon, Avah Avonda")</f>
        <v>Hans Prevost, Allix, Jacob Simon, Avah Avonda</v>
      </c>
      <c r="P1041" t="str">
        <f ca="1">IFERROR(__xludf.DUMMYFUNCTION("""COMPUTED_VALUE"""),"Jacob Berna")</f>
        <v>Jacob Berna</v>
      </c>
      <c r="AE1041" s="11"/>
      <c r="AF1041" t="str">
        <v>Nikki.Dix@floridadep.gov</v>
      </c>
      <c r="AG1041" s="17" t="s">
        <v>41</v>
      </c>
      <c r="AH1041" s="12">
        <v>1121</v>
      </c>
      <c r="AI1041" s="12" t="s">
        <v>3078</v>
      </c>
      <c r="AJ1041" s="19" t="s">
        <v>3079</v>
      </c>
      <c r="AK1041" s="20" t="str">
        <f>HYPERLINK("https://docs.google.com/document/d/11oDeUWKaxmwJFi59qhsrGbRNr2_5CyfTsHv-LoIl2vU/edit?usp=drivesdk","Jacob Berna - 6/22/2023 8:00 AM")</f>
        <v>Jacob Berna - 6/22/2023 8:00 AM</v>
      </c>
      <c r="AL1041" s="12" t="s">
        <v>3080</v>
      </c>
    </row>
    <row r="1042" spans="1:38" ht="12.75">
      <c r="A1042" s="10">
        <f ca="1">IFERROR(__xludf.DUMMYFUNCTION("""COMPUTED_VALUE"""),45103.3913650926)</f>
        <v>45103.391365092597</v>
      </c>
      <c r="B1042" s="11" t="str">
        <f ca="1">IFERROR(__xludf.DUMMYFUNCTION("""COMPUTED_VALUE"""),"Jacob Berna")</f>
        <v>Jacob Berna</v>
      </c>
      <c r="C1042" t="str">
        <f ca="1">IFERROR(__xludf.DUMMYFUNCTION("""COMPUTED_VALUE"""),"Jacob.Berna@FloridaDEP.gov")</f>
        <v>Jacob.Berna@FloridaDEP.gov</v>
      </c>
      <c r="D1042" t="str">
        <f ca="1">IFERROR(__xludf.DUMMYFUNCTION("""COMPUTED_VALUE"""),"Nikki Dix")</f>
        <v>Nikki Dix</v>
      </c>
      <c r="E1042" t="str">
        <f ca="1">IFERROR(__xludf.DUMMYFUNCTION("""COMPUTED_VALUE"""),"Faver-Dykes State Park Boat Ramp")</f>
        <v>Faver-Dykes State Park Boat Ramp</v>
      </c>
      <c r="F1042" s="13">
        <f ca="1">IFERROR(__xludf.DUMMYFUNCTION("""COMPUTED_VALUE"""),0.392361111109494)</f>
        <v>0.39236111110949401</v>
      </c>
      <c r="G1042" s="14">
        <f ca="1">IFERROR(__xludf.DUMMYFUNCTION("""COMPUTED_VALUE"""),45103)</f>
        <v>45103</v>
      </c>
      <c r="H1042" t="str">
        <f ca="1">IFERROR(__xludf.DUMMYFUNCTION("""COMPUTED_VALUE"""),"Upper transect pc")</f>
        <v>Upper transect pc</v>
      </c>
      <c r="I1042" s="15">
        <f ca="1">IFERROR(__xludf.DUMMYFUNCTION("""COMPUTED_VALUE"""),0.5625)</f>
        <v>0.5625</v>
      </c>
      <c r="J1042" s="16">
        <f ca="1">IFERROR(__xludf.DUMMYFUNCTION("""COMPUTED_VALUE"""),45103.6041666666)</f>
        <v>45103.604166666599</v>
      </c>
      <c r="K1042" t="str">
        <f ca="1">IFERROR(__xludf.DUMMYFUNCTION("""COMPUTED_VALUE"""),"F 20ft Sea Ark (Easy 200) FL8534PY DEP21451")</f>
        <v>F 20ft Sea Ark (Easy 200) FL8534PY DEP21451</v>
      </c>
      <c r="M1042" t="str">
        <f ca="1">IFERROR(__xludf.DUMMYFUNCTION("""COMPUTED_VALUE"""),"Ford F150 2015 (White) - DEP21448")</f>
        <v>Ford F150 2015 (White) - DEP21448</v>
      </c>
      <c r="N1042" t="str">
        <f ca="1">IFERROR(__xludf.DUMMYFUNCTION("""COMPUTED_VALUE"""),"Jacob Berna, (904) 392-1966")</f>
        <v>Jacob Berna, (904) 392-1966</v>
      </c>
      <c r="O1042" t="str">
        <f ca="1">IFERROR(__xludf.DUMMYFUNCTION("""COMPUTED_VALUE"""),"Hans Prevost, Avah")</f>
        <v>Hans Prevost, Avah</v>
      </c>
      <c r="P1042" t="str">
        <f ca="1">IFERROR(__xludf.DUMMYFUNCTION("""COMPUTED_VALUE"""),"Jacob Berna")</f>
        <v>Jacob Berna</v>
      </c>
      <c r="AE1042" s="11"/>
      <c r="AF1042" t="str">
        <v>Nikki.Dix@floridadep.gov</v>
      </c>
      <c r="AG1042" s="17" t="s">
        <v>41</v>
      </c>
      <c r="AH1042" s="12">
        <v>1409</v>
      </c>
      <c r="AI1042" s="12" t="s">
        <v>3081</v>
      </c>
      <c r="AJ1042" s="19" t="s">
        <v>3082</v>
      </c>
      <c r="AK1042" s="20" t="str">
        <f>HYPERLINK("https://docs.google.com/document/d/11gwb0BBclvZs4XuZRPSIk-BvBJoFPykEcOvI5fwtwbY/edit?usp=drivesdk","Jacob Berna - 6/26/2023 9:25 AM")</f>
        <v>Jacob Berna - 6/26/2023 9:25 AM</v>
      </c>
      <c r="AL1042" s="12" t="s">
        <v>3083</v>
      </c>
    </row>
    <row r="1043" spans="1:38" ht="12.75">
      <c r="A1043" s="10">
        <f ca="1">IFERROR(__xludf.DUMMYFUNCTION("""COMPUTED_VALUE"""),45105.5071662152)</f>
        <v>45105.507166215197</v>
      </c>
      <c r="B1043" s="11" t="str">
        <f ca="1">IFERROR(__xludf.DUMMYFUNCTION("""COMPUTED_VALUE"""),"Shannon Dunnigan")</f>
        <v>Shannon Dunnigan</v>
      </c>
      <c r="C1043" t="str">
        <f ca="1">IFERROR(__xludf.DUMMYFUNCTION("""COMPUTED_VALUE"""),"shannon.dunnigan@dep.state.fl.us")</f>
        <v>shannon.dunnigan@dep.state.fl.us</v>
      </c>
      <c r="D1043" t="str">
        <f ca="1">IFERROR(__xludf.DUMMYFUNCTION("""COMPUTED_VALUE"""),"Jacob Berna")</f>
        <v>Jacob Berna</v>
      </c>
      <c r="E1043" t="str">
        <f ca="1">IFERROR(__xludf.DUMMYFUNCTION("""COMPUTED_VALUE"""),"Vilano Boat Ramp")</f>
        <v>Vilano Boat Ramp</v>
      </c>
      <c r="F1043" s="13">
        <f ca="1">IFERROR(__xludf.DUMMYFUNCTION("""COMPUTED_VALUE"""),0.541666666667879)</f>
        <v>0.54166666666787899</v>
      </c>
      <c r="G1043" s="14">
        <f ca="1">IFERROR(__xludf.DUMMYFUNCTION("""COMPUTED_VALUE"""),45105)</f>
        <v>45105</v>
      </c>
      <c r="H1043" t="str">
        <f ca="1">IFERROR(__xludf.DUMMYFUNCTION("""COMPUTED_VALUE"""),"SWMP sites")</f>
        <v>SWMP sites</v>
      </c>
      <c r="I1043" s="15">
        <f ca="1">IFERROR(__xludf.DUMMYFUNCTION("""COMPUTED_VALUE"""),0.666666666667879)</f>
        <v>0.66666666666787899</v>
      </c>
      <c r="J1043" s="16">
        <f ca="1">IFERROR(__xludf.DUMMYFUNCTION("""COMPUTED_VALUE"""),45105.7083333333)</f>
        <v>45105.708333333299</v>
      </c>
      <c r="K1043" t="str">
        <f ca="1">IFERROR(__xludf.DUMMYFUNCTION("""COMPUTED_VALUE"""),"23ft Skiff (Bertha) FL7972LJ DEP07613")</f>
        <v>23ft Skiff (Bertha) FL7972LJ DEP07613</v>
      </c>
      <c r="M1043" t="str">
        <f ca="1">IFERROR(__xludf.DUMMYFUNCTION("""COMPUTED_VALUE"""),"Ford F250 2017 (Moby Dix) - DEP0021578")</f>
        <v>Ford F250 2017 (Moby Dix) - DEP0021578</v>
      </c>
      <c r="N1043" t="str">
        <f ca="1">IFERROR(__xludf.DUMMYFUNCTION("""COMPUTED_VALUE"""),"Shannon Dunnigan, (803) 727-5734")</f>
        <v>Shannon Dunnigan, (803) 727-5734</v>
      </c>
      <c r="O1043" t="str">
        <f ca="1">IFERROR(__xludf.DUMMYFUNCTION("""COMPUTED_VALUE"""),"Dave Hagmann")</f>
        <v>Dave Hagmann</v>
      </c>
      <c r="P1043" t="str">
        <f ca="1">IFERROR(__xludf.DUMMYFUNCTION("""COMPUTED_VALUE"""),"Shannon Dunnigan")</f>
        <v>Shannon Dunnigan</v>
      </c>
      <c r="AE1043" s="11"/>
      <c r="AF1043" t="str">
        <v>Jacob.Berna@floridadep.gov</v>
      </c>
      <c r="AG1043" s="17" t="s">
        <v>3071</v>
      </c>
      <c r="AH1043" s="12">
        <v>1655</v>
      </c>
      <c r="AI1043" s="12" t="s">
        <v>3084</v>
      </c>
      <c r="AJ1043" s="19" t="s">
        <v>3085</v>
      </c>
      <c r="AK1043" s="20" t="str">
        <f>HYPERLINK("https://docs.google.com/document/d/1d8aClrAG239_Shik4H3iPa28RFbAE678n1Gt1kWr2X8/edit?usp=drivesdk","Shannon Dunnigan - 6/28/2023 1:00 PM")</f>
        <v>Shannon Dunnigan - 6/28/2023 1:00 PM</v>
      </c>
      <c r="AL1043" s="12" t="s">
        <v>3086</v>
      </c>
    </row>
    <row r="1044" spans="1:38" ht="12.75">
      <c r="A1044" s="10">
        <f ca="1">IFERROR(__xludf.DUMMYFUNCTION("""COMPUTED_VALUE"""),45112.4242666782)</f>
        <v>45112.424266678201</v>
      </c>
      <c r="B1044" s="11" t="str">
        <f ca="1">IFERROR(__xludf.DUMMYFUNCTION("""COMPUTED_VALUE"""),"Nathaniel Schirmer")</f>
        <v>Nathaniel Schirmer</v>
      </c>
      <c r="C1044" t="str">
        <f ca="1">IFERROR(__xludf.DUMMYFUNCTION("""COMPUTED_VALUE"""),"n01502109@unf.edu")</f>
        <v>n01502109@unf.edu</v>
      </c>
      <c r="D1044" t="str">
        <f ca="1">IFERROR(__xludf.DUMMYFUNCTION("""COMPUTED_VALUE"""),"Jacob Berna")</f>
        <v>Jacob Berna</v>
      </c>
      <c r="E1044" t="str">
        <f ca="1">IFERROR(__xludf.DUMMYFUNCTION("""COMPUTED_VALUE"""),"Guana Dam")</f>
        <v>Guana Dam</v>
      </c>
      <c r="F1044" s="13">
        <f ca="1">IFERROR(__xludf.DUMMYFUNCTION("""COMPUTED_VALUE"""),0.4375)</f>
        <v>0.4375</v>
      </c>
      <c r="G1044" s="14">
        <f ca="1">IFERROR(__xludf.DUMMYFUNCTION("""COMPUTED_VALUE"""),45112)</f>
        <v>45112</v>
      </c>
      <c r="H1044" t="str">
        <f ca="1">IFERROR(__xludf.DUMMYFUNCTION("""COMPUTED_VALUE"""),"South end of Guana River")</f>
        <v>South end of Guana River</v>
      </c>
      <c r="I1044" s="15">
        <f ca="1">IFERROR(__xludf.DUMMYFUNCTION("""COMPUTED_VALUE"""),0.58333333333212)</f>
        <v>0.58333333333212001</v>
      </c>
      <c r="J1044" s="16">
        <f ca="1">IFERROR(__xludf.DUMMYFUNCTION("""COMPUTED_VALUE"""),45112.5833333333)</f>
        <v>45112.583333333299</v>
      </c>
      <c r="K1044" t="str">
        <f ca="1">IFERROR(__xludf.DUMMYFUNCTION("""COMPUTED_VALUE"""),"Kayak(s)")</f>
        <v>Kayak(s)</v>
      </c>
      <c r="L1044">
        <f ca="1">IFERROR(__xludf.DUMMYFUNCTION("""COMPUTED_VALUE"""),2)</f>
        <v>2</v>
      </c>
      <c r="M1044" t="str">
        <f ca="1">IFERROR(__xludf.DUMMYFUNCTION("""COMPUTED_VALUE"""),"UF fisheries truck")</f>
        <v>UF fisheries truck</v>
      </c>
      <c r="N1044" t="str">
        <f ca="1">IFERROR(__xludf.DUMMYFUNCTION("""COMPUTED_VALUE"""),"Nathaniel Schirmer")</f>
        <v>Nathaniel Schirmer</v>
      </c>
      <c r="O1044" t="str">
        <f ca="1">IFERROR(__xludf.DUMMYFUNCTION("""COMPUTED_VALUE"""),"Kristy Perez")</f>
        <v>Kristy Perez</v>
      </c>
      <c r="P1044" t="str">
        <f ca="1">IFERROR(__xludf.DUMMYFUNCTION("""COMPUTED_VALUE"""),"Nathaniel Schirmer")</f>
        <v>Nathaniel Schirmer</v>
      </c>
      <c r="AE1044" s="11"/>
      <c r="AF1044" t="str">
        <v>Jacob.Berna@floridadep.gov</v>
      </c>
      <c r="AG1044" s="17" t="s">
        <v>3071</v>
      </c>
      <c r="AH1044" s="12">
        <v>1330</v>
      </c>
      <c r="AI1044" s="12" t="s">
        <v>3087</v>
      </c>
      <c r="AJ1044" s="19" t="s">
        <v>3088</v>
      </c>
      <c r="AK1044" s="20" t="str">
        <f>HYPERLINK("https://docs.google.com/document/d/1Kk3ymuYVNJBuIyMddyvoJsGdefyxqt1knvKkRnrWjlo/edit?usp=drivesdk","Nathaniel Schirmer - 7/5/2023 10:30 AM")</f>
        <v>Nathaniel Schirmer - 7/5/2023 10:30 AM</v>
      </c>
      <c r="AL1044" s="12" t="s">
        <v>3089</v>
      </c>
    </row>
    <row r="1045" spans="1:38" ht="12.75">
      <c r="A1045" s="10">
        <f ca="1">IFERROR(__xludf.DUMMYFUNCTION("""COMPUTED_VALUE"""),45113.5016223147)</f>
        <v>45113.501622314798</v>
      </c>
      <c r="B1045" s="11" t="str">
        <f ca="1">IFERROR(__xludf.DUMMYFUNCTION("""COMPUTED_VALUE"""),"Nathaniel Schirmer")</f>
        <v>Nathaniel Schirmer</v>
      </c>
      <c r="C1045" t="str">
        <f ca="1">IFERROR(__xludf.DUMMYFUNCTION("""COMPUTED_VALUE"""),"n01502109@unf.edu")</f>
        <v>n01502109@unf.edu</v>
      </c>
      <c r="D1045" t="str">
        <f ca="1">IFERROR(__xludf.DUMMYFUNCTION("""COMPUTED_VALUE"""),"Jacob Berna")</f>
        <v>Jacob Berna</v>
      </c>
      <c r="E1045" t="str">
        <f ca="1">IFERROR(__xludf.DUMMYFUNCTION("""COMPUTED_VALUE"""),"Guana Dam")</f>
        <v>Guana Dam</v>
      </c>
      <c r="F1045" s="13">
        <f ca="1">IFERROR(__xludf.DUMMYFUNCTION("""COMPUTED_VALUE"""),0.510416666667879)</f>
        <v>0.51041666666787899</v>
      </c>
      <c r="G1045" s="14">
        <f ca="1">IFERROR(__xludf.DUMMYFUNCTION("""COMPUTED_VALUE"""),45113)</f>
        <v>45113</v>
      </c>
      <c r="H1045" t="str">
        <f ca="1">IFERROR(__xludf.DUMMYFUNCTION("""COMPUTED_VALUE"""),"Guana River")</f>
        <v>Guana River</v>
      </c>
      <c r="I1045" s="15">
        <f ca="1">IFERROR(__xludf.DUMMYFUNCTION("""COMPUTED_VALUE"""),0.604166666667879)</f>
        <v>0.60416666666787899</v>
      </c>
      <c r="J1045" s="16">
        <f ca="1">IFERROR(__xludf.DUMMYFUNCTION("""COMPUTED_VALUE"""),45113.6041666666)</f>
        <v>45113.604166666599</v>
      </c>
      <c r="K1045" t="str">
        <f ca="1">IFERROR(__xludf.DUMMYFUNCTION("""COMPUTED_VALUE"""),"Kayak(s)")</f>
        <v>Kayak(s)</v>
      </c>
      <c r="L1045">
        <f ca="1">IFERROR(__xludf.DUMMYFUNCTION("""COMPUTED_VALUE"""),1)</f>
        <v>1</v>
      </c>
      <c r="M1045" t="str">
        <f ca="1">IFERROR(__xludf.DUMMYFUNCTION("""COMPUTED_VALUE"""),"UF Fisheries Truck")</f>
        <v>UF Fisheries Truck</v>
      </c>
      <c r="N1045" t="str">
        <f ca="1">IFERROR(__xludf.DUMMYFUNCTION("""COMPUTED_VALUE"""),"Nathaniel Schirmer")</f>
        <v>Nathaniel Schirmer</v>
      </c>
      <c r="O1045" t="str">
        <f ca="1">IFERROR(__xludf.DUMMYFUNCTION("""COMPUTED_VALUE"""),"N/a")</f>
        <v>N/a</v>
      </c>
      <c r="P1045" t="str">
        <f ca="1">IFERROR(__xludf.DUMMYFUNCTION("""COMPUTED_VALUE"""),"Nathaniel Schirmer")</f>
        <v>Nathaniel Schirmer</v>
      </c>
      <c r="AE1045" s="11"/>
      <c r="AF1045" t="str">
        <v>Jacob.Berna@floridadep.gov</v>
      </c>
      <c r="AG1045" s="17" t="s">
        <v>3071</v>
      </c>
      <c r="AH1045" s="12">
        <v>1456</v>
      </c>
      <c r="AI1045" s="12" t="s">
        <v>3090</v>
      </c>
      <c r="AJ1045" s="19" t="s">
        <v>3091</v>
      </c>
      <c r="AK1045" s="20" t="str">
        <f>HYPERLINK("https://docs.google.com/document/d/132AB-wspJzGyfl6z_GKdMP6A3cmM5H3-N1aviZp8LcE/edit?usp=drivesdk","Nathaniel Schirmer - 7/6/2023 12:15 PM")</f>
        <v>Nathaniel Schirmer - 7/6/2023 12:15 PM</v>
      </c>
      <c r="AL1045" s="12" t="s">
        <v>3092</v>
      </c>
    </row>
    <row r="1046" spans="1:38" ht="12.75">
      <c r="A1046" s="10">
        <f ca="1">IFERROR(__xludf.DUMMYFUNCTION("""COMPUTED_VALUE"""),45114.3974682638)</f>
        <v>45114.3974682638</v>
      </c>
      <c r="B1046" s="11" t="str">
        <f ca="1">IFERROR(__xludf.DUMMYFUNCTION("""COMPUTED_VALUE"""),"Shannon Dunnigan")</f>
        <v>Shannon Dunnigan</v>
      </c>
      <c r="C1046" t="str">
        <f ca="1">IFERROR(__xludf.DUMMYFUNCTION("""COMPUTED_VALUE"""),"Shannon.Dunnigan@dep.state.fl.us")</f>
        <v>Shannon.Dunnigan@dep.state.fl.us</v>
      </c>
      <c r="D1046" t="str">
        <f ca="1">IFERROR(__xludf.DUMMYFUNCTION("""COMPUTED_VALUE"""),"Nikki Dix")</f>
        <v>Nikki Dix</v>
      </c>
      <c r="E1046" t="str">
        <f ca="1">IFERROR(__xludf.DUMMYFUNCTION("""COMPUTED_VALUE"""),"Vilano Boat Ramp")</f>
        <v>Vilano Boat Ramp</v>
      </c>
      <c r="F1046" s="13">
        <f ca="1">IFERROR(__xludf.DUMMYFUNCTION("""COMPUTED_VALUE"""),0.4375)</f>
        <v>0.4375</v>
      </c>
      <c r="G1046" s="14">
        <f ca="1">IFERROR(__xludf.DUMMYFUNCTION("""COMPUTED_VALUE"""),45114)</f>
        <v>45114</v>
      </c>
      <c r="H1046" t="str">
        <f ca="1">IFERROR(__xludf.DUMMYFUNCTION("""COMPUTED_VALUE"""),"SWMP sites")</f>
        <v>SWMP sites</v>
      </c>
      <c r="I1046" s="15">
        <f ca="1">IFERROR(__xludf.DUMMYFUNCTION("""COMPUTED_VALUE"""),0.61458333333212)</f>
        <v>0.61458333333212001</v>
      </c>
      <c r="J1046" s="16">
        <f ca="1">IFERROR(__xludf.DUMMYFUNCTION("""COMPUTED_VALUE"""),45114.6458333333)</f>
        <v>45114.645833333299</v>
      </c>
      <c r="K1046" t="str">
        <f ca="1">IFERROR(__xludf.DUMMYFUNCTION("""COMPUTED_VALUE"""),"23ft Skiff (Bertha) FL7972LJ DEP07613")</f>
        <v>23ft Skiff (Bertha) FL7972LJ DEP07613</v>
      </c>
      <c r="M1046" t="str">
        <f ca="1">IFERROR(__xludf.DUMMYFUNCTION("""COMPUTED_VALUE"""),"Ford F250 2017 (Moby Dix) - DEP0021578")</f>
        <v>Ford F250 2017 (Moby Dix) - DEP0021578</v>
      </c>
      <c r="N1046" t="str">
        <f ca="1">IFERROR(__xludf.DUMMYFUNCTION("""COMPUTED_VALUE"""),"Shannon Dunnigan, (803) 727-5734")</f>
        <v>Shannon Dunnigan, (803) 727-5734</v>
      </c>
      <c r="O1046" t="str">
        <f ca="1">IFERROR(__xludf.DUMMYFUNCTION("""COMPUTED_VALUE"""),"Avah Avonda")</f>
        <v>Avah Avonda</v>
      </c>
      <c r="P1046" t="str">
        <f ca="1">IFERROR(__xludf.DUMMYFUNCTION("""COMPUTED_VALUE"""),"Shannon")</f>
        <v>Shannon</v>
      </c>
      <c r="AE1046" s="11"/>
      <c r="AF1046" t="str">
        <v>Nikki.Dix@floridadep.gov</v>
      </c>
      <c r="AG1046" s="17" t="s">
        <v>41</v>
      </c>
      <c r="AH1046" s="12">
        <v>1345</v>
      </c>
      <c r="AI1046" s="12" t="s">
        <v>3093</v>
      </c>
      <c r="AJ1046" s="19" t="s">
        <v>3094</v>
      </c>
      <c r="AK1046" s="20" t="str">
        <f>HYPERLINK("https://docs.google.com/document/d/1wGz_asKaXS0fonZg69HmTuiU65TNcxnypna0kSdVd8o/edit?usp=drivesdk","Shannon Dunnigan - 7/7/2023 10:30 AM")</f>
        <v>Shannon Dunnigan - 7/7/2023 10:30 AM</v>
      </c>
      <c r="AL1046" s="12" t="s">
        <v>3095</v>
      </c>
    </row>
    <row r="1047" spans="1:38" ht="12.75">
      <c r="A1047" s="10">
        <f ca="1">IFERROR(__xludf.DUMMYFUNCTION("""COMPUTED_VALUE"""),45117.378914618)</f>
        <v>45117.378914617999</v>
      </c>
      <c r="B1047" s="11" t="str">
        <f ca="1">IFERROR(__xludf.DUMMYFUNCTION("""COMPUTED_VALUE"""),"Shannon")</f>
        <v>Shannon</v>
      </c>
      <c r="C1047" t="str">
        <f ca="1">IFERROR(__xludf.DUMMYFUNCTION("""COMPUTED_VALUE"""),"Shannon.Dunnigan@dep.state.fl.us")</f>
        <v>Shannon.Dunnigan@dep.state.fl.us</v>
      </c>
      <c r="D1047" t="str">
        <f ca="1">IFERROR(__xludf.DUMMYFUNCTION("""COMPUTED_VALUE"""),"Nikki Dix")</f>
        <v>Nikki Dix</v>
      </c>
      <c r="E1047" t="str">
        <f ca="1">IFERROR(__xludf.DUMMYFUNCTION("""COMPUTED_VALUE"""),"Usina Boat Ramp (Aunt Kate's)")</f>
        <v>Usina Boat Ramp (Aunt Kate's)</v>
      </c>
      <c r="F1047" s="13">
        <f ca="1">IFERROR(__xludf.DUMMYFUNCTION("""COMPUTED_VALUE"""),0.39583333333212)</f>
        <v>0.39583333333212001</v>
      </c>
      <c r="G1047" s="14">
        <f ca="1">IFERROR(__xludf.DUMMYFUNCTION("""COMPUTED_VALUE"""),45117)</f>
        <v>45117</v>
      </c>
      <c r="H1047" t="str">
        <f ca="1">IFERROR(__xludf.DUMMYFUNCTION("""COMPUTED_VALUE"""),"Mouth of Guana")</f>
        <v>Mouth of Guana</v>
      </c>
      <c r="I1047" s="15">
        <f ca="1">IFERROR(__xludf.DUMMYFUNCTION("""COMPUTED_VALUE"""),0.58333333333212)</f>
        <v>0.58333333333212001</v>
      </c>
      <c r="J1047" s="16">
        <f ca="1">IFERROR(__xludf.DUMMYFUNCTION("""COMPUTED_VALUE"""),45117.625)</f>
        <v>45117.625</v>
      </c>
      <c r="K1047" t="str">
        <f ca="1">IFERROR(__xludf.DUMMYFUNCTION("""COMPUTED_VALUE"""),"23ft Skiff (Bertha) FL7972LJ DEP07613")</f>
        <v>23ft Skiff (Bertha) FL7972LJ DEP07613</v>
      </c>
      <c r="M1047" t="str">
        <f ca="1">IFERROR(__xludf.DUMMYFUNCTION("""COMPUTED_VALUE"""),"Ford F250 2017 (Moby Dix) - DEP0021578")</f>
        <v>Ford F250 2017 (Moby Dix) - DEP0021578</v>
      </c>
      <c r="N1047" t="str">
        <f ca="1">IFERROR(__xludf.DUMMYFUNCTION("""COMPUTED_VALUE"""),"Jessica Lee, (813) 748-2228, Shannon Dunnigan, (803) 727-5734")</f>
        <v>Jessica Lee, (813) 748-2228, Shannon Dunnigan, (803) 727-5734</v>
      </c>
      <c r="O1047" t="str">
        <f ca="1">IFERROR(__xludf.DUMMYFUNCTION("""COMPUTED_VALUE"""),"Avah Avonda, Justina Dacey, Camila del Sol Pina, Bianca Ruiz ")</f>
        <v xml:space="preserve">Avah Avonda, Justina Dacey, Camila del Sol Pina, Bianca Ruiz </v>
      </c>
      <c r="P1047" t="str">
        <f ca="1">IFERROR(__xludf.DUMMYFUNCTION("""COMPUTED_VALUE"""),"Shannon")</f>
        <v>Shannon</v>
      </c>
      <c r="AE1047" s="11"/>
      <c r="AF1047" t="str">
        <v>Nikki.Dix@floridadep.gov</v>
      </c>
      <c r="AG1047" s="17" t="s">
        <v>41</v>
      </c>
      <c r="AH1047" s="12">
        <v>1208</v>
      </c>
      <c r="AI1047" s="12" t="s">
        <v>3096</v>
      </c>
      <c r="AJ1047" s="19" t="s">
        <v>3097</v>
      </c>
      <c r="AK1047" s="20" t="str">
        <f>HYPERLINK("https://docs.google.com/document/d/1Mg1kf-8Xef28ELL7_dckHkHmE0kHSIk-m4tYeT0i9J0/edit?usp=drivesdk","Shannon - 7/10/2023 9:30 AM")</f>
        <v>Shannon - 7/10/2023 9:30 AM</v>
      </c>
      <c r="AL1047" s="12" t="s">
        <v>3098</v>
      </c>
    </row>
    <row r="1048" spans="1:38" ht="12.75">
      <c r="A1048" s="10">
        <f ca="1">IFERROR(__xludf.DUMMYFUNCTION("""COMPUTED_VALUE"""),45119.3210286921)</f>
        <v>45119.321028692102</v>
      </c>
      <c r="B1048" s="11" t="str">
        <f ca="1">IFERROR(__xludf.DUMMYFUNCTION("""COMPUTED_VALUE"""),"Allix North")</f>
        <v>Allix North</v>
      </c>
      <c r="C1048" t="str">
        <f ca="1">IFERROR(__xludf.DUMMYFUNCTION("""COMPUTED_VALUE"""),"allix.north@dep.state.fl.us")</f>
        <v>allix.north@dep.state.fl.us</v>
      </c>
      <c r="D1048" t="str">
        <f ca="1">IFERROR(__xludf.DUMMYFUNCTION("""COMPUTED_VALUE"""),"Scott Eastman")</f>
        <v>Scott Eastman</v>
      </c>
      <c r="E1048" t="str">
        <f ca="1">IFERROR(__xludf.DUMMYFUNCTION("""COMPUTED_VALUE"""),"St. Augustine Light House")</f>
        <v>St. Augustine Light House</v>
      </c>
      <c r="F1048" s="13">
        <f ca="1">IFERROR(__xludf.DUMMYFUNCTION("""COMPUTED_VALUE"""),0.36458333333212)</f>
        <v>0.36458333333212001</v>
      </c>
      <c r="G1048" s="14">
        <f ca="1">IFERROR(__xludf.DUMMYFUNCTION("""COMPUTED_VALUE"""),45119)</f>
        <v>45119</v>
      </c>
      <c r="H1048" t="str">
        <f ca="1">IFERROR(__xludf.DUMMYFUNCTION("""COMPUTED_VALUE"""),"Salt Run")</f>
        <v>Salt Run</v>
      </c>
      <c r="I1048" s="15">
        <f ca="1">IFERROR(__xludf.DUMMYFUNCTION("""COMPUTED_VALUE"""),0.604166666667879)</f>
        <v>0.60416666666787899</v>
      </c>
      <c r="J1048" s="16">
        <f ca="1">IFERROR(__xludf.DUMMYFUNCTION("""COMPUTED_VALUE"""),45119.6458333333)</f>
        <v>45119.645833333299</v>
      </c>
      <c r="K1048" t="str">
        <f ca="1">IFERROR(__xludf.DUMMYFUNCTION("""COMPUTED_VALUE"""),"20ft Sea Ark FL5351SJ UNF 2015")</f>
        <v>20ft Sea Ark FL5351SJ UNF 2015</v>
      </c>
      <c r="M1048" t="str">
        <f ca="1">IFERROR(__xludf.DUMMYFUNCTION("""COMPUTED_VALUE"""),"Ford F150 2022 (ML)-DEP22510")</f>
        <v>Ford F150 2022 (ML)-DEP22510</v>
      </c>
      <c r="N1048" t="str">
        <f ca="1">IFERROR(__xludf.DUMMYFUNCTION("""COMPUTED_VALUE"""),"Allix North, (850) 420-7495, Nikki Dix, (352) 219-4079")</f>
        <v>Allix North, (850) 420-7495, Nikki Dix, (352) 219-4079</v>
      </c>
      <c r="O1048" t="str">
        <f ca="1">IFERROR(__xludf.DUMMYFUNCTION("""COMPUTED_VALUE"""),"Savanna Mathis, Alyah Bennett")</f>
        <v>Savanna Mathis, Alyah Bennett</v>
      </c>
      <c r="P1048" t="str">
        <f ca="1">IFERROR(__xludf.DUMMYFUNCTION("""COMPUTED_VALUE"""),"Nikki Dix")</f>
        <v>Nikki Dix</v>
      </c>
      <c r="AD1048" t="str">
        <f ca="1">IFERROR(__xludf.DUMMYFUNCTION("""COMPUTED_VALUE"""),"Good for operational period")</f>
        <v>Good for operational period</v>
      </c>
      <c r="AE1048" s="11" t="str">
        <f ca="1">IFERROR(__xludf.DUMMYFUNCTION("""COMPUTED_VALUE"""),"Good for operational period")</f>
        <v>Good for operational period</v>
      </c>
      <c r="AF1048" t="str">
        <v>Scott.Eastman@floridadep.gov</v>
      </c>
      <c r="AG1048" s="17" t="s">
        <v>21</v>
      </c>
      <c r="AH1048" s="12">
        <v>1212</v>
      </c>
      <c r="AI1048" s="12" t="s">
        <v>3099</v>
      </c>
      <c r="AJ1048" s="19" t="s">
        <v>3100</v>
      </c>
      <c r="AK1048" s="20" t="str">
        <f>HYPERLINK("https://docs.google.com/document/d/1OE7uQZrVQWncW-Begl_SiBQOi9x4Mh2tArzBSAB8lA8/edit?usp=drivesdk","Allix North - 7/12/2023 8:45 AM")</f>
        <v>Allix North - 7/12/2023 8:45 AM</v>
      </c>
      <c r="AL1048" s="12" t="s">
        <v>3101</v>
      </c>
    </row>
    <row r="1049" spans="1:38" ht="12.75">
      <c r="A1049" s="10">
        <f ca="1">IFERROR(__xludf.DUMMYFUNCTION("""COMPUTED_VALUE"""),45120.434487824)</f>
        <v>45120.434487824001</v>
      </c>
      <c r="B1049" s="11" t="str">
        <f ca="1">IFERROR(__xludf.DUMMYFUNCTION("""COMPUTED_VALUE"""),"Allix North")</f>
        <v>Allix North</v>
      </c>
      <c r="C1049" t="str">
        <f ca="1">IFERROR(__xludf.DUMMYFUNCTION("""COMPUTED_VALUE"""),"Allix.North@dep.state.fl.us")</f>
        <v>Allix.North@dep.state.fl.us</v>
      </c>
      <c r="D1049" t="str">
        <f ca="1">IFERROR(__xludf.DUMMYFUNCTION("""COMPUTED_VALUE"""),"Scott Eastman")</f>
        <v>Scott Eastman</v>
      </c>
      <c r="E1049" t="str">
        <f ca="1">IFERROR(__xludf.DUMMYFUNCTION("""COMPUTED_VALUE"""),"St. Augustine Lighthouse Ramp")</f>
        <v>St. Augustine Lighthouse Ramp</v>
      </c>
      <c r="F1049" s="13">
        <f ca="1">IFERROR(__xludf.DUMMYFUNCTION("""COMPUTED_VALUE"""),0.4375)</f>
        <v>0.4375</v>
      </c>
      <c r="G1049" s="14">
        <f ca="1">IFERROR(__xludf.DUMMYFUNCTION("""COMPUTED_VALUE"""),45120)</f>
        <v>45120</v>
      </c>
      <c r="H1049" t="str">
        <f ca="1">IFERROR(__xludf.DUMMYFUNCTION("""COMPUTED_VALUE"""),"Salt Run")</f>
        <v>Salt Run</v>
      </c>
      <c r="I1049" s="15">
        <f ca="1">IFERROR(__xludf.DUMMYFUNCTION("""COMPUTED_VALUE"""),0.666666666667879)</f>
        <v>0.66666666666787899</v>
      </c>
      <c r="J1049" s="16">
        <f ca="1">IFERROR(__xludf.DUMMYFUNCTION("""COMPUTED_VALUE"""),45120.6875)</f>
        <v>45120.6875</v>
      </c>
      <c r="K1049" t="str">
        <f ca="1">IFERROR(__xludf.DUMMYFUNCTION("""COMPUTED_VALUE"""),"20ft Sea Ark FL5351SJ UNF 2015")</f>
        <v>20ft Sea Ark FL5351SJ UNF 2015</v>
      </c>
      <c r="M1049" t="str">
        <f ca="1">IFERROR(__xludf.DUMMYFUNCTION("""COMPUTED_VALUE"""),"Ford F150 ML DEP22510")</f>
        <v>Ford F150 ML DEP22510</v>
      </c>
      <c r="N1049" t="str">
        <f ca="1">IFERROR(__xludf.DUMMYFUNCTION("""COMPUTED_VALUE"""),"Allix North, (850) 420-7495, Jacob Berna, (904) 392-1966, Nikki Dix, (352) 219-4079")</f>
        <v>Allix North, (850) 420-7495, Jacob Berna, (904) 392-1966, Nikki Dix, (352) 219-4079</v>
      </c>
      <c r="O1049" t="str">
        <f ca="1">IFERROR(__xludf.DUMMYFUNCTION("""COMPUTED_VALUE"""),"Hans Prevost, Savanna Mathis, Jeff, Alyah, Avah")</f>
        <v>Hans Prevost, Savanna Mathis, Jeff, Alyah, Avah</v>
      </c>
      <c r="P1049" t="str">
        <f ca="1">IFERROR(__xludf.DUMMYFUNCTION("""COMPUTED_VALUE"""),"Nikki Dix")</f>
        <v>Nikki Dix</v>
      </c>
      <c r="AE1049" s="11"/>
      <c r="AF1049" t="str">
        <v>Scott.Eastman@floridadep.gov</v>
      </c>
      <c r="AG1049" s="17" t="s">
        <v>21</v>
      </c>
      <c r="AH1049" s="12">
        <v>1342</v>
      </c>
      <c r="AI1049" s="12" t="s">
        <v>3102</v>
      </c>
      <c r="AJ1049" s="19" t="s">
        <v>3103</v>
      </c>
      <c r="AK1049" s="20" t="str">
        <f>HYPERLINK("https://docs.google.com/document/d/1Jvqbq3zRB5n4FbmCwZ1_2rN0yASDAlLZPtjp9Kt3jIA/edit?usp=drivesdk","Allix North - 7/13/2023 10:30 AM")</f>
        <v>Allix North - 7/13/2023 10:30 AM</v>
      </c>
      <c r="AL1049" s="12" t="s">
        <v>3104</v>
      </c>
    </row>
    <row r="1050" spans="1:38" ht="12.75">
      <c r="A1050" s="10">
        <f ca="1">IFERROR(__xludf.DUMMYFUNCTION("""COMPUTED_VALUE"""),45121.3491477777)</f>
        <v>45121.349147777699</v>
      </c>
      <c r="B1050" s="11" t="str">
        <f ca="1">IFERROR(__xludf.DUMMYFUNCTION("""COMPUTED_VALUE"""),"Allix North")</f>
        <v>Allix North</v>
      </c>
      <c r="C1050" t="str">
        <f ca="1">IFERROR(__xludf.DUMMYFUNCTION("""COMPUTED_VALUE"""),"Allix.North@dep.state.fl.us")</f>
        <v>Allix.North@dep.state.fl.us</v>
      </c>
      <c r="D1050" t="str">
        <f ca="1">IFERROR(__xludf.DUMMYFUNCTION("""COMPUTED_VALUE"""),"Scott Eastman")</f>
        <v>Scott Eastman</v>
      </c>
      <c r="E1050" t="str">
        <f ca="1">IFERROR(__xludf.DUMMYFUNCTION("""COMPUTED_VALUE"""),"St. Augustine Light House Boat Ramp")</f>
        <v>St. Augustine Light House Boat Ramp</v>
      </c>
      <c r="F1050" s="13">
        <f ca="1">IFERROR(__xludf.DUMMYFUNCTION("""COMPUTED_VALUE"""),0.416666666667879)</f>
        <v>0.41666666666787899</v>
      </c>
      <c r="G1050" s="14">
        <f ca="1">IFERROR(__xludf.DUMMYFUNCTION("""COMPUTED_VALUE"""),45121)</f>
        <v>45121</v>
      </c>
      <c r="H1050" t="str">
        <f ca="1">IFERROR(__xludf.DUMMYFUNCTION("""COMPUTED_VALUE"""),"Salt Run")</f>
        <v>Salt Run</v>
      </c>
      <c r="I1050" s="15">
        <f ca="1">IFERROR(__xludf.DUMMYFUNCTION("""COMPUTED_VALUE"""),0.666666666667879)</f>
        <v>0.66666666666787899</v>
      </c>
      <c r="J1050" s="16">
        <f ca="1">IFERROR(__xludf.DUMMYFUNCTION("""COMPUTED_VALUE"""),45121.6875)</f>
        <v>45121.6875</v>
      </c>
      <c r="K1050" t="str">
        <f ca="1">IFERROR(__xludf.DUMMYFUNCTION("""COMPUTED_VALUE"""),"F 20ft Sea Ark (Easy 200) FL8534PY DEP21451")</f>
        <v>F 20ft Sea Ark (Easy 200) FL8534PY DEP21451</v>
      </c>
      <c r="M1050" t="str">
        <f ca="1">IFERROR(__xludf.DUMMYFUNCTION("""COMPUTED_VALUE"""),"Ford F150 2022 (ML)-DEP22510")</f>
        <v>Ford F150 2022 (ML)-DEP22510</v>
      </c>
      <c r="N1050" t="str">
        <f ca="1">IFERROR(__xludf.DUMMYFUNCTION("""COMPUTED_VALUE"""),"Allix North, (850) 420-7495, Jacob Berna, (904) 392-1966, Nikki Dix, (352) 219-4079")</f>
        <v>Allix North, (850) 420-7495, Jacob Berna, (904) 392-1966, Nikki Dix, (352) 219-4079</v>
      </c>
      <c r="O1050" t="str">
        <f ca="1">IFERROR(__xludf.DUMMYFUNCTION("""COMPUTED_VALUE"""),"Hans Prevost, Savanna Mathis, Alyah Bennett, Mike Darragh, Jeff Finnan")</f>
        <v>Hans Prevost, Savanna Mathis, Alyah Bennett, Mike Darragh, Jeff Finnan</v>
      </c>
      <c r="P1050" t="str">
        <f ca="1">IFERROR(__xludf.DUMMYFUNCTION("""COMPUTED_VALUE"""),"Nikki Dix")</f>
        <v>Nikki Dix</v>
      </c>
      <c r="AE1050" s="11"/>
      <c r="AF1050" t="str">
        <v>Scott.Eastman@floridadep.gov</v>
      </c>
      <c r="AG1050" s="17" t="s">
        <v>21</v>
      </c>
      <c r="AH1050" s="12">
        <v>1516</v>
      </c>
      <c r="AI1050" s="12" t="s">
        <v>3105</v>
      </c>
      <c r="AJ1050" s="19" t="s">
        <v>3106</v>
      </c>
      <c r="AK1050" s="20" t="str">
        <f>HYPERLINK("https://docs.google.com/document/d/1X-0JModAQTmwTI4w89ezN5xBTZWyhLybDiIzZ919C6A/edit?usp=drivesdk","Allix North - 7/14/2023 10:00 AM")</f>
        <v>Allix North - 7/14/2023 10:00 AM</v>
      </c>
      <c r="AL1050" s="12" t="s">
        <v>3107</v>
      </c>
    </row>
    <row r="1051" spans="1:38" ht="12.75">
      <c r="A1051" s="10">
        <f ca="1">IFERROR(__xludf.DUMMYFUNCTION("""COMPUTED_VALUE"""),45124.4006705671)</f>
        <v>45124.400670567098</v>
      </c>
      <c r="B1051" s="11" t="str">
        <f ca="1">IFERROR(__xludf.DUMMYFUNCTION("""COMPUTED_VALUE"""),"Jessica Lee")</f>
        <v>Jessica Lee</v>
      </c>
      <c r="C1051" t="str">
        <f ca="1">IFERROR(__xludf.DUMMYFUNCTION("""COMPUTED_VALUE"""),"jessica.lee@floridadep.gov")</f>
        <v>jessica.lee@floridadep.gov</v>
      </c>
      <c r="D1051" t="str">
        <f ca="1">IFERROR(__xludf.DUMMYFUNCTION("""COMPUTED_VALUE"""),"Shannon Dunnigan")</f>
        <v>Shannon Dunnigan</v>
      </c>
      <c r="E1051" t="str">
        <f ca="1">IFERROR(__xludf.DUMMYFUNCTION("""COMPUTED_VALUE"""),"Guana Dam")</f>
        <v>Guana Dam</v>
      </c>
      <c r="F1051" s="13">
        <f ca="1">IFERROR(__xludf.DUMMYFUNCTION("""COMPUTED_VALUE"""),0.409722222222626)</f>
        <v>0.409722222222626</v>
      </c>
      <c r="G1051" s="14">
        <f ca="1">IFERROR(__xludf.DUMMYFUNCTION("""COMPUTED_VALUE"""),45124)</f>
        <v>45124</v>
      </c>
      <c r="H1051" t="str">
        <f ca="1">IFERROR(__xludf.DUMMYFUNCTION("""COMPUTED_VALUE"""),"Guana River")</f>
        <v>Guana River</v>
      </c>
      <c r="I1051" s="15">
        <f ca="1">IFERROR(__xludf.DUMMYFUNCTION("""COMPUTED_VALUE"""),0.447916666667879)</f>
        <v>0.44791666666787899</v>
      </c>
      <c r="J1051" s="16">
        <f ca="1">IFERROR(__xludf.DUMMYFUNCTION("""COMPUTED_VALUE"""),45124.4513888888)</f>
        <v>45124.451388888803</v>
      </c>
      <c r="K1051" t="str">
        <f ca="1">IFERROR(__xludf.DUMMYFUNCTION("""COMPUTED_VALUE"""),"Jon Boat 1 FL5992RR DEP154045")</f>
        <v>Jon Boat 1 FL5992RR DEP154045</v>
      </c>
      <c r="M1051" t="str">
        <f ca="1">IFERROR(__xludf.DUMMYFUNCTION("""COMPUTED_VALUE"""),"Ford F150 2015 (White) - DEP21448")</f>
        <v>Ford F150 2015 (White) - DEP21448</v>
      </c>
      <c r="N1051" t="str">
        <f ca="1">IFERROR(__xludf.DUMMYFUNCTION("""COMPUTED_VALUE"""),"Jessica Lee, (813) 748-2228")</f>
        <v>Jessica Lee, (813) 748-2228</v>
      </c>
      <c r="O1051" t="str">
        <f ca="1">IFERROR(__xludf.DUMMYFUNCTION("""COMPUTED_VALUE"""),"Avah, Monica")</f>
        <v>Avah, Monica</v>
      </c>
      <c r="P1051" t="str">
        <f ca="1">IFERROR(__xludf.DUMMYFUNCTION("""COMPUTED_VALUE"""),"Jess")</f>
        <v>Jess</v>
      </c>
      <c r="AE1051" s="11"/>
      <c r="AF1051" t="str">
        <v>Shannon.Dunnigan@floridadep.gov</v>
      </c>
      <c r="AG1051" s="17" t="s">
        <v>639</v>
      </c>
      <c r="AH1051" s="12">
        <v>1037</v>
      </c>
      <c r="AI1051" s="12" t="s">
        <v>3108</v>
      </c>
      <c r="AJ1051" s="19" t="s">
        <v>3109</v>
      </c>
      <c r="AK1051" s="20" t="str">
        <f>HYPERLINK("https://docs.google.com/document/d/1EXHaKr12yF5KqNhvFUwUydtsGhGOvVH5q80WHCX5x6A/edit?usp=drivesdk","Jessica Lee - 7/17/2023 9:50 AM")</f>
        <v>Jessica Lee - 7/17/2023 9:50 AM</v>
      </c>
      <c r="AL1051" s="12" t="s">
        <v>3110</v>
      </c>
    </row>
    <row r="1052" spans="1:38" ht="12.75">
      <c r="A1052" s="10">
        <f ca="1">IFERROR(__xludf.DUMMYFUNCTION("""COMPUTED_VALUE"""),45124.6985140856)</f>
        <v>45124.698514085598</v>
      </c>
      <c r="B1052" s="11" t="str">
        <f ca="1">IFERROR(__xludf.DUMMYFUNCTION("""COMPUTED_VALUE"""),"Shannon Dunnigan")</f>
        <v>Shannon Dunnigan</v>
      </c>
      <c r="C1052" t="str">
        <f ca="1">IFERROR(__xludf.DUMMYFUNCTION("""COMPUTED_VALUE"""),"Shannon.Dunnigan@dep.state.fl.us")</f>
        <v>Shannon.Dunnigan@dep.state.fl.us</v>
      </c>
      <c r="D1052" t="str">
        <f ca="1">IFERROR(__xludf.DUMMYFUNCTION("""COMPUTED_VALUE"""),"Jacob Berna")</f>
        <v>Jacob Berna</v>
      </c>
      <c r="E1052" t="str">
        <f ca="1">IFERROR(__xludf.DUMMYFUNCTION("""COMPUTED_VALUE"""),"Vilano Boat Ramp")</f>
        <v>Vilano Boat Ramp</v>
      </c>
      <c r="F1052" s="13">
        <f ca="1">IFERROR(__xludf.DUMMYFUNCTION("""COMPUTED_VALUE"""),0.385416666667879)</f>
        <v>0.38541666666787899</v>
      </c>
      <c r="G1052" s="14">
        <f ca="1">IFERROR(__xludf.DUMMYFUNCTION("""COMPUTED_VALUE"""),45125)</f>
        <v>45125</v>
      </c>
      <c r="H1052" t="str">
        <f ca="1">IFERROR(__xludf.DUMMYFUNCTION("""COMPUTED_VALUE"""),"SWMP sites")</f>
        <v>SWMP sites</v>
      </c>
      <c r="I1052" s="15">
        <f ca="1">IFERROR(__xludf.DUMMYFUNCTION("""COMPUTED_VALUE"""),0.572916666667879)</f>
        <v>0.57291666666787899</v>
      </c>
      <c r="J1052" s="16">
        <f ca="1">IFERROR(__xludf.DUMMYFUNCTION("""COMPUTED_VALUE"""),45126.625)</f>
        <v>45126.625</v>
      </c>
      <c r="K1052" t="str">
        <f ca="1">IFERROR(__xludf.DUMMYFUNCTION("""COMPUTED_VALUE"""),"23ft Skiff (Bertha) FL7972LJ DEP07613")</f>
        <v>23ft Skiff (Bertha) FL7972LJ DEP07613</v>
      </c>
      <c r="M1052" t="str">
        <f ca="1">IFERROR(__xludf.DUMMYFUNCTION("""COMPUTED_VALUE"""),"Ford F250 2017 (Moby Dix) - DEP0021578")</f>
        <v>Ford F250 2017 (Moby Dix) - DEP0021578</v>
      </c>
      <c r="N1052" t="str">
        <f ca="1">IFERROR(__xludf.DUMMYFUNCTION("""COMPUTED_VALUE"""),"Shannon Dunnigan, (803) 727-5734")</f>
        <v>Shannon Dunnigan, (803) 727-5734</v>
      </c>
      <c r="O1052" t="str">
        <f ca="1">IFERROR(__xludf.DUMMYFUNCTION("""COMPUTED_VALUE"""),"Avah Avonda, Nate Schirmer")</f>
        <v>Avah Avonda, Nate Schirmer</v>
      </c>
      <c r="P1052" t="str">
        <f ca="1">IFERROR(__xludf.DUMMYFUNCTION("""COMPUTED_VALUE"""),"Shannon")</f>
        <v>Shannon</v>
      </c>
      <c r="AE1052" s="11"/>
      <c r="AF1052" t="str">
        <v>Jacob.Berna@floridadep.gov</v>
      </c>
      <c r="AG1052" s="17" t="s">
        <v>3071</v>
      </c>
      <c r="AH1052" s="12">
        <v>1315</v>
      </c>
      <c r="AI1052" s="12" t="s">
        <v>3111</v>
      </c>
      <c r="AJ1052" s="19" t="s">
        <v>3112</v>
      </c>
      <c r="AK1052" s="20" t="str">
        <f>HYPERLINK("https://docs.google.com/document/d/1ILcBS7SlIaq4kaoKXEuaELPKHPGOvdSwmGkz9iL4ffs/edit?usp=drivesdk","Shannon Dunnigan - 7/18/2023 9:15 AM")</f>
        <v>Shannon Dunnigan - 7/18/2023 9:15 AM</v>
      </c>
      <c r="AL1052" s="12" t="s">
        <v>3113</v>
      </c>
    </row>
    <row r="1053" spans="1:38" ht="12.75">
      <c r="A1053" s="10">
        <f ca="1">IFERROR(__xludf.DUMMYFUNCTION("""COMPUTED_VALUE"""),45126.3860864814)</f>
        <v>45126.386086481398</v>
      </c>
      <c r="B1053" s="11" t="str">
        <f ca="1">IFERROR(__xludf.DUMMYFUNCTION("""COMPUTED_VALUE"""),"Allix North")</f>
        <v>Allix North</v>
      </c>
      <c r="C1053" t="str">
        <f ca="1">IFERROR(__xludf.DUMMYFUNCTION("""COMPUTED_VALUE"""),"Allix.North@dep.state.fl.us")</f>
        <v>Allix.North@dep.state.fl.us</v>
      </c>
      <c r="D1053" t="str">
        <f ca="1">IFERROR(__xludf.DUMMYFUNCTION("""COMPUTED_VALUE"""),"Shannon Dunnigan")</f>
        <v>Shannon Dunnigan</v>
      </c>
      <c r="E1053" t="str">
        <f ca="1">IFERROR(__xludf.DUMMYFUNCTION("""COMPUTED_VALUE"""),"Usina Boat Ramp (Aunt Kate's)")</f>
        <v>Usina Boat Ramp (Aunt Kate's)</v>
      </c>
      <c r="F1053" s="13">
        <f ca="1">IFERROR(__xludf.DUMMYFUNCTION("""COMPUTED_VALUE"""),0.416666666667879)</f>
        <v>0.41666666666787899</v>
      </c>
      <c r="G1053" s="14">
        <f ca="1">IFERROR(__xludf.DUMMYFUNCTION("""COMPUTED_VALUE"""),45126)</f>
        <v>45126</v>
      </c>
      <c r="H1053" t="str">
        <f ca="1">IFERROR(__xludf.DUMMYFUNCTION("""COMPUTED_VALUE"""),"Hat Island SET and North to Shell Bluff")</f>
        <v>Hat Island SET and North to Shell Bluff</v>
      </c>
      <c r="I1053" s="15">
        <f ca="1">IFERROR(__xludf.DUMMYFUNCTION("""COMPUTED_VALUE"""),0.5)</f>
        <v>0.5</v>
      </c>
      <c r="J1053" s="16">
        <f ca="1">IFERROR(__xludf.DUMMYFUNCTION("""COMPUTED_VALUE"""),45126.5208333333)</f>
        <v>45126.520833333299</v>
      </c>
      <c r="K1053" t="str">
        <f ca="1">IFERROR(__xludf.DUMMYFUNCTION("""COMPUTED_VALUE"""),"23ft Skiff (Bertha) FL7972LJ DEP07613")</f>
        <v>23ft Skiff (Bertha) FL7972LJ DEP07613</v>
      </c>
      <c r="M1053" t="str">
        <f ca="1">IFERROR(__xludf.DUMMYFUNCTION("""COMPUTED_VALUE"""),"Ford F250 2017 (Moby Dix) - DEP0021578")</f>
        <v>Ford F250 2017 (Moby Dix) - DEP0021578</v>
      </c>
      <c r="N1053" t="str">
        <f ca="1">IFERROR(__xludf.DUMMYFUNCTION("""COMPUTED_VALUE"""),"Jacob Berna, (904) 392-1966")</f>
        <v>Jacob Berna, (904) 392-1966</v>
      </c>
      <c r="O1053" t="str">
        <f ca="1">IFERROR(__xludf.DUMMYFUNCTION("""COMPUTED_VALUE"""),"Lia Sansom, (520) 940-4888, Matt Norton, Keith Singleton, Christopher Kinslow, Hayley Springer, Lia Sansom, Earl Pearson")</f>
        <v>Lia Sansom, (520) 940-4888, Matt Norton, Keith Singleton, Christopher Kinslow, Hayley Springer, Lia Sansom, Earl Pearson</v>
      </c>
      <c r="P1053" t="str">
        <f ca="1">IFERROR(__xludf.DUMMYFUNCTION("""COMPUTED_VALUE"""),"Jacob Berna")</f>
        <v>Jacob Berna</v>
      </c>
      <c r="AE1053" s="11"/>
      <c r="AF1053" t="str">
        <v>Shannon.Dunnigan@floridadep.gov</v>
      </c>
      <c r="AG1053" s="18"/>
      <c r="AI1053" s="12" t="s">
        <v>3114</v>
      </c>
      <c r="AJ1053" s="19" t="s">
        <v>3115</v>
      </c>
      <c r="AK1053" s="20" t="str">
        <f>HYPERLINK("https://docs.google.com/document/d/1aiWp8pgnWI2DZ_4E7VqF7ZxOu158dgSPL--VqzWjJIk/edit?usp=drivesdk","Allix North - 7/19/2023 10:00 AM")</f>
        <v>Allix North - 7/19/2023 10:00 AM</v>
      </c>
      <c r="AL1053" s="12" t="s">
        <v>3116</v>
      </c>
    </row>
    <row r="1054" spans="1:38" ht="12.75">
      <c r="A1054" s="10">
        <f ca="1">IFERROR(__xludf.DUMMYFUNCTION("""COMPUTED_VALUE"""),45134.3810549768)</f>
        <v>45134.381054976802</v>
      </c>
      <c r="B1054" s="11" t="str">
        <f ca="1">IFERROR(__xludf.DUMMYFUNCTION("""COMPUTED_VALUE"""),"Jacob Berna")</f>
        <v>Jacob Berna</v>
      </c>
      <c r="C1054" t="str">
        <f ca="1">IFERROR(__xludf.DUMMYFUNCTION("""COMPUTED_VALUE"""),"Jacob.Berna@FloridaDEP.gov")</f>
        <v>Jacob.Berna@FloridaDEP.gov</v>
      </c>
      <c r="D1054" t="str">
        <f ca="1">IFERROR(__xludf.DUMMYFUNCTION("""COMPUTED_VALUE"""),"Scott Eastman")</f>
        <v>Scott Eastman</v>
      </c>
      <c r="E1054" t="str">
        <f ca="1">IFERROR(__xludf.DUMMYFUNCTION("""COMPUTED_VALUE"""),"Frank Butler Boat Ramp")</f>
        <v>Frank Butler Boat Ramp</v>
      </c>
      <c r="F1054" s="13">
        <f ca="1">IFERROR(__xludf.DUMMYFUNCTION("""COMPUTED_VALUE"""),0.385416666667879)</f>
        <v>0.38541666666787899</v>
      </c>
      <c r="G1054" s="14">
        <f ca="1">IFERROR(__xludf.DUMMYFUNCTION("""COMPUTED_VALUE"""),45134)</f>
        <v>45134</v>
      </c>
      <c r="H1054" t="str">
        <f ca="1">IFERROR(__xludf.DUMMYFUNCTION("""COMPUTED_VALUE"""),"Fort Matanzas Reefs")</f>
        <v>Fort Matanzas Reefs</v>
      </c>
      <c r="I1054" s="15">
        <f ca="1">IFERROR(__xludf.DUMMYFUNCTION("""COMPUTED_VALUE"""),0.64583333333212)</f>
        <v>0.64583333333212001</v>
      </c>
      <c r="J1054" s="16">
        <f ca="1">IFERROR(__xludf.DUMMYFUNCTION("""COMPUTED_VALUE"""),45134.6875)</f>
        <v>45134.6875</v>
      </c>
      <c r="K1054" t="str">
        <f ca="1">IFERROR(__xludf.DUMMYFUNCTION("""COMPUTED_VALUE"""),"20ft Sea Ark FL5351SJ UNF 2015")</f>
        <v>20ft Sea Ark FL5351SJ UNF 2015</v>
      </c>
      <c r="M1054" t="str">
        <f ca="1">IFERROR(__xludf.DUMMYFUNCTION("""COMPUTED_VALUE"""),"Ford F250 2017 (Moby Dix) - DEP0021578")</f>
        <v>Ford F250 2017 (Moby Dix) - DEP0021578</v>
      </c>
      <c r="N1054" t="str">
        <f ca="1">IFERROR(__xludf.DUMMYFUNCTION("""COMPUTED_VALUE"""),"Allix North, (850) 420-7495, Jacob Berna, (904) 392-1966, Nikki Dix, (352) 219-4079")</f>
        <v>Allix North, (850) 420-7495, Jacob Berna, (904) 392-1966, Nikki Dix, (352) 219-4079</v>
      </c>
      <c r="O1054" t="str">
        <f ca="1">IFERROR(__xludf.DUMMYFUNCTION("""COMPUTED_VALUE"""),"Hans, Alyah, Grace Farmer, Savannah ")</f>
        <v xml:space="preserve">Hans, Alyah, Grace Farmer, Savannah </v>
      </c>
      <c r="P1054" t="str">
        <f ca="1">IFERROR(__xludf.DUMMYFUNCTION("""COMPUTED_VALUE"""),"Jacob Berna")</f>
        <v>Jacob Berna</v>
      </c>
      <c r="AE1054" s="11"/>
      <c r="AF1054" t="str">
        <v>Scott.Eastman@floridadep.gov</v>
      </c>
      <c r="AG1054" s="17" t="s">
        <v>21</v>
      </c>
      <c r="AH1054" s="12">
        <v>1400</v>
      </c>
      <c r="AI1054" s="12" t="s">
        <v>3117</v>
      </c>
      <c r="AJ1054" s="19" t="s">
        <v>3118</v>
      </c>
      <c r="AK1054" s="20" t="str">
        <f>HYPERLINK("https://docs.google.com/document/d/1kz63aCtD8EOo1dP1pCjC4IDQvpk4bY1ceXD212fNiQ8/edit?usp=drivesdk","Jacob Berna - 7/27/2023 9:15 AM")</f>
        <v>Jacob Berna - 7/27/2023 9:15 AM</v>
      </c>
      <c r="AL1054" s="12" t="s">
        <v>3119</v>
      </c>
    </row>
    <row r="1055" spans="1:38" ht="12.75">
      <c r="A1055" s="10">
        <f ca="1">IFERROR(__xludf.DUMMYFUNCTION("""COMPUTED_VALUE"""),45135.3900176967)</f>
        <v>45135.3900176967</v>
      </c>
      <c r="B1055" s="11" t="str">
        <f ca="1">IFERROR(__xludf.DUMMYFUNCTION("""COMPUTED_VALUE"""),"Jacob Berna")</f>
        <v>Jacob Berna</v>
      </c>
      <c r="C1055" t="str">
        <f ca="1">IFERROR(__xludf.DUMMYFUNCTION("""COMPUTED_VALUE"""),"Jacob.Berna@FloridaDEP.gov")</f>
        <v>Jacob.Berna@FloridaDEP.gov</v>
      </c>
      <c r="D1055" t="str">
        <f ca="1">IFERROR(__xludf.DUMMYFUNCTION("""COMPUTED_VALUE"""),"Scott Eastman")</f>
        <v>Scott Eastman</v>
      </c>
      <c r="E1055" t="str">
        <f ca="1">IFERROR(__xludf.DUMMYFUNCTION("""COMPUTED_VALUE"""),"Frank Butler Boat Ramp")</f>
        <v>Frank Butler Boat Ramp</v>
      </c>
      <c r="F1055" s="13">
        <f ca="1">IFERROR(__xludf.DUMMYFUNCTION("""COMPUTED_VALUE"""),0.385416666667879)</f>
        <v>0.38541666666787899</v>
      </c>
      <c r="G1055" s="14">
        <f ca="1">IFERROR(__xludf.DUMMYFUNCTION("""COMPUTED_VALUE"""),45135)</f>
        <v>45135</v>
      </c>
      <c r="H1055" t="str">
        <f ca="1">IFERROR(__xludf.DUMMYFUNCTION("""COMPUTED_VALUE"""),"Butler Reefs")</f>
        <v>Butler Reefs</v>
      </c>
      <c r="I1055" s="15">
        <f ca="1">IFERROR(__xludf.DUMMYFUNCTION("""COMPUTED_VALUE"""),0.625)</f>
        <v>0.625</v>
      </c>
      <c r="J1055" s="16">
        <f ca="1">IFERROR(__xludf.DUMMYFUNCTION("""COMPUTED_VALUE"""),45135.6666666666)</f>
        <v>45135.666666666599</v>
      </c>
      <c r="K1055" t="str">
        <f ca="1">IFERROR(__xludf.DUMMYFUNCTION("""COMPUTED_VALUE"""),"20ft Sea Ark FL5351SJ UNF 2015")</f>
        <v>20ft Sea Ark FL5351SJ UNF 2015</v>
      </c>
      <c r="M1055" t="str">
        <f ca="1">IFERROR(__xludf.DUMMYFUNCTION("""COMPUTED_VALUE"""),"Ford F250 2017 (Moby Dix) - DEP0021578")</f>
        <v>Ford F250 2017 (Moby Dix) - DEP0021578</v>
      </c>
      <c r="N1055" t="str">
        <f ca="1">IFERROR(__xludf.DUMMYFUNCTION("""COMPUTED_VALUE"""),"Allix North, (850) 420-7495, Jacob Berna, (904) 392-1966, Nikki Dix, (352) 219-4079")</f>
        <v>Allix North, (850) 420-7495, Jacob Berna, (904) 392-1966, Nikki Dix, (352) 219-4079</v>
      </c>
      <c r="O1055" t="str">
        <f ca="1">IFERROR(__xludf.DUMMYFUNCTION("""COMPUTED_VALUE"""),"Alyah, Savannah, Hans")</f>
        <v>Alyah, Savannah, Hans</v>
      </c>
      <c r="P1055" t="str">
        <f ca="1">IFERROR(__xludf.DUMMYFUNCTION("""COMPUTED_VALUE"""),"Jacob Berna")</f>
        <v>Jacob Berna</v>
      </c>
      <c r="AE1055" s="11"/>
      <c r="AF1055" t="str">
        <v>Scott.Eastman@floridadep.gov</v>
      </c>
      <c r="AG1055" s="17" t="s">
        <v>21</v>
      </c>
      <c r="AI1055" s="12" t="s">
        <v>3120</v>
      </c>
      <c r="AJ1055" s="19" t="s">
        <v>3121</v>
      </c>
      <c r="AK1055" s="20" t="str">
        <f>HYPERLINK("https://docs.google.com/document/d/1JU2DuA0boNg20jvcm5okP14So82BfQV8N7ddX_4I-58/edit?usp=drivesdk","Jacob Berna - 7/28/2023 9:15 AM")</f>
        <v>Jacob Berna - 7/28/2023 9:15 AM</v>
      </c>
      <c r="AL1055" s="12" t="s">
        <v>3122</v>
      </c>
    </row>
    <row r="1056" spans="1:38" ht="12.75">
      <c r="A1056" s="10">
        <f ca="1">IFERROR(__xludf.DUMMYFUNCTION("""COMPUTED_VALUE"""),45138.6553923032)</f>
        <v>45138.655392303197</v>
      </c>
      <c r="B1056" s="11" t="str">
        <f ca="1">IFERROR(__xludf.DUMMYFUNCTION("""COMPUTED_VALUE"""),"Shannon")</f>
        <v>Shannon</v>
      </c>
      <c r="C1056" t="str">
        <f ca="1">IFERROR(__xludf.DUMMYFUNCTION("""COMPUTED_VALUE"""),"Shannon.Dunnigan@dep.state.fl.us")</f>
        <v>Shannon.Dunnigan@dep.state.fl.us</v>
      </c>
      <c r="D1056" t="str">
        <f ca="1">IFERROR(__xludf.DUMMYFUNCTION("""COMPUTED_VALUE"""),"Jacob Berna")</f>
        <v>Jacob Berna</v>
      </c>
      <c r="E1056" t="str">
        <f ca="1">IFERROR(__xludf.DUMMYFUNCTION("""COMPUTED_VALUE"""),"Vilano Boat Ramp")</f>
        <v>Vilano Boat Ramp</v>
      </c>
      <c r="F1056" s="13">
        <f ca="1">IFERROR(__xludf.DUMMYFUNCTION("""COMPUTED_VALUE"""),0.354166666667879)</f>
        <v>0.35416666666787899</v>
      </c>
      <c r="G1056" s="14">
        <f ca="1">IFERROR(__xludf.DUMMYFUNCTION("""COMPUTED_VALUE"""),45139)</f>
        <v>45139</v>
      </c>
      <c r="H1056" t="str">
        <f ca="1">IFERROR(__xludf.DUMMYFUNCTION("""COMPUTED_VALUE"""),"SWMP sites")</f>
        <v>SWMP sites</v>
      </c>
      <c r="I1056" s="15">
        <f ca="1">IFERROR(__xludf.DUMMYFUNCTION("""COMPUTED_VALUE"""),0.5625)</f>
        <v>0.5625</v>
      </c>
      <c r="J1056" s="16">
        <f ca="1">IFERROR(__xludf.DUMMYFUNCTION("""COMPUTED_VALUE"""),45139.6041666666)</f>
        <v>45139.604166666599</v>
      </c>
      <c r="K1056" t="str">
        <f ca="1">IFERROR(__xludf.DUMMYFUNCTION("""COMPUTED_VALUE"""),"23ft Skiff (Bertha) FL7972LJ DEP07613")</f>
        <v>23ft Skiff (Bertha) FL7972LJ DEP07613</v>
      </c>
      <c r="M1056" t="str">
        <f ca="1">IFERROR(__xludf.DUMMYFUNCTION("""COMPUTED_VALUE"""),"Ford F250 2017 (Moby Dix) - DEP0021578")</f>
        <v>Ford F250 2017 (Moby Dix) - DEP0021578</v>
      </c>
      <c r="N1056" t="str">
        <f ca="1">IFERROR(__xludf.DUMMYFUNCTION("""COMPUTED_VALUE"""),"Nikki Dix, (352) 219-4079, Shannon Dunnigan, (803) 727-5734")</f>
        <v>Nikki Dix, (352) 219-4079, Shannon Dunnigan, (803) 727-5734</v>
      </c>
      <c r="O1056" t="str">
        <f ca="1">IFERROR(__xludf.DUMMYFUNCTION("""COMPUTED_VALUE"""),"Avah Avonda, Nate Schirmer")</f>
        <v>Avah Avonda, Nate Schirmer</v>
      </c>
      <c r="P1056" t="str">
        <f ca="1">IFERROR(__xludf.DUMMYFUNCTION("""COMPUTED_VALUE"""),"Shannon")</f>
        <v>Shannon</v>
      </c>
      <c r="AE1056" s="11"/>
      <c r="AF1056" t="str">
        <v>Jacob.Berna@floridadep.gov</v>
      </c>
      <c r="AG1056" s="17" t="s">
        <v>639</v>
      </c>
      <c r="AH1056" s="12">
        <v>1248</v>
      </c>
      <c r="AI1056" s="12" t="s">
        <v>3123</v>
      </c>
      <c r="AJ1056" s="19" t="s">
        <v>3124</v>
      </c>
      <c r="AK1056" s="20" t="str">
        <f>HYPERLINK("https://docs.google.com/document/d/1F_eIGu3UuQ-ejLwijIxJlnnKWPg0p-FCsSbK8iqHBqk/edit?usp=drivesdk","Shannon - 8/1/2023 8:30 AM")</f>
        <v>Shannon - 8/1/2023 8:30 AM</v>
      </c>
      <c r="AL1056" s="12" t="s">
        <v>3125</v>
      </c>
    </row>
    <row r="1057" spans="1:38" ht="12.75">
      <c r="A1057" s="10">
        <f ca="1">IFERROR(__xludf.DUMMYFUNCTION("""COMPUTED_VALUE"""),45141.4749379398)</f>
        <v>45141.474937939798</v>
      </c>
      <c r="B1057" s="11" t="str">
        <f ca="1">IFERROR(__xludf.DUMMYFUNCTION("""COMPUTED_VALUE"""),"Hans Prevost")</f>
        <v>Hans Prevost</v>
      </c>
      <c r="C1057" t="str">
        <f ca="1">IFERROR(__xludf.DUMMYFUNCTION("""COMPUTED_VALUE"""),"hans.prevost@floridadep.gov")</f>
        <v>hans.prevost@floridadep.gov</v>
      </c>
      <c r="D1057" t="str">
        <f ca="1">IFERROR(__xludf.DUMMYFUNCTION("""COMPUTED_VALUE"""),"Nikki Dix")</f>
        <v>Nikki Dix</v>
      </c>
      <c r="E1057" t="str">
        <f ca="1">IFERROR(__xludf.DUMMYFUNCTION("""COMPUTED_VALUE"""),"Vilano Boat Ramp")</f>
        <v>Vilano Boat Ramp</v>
      </c>
      <c r="F1057" s="13">
        <f ca="1">IFERROR(__xludf.DUMMYFUNCTION("""COMPUTED_VALUE"""),0.479166666667879)</f>
        <v>0.47916666666787899</v>
      </c>
      <c r="G1057" s="14">
        <f ca="1">IFERROR(__xludf.DUMMYFUNCTION("""COMPUTED_VALUE"""),45141)</f>
        <v>45141</v>
      </c>
      <c r="H1057" t="str">
        <f ca="1">IFERROR(__xludf.DUMMYFUNCTION("""COMPUTED_VALUE"""),"Boat training - around vilano area")</f>
        <v>Boat training - around vilano area</v>
      </c>
      <c r="I1057" s="15">
        <f ca="1">IFERROR(__xludf.DUMMYFUNCTION("""COMPUTED_VALUE"""),0.625)</f>
        <v>0.625</v>
      </c>
      <c r="J1057" s="16">
        <f ca="1">IFERROR(__xludf.DUMMYFUNCTION("""COMPUTED_VALUE"""),45141.6458333333)</f>
        <v>45141.645833333299</v>
      </c>
      <c r="K1057" t="str">
        <f ca="1">IFERROR(__xludf.DUMMYFUNCTION("""COMPUTED_VALUE"""),"23ft Skiff (Bertha) FL7972LJ DEP07613")</f>
        <v>23ft Skiff (Bertha) FL7972LJ DEP07613</v>
      </c>
      <c r="M1057" t="str">
        <f ca="1">IFERROR(__xludf.DUMMYFUNCTION("""COMPUTED_VALUE"""),"Ford F250 2017 (Moby Dix) - DEP0021578")</f>
        <v>Ford F250 2017 (Moby Dix) - DEP0021578</v>
      </c>
      <c r="N1057" t="str">
        <f ca="1">IFERROR(__xludf.DUMMYFUNCTION("""COMPUTED_VALUE"""),"Jacob Berna, (904) 392-1966")</f>
        <v>Jacob Berna, (904) 392-1966</v>
      </c>
      <c r="O1057" t="str">
        <f ca="1">IFERROR(__xludf.DUMMYFUNCTION("""COMPUTED_VALUE"""),"Hans Prevost")</f>
        <v>Hans Prevost</v>
      </c>
      <c r="P1057" t="str">
        <f ca="1">IFERROR(__xludf.DUMMYFUNCTION("""COMPUTED_VALUE"""),"Jacob Berna ")</f>
        <v xml:space="preserve">Jacob Berna </v>
      </c>
      <c r="AE1057" s="11"/>
      <c r="AF1057" t="str">
        <v>Nikki.Dix@floridadep.gov</v>
      </c>
      <c r="AG1057" s="17" t="s">
        <v>41</v>
      </c>
      <c r="AH1057" s="12">
        <v>1439</v>
      </c>
      <c r="AI1057" s="12" t="s">
        <v>3126</v>
      </c>
      <c r="AJ1057" s="19" t="s">
        <v>3127</v>
      </c>
      <c r="AK1057" s="20" t="str">
        <f>HYPERLINK("https://docs.google.com/document/d/1HJG3RjyGlzpYaYTI9kuxS_rBCqnuMCfC-9RY9k9-ziA/edit?usp=drivesdk","Hans Prevost - 8/3/2023 11:30 AM")</f>
        <v>Hans Prevost - 8/3/2023 11:30 AM</v>
      </c>
      <c r="AL1057" s="12" t="s">
        <v>3128</v>
      </c>
    </row>
    <row r="1058" spans="1:38" ht="12.75">
      <c r="A1058" s="10">
        <f ca="1">IFERROR(__xludf.DUMMYFUNCTION("""COMPUTED_VALUE"""),45148.4322873148)</f>
        <v>45148.432287314798</v>
      </c>
      <c r="B1058" s="11" t="str">
        <f ca="1">IFERROR(__xludf.DUMMYFUNCTION("""COMPUTED_VALUE"""),"Hans Prevost")</f>
        <v>Hans Prevost</v>
      </c>
      <c r="C1058" t="str">
        <f ca="1">IFERROR(__xludf.DUMMYFUNCTION("""COMPUTED_VALUE"""),"hans.prevost@floridadep.gov")</f>
        <v>hans.prevost@floridadep.gov</v>
      </c>
      <c r="D1058" t="str">
        <f ca="1">IFERROR(__xludf.DUMMYFUNCTION("""COMPUTED_VALUE"""),"Scott Eastman")</f>
        <v>Scott Eastman</v>
      </c>
      <c r="E1058" t="str">
        <f ca="1">IFERROR(__xludf.DUMMYFUNCTION("""COMPUTED_VALUE"""),"Frank Butler Boat Ramp")</f>
        <v>Frank Butler Boat Ramp</v>
      </c>
      <c r="F1058" s="13">
        <f ca="1">IFERROR(__xludf.DUMMYFUNCTION("""COMPUTED_VALUE"""),0.430555555554747)</f>
        <v>0.430555555554747</v>
      </c>
      <c r="G1058" s="14">
        <f ca="1">IFERROR(__xludf.DUMMYFUNCTION("""COMPUTED_VALUE"""),45148)</f>
        <v>45148</v>
      </c>
      <c r="H1058" t="str">
        <f ca="1">IFERROR(__xludf.DUMMYFUNCTION("""COMPUTED_VALUE"""),"Devils elbow")</f>
        <v>Devils elbow</v>
      </c>
      <c r="I1058" s="15">
        <f ca="1">IFERROR(__xludf.DUMMYFUNCTION("""COMPUTED_VALUE"""),0.58333333333212)</f>
        <v>0.58333333333212001</v>
      </c>
      <c r="J1058" s="16">
        <f ca="1">IFERROR(__xludf.DUMMYFUNCTION("""COMPUTED_VALUE"""),45148.625)</f>
        <v>45148.625</v>
      </c>
      <c r="K1058" t="str">
        <f ca="1">IFERROR(__xludf.DUMMYFUNCTION("""COMPUTED_VALUE"""),"20ft Sea Ark FL5351SJ UNF 2015")</f>
        <v>20ft Sea Ark FL5351SJ UNF 2015</v>
      </c>
      <c r="M1058" t="str">
        <f ca="1">IFERROR(__xludf.DUMMYFUNCTION("""COMPUTED_VALUE"""),"DEP22510 ML")</f>
        <v>DEP22510 ML</v>
      </c>
      <c r="N1058" t="str">
        <f ca="1">IFERROR(__xludf.DUMMYFUNCTION("""COMPUTED_VALUE"""),"Allix North, (850) 420-7495")</f>
        <v>Allix North, (850) 420-7495</v>
      </c>
      <c r="O1058" t="str">
        <f ca="1">IFERROR(__xludf.DUMMYFUNCTION("""COMPUTED_VALUE"""),"Hans Prevost, Savanna Mathis, Alyah Bennett")</f>
        <v>Hans Prevost, Savanna Mathis, Alyah Bennett</v>
      </c>
      <c r="P1058" t="str">
        <f ca="1">IFERROR(__xludf.DUMMYFUNCTION("""COMPUTED_VALUE"""),"Allix North")</f>
        <v>Allix North</v>
      </c>
      <c r="AE1058" s="11"/>
      <c r="AF1058" t="str">
        <v>Scott.Eastman@floridadep.gov</v>
      </c>
      <c r="AG1058" s="17" t="s">
        <v>21</v>
      </c>
      <c r="AI1058" s="12" t="s">
        <v>3129</v>
      </c>
      <c r="AJ1058" s="19" t="s">
        <v>3130</v>
      </c>
      <c r="AK1058" s="20" t="str">
        <f>HYPERLINK("https://docs.google.com/document/d/1--x_quWRk7v4tOXVm68b4ImeRzUb8B9PWczpxVwCQTk/edit?usp=drivesdk","Hans Prevost - 8/10/2023 10:20 AM")</f>
        <v>Hans Prevost - 8/10/2023 10:20 AM</v>
      </c>
      <c r="AL1058" s="12" t="s">
        <v>3131</v>
      </c>
    </row>
    <row r="1059" spans="1:38" ht="12.75">
      <c r="A1059" s="10">
        <f ca="1">IFERROR(__xludf.DUMMYFUNCTION("""COMPUTED_VALUE"""),45152.3786475115)</f>
        <v>45152.378647511498</v>
      </c>
      <c r="B1059" s="11" t="str">
        <f ca="1">IFERROR(__xludf.DUMMYFUNCTION("""COMPUTED_VALUE"""),"Jessica Lee")</f>
        <v>Jessica Lee</v>
      </c>
      <c r="C1059" t="str">
        <f ca="1">IFERROR(__xludf.DUMMYFUNCTION("""COMPUTED_VALUE"""),"jessica.lee@floridadep.gov")</f>
        <v>jessica.lee@floridadep.gov</v>
      </c>
      <c r="D1059" t="str">
        <f ca="1">IFERROR(__xludf.DUMMYFUNCTION("""COMPUTED_VALUE"""),"Nikki Dix")</f>
        <v>Nikki Dix</v>
      </c>
      <c r="E1059" t="str">
        <f ca="1">IFERROR(__xludf.DUMMYFUNCTION("""COMPUTED_VALUE"""),"Guana Dam")</f>
        <v>Guana Dam</v>
      </c>
      <c r="F1059" s="13">
        <f ca="1">IFERROR(__xludf.DUMMYFUNCTION("""COMPUTED_VALUE"""),0.375)</f>
        <v>0.375</v>
      </c>
      <c r="G1059" s="14">
        <f ca="1">IFERROR(__xludf.DUMMYFUNCTION("""COMPUTED_VALUE"""),45152)</f>
        <v>45152</v>
      </c>
      <c r="H1059" t="str">
        <f ca="1">IFERROR(__xludf.DUMMYFUNCTION("""COMPUTED_VALUE"""),"Guana River")</f>
        <v>Guana River</v>
      </c>
      <c r="I1059" s="15">
        <f ca="1">IFERROR(__xludf.DUMMYFUNCTION("""COMPUTED_VALUE"""),0.416666666667879)</f>
        <v>0.41666666666787899</v>
      </c>
      <c r="J1059" s="16">
        <f ca="1">IFERROR(__xludf.DUMMYFUNCTION("""COMPUTED_VALUE"""),45152.4375)</f>
        <v>45152.4375</v>
      </c>
      <c r="K1059" t="str">
        <f ca="1">IFERROR(__xludf.DUMMYFUNCTION("""COMPUTED_VALUE"""),"Jon Boat 1 FL5992RR DEP154045")</f>
        <v>Jon Boat 1 FL5992RR DEP154045</v>
      </c>
      <c r="M1059" t="str">
        <f ca="1">IFERROR(__xludf.DUMMYFUNCTION("""COMPUTED_VALUE"""),"Ford F150 2015 (White) - DEP21448")</f>
        <v>Ford F150 2015 (White) - DEP21448</v>
      </c>
      <c r="N1059" t="str">
        <f ca="1">IFERROR(__xludf.DUMMYFUNCTION("""COMPUTED_VALUE"""),"Jessica Lee, (813) 748-2228")</f>
        <v>Jessica Lee, (813) 748-2228</v>
      </c>
      <c r="O1059" t="str">
        <f ca="1">IFERROR(__xludf.DUMMYFUNCTION("""COMPUTED_VALUE"""),"Hans Prevost, Monica")</f>
        <v>Hans Prevost, Monica</v>
      </c>
      <c r="P1059" t="str">
        <f ca="1">IFERROR(__xludf.DUMMYFUNCTION("""COMPUTED_VALUE"""),"Jess")</f>
        <v>Jess</v>
      </c>
      <c r="AE1059" s="11"/>
      <c r="AF1059" t="str">
        <v>Nikki.Dix@floridadep.gov</v>
      </c>
      <c r="AG1059" s="17" t="s">
        <v>41</v>
      </c>
      <c r="AH1059" s="12">
        <v>1009</v>
      </c>
      <c r="AI1059" s="12" t="s">
        <v>3132</v>
      </c>
      <c r="AJ1059" s="19" t="s">
        <v>3133</v>
      </c>
      <c r="AK1059" s="20" t="str">
        <f>HYPERLINK("https://docs.google.com/document/d/1O-wo-83ToKh_nCsc6-LHkCe5wnQehZr6jH_QBXZe38g/edit?usp=drivesdk","Jessica Lee - 8/14/2023 9:00 AM")</f>
        <v>Jessica Lee - 8/14/2023 9:00 AM</v>
      </c>
      <c r="AL1059" s="12" t="s">
        <v>3134</v>
      </c>
    </row>
    <row r="1060" spans="1:38" ht="12.75">
      <c r="A1060" s="10">
        <f ca="1">IFERROR(__xludf.DUMMYFUNCTION("""COMPUTED_VALUE"""),45155.3031915046)</f>
        <v>45155.303191504601</v>
      </c>
      <c r="B1060" s="11" t="str">
        <f ca="1">IFERROR(__xludf.DUMMYFUNCTION("""COMPUTED_VALUE"""),"Allix North")</f>
        <v>Allix North</v>
      </c>
      <c r="C1060" t="str">
        <f ca="1">IFERROR(__xludf.DUMMYFUNCTION("""COMPUTED_VALUE"""),"Allix.North@dep.state.fl.us")</f>
        <v>Allix.North@dep.state.fl.us</v>
      </c>
      <c r="D1060" t="str">
        <f ca="1">IFERROR(__xludf.DUMMYFUNCTION("""COMPUTED_VALUE"""),"Scott Eastman")</f>
        <v>Scott Eastman</v>
      </c>
      <c r="E1060" t="str">
        <f ca="1">IFERROR(__xludf.DUMMYFUNCTION("""COMPUTED_VALUE"""),"Whitney Lab Marineland")</f>
        <v>Whitney Lab Marineland</v>
      </c>
      <c r="F1060" s="13">
        <f ca="1">IFERROR(__xludf.DUMMYFUNCTION("""COMPUTED_VALUE"""),0.354166666667879)</f>
        <v>0.35416666666787899</v>
      </c>
      <c r="G1060" s="14">
        <f ca="1">IFERROR(__xludf.DUMMYFUNCTION("""COMPUTED_VALUE"""),45155)</f>
        <v>45155</v>
      </c>
      <c r="H1060" t="str">
        <f ca="1">IFERROR(__xludf.DUMMYFUNCTION("""COMPUTED_VALUE"""),"Washington Oaks are")</f>
        <v>Washington Oaks are</v>
      </c>
      <c r="I1060" s="15">
        <f ca="1">IFERROR(__xludf.DUMMYFUNCTION("""COMPUTED_VALUE"""),0.58333333333212)</f>
        <v>0.58333333333212001</v>
      </c>
      <c r="J1060" s="16">
        <f ca="1">IFERROR(__xludf.DUMMYFUNCTION("""COMPUTED_VALUE"""),45155.6041666666)</f>
        <v>45155.604166666599</v>
      </c>
      <c r="K1060" t="str">
        <f ca="1">IFERROR(__xludf.DUMMYFUNCTION("""COMPUTED_VALUE"""),"20ft Sea Ark FL5351SJ UNF 2015")</f>
        <v>20ft Sea Ark FL5351SJ UNF 2015</v>
      </c>
      <c r="M1060" t="str">
        <f ca="1">IFERROR(__xludf.DUMMYFUNCTION("""COMPUTED_VALUE"""),"Ford F150 - DEP22510")</f>
        <v>Ford F150 - DEP22510</v>
      </c>
      <c r="N1060" t="str">
        <f ca="1">IFERROR(__xludf.DUMMYFUNCTION("""COMPUTED_VALUE"""),"Allix North, (850) 420-7495")</f>
        <v>Allix North, (850) 420-7495</v>
      </c>
      <c r="O1060" t="str">
        <f ca="1">IFERROR(__xludf.DUMMYFUNCTION("""COMPUTED_VALUE"""),"Savanna Mathis, Orlando Cordero, Michael Espirilla")</f>
        <v>Savanna Mathis, Orlando Cordero, Michael Espirilla</v>
      </c>
      <c r="P1060" t="str">
        <f ca="1">IFERROR(__xludf.DUMMYFUNCTION("""COMPUTED_VALUE"""),"Allix North")</f>
        <v>Allix North</v>
      </c>
      <c r="AE1060" s="11"/>
      <c r="AF1060" t="str">
        <v>Scott.Eastman@floridadep.gov</v>
      </c>
      <c r="AG1060" s="17" t="s">
        <v>21</v>
      </c>
      <c r="AH1060" s="12">
        <v>1203</v>
      </c>
      <c r="AI1060" s="12" t="s">
        <v>3135</v>
      </c>
      <c r="AJ1060" s="19" t="s">
        <v>3136</v>
      </c>
      <c r="AK1060" s="20" t="str">
        <f>HYPERLINK("https://docs.google.com/document/d/1sRGeTHnxYYqxcGPJ2vRJBl_UBZGoGYZiK60_oEHdu34/edit?usp=drivesdk","Allix North - 8/17/2023 8:30 AM")</f>
        <v>Allix North - 8/17/2023 8:30 AM</v>
      </c>
      <c r="AL1060" s="12" t="s">
        <v>3137</v>
      </c>
    </row>
    <row r="1061" spans="1:38" ht="12.75">
      <c r="A1061" s="10">
        <f ca="1">IFERROR(__xludf.DUMMYFUNCTION("""COMPUTED_VALUE"""),45161.3692394675)</f>
        <v>45161.369239467502</v>
      </c>
      <c r="B1061" s="11" t="str">
        <f ca="1">IFERROR(__xludf.DUMMYFUNCTION("""COMPUTED_VALUE"""),"Jacob Berna")</f>
        <v>Jacob Berna</v>
      </c>
      <c r="C1061" t="str">
        <f ca="1">IFERROR(__xludf.DUMMYFUNCTION("""COMPUTED_VALUE"""),"jacob.berna@floridadep.gov")</f>
        <v>jacob.berna@floridadep.gov</v>
      </c>
      <c r="D1061" t="str">
        <f ca="1">IFERROR(__xludf.DUMMYFUNCTION("""COMPUTED_VALUE"""),"Shannon Dunnigan")</f>
        <v>Shannon Dunnigan</v>
      </c>
      <c r="E1061" t="str">
        <f ca="1">IFERROR(__xludf.DUMMYFUNCTION("""COMPUTED_VALUE"""),"Frank Butler Boat Ramp, Bing's Landing")</f>
        <v>Frank Butler Boat Ramp, Bing's Landing</v>
      </c>
      <c r="F1061" s="13">
        <f ca="1">IFERROR(__xludf.DUMMYFUNCTION("""COMPUTED_VALUE"""),0.375)</f>
        <v>0.375</v>
      </c>
      <c r="G1061" s="14">
        <f ca="1">IFERROR(__xludf.DUMMYFUNCTION("""COMPUTED_VALUE"""),45161)</f>
        <v>45161</v>
      </c>
      <c r="H1061" t="str">
        <f ca="1">IFERROR(__xludf.DUMMYFUNCTION("""COMPUTED_VALUE"""),"01 and 06 sites")</f>
        <v>01 and 06 sites</v>
      </c>
      <c r="I1061" s="15">
        <f ca="1">IFERROR(__xludf.DUMMYFUNCTION("""COMPUTED_VALUE"""),0.64583333333212)</f>
        <v>0.64583333333212001</v>
      </c>
      <c r="J1061" s="16">
        <f ca="1">IFERROR(__xludf.DUMMYFUNCTION("""COMPUTED_VALUE"""),45161.6875)</f>
        <v>45161.6875</v>
      </c>
      <c r="K1061" t="str">
        <f ca="1">IFERROR(__xludf.DUMMYFUNCTION("""COMPUTED_VALUE"""),"20ft Sea Ark FL5351SJ UNF 2015")</f>
        <v>20ft Sea Ark FL5351SJ UNF 2015</v>
      </c>
      <c r="M1061" t="str">
        <f ca="1">IFERROR(__xludf.DUMMYFUNCTION("""COMPUTED_VALUE"""),"Ford F150 2015 (White) - DEP21448")</f>
        <v>Ford F150 2015 (White) - DEP21448</v>
      </c>
      <c r="N1061" t="str">
        <f ca="1">IFERROR(__xludf.DUMMYFUNCTION("""COMPUTED_VALUE"""),"Jacob Berna, (904) 392-1966")</f>
        <v>Jacob Berna, (904) 392-1966</v>
      </c>
      <c r="O1061" t="str">
        <f ca="1">IFERROR(__xludf.DUMMYFUNCTION("""COMPUTED_VALUE"""),"Hans Prevost")</f>
        <v>Hans Prevost</v>
      </c>
      <c r="P1061" t="str">
        <f ca="1">IFERROR(__xludf.DUMMYFUNCTION("""COMPUTED_VALUE"""),"Jacob Berna")</f>
        <v>Jacob Berna</v>
      </c>
      <c r="AE1061" s="11"/>
      <c r="AF1061" t="str">
        <v>Shannon.Dunnigan@floridadep.gov</v>
      </c>
      <c r="AG1061" s="17" t="s">
        <v>639</v>
      </c>
      <c r="AH1061" s="12">
        <v>1413</v>
      </c>
      <c r="AI1061" s="12" t="s">
        <v>3138</v>
      </c>
      <c r="AJ1061" s="19" t="s">
        <v>3139</v>
      </c>
      <c r="AK1061" s="20" t="str">
        <f>HYPERLINK("https://docs.google.com/document/d/1BOJ5tzHxRYQ49yWc2nf1bn9Ws9iOjs0r4bvO4E_938A/edit?usp=drivesdk","Jacob Berna - 8/23/2023 9:00 AM")</f>
        <v>Jacob Berna - 8/23/2023 9:00 AM</v>
      </c>
      <c r="AL1061" s="12" t="s">
        <v>3140</v>
      </c>
    </row>
    <row r="1062" spans="1:38" ht="12.75">
      <c r="A1062" s="10">
        <f ca="1">IFERROR(__xludf.DUMMYFUNCTION("""COMPUTED_VALUE"""),45166.3921294097)</f>
        <v>45166.392129409702</v>
      </c>
      <c r="B1062" s="11" t="str">
        <f ca="1">IFERROR(__xludf.DUMMYFUNCTION("""COMPUTED_VALUE"""),"Jacob Berna")</f>
        <v>Jacob Berna</v>
      </c>
      <c r="C1062" t="str">
        <f ca="1">IFERROR(__xludf.DUMMYFUNCTION("""COMPUTED_VALUE"""),"jacob.berna@floridadep.gov")</f>
        <v>jacob.berna@floridadep.gov</v>
      </c>
      <c r="D1062" t="str">
        <f ca="1">IFERROR(__xludf.DUMMYFUNCTION("""COMPUTED_VALUE"""),"Nikki Dix")</f>
        <v>Nikki Dix</v>
      </c>
      <c r="E1062" t="str">
        <f ca="1">IFERROR(__xludf.DUMMYFUNCTION("""COMPUTED_VALUE"""),"Vilano Boat Ramp")</f>
        <v>Vilano Boat Ramp</v>
      </c>
      <c r="F1062" s="13">
        <f ca="1">IFERROR(__xludf.DUMMYFUNCTION("""COMPUTED_VALUE"""),0.388888888890505)</f>
        <v>0.38888888889050499</v>
      </c>
      <c r="G1062" s="14">
        <f ca="1">IFERROR(__xludf.DUMMYFUNCTION("""COMPUTED_VALUE"""),45166)</f>
        <v>45166</v>
      </c>
      <c r="H1062" t="str">
        <f ca="1">IFERROR(__xludf.DUMMYFUNCTION("""COMPUTED_VALUE"""),"HI, PI, EC")</f>
        <v>HI, PI, EC</v>
      </c>
      <c r="I1062" s="15">
        <f ca="1">IFERROR(__xludf.DUMMYFUNCTION("""COMPUTED_VALUE"""),0.58333333333212)</f>
        <v>0.58333333333212001</v>
      </c>
      <c r="J1062" s="16">
        <f ca="1">IFERROR(__xludf.DUMMYFUNCTION("""COMPUTED_VALUE"""),45166.6041666666)</f>
        <v>45166.604166666599</v>
      </c>
      <c r="K1062" t="str">
        <f ca="1">IFERROR(__xludf.DUMMYFUNCTION("""COMPUTED_VALUE"""),"20ft Sea Ark FL5351SJ UNF 2015")</f>
        <v>20ft Sea Ark FL5351SJ UNF 2015</v>
      </c>
      <c r="M1062" t="str">
        <f ca="1">IFERROR(__xludf.DUMMYFUNCTION("""COMPUTED_VALUE"""),"Ford F250 2017 (Moby Dix) - DEP0021578")</f>
        <v>Ford F250 2017 (Moby Dix) - DEP0021578</v>
      </c>
      <c r="N1062" t="str">
        <f ca="1">IFERROR(__xludf.DUMMYFUNCTION("""COMPUTED_VALUE"""),"Jacob Berna, (904) 392-1966")</f>
        <v>Jacob Berna, (904) 392-1966</v>
      </c>
      <c r="O1062" t="str">
        <f ca="1">IFERROR(__xludf.DUMMYFUNCTION("""COMPUTED_VALUE"""),"Hans Prevost")</f>
        <v>Hans Prevost</v>
      </c>
      <c r="P1062" t="str">
        <f ca="1">IFERROR(__xludf.DUMMYFUNCTION("""COMPUTED_VALUE"""),"Jacob Berna")</f>
        <v>Jacob Berna</v>
      </c>
      <c r="AE1062" s="11"/>
      <c r="AF1062" t="str">
        <v>Nikki.Dix@floridadep.gov</v>
      </c>
      <c r="AG1062" s="17" t="s">
        <v>41</v>
      </c>
      <c r="AH1062" s="12">
        <v>1058</v>
      </c>
      <c r="AI1062" s="12" t="s">
        <v>3141</v>
      </c>
      <c r="AJ1062" s="19" t="s">
        <v>3142</v>
      </c>
      <c r="AK1062" s="20" t="str">
        <f>HYPERLINK("https://docs.google.com/document/d/1YDxsZBGWrCGow8Njmh4mVCim3gdwYTOs7ToJIM8z1jQ/edit?usp=drivesdk","Jacob Berna - 8/28/2023 9:20 AM")</f>
        <v>Jacob Berna - 8/28/2023 9:20 AM</v>
      </c>
      <c r="AL1062" s="12" t="s">
        <v>3143</v>
      </c>
    </row>
    <row r="1063" spans="1:38" ht="12.75">
      <c r="A1063" s="10">
        <f ca="1">IFERROR(__xludf.DUMMYFUNCTION("""COMPUTED_VALUE"""),45166.4803310648)</f>
        <v>45166.480331064799</v>
      </c>
      <c r="B1063" s="11" t="str">
        <f ca="1">IFERROR(__xludf.DUMMYFUNCTION("""COMPUTED_VALUE"""),"Jacob Berna")</f>
        <v>Jacob Berna</v>
      </c>
      <c r="C1063" t="str">
        <f ca="1">IFERROR(__xludf.DUMMYFUNCTION("""COMPUTED_VALUE"""),"jacob.berna@floridadep.gov")</f>
        <v>jacob.berna@floridadep.gov</v>
      </c>
      <c r="D1063" t="str">
        <f ca="1">IFERROR(__xludf.DUMMYFUNCTION("""COMPUTED_VALUE"""),"Nikki Dix")</f>
        <v>Nikki Dix</v>
      </c>
      <c r="E1063" t="str">
        <f ca="1">IFERROR(__xludf.DUMMYFUNCTION("""COMPUTED_VALUE"""),"Douglas Crane Boat Ramp")</f>
        <v>Douglas Crane Boat Ramp</v>
      </c>
      <c r="F1063" s="13">
        <f ca="1">IFERROR(__xludf.DUMMYFUNCTION("""COMPUTED_VALUE"""),0.479166666667879)</f>
        <v>0.47916666666787899</v>
      </c>
      <c r="G1063" s="14">
        <f ca="1">IFERROR(__xludf.DUMMYFUNCTION("""COMPUTED_VALUE"""),45166)</f>
        <v>45166</v>
      </c>
      <c r="H1063" t="str">
        <f ca="1">IFERROR(__xludf.DUMMYFUNCTION("""COMPUTED_VALUE"""),"EC site")</f>
        <v>EC site</v>
      </c>
      <c r="I1063" s="15">
        <f ca="1">IFERROR(__xludf.DUMMYFUNCTION("""COMPUTED_VALUE"""),0.541666666667879)</f>
        <v>0.54166666666787899</v>
      </c>
      <c r="J1063" s="16">
        <f ca="1">IFERROR(__xludf.DUMMYFUNCTION("""COMPUTED_VALUE"""),45166.5729166666)</f>
        <v>45166.572916666599</v>
      </c>
      <c r="K1063" t="str">
        <f ca="1">IFERROR(__xludf.DUMMYFUNCTION("""COMPUTED_VALUE"""),"20ft Sea Ark FL5351SJ UNF 2015")</f>
        <v>20ft Sea Ark FL5351SJ UNF 2015</v>
      </c>
      <c r="M1063" t="str">
        <f ca="1">IFERROR(__xludf.DUMMYFUNCTION("""COMPUTED_VALUE"""),"Ford F250 2017 (Moby Dix) - DEP0021578")</f>
        <v>Ford F250 2017 (Moby Dix) - DEP0021578</v>
      </c>
      <c r="N1063" t="str">
        <f ca="1">IFERROR(__xludf.DUMMYFUNCTION("""COMPUTED_VALUE"""),"Jacob Berna, (904) 392-1966")</f>
        <v>Jacob Berna, (904) 392-1966</v>
      </c>
      <c r="O1063" t="str">
        <f ca="1">IFERROR(__xludf.DUMMYFUNCTION("""COMPUTED_VALUE"""),"Hans Prevost")</f>
        <v>Hans Prevost</v>
      </c>
      <c r="P1063" t="str">
        <f ca="1">IFERROR(__xludf.DUMMYFUNCTION("""COMPUTED_VALUE"""),"Jacob Berna")</f>
        <v>Jacob Berna</v>
      </c>
      <c r="AE1063" s="11"/>
      <c r="AF1063" t="str">
        <v>Nikki.Dix@floridadep.gov</v>
      </c>
      <c r="AG1063" s="17" t="s">
        <v>41</v>
      </c>
      <c r="AH1063" s="12">
        <v>1245</v>
      </c>
      <c r="AI1063" s="12" t="s">
        <v>3144</v>
      </c>
      <c r="AJ1063" s="19" t="s">
        <v>3145</v>
      </c>
      <c r="AK1063" s="20" t="str">
        <f>HYPERLINK("https://docs.google.com/document/d/15MB_PMVu17RNBvan9KzwEKZXBGorimQFKLfAdmfiRKs/edit?usp=drivesdk","Jacob Berna - 8/28/2023 11:30 AM")</f>
        <v>Jacob Berna - 8/28/2023 11:30 AM</v>
      </c>
      <c r="AL1063" s="12" t="s">
        <v>3146</v>
      </c>
    </row>
    <row r="1064" spans="1:38" ht="12.75">
      <c r="A1064" s="10">
        <f ca="1">IFERROR(__xludf.DUMMYFUNCTION("""COMPUTED_VALUE"""),45166.5730800347)</f>
        <v>45166.573080034701</v>
      </c>
      <c r="B1064" s="11" t="str">
        <f ca="1">IFERROR(__xludf.DUMMYFUNCTION("""COMPUTED_VALUE"""),"Jacob Berna")</f>
        <v>Jacob Berna</v>
      </c>
      <c r="C1064" t="str">
        <f ca="1">IFERROR(__xludf.DUMMYFUNCTION("""COMPUTED_VALUE"""),"jacob.berna@floridadep.gov")</f>
        <v>jacob.berna@floridadep.gov</v>
      </c>
      <c r="D1064" t="str">
        <f ca="1">IFERROR(__xludf.DUMMYFUNCTION("""COMPUTED_VALUE"""),"Nikki Dix")</f>
        <v>Nikki Dix</v>
      </c>
      <c r="E1064" t="str">
        <f ca="1">IFERROR(__xludf.DUMMYFUNCTION("""COMPUTED_VALUE"""),"Palm Valley Boat Ramp")</f>
        <v>Palm Valley Boat Ramp</v>
      </c>
      <c r="F1064" s="13">
        <f ca="1">IFERROR(__xludf.DUMMYFUNCTION("""COMPUTED_VALUE"""),0.572916666667879)</f>
        <v>0.57291666666787899</v>
      </c>
      <c r="G1064" s="14">
        <f ca="1">IFERROR(__xludf.DUMMYFUNCTION("""COMPUTED_VALUE"""),45166)</f>
        <v>45166</v>
      </c>
      <c r="H1064" t="str">
        <f ca="1">IFERROR(__xludf.DUMMYFUNCTION("""COMPUTED_VALUE"""),"PI site")</f>
        <v>PI site</v>
      </c>
      <c r="I1064" s="15">
        <f ca="1">IFERROR(__xludf.DUMMYFUNCTION("""COMPUTED_VALUE"""),0.64583333333212)</f>
        <v>0.64583333333212001</v>
      </c>
      <c r="J1064" s="16">
        <f ca="1">IFERROR(__xludf.DUMMYFUNCTION("""COMPUTED_VALUE"""),45166.6666666666)</f>
        <v>45166.666666666599</v>
      </c>
      <c r="K1064" t="str">
        <f ca="1">IFERROR(__xludf.DUMMYFUNCTION("""COMPUTED_VALUE"""),"20ft Sea Ark FL5351SJ UNF 2015")</f>
        <v>20ft Sea Ark FL5351SJ UNF 2015</v>
      </c>
      <c r="M1064" t="str">
        <f ca="1">IFERROR(__xludf.DUMMYFUNCTION("""COMPUTED_VALUE"""),"Ford F250 2017 (Moby Dix) - DEP0021578")</f>
        <v>Ford F250 2017 (Moby Dix) - DEP0021578</v>
      </c>
      <c r="N1064" t="str">
        <f ca="1">IFERROR(__xludf.DUMMYFUNCTION("""COMPUTED_VALUE"""),"Jacob Berna, (904) 392-1966")</f>
        <v>Jacob Berna, (904) 392-1966</v>
      </c>
      <c r="O1064" t="str">
        <f ca="1">IFERROR(__xludf.DUMMYFUNCTION("""COMPUTED_VALUE"""),"Hans Prevost")</f>
        <v>Hans Prevost</v>
      </c>
      <c r="P1064" t="str">
        <f ca="1">IFERROR(__xludf.DUMMYFUNCTION("""COMPUTED_VALUE"""),"Jacob Berna")</f>
        <v>Jacob Berna</v>
      </c>
      <c r="AE1064" s="11"/>
      <c r="AF1064" t="str">
        <v>Nikki.Dix@floridadep.gov</v>
      </c>
      <c r="AG1064" s="17" t="s">
        <v>41</v>
      </c>
      <c r="AH1064" s="12">
        <v>1521</v>
      </c>
      <c r="AI1064" s="12" t="s">
        <v>3147</v>
      </c>
      <c r="AJ1064" s="19" t="s">
        <v>3148</v>
      </c>
      <c r="AK1064" s="20" t="str">
        <f>HYPERLINK("https://docs.google.com/document/d/1uhPWtXHLdZniHCHJGEV3Ak2H6Xdmb_RKUypLdQolbcQ/edit?usp=drivesdk","Jacob Berna - 8/28/2023 1:45 PM")</f>
        <v>Jacob Berna - 8/28/2023 1:45 PM</v>
      </c>
      <c r="AL1064" s="12" t="s">
        <v>3149</v>
      </c>
    </row>
    <row r="1065" spans="1:38" ht="12.75">
      <c r="A1065" s="10">
        <f ca="1">IFERROR(__xludf.DUMMYFUNCTION("""COMPUTED_VALUE"""),45170.3585131365)</f>
        <v>45170.358513136503</v>
      </c>
      <c r="B1065" s="11" t="str">
        <f ca="1">IFERROR(__xludf.DUMMYFUNCTION("""COMPUTED_VALUE"""),"Hans prevost")</f>
        <v>Hans prevost</v>
      </c>
      <c r="C1065" t="str">
        <f ca="1">IFERROR(__xludf.DUMMYFUNCTION("""COMPUTED_VALUE"""),"hans.prevost@floridadep.gov")</f>
        <v>hans.prevost@floridadep.gov</v>
      </c>
      <c r="D1065" t="str">
        <f ca="1">IFERROR(__xludf.DUMMYFUNCTION("""COMPUTED_VALUE"""),"Katie Petrinec")</f>
        <v>Katie Petrinec</v>
      </c>
      <c r="E1065" t="str">
        <f ca="1">IFERROR(__xludf.DUMMYFUNCTION("""COMPUTED_VALUE"""),"Vilano Boat Ramp")</f>
        <v>Vilano Boat Ramp</v>
      </c>
      <c r="F1065" s="13">
        <f ca="1">IFERROR(__xludf.DUMMYFUNCTION("""COMPUTED_VALUE"""),0.354166666667879)</f>
        <v>0.35416666666787899</v>
      </c>
      <c r="G1065" s="14">
        <f ca="1">IFERROR(__xludf.DUMMYFUNCTION("""COMPUTED_VALUE"""),45170)</f>
        <v>45170</v>
      </c>
      <c r="H1065" t="str">
        <f ca="1">IFERROR(__xludf.DUMMYFUNCTION("""COMPUTED_VALUE"""),"Tolomato Rakes")</f>
        <v>Tolomato Rakes</v>
      </c>
      <c r="I1065" s="15">
        <f ca="1">IFERROR(__xludf.DUMMYFUNCTION("""COMPUTED_VALUE"""),0.64583333333212)</f>
        <v>0.64583333333212001</v>
      </c>
      <c r="J1065" s="16">
        <f ca="1">IFERROR(__xludf.DUMMYFUNCTION("""COMPUTED_VALUE"""),45170.1875)</f>
        <v>45170.1875</v>
      </c>
      <c r="K1065" t="str">
        <f ca="1">IFERROR(__xludf.DUMMYFUNCTION("""COMPUTED_VALUE"""),"23ft Skiff (Bertha) FL7972LJ DEP07613")</f>
        <v>23ft Skiff (Bertha) FL7972LJ DEP07613</v>
      </c>
      <c r="M1065" t="str">
        <f ca="1">IFERROR(__xludf.DUMMYFUNCTION("""COMPUTED_VALUE"""),"Ford F250 2017 (Moby Dix) - DEP0021578")</f>
        <v>Ford F250 2017 (Moby Dix) - DEP0021578</v>
      </c>
      <c r="N1065" t="str">
        <f ca="1">IFERROR(__xludf.DUMMYFUNCTION("""COMPUTED_VALUE"""),"Nikki Dix, (352) 219-4079")</f>
        <v>Nikki Dix, (352) 219-4079</v>
      </c>
      <c r="O1065" t="str">
        <f ca="1">IFERROR(__xludf.DUMMYFUNCTION("""COMPUTED_VALUE"""),"Hans Prevost, Riza, anythony, Sarah, and jenny")</f>
        <v>Hans Prevost, Riza, anythony, Sarah, and jenny</v>
      </c>
      <c r="P1065" t="str">
        <f ca="1">IFERROR(__xludf.DUMMYFUNCTION("""COMPUTED_VALUE"""),"Nikki dix ")</f>
        <v xml:space="preserve">Nikki dix </v>
      </c>
      <c r="AE1065" s="11"/>
      <c r="AF1065" t="str">
        <v>Kathryn.Petrinec@floridadep.gov</v>
      </c>
      <c r="AG1065" s="17" t="s">
        <v>1764</v>
      </c>
      <c r="AH1065" s="12">
        <v>1327</v>
      </c>
      <c r="AI1065" s="12" t="s">
        <v>3150</v>
      </c>
      <c r="AJ1065" s="19" t="s">
        <v>3151</v>
      </c>
      <c r="AK1065" s="20" t="str">
        <f>HYPERLINK("https://docs.google.com/document/d/1OqAh-TOLG0ZScvCqjvDRZYuc0dmvcq9FSb0z0TDc3rI/edit?usp=drivesdk","Hans prevost - 9/1/2023 8:30 AM")</f>
        <v>Hans prevost - 9/1/2023 8:30 AM</v>
      </c>
      <c r="AL1065" s="12" t="s">
        <v>3152</v>
      </c>
    </row>
    <row r="1066" spans="1:38" ht="12.75">
      <c r="A1066" s="10">
        <f ca="1">IFERROR(__xludf.DUMMYFUNCTION("""COMPUTED_VALUE"""),45174.4689110069)</f>
        <v>45174.468911006901</v>
      </c>
      <c r="B1066" s="11" t="str">
        <f ca="1">IFERROR(__xludf.DUMMYFUNCTION("""COMPUTED_VALUE"""),"Monica Maldonado ")</f>
        <v xml:space="preserve">Monica Maldonado </v>
      </c>
      <c r="C1066" t="str">
        <f ca="1">IFERROR(__xludf.DUMMYFUNCTION("""COMPUTED_VALUE"""),"Monica.maldonado@floridadep.com")</f>
        <v>Monica.maldonado@floridadep.com</v>
      </c>
      <c r="D1066" t="str">
        <f ca="1">IFERROR(__xludf.DUMMYFUNCTION("""COMPUTED_VALUE"""),"Nikki Dix")</f>
        <v>Nikki Dix</v>
      </c>
      <c r="E1066" t="str">
        <f ca="1">IFERROR(__xludf.DUMMYFUNCTION("""COMPUTED_VALUE"""),"Guana Dam")</f>
        <v>Guana Dam</v>
      </c>
      <c r="F1066" s="13">
        <f ca="1">IFERROR(__xludf.DUMMYFUNCTION("""COMPUTED_VALUE"""),0.416666666667879)</f>
        <v>0.41666666666787899</v>
      </c>
      <c r="G1066" s="14">
        <f ca="1">IFERROR(__xludf.DUMMYFUNCTION("""COMPUTED_VALUE"""),45174)</f>
        <v>45174</v>
      </c>
      <c r="H1066" t="str">
        <f ca="1">IFERROR(__xludf.DUMMYFUNCTION("""COMPUTED_VALUE"""),"Traversing the lake with Jon boat and HYCAT ")</f>
        <v xml:space="preserve">Traversing the lake with Jon boat and HYCAT </v>
      </c>
      <c r="I1066" s="15">
        <f ca="1">IFERROR(__xludf.DUMMYFUNCTION("""COMPUTED_VALUE"""),0.70833333333212)</f>
        <v>0.70833333333212001</v>
      </c>
      <c r="J1066" s="16">
        <f ca="1">IFERROR(__xludf.DUMMYFUNCTION("""COMPUTED_VALUE"""),45174.7083333333)</f>
        <v>45174.708333333299</v>
      </c>
      <c r="K1066" t="str">
        <f ca="1">IFERROR(__xludf.DUMMYFUNCTION("""COMPUTED_VALUE"""),"Jon Boat 1 FL5992RR DEP154045")</f>
        <v>Jon Boat 1 FL5992RR DEP154045</v>
      </c>
      <c r="M1066" t="str">
        <f ca="1">IFERROR(__xludf.DUMMYFUNCTION("""COMPUTED_VALUE"""),"Ford F250 2017 (Moby Dix) - DEP0021578")</f>
        <v>Ford F250 2017 (Moby Dix) - DEP0021578</v>
      </c>
      <c r="N1066" t="str">
        <f ca="1">IFERROR(__xludf.DUMMYFUNCTION("""COMPUTED_VALUE"""),"Monica Maldonado ")</f>
        <v xml:space="preserve">Monica Maldonado </v>
      </c>
      <c r="O1066" t="str">
        <f ca="1">IFERROR(__xludf.DUMMYFUNCTION("""COMPUTED_VALUE"""),"Daniele Pinton &amp; ChiaChu Chu")</f>
        <v>Daniele Pinton &amp; ChiaChu Chu</v>
      </c>
      <c r="P1066" t="str">
        <f ca="1">IFERROR(__xludf.DUMMYFUNCTION("""COMPUTED_VALUE"""),"Monica Maldonado ")</f>
        <v xml:space="preserve">Monica Maldonado </v>
      </c>
      <c r="AE1066" s="11"/>
      <c r="AF1066" t="str">
        <v>Nikki.Dix@floridadep.gov</v>
      </c>
      <c r="AG1066" s="17" t="s">
        <v>41</v>
      </c>
      <c r="AH1066" s="12">
        <v>1700</v>
      </c>
      <c r="AI1066" s="12" t="s">
        <v>3153</v>
      </c>
      <c r="AJ1066" s="19" t="s">
        <v>3154</v>
      </c>
      <c r="AK1066" s="20" t="str">
        <f>HYPERLINK("https://docs.google.com/document/d/1c7jl1i6jOp-cr6LF0vHSqtm0qYza8tZ1yJ9cDXGZLgk/edit?usp=drivesdk","Monica Maldonado  - 9/5/2023 10:00 AM")</f>
        <v>Monica Maldonado  - 9/5/2023 10:00 AM</v>
      </c>
      <c r="AL1066" s="12" t="s">
        <v>3155</v>
      </c>
    </row>
    <row r="1067" spans="1:38" ht="12.75">
      <c r="A1067" s="10">
        <f ca="1">IFERROR(__xludf.DUMMYFUNCTION("""COMPUTED_VALUE"""),45174.6470104745)</f>
        <v>45174.647010474502</v>
      </c>
      <c r="B1067" s="11" t="str">
        <f ca="1">IFERROR(__xludf.DUMMYFUNCTION("""COMPUTED_VALUE"""),"Shannon ")</f>
        <v xml:space="preserve">Shannon </v>
      </c>
      <c r="C1067" t="str">
        <f ca="1">IFERROR(__xludf.DUMMYFUNCTION("""COMPUTED_VALUE"""),"Shannon.Dunnigan@dep.state.fl.us")</f>
        <v>Shannon.Dunnigan@dep.state.fl.us</v>
      </c>
      <c r="D1067" t="str">
        <f ca="1">IFERROR(__xludf.DUMMYFUNCTION("""COMPUTED_VALUE"""),"Nikki Dix")</f>
        <v>Nikki Dix</v>
      </c>
      <c r="E1067" t="str">
        <f ca="1">IFERROR(__xludf.DUMMYFUNCTION("""COMPUTED_VALUE"""),"Vilano Boat Ramp")</f>
        <v>Vilano Boat Ramp</v>
      </c>
      <c r="F1067" s="13">
        <f ca="1">IFERROR(__xludf.DUMMYFUNCTION("""COMPUTED_VALUE"""),0.5)</f>
        <v>0.5</v>
      </c>
      <c r="G1067" s="14">
        <f ca="1">IFERROR(__xludf.DUMMYFUNCTION("""COMPUTED_VALUE"""),45175)</f>
        <v>45175</v>
      </c>
      <c r="H1067" t="str">
        <f ca="1">IFERROR(__xludf.DUMMYFUNCTION("""COMPUTED_VALUE"""),"SWMP sites")</f>
        <v>SWMP sites</v>
      </c>
      <c r="I1067" s="15">
        <f ca="1">IFERROR(__xludf.DUMMYFUNCTION("""COMPUTED_VALUE"""),0.6875)</f>
        <v>0.6875</v>
      </c>
      <c r="J1067" s="16">
        <f ca="1">IFERROR(__xludf.DUMMYFUNCTION("""COMPUTED_VALUE"""),45175.7083333333)</f>
        <v>45175.708333333299</v>
      </c>
      <c r="K1067" t="str">
        <f ca="1">IFERROR(__xludf.DUMMYFUNCTION("""COMPUTED_VALUE"""),"23ft Skiff (Bertha) FL7972LJ DEP07613")</f>
        <v>23ft Skiff (Bertha) FL7972LJ DEP07613</v>
      </c>
      <c r="M1067" t="str">
        <f ca="1">IFERROR(__xludf.DUMMYFUNCTION("""COMPUTED_VALUE"""),"Ford F250 2017 (Moby Dix) - DEP0021578")</f>
        <v>Ford F250 2017 (Moby Dix) - DEP0021578</v>
      </c>
      <c r="N1067" t="str">
        <f ca="1">IFERROR(__xludf.DUMMYFUNCTION("""COMPUTED_VALUE"""),"Shannon Dunnigan, (803) 727-5734")</f>
        <v>Shannon Dunnigan, (803) 727-5734</v>
      </c>
      <c r="O1067" t="str">
        <f ca="1">IFERROR(__xludf.DUMMYFUNCTION("""COMPUTED_VALUE"""),"Remo Mondazzi")</f>
        <v>Remo Mondazzi</v>
      </c>
      <c r="P1067" t="str">
        <f ca="1">IFERROR(__xludf.DUMMYFUNCTION("""COMPUTED_VALUE"""),"Shannon")</f>
        <v>Shannon</v>
      </c>
      <c r="AE1067" s="11"/>
      <c r="AF1067" t="str">
        <v>Nikki.Dix@floridadep.gov</v>
      </c>
      <c r="AG1067" s="17" t="s">
        <v>41</v>
      </c>
      <c r="AH1067" s="12">
        <v>1600</v>
      </c>
      <c r="AI1067" s="12" t="s">
        <v>3156</v>
      </c>
      <c r="AJ1067" s="19" t="s">
        <v>3157</v>
      </c>
      <c r="AK1067" s="20" t="str">
        <f>HYPERLINK("https://docs.google.com/document/d/14q6tauxoR4OmVErDgj-spZs-FoQ8BfMc4t1jLswyqdk/edit?usp=drivesdk","Shannon  - 9/6/2023 12:00 PM")</f>
        <v>Shannon  - 9/6/2023 12:00 PM</v>
      </c>
      <c r="AL1067" s="12" t="s">
        <v>3158</v>
      </c>
    </row>
    <row r="1068" spans="1:38" ht="12.75">
      <c r="A1068" s="10">
        <f ca="1">IFERROR(__xludf.DUMMYFUNCTION("""COMPUTED_VALUE"""),45180.4101886574)</f>
        <v>45180.410188657399</v>
      </c>
      <c r="B1068" s="11" t="str">
        <f ca="1">IFERROR(__xludf.DUMMYFUNCTION("""COMPUTED_VALUE"""),"Hans prevost ")</f>
        <v xml:space="preserve">Hans prevost </v>
      </c>
      <c r="C1068" t="str">
        <f ca="1">IFERROR(__xludf.DUMMYFUNCTION("""COMPUTED_VALUE"""),"hans.prevost@floridadep.gov")</f>
        <v>hans.prevost@floridadep.gov</v>
      </c>
      <c r="D1068" t="str">
        <f ca="1">IFERROR(__xludf.DUMMYFUNCTION("""COMPUTED_VALUE"""),"Nikki Dix")</f>
        <v>Nikki Dix</v>
      </c>
      <c r="E1068" t="str">
        <f ca="1">IFERROR(__xludf.DUMMYFUNCTION("""COMPUTED_VALUE"""),"Faver-Dykes State Park Boat Ramp")</f>
        <v>Faver-Dykes State Park Boat Ramp</v>
      </c>
      <c r="F1068" s="13">
        <f ca="1">IFERROR(__xludf.DUMMYFUNCTION("""COMPUTED_VALUE"""),0.42708333333212)</f>
        <v>0.42708333333212001</v>
      </c>
      <c r="G1068" s="14">
        <f ca="1">IFERROR(__xludf.DUMMYFUNCTION("""COMPUTED_VALUE"""),45180)</f>
        <v>45180</v>
      </c>
      <c r="H1068" t="str">
        <f ca="1">IFERROR(__xludf.DUMMYFUNCTION("""COMPUTED_VALUE"""),"Pellicer transects ")</f>
        <v xml:space="preserve">Pellicer transects </v>
      </c>
      <c r="I1068" s="15">
        <f ca="1">IFERROR(__xludf.DUMMYFUNCTION("""COMPUTED_VALUE"""),0.666666666667879)</f>
        <v>0.66666666666787899</v>
      </c>
      <c r="J1068" s="16">
        <f ca="1">IFERROR(__xludf.DUMMYFUNCTION("""COMPUTED_VALUE"""),45180.7083333333)</f>
        <v>45180.708333333299</v>
      </c>
      <c r="K1068" t="str">
        <f ca="1">IFERROR(__xludf.DUMMYFUNCTION("""COMPUTED_VALUE"""),"20ft Sea Ark FL5351SJ UNF 2015")</f>
        <v>20ft Sea Ark FL5351SJ UNF 2015</v>
      </c>
      <c r="M1068" t="str">
        <f ca="1">IFERROR(__xludf.DUMMYFUNCTION("""COMPUTED_VALUE"""),"Ford F250 2017 (Moby Dix) - DEP0021578")</f>
        <v>Ford F250 2017 (Moby Dix) - DEP0021578</v>
      </c>
      <c r="N1068" t="str">
        <f ca="1">IFERROR(__xludf.DUMMYFUNCTION("""COMPUTED_VALUE"""),"Jacob Berna, (904) 392-1966")</f>
        <v>Jacob Berna, (904) 392-1966</v>
      </c>
      <c r="O1068" t="str">
        <f ca="1">IFERROR(__xludf.DUMMYFUNCTION("""COMPUTED_VALUE"""),"Hans Prevost")</f>
        <v>Hans Prevost</v>
      </c>
      <c r="P1068" t="str">
        <f ca="1">IFERROR(__xludf.DUMMYFUNCTION("""COMPUTED_VALUE"""),"Jacob berna ")</f>
        <v xml:space="preserve">Jacob berna </v>
      </c>
      <c r="AE1068" s="11"/>
      <c r="AF1068" t="str">
        <v>Nikki.Dix@floridadep.gov</v>
      </c>
      <c r="AG1068" s="17" t="s">
        <v>41</v>
      </c>
      <c r="AH1068" s="12">
        <v>1531</v>
      </c>
      <c r="AI1068" s="12" t="s">
        <v>3159</v>
      </c>
      <c r="AJ1068" s="19" t="s">
        <v>3160</v>
      </c>
      <c r="AK1068" s="20" t="str">
        <f>HYPERLINK("https://docs.google.com/document/d/1_nkTGRlfIuXb6iz2H9etu-rn7NIzOVtKvdVgUYetGSE/edit?usp=drivesdk","Hans prevost  - 9/11/2023 10:15 AM")</f>
        <v>Hans prevost  - 9/11/2023 10:15 AM</v>
      </c>
      <c r="AL1068" s="12" t="s">
        <v>3161</v>
      </c>
    </row>
    <row r="1069" spans="1:38" ht="12.75">
      <c r="A1069" s="10">
        <f ca="1">IFERROR(__xludf.DUMMYFUNCTION("""COMPUTED_VALUE"""),45180.6808369444)</f>
        <v>45180.680836944397</v>
      </c>
      <c r="B1069" s="11" t="str">
        <f ca="1">IFERROR(__xludf.DUMMYFUNCTION("""COMPUTED_VALUE"""),"Shannon Dunnigan")</f>
        <v>Shannon Dunnigan</v>
      </c>
      <c r="C1069" t="str">
        <f ca="1">IFERROR(__xludf.DUMMYFUNCTION("""COMPUTED_VALUE"""),"Shannon.Dunnigan@dep.state.fl.us")</f>
        <v>Shannon.Dunnigan@dep.state.fl.us</v>
      </c>
      <c r="D1069" t="str">
        <f ca="1">IFERROR(__xludf.DUMMYFUNCTION("""COMPUTED_VALUE"""),"Nikki Dix")</f>
        <v>Nikki Dix</v>
      </c>
      <c r="E1069" t="str">
        <f ca="1">IFERROR(__xludf.DUMMYFUNCTION("""COMPUTED_VALUE"""),"Vilano Boat Ramp")</f>
        <v>Vilano Boat Ramp</v>
      </c>
      <c r="F1069" s="13">
        <f ca="1">IFERROR(__xludf.DUMMYFUNCTION("""COMPUTED_VALUE"""),0.3125)</f>
        <v>0.3125</v>
      </c>
      <c r="G1069" s="14">
        <f ca="1">IFERROR(__xludf.DUMMYFUNCTION("""COMPUTED_VALUE"""),45181)</f>
        <v>45181</v>
      </c>
      <c r="H1069" t="str">
        <f ca="1">IFERROR(__xludf.DUMMYFUNCTION("""COMPUTED_VALUE"""),"SWMP sites")</f>
        <v>SWMP sites</v>
      </c>
      <c r="I1069" s="15">
        <f ca="1">IFERROR(__xludf.DUMMYFUNCTION("""COMPUTED_VALUE"""),0.5)</f>
        <v>0.5</v>
      </c>
      <c r="J1069" s="16">
        <f ca="1">IFERROR(__xludf.DUMMYFUNCTION("""COMPUTED_VALUE"""),45181.5416666666)</f>
        <v>45181.541666666599</v>
      </c>
      <c r="K1069" t="str">
        <f ca="1">IFERROR(__xludf.DUMMYFUNCTION("""COMPUTED_VALUE"""),"20ft Sea Ark FL5351SJ UNF 2015")</f>
        <v>20ft Sea Ark FL5351SJ UNF 2015</v>
      </c>
      <c r="M1069" t="str">
        <f ca="1">IFERROR(__xludf.DUMMYFUNCTION("""COMPUTED_VALUE"""),"Ford F250 2017 (Moby Dix) - DEP0021578")</f>
        <v>Ford F250 2017 (Moby Dix) - DEP0021578</v>
      </c>
      <c r="N1069" t="str">
        <f ca="1">IFERROR(__xludf.DUMMYFUNCTION("""COMPUTED_VALUE"""),"Jacob Berna, (904) 392-1966")</f>
        <v>Jacob Berna, (904) 392-1966</v>
      </c>
      <c r="P1069" t="str">
        <f ca="1">IFERROR(__xludf.DUMMYFUNCTION("""COMPUTED_VALUE"""),"Shannon")</f>
        <v>Shannon</v>
      </c>
      <c r="AE1069" s="11"/>
      <c r="AF1069" t="str">
        <v>Nikki.Dix@floridadep.gov</v>
      </c>
      <c r="AG1069" s="17" t="s">
        <v>41</v>
      </c>
      <c r="AH1069" s="12">
        <v>1116</v>
      </c>
      <c r="AI1069" s="12" t="s">
        <v>3162</v>
      </c>
      <c r="AJ1069" s="19" t="s">
        <v>3163</v>
      </c>
      <c r="AK1069" s="20" t="str">
        <f>HYPERLINK("https://docs.google.com/document/d/1JnE7WCfpnNx27yT2xKV7txkHOy4hKlLMPz8d8l6cIJI/edit?usp=drivesdk","Shannon Dunnigan - 9/12/2023 7:30 AM")</f>
        <v>Shannon Dunnigan - 9/12/2023 7:30 AM</v>
      </c>
      <c r="AL1069" s="12" t="s">
        <v>3164</v>
      </c>
    </row>
    <row r="1070" spans="1:38" ht="12.75">
      <c r="A1070" s="10">
        <f ca="1">IFERROR(__xludf.DUMMYFUNCTION("""COMPUTED_VALUE"""),45187.480483993)</f>
        <v>45187.480483993</v>
      </c>
      <c r="B1070" s="11" t="str">
        <f ca="1">IFERROR(__xludf.DUMMYFUNCTION("""COMPUTED_VALUE"""),"Hans prevost ")</f>
        <v xml:space="preserve">Hans prevost </v>
      </c>
      <c r="C1070" t="str">
        <f ca="1">IFERROR(__xludf.DUMMYFUNCTION("""COMPUTED_VALUE"""),"hans.prevost@floridadep.gov")</f>
        <v>hans.prevost@floridadep.gov</v>
      </c>
      <c r="D1070" t="str">
        <f ca="1">IFERROR(__xludf.DUMMYFUNCTION("""COMPUTED_VALUE"""),"Nikki Dix")</f>
        <v>Nikki Dix</v>
      </c>
      <c r="E1070" t="str">
        <f ca="1">IFERROR(__xludf.DUMMYFUNCTION("""COMPUTED_VALUE"""),"Palm Valley Boat Ramp")</f>
        <v>Palm Valley Boat Ramp</v>
      </c>
      <c r="F1070" s="13">
        <f ca="1">IFERROR(__xludf.DUMMYFUNCTION("""COMPUTED_VALUE"""),0.5)</f>
        <v>0.5</v>
      </c>
      <c r="G1070" s="14">
        <f ca="1">IFERROR(__xludf.DUMMYFUNCTION("""COMPUTED_VALUE"""),45187)</f>
        <v>45187</v>
      </c>
      <c r="H1070" t="str">
        <f ca="1">IFERROR(__xludf.DUMMYFUNCTION("""COMPUTED_VALUE"""),"Pine island marsh monitoring sites")</f>
        <v>Pine island marsh monitoring sites</v>
      </c>
      <c r="I1070" s="15">
        <f ca="1">IFERROR(__xludf.DUMMYFUNCTION("""COMPUTED_VALUE"""),0.604166666667879)</f>
        <v>0.60416666666787899</v>
      </c>
      <c r="J1070" s="16">
        <f ca="1">IFERROR(__xludf.DUMMYFUNCTION("""COMPUTED_VALUE"""),45187.6458333333)</f>
        <v>45187.645833333299</v>
      </c>
      <c r="K1070" t="str">
        <f ca="1">IFERROR(__xludf.DUMMYFUNCTION("""COMPUTED_VALUE"""),"20ft Sea Ark FL5351SJ UNF 2015")</f>
        <v>20ft Sea Ark FL5351SJ UNF 2015</v>
      </c>
      <c r="M1070" t="str">
        <f ca="1">IFERROR(__xludf.DUMMYFUNCTION("""COMPUTED_VALUE"""),"Ford F250 2017 (Moby Dix) - DEP0021578")</f>
        <v>Ford F250 2017 (Moby Dix) - DEP0021578</v>
      </c>
      <c r="N1070" t="str">
        <f ca="1">IFERROR(__xludf.DUMMYFUNCTION("""COMPUTED_VALUE"""),"Jacob Berna, (904) 392-1966")</f>
        <v>Jacob Berna, (904) 392-1966</v>
      </c>
      <c r="O1070" t="str">
        <f ca="1">IFERROR(__xludf.DUMMYFUNCTION("""COMPUTED_VALUE"""),"Hans Prevost")</f>
        <v>Hans Prevost</v>
      </c>
      <c r="P1070" t="str">
        <f ca="1">IFERROR(__xludf.DUMMYFUNCTION("""COMPUTED_VALUE"""),"Jacob berna")</f>
        <v>Jacob berna</v>
      </c>
      <c r="AE1070" s="11"/>
      <c r="AF1070" t="str">
        <v>Nikki.Dix@floridadep.gov</v>
      </c>
      <c r="AG1070" s="17" t="s">
        <v>41</v>
      </c>
      <c r="AH1070" s="12">
        <v>1400</v>
      </c>
      <c r="AI1070" s="12" t="s">
        <v>3165</v>
      </c>
      <c r="AJ1070" s="19" t="s">
        <v>3166</v>
      </c>
      <c r="AK1070" s="20" t="str">
        <f>HYPERLINK("https://docs.google.com/document/d/1lUPOJkcySo1CJBbtPCZurjqeXVX85H4kT1PyiFaPek4/edit?usp=drivesdk","Hans prevost  - 9/18/2023 12:00 PM")</f>
        <v>Hans prevost  - 9/18/2023 12:00 PM</v>
      </c>
      <c r="AL1070" s="12" t="s">
        <v>3167</v>
      </c>
    </row>
    <row r="1071" spans="1:38" ht="12.75">
      <c r="A1071" s="10">
        <f ca="1">IFERROR(__xludf.DUMMYFUNCTION("""COMPUTED_VALUE"""),45188.2737092939)</f>
        <v>45188.273709293899</v>
      </c>
      <c r="B1071" s="11" t="str">
        <f ca="1">IFERROR(__xludf.DUMMYFUNCTION("""COMPUTED_VALUE"""),"Jimmy")</f>
        <v>Jimmy</v>
      </c>
      <c r="C1071" t="str">
        <f ca="1">IFERROR(__xludf.DUMMYFUNCTION("""COMPUTED_VALUE"""),"james.tomazinis@floridadep.gov")</f>
        <v>james.tomazinis@floridadep.gov</v>
      </c>
      <c r="D1071" t="str">
        <f ca="1">IFERROR(__xludf.DUMMYFUNCTION("""COMPUTED_VALUE"""),"Blythe Odzinski")</f>
        <v>Blythe Odzinski</v>
      </c>
      <c r="E1071" t="str">
        <f ca="1">IFERROR(__xludf.DUMMYFUNCTION("""COMPUTED_VALUE"""),"North End/Dee Dee Bartels Boat Ramp, Holly Point ")</f>
        <v xml:space="preserve">North End/Dee Dee Bartels Boat Ramp, Holly Point </v>
      </c>
      <c r="F1071" s="13">
        <f ca="1">IFERROR(__xludf.DUMMYFUNCTION("""COMPUTED_VALUE"""),0.375)</f>
        <v>0.375</v>
      </c>
      <c r="G1071" s="14">
        <f ca="1">IFERROR(__xludf.DUMMYFUNCTION("""COMPUTED_VALUE"""),45188)</f>
        <v>45188</v>
      </c>
      <c r="H1071" t="str">
        <f ca="1">IFERROR(__xludf.DUMMYFUNCTION("""COMPUTED_VALUE"""),"NEAP WQ Sites")</f>
        <v>NEAP WQ Sites</v>
      </c>
      <c r="I1071" s="15">
        <f ca="1">IFERROR(__xludf.DUMMYFUNCTION("""COMPUTED_VALUE"""),0.58333333333212)</f>
        <v>0.58333333333212001</v>
      </c>
      <c r="J1071" s="16"/>
      <c r="K1071" t="str">
        <f ca="1">IFERROR(__xludf.DUMMYFUNCTION("""COMPUTED_VALUE"""),"23ft Skiff (Bertha) FL7972LJ DEP07613")</f>
        <v>23ft Skiff (Bertha) FL7972LJ DEP07613</v>
      </c>
      <c r="M1071" t="str">
        <f ca="1">IFERROR(__xludf.DUMMYFUNCTION("""COMPUTED_VALUE"""),"Ford F150 2022 (NEAP) - DEP22491")</f>
        <v>Ford F150 2022 (NEAP) - DEP22491</v>
      </c>
      <c r="N1071" t="str">
        <f ca="1">IFERROR(__xludf.DUMMYFUNCTION("""COMPUTED_VALUE"""),"Jimmy Tomazinis, (904) 547-0094")</f>
        <v>Jimmy Tomazinis, (904) 547-0094</v>
      </c>
      <c r="O1071" t="str">
        <f ca="1">IFERROR(__xludf.DUMMYFUNCTION("""COMPUTED_VALUE"""),"Chris Kurtz")</f>
        <v>Chris Kurtz</v>
      </c>
      <c r="P1071" t="str">
        <f ca="1">IFERROR(__xludf.DUMMYFUNCTION("""COMPUTED_VALUE"""),"Jimmy")</f>
        <v>Jimmy</v>
      </c>
      <c r="AE1071" s="11"/>
      <c r="AF1071" t="str">
        <v>Blythe.Odzinski@floridadep.gov</v>
      </c>
      <c r="AG1071" s="17" t="s">
        <v>17</v>
      </c>
      <c r="AH1071" s="12">
        <v>1450</v>
      </c>
      <c r="AI1071" s="12" t="s">
        <v>3168</v>
      </c>
      <c r="AJ1071" s="19" t="s">
        <v>3169</v>
      </c>
      <c r="AK1071" s="20" t="str">
        <f>HYPERLINK("https://docs.google.com/document/d/1bLUwMO7mLyD8vTW5FM8VYXOStIoKfXLUYCzP5BoMGQU/edit?usp=drivesdk","Jimmy - 9/19/2023 9:00 AM")</f>
        <v>Jimmy - 9/19/2023 9:00 AM</v>
      </c>
      <c r="AL1071" s="12" t="s">
        <v>3170</v>
      </c>
    </row>
    <row r="1072" spans="1:38" ht="12.75">
      <c r="A1072" s="10">
        <f ca="1">IFERROR(__xludf.DUMMYFUNCTION("""COMPUTED_VALUE"""),45188.3053403703)</f>
        <v>45188.305340370302</v>
      </c>
      <c r="B1072" s="11" t="str">
        <f ca="1">IFERROR(__xludf.DUMMYFUNCTION("""COMPUTED_VALUE"""),"Jacob Berna")</f>
        <v>Jacob Berna</v>
      </c>
      <c r="C1072" t="str">
        <f ca="1">IFERROR(__xludf.DUMMYFUNCTION("""COMPUTED_VALUE"""),"jacob.berna@floridadep.gov")</f>
        <v>jacob.berna@floridadep.gov</v>
      </c>
      <c r="D1072" t="str">
        <f ca="1">IFERROR(__xludf.DUMMYFUNCTION("""COMPUTED_VALUE"""),"Nikki Dix")</f>
        <v>Nikki Dix</v>
      </c>
      <c r="E1072" t="str">
        <f ca="1">IFERROR(__xludf.DUMMYFUNCTION("""COMPUTED_VALUE"""),"Faver-Dykes State Park Boat Ramp")</f>
        <v>Faver-Dykes State Park Boat Ramp</v>
      </c>
      <c r="F1072" s="13">
        <f ca="1">IFERROR(__xludf.DUMMYFUNCTION("""COMPUTED_VALUE"""),0.3125)</f>
        <v>0.3125</v>
      </c>
      <c r="G1072" s="14">
        <f ca="1">IFERROR(__xludf.DUMMYFUNCTION("""COMPUTED_VALUE"""),45188)</f>
        <v>45188</v>
      </c>
      <c r="H1072" t="str">
        <f ca="1">IFERROR(__xludf.DUMMYFUNCTION("""COMPUTED_VALUE"""),"Pc site")</f>
        <v>Pc site</v>
      </c>
      <c r="I1072" s="15">
        <f ca="1">IFERROR(__xludf.DUMMYFUNCTION("""COMPUTED_VALUE"""),0.52083333333212)</f>
        <v>0.52083333333212001</v>
      </c>
      <c r="J1072" s="16">
        <f ca="1">IFERROR(__xludf.DUMMYFUNCTION("""COMPUTED_VALUE"""),45188.5625)</f>
        <v>45188.5625</v>
      </c>
      <c r="K1072" t="str">
        <f ca="1">IFERROR(__xludf.DUMMYFUNCTION("""COMPUTED_VALUE"""),"20ft Sea Ark FL5351SJ UNF 2015")</f>
        <v>20ft Sea Ark FL5351SJ UNF 2015</v>
      </c>
      <c r="M1072" t="str">
        <f ca="1">IFERROR(__xludf.DUMMYFUNCTION("""COMPUTED_VALUE"""),"Ford F250 2017 (Moby Dix) - DEP0021578")</f>
        <v>Ford F250 2017 (Moby Dix) - DEP0021578</v>
      </c>
      <c r="N1072" t="str">
        <f ca="1">IFERROR(__xludf.DUMMYFUNCTION("""COMPUTED_VALUE"""),"Allix North, (850) 420-7495, Jacob Berna, (904) 392-1966")</f>
        <v>Allix North, (850) 420-7495, Jacob Berna, (904) 392-1966</v>
      </c>
      <c r="O1072" t="str">
        <f ca="1">IFERROR(__xludf.DUMMYFUNCTION("""COMPUTED_VALUE"""),"Hans Prevost, Savanna Mathis")</f>
        <v>Hans Prevost, Savanna Mathis</v>
      </c>
      <c r="P1072" t="str">
        <f ca="1">IFERROR(__xludf.DUMMYFUNCTION("""COMPUTED_VALUE"""),"Jacob Berna")</f>
        <v>Jacob Berna</v>
      </c>
      <c r="AE1072" s="11"/>
      <c r="AF1072" t="str">
        <v>Nikki.Dix@floridadep.gov</v>
      </c>
      <c r="AG1072" s="17" t="s">
        <v>41</v>
      </c>
      <c r="AH1072" s="12">
        <v>1206</v>
      </c>
      <c r="AI1072" s="12" t="s">
        <v>3171</v>
      </c>
      <c r="AJ1072" s="19" t="s">
        <v>3172</v>
      </c>
      <c r="AK1072" s="20" t="str">
        <f>HYPERLINK("https://docs.google.com/document/d/1KlKhkcYzY23XodylBdxMYpUlqUvJt6KvikMCtkLo3jg/edit?usp=drivesdk","Jacob Berna - 9/19/2023 7:30 AM")</f>
        <v>Jacob Berna - 9/19/2023 7:30 AM</v>
      </c>
      <c r="AL1072" s="12" t="s">
        <v>3173</v>
      </c>
    </row>
    <row r="1073" spans="1:38" ht="12.75">
      <c r="A1073" s="10">
        <f ca="1">IFERROR(__xludf.DUMMYFUNCTION("""COMPUTED_VALUE"""),45189.2926032638)</f>
        <v>45189.292603263799</v>
      </c>
      <c r="B1073" s="11" t="str">
        <f ca="1">IFERROR(__xludf.DUMMYFUNCTION("""COMPUTED_VALUE"""),"Jacob Berna")</f>
        <v>Jacob Berna</v>
      </c>
      <c r="C1073" t="str">
        <f ca="1">IFERROR(__xludf.DUMMYFUNCTION("""COMPUTED_VALUE"""),"jacob.berna@floridadep.gov")</f>
        <v>jacob.berna@floridadep.gov</v>
      </c>
      <c r="D1073" t="str">
        <f ca="1">IFERROR(__xludf.DUMMYFUNCTION("""COMPUTED_VALUE"""),"Nikki Dix")</f>
        <v>Nikki Dix</v>
      </c>
      <c r="E1073" t="str">
        <f ca="1">IFERROR(__xludf.DUMMYFUNCTION("""COMPUTED_VALUE"""),"Bing's Landing")</f>
        <v>Bing's Landing</v>
      </c>
      <c r="F1073" s="13">
        <f ca="1">IFERROR(__xludf.DUMMYFUNCTION("""COMPUTED_VALUE"""),0.291666666667879)</f>
        <v>0.29166666666787899</v>
      </c>
      <c r="G1073" s="14">
        <f ca="1">IFERROR(__xludf.DUMMYFUNCTION("""COMPUTED_VALUE"""),45189)</f>
        <v>45189</v>
      </c>
      <c r="H1073" t="str">
        <f ca="1">IFERROR(__xludf.DUMMYFUNCTION("""COMPUTED_VALUE"""),"WO site")</f>
        <v>WO site</v>
      </c>
      <c r="I1073" s="15">
        <f ca="1">IFERROR(__xludf.DUMMYFUNCTION("""COMPUTED_VALUE"""),0.58333333333212)</f>
        <v>0.58333333333212001</v>
      </c>
      <c r="J1073" s="16">
        <f ca="1">IFERROR(__xludf.DUMMYFUNCTION("""COMPUTED_VALUE"""),45189.625)</f>
        <v>45189.625</v>
      </c>
      <c r="K1073" t="str">
        <f ca="1">IFERROR(__xludf.DUMMYFUNCTION("""COMPUTED_VALUE"""),"20ft Sea Ark FL5351SJ UNF 2015")</f>
        <v>20ft Sea Ark FL5351SJ UNF 2015</v>
      </c>
      <c r="M1073" t="str">
        <f ca="1">IFERROR(__xludf.DUMMYFUNCTION("""COMPUTED_VALUE"""),"Ford F250 2017 (Moby Dix) - DEP0021578")</f>
        <v>Ford F250 2017 (Moby Dix) - DEP0021578</v>
      </c>
      <c r="N1073" t="str">
        <f ca="1">IFERROR(__xludf.DUMMYFUNCTION("""COMPUTED_VALUE"""),"Allix North, (850) 420-7495, Jacob Berna, (904) 392-1966")</f>
        <v>Allix North, (850) 420-7495, Jacob Berna, (904) 392-1966</v>
      </c>
      <c r="O1073" t="str">
        <f ca="1">IFERROR(__xludf.DUMMYFUNCTION("""COMPUTED_VALUE"""),"Hans Prevost, Savanna Mathis")</f>
        <v>Hans Prevost, Savanna Mathis</v>
      </c>
      <c r="P1073" t="str">
        <f ca="1">IFERROR(__xludf.DUMMYFUNCTION("""COMPUTED_VALUE"""),"Jacob Berna")</f>
        <v>Jacob Berna</v>
      </c>
      <c r="AE1073" s="11"/>
      <c r="AF1073" t="str">
        <v>Nikki.Dix@floridadep.gov</v>
      </c>
      <c r="AG1073" s="17" t="s">
        <v>41</v>
      </c>
      <c r="AH1073" s="12">
        <v>1126</v>
      </c>
      <c r="AI1073" s="12" t="s">
        <v>3174</v>
      </c>
      <c r="AJ1073" s="19" t="s">
        <v>3175</v>
      </c>
      <c r="AK1073" s="20" t="str">
        <f>HYPERLINK("https://docs.google.com/document/d/1NGErleydcpiP9zpmkdWpbuO6D2jAJx2NdT9HNlKbyhI/edit?usp=drivesdk","Jacob Berna - 9/20/2023 7:00 AM")</f>
        <v>Jacob Berna - 9/20/2023 7:00 AM</v>
      </c>
      <c r="AL1073" s="12" t="s">
        <v>3176</v>
      </c>
    </row>
    <row r="1074" spans="1:38" ht="12.75">
      <c r="A1074" s="10">
        <f ca="1">IFERROR(__xludf.DUMMYFUNCTION("""COMPUTED_VALUE"""),45191.2770537615)</f>
        <v>45191.2770537615</v>
      </c>
      <c r="B1074" s="11" t="str">
        <f ca="1">IFERROR(__xludf.DUMMYFUNCTION("""COMPUTED_VALUE"""),"Jimmy")</f>
        <v>Jimmy</v>
      </c>
      <c r="C1074" t="str">
        <f ca="1">IFERROR(__xludf.DUMMYFUNCTION("""COMPUTED_VALUE"""),"james.tomazinis@floridadep.gov")</f>
        <v>james.tomazinis@floridadep.gov</v>
      </c>
      <c r="D1074" t="str">
        <f ca="1">IFERROR(__xludf.DUMMYFUNCTION("""COMPUTED_VALUE"""),"Blythe Odzinski")</f>
        <v>Blythe Odzinski</v>
      </c>
      <c r="E1074" t="str">
        <f ca="1">IFERROR(__xludf.DUMMYFUNCTION("""COMPUTED_VALUE"""),"Vilano Boat Ramp")</f>
        <v>Vilano Boat Ramp</v>
      </c>
      <c r="F1074" s="13">
        <f ca="1">IFERROR(__xludf.DUMMYFUNCTION("""COMPUTED_VALUE"""),0.39583333333212)</f>
        <v>0.39583333333212001</v>
      </c>
      <c r="G1074" s="14">
        <f ca="1">IFERROR(__xludf.DUMMYFUNCTION("""COMPUTED_VALUE"""),45191)</f>
        <v>45191</v>
      </c>
      <c r="H1074" t="str">
        <f ca="1">IFERROR(__xludf.DUMMYFUNCTION("""COMPUTED_VALUE"""),"Tolomato Rakes")</f>
        <v>Tolomato Rakes</v>
      </c>
      <c r="I1074" s="15">
        <f ca="1">IFERROR(__xludf.DUMMYFUNCTION("""COMPUTED_VALUE"""),0.666666666667879)</f>
        <v>0.66666666666787899</v>
      </c>
      <c r="J1074" s="16"/>
      <c r="K1074" t="str">
        <f ca="1">IFERROR(__xludf.DUMMYFUNCTION("""COMPUTED_VALUE"""),"F 20ft Sea Ark (Easy 200) FL8534PY DEP21451")</f>
        <v>F 20ft Sea Ark (Easy 200) FL8534PY DEP21451</v>
      </c>
      <c r="M1074" t="str">
        <f ca="1">IFERROR(__xludf.DUMMYFUNCTION("""COMPUTED_VALUE"""),"Ford F150 2022 (NEAP) - DEP22491")</f>
        <v>Ford F150 2022 (NEAP) - DEP22491</v>
      </c>
      <c r="N1074" t="str">
        <f ca="1">IFERROR(__xludf.DUMMYFUNCTION("""COMPUTED_VALUE"""),"Jimmy Tomazinis, (904) 547-0094")</f>
        <v>Jimmy Tomazinis, (904) 547-0094</v>
      </c>
      <c r="O1074" t="str">
        <f ca="1">IFERROR(__xludf.DUMMYFUNCTION("""COMPUTED_VALUE"""),"Lisa Chambers and crew")</f>
        <v>Lisa Chambers and crew</v>
      </c>
      <c r="P1074" t="str">
        <f ca="1">IFERROR(__xludf.DUMMYFUNCTION("""COMPUTED_VALUE"""),"Jimmy")</f>
        <v>Jimmy</v>
      </c>
      <c r="AE1074" s="11"/>
      <c r="AF1074" t="str">
        <v>Blythe.Odzinski@floridadep.gov</v>
      </c>
      <c r="AG1074" s="17" t="s">
        <v>17</v>
      </c>
      <c r="AH1074" s="12">
        <v>1400</v>
      </c>
      <c r="AI1074" s="12" t="s">
        <v>3177</v>
      </c>
      <c r="AJ1074" s="19" t="s">
        <v>3178</v>
      </c>
      <c r="AK1074" s="20" t="str">
        <f>HYPERLINK("https://docs.google.com/document/d/1IYR7FqnSB_0Xnx73LkTDA7-_U_YDFv8xYprZC6_kY7A/edit?usp=drivesdk","Jimmy - 9/22/2023 9:30 AM")</f>
        <v>Jimmy - 9/22/2023 9:30 AM</v>
      </c>
      <c r="AL1074" s="12" t="s">
        <v>3179</v>
      </c>
    </row>
    <row r="1075" spans="1:38" ht="12.75">
      <c r="A1075" s="10">
        <f ca="1">IFERROR(__xludf.DUMMYFUNCTION("""COMPUTED_VALUE"""),45191.3234500578)</f>
        <v>45191.323450057796</v>
      </c>
      <c r="B1075" s="11" t="str">
        <f ca="1">IFERROR(__xludf.DUMMYFUNCTION("""COMPUTED_VALUE"""),"Jacob Berna ")</f>
        <v xml:space="preserve">Jacob Berna </v>
      </c>
      <c r="C1075" t="str">
        <f ca="1">IFERROR(__xludf.DUMMYFUNCTION("""COMPUTED_VALUE"""),"jacob.berna@floridadep.gov")</f>
        <v>jacob.berna@floridadep.gov</v>
      </c>
      <c r="D1075" t="str">
        <f ca="1">IFERROR(__xludf.DUMMYFUNCTION("""COMPUTED_VALUE"""),"Nikki Dix")</f>
        <v>Nikki Dix</v>
      </c>
      <c r="E1075" t="str">
        <f ca="1">IFERROR(__xludf.DUMMYFUNCTION("""COMPUTED_VALUE"""),"Palm Valley Boat Ramp")</f>
        <v>Palm Valley Boat Ramp</v>
      </c>
      <c r="F1075" s="13">
        <f ca="1">IFERROR(__xludf.DUMMYFUNCTION("""COMPUTED_VALUE"""),0.322916666667879)</f>
        <v>0.32291666666787899</v>
      </c>
      <c r="G1075" s="14">
        <f ca="1">IFERROR(__xludf.DUMMYFUNCTION("""COMPUTED_VALUE"""),45191)</f>
        <v>45191</v>
      </c>
      <c r="H1075" t="str">
        <f ca="1">IFERROR(__xludf.DUMMYFUNCTION("""COMPUTED_VALUE"""),"PI site")</f>
        <v>PI site</v>
      </c>
      <c r="I1075" s="15">
        <f ca="1">IFERROR(__xludf.DUMMYFUNCTION("""COMPUTED_VALUE"""),0.604166666667879)</f>
        <v>0.60416666666787899</v>
      </c>
      <c r="J1075" s="16">
        <f ca="1">IFERROR(__xludf.DUMMYFUNCTION("""COMPUTED_VALUE"""),45191.625)</f>
        <v>45191.625</v>
      </c>
      <c r="K1075" t="str">
        <f ca="1">IFERROR(__xludf.DUMMYFUNCTION("""COMPUTED_VALUE"""),"20ft Sea Ark FL5351SJ UNF 2015")</f>
        <v>20ft Sea Ark FL5351SJ UNF 2015</v>
      </c>
      <c r="M1075" t="str">
        <f ca="1">IFERROR(__xludf.DUMMYFUNCTION("""COMPUTED_VALUE"""),"Ford F250 2017 (Moby Dix) - DEP0021578")</f>
        <v>Ford F250 2017 (Moby Dix) - DEP0021578</v>
      </c>
      <c r="N1075" t="str">
        <f ca="1">IFERROR(__xludf.DUMMYFUNCTION("""COMPUTED_VALUE"""),"Jacob Berna, (904) 392-1966")</f>
        <v>Jacob Berna, (904) 392-1966</v>
      </c>
      <c r="O1075" t="str">
        <f ca="1">IFERROR(__xludf.DUMMYFUNCTION("""COMPUTED_VALUE"""),"Hans Prevost, Savanna Mathis, Kala Neighbor ")</f>
        <v xml:space="preserve">Hans Prevost, Savanna Mathis, Kala Neighbor </v>
      </c>
      <c r="P1075" t="str">
        <f ca="1">IFERROR(__xludf.DUMMYFUNCTION("""COMPUTED_VALUE"""),"Jacob Berna")</f>
        <v>Jacob Berna</v>
      </c>
      <c r="AE1075" s="11"/>
      <c r="AF1075" t="str">
        <v>Nikki.Dix@floridadep.gov</v>
      </c>
      <c r="AG1075" s="17" t="s">
        <v>41</v>
      </c>
      <c r="AH1075" s="12">
        <v>1230</v>
      </c>
      <c r="AI1075" s="12" t="s">
        <v>3180</v>
      </c>
      <c r="AJ1075" s="19" t="s">
        <v>3181</v>
      </c>
      <c r="AK1075" s="20" t="str">
        <f>HYPERLINK("https://docs.google.com/document/d/1FD-TMUgzU4iLV9GRG4FO0rxbN0kwMthQkHq_NiYJHqU/edit?usp=drivesdk","Jacob Berna  - 9/22/2023 7:45 AM")</f>
        <v>Jacob Berna  - 9/22/2023 7:45 AM</v>
      </c>
      <c r="AL1075" s="12" t="s">
        <v>3182</v>
      </c>
    </row>
    <row r="1076" spans="1:38" ht="12.75">
      <c r="A1076" s="10">
        <f ca="1">IFERROR(__xludf.DUMMYFUNCTION("""COMPUTED_VALUE"""),45194.5100493865)</f>
        <v>45194.510049386503</v>
      </c>
      <c r="B1076" s="11" t="str">
        <f ca="1">IFERROR(__xludf.DUMMYFUNCTION("""COMPUTED_VALUE"""),"Hans Prevost")</f>
        <v>Hans Prevost</v>
      </c>
      <c r="C1076" t="str">
        <f ca="1">IFERROR(__xludf.DUMMYFUNCTION("""COMPUTED_VALUE"""),"hans.prevost@floridadep.gov")</f>
        <v>hans.prevost@floridadep.gov</v>
      </c>
      <c r="D1076" t="str">
        <f ca="1">IFERROR(__xludf.DUMMYFUNCTION("""COMPUTED_VALUE"""),"Nikki Dix")</f>
        <v>Nikki Dix</v>
      </c>
      <c r="E1076" t="str">
        <f ca="1">IFERROR(__xludf.DUMMYFUNCTION("""COMPUTED_VALUE"""),"Faver-Dykes State Park Boat Ramp")</f>
        <v>Faver-Dykes State Park Boat Ramp</v>
      </c>
      <c r="F1076" s="13">
        <f ca="1">IFERROR(__xludf.DUMMYFUNCTION("""COMPUTED_VALUE"""),0.0208333333321206)</f>
        <v>2.0833333332120601E-2</v>
      </c>
      <c r="G1076" s="14">
        <f ca="1">IFERROR(__xludf.DUMMYFUNCTION("""COMPUTED_VALUE"""),45194)</f>
        <v>45194</v>
      </c>
      <c r="H1076" t="str">
        <f ca="1">IFERROR(__xludf.DUMMYFUNCTION("""COMPUTED_VALUE"""),"Pellicer upper transect ")</f>
        <v xml:space="preserve">Pellicer upper transect </v>
      </c>
      <c r="I1076" s="15">
        <f ca="1">IFERROR(__xludf.DUMMYFUNCTION("""COMPUTED_VALUE"""),0.666666666667879)</f>
        <v>0.66666666666787899</v>
      </c>
      <c r="J1076" s="16">
        <f ca="1">IFERROR(__xludf.DUMMYFUNCTION("""COMPUTED_VALUE"""),45194.7083333333)</f>
        <v>45194.708333333299</v>
      </c>
      <c r="K1076" t="str">
        <f ca="1">IFERROR(__xludf.DUMMYFUNCTION("""COMPUTED_VALUE"""),"20ft Sea Ark FL5351SJ UNF 2015")</f>
        <v>20ft Sea Ark FL5351SJ UNF 2015</v>
      </c>
      <c r="M1076" t="str">
        <f ca="1">IFERROR(__xludf.DUMMYFUNCTION("""COMPUTED_VALUE"""),"Ford F250 2017 (Moby Dix) - DEP0021578")</f>
        <v>Ford F250 2017 (Moby Dix) - DEP0021578</v>
      </c>
      <c r="N1076" t="str">
        <f ca="1">IFERROR(__xludf.DUMMYFUNCTION("""COMPUTED_VALUE"""),"Jacob Berna, (904) 392-1966")</f>
        <v>Jacob Berna, (904) 392-1966</v>
      </c>
      <c r="O1076" t="str">
        <f ca="1">IFERROR(__xludf.DUMMYFUNCTION("""COMPUTED_VALUE"""),"Hans Prevost")</f>
        <v>Hans Prevost</v>
      </c>
      <c r="P1076" t="str">
        <f ca="1">IFERROR(__xludf.DUMMYFUNCTION("""COMPUTED_VALUE"""),"Jacob berna ")</f>
        <v xml:space="preserve">Jacob berna </v>
      </c>
      <c r="AE1076" s="11"/>
      <c r="AF1076" t="str">
        <v>Nikki.Dix@floridadep.gov</v>
      </c>
      <c r="AG1076" s="17" t="s">
        <v>41</v>
      </c>
      <c r="AH1076" s="12">
        <v>1614</v>
      </c>
      <c r="AI1076" s="12" t="s">
        <v>3183</v>
      </c>
      <c r="AJ1076" s="19" t="s">
        <v>3184</v>
      </c>
      <c r="AK1076" s="20" t="str">
        <f>HYPERLINK("https://docs.google.com/document/d/1E_JqZzZXxHgEPUnx1LhYD5kexLdPmnFAcS0MYv676zo/edit?usp=drivesdk","Hans Prevost - 9/25/2023 12:30 AM")</f>
        <v>Hans Prevost - 9/25/2023 12:30 AM</v>
      </c>
      <c r="AL1076" s="12" t="s">
        <v>3185</v>
      </c>
    </row>
    <row r="1077" spans="1:38" ht="12.75">
      <c r="A1077" s="10">
        <f ca="1">IFERROR(__xludf.DUMMYFUNCTION("""COMPUTED_VALUE"""),45200.3033603819)</f>
        <v>45200.303360381899</v>
      </c>
      <c r="B1077" s="11" t="str">
        <f ca="1">IFERROR(__xludf.DUMMYFUNCTION("""COMPUTED_VALUE"""),"Jacob Berna")</f>
        <v>Jacob Berna</v>
      </c>
      <c r="C1077" t="str">
        <f ca="1">IFERROR(__xludf.DUMMYFUNCTION("""COMPUTED_VALUE"""),"jacob.berna@floridadep.gov")</f>
        <v>jacob.berna@floridadep.gov</v>
      </c>
      <c r="D1077" t="str">
        <f ca="1">IFERROR(__xludf.DUMMYFUNCTION("""COMPUTED_VALUE"""),"Scott Eastman")</f>
        <v>Scott Eastman</v>
      </c>
      <c r="E1077" t="str">
        <f ca="1">IFERROR(__xludf.DUMMYFUNCTION("""COMPUTED_VALUE"""),"Faver-Dykes State Park Boat Ramp")</f>
        <v>Faver-Dykes State Park Boat Ramp</v>
      </c>
      <c r="F1077" s="13">
        <f ca="1">IFERROR(__xludf.DUMMYFUNCTION("""COMPUTED_VALUE"""),0.305555555554747)</f>
        <v>0.305555555554747</v>
      </c>
      <c r="G1077" s="14">
        <f ca="1">IFERROR(__xludf.DUMMYFUNCTION("""COMPUTED_VALUE"""),45200)</f>
        <v>45200</v>
      </c>
      <c r="H1077" t="str">
        <f ca="1">IFERROR(__xludf.DUMMYFUNCTION("""COMPUTED_VALUE"""),"PC transects")</f>
        <v>PC transects</v>
      </c>
      <c r="I1077" s="15">
        <f ca="1">IFERROR(__xludf.DUMMYFUNCTION("""COMPUTED_VALUE"""),0.666666666667879)</f>
        <v>0.66666666666787899</v>
      </c>
      <c r="J1077" s="16">
        <f ca="1">IFERROR(__xludf.DUMMYFUNCTION("""COMPUTED_VALUE"""),45200.7083333333)</f>
        <v>45200.708333333299</v>
      </c>
      <c r="K1077" t="str">
        <f ca="1">IFERROR(__xludf.DUMMYFUNCTION("""COMPUTED_VALUE"""),"20ft Sea Ark FL5351SJ UNF 2015")</f>
        <v>20ft Sea Ark FL5351SJ UNF 2015</v>
      </c>
      <c r="M1077" t="str">
        <f ca="1">IFERROR(__xludf.DUMMYFUNCTION("""COMPUTED_VALUE"""),"Ford F150 2015 (White) - DEP21448")</f>
        <v>Ford F150 2015 (White) - DEP21448</v>
      </c>
      <c r="N1077" t="str">
        <f ca="1">IFERROR(__xludf.DUMMYFUNCTION("""COMPUTED_VALUE"""),"Allix North, (850) 420-7495, Jacob Berna, (904) 392-1966")</f>
        <v>Allix North, (850) 420-7495, Jacob Berna, (904) 392-1966</v>
      </c>
      <c r="O1077" t="str">
        <f ca="1">IFERROR(__xludf.DUMMYFUNCTION("""COMPUTED_VALUE"""),"Hans Prevost Ches Verdeke, Kyle Derby")</f>
        <v>Hans Prevost Ches Verdeke, Kyle Derby</v>
      </c>
      <c r="P1077" t="str">
        <f ca="1">IFERROR(__xludf.DUMMYFUNCTION("""COMPUTED_VALUE"""),"Jacob Berna")</f>
        <v>Jacob Berna</v>
      </c>
      <c r="AE1077" s="11"/>
      <c r="AF1077" t="str">
        <v>Scott.Eastman@floridadep.gov</v>
      </c>
      <c r="AG1077" s="17" t="s">
        <v>21</v>
      </c>
      <c r="AH1077" s="12">
        <v>1134</v>
      </c>
      <c r="AI1077" s="12" t="s">
        <v>3186</v>
      </c>
      <c r="AJ1077" s="19" t="s">
        <v>3187</v>
      </c>
      <c r="AK1077" s="20" t="str">
        <f>HYPERLINK("https://docs.google.com/document/d/1MLhS4r5TsAwDGy4Mb8BwuKiu2lhOzl9GLOskX73igZw/edit?usp=drivesdk","Jacob Berna - 10/1/2023 7:20 AM")</f>
        <v>Jacob Berna - 10/1/2023 7:20 AM</v>
      </c>
      <c r="AL1077" s="12" t="s">
        <v>3188</v>
      </c>
    </row>
    <row r="1078" spans="1:38" ht="12.75">
      <c r="A1078" s="10">
        <f ca="1">IFERROR(__xludf.DUMMYFUNCTION("""COMPUTED_VALUE"""),45201.3072276967)</f>
        <v>45201.3072276967</v>
      </c>
      <c r="B1078" s="11" t="str">
        <f ca="1">IFERROR(__xludf.DUMMYFUNCTION("""COMPUTED_VALUE"""),"Jacob Berna ")</f>
        <v xml:space="preserve">Jacob Berna </v>
      </c>
      <c r="C1078" t="str">
        <f ca="1">IFERROR(__xludf.DUMMYFUNCTION("""COMPUTED_VALUE"""),"jacob.berna@floridadep.gov")</f>
        <v>jacob.berna@floridadep.gov</v>
      </c>
      <c r="D1078" t="str">
        <f ca="1">IFERROR(__xludf.DUMMYFUNCTION("""COMPUTED_VALUE"""),"Scott Eastman")</f>
        <v>Scott Eastman</v>
      </c>
      <c r="E1078" t="str">
        <f ca="1">IFERROR(__xludf.DUMMYFUNCTION("""COMPUTED_VALUE"""),"Faver-Dykes State Park Boat Ramp")</f>
        <v>Faver-Dykes State Park Boat Ramp</v>
      </c>
      <c r="F1078" s="13">
        <f ca="1">IFERROR(__xludf.DUMMYFUNCTION("""COMPUTED_VALUE"""),0.3125)</f>
        <v>0.3125</v>
      </c>
      <c r="G1078" s="14">
        <f ca="1">IFERROR(__xludf.DUMMYFUNCTION("""COMPUTED_VALUE"""),45201)</f>
        <v>45201</v>
      </c>
      <c r="H1078" t="str">
        <f ca="1">IFERROR(__xludf.DUMMYFUNCTION("""COMPUTED_VALUE"""),"Lower Transect Pc")</f>
        <v>Lower Transect Pc</v>
      </c>
      <c r="I1078" s="15">
        <f ca="1">IFERROR(__xludf.DUMMYFUNCTION("""COMPUTED_VALUE"""),0.541666666667879)</f>
        <v>0.54166666666787899</v>
      </c>
      <c r="J1078" s="16">
        <f ca="1">IFERROR(__xludf.DUMMYFUNCTION("""COMPUTED_VALUE"""),45201.5833333333)</f>
        <v>45201.583333333299</v>
      </c>
      <c r="K1078" t="str">
        <f ca="1">IFERROR(__xludf.DUMMYFUNCTION("""COMPUTED_VALUE"""),"20ft Sea Ark FL5351SJ UNF 2015")</f>
        <v>20ft Sea Ark FL5351SJ UNF 2015</v>
      </c>
      <c r="M1078" t="str">
        <f ca="1">IFERROR(__xludf.DUMMYFUNCTION("""COMPUTED_VALUE"""),"Ford F150 2015 (White) - DEP21448")</f>
        <v>Ford F150 2015 (White) - DEP21448</v>
      </c>
      <c r="N1078" t="str">
        <f ca="1">IFERROR(__xludf.DUMMYFUNCTION("""COMPUTED_VALUE"""),"Hans Prevost, (337) 224-5522, Jacob Berna, (904) 392-1966, Nikki Dix, (352) 219-4079")</f>
        <v>Hans Prevost, (337) 224-5522, Jacob Berna, (904) 392-1966, Nikki Dix, (352) 219-4079</v>
      </c>
      <c r="O1078" t="str">
        <f ca="1">IFERROR(__xludf.DUMMYFUNCTION("""COMPUTED_VALUE"""),"Ches Treveke, Kyle Derby")</f>
        <v>Ches Treveke, Kyle Derby</v>
      </c>
      <c r="P1078" t="str">
        <f ca="1">IFERROR(__xludf.DUMMYFUNCTION("""COMPUTED_VALUE"""),"Jacob Berna")</f>
        <v>Jacob Berna</v>
      </c>
      <c r="AE1078" s="11"/>
      <c r="AF1078" t="str">
        <v>Scott.Eastman@floridadep.gov</v>
      </c>
      <c r="AG1078" s="17" t="s">
        <v>21</v>
      </c>
      <c r="AH1078" s="12">
        <v>951</v>
      </c>
      <c r="AI1078" s="12" t="s">
        <v>3189</v>
      </c>
      <c r="AJ1078" s="19" t="s">
        <v>3190</v>
      </c>
      <c r="AK1078" s="20" t="str">
        <f>HYPERLINK("https://docs.google.com/document/d/1awMKX3ncEobp1QNkfk1sgyVDQLrwCXosD5E01LL8TKE/edit?usp=drivesdk","Jacob Berna  - 10/2/2023 7:30 AM")</f>
        <v>Jacob Berna  - 10/2/2023 7:30 AM</v>
      </c>
      <c r="AL1078" s="12" t="s">
        <v>3191</v>
      </c>
    </row>
    <row r="1079" spans="1:38" ht="12.75">
      <c r="A1079" s="10">
        <f ca="1">IFERROR(__xludf.DUMMYFUNCTION("""COMPUTED_VALUE"""),45203.2703749537)</f>
        <v>45203.270374953703</v>
      </c>
      <c r="B1079" s="11" t="str">
        <f ca="1">IFERROR(__xludf.DUMMYFUNCTION("""COMPUTED_VALUE"""),"Jimmy")</f>
        <v>Jimmy</v>
      </c>
      <c r="C1079" t="str">
        <f ca="1">IFERROR(__xludf.DUMMYFUNCTION("""COMPUTED_VALUE"""),"janes.tomazinis@floridadep.gov")</f>
        <v>janes.tomazinis@floridadep.gov</v>
      </c>
      <c r="D1079" t="str">
        <f ca="1">IFERROR(__xludf.DUMMYFUNCTION("""COMPUTED_VALUE"""),"Jimmy Tomazinis")</f>
        <v>Jimmy Tomazinis</v>
      </c>
      <c r="E1079" t="str">
        <f ca="1">IFERROR(__xludf.DUMMYFUNCTION("""COMPUTED_VALUE"""),"Holly Point")</f>
        <v>Holly Point</v>
      </c>
      <c r="F1079" s="13">
        <f ca="1">IFERROR(__xludf.DUMMYFUNCTION("""COMPUTED_VALUE"""),0.354166666667879)</f>
        <v>0.35416666666787899</v>
      </c>
      <c r="G1079" s="14">
        <f ca="1">IFERROR(__xludf.DUMMYFUNCTION("""COMPUTED_VALUE"""),45203)</f>
        <v>45203</v>
      </c>
      <c r="H1079" t="str">
        <f ca="1">IFERROR(__xludf.DUMMYFUNCTION("""COMPUTED_VALUE"""),"Christopher Creek and Nassau River")</f>
        <v>Christopher Creek and Nassau River</v>
      </c>
      <c r="I1079" s="15">
        <f ca="1">IFERROR(__xludf.DUMMYFUNCTION("""COMPUTED_VALUE"""),0.58333333333212)</f>
        <v>0.58333333333212001</v>
      </c>
      <c r="J1079" s="16"/>
      <c r="K1079" t="str">
        <f ca="1">IFERROR(__xludf.DUMMYFUNCTION("""COMPUTED_VALUE"""),"F 20ft Sea Ark (Easy 200) FL8534PY DEP21451")</f>
        <v>F 20ft Sea Ark (Easy 200) FL8534PY DEP21451</v>
      </c>
      <c r="M1079" t="str">
        <f ca="1">IFERROR(__xludf.DUMMYFUNCTION("""COMPUTED_VALUE"""),"Ford F150 2022 (NEAP) - DEP22491")</f>
        <v>Ford F150 2022 (NEAP) - DEP22491</v>
      </c>
      <c r="N1079" t="str">
        <f ca="1">IFERROR(__xludf.DUMMYFUNCTION("""COMPUTED_VALUE"""),"Jimmy Tomazinis, (904) 547-0094")</f>
        <v>Jimmy Tomazinis, (904) 547-0094</v>
      </c>
      <c r="O1079" t="str">
        <f ca="1">IFERROR(__xludf.DUMMYFUNCTION("""COMPUTED_VALUE"""),"Chris Kurtz")</f>
        <v>Chris Kurtz</v>
      </c>
      <c r="P1079" t="str">
        <f ca="1">IFERROR(__xludf.DUMMYFUNCTION("""COMPUTED_VALUE"""),"Jimmy")</f>
        <v>Jimmy</v>
      </c>
      <c r="AE1079" s="11"/>
      <c r="AF1079" t="str">
        <v>James.Tomazinis@floridadep.gov</v>
      </c>
      <c r="AG1079" s="17" t="s">
        <v>17</v>
      </c>
      <c r="AH1079" s="12">
        <v>1330</v>
      </c>
      <c r="AI1079" s="12" t="s">
        <v>3192</v>
      </c>
      <c r="AJ1079" s="19" t="s">
        <v>3193</v>
      </c>
      <c r="AK1079" s="20" t="str">
        <f>HYPERLINK("https://docs.google.com/document/d/1nADoQLQojn3iBHgfaOWgNn6On910xaxB7aJ-q5QBtjY/edit?usp=drivesdk","Jimmy - 10/4/2023 8:30 AM")</f>
        <v>Jimmy - 10/4/2023 8:30 AM</v>
      </c>
      <c r="AL1079" s="12" t="s">
        <v>3194</v>
      </c>
    </row>
    <row r="1080" spans="1:38" ht="12.75">
      <c r="A1080" s="10">
        <f ca="1">IFERROR(__xludf.DUMMYFUNCTION("""COMPUTED_VALUE"""),45203.501708831)</f>
        <v>45203.501708830998</v>
      </c>
      <c r="B1080" s="11" t="str">
        <f ca="1">IFERROR(__xludf.DUMMYFUNCTION("""COMPUTED_VALUE"""),"Shannon")</f>
        <v>Shannon</v>
      </c>
      <c r="C1080" t="str">
        <f ca="1">IFERROR(__xludf.DUMMYFUNCTION("""COMPUTED_VALUE"""),"shannon.dunnigan@dep.state.fl.us")</f>
        <v>shannon.dunnigan@dep.state.fl.us</v>
      </c>
      <c r="D1080" t="str">
        <f ca="1">IFERROR(__xludf.DUMMYFUNCTION("""COMPUTED_VALUE"""),"Nikki Dix")</f>
        <v>Nikki Dix</v>
      </c>
      <c r="E1080" t="str">
        <f ca="1">IFERROR(__xludf.DUMMYFUNCTION("""COMPUTED_VALUE"""),"Douglas Crane Boat Ramp")</f>
        <v>Douglas Crane Boat Ramp</v>
      </c>
      <c r="F1080" s="13">
        <f ca="1">IFERROR(__xludf.DUMMYFUNCTION("""COMPUTED_VALUE"""),0.52083333333212)</f>
        <v>0.52083333333212001</v>
      </c>
      <c r="G1080" s="14">
        <f ca="1">IFERROR(__xludf.DUMMYFUNCTION("""COMPUTED_VALUE"""),45203)</f>
        <v>45203</v>
      </c>
      <c r="H1080" t="str">
        <f ca="1">IFERROR(__xludf.DUMMYFUNCTION("""COMPUTED_VALUE"""),"FM and SS SWMP sites")</f>
        <v>FM and SS SWMP sites</v>
      </c>
      <c r="I1080" s="15">
        <f ca="1">IFERROR(__xludf.DUMMYFUNCTION("""COMPUTED_VALUE"""),0.625)</f>
        <v>0.625</v>
      </c>
      <c r="J1080" s="16">
        <f ca="1">IFERROR(__xludf.DUMMYFUNCTION("""COMPUTED_VALUE"""),45203.6666666666)</f>
        <v>45203.666666666599</v>
      </c>
      <c r="K1080" t="str">
        <f ca="1">IFERROR(__xludf.DUMMYFUNCTION("""COMPUTED_VALUE"""),"20ft Sea Ark FL5351SJ UNF 2015")</f>
        <v>20ft Sea Ark FL5351SJ UNF 2015</v>
      </c>
      <c r="M1080" t="str">
        <f ca="1">IFERROR(__xludf.DUMMYFUNCTION("""COMPUTED_VALUE"""),"Ford F150 2015 (White) - DEP21448")</f>
        <v>Ford F150 2015 (White) - DEP21448</v>
      </c>
      <c r="N1080" t="str">
        <f ca="1">IFERROR(__xludf.DUMMYFUNCTION("""COMPUTED_VALUE"""),"Shannon Dunnigan, (803) 727-5734")</f>
        <v>Shannon Dunnigan, (803) 727-5734</v>
      </c>
      <c r="O1080" t="str">
        <f ca="1">IFERROR(__xludf.DUMMYFUNCTION("""COMPUTED_VALUE"""),"Megan Howkins, (321) 427-1958")</f>
        <v>Megan Howkins, (321) 427-1958</v>
      </c>
      <c r="P1080" t="str">
        <f ca="1">IFERROR(__xludf.DUMMYFUNCTION("""COMPUTED_VALUE"""),"Shannon")</f>
        <v>Shannon</v>
      </c>
      <c r="AE1080" s="11"/>
      <c r="AF1080" t="str">
        <v>Nikki.Dix@floridadep.gov</v>
      </c>
      <c r="AG1080" s="17" t="s">
        <v>41</v>
      </c>
      <c r="AH1080" s="12">
        <v>1448</v>
      </c>
      <c r="AI1080" s="12" t="s">
        <v>3195</v>
      </c>
      <c r="AJ1080" s="19" t="s">
        <v>3196</v>
      </c>
      <c r="AK1080" s="20" t="str">
        <f>HYPERLINK("https://docs.google.com/document/d/1uqCbFjI_w6lpNNDfIxI6ysGM0eWY_9JElUgXY-gjeLg/edit?usp=drivesdk","Shannon - 10/4/2023 12:30 PM")</f>
        <v>Shannon - 10/4/2023 12:30 PM</v>
      </c>
      <c r="AL1080" s="12" t="s">
        <v>3197</v>
      </c>
    </row>
    <row r="1081" spans="1:38" ht="12.75">
      <c r="A1081" s="10">
        <f ca="1">IFERROR(__xludf.DUMMYFUNCTION("""COMPUTED_VALUE"""),45204.2827314351)</f>
        <v>45204.282731435102</v>
      </c>
      <c r="B1081" s="11" t="str">
        <f ca="1">IFERROR(__xludf.DUMMYFUNCTION("""COMPUTED_VALUE"""),"Jacob Berna")</f>
        <v>Jacob Berna</v>
      </c>
      <c r="C1081" t="str">
        <f ca="1">IFERROR(__xludf.DUMMYFUNCTION("""COMPUTED_VALUE"""),"jacob.berna@floridadep.gov")</f>
        <v>jacob.berna@floridadep.gov</v>
      </c>
      <c r="D1081" t="str">
        <f ca="1">IFERROR(__xludf.DUMMYFUNCTION("""COMPUTED_VALUE"""),"Nikki Dix")</f>
        <v>Nikki Dix</v>
      </c>
      <c r="E1081" t="str">
        <f ca="1">IFERROR(__xludf.DUMMYFUNCTION("""COMPUTED_VALUE"""),"Douglas Crane Boat Ramp")</f>
        <v>Douglas Crane Boat Ramp</v>
      </c>
      <c r="F1081" s="13">
        <f ca="1">IFERROR(__xludf.DUMMYFUNCTION("""COMPUTED_VALUE"""),0.291666666667879)</f>
        <v>0.29166666666787899</v>
      </c>
      <c r="G1081" s="14">
        <f ca="1">IFERROR(__xludf.DUMMYFUNCTION("""COMPUTED_VALUE"""),45204)</f>
        <v>45204</v>
      </c>
      <c r="H1081" t="str">
        <f ca="1">IFERROR(__xludf.DUMMYFUNCTION("""COMPUTED_VALUE"""),"EC site")</f>
        <v>EC site</v>
      </c>
      <c r="I1081" s="15">
        <f ca="1">IFERROR(__xludf.DUMMYFUNCTION("""COMPUTED_VALUE"""),0.541666666667879)</f>
        <v>0.54166666666787899</v>
      </c>
      <c r="J1081" s="16">
        <f ca="1">IFERROR(__xludf.DUMMYFUNCTION("""COMPUTED_VALUE"""),45204.5833333333)</f>
        <v>45204.583333333299</v>
      </c>
      <c r="K1081" t="str">
        <f ca="1">IFERROR(__xludf.DUMMYFUNCTION("""COMPUTED_VALUE"""),"20ft Sea Ark FL5351SJ UNF 2015")</f>
        <v>20ft Sea Ark FL5351SJ UNF 2015</v>
      </c>
      <c r="M1081" t="str">
        <f ca="1">IFERROR(__xludf.DUMMYFUNCTION("""COMPUTED_VALUE"""),"Ford F150 2015 (White) - DEP21448")</f>
        <v>Ford F150 2015 (White) - DEP21448</v>
      </c>
      <c r="N1081" t="str">
        <f ca="1">IFERROR(__xludf.DUMMYFUNCTION("""COMPUTED_VALUE"""),"Hans Prevost, (337) 224-5522, Jacob Berna, (904) 392-1966")</f>
        <v>Hans Prevost, (337) 224-5522, Jacob Berna, (904) 392-1966</v>
      </c>
      <c r="O1081" t="str">
        <f ca="1">IFERROR(__xludf.DUMMYFUNCTION("""COMPUTED_VALUE"""),"Savanna Mathis, Zach Lepera")</f>
        <v>Savanna Mathis, Zach Lepera</v>
      </c>
      <c r="P1081" t="str">
        <f ca="1">IFERROR(__xludf.DUMMYFUNCTION("""COMPUTED_VALUE"""),"Jacob Berna")</f>
        <v>Jacob Berna</v>
      </c>
      <c r="AE1081" s="11"/>
      <c r="AF1081" t="str">
        <v>Nikki.Dix@floridadep.gov</v>
      </c>
      <c r="AG1081" s="17" t="s">
        <v>41</v>
      </c>
      <c r="AH1081" s="12">
        <v>1157</v>
      </c>
      <c r="AI1081" s="12" t="s">
        <v>3198</v>
      </c>
      <c r="AJ1081" s="19" t="s">
        <v>3199</v>
      </c>
      <c r="AK1081" s="20" t="str">
        <f>HYPERLINK("https://docs.google.com/document/d/1a2M96INu3hj5wR0tapaLFQpatg8tisqwWBZUt9VHwVE/edit?usp=drivesdk","Jacob Berna - 10/5/2023 7:00 AM")</f>
        <v>Jacob Berna - 10/5/2023 7:00 AM</v>
      </c>
      <c r="AL1081" s="12" t="s">
        <v>3200</v>
      </c>
    </row>
    <row r="1082" spans="1:38" ht="12.75">
      <c r="A1082" s="10">
        <f ca="1">IFERROR(__xludf.DUMMYFUNCTION("""COMPUTED_VALUE"""),45205.3707046875)</f>
        <v>45205.370704687499</v>
      </c>
      <c r="B1082" s="11" t="str">
        <f ca="1">IFERROR(__xludf.DUMMYFUNCTION("""COMPUTED_VALUE"""),"Hans prevost ")</f>
        <v xml:space="preserve">Hans prevost </v>
      </c>
      <c r="C1082" t="str">
        <f ca="1">IFERROR(__xludf.DUMMYFUNCTION("""COMPUTED_VALUE"""),"hans.prevost@floridadep.gov")</f>
        <v>hans.prevost@floridadep.gov</v>
      </c>
      <c r="D1082" t="str">
        <f ca="1">IFERROR(__xludf.DUMMYFUNCTION("""COMPUTED_VALUE"""),"Jacob Berna")</f>
        <v>Jacob Berna</v>
      </c>
      <c r="E1082" t="str">
        <f ca="1">IFERROR(__xludf.DUMMYFUNCTION("""COMPUTED_VALUE"""),"Moses creek dock ")</f>
        <v xml:space="preserve">Moses creek dock </v>
      </c>
      <c r="F1082" s="13">
        <f ca="1">IFERROR(__xludf.DUMMYFUNCTION("""COMPUTED_VALUE"""),0.385416666667879)</f>
        <v>0.38541666666787899</v>
      </c>
      <c r="G1082" s="14">
        <f ca="1">IFERROR(__xludf.DUMMYFUNCTION("""COMPUTED_VALUE"""),45205)</f>
        <v>45205</v>
      </c>
      <c r="H1082" t="str">
        <f ca="1">IFERROR(__xludf.DUMMYFUNCTION("""COMPUTED_VALUE"""),"Moses creek marsh monitoring sites ")</f>
        <v xml:space="preserve">Moses creek marsh monitoring sites </v>
      </c>
      <c r="I1082" s="15">
        <f ca="1">IFERROR(__xludf.DUMMYFUNCTION("""COMPUTED_VALUE"""),0.625)</f>
        <v>0.625</v>
      </c>
      <c r="J1082" s="16">
        <f ca="1">IFERROR(__xludf.DUMMYFUNCTION("""COMPUTED_VALUE"""),45205.6666666666)</f>
        <v>45205.666666666599</v>
      </c>
      <c r="K1082" t="str">
        <f ca="1">IFERROR(__xludf.DUMMYFUNCTION("""COMPUTED_VALUE"""),"Kayak(s)")</f>
        <v>Kayak(s)</v>
      </c>
      <c r="L1082">
        <f ca="1">IFERROR(__xludf.DUMMYFUNCTION("""COMPUTED_VALUE"""),2)</f>
        <v>2</v>
      </c>
      <c r="M1082" t="str">
        <f ca="1">IFERROR(__xludf.DUMMYFUNCTION("""COMPUTED_VALUE"""),"Ford F150 2015 (White) - DEP21448")</f>
        <v>Ford F150 2015 (White) - DEP21448</v>
      </c>
      <c r="N1082" t="str">
        <f ca="1">IFERROR(__xludf.DUMMYFUNCTION("""COMPUTED_VALUE"""),"Hans Prevost, (337) 224-5522")</f>
        <v>Hans Prevost, (337) 224-5522</v>
      </c>
      <c r="O1082" t="str">
        <f ca="1">IFERROR(__xludf.DUMMYFUNCTION("""COMPUTED_VALUE"""),"Kala Neighbor, Savanna Mathis")</f>
        <v>Kala Neighbor, Savanna Mathis</v>
      </c>
      <c r="P1082" t="str">
        <f ca="1">IFERROR(__xludf.DUMMYFUNCTION("""COMPUTED_VALUE"""),"Hans Prevost")</f>
        <v>Hans Prevost</v>
      </c>
      <c r="AE1082" s="11"/>
      <c r="AF1082" t="str">
        <v>Jacob.Berna@floridadep.gov</v>
      </c>
      <c r="AG1082" s="17" t="s">
        <v>3071</v>
      </c>
      <c r="AH1082" s="12">
        <v>1210</v>
      </c>
      <c r="AI1082" s="12" t="s">
        <v>3201</v>
      </c>
      <c r="AJ1082" s="19" t="s">
        <v>3202</v>
      </c>
      <c r="AK1082" s="20" t="str">
        <f>HYPERLINK("https://docs.google.com/document/d/1jBXcomq0QnqBEfhyoONHIkUDNPwnIOTSdji2bC8Fvag/edit?usp=drivesdk","Hans prevost  - 10/6/2023 9:15 AM")</f>
        <v>Hans prevost  - 10/6/2023 9:15 AM</v>
      </c>
      <c r="AL1082" s="12" t="s">
        <v>3203</v>
      </c>
    </row>
    <row r="1083" spans="1:38" ht="12.75">
      <c r="A1083" s="10">
        <f ca="1">IFERROR(__xludf.DUMMYFUNCTION("""COMPUTED_VALUE"""),45208.4747114814)</f>
        <v>45208.474711481402</v>
      </c>
      <c r="B1083" s="11" t="str">
        <f ca="1">IFERROR(__xludf.DUMMYFUNCTION("""COMPUTED_VALUE"""),"Chris Kurtz")</f>
        <v>Chris Kurtz</v>
      </c>
      <c r="C1083" t="str">
        <f ca="1">IFERROR(__xludf.DUMMYFUNCTION("""COMPUTED_VALUE"""),"chris.kurtz@floridadep.gov")</f>
        <v>chris.kurtz@floridadep.gov</v>
      </c>
      <c r="D1083" t="str">
        <f ca="1">IFERROR(__xludf.DUMMYFUNCTION("""COMPUTED_VALUE"""),"Blythe Odzinski")</f>
        <v>Blythe Odzinski</v>
      </c>
      <c r="E1083" t="str">
        <f ca="1">IFERROR(__xludf.DUMMYFUNCTION("""COMPUTED_VALUE"""),"Vilano Boat Ramp")</f>
        <v>Vilano Boat Ramp</v>
      </c>
      <c r="F1083" s="13">
        <f ca="1">IFERROR(__xludf.DUMMYFUNCTION("""COMPUTED_VALUE"""),0.5)</f>
        <v>0.5</v>
      </c>
      <c r="G1083" s="14">
        <f ca="1">IFERROR(__xludf.DUMMYFUNCTION("""COMPUTED_VALUE"""),45208)</f>
        <v>45208</v>
      </c>
      <c r="H1083" t="str">
        <f ca="1">IFERROR(__xludf.DUMMYFUNCTION("""COMPUTED_VALUE"""),"Matanzas ")</f>
        <v xml:space="preserve">Matanzas </v>
      </c>
      <c r="I1083" s="15">
        <f ca="1">IFERROR(__xludf.DUMMYFUNCTION("""COMPUTED_VALUE"""),0.625)</f>
        <v>0.625</v>
      </c>
      <c r="J1083" s="16">
        <f ca="1">IFERROR(__xludf.DUMMYFUNCTION("""COMPUTED_VALUE"""),45208.6666666666)</f>
        <v>45208.666666666599</v>
      </c>
      <c r="K1083" t="str">
        <f ca="1">IFERROR(__xludf.DUMMYFUNCTION("""COMPUTED_VALUE"""),"23ft Skiff (Bertha) FL7972LJ DEP07613")</f>
        <v>23ft Skiff (Bertha) FL7972LJ DEP07613</v>
      </c>
      <c r="M1083" t="str">
        <f ca="1">IFERROR(__xludf.DUMMYFUNCTION("""COMPUTED_VALUE"""),"Ford F150 2022 (NEAP) - DEP22491")</f>
        <v>Ford F150 2022 (NEAP) - DEP22491</v>
      </c>
      <c r="N1083" t="str">
        <f ca="1">IFERROR(__xludf.DUMMYFUNCTION("""COMPUTED_VALUE"""),"Jimmy Tomazinis, (904) 547-0094")</f>
        <v>Jimmy Tomazinis, (904) 547-0094</v>
      </c>
      <c r="O1083" t="str">
        <f ca="1">IFERROR(__xludf.DUMMYFUNCTION("""COMPUTED_VALUE"""),"Chris Kurtz")</f>
        <v>Chris Kurtz</v>
      </c>
      <c r="AE1083" s="11"/>
      <c r="AF1083" t="str">
        <v>Blythe.Odzinski@floridadep.gov</v>
      </c>
      <c r="AG1083" s="17" t="s">
        <v>17</v>
      </c>
      <c r="AH1083" s="12">
        <v>1415</v>
      </c>
      <c r="AI1083" s="12" t="s">
        <v>3204</v>
      </c>
      <c r="AJ1083" s="19" t="s">
        <v>3205</v>
      </c>
      <c r="AK1083" s="20" t="str">
        <f>HYPERLINK("https://docs.google.com/document/d/1iUfCH0bLg2sJPNdERuf4M1pgyb_kXOe1RWeGGs3f7H8/edit?usp=drivesdk","Chris Kurtz - 10/9/2023 12:00 PM")</f>
        <v>Chris Kurtz - 10/9/2023 12:00 PM</v>
      </c>
      <c r="AL1083" s="12" t="s">
        <v>3206</v>
      </c>
    </row>
    <row r="1084" spans="1:38" ht="12.75">
      <c r="A1084" s="10">
        <f ca="1">IFERROR(__xludf.DUMMYFUNCTION("""COMPUTED_VALUE"""),45209.3823613541)</f>
        <v>45209.382361354103</v>
      </c>
      <c r="B1084" s="11" t="str">
        <f ca="1">IFERROR(__xludf.DUMMYFUNCTION("""COMPUTED_VALUE"""),"Shannon")</f>
        <v>Shannon</v>
      </c>
      <c r="C1084" t="str">
        <f ca="1">IFERROR(__xludf.DUMMYFUNCTION("""COMPUTED_VALUE"""),"shannon.dunnigan@dep.state.fl.us")</f>
        <v>shannon.dunnigan@dep.state.fl.us</v>
      </c>
      <c r="D1084" t="str">
        <f ca="1">IFERROR(__xludf.DUMMYFUNCTION("""COMPUTED_VALUE"""),"Blythe Odzinski")</f>
        <v>Blythe Odzinski</v>
      </c>
      <c r="E1084" t="str">
        <f ca="1">IFERROR(__xludf.DUMMYFUNCTION("""COMPUTED_VALUE"""),"Vilano Boat Ramp")</f>
        <v>Vilano Boat Ramp</v>
      </c>
      <c r="F1084" s="13">
        <f ca="1">IFERROR(__xludf.DUMMYFUNCTION("""COMPUTED_VALUE"""),0.39583333333212)</f>
        <v>0.39583333333212001</v>
      </c>
      <c r="G1084" s="14">
        <f ca="1">IFERROR(__xludf.DUMMYFUNCTION("""COMPUTED_VALUE"""),45209)</f>
        <v>45209</v>
      </c>
      <c r="H1084" t="str">
        <f ca="1">IFERROR(__xludf.DUMMYFUNCTION("""COMPUTED_VALUE"""),"Tolomato river reefs")</f>
        <v>Tolomato river reefs</v>
      </c>
      <c r="I1084" s="15">
        <f ca="1">IFERROR(__xludf.DUMMYFUNCTION("""COMPUTED_VALUE"""),0.666666666667879)</f>
        <v>0.66666666666787899</v>
      </c>
      <c r="J1084" s="16">
        <f ca="1">IFERROR(__xludf.DUMMYFUNCTION("""COMPUTED_VALUE"""),45209.7083333333)</f>
        <v>45209.708333333299</v>
      </c>
      <c r="K1084" t="str">
        <f ca="1">IFERROR(__xludf.DUMMYFUNCTION("""COMPUTED_VALUE"""),"23ft Skiff (Bertha) FL7972LJ DEP07613")</f>
        <v>23ft Skiff (Bertha) FL7972LJ DEP07613</v>
      </c>
      <c r="M1084" t="str">
        <f ca="1">IFERROR(__xludf.DUMMYFUNCTION("""COMPUTED_VALUE"""),"Ford F150 2015 (White) - DEP21448")</f>
        <v>Ford F150 2015 (White) - DEP21448</v>
      </c>
      <c r="N1084" t="str">
        <f ca="1">IFERROR(__xludf.DUMMYFUNCTION("""COMPUTED_VALUE"""),"Hans Prevost, (337) 224-5522, Shannon Dunnigan, (803) 727-5734")</f>
        <v>Hans Prevost, (337) 224-5522, Shannon Dunnigan, (803) 727-5734</v>
      </c>
      <c r="O1084" t="str">
        <f ca="1">IFERROR(__xludf.DUMMYFUNCTION("""COMPUTED_VALUE"""),"Sam Chapman, Tess, Cathy, Jenny, Aaron")</f>
        <v>Sam Chapman, Tess, Cathy, Jenny, Aaron</v>
      </c>
      <c r="P1084" t="str">
        <f ca="1">IFERROR(__xludf.DUMMYFUNCTION("""COMPUTED_VALUE"""),"Shannon ")</f>
        <v xml:space="preserve">Shannon </v>
      </c>
      <c r="AE1084" s="11"/>
      <c r="AF1084" t="str">
        <v>Blythe.Odzinski@floridadep.gov</v>
      </c>
      <c r="AG1084" s="17" t="s">
        <v>113</v>
      </c>
      <c r="AH1084" s="12">
        <v>1604</v>
      </c>
      <c r="AI1084" s="12" t="s">
        <v>3207</v>
      </c>
      <c r="AJ1084" s="19" t="s">
        <v>3208</v>
      </c>
      <c r="AK1084" s="20" t="str">
        <f>HYPERLINK("https://docs.google.com/document/d/1IwGgxLrifvzHjaKioIE0J_NjVwLNomRVXz7qS-AUL6U/edit?usp=drivesdk","Shannon - 10/10/2023 9:30 AM")</f>
        <v>Shannon - 10/10/2023 9:30 AM</v>
      </c>
      <c r="AL1084" s="12" t="s">
        <v>3209</v>
      </c>
    </row>
    <row r="1085" spans="1:38" ht="12.75">
      <c r="A1085" s="10">
        <f ca="1">IFERROR(__xludf.DUMMYFUNCTION("""COMPUTED_VALUE"""),45209.3860559606)</f>
        <v>45209.386055960596</v>
      </c>
      <c r="B1085" s="11" t="str">
        <f ca="1">IFERROR(__xludf.DUMMYFUNCTION("""COMPUTED_VALUE"""),"Nikki Dix")</f>
        <v>Nikki Dix</v>
      </c>
      <c r="C1085" t="str">
        <f ca="1">IFERROR(__xludf.DUMMYFUNCTION("""COMPUTED_VALUE"""),"nikki.dix@dep.state.fl.us")</f>
        <v>nikki.dix@dep.state.fl.us</v>
      </c>
      <c r="D1085" t="str">
        <f ca="1">IFERROR(__xludf.DUMMYFUNCTION("""COMPUTED_VALUE"""),"Blythe Odzinski")</f>
        <v>Blythe Odzinski</v>
      </c>
      <c r="E1085" t="str">
        <f ca="1">IFERROR(__xludf.DUMMYFUNCTION("""COMPUTED_VALUE"""),"Vilano Boat Ramp")</f>
        <v>Vilano Boat Ramp</v>
      </c>
      <c r="F1085" s="13">
        <f ca="1">IFERROR(__xludf.DUMMYFUNCTION("""COMPUTED_VALUE"""),0.388888888890505)</f>
        <v>0.38888888889050499</v>
      </c>
      <c r="G1085" s="14">
        <f ca="1">IFERROR(__xludf.DUMMYFUNCTION("""COMPUTED_VALUE"""),45209)</f>
        <v>45209</v>
      </c>
      <c r="H1085" t="str">
        <f ca="1">IFERROR(__xludf.DUMMYFUNCTION("""COMPUTED_VALUE"""),"Tolomato rakes")</f>
        <v>Tolomato rakes</v>
      </c>
      <c r="I1085" s="15">
        <f ca="1">IFERROR(__xludf.DUMMYFUNCTION("""COMPUTED_VALUE"""),0.666666666667879)</f>
        <v>0.66666666666787899</v>
      </c>
      <c r="J1085" s="16">
        <f ca="1">IFERROR(__xludf.DUMMYFUNCTION("""COMPUTED_VALUE"""),45209.6875)</f>
        <v>45209.6875</v>
      </c>
      <c r="K1085" t="str">
        <f ca="1">IFERROR(__xludf.DUMMYFUNCTION("""COMPUTED_VALUE"""),"20ft Sea Ark FL5351SJ UNF 2015")</f>
        <v>20ft Sea Ark FL5351SJ UNF 2015</v>
      </c>
      <c r="M1085" t="str">
        <f ca="1">IFERROR(__xludf.DUMMYFUNCTION("""COMPUTED_VALUE"""),"UNF truck")</f>
        <v>UNF truck</v>
      </c>
      <c r="N1085" t="str">
        <f ca="1">IFERROR(__xludf.DUMMYFUNCTION("""COMPUTED_VALUE"""),"Nikki Dix, (352) 219-4079")</f>
        <v>Nikki Dix, (352) 219-4079</v>
      </c>
      <c r="O1085" t="str">
        <f ca="1">IFERROR(__xludf.DUMMYFUNCTION("""COMPUTED_VALUE"""),"Megan Howkins, (321) 427-1958, Jenny, Scott Jones")</f>
        <v>Megan Howkins, (321) 427-1958, Jenny, Scott Jones</v>
      </c>
      <c r="P1085" t="str">
        <f ca="1">IFERROR(__xludf.DUMMYFUNCTION("""COMPUTED_VALUE"""),"Nikki Dix")</f>
        <v>Nikki Dix</v>
      </c>
      <c r="AD1085" t="str">
        <f ca="1">IFERROR(__xludf.DUMMYFUNCTION("""COMPUTED_VALUE"""),"Good")</f>
        <v>Good</v>
      </c>
      <c r="AE1085" s="11"/>
      <c r="AF1085" t="str">
        <v>Blythe.Odzinski@floridadep.gov</v>
      </c>
      <c r="AG1085" s="17" t="s">
        <v>113</v>
      </c>
      <c r="AH1085" s="12">
        <v>1604</v>
      </c>
      <c r="AI1085" s="12" t="s">
        <v>3210</v>
      </c>
      <c r="AJ1085" s="19" t="s">
        <v>3211</v>
      </c>
      <c r="AK1085" s="20" t="str">
        <f>HYPERLINK("https://docs.google.com/document/d/1N7xFP-LtuYDRi67yqfeIt_bAFtrGa90SpPQ1U-R-mmA/edit?usp=drivesdk","Nikki Dix - 10/10/2023 9:20 AM")</f>
        <v>Nikki Dix - 10/10/2023 9:20 AM</v>
      </c>
      <c r="AL1085" s="12" t="s">
        <v>3212</v>
      </c>
    </row>
    <row r="1086" spans="1:38" ht="12.75">
      <c r="A1086" s="10">
        <f ca="1">IFERROR(__xludf.DUMMYFUNCTION("""COMPUTED_VALUE"""),45209.5050777199)</f>
        <v>45209.505077719899</v>
      </c>
      <c r="B1086" s="11" t="str">
        <f ca="1">IFERROR(__xludf.DUMMYFUNCTION("""COMPUTED_VALUE"""),"Jimmy")</f>
        <v>Jimmy</v>
      </c>
      <c r="C1086" t="str">
        <f ca="1">IFERROR(__xludf.DUMMYFUNCTION("""COMPUTED_VALUE"""),"james.tomazinis@floridadep.gov")</f>
        <v>james.tomazinis@floridadep.gov</v>
      </c>
      <c r="D1086" t="str">
        <f ca="1">IFERROR(__xludf.DUMMYFUNCTION("""COMPUTED_VALUE"""),"Blythe Odzinski")</f>
        <v>Blythe Odzinski</v>
      </c>
      <c r="E1086" t="str">
        <f ca="1">IFERROR(__xludf.DUMMYFUNCTION("""COMPUTED_VALUE"""),"Mayport")</f>
        <v>Mayport</v>
      </c>
      <c r="F1086" s="13">
        <f ca="1">IFERROR(__xludf.DUMMYFUNCTION("""COMPUTED_VALUE"""),0.5)</f>
        <v>0.5</v>
      </c>
      <c r="G1086" s="14">
        <f ca="1">IFERROR(__xludf.DUMMYFUNCTION("""COMPUTED_VALUE"""),45209)</f>
        <v>45209</v>
      </c>
      <c r="H1086" t="str">
        <f ca="1">IFERROR(__xludf.DUMMYFUNCTION("""COMPUTED_VALUE"""),"St. John’s River and Shad Creek")</f>
        <v>St. John’s River and Shad Creek</v>
      </c>
      <c r="I1086" s="15">
        <f ca="1">IFERROR(__xludf.DUMMYFUNCTION("""COMPUTED_VALUE"""),0.625)</f>
        <v>0.625</v>
      </c>
      <c r="J1086" s="16"/>
      <c r="K1086" t="str">
        <f ca="1">IFERROR(__xludf.DUMMYFUNCTION("""COMPUTED_VALUE"""),"F 20ft Sea Ark (Easy 200) FL8534PY DEP21451")</f>
        <v>F 20ft Sea Ark (Easy 200) FL8534PY DEP21451</v>
      </c>
      <c r="M1086" t="str">
        <f ca="1">IFERROR(__xludf.DUMMYFUNCTION("""COMPUTED_VALUE"""),"Ford F150 2022 (NEAP) - DEP22491")</f>
        <v>Ford F150 2022 (NEAP) - DEP22491</v>
      </c>
      <c r="N1086" t="str">
        <f ca="1">IFERROR(__xludf.DUMMYFUNCTION("""COMPUTED_VALUE"""),"Jimmy Tomazinis, (904) 547-0094")</f>
        <v>Jimmy Tomazinis, (904) 547-0094</v>
      </c>
      <c r="O1086" t="str">
        <f ca="1">IFERROR(__xludf.DUMMYFUNCTION("""COMPUTED_VALUE"""),"Chris Kurtz")</f>
        <v>Chris Kurtz</v>
      </c>
      <c r="P1086" t="str">
        <f ca="1">IFERROR(__xludf.DUMMYFUNCTION("""COMPUTED_VALUE"""),"Jimmy")</f>
        <v>Jimmy</v>
      </c>
      <c r="AE1086" s="11"/>
      <c r="AF1086" t="str">
        <v>Blythe.Odzinski@floridadep.gov</v>
      </c>
      <c r="AG1086" s="17" t="s">
        <v>17</v>
      </c>
      <c r="AH1086" s="12">
        <v>1325</v>
      </c>
      <c r="AI1086" s="12" t="s">
        <v>3213</v>
      </c>
      <c r="AJ1086" s="19" t="s">
        <v>3214</v>
      </c>
      <c r="AK1086" s="20" t="str">
        <f>HYPERLINK("https://docs.google.com/document/d/1hBj3Otm2DL-1HbHusGETQJSFjqnLzIfWXp3kYovn75w/edit?usp=drivesdk","Jimmy - 10/10/2023 12:00 PM")</f>
        <v>Jimmy - 10/10/2023 12:00 PM</v>
      </c>
      <c r="AL1086" s="12" t="s">
        <v>3215</v>
      </c>
    </row>
    <row r="1087" spans="1:38" ht="12.75">
      <c r="A1087" s="10">
        <f ca="1">IFERROR(__xludf.DUMMYFUNCTION("""COMPUTED_VALUE"""),45210.3218111458)</f>
        <v>45210.321811145797</v>
      </c>
      <c r="B1087" s="11" t="str">
        <f ca="1">IFERROR(__xludf.DUMMYFUNCTION("""COMPUTED_VALUE"""),"Monica Maldonado ")</f>
        <v xml:space="preserve">Monica Maldonado </v>
      </c>
      <c r="C1087" t="str">
        <f ca="1">IFERROR(__xludf.DUMMYFUNCTION("""COMPUTED_VALUE"""),"monica.maldonado@floridadep.gov")</f>
        <v>monica.maldonado@floridadep.gov</v>
      </c>
      <c r="D1087" t="str">
        <f ca="1">IFERROR(__xludf.DUMMYFUNCTION("""COMPUTED_VALUE"""),"Nikki Dix")</f>
        <v>Nikki Dix</v>
      </c>
      <c r="E1087" t="str">
        <f ca="1">IFERROR(__xludf.DUMMYFUNCTION("""COMPUTED_VALUE"""),"Guana Dam")</f>
        <v>Guana Dam</v>
      </c>
      <c r="F1087" s="13">
        <f ca="1">IFERROR(__xludf.DUMMYFUNCTION("""COMPUTED_VALUE"""),0.33333333333212)</f>
        <v>0.33333333333212001</v>
      </c>
      <c r="G1087" s="14">
        <f ca="1">IFERROR(__xludf.DUMMYFUNCTION("""COMPUTED_VALUE"""),45210)</f>
        <v>45210</v>
      </c>
      <c r="H1087" t="str">
        <f ca="1">IFERROR(__xludf.DUMMYFUNCTION("""COMPUTED_VALUE"""),"Sample grab")</f>
        <v>Sample grab</v>
      </c>
      <c r="I1087" s="15">
        <f ca="1">IFERROR(__xludf.DUMMYFUNCTION("""COMPUTED_VALUE"""),0.375)</f>
        <v>0.375</v>
      </c>
      <c r="J1087" s="16">
        <f ca="1">IFERROR(__xludf.DUMMYFUNCTION("""COMPUTED_VALUE"""),45210.5833333333)</f>
        <v>45210.583333333299</v>
      </c>
      <c r="K1087" t="str">
        <f ca="1">IFERROR(__xludf.DUMMYFUNCTION("""COMPUTED_VALUE"""),"Jon Boat 1 FL5992RR DEP154045")</f>
        <v>Jon Boat 1 FL5992RR DEP154045</v>
      </c>
      <c r="M1087" t="str">
        <f ca="1">IFERROR(__xludf.DUMMYFUNCTION("""COMPUTED_VALUE"""),"Ford F150 2015 (White) - DEP21448")</f>
        <v>Ford F150 2015 (White) - DEP21448</v>
      </c>
      <c r="N1087" t="str">
        <f ca="1">IFERROR(__xludf.DUMMYFUNCTION("""COMPUTED_VALUE"""),"Monica Maldonado ")</f>
        <v xml:space="preserve">Monica Maldonado </v>
      </c>
      <c r="O1087" t="str">
        <f ca="1">IFERROR(__xludf.DUMMYFUNCTION("""COMPUTED_VALUE"""),"Nicole de Venoge &amp; Bailee Porter")</f>
        <v>Nicole de Venoge &amp; Bailee Porter</v>
      </c>
      <c r="P1087" t="str">
        <f ca="1">IFERROR(__xludf.DUMMYFUNCTION("""COMPUTED_VALUE"""),"Monica Maldonado ")</f>
        <v xml:space="preserve">Monica Maldonado </v>
      </c>
      <c r="AE1087" s="11"/>
      <c r="AF1087" t="str">
        <v>Nikki.Dix@floridadep.gov</v>
      </c>
      <c r="AG1087" s="17" t="s">
        <v>41</v>
      </c>
      <c r="AH1087" s="12">
        <v>1000</v>
      </c>
      <c r="AI1087" s="12" t="s">
        <v>3216</v>
      </c>
      <c r="AJ1087" s="19" t="s">
        <v>3217</v>
      </c>
      <c r="AK1087" s="20" t="str">
        <f>HYPERLINK("https://docs.google.com/document/d/1tAUT2VD3H6VzQm4dMnFWsbOrnWpQiyIicY9o_L7wlk4/edit?usp=drivesdk","Monica Maldonado  - 10/11/2023 8:00 AM")</f>
        <v>Monica Maldonado  - 10/11/2023 8:00 AM</v>
      </c>
      <c r="AL1087" s="12" t="s">
        <v>3218</v>
      </c>
    </row>
    <row r="1088" spans="1:38" ht="12.75">
      <c r="A1088" s="10">
        <f ca="1">IFERROR(__xludf.DUMMYFUNCTION("""COMPUTED_VALUE"""),45210.4395782291)</f>
        <v>45210.439578229103</v>
      </c>
      <c r="B1088" s="11" t="str">
        <f ca="1">IFERROR(__xludf.DUMMYFUNCTION("""COMPUTED_VALUE"""),"Jacob Berna")</f>
        <v>Jacob Berna</v>
      </c>
      <c r="C1088" t="str">
        <f ca="1">IFERROR(__xludf.DUMMYFUNCTION("""COMPUTED_VALUE"""),"jacob.berna@floridadep.gov")</f>
        <v>jacob.berna@floridadep.gov</v>
      </c>
      <c r="D1088" t="str">
        <f ca="1">IFERROR(__xludf.DUMMYFUNCTION("""COMPUTED_VALUE"""),"Blythe Odzinski")</f>
        <v>Blythe Odzinski</v>
      </c>
      <c r="E1088" t="str">
        <f ca="1">IFERROR(__xludf.DUMMYFUNCTION("""COMPUTED_VALUE"""),"Usina Boat Ramp (Aunt Kate's)")</f>
        <v>Usina Boat Ramp (Aunt Kate's)</v>
      </c>
      <c r="F1088" s="13">
        <f ca="1">IFERROR(__xludf.DUMMYFUNCTION("""COMPUTED_VALUE"""),0.45833333333212)</f>
        <v>0.45833333333212001</v>
      </c>
      <c r="G1088" s="14">
        <f ca="1">IFERROR(__xludf.DUMMYFUNCTION("""COMPUTED_VALUE"""),45210)</f>
        <v>45210</v>
      </c>
      <c r="H1088" t="str">
        <f ca="1">IFERROR(__xludf.DUMMYFUNCTION("""COMPUTED_VALUE"""),"Hat Island")</f>
        <v>Hat Island</v>
      </c>
      <c r="I1088" s="15">
        <f ca="1">IFERROR(__xludf.DUMMYFUNCTION("""COMPUTED_VALUE"""),0.64583333333212)</f>
        <v>0.64583333333212001</v>
      </c>
      <c r="J1088" s="16">
        <f ca="1">IFERROR(__xludf.DUMMYFUNCTION("""COMPUTED_VALUE"""),45210.6666666666)</f>
        <v>45210.666666666599</v>
      </c>
      <c r="K1088" t="str">
        <f ca="1">IFERROR(__xludf.DUMMYFUNCTION("""COMPUTED_VALUE"""),"20ft Sea Ark FL5351SJ UNF 2015")</f>
        <v>20ft Sea Ark FL5351SJ UNF 2015</v>
      </c>
      <c r="M1088" t="str">
        <f ca="1">IFERROR(__xludf.DUMMYFUNCTION("""COMPUTED_VALUE"""),"Ford F250 2017 (Moby Dix) - DEP0021578")</f>
        <v>Ford F250 2017 (Moby Dix) - DEP0021578</v>
      </c>
      <c r="N1088" t="str">
        <f ca="1">IFERROR(__xludf.DUMMYFUNCTION("""COMPUTED_VALUE"""),"Hans Prevost, (337) 224-5522, Jacob Berna, (904) 392-1966")</f>
        <v>Hans Prevost, (337) 224-5522, Jacob Berna, (904) 392-1966</v>
      </c>
      <c r="O1088" t="str">
        <f ca="1">IFERROR(__xludf.DUMMYFUNCTION("""COMPUTED_VALUE"""),"Savanna Mathis, Zach Lepera")</f>
        <v>Savanna Mathis, Zach Lepera</v>
      </c>
      <c r="P1088" t="str">
        <f ca="1">IFERROR(__xludf.DUMMYFUNCTION("""COMPUTED_VALUE"""),"Jacob Berna")</f>
        <v>Jacob Berna</v>
      </c>
      <c r="AE1088" s="11"/>
      <c r="AF1088" t="str">
        <v>Blythe.Odzinski@floridadep.gov</v>
      </c>
      <c r="AG1088" s="17" t="s">
        <v>17</v>
      </c>
      <c r="AH1088" s="12">
        <v>1500</v>
      </c>
      <c r="AI1088" s="12" t="s">
        <v>3219</v>
      </c>
      <c r="AJ1088" s="19" t="s">
        <v>3220</v>
      </c>
      <c r="AK1088" s="20" t="str">
        <f>HYPERLINK("https://docs.google.com/document/d/16_Mbe5eS9xl7CqPjCVOvnJxXWyF6u_JZ2u2x0X9r3N0/edit?usp=drivesdk","Jacob Berna - 10/11/2023 11:00 AM")</f>
        <v>Jacob Berna - 10/11/2023 11:00 AM</v>
      </c>
      <c r="AL1088" s="12" t="s">
        <v>3221</v>
      </c>
    </row>
    <row r="1089" spans="1:38" ht="12.75">
      <c r="A1089" s="10">
        <f ca="1">IFERROR(__xludf.DUMMYFUNCTION("""COMPUTED_VALUE"""),45215.4033301736)</f>
        <v>45215.403330173598</v>
      </c>
      <c r="B1089" s="11" t="str">
        <f ca="1">IFERROR(__xludf.DUMMYFUNCTION("""COMPUTED_VALUE"""),"Megan Howkins ")</f>
        <v xml:space="preserve">Megan Howkins </v>
      </c>
      <c r="C1089" t="str">
        <f ca="1">IFERROR(__xludf.DUMMYFUNCTION("""COMPUTED_VALUE"""),"shannon.dunnigan@dep.state.fl.us")</f>
        <v>shannon.dunnigan@dep.state.fl.us</v>
      </c>
      <c r="D1089" t="str">
        <f ca="1">IFERROR(__xludf.DUMMYFUNCTION("""COMPUTED_VALUE"""),"Nikki Dix")</f>
        <v>Nikki Dix</v>
      </c>
      <c r="E1089" t="str">
        <f ca="1">IFERROR(__xludf.DUMMYFUNCTION("""COMPUTED_VALUE"""),"Vilano Boat Ramp")</f>
        <v>Vilano Boat Ramp</v>
      </c>
      <c r="F1089" s="13">
        <f ca="1">IFERROR(__xludf.DUMMYFUNCTION("""COMPUTED_VALUE"""),0.416666666667879)</f>
        <v>0.41666666666787899</v>
      </c>
      <c r="G1089" s="14">
        <f ca="1">IFERROR(__xludf.DUMMYFUNCTION("""COMPUTED_VALUE"""),45215)</f>
        <v>45215</v>
      </c>
      <c r="H1089" t="str">
        <f ca="1">IFERROR(__xludf.DUMMYFUNCTION("""COMPUTED_VALUE"""),"SWMP sites ")</f>
        <v xml:space="preserve">SWMP sites </v>
      </c>
      <c r="I1089" s="15">
        <f ca="1">IFERROR(__xludf.DUMMYFUNCTION("""COMPUTED_VALUE"""),0.58333333333212)</f>
        <v>0.58333333333212001</v>
      </c>
      <c r="J1089" s="16">
        <f ca="1">IFERROR(__xludf.DUMMYFUNCTION("""COMPUTED_VALUE"""),45215.6041666666)</f>
        <v>45215.604166666599</v>
      </c>
      <c r="K1089" t="str">
        <f ca="1">IFERROR(__xludf.DUMMYFUNCTION("""COMPUTED_VALUE"""),"23ft Skiff (Bertha) FL7972LJ DEP07613")</f>
        <v>23ft Skiff (Bertha) FL7972LJ DEP07613</v>
      </c>
      <c r="M1089" t="str">
        <f ca="1">IFERROR(__xludf.DUMMYFUNCTION("""COMPUTED_VALUE"""),"Ford F250 2017 (Moby Dix) - DEP0021578")</f>
        <v>Ford F250 2017 (Moby Dix) - DEP0021578</v>
      </c>
      <c r="N1089" t="str">
        <f ca="1">IFERROR(__xludf.DUMMYFUNCTION("""COMPUTED_VALUE"""),"Shannon Dunnigan, (803) 727-5734")</f>
        <v>Shannon Dunnigan, (803) 727-5734</v>
      </c>
      <c r="O1089" t="str">
        <f ca="1">IFERROR(__xludf.DUMMYFUNCTION("""COMPUTED_VALUE"""),"Megan Howkins, (321) 427-1958")</f>
        <v>Megan Howkins, (321) 427-1958</v>
      </c>
      <c r="P1089" t="str">
        <f ca="1">IFERROR(__xludf.DUMMYFUNCTION("""COMPUTED_VALUE"""),"Shannon Dunnigan")</f>
        <v>Shannon Dunnigan</v>
      </c>
      <c r="AE1089" s="11"/>
      <c r="AF1089" t="str">
        <v>Nikki.Dix@floridadep.gov</v>
      </c>
      <c r="AG1089" s="17" t="s">
        <v>41</v>
      </c>
      <c r="AH1089" s="12">
        <v>1434</v>
      </c>
      <c r="AI1089" s="12" t="s">
        <v>3222</v>
      </c>
      <c r="AJ1089" s="19" t="s">
        <v>3223</v>
      </c>
      <c r="AK1089" s="20" t="str">
        <f>HYPERLINK("https://docs.google.com/document/d/1Zl9x6kZacmBI5zB_sgwtYjMjwrTFYgeKaMo9jxocSVM/edit?usp=drivesdk","Megan Howkins  - 10/16/2023 10:00 AM")</f>
        <v>Megan Howkins  - 10/16/2023 10:00 AM</v>
      </c>
      <c r="AL1089" s="12" t="s">
        <v>3224</v>
      </c>
    </row>
    <row r="1090" spans="1:38" ht="12.75">
      <c r="A1090" s="10">
        <f ca="1">IFERROR(__xludf.DUMMYFUNCTION("""COMPUTED_VALUE"""),45223.5889122453)</f>
        <v>45223.588912245301</v>
      </c>
      <c r="B1090" s="11" t="str">
        <f ca="1">IFERROR(__xludf.DUMMYFUNCTION("""COMPUTED_VALUE"""),"Monica Maldonado ")</f>
        <v xml:space="preserve">Monica Maldonado </v>
      </c>
      <c r="C1090" t="str">
        <f ca="1">IFERROR(__xludf.DUMMYFUNCTION("""COMPUTED_VALUE"""),"monica.maldonado@FloridaDEP.gov")</f>
        <v>monica.maldonado@FloridaDEP.gov</v>
      </c>
      <c r="D1090" t="str">
        <f ca="1">IFERROR(__xludf.DUMMYFUNCTION("""COMPUTED_VALUE"""),"Shannon Dunnigan")</f>
        <v>Shannon Dunnigan</v>
      </c>
      <c r="E1090" t="str">
        <f ca="1">IFERROR(__xludf.DUMMYFUNCTION("""COMPUTED_VALUE"""),"Guana Dam")</f>
        <v>Guana Dam</v>
      </c>
      <c r="F1090" s="13">
        <f ca="1">IFERROR(__xludf.DUMMYFUNCTION("""COMPUTED_VALUE"""),0.58333333333212)</f>
        <v>0.58333333333212001</v>
      </c>
      <c r="G1090" s="14">
        <f ca="1">IFERROR(__xludf.DUMMYFUNCTION("""COMPUTED_VALUE"""),45223)</f>
        <v>45223</v>
      </c>
      <c r="H1090" t="str">
        <f ca="1">IFERROR(__xludf.DUMMYFUNCTION("""COMPUTED_VALUE"""),"Guana mouth")</f>
        <v>Guana mouth</v>
      </c>
      <c r="I1090" s="15">
        <f ca="1">IFERROR(__xludf.DUMMYFUNCTION("""COMPUTED_VALUE"""),0.666666666667879)</f>
        <v>0.66666666666787899</v>
      </c>
      <c r="J1090" s="16">
        <f ca="1">IFERROR(__xludf.DUMMYFUNCTION("""COMPUTED_VALUE"""),45223.6875)</f>
        <v>45223.6875</v>
      </c>
      <c r="K1090" t="str">
        <f ca="1">IFERROR(__xludf.DUMMYFUNCTION("""COMPUTED_VALUE"""),"Jon Boat 1 FL5992RR DEP154045")</f>
        <v>Jon Boat 1 FL5992RR DEP154045</v>
      </c>
      <c r="M1090" t="str">
        <f ca="1">IFERROR(__xludf.DUMMYFUNCTION("""COMPUTED_VALUE"""),"Ford F150 2015 (White) - DEP21448")</f>
        <v>Ford F150 2015 (White) - DEP21448</v>
      </c>
      <c r="N1090" t="str">
        <f ca="1">IFERROR(__xludf.DUMMYFUNCTION("""COMPUTED_VALUE"""),"Monica Maldonado ")</f>
        <v xml:space="preserve">Monica Maldonado </v>
      </c>
      <c r="O1090" t="str">
        <f ca="1">IFERROR(__xludf.DUMMYFUNCTION("""COMPUTED_VALUE"""),"Hans Prevost")</f>
        <v>Hans Prevost</v>
      </c>
      <c r="P1090" t="str">
        <f ca="1">IFERROR(__xludf.DUMMYFUNCTION("""COMPUTED_VALUE"""),"Monica Maldonado ")</f>
        <v xml:space="preserve">Monica Maldonado </v>
      </c>
      <c r="AE1090" s="11"/>
      <c r="AF1090" t="str">
        <v>Shannon.Dunnigan@floridadep.gov</v>
      </c>
      <c r="AG1090" s="17" t="s">
        <v>639</v>
      </c>
      <c r="AH1090" s="12">
        <v>1508</v>
      </c>
      <c r="AI1090" s="12" t="s">
        <v>3225</v>
      </c>
      <c r="AJ1090" s="19" t="s">
        <v>3226</v>
      </c>
      <c r="AK1090" s="20" t="str">
        <f>HYPERLINK("https://docs.google.com/document/d/1emhsG7UfBMg_V4bMch6q0H-5dxehg0y-Q7H9bD9ym7k/edit?usp=drivesdk","Monica Maldonado  - 10/24/2023 2:00 PM")</f>
        <v>Monica Maldonado  - 10/24/2023 2:00 PM</v>
      </c>
      <c r="AL1090" s="12" t="s">
        <v>3227</v>
      </c>
    </row>
    <row r="1091" spans="1:38" ht="12.75">
      <c r="A1091" s="10">
        <f ca="1">IFERROR(__xludf.DUMMYFUNCTION("""COMPUTED_VALUE"""),45224.4317523842)</f>
        <v>45224.431752384196</v>
      </c>
      <c r="B1091" s="11" t="str">
        <f ca="1">IFERROR(__xludf.DUMMYFUNCTION("""COMPUTED_VALUE"""),"Jacob Berna ")</f>
        <v xml:space="preserve">Jacob Berna </v>
      </c>
      <c r="C1091" t="str">
        <f ca="1">IFERROR(__xludf.DUMMYFUNCTION("""COMPUTED_VALUE"""),"jacob.berna@floridadep.gov")</f>
        <v>jacob.berna@floridadep.gov</v>
      </c>
      <c r="D1091" t="str">
        <f ca="1">IFERROR(__xludf.DUMMYFUNCTION("""COMPUTED_VALUE"""),"Katie Petrinec")</f>
        <v>Katie Petrinec</v>
      </c>
      <c r="E1091" t="str">
        <f ca="1">IFERROR(__xludf.DUMMYFUNCTION("""COMPUTED_VALUE"""),"Vilano Boat Ramp")</f>
        <v>Vilano Boat Ramp</v>
      </c>
      <c r="F1091" s="13">
        <f ca="1">IFERROR(__xludf.DUMMYFUNCTION("""COMPUTED_VALUE"""),0.430555555554747)</f>
        <v>0.430555555554747</v>
      </c>
      <c r="G1091" s="14">
        <f ca="1">IFERROR(__xludf.DUMMYFUNCTION("""COMPUTED_VALUE"""),45224)</f>
        <v>45224</v>
      </c>
      <c r="H1091" t="str">
        <f ca="1">IFERROR(__xludf.DUMMYFUNCTION("""COMPUTED_VALUE"""),"Training around Vilano ")</f>
        <v xml:space="preserve">Training around Vilano </v>
      </c>
      <c r="I1091" s="15">
        <f ca="1">IFERROR(__xludf.DUMMYFUNCTION("""COMPUTED_VALUE"""),0.541666666667879)</f>
        <v>0.54166666666787899</v>
      </c>
      <c r="J1091" s="16">
        <f ca="1">IFERROR(__xludf.DUMMYFUNCTION("""COMPUTED_VALUE"""),45224.5625)</f>
        <v>45224.5625</v>
      </c>
      <c r="K1091" t="str">
        <f ca="1">IFERROR(__xludf.DUMMYFUNCTION("""COMPUTED_VALUE"""),"23ft Skiff (Bertha) FL7972LJ DEP07613")</f>
        <v>23ft Skiff (Bertha) FL7972LJ DEP07613</v>
      </c>
      <c r="M1091" t="str">
        <f ca="1">IFERROR(__xludf.DUMMYFUNCTION("""COMPUTED_VALUE"""),"Ford F250 2017 (Moby Dix) - DEP0021578")</f>
        <v>Ford F250 2017 (Moby Dix) - DEP0021578</v>
      </c>
      <c r="N1091" t="str">
        <f ca="1">IFERROR(__xludf.DUMMYFUNCTION("""COMPUTED_VALUE"""),"Jacob Berna, (904) 392-1966")</f>
        <v>Jacob Berna, (904) 392-1966</v>
      </c>
      <c r="O1091" t="str">
        <f ca="1">IFERROR(__xludf.DUMMYFUNCTION("""COMPUTED_VALUE"""),"Megan Howkins, (321) 427-1958")</f>
        <v>Megan Howkins, (321) 427-1958</v>
      </c>
      <c r="P1091" t="str">
        <f ca="1">IFERROR(__xludf.DUMMYFUNCTION("""COMPUTED_VALUE"""),"Jacob Berna ")</f>
        <v xml:space="preserve">Jacob Berna </v>
      </c>
      <c r="AE1091" s="11"/>
      <c r="AF1091" t="str">
        <v>Kathryn.Petrinec@floridadep.gov</v>
      </c>
      <c r="AG1091" s="17" t="s">
        <v>1764</v>
      </c>
      <c r="AH1091" s="12">
        <v>1234</v>
      </c>
      <c r="AI1091" s="12" t="s">
        <v>3228</v>
      </c>
      <c r="AJ1091" s="19" t="s">
        <v>3229</v>
      </c>
      <c r="AK1091" s="20" t="str">
        <f>HYPERLINK("https://docs.google.com/document/d/1DqNdmiPeqP4y1wR01OK9Yvli8zTz4cS0bI7LK8gUtY8/edit?usp=drivesdk","Jacob Berna  - 10/25/2023 10:20 AM")</f>
        <v>Jacob Berna  - 10/25/2023 10:20 AM</v>
      </c>
      <c r="AL1091" s="12" t="s">
        <v>3230</v>
      </c>
    </row>
    <row r="1092" spans="1:38" ht="12.75">
      <c r="A1092" s="10">
        <f ca="1">IFERROR(__xludf.DUMMYFUNCTION("""COMPUTED_VALUE"""),45224.4516060763)</f>
        <v>45224.451606076298</v>
      </c>
      <c r="B1092" s="11" t="str">
        <f ca="1">IFERROR(__xludf.DUMMYFUNCTION("""COMPUTED_VALUE"""),"Jimmy")</f>
        <v>Jimmy</v>
      </c>
      <c r="C1092" t="str">
        <f ca="1">IFERROR(__xludf.DUMMYFUNCTION("""COMPUTED_VALUE"""),"james.tomazinis@floridadep.gov")</f>
        <v>james.tomazinis@floridadep.gov</v>
      </c>
      <c r="D1092" t="str">
        <f ca="1">IFERROR(__xludf.DUMMYFUNCTION("""COMPUTED_VALUE"""),"Blythe Odzinski")</f>
        <v>Blythe Odzinski</v>
      </c>
      <c r="E1092" t="str">
        <f ca="1">IFERROR(__xludf.DUMMYFUNCTION("""COMPUTED_VALUE"""),"Guana Dam")</f>
        <v>Guana Dam</v>
      </c>
      <c r="F1092" s="13">
        <f ca="1">IFERROR(__xludf.DUMMYFUNCTION("""COMPUTED_VALUE"""),0.45833333333212)</f>
        <v>0.45833333333212001</v>
      </c>
      <c r="G1092" s="14">
        <f ca="1">IFERROR(__xludf.DUMMYFUNCTION("""COMPUTED_VALUE"""),45224)</f>
        <v>45224</v>
      </c>
      <c r="H1092" t="str">
        <f ca="1">IFERROR(__xludf.DUMMYFUNCTION("""COMPUTED_VALUE"""),"Guana Lake")</f>
        <v>Guana Lake</v>
      </c>
      <c r="I1092" s="15">
        <f ca="1">IFERROR(__xludf.DUMMYFUNCTION("""COMPUTED_VALUE"""),0.604166666667879)</f>
        <v>0.60416666666787899</v>
      </c>
      <c r="J1092" s="16"/>
      <c r="K1092" t="str">
        <f ca="1">IFERROR(__xludf.DUMMYFUNCTION("""COMPUTED_VALUE"""),"Jon Boat 1 FL5992RR DEP154045")</f>
        <v>Jon Boat 1 FL5992RR DEP154045</v>
      </c>
      <c r="M1092" t="str">
        <f ca="1">IFERROR(__xludf.DUMMYFUNCTION("""COMPUTED_VALUE"""),"Ford F150 2015 (White) - DEP21448")</f>
        <v>Ford F150 2015 (White) - DEP21448</v>
      </c>
      <c r="N1092" t="str">
        <f ca="1">IFERROR(__xludf.DUMMYFUNCTION("""COMPUTED_VALUE"""),"Jimmy Tomazinis, (904) 547-0094")</f>
        <v>Jimmy Tomazinis, (904) 547-0094</v>
      </c>
      <c r="O1092" t="str">
        <f ca="1">IFERROR(__xludf.DUMMYFUNCTION("""COMPUTED_VALUE"""),"Hans")</f>
        <v>Hans</v>
      </c>
      <c r="P1092" t="str">
        <f ca="1">IFERROR(__xludf.DUMMYFUNCTION("""COMPUTED_VALUE"""),"Jimmy")</f>
        <v>Jimmy</v>
      </c>
      <c r="AE1092" s="11"/>
      <c r="AF1092" t="str">
        <v>Blythe.Odzinski@floridadep.gov</v>
      </c>
      <c r="AG1092" s="17" t="s">
        <v>17</v>
      </c>
      <c r="AH1092" s="12">
        <v>1230</v>
      </c>
      <c r="AI1092" s="12" t="s">
        <v>3231</v>
      </c>
      <c r="AJ1092" s="19" t="s">
        <v>3232</v>
      </c>
      <c r="AK1092" s="20" t="str">
        <f>HYPERLINK("https://docs.google.com/document/d/1wSrYsC9F3uPp2kX8aEKJKqnMJxIZC5EsA_F9yPwzp98/edit?usp=drivesdk","Jimmy - 10/25/2023 11:00 AM")</f>
        <v>Jimmy - 10/25/2023 11:00 AM</v>
      </c>
      <c r="AL1092" s="12" t="s">
        <v>3233</v>
      </c>
    </row>
    <row r="1093" spans="1:38" ht="12.75">
      <c r="A1093" s="10">
        <f ca="1">IFERROR(__xludf.DUMMYFUNCTION("""COMPUTED_VALUE"""),45225.511278831)</f>
        <v>45225.511278831</v>
      </c>
      <c r="B1093" s="11" t="str">
        <f ca="1">IFERROR(__xludf.DUMMYFUNCTION("""COMPUTED_VALUE"""),"Jimmy")</f>
        <v>Jimmy</v>
      </c>
      <c r="C1093" t="str">
        <f ca="1">IFERROR(__xludf.DUMMYFUNCTION("""COMPUTED_VALUE"""),"james.tomazinis@floridadep.gov")</f>
        <v>james.tomazinis@floridadep.gov</v>
      </c>
      <c r="D1093" t="str">
        <f ca="1">IFERROR(__xludf.DUMMYFUNCTION("""COMPUTED_VALUE"""),"Blythe Odzinski")</f>
        <v>Blythe Odzinski</v>
      </c>
      <c r="E1093" t="str">
        <f ca="1">IFERROR(__xludf.DUMMYFUNCTION("""COMPUTED_VALUE"""),"Jim King")</f>
        <v>Jim King</v>
      </c>
      <c r="F1093" s="13">
        <f ca="1">IFERROR(__xludf.DUMMYFUNCTION("""COMPUTED_VALUE"""),0.510416666667879)</f>
        <v>0.51041666666787899</v>
      </c>
      <c r="G1093" s="14"/>
      <c r="H1093" t="str">
        <f ca="1">IFERROR(__xludf.DUMMYFUNCTION("""COMPUTED_VALUE"""),"Christopher Creek")</f>
        <v>Christopher Creek</v>
      </c>
      <c r="I1093" s="15">
        <f ca="1">IFERROR(__xludf.DUMMYFUNCTION("""COMPUTED_VALUE"""),0.70833333333212)</f>
        <v>0.70833333333212001</v>
      </c>
      <c r="J1093" s="16"/>
      <c r="K1093" t="str">
        <f ca="1">IFERROR(__xludf.DUMMYFUNCTION("""COMPUTED_VALUE"""),"F 20ft Sea Ark (Easy 200) FL8534PY DEP21451")</f>
        <v>F 20ft Sea Ark (Easy 200) FL8534PY DEP21451</v>
      </c>
      <c r="M1093" t="str">
        <f ca="1">IFERROR(__xludf.DUMMYFUNCTION("""COMPUTED_VALUE"""),"Ford F150 2022 (NEAP) - DEP22491")</f>
        <v>Ford F150 2022 (NEAP) - DEP22491</v>
      </c>
      <c r="N1093" t="str">
        <f ca="1">IFERROR(__xludf.DUMMYFUNCTION("""COMPUTED_VALUE"""),"Jimmy Tomazinis, (904) 547-0094")</f>
        <v>Jimmy Tomazinis, (904) 547-0094</v>
      </c>
      <c r="O1093" t="str">
        <f ca="1">IFERROR(__xludf.DUMMYFUNCTION("""COMPUTED_VALUE"""),"Chris Kurtz")</f>
        <v>Chris Kurtz</v>
      </c>
      <c r="P1093" t="str">
        <f ca="1">IFERROR(__xludf.DUMMYFUNCTION("""COMPUTED_VALUE"""),"Jimmy")</f>
        <v>Jimmy</v>
      </c>
      <c r="AE1093" s="11"/>
      <c r="AF1093" t="str">
        <v>Blythe.Odzinski@floridadep.gov</v>
      </c>
      <c r="AG1093" s="17" t="s">
        <v>17</v>
      </c>
      <c r="AH1093" s="12">
        <v>1500</v>
      </c>
      <c r="AI1093" s="12" t="s">
        <v>3234</v>
      </c>
      <c r="AJ1093" s="19" t="s">
        <v>3235</v>
      </c>
      <c r="AK1093" s="20" t="str">
        <f>HYPERLINK("https://docs.google.com/document/d/1hz-MeBBnY8kDBUGgpbb-UIthb7pBKF74Wg8oKBHspQ0/edit?usp=drivesdk","Jimmy -  12:15 PM")</f>
        <v>Jimmy -  12:15 PM</v>
      </c>
      <c r="AL1093" s="12" t="s">
        <v>3236</v>
      </c>
    </row>
    <row r="1094" spans="1:38" ht="12.75">
      <c r="A1094" s="10">
        <f ca="1">IFERROR(__xludf.DUMMYFUNCTION("""COMPUTED_VALUE"""),45226.4480951967)</f>
        <v>45226.448095196698</v>
      </c>
      <c r="B1094" s="11" t="str">
        <f ca="1">IFERROR(__xludf.DUMMYFUNCTION("""COMPUTED_VALUE"""),"Jimmy")</f>
        <v>Jimmy</v>
      </c>
      <c r="C1094" t="str">
        <f ca="1">IFERROR(__xludf.DUMMYFUNCTION("""COMPUTED_VALUE"""),"james.tomazinis@floridadep.gov")</f>
        <v>james.tomazinis@floridadep.gov</v>
      </c>
      <c r="D1094" t="str">
        <f ca="1">IFERROR(__xludf.DUMMYFUNCTION("""COMPUTED_VALUE"""),"Blythe Odzinski")</f>
        <v>Blythe Odzinski</v>
      </c>
      <c r="E1094" t="str">
        <f ca="1">IFERROR(__xludf.DUMMYFUNCTION("""COMPUTED_VALUE"""),"North End/Dee Dee Bartels Boat Ramp, Holly point")</f>
        <v>North End/Dee Dee Bartels Boat Ramp, Holly point</v>
      </c>
      <c r="F1094" s="13">
        <f ca="1">IFERROR(__xludf.DUMMYFUNCTION("""COMPUTED_VALUE"""),0.45833333333212)</f>
        <v>0.45833333333212001</v>
      </c>
      <c r="G1094" s="14">
        <f ca="1">IFERROR(__xludf.DUMMYFUNCTION("""COMPUTED_VALUE"""),45226)</f>
        <v>45226</v>
      </c>
      <c r="H1094" t="str">
        <f ca="1">IFERROR(__xludf.DUMMYFUNCTION("""COMPUTED_VALUE"""),"NEAP WQ sites")</f>
        <v>NEAP WQ sites</v>
      </c>
      <c r="I1094" s="15">
        <f ca="1">IFERROR(__xludf.DUMMYFUNCTION("""COMPUTED_VALUE"""),0.58333333333212)</f>
        <v>0.58333333333212001</v>
      </c>
      <c r="J1094" s="16"/>
      <c r="K1094" t="str">
        <f ca="1">IFERROR(__xludf.DUMMYFUNCTION("""COMPUTED_VALUE"""),"F 20ft Sea Ark (Easy 200) FL8534PY DEP21451")</f>
        <v>F 20ft Sea Ark (Easy 200) FL8534PY DEP21451</v>
      </c>
      <c r="M1094" t="str">
        <f ca="1">IFERROR(__xludf.DUMMYFUNCTION("""COMPUTED_VALUE"""),"Ford F150 2022 (NEAP) - DEP22491")</f>
        <v>Ford F150 2022 (NEAP) - DEP22491</v>
      </c>
      <c r="N1094" t="str">
        <f ca="1">IFERROR(__xludf.DUMMYFUNCTION("""COMPUTED_VALUE"""),"Jimmy Tomazinis, (904) 547-0094")</f>
        <v>Jimmy Tomazinis, (904) 547-0094</v>
      </c>
      <c r="O1094" t="str">
        <f ca="1">IFERROR(__xludf.DUMMYFUNCTION("""COMPUTED_VALUE"""),"Chris Kurtz")</f>
        <v>Chris Kurtz</v>
      </c>
      <c r="P1094" t="str">
        <f ca="1">IFERROR(__xludf.DUMMYFUNCTION("""COMPUTED_VALUE"""),"Jimmy ")</f>
        <v xml:space="preserve">Jimmy </v>
      </c>
      <c r="AE1094" s="11"/>
      <c r="AF1094" t="str">
        <v>Blythe.Odzinski@floridadep.gov</v>
      </c>
      <c r="AG1094" s="17" t="s">
        <v>17</v>
      </c>
      <c r="AH1094" s="12">
        <v>1255</v>
      </c>
      <c r="AI1094" s="12" t="s">
        <v>3237</v>
      </c>
      <c r="AJ1094" s="19" t="s">
        <v>3238</v>
      </c>
      <c r="AK1094" s="20" t="str">
        <f>HYPERLINK("https://docs.google.com/document/d/1VddPxEGiowcYTe9ZrWn7qcaL_MxO-ZPD7j_ps1TKlb4/edit?usp=drivesdk","Jimmy - 10/27/2023 11:00 AM")</f>
        <v>Jimmy - 10/27/2023 11:00 AM</v>
      </c>
      <c r="AL1094" s="12" t="s">
        <v>3239</v>
      </c>
    </row>
    <row r="1095" spans="1:38" ht="12.75">
      <c r="A1095" s="10">
        <f ca="1">IFERROR(__xludf.DUMMYFUNCTION("""COMPUTED_VALUE"""),45226.4723137963)</f>
        <v>45226.472313796301</v>
      </c>
      <c r="B1095" s="11" t="str">
        <f ca="1">IFERROR(__xludf.DUMMYFUNCTION("""COMPUTED_VALUE"""),"Jacob Berna")</f>
        <v>Jacob Berna</v>
      </c>
      <c r="C1095" t="str">
        <f ca="1">IFERROR(__xludf.DUMMYFUNCTION("""COMPUTED_VALUE"""),"jacob.berna@floridadep.gov")</f>
        <v>jacob.berna@floridadep.gov</v>
      </c>
      <c r="D1095" t="str">
        <f ca="1">IFERROR(__xludf.DUMMYFUNCTION("""COMPUTED_VALUE"""),"Blythe Odzinski")</f>
        <v>Blythe Odzinski</v>
      </c>
      <c r="E1095" t="str">
        <f ca="1">IFERROR(__xludf.DUMMYFUNCTION("""COMPUTED_VALUE"""),"Vilano Boat Ramp")</f>
        <v>Vilano Boat Ramp</v>
      </c>
      <c r="F1095" s="13">
        <f ca="1">IFERROR(__xludf.DUMMYFUNCTION("""COMPUTED_VALUE"""),0.479166666667879)</f>
        <v>0.47916666666787899</v>
      </c>
      <c r="G1095" s="14">
        <f ca="1">IFERROR(__xludf.DUMMYFUNCTION("""COMPUTED_VALUE"""),45226)</f>
        <v>45226</v>
      </c>
      <c r="H1095" t="str">
        <f ca="1">IFERROR(__xludf.DUMMYFUNCTION("""COMPUTED_VALUE"""),"East Creek and Deep Creek")</f>
        <v>East Creek and Deep Creek</v>
      </c>
      <c r="I1095" s="15">
        <f ca="1">IFERROR(__xludf.DUMMYFUNCTION("""COMPUTED_VALUE"""),0.64583333333212)</f>
        <v>0.64583333333212001</v>
      </c>
      <c r="J1095" s="16">
        <f ca="1">IFERROR(__xludf.DUMMYFUNCTION("""COMPUTED_VALUE"""),45226.6666666666)</f>
        <v>45226.666666666599</v>
      </c>
      <c r="K1095" t="str">
        <f ca="1">IFERROR(__xludf.DUMMYFUNCTION("""COMPUTED_VALUE"""),"20ft Sea Ark FL5351SJ UNF 2015")</f>
        <v>20ft Sea Ark FL5351SJ UNF 2015</v>
      </c>
      <c r="M1095" t="str">
        <f ca="1">IFERROR(__xludf.DUMMYFUNCTION("""COMPUTED_VALUE"""),"Ford F250 2017 (Moby Dix) - DEP0021578")</f>
        <v>Ford F250 2017 (Moby Dix) - DEP0021578</v>
      </c>
      <c r="N1095" t="str">
        <f ca="1">IFERROR(__xludf.DUMMYFUNCTION("""COMPUTED_VALUE"""),"Jacob Berna, (904) 392-1966")</f>
        <v>Jacob Berna, (904) 392-1966</v>
      </c>
      <c r="O1095" t="str">
        <f ca="1">IFERROR(__xludf.DUMMYFUNCTION("""COMPUTED_VALUE"""),"Megan Howkins, (321) 427-1958, Scott Jones")</f>
        <v>Megan Howkins, (321) 427-1958, Scott Jones</v>
      </c>
      <c r="P1095" t="str">
        <f ca="1">IFERROR(__xludf.DUMMYFUNCTION("""COMPUTED_VALUE"""),"Jacob Berna")</f>
        <v>Jacob Berna</v>
      </c>
      <c r="AE1095" s="11"/>
      <c r="AF1095" t="str">
        <v>Blythe.Odzinski@floridadep.gov</v>
      </c>
      <c r="AG1095" s="17" t="s">
        <v>17</v>
      </c>
      <c r="AH1095" s="12">
        <v>1430</v>
      </c>
      <c r="AI1095" s="12" t="s">
        <v>3240</v>
      </c>
      <c r="AJ1095" s="19" t="s">
        <v>3241</v>
      </c>
      <c r="AK1095" s="20" t="str">
        <f>HYPERLINK("https://docs.google.com/document/d/1rTcx6yolbBb77iUMTocqjjPLW5y22ped614Z2XBc3UA/edit?usp=drivesdk","Jacob Berna - 10/27/2023 11:30 AM")</f>
        <v>Jacob Berna - 10/27/2023 11:30 AM</v>
      </c>
      <c r="AL1095" s="12" t="s">
        <v>3242</v>
      </c>
    </row>
    <row r="1096" spans="1:38" ht="12.75">
      <c r="A1096" s="10">
        <f ca="1">IFERROR(__xludf.DUMMYFUNCTION("""COMPUTED_VALUE"""),45226.4929132754)</f>
        <v>45226.492913275397</v>
      </c>
      <c r="B1096" s="11" t="str">
        <f ca="1">IFERROR(__xludf.DUMMYFUNCTION("""COMPUTED_VALUE"""),"Hans prevost ")</f>
        <v xml:space="preserve">Hans prevost </v>
      </c>
      <c r="C1096" t="str">
        <f ca="1">IFERROR(__xludf.DUMMYFUNCTION("""COMPUTED_VALUE"""),"hans.prevost@floridadep.gov")</f>
        <v>hans.prevost@floridadep.gov</v>
      </c>
      <c r="D1096" t="str">
        <f ca="1">IFERROR(__xludf.DUMMYFUNCTION("""COMPUTED_VALUE"""),"Blythe Odzinski")</f>
        <v>Blythe Odzinski</v>
      </c>
      <c r="E1096" t="str">
        <f ca="1">IFERROR(__xludf.DUMMYFUNCTION("""COMPUTED_VALUE"""),"Guana Dam")</f>
        <v>Guana Dam</v>
      </c>
      <c r="F1096" s="13">
        <f ca="1">IFERROR(__xludf.DUMMYFUNCTION("""COMPUTED_VALUE"""),0.5)</f>
        <v>0.5</v>
      </c>
      <c r="G1096" s="14">
        <f ca="1">IFERROR(__xludf.DUMMYFUNCTION("""COMPUTED_VALUE"""),45226)</f>
        <v>45226</v>
      </c>
      <c r="H1096" t="str">
        <f ca="1">IFERROR(__xludf.DUMMYFUNCTION("""COMPUTED_VALUE"""),"Guana river ")</f>
        <v xml:space="preserve">Guana river </v>
      </c>
      <c r="I1096" s="15">
        <f ca="1">IFERROR(__xludf.DUMMYFUNCTION("""COMPUTED_VALUE"""),0.625)</f>
        <v>0.625</v>
      </c>
      <c r="J1096" s="16">
        <f ca="1">IFERROR(__xludf.DUMMYFUNCTION("""COMPUTED_VALUE"""),45226.6458333333)</f>
        <v>45226.645833333299</v>
      </c>
      <c r="K1096" t="str">
        <f ca="1">IFERROR(__xludf.DUMMYFUNCTION("""COMPUTED_VALUE"""),"Jon Boat 1 FL5992RR DEP154045")</f>
        <v>Jon Boat 1 FL5992RR DEP154045</v>
      </c>
      <c r="M1096" t="str">
        <f ca="1">IFERROR(__xludf.DUMMYFUNCTION("""COMPUTED_VALUE"""),"Ford F150 2015 (White) - DEP21448")</f>
        <v>Ford F150 2015 (White) - DEP21448</v>
      </c>
      <c r="N1096" t="str">
        <f ca="1">IFERROR(__xludf.DUMMYFUNCTION("""COMPUTED_VALUE"""),"Hans Prevost, (337) 224-5522")</f>
        <v>Hans Prevost, (337) 224-5522</v>
      </c>
      <c r="O1096" t="str">
        <f ca="1">IFERROR(__xludf.DUMMYFUNCTION("""COMPUTED_VALUE"""),"Monica Maldonaldo ")</f>
        <v xml:space="preserve">Monica Maldonaldo </v>
      </c>
      <c r="P1096" t="str">
        <f ca="1">IFERROR(__xludf.DUMMYFUNCTION("""COMPUTED_VALUE"""),"Hans prevost ")</f>
        <v xml:space="preserve">Hans prevost </v>
      </c>
      <c r="AE1096" s="11"/>
      <c r="AF1096" t="str">
        <v>Blythe.Odzinski@floridadep.gov</v>
      </c>
      <c r="AG1096" s="17" t="s">
        <v>17</v>
      </c>
      <c r="AH1096" s="12">
        <v>1415</v>
      </c>
      <c r="AI1096" s="12" t="s">
        <v>3243</v>
      </c>
      <c r="AJ1096" s="19" t="s">
        <v>3244</v>
      </c>
      <c r="AK1096" s="20" t="str">
        <f>HYPERLINK("https://docs.google.com/document/d/1P9H2KikmC9-bQW2BbO7h_tia5NqNec4RRkWd8Ewfb3k/edit?usp=drivesdk","Hans prevost  - 10/27/2023 12:00 PM")</f>
        <v>Hans prevost  - 10/27/2023 12:00 PM</v>
      </c>
      <c r="AL1096" s="12" t="s">
        <v>3245</v>
      </c>
    </row>
    <row r="1097" spans="1:38" ht="12.75">
      <c r="A1097" s="10">
        <f ca="1">IFERROR(__xludf.DUMMYFUNCTION("""COMPUTED_VALUE"""),45228.3064740162)</f>
        <v>45228.306474016201</v>
      </c>
      <c r="B1097" s="11" t="str">
        <f ca="1">IFERROR(__xludf.DUMMYFUNCTION("""COMPUTED_VALUE"""),"Hans prevost ")</f>
        <v xml:space="preserve">Hans prevost </v>
      </c>
      <c r="C1097" t="str">
        <f ca="1">IFERROR(__xludf.DUMMYFUNCTION("""COMPUTED_VALUE"""),"hans.prevost@floridadep.gov")</f>
        <v>hans.prevost@floridadep.gov</v>
      </c>
      <c r="D1097" t="str">
        <f ca="1">IFERROR(__xludf.DUMMYFUNCTION("""COMPUTED_VALUE"""),"Jacob Berna")</f>
        <v>Jacob Berna</v>
      </c>
      <c r="E1097" t="str">
        <f ca="1">IFERROR(__xludf.DUMMYFUNCTION("""COMPUTED_VALUE"""),"Guana Dam")</f>
        <v>Guana Dam</v>
      </c>
      <c r="F1097" s="13">
        <f ca="1">IFERROR(__xludf.DUMMYFUNCTION("""COMPUTED_VALUE"""),0.3125)</f>
        <v>0.3125</v>
      </c>
      <c r="G1097" s="14">
        <f ca="1">IFERROR(__xludf.DUMMYFUNCTION("""COMPUTED_VALUE"""),45228)</f>
        <v>45228</v>
      </c>
      <c r="H1097" t="str">
        <f ca="1">IFERROR(__xludf.DUMMYFUNCTION("""COMPUTED_VALUE"""),"Guana river oyster reefs ")</f>
        <v xml:space="preserve">Guana river oyster reefs </v>
      </c>
      <c r="I1097" s="15">
        <f ca="1">IFERROR(__xludf.DUMMYFUNCTION("""COMPUTED_VALUE"""),0.75)</f>
        <v>0.75</v>
      </c>
      <c r="J1097" s="16">
        <f ca="1">IFERROR(__xludf.DUMMYFUNCTION("""COMPUTED_VALUE"""),45228.7708333333)</f>
        <v>45228.770833333299</v>
      </c>
      <c r="K1097" t="str">
        <f ca="1">IFERROR(__xludf.DUMMYFUNCTION("""COMPUTED_VALUE"""),"Jon Boat 1 FL5992RR DEP154045")</f>
        <v>Jon Boat 1 FL5992RR DEP154045</v>
      </c>
      <c r="M1097" t="str">
        <f ca="1">IFERROR(__xludf.DUMMYFUNCTION("""COMPUTED_VALUE"""),"Ford F150 2015 (White) - DEP21448")</f>
        <v>Ford F150 2015 (White) - DEP21448</v>
      </c>
      <c r="N1097" t="str">
        <f ca="1">IFERROR(__xludf.DUMMYFUNCTION("""COMPUTED_VALUE"""),"Hans Prevost, (337) 224-5522")</f>
        <v>Hans Prevost, (337) 224-5522</v>
      </c>
      <c r="O1097" t="str">
        <f ca="1">IFERROR(__xludf.DUMMYFUNCTION("""COMPUTED_VALUE"""),"Mercer brugler")</f>
        <v>Mercer brugler</v>
      </c>
      <c r="P1097" t="str">
        <f ca="1">IFERROR(__xludf.DUMMYFUNCTION("""COMPUTED_VALUE"""),"Hans prevost ")</f>
        <v xml:space="preserve">Hans prevost </v>
      </c>
      <c r="AE1097" s="11"/>
      <c r="AF1097" t="str">
        <v>Jacob.Berna@floridadep.gov</v>
      </c>
      <c r="AG1097" s="17" t="s">
        <v>3071</v>
      </c>
      <c r="AH1097" s="12">
        <v>900</v>
      </c>
      <c r="AI1097" s="12" t="s">
        <v>3246</v>
      </c>
      <c r="AJ1097" s="19" t="s">
        <v>3247</v>
      </c>
      <c r="AK1097" s="20" t="str">
        <f>HYPERLINK("https://docs.google.com/document/d/1-NdSUMOj3WQxAooO-WcnQB2FGtGUTEQw4dWbiERTBfs/edit?usp=drivesdk","Hans prevost  - 10/29/2023 7:30 AM")</f>
        <v>Hans prevost  - 10/29/2023 7:30 AM</v>
      </c>
      <c r="AL1097" s="12" t="s">
        <v>3248</v>
      </c>
    </row>
    <row r="1098" spans="1:38" ht="12.75">
      <c r="A1098" s="10">
        <f ca="1">IFERROR(__xludf.DUMMYFUNCTION("""COMPUTED_VALUE"""),45228.4031170717)</f>
        <v>45228.403117071699</v>
      </c>
      <c r="B1098" s="11" t="str">
        <f ca="1">IFERROR(__xludf.DUMMYFUNCTION("""COMPUTED_VALUE"""),"Hans prevost ")</f>
        <v xml:space="preserve">Hans prevost </v>
      </c>
      <c r="C1098" t="str">
        <f ca="1">IFERROR(__xludf.DUMMYFUNCTION("""COMPUTED_VALUE"""),"hans.prevost@floridadep.gov")</f>
        <v>hans.prevost@floridadep.gov</v>
      </c>
      <c r="D1098" t="str">
        <f ca="1">IFERROR(__xludf.DUMMYFUNCTION("""COMPUTED_VALUE"""),"Jacob Berna")</f>
        <v>Jacob Berna</v>
      </c>
      <c r="E1098" t="str">
        <f ca="1">IFERROR(__xludf.DUMMYFUNCTION("""COMPUTED_VALUE"""),"Usina Boat Ramp (Aunt Kate's)")</f>
        <v>Usina Boat Ramp (Aunt Kate's)</v>
      </c>
      <c r="F1098" s="13">
        <f ca="1">IFERROR(__xludf.DUMMYFUNCTION("""COMPUTED_VALUE"""),0.40625)</f>
        <v>0.40625</v>
      </c>
      <c r="G1098" s="14">
        <f ca="1">IFERROR(__xludf.DUMMYFUNCTION("""COMPUTED_VALUE"""),45228)</f>
        <v>45228</v>
      </c>
      <c r="H1098" t="str">
        <f ca="1">IFERROR(__xludf.DUMMYFUNCTION("""COMPUTED_VALUE"""),"Guana river ")</f>
        <v xml:space="preserve">Guana river </v>
      </c>
      <c r="I1098" s="15">
        <f ca="1">IFERROR(__xludf.DUMMYFUNCTION("""COMPUTED_VALUE"""),0.5)</f>
        <v>0.5</v>
      </c>
      <c r="J1098" s="16">
        <f ca="1">IFERROR(__xludf.DUMMYFUNCTION("""COMPUTED_VALUE"""),45228.5208333333)</f>
        <v>45228.520833333299</v>
      </c>
      <c r="K1098" t="str">
        <f ca="1">IFERROR(__xludf.DUMMYFUNCTION("""COMPUTED_VALUE"""),"20ft Sea Ark FL5351SJ UNF 2015")</f>
        <v>20ft Sea Ark FL5351SJ UNF 2015</v>
      </c>
      <c r="M1098" t="str">
        <f ca="1">IFERROR(__xludf.DUMMYFUNCTION("""COMPUTED_VALUE"""),"Ford F250 2017 (Moby Dix) - DEP0021578")</f>
        <v>Ford F250 2017 (Moby Dix) - DEP0021578</v>
      </c>
      <c r="N1098" t="str">
        <f ca="1">IFERROR(__xludf.DUMMYFUNCTION("""COMPUTED_VALUE"""),"Nikki Dix, (352) 219-4079")</f>
        <v>Nikki Dix, (352) 219-4079</v>
      </c>
      <c r="O1098" t="str">
        <f ca="1">IFERROR(__xludf.DUMMYFUNCTION("""COMPUTED_VALUE"""),"Alyah Bennett, Matt kimball, Robert Dunn, Shelby Ziegler, Hans prevost ")</f>
        <v xml:space="preserve">Alyah Bennett, Matt kimball, Robert Dunn, Shelby Ziegler, Hans prevost </v>
      </c>
      <c r="P1098" t="str">
        <f ca="1">IFERROR(__xludf.DUMMYFUNCTION("""COMPUTED_VALUE"""),"Nikki dix ")</f>
        <v xml:space="preserve">Nikki dix </v>
      </c>
      <c r="AE1098" s="11"/>
      <c r="AF1098" t="str">
        <v>Jacob.Berna@floridadep.gov</v>
      </c>
      <c r="AG1098" s="17" t="s">
        <v>3071</v>
      </c>
      <c r="AH1098" s="23">
        <v>0.52708333333333335</v>
      </c>
      <c r="AI1098" s="12" t="s">
        <v>3249</v>
      </c>
      <c r="AJ1098" s="19" t="s">
        <v>3250</v>
      </c>
      <c r="AK1098" s="20" t="str">
        <f>HYPERLINK("https://docs.google.com/document/d/1qp5rouXfRUbwOrl7K2z4KlVtSyOEIToErDIjtNjgWrk/edit?usp=drivesdk","Hans prevost  - 10/29/2023 9:45 AM")</f>
        <v>Hans prevost  - 10/29/2023 9:45 AM</v>
      </c>
      <c r="AL1098" s="12" t="s">
        <v>3251</v>
      </c>
    </row>
    <row r="1099" spans="1:38" ht="12.75">
      <c r="A1099" s="10">
        <f ca="1">IFERROR(__xludf.DUMMYFUNCTION("""COMPUTED_VALUE"""),45228.6043465625)</f>
        <v>45228.604346562497</v>
      </c>
      <c r="B1099" s="11" t="str">
        <f ca="1">IFERROR(__xludf.DUMMYFUNCTION("""COMPUTED_VALUE"""),"Hans prevost ")</f>
        <v xml:space="preserve">Hans prevost </v>
      </c>
      <c r="C1099" t="str">
        <f ca="1">IFERROR(__xludf.DUMMYFUNCTION("""COMPUTED_VALUE"""),"hans.prevost@floridadep.gov")</f>
        <v>hans.prevost@floridadep.gov</v>
      </c>
      <c r="D1099" t="str">
        <f ca="1">IFERROR(__xludf.DUMMYFUNCTION("""COMPUTED_VALUE"""),"Jacob Berna")</f>
        <v>Jacob Berna</v>
      </c>
      <c r="E1099" t="str">
        <f ca="1">IFERROR(__xludf.DUMMYFUNCTION("""COMPUTED_VALUE"""),"Vilano Boat Ramp")</f>
        <v>Vilano Boat Ramp</v>
      </c>
      <c r="F1099" s="13">
        <f ca="1">IFERROR(__xludf.DUMMYFUNCTION("""COMPUTED_VALUE"""),0.604166666667879)</f>
        <v>0.60416666666787899</v>
      </c>
      <c r="G1099" s="14">
        <f ca="1">IFERROR(__xludf.DUMMYFUNCTION("""COMPUTED_VALUE"""),45228)</f>
        <v>45228</v>
      </c>
      <c r="H1099" t="str">
        <f ca="1">IFERROR(__xludf.DUMMYFUNCTION("""COMPUTED_VALUE"""),"GuaNa river ")</f>
        <v xml:space="preserve">GuaNa river </v>
      </c>
      <c r="I1099" s="15">
        <f ca="1">IFERROR(__xludf.DUMMYFUNCTION("""COMPUTED_VALUE"""),0.75)</f>
        <v>0.75</v>
      </c>
      <c r="J1099" s="16">
        <f ca="1">IFERROR(__xludf.DUMMYFUNCTION("""COMPUTED_VALUE"""),45228.75)</f>
        <v>45228.75</v>
      </c>
      <c r="K1099" t="str">
        <f ca="1">IFERROR(__xludf.DUMMYFUNCTION("""COMPUTED_VALUE"""),"20ft Sea Ark FL5351SJ UNF 2015")</f>
        <v>20ft Sea Ark FL5351SJ UNF 2015</v>
      </c>
      <c r="M1099" t="str">
        <f ca="1">IFERROR(__xludf.DUMMYFUNCTION("""COMPUTED_VALUE"""),"Ford F250 2017 (Moby Dix) - DEP0021578")</f>
        <v>Ford F250 2017 (Moby Dix) - DEP0021578</v>
      </c>
      <c r="N1099" t="str">
        <f ca="1">IFERROR(__xludf.DUMMYFUNCTION("""COMPUTED_VALUE"""),"Nikki Dix, (352) 219-4079")</f>
        <v>Nikki Dix, (352) 219-4079</v>
      </c>
      <c r="O1099" t="str">
        <f ca="1">IFERROR(__xludf.DUMMYFUNCTION("""COMPUTED_VALUE"""),"Shelby Ziegler, Alyah Bennett, Hans prevost, Robert Dunn, Matt kimball")</f>
        <v>Shelby Ziegler, Alyah Bennett, Hans prevost, Robert Dunn, Matt kimball</v>
      </c>
      <c r="P1099" t="str">
        <f ca="1">IFERROR(__xludf.DUMMYFUNCTION("""COMPUTED_VALUE"""),"Nikki dix ")</f>
        <v xml:space="preserve">Nikki dix </v>
      </c>
      <c r="AE1099" s="11"/>
      <c r="AF1099" t="str">
        <v>Jacob.Berna@floridadep.gov</v>
      </c>
      <c r="AG1099" s="17" t="s">
        <v>3071</v>
      </c>
      <c r="AH1099" s="23">
        <v>0.75624999999999998</v>
      </c>
      <c r="AI1099" s="12" t="s">
        <v>3252</v>
      </c>
      <c r="AJ1099" s="19" t="s">
        <v>3253</v>
      </c>
      <c r="AK1099" s="20" t="str">
        <f>HYPERLINK("https://docs.google.com/document/d/1JuJNwJGjgEpEcweOM_3mdxFnXCYWLoxl2pFQS7pOHYU/edit?usp=drivesdk","Hans prevost  - 10/29/2023 2:30 PM")</f>
        <v>Hans prevost  - 10/29/2023 2:30 PM</v>
      </c>
      <c r="AL1099" s="12" t="s">
        <v>3254</v>
      </c>
    </row>
    <row r="1100" spans="1:38" ht="12.75">
      <c r="A1100" s="10">
        <f ca="1">IFERROR(__xludf.DUMMYFUNCTION("""COMPUTED_VALUE"""),45229.4582618055)</f>
        <v>45229.458261805499</v>
      </c>
      <c r="B1100" s="11" t="str">
        <f ca="1">IFERROR(__xludf.DUMMYFUNCTION("""COMPUTED_VALUE"""),"Hans prevost ")</f>
        <v xml:space="preserve">Hans prevost </v>
      </c>
      <c r="C1100" t="str">
        <f ca="1">IFERROR(__xludf.DUMMYFUNCTION("""COMPUTED_VALUE"""),"hans.prevost@floridadep.gov")</f>
        <v>hans.prevost@floridadep.gov</v>
      </c>
      <c r="D1100" t="str">
        <f ca="1">IFERROR(__xludf.DUMMYFUNCTION("""COMPUTED_VALUE"""),"Jacob Berna")</f>
        <v>Jacob Berna</v>
      </c>
      <c r="E1100" t="str">
        <f ca="1">IFERROR(__xludf.DUMMYFUNCTION("""COMPUTED_VALUE"""),"Guana Dam")</f>
        <v>Guana Dam</v>
      </c>
      <c r="F1100" s="13">
        <f ca="1">IFERROR(__xludf.DUMMYFUNCTION("""COMPUTED_VALUE"""),0.4375)</f>
        <v>0.4375</v>
      </c>
      <c r="G1100" s="14">
        <f ca="1">IFERROR(__xludf.DUMMYFUNCTION("""COMPUTED_VALUE"""),45229)</f>
        <v>45229</v>
      </c>
      <c r="H1100" t="str">
        <f ca="1">IFERROR(__xludf.DUMMYFUNCTION("""COMPUTED_VALUE"""),"Guana river ")</f>
        <v xml:space="preserve">Guana river </v>
      </c>
      <c r="I1100" s="15">
        <f ca="1">IFERROR(__xludf.DUMMYFUNCTION("""COMPUTED_VALUE"""),0.5)</f>
        <v>0.5</v>
      </c>
      <c r="J1100" s="16">
        <f ca="1">IFERROR(__xludf.DUMMYFUNCTION("""COMPUTED_VALUE"""),45229.5208333333)</f>
        <v>45229.520833333299</v>
      </c>
      <c r="K1100" t="str">
        <f ca="1">IFERROR(__xludf.DUMMYFUNCTION("""COMPUTED_VALUE"""),"Jon Boat 1 FL5992RR DEP154045")</f>
        <v>Jon Boat 1 FL5992RR DEP154045</v>
      </c>
      <c r="M1100" t="str">
        <f ca="1">IFERROR(__xludf.DUMMYFUNCTION("""COMPUTED_VALUE"""),"Ford F150 2015 (White) - DEP21448")</f>
        <v>Ford F150 2015 (White) - DEP21448</v>
      </c>
      <c r="N1100" t="str">
        <f ca="1">IFERROR(__xludf.DUMMYFUNCTION("""COMPUTED_VALUE"""),"Hans Prevost, (337) 224-5522")</f>
        <v>Hans Prevost, (337) 224-5522</v>
      </c>
      <c r="O1100" t="str">
        <f ca="1">IFERROR(__xludf.DUMMYFUNCTION("""COMPUTED_VALUE"""),"Robert sun")</f>
        <v>Robert sun</v>
      </c>
      <c r="P1100" t="str">
        <f ca="1">IFERROR(__xludf.DUMMYFUNCTION("""COMPUTED_VALUE"""),"Hans prevost ")</f>
        <v xml:space="preserve">Hans prevost </v>
      </c>
      <c r="AE1100" s="11"/>
      <c r="AF1100" t="str">
        <v>Jacob.Berna@floridadep.gov</v>
      </c>
      <c r="AG1100" s="17" t="s">
        <v>3071</v>
      </c>
      <c r="AH1100" s="23">
        <v>0.48749999999999999</v>
      </c>
      <c r="AI1100" s="12" t="s">
        <v>3255</v>
      </c>
      <c r="AJ1100" s="19" t="s">
        <v>3256</v>
      </c>
      <c r="AK1100" s="20" t="str">
        <f>HYPERLINK("https://docs.google.com/document/d/1stP7zXd3N0SsPjG0IX58qMAoNv0o_wvhlfWB5PQVTaQ/edit?usp=drivesdk","Hans prevost  - 10/30/2023 10:30 AM")</f>
        <v>Hans prevost  - 10/30/2023 10:30 AM</v>
      </c>
      <c r="AL1100" s="12" t="s">
        <v>3257</v>
      </c>
    </row>
    <row r="1101" spans="1:38" ht="12.75">
      <c r="A1101" s="10">
        <f ca="1">IFERROR(__xludf.DUMMYFUNCTION("""COMPUTED_VALUE"""),45229.6312631828)</f>
        <v>45229.631263182797</v>
      </c>
      <c r="B1101" s="11" t="str">
        <f ca="1">IFERROR(__xludf.DUMMYFUNCTION("""COMPUTED_VALUE"""),"Hans prevost ")</f>
        <v xml:space="preserve">Hans prevost </v>
      </c>
      <c r="C1101" t="str">
        <f ca="1">IFERROR(__xludf.DUMMYFUNCTION("""COMPUTED_VALUE"""),"hans.prevost@floridadep.gov")</f>
        <v>hans.prevost@floridadep.gov</v>
      </c>
      <c r="D1101" t="str">
        <f ca="1">IFERROR(__xludf.DUMMYFUNCTION("""COMPUTED_VALUE"""),"Blythe Odzinski")</f>
        <v>Blythe Odzinski</v>
      </c>
      <c r="E1101" t="str">
        <f ca="1">IFERROR(__xludf.DUMMYFUNCTION("""COMPUTED_VALUE"""),"Usina Boat Ramp (Aunt Kate's)")</f>
        <v>Usina Boat Ramp (Aunt Kate's)</v>
      </c>
      <c r="F1101" s="13">
        <f ca="1">IFERROR(__xludf.DUMMYFUNCTION("""COMPUTED_VALUE"""),0.64583333333212)</f>
        <v>0.64583333333212001</v>
      </c>
      <c r="G1101" s="14">
        <f ca="1">IFERROR(__xludf.DUMMYFUNCTION("""COMPUTED_VALUE"""),45229)</f>
        <v>45229</v>
      </c>
      <c r="H1101" t="str">
        <f ca="1">IFERROR(__xludf.DUMMYFUNCTION("""COMPUTED_VALUE"""),"Guana River ")</f>
        <v xml:space="preserve">Guana River </v>
      </c>
      <c r="I1101" s="15">
        <f ca="1">IFERROR(__xludf.DUMMYFUNCTION("""COMPUTED_VALUE"""),0.791666666667879)</f>
        <v>0.79166666666787899</v>
      </c>
      <c r="J1101" s="16">
        <f ca="1">IFERROR(__xludf.DUMMYFUNCTION("""COMPUTED_VALUE"""),45229.7916666666)</f>
        <v>45229.791666666599</v>
      </c>
      <c r="K1101" t="str">
        <f ca="1">IFERROR(__xludf.DUMMYFUNCTION("""COMPUTED_VALUE"""),"20ft Sea Ark FL5351SJ UNF 2015")</f>
        <v>20ft Sea Ark FL5351SJ UNF 2015</v>
      </c>
      <c r="M1101" t="str">
        <f ca="1">IFERROR(__xludf.DUMMYFUNCTION("""COMPUTED_VALUE"""),"Ford F250 2017 (Moby Dix) - DEP0021578")</f>
        <v>Ford F250 2017 (Moby Dix) - DEP0021578</v>
      </c>
      <c r="N1101" t="str">
        <f ca="1">IFERROR(__xludf.DUMMYFUNCTION("""COMPUTED_VALUE"""),"Jacob Berna, (904) 392-1966")</f>
        <v>Jacob Berna, (904) 392-1966</v>
      </c>
      <c r="O1101" t="str">
        <f ca="1">IFERROR(__xludf.DUMMYFUNCTION("""COMPUTED_VALUE"""),"Hans Prevost, Nikki Dix, Robert Dunn, Matt Kimball, Shelby Zeigler ")</f>
        <v xml:space="preserve">Hans Prevost, Nikki Dix, Robert Dunn, Matt Kimball, Shelby Zeigler </v>
      </c>
      <c r="P1101" t="str">
        <f ca="1">IFERROR(__xludf.DUMMYFUNCTION("""COMPUTED_VALUE"""),"Jacob Berna ")</f>
        <v xml:space="preserve">Jacob Berna </v>
      </c>
      <c r="AE1101" s="11"/>
      <c r="AF1101" t="str">
        <v>Blythe.Odzinski@floridadep.gov</v>
      </c>
      <c r="AG1101" s="17" t="s">
        <v>17</v>
      </c>
      <c r="AH1101" s="12">
        <v>1845</v>
      </c>
      <c r="AI1101" s="12" t="s">
        <v>3258</v>
      </c>
      <c r="AJ1101" s="19" t="s">
        <v>3259</v>
      </c>
      <c r="AK1101" s="20" t="str">
        <f>HYPERLINK("https://docs.google.com/document/d/12mbuxoE215GsGc9kiDtuYIRbCVnwUFeD-zM0UQuhU-o/edit?usp=drivesdk","Hans prevost  - 10/30/2023 3:30 PM")</f>
        <v>Hans prevost  - 10/30/2023 3:30 PM</v>
      </c>
      <c r="AL1101" s="12" t="s">
        <v>3260</v>
      </c>
    </row>
    <row r="1102" spans="1:38" ht="12.75">
      <c r="A1102" s="10"/>
      <c r="B1102" s="11"/>
      <c r="F1102" s="13"/>
      <c r="G1102" s="14"/>
      <c r="I1102" s="15"/>
      <c r="J1102" s="16"/>
      <c r="AE1102" s="11"/>
      <c r="AF1102" t="b">
        <v>0</v>
      </c>
      <c r="AG1102" s="18"/>
    </row>
    <row r="1103" spans="1:38" ht="12.75">
      <c r="A1103" s="10"/>
      <c r="B1103" s="11"/>
      <c r="F1103" s="13"/>
      <c r="G1103" s="14"/>
      <c r="I1103" s="15"/>
      <c r="J1103" s="16"/>
      <c r="AE1103" s="11"/>
      <c r="AF1103" t="b">
        <v>0</v>
      </c>
      <c r="AG1103" s="18"/>
    </row>
    <row r="1104" spans="1:38" ht="12.75">
      <c r="A1104" s="10"/>
      <c r="B1104" s="11"/>
      <c r="F1104" s="13"/>
      <c r="G1104" s="14"/>
      <c r="I1104" s="15"/>
      <c r="J1104" s="16"/>
      <c r="AE1104" s="11"/>
      <c r="AF1104" t="b">
        <v>0</v>
      </c>
      <c r="AG1104" s="18"/>
    </row>
    <row r="1105" spans="1:33" ht="12.75">
      <c r="A1105" s="10"/>
      <c r="B1105" s="11"/>
      <c r="F1105" s="13"/>
      <c r="G1105" s="14"/>
      <c r="I1105" s="15"/>
      <c r="J1105" s="16"/>
      <c r="AE1105" s="11"/>
      <c r="AF1105" t="b">
        <v>0</v>
      </c>
      <c r="AG1105" s="18"/>
    </row>
    <row r="1106" spans="1:33" ht="12.75">
      <c r="A1106" s="10"/>
      <c r="B1106" s="11"/>
      <c r="F1106" s="13"/>
      <c r="G1106" s="14"/>
      <c r="I1106" s="15"/>
      <c r="J1106" s="16"/>
      <c r="AE1106" s="11"/>
      <c r="AF1106" t="b">
        <v>0</v>
      </c>
      <c r="AG1106" s="18"/>
    </row>
    <row r="1107" spans="1:33" ht="12.75">
      <c r="A1107" s="10"/>
      <c r="B1107" s="11"/>
      <c r="F1107" s="13"/>
      <c r="G1107" s="14"/>
      <c r="I1107" s="15"/>
      <c r="J1107" s="16"/>
      <c r="AE1107" s="11"/>
      <c r="AF1107" t="b">
        <v>0</v>
      </c>
      <c r="AG1107" s="18"/>
    </row>
    <row r="1108" spans="1:33" ht="12.75">
      <c r="A1108" s="10"/>
      <c r="B1108" s="11"/>
      <c r="F1108" s="13"/>
      <c r="G1108" s="14"/>
      <c r="I1108" s="15"/>
      <c r="J1108" s="16"/>
      <c r="AE1108" s="11"/>
      <c r="AF1108" t="b">
        <v>0</v>
      </c>
      <c r="AG1108" s="18"/>
    </row>
    <row r="1109" spans="1:33" ht="12.75">
      <c r="A1109" s="10"/>
      <c r="B1109" s="11"/>
      <c r="F1109" s="13"/>
      <c r="G1109" s="14"/>
      <c r="I1109" s="15"/>
      <c r="J1109" s="16"/>
      <c r="AE1109" s="11"/>
      <c r="AF1109" t="b">
        <v>0</v>
      </c>
      <c r="AG1109" s="18"/>
    </row>
    <row r="1110" spans="1:33" ht="12.75">
      <c r="A1110" s="10"/>
      <c r="B1110" s="11"/>
      <c r="F1110" s="13"/>
      <c r="G1110" s="14"/>
      <c r="I1110" s="15"/>
      <c r="J1110" s="16"/>
      <c r="AE1110" s="11"/>
      <c r="AF1110" t="b">
        <v>0</v>
      </c>
      <c r="AG1110" s="18"/>
    </row>
    <row r="1111" spans="1:33" ht="12.75">
      <c r="A1111" s="10"/>
      <c r="B1111" s="11"/>
      <c r="F1111" s="13"/>
      <c r="G1111" s="14"/>
      <c r="I1111" s="15"/>
      <c r="J1111" s="16"/>
      <c r="AE1111" s="11"/>
      <c r="AF1111" t="b">
        <v>0</v>
      </c>
      <c r="AG1111" s="18"/>
    </row>
    <row r="1112" spans="1:33" ht="12.75">
      <c r="A1112" s="10"/>
      <c r="B1112" s="11"/>
      <c r="F1112" s="13"/>
      <c r="G1112" s="14"/>
      <c r="I1112" s="15"/>
      <c r="J1112" s="16"/>
      <c r="AE1112" s="11"/>
      <c r="AF1112" t="b">
        <v>0</v>
      </c>
      <c r="AG1112" s="18"/>
    </row>
    <row r="1113" spans="1:33" ht="12.75">
      <c r="A1113" s="10"/>
      <c r="B1113" s="11"/>
      <c r="F1113" s="13"/>
      <c r="G1113" s="14"/>
      <c r="I1113" s="15"/>
      <c r="J1113" s="16"/>
      <c r="AE1113" s="11"/>
      <c r="AF1113" t="b">
        <v>0</v>
      </c>
      <c r="AG1113" s="18"/>
    </row>
    <row r="1114" spans="1:33" ht="12.75">
      <c r="A1114" s="10"/>
      <c r="B1114" s="11"/>
      <c r="F1114" s="13"/>
      <c r="G1114" s="14"/>
      <c r="I1114" s="15"/>
      <c r="J1114" s="16"/>
      <c r="AE1114" s="11"/>
      <c r="AF1114" t="b">
        <v>0</v>
      </c>
      <c r="AG1114" s="18"/>
    </row>
    <row r="1115" spans="1:33" ht="12.75">
      <c r="A1115" s="10"/>
      <c r="B1115" s="11"/>
      <c r="F1115" s="13"/>
      <c r="G1115" s="14"/>
      <c r="I1115" s="15"/>
      <c r="J1115" s="16"/>
      <c r="AE1115" s="11"/>
      <c r="AF1115" t="b">
        <v>0</v>
      </c>
      <c r="AG1115" s="18"/>
    </row>
    <row r="1116" spans="1:33" ht="12.75">
      <c r="A1116" s="10"/>
      <c r="B1116" s="11"/>
      <c r="F1116" s="13"/>
      <c r="G1116" s="14"/>
      <c r="I1116" s="15"/>
      <c r="J1116" s="16"/>
      <c r="AE1116" s="11"/>
      <c r="AF1116" t="b">
        <v>0</v>
      </c>
      <c r="AG1116" s="18"/>
    </row>
    <row r="1117" spans="1:33" ht="12.75">
      <c r="A1117" s="10"/>
      <c r="B1117" s="11"/>
      <c r="F1117" s="13"/>
      <c r="G1117" s="14"/>
      <c r="I1117" s="15"/>
      <c r="J1117" s="16"/>
      <c r="AE1117" s="11"/>
      <c r="AF1117" t="b">
        <v>0</v>
      </c>
      <c r="AG1117" s="18"/>
    </row>
    <row r="1118" spans="1:33" ht="12.75">
      <c r="A1118" s="10"/>
      <c r="B1118" s="11"/>
      <c r="F1118" s="13"/>
      <c r="G1118" s="14"/>
      <c r="I1118" s="15"/>
      <c r="J1118" s="16"/>
      <c r="AE1118" s="11"/>
      <c r="AF1118" t="b">
        <v>0</v>
      </c>
      <c r="AG1118" s="18"/>
    </row>
    <row r="1119" spans="1:33" ht="12.75">
      <c r="A1119" s="10"/>
      <c r="B1119" s="11"/>
      <c r="F1119" s="13"/>
      <c r="G1119" s="14"/>
      <c r="I1119" s="15"/>
      <c r="J1119" s="16"/>
      <c r="AE1119" s="11"/>
      <c r="AF1119" t="b">
        <v>0</v>
      </c>
      <c r="AG1119" s="18"/>
    </row>
    <row r="1120" spans="1:33" ht="12.75">
      <c r="A1120" s="10"/>
      <c r="B1120" s="11"/>
      <c r="F1120" s="13"/>
      <c r="G1120" s="14"/>
      <c r="I1120" s="15"/>
      <c r="J1120" s="16"/>
      <c r="AE1120" s="11"/>
      <c r="AF1120" t="b">
        <v>0</v>
      </c>
      <c r="AG1120" s="18"/>
    </row>
    <row r="1121" spans="1:33" ht="12.75">
      <c r="A1121" s="10"/>
      <c r="B1121" s="11"/>
      <c r="F1121" s="13"/>
      <c r="G1121" s="14"/>
      <c r="I1121" s="15"/>
      <c r="J1121" s="16"/>
      <c r="AE1121" s="11"/>
      <c r="AF1121" t="b">
        <v>0</v>
      </c>
      <c r="AG1121" s="18"/>
    </row>
    <row r="1122" spans="1:33" ht="12.75">
      <c r="A1122" s="10"/>
      <c r="B1122" s="11"/>
      <c r="F1122" s="13"/>
      <c r="G1122" s="14"/>
      <c r="I1122" s="15"/>
      <c r="J1122" s="16"/>
      <c r="AE1122" s="11"/>
      <c r="AF1122" t="b">
        <v>0</v>
      </c>
      <c r="AG1122" s="18"/>
    </row>
    <row r="1123" spans="1:33" ht="12.75">
      <c r="A1123" s="10"/>
      <c r="B1123" s="11"/>
      <c r="F1123" s="13"/>
      <c r="G1123" s="14"/>
      <c r="I1123" s="15"/>
      <c r="J1123" s="16"/>
      <c r="AE1123" s="11"/>
      <c r="AF1123" t="b">
        <v>0</v>
      </c>
      <c r="AG1123" s="18"/>
    </row>
    <row r="1124" spans="1:33" ht="12.75">
      <c r="A1124" s="10"/>
      <c r="B1124" s="11"/>
      <c r="F1124" s="13"/>
      <c r="G1124" s="14"/>
      <c r="I1124" s="15"/>
      <c r="J1124" s="16"/>
      <c r="AE1124" s="11"/>
      <c r="AF1124" t="b">
        <v>0</v>
      </c>
      <c r="AG1124" s="18"/>
    </row>
    <row r="1125" spans="1:33" ht="12.75">
      <c r="A1125" s="10"/>
      <c r="B1125" s="11"/>
      <c r="F1125" s="13"/>
      <c r="G1125" s="14"/>
      <c r="I1125" s="15"/>
      <c r="J1125" s="16"/>
      <c r="AE1125" s="11"/>
      <c r="AF1125" t="b">
        <v>0</v>
      </c>
      <c r="AG1125" s="18"/>
    </row>
    <row r="1126" spans="1:33" ht="12.75">
      <c r="A1126" s="10"/>
      <c r="B1126" s="11"/>
      <c r="F1126" s="13"/>
      <c r="G1126" s="14"/>
      <c r="I1126" s="15"/>
      <c r="J1126" s="16"/>
      <c r="AE1126" s="11"/>
      <c r="AF1126" t="b">
        <v>0</v>
      </c>
      <c r="AG1126" s="18"/>
    </row>
    <row r="1127" spans="1:33" ht="12.75">
      <c r="A1127" s="10"/>
      <c r="B1127" s="11"/>
      <c r="F1127" s="13"/>
      <c r="G1127" s="14"/>
      <c r="I1127" s="15"/>
      <c r="J1127" s="16"/>
      <c r="AE1127" s="11"/>
      <c r="AF1127" t="b">
        <v>0</v>
      </c>
      <c r="AG1127" s="18"/>
    </row>
    <row r="1128" spans="1:33" ht="12.75">
      <c r="A1128" s="10"/>
      <c r="B1128" s="11"/>
      <c r="F1128" s="13"/>
      <c r="G1128" s="14"/>
      <c r="I1128" s="15"/>
      <c r="J1128" s="16"/>
      <c r="AE1128" s="11"/>
      <c r="AF1128" t="b">
        <v>0</v>
      </c>
      <c r="AG1128" s="18"/>
    </row>
    <row r="1129" spans="1:33" ht="12.75">
      <c r="A1129" s="10"/>
      <c r="B1129" s="11"/>
      <c r="F1129" s="13"/>
      <c r="G1129" s="14"/>
      <c r="I1129" s="15"/>
      <c r="J1129" s="16"/>
      <c r="AE1129" s="11"/>
      <c r="AF1129" t="b">
        <v>0</v>
      </c>
      <c r="AG1129" s="18"/>
    </row>
    <row r="1130" spans="1:33" ht="12.75">
      <c r="A1130" s="10"/>
      <c r="B1130" s="11"/>
      <c r="F1130" s="13"/>
      <c r="G1130" s="14"/>
      <c r="I1130" s="15"/>
      <c r="J1130" s="16"/>
      <c r="AE1130" s="11"/>
      <c r="AF1130" t="b">
        <v>0</v>
      </c>
      <c r="AG1130" s="18"/>
    </row>
    <row r="1131" spans="1:33" ht="12.75">
      <c r="A1131" s="10"/>
      <c r="B1131" s="11"/>
      <c r="F1131" s="13"/>
      <c r="G1131" s="14"/>
      <c r="I1131" s="15"/>
      <c r="J1131" s="16"/>
      <c r="AE1131" s="11"/>
      <c r="AF1131" t="b">
        <v>0</v>
      </c>
      <c r="AG1131" s="18"/>
    </row>
    <row r="1132" spans="1:33" ht="12.75">
      <c r="A1132" s="10"/>
      <c r="B1132" s="11"/>
      <c r="F1132" s="13"/>
      <c r="G1132" s="14"/>
      <c r="I1132" s="15"/>
      <c r="J1132" s="16"/>
      <c r="AE1132" s="11"/>
      <c r="AF1132" t="b">
        <v>0</v>
      </c>
      <c r="AG1132" s="18"/>
    </row>
    <row r="1133" spans="1:33" ht="12.75">
      <c r="A1133" s="10"/>
      <c r="B1133" s="11"/>
      <c r="F1133" s="13"/>
      <c r="G1133" s="14"/>
      <c r="I1133" s="15"/>
      <c r="J1133" s="16"/>
      <c r="AE1133" s="11"/>
      <c r="AF1133" t="b">
        <v>0</v>
      </c>
      <c r="AG1133" s="18"/>
    </row>
    <row r="1134" spans="1:33" ht="12.75">
      <c r="A1134" s="10"/>
      <c r="B1134" s="11"/>
      <c r="F1134" s="13"/>
      <c r="G1134" s="14"/>
      <c r="I1134" s="15"/>
      <c r="J1134" s="16"/>
      <c r="AE1134" s="11"/>
      <c r="AF1134" t="b">
        <v>0</v>
      </c>
      <c r="AG1134" s="18"/>
    </row>
    <row r="1135" spans="1:33" ht="12.75">
      <c r="A1135" s="10"/>
      <c r="B1135" s="11"/>
      <c r="F1135" s="13"/>
      <c r="G1135" s="14"/>
      <c r="I1135" s="15"/>
      <c r="J1135" s="16"/>
      <c r="AE1135" s="11"/>
      <c r="AF1135" t="b">
        <v>0</v>
      </c>
      <c r="AG1135" s="18"/>
    </row>
    <row r="1136" spans="1:33" ht="12.75">
      <c r="A1136" s="10"/>
      <c r="B1136" s="11"/>
      <c r="F1136" s="13"/>
      <c r="G1136" s="14"/>
      <c r="I1136" s="15"/>
      <c r="J1136" s="16"/>
      <c r="AE1136" s="11"/>
      <c r="AF1136" t="b">
        <v>0</v>
      </c>
      <c r="AG1136" s="18"/>
    </row>
    <row r="1137" spans="1:34" ht="12.75">
      <c r="A1137" s="10"/>
      <c r="B1137" s="11"/>
      <c r="F1137" s="13"/>
      <c r="G1137" s="14"/>
      <c r="I1137" s="15"/>
      <c r="J1137" s="16"/>
      <c r="AE1137" s="11"/>
      <c r="AF1137" t="b">
        <v>0</v>
      </c>
      <c r="AG1137" s="17" t="s">
        <v>17</v>
      </c>
      <c r="AH1137" s="12">
        <v>1845</v>
      </c>
    </row>
    <row r="1138" spans="1:34" ht="12.75">
      <c r="A1138" s="10"/>
      <c r="B1138" s="11"/>
      <c r="F1138" s="13"/>
      <c r="G1138" s="14"/>
      <c r="I1138" s="15"/>
      <c r="J1138" s="16"/>
      <c r="AE1138" s="11"/>
      <c r="AF1138" t="b">
        <v>0</v>
      </c>
      <c r="AG1138" s="18"/>
    </row>
    <row r="1139" spans="1:34" ht="12.75">
      <c r="A1139" s="10"/>
      <c r="B1139" s="11"/>
      <c r="F1139" s="13"/>
      <c r="G1139" s="14"/>
      <c r="I1139" s="15"/>
      <c r="J1139" s="16"/>
      <c r="AE1139" s="11"/>
      <c r="AF1139" t="b">
        <v>0</v>
      </c>
      <c r="AG1139" s="18"/>
    </row>
    <row r="1140" spans="1:34" ht="12.75">
      <c r="A1140" s="10"/>
      <c r="B1140" s="11"/>
      <c r="F1140" s="13"/>
      <c r="G1140" s="14"/>
      <c r="I1140" s="15"/>
      <c r="J1140" s="16"/>
      <c r="AE1140" s="11"/>
      <c r="AF1140" t="b">
        <v>0</v>
      </c>
      <c r="AG1140" s="18"/>
    </row>
    <row r="1141" spans="1:34" ht="12.75">
      <c r="A1141" s="10"/>
      <c r="B1141" s="11"/>
      <c r="F1141" s="13"/>
      <c r="G1141" s="14"/>
      <c r="I1141" s="15"/>
      <c r="J1141" s="16"/>
      <c r="AE1141" s="11"/>
      <c r="AF1141" t="b">
        <v>0</v>
      </c>
      <c r="AG1141" s="18"/>
    </row>
    <row r="1142" spans="1:34" ht="12.75">
      <c r="A1142" s="10"/>
      <c r="B1142" s="11"/>
      <c r="F1142" s="13"/>
      <c r="G1142" s="14"/>
      <c r="I1142" s="15"/>
      <c r="J1142" s="16"/>
      <c r="AE1142" s="11"/>
      <c r="AF1142" t="b">
        <v>0</v>
      </c>
      <c r="AG1142" s="18"/>
    </row>
    <row r="1143" spans="1:34" ht="12.75">
      <c r="A1143" s="10"/>
      <c r="B1143" s="11"/>
      <c r="F1143" s="13"/>
      <c r="G1143" s="14"/>
      <c r="I1143" s="15"/>
      <c r="J1143" s="16"/>
      <c r="AE1143" s="11"/>
      <c r="AF1143" t="b">
        <v>0</v>
      </c>
      <c r="AG1143" s="18"/>
    </row>
    <row r="1144" spans="1:34" ht="12.75">
      <c r="A1144" s="10"/>
      <c r="B1144" s="11"/>
      <c r="F1144" s="13"/>
      <c r="G1144" s="14"/>
      <c r="I1144" s="15"/>
      <c r="J1144" s="16"/>
      <c r="AE1144" s="11"/>
      <c r="AF1144" t="b">
        <v>0</v>
      </c>
      <c r="AG1144" s="18"/>
    </row>
    <row r="1145" spans="1:34" ht="12.75">
      <c r="A1145" s="10"/>
      <c r="B1145" s="11"/>
      <c r="F1145" s="13"/>
      <c r="G1145" s="14"/>
      <c r="I1145" s="15"/>
      <c r="J1145" s="16"/>
      <c r="AE1145" s="11"/>
      <c r="AF1145" t="b">
        <v>0</v>
      </c>
      <c r="AG1145" s="18"/>
    </row>
    <row r="1146" spans="1:34" ht="12.75">
      <c r="A1146" s="10"/>
      <c r="B1146" s="11"/>
      <c r="F1146" s="13"/>
      <c r="G1146" s="14"/>
      <c r="I1146" s="15"/>
      <c r="J1146" s="16"/>
      <c r="AE1146" s="11"/>
      <c r="AF1146" t="b">
        <v>0</v>
      </c>
      <c r="AG1146" s="18"/>
    </row>
    <row r="1147" spans="1:34" ht="12.75">
      <c r="A1147" s="10"/>
      <c r="B1147" s="11"/>
      <c r="F1147" s="13"/>
      <c r="G1147" s="14"/>
      <c r="I1147" s="15"/>
      <c r="J1147" s="16"/>
      <c r="AE1147" s="11"/>
      <c r="AF1147" t="b">
        <v>0</v>
      </c>
      <c r="AG1147" s="18"/>
    </row>
    <row r="1148" spans="1:34" ht="12.75">
      <c r="A1148" s="10"/>
      <c r="B1148" s="11"/>
      <c r="F1148" s="13"/>
      <c r="G1148" s="14"/>
      <c r="I1148" s="15"/>
      <c r="J1148" s="16"/>
      <c r="AE1148" s="11"/>
      <c r="AF1148" t="b">
        <v>0</v>
      </c>
      <c r="AG1148" s="18"/>
    </row>
    <row r="1149" spans="1:34" ht="12.75">
      <c r="A1149" s="10"/>
      <c r="B1149" s="11"/>
      <c r="F1149" s="13"/>
      <c r="G1149" s="14"/>
      <c r="I1149" s="15"/>
      <c r="J1149" s="16"/>
      <c r="AE1149" s="11"/>
      <c r="AF1149" t="b">
        <v>0</v>
      </c>
      <c r="AG1149" s="18"/>
    </row>
    <row r="1150" spans="1:34" ht="12.75">
      <c r="A1150" s="10"/>
      <c r="B1150" s="11"/>
      <c r="F1150" s="13"/>
      <c r="G1150" s="14"/>
      <c r="I1150" s="15"/>
      <c r="J1150" s="16"/>
      <c r="AE1150" s="11"/>
      <c r="AF1150" t="b">
        <v>0</v>
      </c>
      <c r="AG1150" s="18"/>
    </row>
    <row r="1151" spans="1:34" ht="12.75">
      <c r="A1151" s="10"/>
      <c r="B1151" s="11"/>
      <c r="F1151" s="13"/>
      <c r="G1151" s="14"/>
      <c r="I1151" s="15"/>
      <c r="J1151" s="16"/>
      <c r="AE1151" s="11"/>
      <c r="AF1151" t="b">
        <v>0</v>
      </c>
      <c r="AG1151" s="18"/>
    </row>
    <row r="1152" spans="1:34" ht="12.75">
      <c r="A1152" s="10"/>
      <c r="B1152" s="11"/>
      <c r="F1152" s="13"/>
      <c r="G1152" s="14"/>
      <c r="I1152" s="15"/>
      <c r="J1152" s="16"/>
      <c r="AE1152" s="11"/>
      <c r="AF1152" t="b">
        <v>0</v>
      </c>
      <c r="AG1152" s="18"/>
    </row>
    <row r="1153" spans="1:33" ht="12.75">
      <c r="A1153" s="10"/>
      <c r="B1153" s="11"/>
      <c r="F1153" s="13"/>
      <c r="G1153" s="14"/>
      <c r="I1153" s="15"/>
      <c r="J1153" s="16"/>
      <c r="AE1153" s="11"/>
      <c r="AF1153" t="b">
        <v>0</v>
      </c>
      <c r="AG1153" s="18"/>
    </row>
    <row r="1154" spans="1:33" ht="12.75">
      <c r="A1154" s="10"/>
      <c r="B1154" s="11"/>
      <c r="F1154" s="13"/>
      <c r="G1154" s="14"/>
      <c r="I1154" s="15"/>
      <c r="J1154" s="16"/>
      <c r="AE1154" s="11"/>
      <c r="AF1154" t="b">
        <v>0</v>
      </c>
      <c r="AG1154" s="18"/>
    </row>
    <row r="1155" spans="1:33" ht="12.75">
      <c r="A1155" s="10"/>
      <c r="B1155" s="11"/>
      <c r="F1155" s="13"/>
      <c r="G1155" s="14"/>
      <c r="I1155" s="15"/>
      <c r="J1155" s="16"/>
      <c r="AE1155" s="11"/>
      <c r="AF1155" t="b">
        <v>0</v>
      </c>
      <c r="AG1155" s="18"/>
    </row>
    <row r="1156" spans="1:33" ht="12.75">
      <c r="A1156" s="10"/>
      <c r="B1156" s="11"/>
      <c r="F1156" s="13"/>
      <c r="G1156" s="14"/>
      <c r="I1156" s="15"/>
      <c r="J1156" s="16"/>
      <c r="AE1156" s="11"/>
      <c r="AF1156" t="b">
        <v>0</v>
      </c>
      <c r="AG1156" s="18"/>
    </row>
    <row r="1157" spans="1:33" ht="12.75">
      <c r="A1157" s="10"/>
      <c r="B1157" s="11"/>
      <c r="F1157" s="13"/>
      <c r="G1157" s="14"/>
      <c r="I1157" s="15"/>
      <c r="J1157" s="16"/>
      <c r="AE1157" s="11"/>
      <c r="AF1157" t="b">
        <v>0</v>
      </c>
      <c r="AG1157" s="18"/>
    </row>
    <row r="1158" spans="1:33" ht="12.75">
      <c r="A1158" s="10"/>
      <c r="B1158" s="11"/>
      <c r="F1158" s="13"/>
      <c r="G1158" s="14"/>
      <c r="I1158" s="15"/>
      <c r="J1158" s="16"/>
      <c r="AE1158" s="11"/>
      <c r="AF1158" t="b">
        <v>0</v>
      </c>
      <c r="AG1158" s="18"/>
    </row>
    <row r="1159" spans="1:33" ht="12.75">
      <c r="A1159" s="10"/>
      <c r="B1159" s="11"/>
      <c r="F1159" s="13"/>
      <c r="G1159" s="14"/>
      <c r="I1159" s="15"/>
      <c r="J1159" s="16"/>
      <c r="AE1159" s="11"/>
      <c r="AF1159" t="b">
        <v>0</v>
      </c>
      <c r="AG1159" s="18"/>
    </row>
    <row r="1160" spans="1:33" ht="12.75">
      <c r="A1160" s="10"/>
      <c r="B1160" s="11"/>
      <c r="F1160" s="13"/>
      <c r="G1160" s="14"/>
      <c r="I1160" s="15"/>
      <c r="J1160" s="16"/>
      <c r="AE1160" s="11"/>
      <c r="AF1160" t="b">
        <v>0</v>
      </c>
      <c r="AG1160" s="18"/>
    </row>
    <row r="1161" spans="1:33" ht="12.75">
      <c r="A1161" s="10"/>
      <c r="B1161" s="11"/>
      <c r="F1161" s="13"/>
      <c r="G1161" s="14"/>
      <c r="I1161" s="15"/>
      <c r="J1161" s="16"/>
      <c r="AE1161" s="11"/>
      <c r="AF1161" t="b">
        <v>0</v>
      </c>
      <c r="AG1161" s="18"/>
    </row>
    <row r="1162" spans="1:33" ht="12.75">
      <c r="A1162" s="10"/>
      <c r="B1162" s="11"/>
      <c r="F1162" s="13"/>
      <c r="G1162" s="14"/>
      <c r="I1162" s="15"/>
      <c r="J1162" s="16"/>
      <c r="AE1162" s="11"/>
      <c r="AF1162" t="b">
        <v>0</v>
      </c>
      <c r="AG1162" s="18"/>
    </row>
    <row r="1163" spans="1:33" ht="12.75">
      <c r="A1163" s="10"/>
      <c r="B1163" s="11"/>
      <c r="F1163" s="13"/>
      <c r="G1163" s="14"/>
      <c r="I1163" s="15"/>
      <c r="J1163" s="16"/>
      <c r="AE1163" s="11"/>
      <c r="AF1163" t="b">
        <v>0</v>
      </c>
      <c r="AG1163" s="18"/>
    </row>
    <row r="1164" spans="1:33" ht="12.75">
      <c r="A1164" s="10"/>
      <c r="B1164" s="11"/>
      <c r="F1164" s="13"/>
      <c r="G1164" s="14"/>
      <c r="I1164" s="15"/>
      <c r="J1164" s="16"/>
      <c r="AE1164" s="11"/>
      <c r="AF1164" t="b">
        <v>0</v>
      </c>
      <c r="AG1164" s="18"/>
    </row>
    <row r="1165" spans="1:33" ht="12.75">
      <c r="A1165" s="10"/>
      <c r="B1165" s="11"/>
      <c r="F1165" s="13"/>
      <c r="G1165" s="14"/>
      <c r="I1165" s="15"/>
      <c r="J1165" s="16"/>
      <c r="AE1165" s="11"/>
      <c r="AF1165" t="b">
        <v>0</v>
      </c>
      <c r="AG1165" s="18"/>
    </row>
    <row r="1166" spans="1:33" ht="12.75">
      <c r="A1166" s="10"/>
      <c r="B1166" s="11"/>
      <c r="F1166" s="13"/>
      <c r="G1166" s="14"/>
      <c r="I1166" s="15"/>
      <c r="J1166" s="16"/>
      <c r="AE1166" s="11"/>
      <c r="AF1166" t="b">
        <v>0</v>
      </c>
      <c r="AG1166" s="18"/>
    </row>
    <row r="1167" spans="1:33" ht="12.75">
      <c r="A1167" s="10"/>
      <c r="B1167" s="11"/>
      <c r="F1167" s="13"/>
      <c r="G1167" s="14"/>
      <c r="I1167" s="15"/>
      <c r="J1167" s="16"/>
      <c r="AE1167" s="11"/>
      <c r="AF1167" t="b">
        <v>0</v>
      </c>
      <c r="AG1167" s="18"/>
    </row>
    <row r="1168" spans="1:33" ht="12.75">
      <c r="A1168" s="10"/>
      <c r="B1168" s="11"/>
      <c r="F1168" s="13"/>
      <c r="G1168" s="14"/>
      <c r="I1168" s="15"/>
      <c r="J1168" s="16"/>
      <c r="AE1168" s="11"/>
      <c r="AF1168" t="b">
        <v>0</v>
      </c>
      <c r="AG1168" s="18"/>
    </row>
    <row r="1169" spans="1:33" ht="12.75">
      <c r="A1169" s="10"/>
      <c r="B1169" s="11"/>
      <c r="F1169" s="13"/>
      <c r="G1169" s="14"/>
      <c r="I1169" s="15"/>
      <c r="J1169" s="16"/>
      <c r="AE1169" s="11"/>
      <c r="AF1169" t="b">
        <v>0</v>
      </c>
      <c r="AG1169" s="18"/>
    </row>
    <row r="1170" spans="1:33" ht="12.75">
      <c r="A1170" s="10"/>
      <c r="B1170" s="11"/>
      <c r="F1170" s="13"/>
      <c r="G1170" s="14"/>
      <c r="I1170" s="15"/>
      <c r="J1170" s="16"/>
      <c r="AE1170" s="11"/>
      <c r="AF1170" t="b">
        <v>0</v>
      </c>
      <c r="AG1170" s="18"/>
    </row>
    <row r="1171" spans="1:33" ht="12.75">
      <c r="A1171" s="10"/>
      <c r="B1171" s="11"/>
      <c r="F1171" s="13"/>
      <c r="G1171" s="14"/>
      <c r="I1171" s="15"/>
      <c r="J1171" s="16"/>
      <c r="AE1171" s="11"/>
      <c r="AF1171" t="b">
        <v>0</v>
      </c>
      <c r="AG1171" s="18"/>
    </row>
    <row r="1172" spans="1:33" ht="12.75">
      <c r="A1172" s="10"/>
      <c r="B1172" s="11"/>
      <c r="F1172" s="13"/>
      <c r="G1172" s="14"/>
      <c r="I1172" s="15"/>
      <c r="J1172" s="16"/>
      <c r="AE1172" s="11"/>
      <c r="AF1172" t="b">
        <v>0</v>
      </c>
      <c r="AG1172" s="18"/>
    </row>
    <row r="1173" spans="1:33" ht="12.75">
      <c r="A1173" s="10"/>
      <c r="B1173" s="11"/>
      <c r="F1173" s="13"/>
      <c r="G1173" s="14"/>
      <c r="I1173" s="15"/>
      <c r="J1173" s="16"/>
      <c r="AE1173" s="11"/>
      <c r="AF1173" t="b">
        <v>0</v>
      </c>
      <c r="AG1173" s="18"/>
    </row>
    <row r="1174" spans="1:33" ht="12.75">
      <c r="A1174" s="10"/>
      <c r="B1174" s="11"/>
      <c r="F1174" s="13"/>
      <c r="G1174" s="14"/>
      <c r="I1174" s="15"/>
      <c r="J1174" s="16"/>
      <c r="AE1174" s="11"/>
      <c r="AF1174" t="b">
        <v>0</v>
      </c>
      <c r="AG1174" s="18"/>
    </row>
    <row r="1175" spans="1:33" ht="12.75">
      <c r="A1175" s="10"/>
      <c r="B1175" s="11"/>
      <c r="F1175" s="13"/>
      <c r="G1175" s="14"/>
      <c r="I1175" s="15"/>
      <c r="J1175" s="16"/>
      <c r="AE1175" s="11"/>
      <c r="AF1175" t="b">
        <v>0</v>
      </c>
      <c r="AG1175" s="18"/>
    </row>
    <row r="1176" spans="1:33" ht="12.75">
      <c r="A1176" s="10"/>
      <c r="B1176" s="11"/>
      <c r="F1176" s="13"/>
      <c r="G1176" s="14"/>
      <c r="I1176" s="15"/>
      <c r="J1176" s="16"/>
      <c r="AE1176" s="11"/>
      <c r="AF1176" t="b">
        <v>0</v>
      </c>
      <c r="AG1176" s="18"/>
    </row>
    <row r="1177" spans="1:33" ht="12.75">
      <c r="A1177" s="10"/>
      <c r="B1177" s="11"/>
      <c r="F1177" s="13"/>
      <c r="G1177" s="14"/>
      <c r="I1177" s="15"/>
      <c r="J1177" s="16"/>
      <c r="AE1177" s="11"/>
      <c r="AF1177" t="b">
        <v>0</v>
      </c>
      <c r="AG1177" s="18"/>
    </row>
    <row r="1178" spans="1:33" ht="12.75">
      <c r="A1178" s="10"/>
      <c r="B1178" s="11"/>
      <c r="F1178" s="13"/>
      <c r="G1178" s="14"/>
      <c r="I1178" s="15"/>
      <c r="J1178" s="16"/>
      <c r="AE1178" s="11"/>
      <c r="AF1178" t="b">
        <v>0</v>
      </c>
      <c r="AG1178" s="18"/>
    </row>
    <row r="1179" spans="1:33" ht="12.75">
      <c r="A1179" s="10"/>
      <c r="B1179" s="11"/>
      <c r="F1179" s="13"/>
      <c r="G1179" s="14"/>
      <c r="I1179" s="15"/>
      <c r="J1179" s="16"/>
      <c r="AE1179" s="11"/>
      <c r="AF1179" t="b">
        <v>0</v>
      </c>
      <c r="AG1179" s="18"/>
    </row>
    <row r="1180" spans="1:33" ht="12.75">
      <c r="A1180" s="10"/>
      <c r="B1180" s="11"/>
      <c r="F1180" s="13"/>
      <c r="G1180" s="14"/>
      <c r="I1180" s="15"/>
      <c r="J1180" s="16"/>
      <c r="AE1180" s="11"/>
      <c r="AF1180" t="b">
        <v>0</v>
      </c>
      <c r="AG1180" s="18"/>
    </row>
    <row r="1181" spans="1:33" ht="12.75">
      <c r="A1181" s="10"/>
      <c r="B1181" s="11"/>
      <c r="F1181" s="13"/>
      <c r="G1181" s="14"/>
      <c r="I1181" s="15"/>
      <c r="J1181" s="16"/>
      <c r="AE1181" s="11"/>
      <c r="AF1181" t="b">
        <v>0</v>
      </c>
      <c r="AG1181" s="18"/>
    </row>
    <row r="1182" spans="1:33" ht="12.75">
      <c r="A1182" s="10"/>
      <c r="B1182" s="11"/>
      <c r="F1182" s="13"/>
      <c r="G1182" s="14"/>
      <c r="I1182" s="15"/>
      <c r="J1182" s="16"/>
      <c r="AE1182" s="11"/>
      <c r="AF1182" t="b">
        <v>0</v>
      </c>
      <c r="AG1182" s="18"/>
    </row>
    <row r="1183" spans="1:33" ht="12.75">
      <c r="A1183" s="10"/>
      <c r="B1183" s="11"/>
      <c r="F1183" s="13"/>
      <c r="G1183" s="14"/>
      <c r="I1183" s="15"/>
      <c r="J1183" s="16"/>
      <c r="AE1183" s="11"/>
      <c r="AF1183" t="b">
        <v>0</v>
      </c>
      <c r="AG1183" s="18"/>
    </row>
    <row r="1184" spans="1:33" ht="12.75">
      <c r="A1184" s="10"/>
      <c r="B1184" s="11"/>
      <c r="F1184" s="13"/>
      <c r="G1184" s="14"/>
      <c r="I1184" s="15"/>
      <c r="J1184" s="16"/>
      <c r="AE1184" s="11"/>
      <c r="AF1184" t="b">
        <v>0</v>
      </c>
      <c r="AG1184" s="18"/>
    </row>
    <row r="1185" spans="1:33" ht="12.75">
      <c r="A1185" s="10"/>
      <c r="B1185" s="11"/>
      <c r="F1185" s="13"/>
      <c r="G1185" s="14"/>
      <c r="I1185" s="15"/>
      <c r="J1185" s="16"/>
      <c r="AE1185" s="11"/>
      <c r="AF1185" t="b">
        <v>0</v>
      </c>
      <c r="AG1185" s="18"/>
    </row>
    <row r="1186" spans="1:33" ht="12.75">
      <c r="A1186" s="10"/>
      <c r="B1186" s="11"/>
      <c r="F1186" s="13"/>
      <c r="G1186" s="14"/>
      <c r="I1186" s="15"/>
      <c r="J1186" s="16"/>
      <c r="AE1186" s="11"/>
      <c r="AF1186" t="b">
        <v>0</v>
      </c>
      <c r="AG1186" s="18"/>
    </row>
    <row r="1187" spans="1:33" ht="12.75">
      <c r="A1187" s="10"/>
      <c r="B1187" s="11"/>
      <c r="F1187" s="13"/>
      <c r="G1187" s="14"/>
      <c r="I1187" s="15"/>
      <c r="J1187" s="16"/>
      <c r="AE1187" s="11"/>
      <c r="AF1187" t="b">
        <v>0</v>
      </c>
      <c r="AG1187" s="18"/>
    </row>
    <row r="1188" spans="1:33" ht="12.75">
      <c r="A1188" s="10"/>
      <c r="B1188" s="11"/>
      <c r="F1188" s="13"/>
      <c r="G1188" s="14"/>
      <c r="I1188" s="15"/>
      <c r="J1188" s="16"/>
      <c r="AE1188" s="11"/>
      <c r="AF1188" t="b">
        <v>0</v>
      </c>
      <c r="AG1188" s="18"/>
    </row>
    <row r="1189" spans="1:33" ht="12.75">
      <c r="A1189" s="10"/>
      <c r="B1189" s="11"/>
      <c r="F1189" s="13"/>
      <c r="G1189" s="14"/>
      <c r="I1189" s="15"/>
      <c r="J1189" s="16"/>
      <c r="AE1189" s="11"/>
      <c r="AF1189" t="b">
        <v>0</v>
      </c>
      <c r="AG1189" s="18"/>
    </row>
    <row r="1190" spans="1:33" ht="12.75">
      <c r="A1190" s="10"/>
      <c r="B1190" s="11"/>
      <c r="F1190" s="13"/>
      <c r="G1190" s="14"/>
      <c r="I1190" s="15"/>
      <c r="J1190" s="16"/>
      <c r="AE1190" s="11"/>
      <c r="AF1190" t="b">
        <v>0</v>
      </c>
      <c r="AG1190" s="18"/>
    </row>
    <row r="1191" spans="1:33" ht="12.75">
      <c r="A1191" s="10"/>
      <c r="B1191" s="11"/>
      <c r="F1191" s="13"/>
      <c r="G1191" s="14"/>
      <c r="I1191" s="15"/>
      <c r="J1191" s="16"/>
      <c r="AE1191" s="11"/>
      <c r="AF1191" t="b">
        <v>0</v>
      </c>
      <c r="AG1191" s="18"/>
    </row>
    <row r="1192" spans="1:33" ht="12.75">
      <c r="A1192" s="10"/>
      <c r="B1192" s="11"/>
      <c r="F1192" s="13"/>
      <c r="G1192" s="14"/>
      <c r="I1192" s="15"/>
      <c r="J1192" s="16"/>
      <c r="AE1192" s="11"/>
      <c r="AF1192" t="b">
        <v>0</v>
      </c>
      <c r="AG1192" s="18"/>
    </row>
    <row r="1193" spans="1:33" ht="12.75">
      <c r="A1193" s="10"/>
      <c r="B1193" s="11"/>
      <c r="F1193" s="13"/>
      <c r="G1193" s="14"/>
      <c r="I1193" s="15"/>
      <c r="J1193" s="16"/>
      <c r="AE1193" s="11"/>
      <c r="AF1193" t="b">
        <v>0</v>
      </c>
      <c r="AG1193" s="18"/>
    </row>
    <row r="1194" spans="1:33" ht="12.75">
      <c r="A1194" s="10"/>
      <c r="B1194" s="11"/>
      <c r="F1194" s="13"/>
      <c r="G1194" s="14"/>
      <c r="I1194" s="15"/>
      <c r="J1194" s="16"/>
      <c r="AE1194" s="11"/>
      <c r="AF1194" t="b">
        <v>0</v>
      </c>
      <c r="AG1194" s="18"/>
    </row>
    <row r="1195" spans="1:33" ht="12.75">
      <c r="A1195" s="10"/>
      <c r="B1195" s="11"/>
      <c r="F1195" s="13"/>
      <c r="G1195" s="14"/>
      <c r="I1195" s="15"/>
      <c r="J1195" s="16"/>
      <c r="AE1195" s="11"/>
      <c r="AF1195" t="b">
        <v>0</v>
      </c>
      <c r="AG1195" s="18"/>
    </row>
    <row r="1196" spans="1:33" ht="12.75">
      <c r="A1196" s="10"/>
      <c r="B1196" s="11"/>
      <c r="F1196" s="13"/>
      <c r="G1196" s="14"/>
      <c r="I1196" s="15"/>
      <c r="J1196" s="16"/>
      <c r="AE1196" s="11"/>
      <c r="AF1196" t="b">
        <v>0</v>
      </c>
      <c r="AG1196" s="18"/>
    </row>
    <row r="1197" spans="1:33" ht="12.75">
      <c r="A1197" s="10"/>
      <c r="B1197" s="11"/>
      <c r="F1197" s="13"/>
      <c r="G1197" s="14"/>
      <c r="I1197" s="15"/>
      <c r="J1197" s="16"/>
      <c r="AE1197" s="11"/>
      <c r="AF1197" t="b">
        <v>0</v>
      </c>
      <c r="AG1197" s="18"/>
    </row>
    <row r="1198" spans="1:33" ht="12.75">
      <c r="A1198" s="10"/>
      <c r="B1198" s="11"/>
      <c r="F1198" s="13"/>
      <c r="G1198" s="14"/>
      <c r="I1198" s="15"/>
      <c r="J1198" s="16"/>
      <c r="AE1198" s="11"/>
      <c r="AF1198" t="b">
        <v>0</v>
      </c>
      <c r="AG1198" s="18"/>
    </row>
    <row r="1199" spans="1:33" ht="12.75">
      <c r="A1199" s="10"/>
      <c r="B1199" s="11"/>
      <c r="F1199" s="13"/>
      <c r="G1199" s="14"/>
      <c r="I1199" s="15"/>
      <c r="J1199" s="16"/>
      <c r="AE1199" s="11"/>
      <c r="AF1199" t="b">
        <v>0</v>
      </c>
      <c r="AG1199" s="18"/>
    </row>
    <row r="1200" spans="1:33" ht="12.75">
      <c r="A1200" s="10"/>
      <c r="B1200" s="11"/>
      <c r="F1200" s="13"/>
      <c r="G1200" s="14"/>
      <c r="I1200" s="15"/>
      <c r="J1200" s="16"/>
      <c r="AE1200" s="11"/>
      <c r="AF1200" t="b">
        <v>0</v>
      </c>
      <c r="AG1200" s="18"/>
    </row>
    <row r="1201" spans="1:33" ht="12.75">
      <c r="A1201" s="10"/>
      <c r="B1201" s="11"/>
      <c r="F1201" s="13"/>
      <c r="G1201" s="14"/>
      <c r="I1201" s="15"/>
      <c r="J1201" s="16"/>
      <c r="AE1201" s="11"/>
      <c r="AF1201" t="b">
        <v>0</v>
      </c>
      <c r="AG1201" s="18"/>
    </row>
    <row r="1202" spans="1:33" ht="12.75">
      <c r="B1202" s="11"/>
      <c r="F1202" s="13"/>
      <c r="G1202" s="14"/>
      <c r="I1202" s="15"/>
      <c r="AE1202" s="11"/>
      <c r="AG1202" s="18"/>
    </row>
    <row r="1203" spans="1:33" ht="12.75">
      <c r="B1203" s="11"/>
      <c r="F1203" s="13"/>
      <c r="G1203" s="14"/>
      <c r="I1203" s="15"/>
      <c r="AE1203" s="11"/>
      <c r="AG1203" s="18"/>
    </row>
    <row r="1204" spans="1:33" ht="12.75">
      <c r="B1204" s="11"/>
      <c r="F1204" s="13"/>
      <c r="G1204" s="14"/>
      <c r="I1204" s="15"/>
      <c r="AE1204" s="11"/>
      <c r="AG1204" s="18"/>
    </row>
    <row r="1205" spans="1:33" ht="12.75">
      <c r="B1205" s="11"/>
      <c r="F1205" s="13"/>
      <c r="G1205" s="14"/>
      <c r="I1205" s="15"/>
      <c r="AE1205" s="11"/>
      <c r="AG1205" s="18"/>
    </row>
    <row r="1206" spans="1:33" ht="12.75">
      <c r="B1206" s="11"/>
      <c r="F1206" s="13"/>
      <c r="G1206" s="14"/>
      <c r="I1206" s="15"/>
      <c r="AE1206" s="11"/>
      <c r="AG1206" s="18"/>
    </row>
    <row r="1207" spans="1:33" ht="12.75">
      <c r="B1207" s="11"/>
      <c r="F1207" s="13"/>
      <c r="G1207" s="14"/>
      <c r="I1207" s="15"/>
      <c r="AE1207" s="11"/>
      <c r="AG1207" s="18"/>
    </row>
    <row r="1208" spans="1:33" ht="12.75">
      <c r="B1208" s="11"/>
      <c r="F1208" s="13"/>
      <c r="G1208" s="14"/>
      <c r="I1208" s="15"/>
      <c r="AE1208" s="11"/>
      <c r="AG1208" s="18"/>
    </row>
    <row r="1209" spans="1:33" ht="12.75">
      <c r="B1209" s="11"/>
      <c r="F1209" s="13"/>
      <c r="G1209" s="14"/>
      <c r="I1209" s="15"/>
      <c r="AE1209" s="11"/>
      <c r="AG1209" s="18"/>
    </row>
    <row r="1210" spans="1:33" ht="12.75">
      <c r="B1210" s="11"/>
      <c r="F1210" s="13"/>
      <c r="G1210" s="14"/>
      <c r="I1210" s="15"/>
      <c r="AE1210" s="11"/>
      <c r="AG1210" s="18"/>
    </row>
    <row r="1211" spans="1:33" ht="12.75">
      <c r="B1211" s="11"/>
      <c r="F1211" s="13"/>
      <c r="G1211" s="14"/>
      <c r="I1211" s="15"/>
      <c r="AE1211" s="11"/>
      <c r="AG1211" s="18"/>
    </row>
    <row r="1212" spans="1:33" ht="12.75">
      <c r="B1212" s="11"/>
      <c r="F1212" s="13"/>
      <c r="G1212" s="14"/>
      <c r="I1212" s="15"/>
      <c r="AE1212" s="11"/>
      <c r="AG1212" s="18"/>
    </row>
    <row r="1213" spans="1:33" ht="12.75">
      <c r="B1213" s="11"/>
      <c r="F1213" s="13"/>
      <c r="G1213" s="14"/>
      <c r="I1213" s="15"/>
      <c r="AE1213" s="11"/>
      <c r="AG1213" s="18"/>
    </row>
    <row r="1214" spans="1:33" ht="12.75">
      <c r="B1214" s="11"/>
      <c r="F1214" s="13"/>
      <c r="G1214" s="14"/>
      <c r="I1214" s="15"/>
      <c r="AE1214" s="11"/>
      <c r="AG1214" s="18"/>
    </row>
    <row r="1215" spans="1:33" ht="12.75">
      <c r="B1215" s="11"/>
      <c r="F1215" s="13"/>
      <c r="G1215" s="14"/>
      <c r="I1215" s="15"/>
      <c r="AE1215" s="11"/>
      <c r="AG1215" s="18"/>
    </row>
    <row r="1216" spans="1:33" ht="12.75">
      <c r="B1216" s="11"/>
      <c r="F1216" s="13"/>
      <c r="G1216" s="14"/>
      <c r="I1216" s="15"/>
      <c r="AE1216" s="11"/>
      <c r="AG1216" s="18"/>
    </row>
    <row r="1217" spans="2:33" ht="12.75">
      <c r="B1217" s="11"/>
      <c r="F1217" s="13"/>
      <c r="G1217" s="14"/>
      <c r="I1217" s="15"/>
      <c r="AE1217" s="11"/>
      <c r="AG1217" s="18"/>
    </row>
    <row r="1218" spans="2:33" ht="12.75">
      <c r="B1218" s="11"/>
      <c r="F1218" s="13"/>
      <c r="G1218" s="14"/>
      <c r="I1218" s="15"/>
      <c r="AE1218" s="11"/>
      <c r="AG1218" s="18"/>
    </row>
    <row r="1219" spans="2:33" ht="12.75">
      <c r="B1219" s="11"/>
      <c r="F1219" s="13"/>
      <c r="G1219" s="14"/>
      <c r="I1219" s="15"/>
      <c r="AE1219" s="11"/>
      <c r="AG1219" s="18"/>
    </row>
    <row r="1220" spans="2:33" ht="12.75">
      <c r="B1220" s="11"/>
      <c r="F1220" s="13"/>
      <c r="G1220" s="14"/>
      <c r="I1220" s="15"/>
      <c r="AE1220" s="11"/>
      <c r="AG1220" s="18"/>
    </row>
    <row r="1221" spans="2:33" ht="12.75">
      <c r="B1221" s="11"/>
      <c r="F1221" s="13"/>
      <c r="G1221" s="14"/>
      <c r="I1221" s="15"/>
      <c r="AE1221" s="11"/>
      <c r="AG1221" s="18"/>
    </row>
    <row r="1222" spans="2:33" ht="12.75">
      <c r="B1222" s="11"/>
      <c r="F1222" s="13"/>
      <c r="G1222" s="14"/>
      <c r="I1222" s="15"/>
      <c r="AE1222" s="11"/>
      <c r="AG1222" s="18"/>
    </row>
    <row r="1223" spans="2:33" ht="12.75">
      <c r="B1223" s="11"/>
      <c r="F1223" s="13"/>
      <c r="G1223" s="14"/>
      <c r="I1223" s="15"/>
      <c r="AE1223" s="11"/>
      <c r="AG1223" s="18"/>
    </row>
    <row r="1224" spans="2:33" ht="12.75">
      <c r="B1224" s="11"/>
      <c r="F1224" s="13"/>
      <c r="G1224" s="14"/>
      <c r="I1224" s="15"/>
      <c r="AE1224" s="11"/>
      <c r="AG1224" s="18"/>
    </row>
    <row r="1225" spans="2:33" ht="12.75">
      <c r="B1225" s="11"/>
      <c r="F1225" s="13"/>
      <c r="G1225" s="14"/>
      <c r="I1225" s="15"/>
      <c r="AE1225" s="11"/>
      <c r="AG1225" s="18"/>
    </row>
    <row r="1226" spans="2:33" ht="12.75">
      <c r="B1226" s="11"/>
      <c r="F1226" s="13"/>
      <c r="G1226" s="14"/>
      <c r="I1226" s="15"/>
      <c r="AE1226" s="11"/>
      <c r="AG1226" s="18"/>
    </row>
    <row r="1227" spans="2:33" ht="12.75">
      <c r="B1227" s="11"/>
      <c r="F1227" s="13"/>
      <c r="G1227" s="14"/>
      <c r="I1227" s="15"/>
      <c r="AE1227" s="11"/>
      <c r="AG1227" s="18"/>
    </row>
    <row r="1228" spans="2:33" ht="12.75">
      <c r="B1228" s="11"/>
      <c r="F1228" s="13"/>
      <c r="G1228" s="14"/>
      <c r="I1228" s="15"/>
      <c r="AE1228" s="11"/>
      <c r="AG1228" s="18"/>
    </row>
    <row r="1229" spans="2:33" ht="12.75">
      <c r="B1229" s="11"/>
      <c r="F1229" s="13"/>
      <c r="G1229" s="14"/>
      <c r="I1229" s="15"/>
      <c r="AE1229" s="11"/>
      <c r="AG1229" s="18"/>
    </row>
    <row r="1230" spans="2:33" ht="12.75">
      <c r="B1230" s="11"/>
      <c r="F1230" s="13"/>
      <c r="G1230" s="14"/>
      <c r="I1230" s="15"/>
      <c r="AE1230" s="11"/>
      <c r="AG1230" s="18"/>
    </row>
    <row r="1231" spans="2:33" ht="12.75">
      <c r="B1231" s="11"/>
      <c r="F1231" s="13"/>
      <c r="G1231" s="14"/>
      <c r="I1231" s="15"/>
      <c r="AE1231" s="11"/>
      <c r="AG1231" s="18"/>
    </row>
    <row r="1232" spans="2:33" ht="12.75">
      <c r="B1232" s="11"/>
      <c r="F1232" s="13"/>
      <c r="G1232" s="14"/>
      <c r="I1232" s="15"/>
      <c r="AE1232" s="11"/>
      <c r="AG1232" s="18"/>
    </row>
    <row r="1233" spans="2:33" ht="12.75">
      <c r="B1233" s="11"/>
      <c r="F1233" s="13"/>
      <c r="G1233" s="14"/>
      <c r="I1233" s="15"/>
      <c r="AE1233" s="11"/>
      <c r="AG1233" s="18"/>
    </row>
    <row r="1234" spans="2:33" ht="12.75">
      <c r="B1234" s="11"/>
      <c r="F1234" s="13"/>
      <c r="G1234" s="14"/>
      <c r="I1234" s="15"/>
      <c r="AE1234" s="11"/>
      <c r="AG1234" s="18"/>
    </row>
    <row r="1235" spans="2:33" ht="12.75">
      <c r="B1235" s="11"/>
      <c r="F1235" s="13"/>
      <c r="G1235" s="14"/>
      <c r="I1235" s="15"/>
      <c r="AE1235" s="11"/>
      <c r="AG1235" s="18"/>
    </row>
    <row r="1236" spans="2:33" ht="12.75">
      <c r="B1236" s="11"/>
      <c r="F1236" s="13"/>
      <c r="G1236" s="14"/>
      <c r="I1236" s="15"/>
      <c r="AE1236" s="11"/>
      <c r="AG1236" s="18"/>
    </row>
    <row r="1237" spans="2:33" ht="12.75">
      <c r="B1237" s="11"/>
      <c r="F1237" s="13"/>
      <c r="G1237" s="14"/>
      <c r="I1237" s="15"/>
      <c r="AE1237" s="11"/>
      <c r="AG1237" s="18"/>
    </row>
    <row r="1238" spans="2:33" ht="12.75">
      <c r="B1238" s="11"/>
      <c r="F1238" s="13"/>
      <c r="G1238" s="14"/>
      <c r="I1238" s="15"/>
      <c r="AE1238" s="11"/>
      <c r="AG1238" s="18"/>
    </row>
    <row r="1239" spans="2:33" ht="12.75">
      <c r="B1239" s="11"/>
      <c r="F1239" s="13"/>
      <c r="G1239" s="14"/>
      <c r="I1239" s="15"/>
      <c r="AE1239" s="11"/>
      <c r="AG1239" s="18"/>
    </row>
    <row r="1240" spans="2:33" ht="12.75">
      <c r="B1240" s="11"/>
      <c r="F1240" s="13"/>
      <c r="G1240" s="14"/>
      <c r="I1240" s="15"/>
      <c r="AE1240" s="11"/>
      <c r="AG1240" s="18"/>
    </row>
    <row r="1241" spans="2:33" ht="12.75">
      <c r="B1241" s="11"/>
      <c r="F1241" s="13"/>
      <c r="G1241" s="14"/>
      <c r="I1241" s="15"/>
      <c r="AE1241" s="11"/>
      <c r="AG1241" s="18"/>
    </row>
    <row r="1242" spans="2:33" ht="12.75">
      <c r="B1242" s="11"/>
      <c r="F1242" s="13"/>
      <c r="G1242" s="14"/>
      <c r="I1242" s="15"/>
      <c r="AE1242" s="11"/>
      <c r="AG1242" s="18"/>
    </row>
    <row r="1243" spans="2:33" ht="12.75">
      <c r="B1243" s="11"/>
      <c r="F1243" s="13"/>
      <c r="G1243" s="14"/>
      <c r="I1243" s="15"/>
      <c r="AE1243" s="11"/>
      <c r="AG1243" s="18"/>
    </row>
    <row r="1244" spans="2:33" ht="12.75">
      <c r="B1244" s="11"/>
      <c r="F1244" s="13"/>
      <c r="G1244" s="14"/>
      <c r="I1244" s="15"/>
      <c r="AE1244" s="11"/>
      <c r="AG1244" s="18"/>
    </row>
    <row r="1245" spans="2:33" ht="12.75">
      <c r="B1245" s="11"/>
      <c r="F1245" s="13"/>
      <c r="G1245" s="14"/>
      <c r="I1245" s="15"/>
      <c r="AE1245" s="11"/>
      <c r="AG1245" s="18"/>
    </row>
    <row r="1246" spans="2:33" ht="12.75">
      <c r="B1246" s="11"/>
      <c r="F1246" s="13"/>
      <c r="G1246" s="14"/>
      <c r="I1246" s="15"/>
      <c r="AE1246" s="11"/>
      <c r="AG1246" s="18"/>
    </row>
    <row r="1247" spans="2:33" ht="12.75">
      <c r="B1247" s="11"/>
      <c r="F1247" s="13"/>
      <c r="G1247" s="14"/>
      <c r="I1247" s="15"/>
      <c r="AE1247" s="11"/>
      <c r="AG1247" s="18"/>
    </row>
    <row r="1248" spans="2:33" ht="12.75">
      <c r="B1248" s="11"/>
      <c r="F1248" s="13"/>
      <c r="G1248" s="14"/>
      <c r="I1248" s="15"/>
      <c r="AE1248" s="11"/>
      <c r="AG1248" s="18"/>
    </row>
    <row r="1249" spans="2:33" ht="12.75">
      <c r="B1249" s="11"/>
      <c r="F1249" s="13"/>
      <c r="G1249" s="14"/>
      <c r="I1249" s="15"/>
      <c r="AE1249" s="11"/>
      <c r="AG1249" s="18"/>
    </row>
    <row r="1250" spans="2:33" ht="12.75">
      <c r="B1250" s="11"/>
      <c r="F1250" s="13"/>
      <c r="G1250" s="14"/>
      <c r="I1250" s="15"/>
      <c r="AE1250" s="11"/>
      <c r="AG1250" s="18"/>
    </row>
    <row r="1251" spans="2:33" ht="12.75">
      <c r="B1251" s="11"/>
      <c r="F1251" s="13"/>
      <c r="G1251" s="14"/>
      <c r="I1251" s="15"/>
      <c r="AE1251" s="11"/>
      <c r="AG1251" s="18"/>
    </row>
    <row r="1252" spans="2:33" ht="12.75">
      <c r="B1252" s="11"/>
      <c r="F1252" s="13"/>
      <c r="G1252" s="14"/>
      <c r="I1252" s="15"/>
      <c r="AE1252" s="11"/>
      <c r="AG1252" s="18"/>
    </row>
    <row r="1253" spans="2:33" ht="12.75">
      <c r="B1253" s="11"/>
      <c r="F1253" s="13"/>
      <c r="G1253" s="14"/>
      <c r="I1253" s="15"/>
      <c r="AE1253" s="11"/>
      <c r="AG1253" s="18"/>
    </row>
    <row r="1254" spans="2:33" ht="12.75">
      <c r="B1254" s="11"/>
      <c r="F1254" s="13"/>
      <c r="G1254" s="14"/>
      <c r="I1254" s="15"/>
      <c r="AE1254" s="11"/>
      <c r="AG1254" s="18"/>
    </row>
    <row r="1255" spans="2:33" ht="12.75">
      <c r="B1255" s="11"/>
      <c r="F1255" s="13"/>
      <c r="G1255" s="14"/>
      <c r="I1255" s="15"/>
      <c r="AE1255" s="11"/>
      <c r="AG1255" s="18"/>
    </row>
    <row r="1256" spans="2:33" ht="12.75">
      <c r="B1256" s="11"/>
      <c r="F1256" s="13"/>
      <c r="G1256" s="14"/>
      <c r="I1256" s="15"/>
      <c r="AE1256" s="11"/>
      <c r="AG1256" s="18"/>
    </row>
    <row r="1257" spans="2:33" ht="12.75">
      <c r="B1257" s="11"/>
      <c r="F1257" s="13"/>
      <c r="G1257" s="14"/>
      <c r="I1257" s="15"/>
      <c r="AE1257" s="11"/>
      <c r="AG1257" s="18"/>
    </row>
    <row r="1258" spans="2:33" ht="12.75">
      <c r="B1258" s="11"/>
      <c r="F1258" s="13"/>
      <c r="G1258" s="14"/>
      <c r="I1258" s="15"/>
      <c r="AE1258" s="11"/>
      <c r="AG1258" s="18"/>
    </row>
    <row r="1259" spans="2:33" ht="12.75">
      <c r="B1259" s="11"/>
      <c r="F1259" s="13"/>
      <c r="G1259" s="14"/>
      <c r="I1259" s="15"/>
      <c r="AE1259" s="11"/>
      <c r="AG1259" s="18"/>
    </row>
    <row r="1260" spans="2:33" ht="12.75">
      <c r="B1260" s="11"/>
      <c r="F1260" s="13"/>
      <c r="G1260" s="14"/>
      <c r="I1260" s="15"/>
      <c r="AE1260" s="11"/>
      <c r="AG1260" s="18"/>
    </row>
    <row r="1261" spans="2:33" ht="12.75">
      <c r="B1261" s="11"/>
      <c r="F1261" s="13"/>
      <c r="G1261" s="14"/>
      <c r="I1261" s="15"/>
      <c r="AE1261" s="11"/>
      <c r="AG1261" s="18"/>
    </row>
    <row r="1262" spans="2:33" ht="12.75">
      <c r="B1262" s="11"/>
      <c r="F1262" s="13"/>
      <c r="G1262" s="14"/>
      <c r="I1262" s="15"/>
      <c r="AE1262" s="11"/>
      <c r="AG1262" s="18"/>
    </row>
    <row r="1263" spans="2:33" ht="12.75">
      <c r="B1263" s="11"/>
      <c r="F1263" s="13"/>
      <c r="G1263" s="14"/>
      <c r="I1263" s="15"/>
      <c r="AE1263" s="11"/>
      <c r="AG1263" s="18"/>
    </row>
    <row r="1264" spans="2:33" ht="12.75">
      <c r="B1264" s="11"/>
      <c r="F1264" s="13"/>
      <c r="G1264" s="14"/>
      <c r="I1264" s="15"/>
      <c r="AE1264" s="11"/>
      <c r="AG1264" s="18"/>
    </row>
    <row r="1265" spans="2:33" ht="12.75">
      <c r="B1265" s="11"/>
      <c r="F1265" s="13"/>
      <c r="G1265" s="14"/>
      <c r="I1265" s="15"/>
      <c r="AE1265" s="11"/>
      <c r="AG1265" s="18"/>
    </row>
    <row r="1266" spans="2:33" ht="12.75">
      <c r="B1266" s="11"/>
      <c r="F1266" s="13"/>
      <c r="G1266" s="14"/>
      <c r="I1266" s="15"/>
      <c r="AE1266" s="11"/>
      <c r="AG1266" s="18"/>
    </row>
    <row r="1267" spans="2:33" ht="12.75">
      <c r="B1267" s="11"/>
      <c r="F1267" s="13"/>
      <c r="G1267" s="14"/>
      <c r="I1267" s="15"/>
      <c r="AE1267" s="11"/>
      <c r="AG1267" s="18"/>
    </row>
    <row r="1268" spans="2:33" ht="12.75">
      <c r="B1268" s="11"/>
      <c r="F1268" s="13"/>
      <c r="G1268" s="14"/>
      <c r="I1268" s="15"/>
      <c r="AE1268" s="11"/>
      <c r="AG1268" s="18"/>
    </row>
    <row r="1269" spans="2:33" ht="12.75">
      <c r="B1269" s="11"/>
      <c r="F1269" s="13"/>
      <c r="G1269" s="14"/>
      <c r="I1269" s="15"/>
      <c r="AE1269" s="11"/>
      <c r="AG1269" s="18"/>
    </row>
    <row r="1270" spans="2:33" ht="12.75">
      <c r="B1270" s="11"/>
      <c r="F1270" s="13"/>
      <c r="G1270" s="14"/>
      <c r="I1270" s="15"/>
      <c r="AE1270" s="11"/>
      <c r="AG1270" s="18"/>
    </row>
    <row r="1271" spans="2:33" ht="12.75">
      <c r="B1271" s="11"/>
      <c r="F1271" s="13"/>
      <c r="G1271" s="14"/>
      <c r="I1271" s="15"/>
      <c r="AE1271" s="11"/>
      <c r="AG1271" s="18"/>
    </row>
    <row r="1272" spans="2:33" ht="12.75">
      <c r="B1272" s="11"/>
      <c r="F1272" s="13"/>
      <c r="G1272" s="14"/>
      <c r="I1272" s="15"/>
      <c r="AE1272" s="11"/>
      <c r="AG1272" s="18"/>
    </row>
    <row r="1273" spans="2:33" ht="12.75">
      <c r="B1273" s="11"/>
      <c r="F1273" s="13"/>
      <c r="G1273" s="14"/>
      <c r="I1273" s="15"/>
      <c r="AE1273" s="11"/>
      <c r="AG1273" s="18"/>
    </row>
    <row r="1274" spans="2:33" ht="12.75">
      <c r="B1274" s="11"/>
      <c r="F1274" s="13"/>
      <c r="G1274" s="14"/>
      <c r="I1274" s="15"/>
      <c r="AE1274" s="11"/>
      <c r="AG1274" s="18"/>
    </row>
    <row r="1275" spans="2:33" ht="12.75">
      <c r="B1275" s="11"/>
      <c r="F1275" s="13"/>
      <c r="G1275" s="14"/>
      <c r="I1275" s="15"/>
      <c r="AE1275" s="11"/>
      <c r="AG1275" s="18"/>
    </row>
    <row r="1276" spans="2:33" ht="12.75">
      <c r="B1276" s="11"/>
      <c r="F1276" s="13"/>
      <c r="G1276" s="14"/>
      <c r="I1276" s="15"/>
      <c r="AE1276" s="11"/>
      <c r="AG1276" s="18"/>
    </row>
    <row r="1277" spans="2:33" ht="12.75">
      <c r="B1277" s="11"/>
      <c r="F1277" s="13"/>
      <c r="G1277" s="14"/>
      <c r="I1277" s="15"/>
      <c r="AE1277" s="11"/>
      <c r="AG1277" s="18"/>
    </row>
    <row r="1278" spans="2:33" ht="12.75">
      <c r="B1278" s="11"/>
      <c r="F1278" s="13"/>
      <c r="G1278" s="14"/>
      <c r="I1278" s="15"/>
      <c r="AE1278" s="11"/>
      <c r="AG1278" s="18"/>
    </row>
    <row r="1279" spans="2:33" ht="12.75">
      <c r="B1279" s="11"/>
      <c r="F1279" s="13"/>
      <c r="G1279" s="14"/>
      <c r="I1279" s="15"/>
      <c r="AE1279" s="11"/>
      <c r="AG1279" s="18"/>
    </row>
    <row r="1280" spans="2:33" ht="12.75">
      <c r="B1280" s="11"/>
      <c r="F1280" s="13"/>
      <c r="G1280" s="14"/>
      <c r="I1280" s="15"/>
      <c r="AE1280" s="11"/>
      <c r="AG1280" s="18"/>
    </row>
    <row r="1281" spans="2:33" ht="12.75">
      <c r="B1281" s="11"/>
      <c r="F1281" s="13"/>
      <c r="G1281" s="14"/>
      <c r="I1281" s="15"/>
      <c r="AE1281" s="11"/>
      <c r="AG1281" s="18"/>
    </row>
    <row r="1282" spans="2:33" ht="12.75">
      <c r="B1282" s="11"/>
      <c r="F1282" s="13"/>
      <c r="G1282" s="14"/>
      <c r="I1282" s="15"/>
      <c r="AE1282" s="11"/>
      <c r="AG1282" s="18"/>
    </row>
    <row r="1283" spans="2:33" ht="12.75">
      <c r="B1283" s="11"/>
      <c r="F1283" s="13"/>
      <c r="G1283" s="14"/>
      <c r="I1283" s="15"/>
      <c r="AE1283" s="11"/>
      <c r="AG1283" s="18"/>
    </row>
    <row r="1284" spans="2:33" ht="12.75">
      <c r="B1284" s="11"/>
      <c r="F1284" s="13"/>
      <c r="G1284" s="14"/>
      <c r="I1284" s="15"/>
      <c r="AE1284" s="11"/>
      <c r="AG1284" s="18"/>
    </row>
    <row r="1285" spans="2:33" ht="12.75">
      <c r="B1285" s="11"/>
      <c r="F1285" s="13"/>
      <c r="G1285" s="14"/>
      <c r="I1285" s="15"/>
      <c r="AE1285" s="11"/>
      <c r="AG1285" s="18"/>
    </row>
    <row r="1286" spans="2:33" ht="12.75">
      <c r="B1286" s="11"/>
      <c r="F1286" s="13"/>
      <c r="G1286" s="14"/>
      <c r="I1286" s="15"/>
      <c r="AE1286" s="11"/>
      <c r="AG1286" s="18"/>
    </row>
    <row r="1287" spans="2:33" ht="12.75">
      <c r="B1287" s="11"/>
      <c r="F1287" s="13"/>
      <c r="G1287" s="14"/>
      <c r="I1287" s="15"/>
      <c r="AE1287" s="11"/>
      <c r="AG1287" s="18"/>
    </row>
    <row r="1288" spans="2:33" ht="12.75">
      <c r="B1288" s="11"/>
      <c r="F1288" s="13"/>
      <c r="G1288" s="14"/>
      <c r="I1288" s="15"/>
      <c r="AE1288" s="11"/>
      <c r="AG1288" s="18"/>
    </row>
    <row r="1289" spans="2:33" ht="12.75">
      <c r="B1289" s="11"/>
      <c r="F1289" s="13"/>
      <c r="G1289" s="14"/>
      <c r="I1289" s="15"/>
      <c r="AE1289" s="11"/>
      <c r="AG1289" s="18"/>
    </row>
    <row r="1290" spans="2:33" ht="12.75">
      <c r="B1290" s="11"/>
      <c r="F1290" s="13"/>
      <c r="G1290" s="14"/>
      <c r="I1290" s="15"/>
      <c r="AE1290" s="11"/>
      <c r="AG1290" s="18"/>
    </row>
    <row r="1291" spans="2:33" ht="12.75">
      <c r="B1291" s="11"/>
      <c r="F1291" s="13"/>
      <c r="G1291" s="14"/>
      <c r="I1291" s="15"/>
      <c r="AE1291" s="11"/>
      <c r="AG1291" s="18"/>
    </row>
    <row r="1292" spans="2:33" ht="12.75">
      <c r="B1292" s="11"/>
      <c r="F1292" s="13"/>
      <c r="G1292" s="14"/>
      <c r="I1292" s="15"/>
      <c r="AE1292" s="11"/>
      <c r="AG1292" s="18"/>
    </row>
    <row r="1293" spans="2:33" ht="12.75">
      <c r="B1293" s="11"/>
      <c r="F1293" s="13"/>
      <c r="G1293" s="14"/>
      <c r="I1293" s="15"/>
      <c r="AE1293" s="11"/>
      <c r="AG1293" s="18"/>
    </row>
    <row r="1294" spans="2:33" ht="12.75">
      <c r="B1294" s="11"/>
      <c r="F1294" s="13"/>
      <c r="G1294" s="14"/>
      <c r="I1294" s="15"/>
      <c r="AE1294" s="11"/>
      <c r="AG1294" s="18"/>
    </row>
    <row r="1295" spans="2:33" ht="12.75">
      <c r="B1295" s="11"/>
      <c r="F1295" s="13"/>
      <c r="G1295" s="14"/>
      <c r="I1295" s="15"/>
      <c r="AE1295" s="11"/>
      <c r="AG1295" s="18"/>
    </row>
    <row r="1296" spans="2:33" ht="12.75">
      <c r="B1296" s="11"/>
      <c r="F1296" s="13"/>
      <c r="G1296" s="14"/>
      <c r="I1296" s="15"/>
      <c r="AE1296" s="11"/>
      <c r="AG1296" s="18"/>
    </row>
    <row r="1297" spans="2:33" ht="12.75">
      <c r="B1297" s="11"/>
      <c r="F1297" s="13"/>
      <c r="G1297" s="14"/>
      <c r="I1297" s="15"/>
      <c r="AE1297" s="11"/>
      <c r="AG1297" s="18"/>
    </row>
    <row r="1298" spans="2:33" ht="12.75">
      <c r="B1298" s="11"/>
      <c r="F1298" s="13"/>
      <c r="G1298" s="14"/>
      <c r="I1298" s="15"/>
      <c r="AE1298" s="11"/>
      <c r="AG1298" s="18"/>
    </row>
    <row r="1299" spans="2:33" ht="12.75">
      <c r="B1299" s="11"/>
      <c r="F1299" s="13"/>
      <c r="G1299" s="14"/>
      <c r="I1299" s="15"/>
      <c r="AE1299" s="11"/>
      <c r="AG1299" s="18"/>
    </row>
    <row r="1300" spans="2:33" ht="12.75">
      <c r="B1300" s="11"/>
      <c r="F1300" s="13"/>
      <c r="G1300" s="14"/>
      <c r="I1300" s="15"/>
      <c r="AE1300" s="11"/>
      <c r="AG1300" s="18"/>
    </row>
    <row r="1301" spans="2:33" ht="12.75">
      <c r="B1301" s="11"/>
      <c r="F1301" s="13"/>
      <c r="G1301" s="14"/>
      <c r="I1301" s="15"/>
      <c r="AE1301" s="11"/>
      <c r="AG1301" s="18"/>
    </row>
    <row r="1302" spans="2:33" ht="12.75">
      <c r="B1302" s="11"/>
      <c r="F1302" s="13"/>
      <c r="G1302" s="14"/>
      <c r="I1302" s="15"/>
      <c r="AE1302" s="11"/>
      <c r="AG1302" s="18"/>
    </row>
    <row r="1303" spans="2:33" ht="12.75">
      <c r="B1303" s="11"/>
      <c r="F1303" s="13"/>
      <c r="G1303" s="14"/>
      <c r="I1303" s="15"/>
      <c r="AE1303" s="11"/>
      <c r="AG1303" s="18"/>
    </row>
    <row r="1304" spans="2:33" ht="12.75">
      <c r="B1304" s="11"/>
      <c r="F1304" s="13"/>
      <c r="G1304" s="14"/>
      <c r="I1304" s="15"/>
      <c r="AE1304" s="11"/>
      <c r="AG1304" s="18"/>
    </row>
    <row r="1305" spans="2:33" ht="12.75">
      <c r="B1305" s="11"/>
      <c r="F1305" s="13"/>
      <c r="G1305" s="14"/>
      <c r="I1305" s="15"/>
      <c r="AE1305" s="11"/>
      <c r="AG1305" s="18"/>
    </row>
    <row r="1306" spans="2:33" ht="12.75">
      <c r="B1306" s="11"/>
      <c r="F1306" s="13"/>
      <c r="G1306" s="14"/>
      <c r="I1306" s="15"/>
      <c r="AE1306" s="11"/>
      <c r="AG1306" s="18"/>
    </row>
    <row r="1307" spans="2:33" ht="12.75">
      <c r="B1307" s="11"/>
      <c r="F1307" s="13"/>
      <c r="G1307" s="14"/>
      <c r="I1307" s="15"/>
      <c r="AE1307" s="11"/>
      <c r="AG1307" s="18"/>
    </row>
    <row r="1308" spans="2:33" ht="12.75">
      <c r="B1308" s="11"/>
      <c r="F1308" s="13"/>
      <c r="G1308" s="14"/>
      <c r="I1308" s="15"/>
      <c r="AE1308" s="11"/>
      <c r="AG1308" s="18"/>
    </row>
    <row r="1309" spans="2:33" ht="12.75">
      <c r="B1309" s="11"/>
      <c r="F1309" s="13"/>
      <c r="G1309" s="14"/>
      <c r="I1309" s="15"/>
      <c r="AE1309" s="11"/>
      <c r="AG1309" s="18"/>
    </row>
    <row r="1310" spans="2:33" ht="12.75">
      <c r="B1310" s="11"/>
      <c r="F1310" s="13"/>
      <c r="G1310" s="14"/>
      <c r="I1310" s="15"/>
      <c r="AE1310" s="11"/>
      <c r="AG1310" s="18"/>
    </row>
    <row r="1311" spans="2:33" ht="12.75">
      <c r="B1311" s="11"/>
      <c r="F1311" s="13"/>
      <c r="G1311" s="14"/>
      <c r="I1311" s="15"/>
      <c r="AE1311" s="11"/>
      <c r="AG1311" s="18"/>
    </row>
    <row r="1312" spans="2:33" ht="12.75">
      <c r="B1312" s="11"/>
      <c r="F1312" s="13"/>
      <c r="G1312" s="14"/>
      <c r="I1312" s="15"/>
      <c r="AE1312" s="11"/>
      <c r="AG1312" s="18"/>
    </row>
    <row r="1313" spans="2:33" ht="12.75">
      <c r="B1313" s="11"/>
      <c r="F1313" s="13"/>
      <c r="G1313" s="14"/>
      <c r="I1313" s="15"/>
      <c r="AE1313" s="11"/>
      <c r="AG1313" s="18"/>
    </row>
    <row r="1314" spans="2:33" ht="12.75">
      <c r="B1314" s="11"/>
      <c r="F1314" s="13"/>
      <c r="G1314" s="14"/>
      <c r="I1314" s="15"/>
      <c r="AE1314" s="11"/>
      <c r="AG1314" s="18"/>
    </row>
    <row r="1315" spans="2:33" ht="12.75">
      <c r="B1315" s="11"/>
      <c r="F1315" s="13"/>
      <c r="G1315" s="14"/>
      <c r="I1315" s="15"/>
      <c r="AE1315" s="11"/>
      <c r="AG1315" s="18"/>
    </row>
    <row r="1316" spans="2:33" ht="12.75">
      <c r="B1316" s="11"/>
      <c r="F1316" s="13"/>
      <c r="G1316" s="14"/>
      <c r="I1316" s="15"/>
      <c r="AE1316" s="11"/>
      <c r="AG1316" s="18"/>
    </row>
    <row r="1317" spans="2:33" ht="12.75">
      <c r="B1317" s="11"/>
      <c r="F1317" s="13"/>
      <c r="G1317" s="14"/>
      <c r="I1317" s="15"/>
      <c r="AE1317" s="11"/>
      <c r="AG1317" s="18"/>
    </row>
    <row r="1318" spans="2:33" ht="12.75">
      <c r="B1318" s="11"/>
      <c r="F1318" s="13"/>
      <c r="G1318" s="14"/>
      <c r="I1318" s="15"/>
      <c r="AE1318" s="11"/>
      <c r="AG1318" s="18"/>
    </row>
    <row r="1319" spans="2:33" ht="12.75">
      <c r="B1319" s="11"/>
      <c r="F1319" s="13"/>
      <c r="G1319" s="14"/>
      <c r="I1319" s="15"/>
      <c r="AE1319" s="11"/>
      <c r="AG1319" s="18"/>
    </row>
    <row r="1320" spans="2:33" ht="12.75">
      <c r="B1320" s="11"/>
      <c r="F1320" s="13"/>
      <c r="G1320" s="14"/>
      <c r="I1320" s="15"/>
      <c r="AE1320" s="11"/>
      <c r="AG1320" s="18"/>
    </row>
    <row r="1321" spans="2:33" ht="12.75">
      <c r="B1321" s="11"/>
      <c r="F1321" s="13"/>
      <c r="G1321" s="14"/>
      <c r="I1321" s="15"/>
      <c r="AE1321" s="11"/>
      <c r="AG1321" s="18"/>
    </row>
    <row r="1322" spans="2:33" ht="12.75">
      <c r="B1322" s="11"/>
      <c r="F1322" s="13"/>
      <c r="G1322" s="14"/>
      <c r="I1322" s="15"/>
      <c r="AE1322" s="11"/>
      <c r="AG1322" s="18"/>
    </row>
    <row r="1323" spans="2:33" ht="12.75">
      <c r="B1323" s="11"/>
      <c r="F1323" s="13"/>
      <c r="G1323" s="14"/>
      <c r="I1323" s="15"/>
      <c r="AE1323" s="11"/>
      <c r="AG1323" s="18"/>
    </row>
    <row r="1324" spans="2:33" ht="12.75">
      <c r="B1324" s="11"/>
      <c r="F1324" s="13"/>
      <c r="G1324" s="14"/>
      <c r="I1324" s="15"/>
      <c r="AE1324" s="11"/>
      <c r="AG1324" s="18"/>
    </row>
    <row r="1325" spans="2:33" ht="12.75">
      <c r="B1325" s="11"/>
      <c r="F1325" s="13"/>
      <c r="G1325" s="14"/>
      <c r="I1325" s="15"/>
      <c r="AE1325" s="11"/>
      <c r="AG1325" s="18"/>
    </row>
    <row r="1326" spans="2:33" ht="12.75">
      <c r="B1326" s="11"/>
      <c r="F1326" s="13"/>
      <c r="G1326" s="14"/>
      <c r="I1326" s="15"/>
      <c r="AE1326" s="11"/>
      <c r="AG1326" s="18"/>
    </row>
    <row r="1327" spans="2:33" ht="12.75">
      <c r="B1327" s="11"/>
      <c r="F1327" s="13"/>
      <c r="G1327" s="14"/>
      <c r="I1327" s="15"/>
      <c r="AE1327" s="11"/>
      <c r="AG1327" s="18"/>
    </row>
    <row r="1328" spans="2:33" ht="12.75">
      <c r="B1328" s="11"/>
      <c r="F1328" s="13"/>
      <c r="G1328" s="14"/>
      <c r="I1328" s="15"/>
      <c r="AE1328" s="11"/>
      <c r="AG1328" s="18"/>
    </row>
    <row r="1329" spans="2:33" ht="12.75">
      <c r="B1329" s="11"/>
      <c r="F1329" s="13"/>
      <c r="G1329" s="14"/>
      <c r="I1329" s="15"/>
      <c r="AE1329" s="11"/>
      <c r="AG1329" s="18"/>
    </row>
    <row r="1330" spans="2:33" ht="12.75">
      <c r="B1330" s="11"/>
      <c r="F1330" s="13"/>
      <c r="G1330" s="14"/>
      <c r="I1330" s="15"/>
      <c r="AE1330" s="11"/>
      <c r="AG1330" s="18"/>
    </row>
    <row r="1331" spans="2:33" ht="12.75">
      <c r="B1331" s="11"/>
      <c r="F1331" s="13"/>
      <c r="G1331" s="14"/>
      <c r="I1331" s="15"/>
      <c r="AE1331" s="11"/>
      <c r="AG1331" s="18"/>
    </row>
    <row r="1332" spans="2:33" ht="12.75">
      <c r="B1332" s="11"/>
      <c r="F1332" s="13"/>
      <c r="G1332" s="14"/>
      <c r="I1332" s="15"/>
      <c r="AE1332" s="11"/>
      <c r="AG1332" s="18"/>
    </row>
    <row r="1333" spans="2:33" ht="12.75">
      <c r="B1333" s="11"/>
      <c r="F1333" s="13"/>
      <c r="G1333" s="14"/>
      <c r="I1333" s="15"/>
      <c r="AE1333" s="11"/>
      <c r="AG1333" s="18"/>
    </row>
    <row r="1334" spans="2:33" ht="12.75">
      <c r="B1334" s="11"/>
      <c r="F1334" s="13"/>
      <c r="G1334" s="14"/>
      <c r="I1334" s="15"/>
      <c r="AE1334" s="11"/>
      <c r="AG1334" s="18"/>
    </row>
    <row r="1335" spans="2:33" ht="12.75">
      <c r="B1335" s="11"/>
      <c r="F1335" s="13"/>
      <c r="G1335" s="14"/>
      <c r="I1335" s="15"/>
      <c r="AE1335" s="11"/>
      <c r="AG1335" s="18"/>
    </row>
    <row r="1336" spans="2:33" ht="12.75">
      <c r="B1336" s="11"/>
      <c r="F1336" s="13"/>
      <c r="G1336" s="14"/>
      <c r="I1336" s="15"/>
      <c r="AE1336" s="11"/>
      <c r="AG1336" s="18"/>
    </row>
    <row r="1337" spans="2:33" ht="12.75">
      <c r="B1337" s="11"/>
      <c r="F1337" s="13"/>
      <c r="G1337" s="14"/>
      <c r="I1337" s="15"/>
      <c r="AE1337" s="11"/>
      <c r="AG1337" s="18"/>
    </row>
    <row r="1338" spans="2:33" ht="12.75">
      <c r="B1338" s="11"/>
      <c r="F1338" s="13"/>
      <c r="G1338" s="14"/>
      <c r="I1338" s="15"/>
      <c r="AE1338" s="11"/>
      <c r="AG1338" s="18"/>
    </row>
    <row r="1339" spans="2:33" ht="12.75">
      <c r="B1339" s="11"/>
      <c r="F1339" s="13"/>
      <c r="G1339" s="14"/>
      <c r="I1339" s="15"/>
      <c r="AE1339" s="11"/>
      <c r="AG1339" s="18"/>
    </row>
    <row r="1340" spans="2:33" ht="12.75">
      <c r="B1340" s="11"/>
      <c r="F1340" s="13"/>
      <c r="G1340" s="14"/>
      <c r="I1340" s="15"/>
      <c r="AE1340" s="11"/>
      <c r="AG1340" s="18"/>
    </row>
    <row r="1341" spans="2:33" ht="12.75">
      <c r="B1341" s="11"/>
      <c r="F1341" s="13"/>
      <c r="G1341" s="14"/>
      <c r="I1341" s="15"/>
      <c r="AE1341" s="11"/>
      <c r="AG1341" s="18"/>
    </row>
    <row r="1342" spans="2:33" ht="12.75">
      <c r="B1342" s="11"/>
      <c r="F1342" s="13"/>
      <c r="G1342" s="14"/>
      <c r="I1342" s="15"/>
      <c r="AE1342" s="11"/>
      <c r="AG1342" s="18"/>
    </row>
    <row r="1343" spans="2:33" ht="12.75">
      <c r="B1343" s="11"/>
      <c r="F1343" s="13"/>
      <c r="G1343" s="14"/>
      <c r="I1343" s="15"/>
      <c r="AE1343" s="11"/>
      <c r="AG1343" s="18"/>
    </row>
    <row r="1344" spans="2:33" ht="12.75">
      <c r="B1344" s="11"/>
      <c r="F1344" s="13"/>
      <c r="G1344" s="14"/>
      <c r="I1344" s="15"/>
      <c r="AE1344" s="11"/>
      <c r="AG1344" s="18"/>
    </row>
    <row r="1345" spans="2:33" ht="12.75">
      <c r="B1345" s="11"/>
      <c r="F1345" s="13"/>
      <c r="G1345" s="14"/>
      <c r="I1345" s="15"/>
      <c r="AE1345" s="11"/>
      <c r="AG1345" s="18"/>
    </row>
    <row r="1346" spans="2:33" ht="12.75">
      <c r="B1346" s="11"/>
      <c r="F1346" s="13"/>
      <c r="G1346" s="14"/>
      <c r="I1346" s="15"/>
      <c r="AE1346" s="11"/>
      <c r="AG1346" s="18"/>
    </row>
    <row r="1347" spans="2:33" ht="12.75">
      <c r="B1347" s="11"/>
      <c r="F1347" s="13"/>
      <c r="G1347" s="14"/>
      <c r="I1347" s="15"/>
      <c r="AE1347" s="11"/>
      <c r="AG1347" s="18"/>
    </row>
    <row r="1348" spans="2:33" ht="12.75">
      <c r="B1348" s="11"/>
      <c r="F1348" s="13"/>
      <c r="G1348" s="14"/>
      <c r="I1348" s="15"/>
      <c r="AE1348" s="11"/>
      <c r="AG1348" s="18"/>
    </row>
    <row r="1349" spans="2:33" ht="12.75">
      <c r="B1349" s="11"/>
      <c r="F1349" s="13"/>
      <c r="G1349" s="14"/>
      <c r="I1349" s="15"/>
      <c r="AE1349" s="11"/>
      <c r="AG1349" s="18"/>
    </row>
    <row r="1350" spans="2:33" ht="12.75">
      <c r="B1350" s="11"/>
      <c r="F1350" s="13"/>
      <c r="G1350" s="14"/>
      <c r="I1350" s="15"/>
      <c r="AE1350" s="11"/>
      <c r="AG1350" s="18"/>
    </row>
    <row r="1351" spans="2:33" ht="12.75">
      <c r="B1351" s="11"/>
      <c r="F1351" s="13"/>
      <c r="G1351" s="14"/>
      <c r="I1351" s="15"/>
      <c r="AE1351" s="11"/>
      <c r="AG1351" s="18"/>
    </row>
    <row r="1352" spans="2:33" ht="12.75">
      <c r="B1352" s="11"/>
      <c r="F1352" s="13"/>
      <c r="G1352" s="14"/>
      <c r="I1352" s="15"/>
      <c r="AE1352" s="11"/>
      <c r="AG1352" s="18"/>
    </row>
    <row r="1353" spans="2:33" ht="12.75">
      <c r="B1353" s="11"/>
      <c r="F1353" s="13"/>
      <c r="G1353" s="14"/>
      <c r="I1353" s="15"/>
      <c r="AE1353" s="11"/>
      <c r="AG1353" s="18"/>
    </row>
    <row r="1354" spans="2:33" ht="12.75">
      <c r="B1354" s="11"/>
      <c r="F1354" s="13"/>
      <c r="G1354" s="14"/>
      <c r="I1354" s="15"/>
      <c r="AE1354" s="11"/>
      <c r="AG1354" s="18"/>
    </row>
    <row r="1355" spans="2:33" ht="12.75">
      <c r="B1355" s="11"/>
      <c r="F1355" s="13"/>
      <c r="G1355" s="14"/>
      <c r="I1355" s="15"/>
      <c r="AE1355" s="11"/>
      <c r="AG1355" s="18"/>
    </row>
    <row r="1356" spans="2:33" ht="12.75">
      <c r="B1356" s="11"/>
      <c r="F1356" s="13"/>
      <c r="G1356" s="14"/>
      <c r="I1356" s="15"/>
      <c r="AE1356" s="11"/>
      <c r="AG1356" s="18"/>
    </row>
    <row r="1357" spans="2:33" ht="12.75">
      <c r="B1357" s="11"/>
      <c r="F1357" s="13"/>
      <c r="G1357" s="14"/>
      <c r="I1357" s="15"/>
      <c r="AE1357" s="11"/>
      <c r="AG1357" s="18"/>
    </row>
    <row r="1358" spans="2:33" ht="12.75">
      <c r="B1358" s="11"/>
      <c r="F1358" s="13"/>
      <c r="G1358" s="14"/>
      <c r="I1358" s="15"/>
      <c r="AE1358" s="11"/>
      <c r="AG1358" s="18"/>
    </row>
    <row r="1359" spans="2:33" ht="12.75">
      <c r="B1359" s="11"/>
      <c r="F1359" s="13"/>
      <c r="G1359" s="14"/>
      <c r="I1359" s="15"/>
      <c r="AE1359" s="11"/>
      <c r="AG1359" s="18"/>
    </row>
    <row r="1360" spans="2:33" ht="12.75">
      <c r="B1360" s="11"/>
      <c r="F1360" s="13"/>
      <c r="G1360" s="14"/>
      <c r="I1360" s="15"/>
      <c r="AE1360" s="11"/>
      <c r="AG1360" s="18"/>
    </row>
    <row r="1361" spans="2:33" ht="12.75">
      <c r="B1361" s="11"/>
      <c r="F1361" s="13"/>
      <c r="G1361" s="14"/>
      <c r="I1361" s="15"/>
      <c r="AE1361" s="11"/>
      <c r="AG1361" s="18"/>
    </row>
    <row r="1362" spans="2:33" ht="12.75">
      <c r="B1362" s="11"/>
      <c r="F1362" s="13"/>
      <c r="G1362" s="14"/>
      <c r="I1362" s="15"/>
      <c r="AE1362" s="11"/>
      <c r="AG1362" s="18"/>
    </row>
    <row r="1363" spans="2:33" ht="12.75">
      <c r="B1363" s="11"/>
      <c r="F1363" s="13"/>
      <c r="G1363" s="14"/>
      <c r="I1363" s="15"/>
      <c r="AE1363" s="11"/>
      <c r="AG1363" s="18"/>
    </row>
    <row r="1364" spans="2:33" ht="12.75">
      <c r="B1364" s="11"/>
      <c r="F1364" s="13"/>
      <c r="G1364" s="14"/>
      <c r="I1364" s="15"/>
      <c r="AE1364" s="11"/>
      <c r="AG1364" s="18"/>
    </row>
    <row r="1365" spans="2:33" ht="12.75">
      <c r="B1365" s="11"/>
      <c r="F1365" s="13"/>
      <c r="G1365" s="14"/>
      <c r="I1365" s="15"/>
      <c r="AE1365" s="11"/>
      <c r="AG1365" s="18"/>
    </row>
    <row r="1366" spans="2:33" ht="12.75">
      <c r="B1366" s="11"/>
      <c r="F1366" s="13"/>
      <c r="G1366" s="14"/>
      <c r="I1366" s="15"/>
      <c r="AE1366" s="11"/>
      <c r="AG1366" s="18"/>
    </row>
    <row r="1367" spans="2:33" ht="12.75">
      <c r="B1367" s="11"/>
      <c r="F1367" s="13"/>
      <c r="G1367" s="14"/>
      <c r="I1367" s="15"/>
      <c r="AE1367" s="11"/>
      <c r="AG1367" s="18"/>
    </row>
    <row r="1368" spans="2:33" ht="12.75">
      <c r="B1368" s="11"/>
      <c r="F1368" s="13"/>
      <c r="G1368" s="14"/>
      <c r="I1368" s="15"/>
      <c r="AE1368" s="11"/>
      <c r="AG1368" s="18"/>
    </row>
    <row r="1369" spans="2:33" ht="12.75">
      <c r="B1369" s="11"/>
      <c r="F1369" s="13"/>
      <c r="G1369" s="14"/>
      <c r="I1369" s="15"/>
      <c r="AE1369" s="11"/>
      <c r="AG1369" s="18"/>
    </row>
    <row r="1370" spans="2:33" ht="12.75">
      <c r="B1370" s="11"/>
      <c r="F1370" s="13"/>
      <c r="G1370" s="14"/>
      <c r="I1370" s="15"/>
      <c r="AE1370" s="11"/>
      <c r="AG1370" s="18"/>
    </row>
    <row r="1371" spans="2:33" ht="12.75">
      <c r="B1371" s="11"/>
      <c r="F1371" s="13"/>
      <c r="G1371" s="14"/>
      <c r="I1371" s="15"/>
      <c r="AE1371" s="11"/>
      <c r="AG1371" s="18"/>
    </row>
    <row r="1372" spans="2:33" ht="12.75">
      <c r="B1372" s="11"/>
      <c r="F1372" s="13"/>
      <c r="G1372" s="14"/>
      <c r="I1372" s="15"/>
      <c r="AE1372" s="11"/>
      <c r="AG1372" s="18"/>
    </row>
    <row r="1373" spans="2:33" ht="12.75">
      <c r="B1373" s="11"/>
      <c r="F1373" s="13"/>
      <c r="G1373" s="14"/>
      <c r="I1373" s="15"/>
      <c r="AE1373" s="11"/>
      <c r="AG1373" s="18"/>
    </row>
    <row r="1374" spans="2:33" ht="12.75">
      <c r="B1374" s="11"/>
      <c r="F1374" s="13"/>
      <c r="G1374" s="14"/>
      <c r="I1374" s="15"/>
      <c r="AE1374" s="11"/>
      <c r="AG1374" s="18"/>
    </row>
    <row r="1375" spans="2:33" ht="12.75">
      <c r="B1375" s="11"/>
      <c r="F1375" s="13"/>
      <c r="G1375" s="14"/>
      <c r="I1375" s="15"/>
      <c r="AE1375" s="11"/>
      <c r="AG1375" s="18"/>
    </row>
    <row r="1376" spans="2:33" ht="12.75">
      <c r="B1376" s="11"/>
      <c r="F1376" s="13"/>
      <c r="G1376" s="14"/>
      <c r="I1376" s="15"/>
      <c r="AE1376" s="11"/>
      <c r="AG1376" s="18"/>
    </row>
    <row r="1377" spans="2:33" ht="12.75">
      <c r="B1377" s="11"/>
      <c r="F1377" s="13"/>
      <c r="G1377" s="14"/>
      <c r="I1377" s="15"/>
      <c r="AE1377" s="11"/>
      <c r="AG1377" s="18"/>
    </row>
    <row r="1378" spans="2:33" ht="12.75">
      <c r="B1378" s="11"/>
      <c r="F1378" s="13"/>
      <c r="G1378" s="14"/>
      <c r="I1378" s="15"/>
      <c r="AE1378" s="11"/>
      <c r="AG1378" s="18"/>
    </row>
    <row r="1379" spans="2:33" ht="12.75">
      <c r="B1379" s="11"/>
      <c r="F1379" s="13"/>
      <c r="G1379" s="14"/>
      <c r="I1379" s="15"/>
      <c r="AE1379" s="11"/>
      <c r="AG1379" s="18"/>
    </row>
    <row r="1380" spans="2:33" ht="12.75">
      <c r="B1380" s="11"/>
      <c r="F1380" s="13"/>
      <c r="G1380" s="14"/>
      <c r="I1380" s="15"/>
      <c r="AE1380" s="11"/>
      <c r="AG1380" s="18"/>
    </row>
    <row r="1381" spans="2:33" ht="12.75">
      <c r="B1381" s="11"/>
      <c r="F1381" s="13"/>
      <c r="G1381" s="14"/>
      <c r="I1381" s="15"/>
      <c r="AE1381" s="11"/>
      <c r="AG1381" s="18"/>
    </row>
    <row r="1382" spans="2:33" ht="12.75">
      <c r="B1382" s="11"/>
      <c r="F1382" s="13"/>
      <c r="G1382" s="14"/>
      <c r="I1382" s="15"/>
      <c r="AE1382" s="11"/>
      <c r="AG1382" s="18"/>
    </row>
    <row r="1383" spans="2:33" ht="12.75">
      <c r="B1383" s="11"/>
      <c r="F1383" s="13"/>
      <c r="G1383" s="14"/>
      <c r="I1383" s="15"/>
      <c r="AE1383" s="11"/>
      <c r="AG1383" s="18"/>
    </row>
    <row r="1384" spans="2:33" ht="12.75">
      <c r="B1384" s="11"/>
      <c r="F1384" s="13"/>
      <c r="G1384" s="14"/>
      <c r="I1384" s="15"/>
      <c r="AE1384" s="11"/>
      <c r="AG1384" s="18"/>
    </row>
    <row r="1385" spans="2:33" ht="12.75">
      <c r="B1385" s="11"/>
      <c r="F1385" s="13"/>
      <c r="G1385" s="14"/>
      <c r="I1385" s="15"/>
      <c r="AE1385" s="11"/>
      <c r="AG1385" s="18"/>
    </row>
    <row r="1386" spans="2:33" ht="12.75">
      <c r="B1386" s="11"/>
      <c r="F1386" s="13"/>
      <c r="G1386" s="14"/>
      <c r="I1386" s="15"/>
      <c r="AE1386" s="11"/>
      <c r="AG1386" s="18"/>
    </row>
    <row r="1387" spans="2:33" ht="12.75">
      <c r="B1387" s="11"/>
      <c r="F1387" s="13"/>
      <c r="G1387" s="14"/>
      <c r="I1387" s="15"/>
      <c r="AE1387" s="11"/>
      <c r="AG1387" s="18"/>
    </row>
    <row r="1388" spans="2:33" ht="12.75">
      <c r="B1388" s="11"/>
      <c r="F1388" s="13"/>
      <c r="G1388" s="14"/>
      <c r="I1388" s="15"/>
      <c r="AE1388" s="11"/>
      <c r="AG1388" s="18"/>
    </row>
    <row r="1389" spans="2:33" ht="12.75">
      <c r="B1389" s="11"/>
      <c r="F1389" s="13"/>
      <c r="G1389" s="14"/>
      <c r="I1389" s="15"/>
      <c r="AE1389" s="11"/>
      <c r="AG1389" s="18"/>
    </row>
    <row r="1390" spans="2:33" ht="12.75">
      <c r="B1390" s="11"/>
      <c r="F1390" s="13"/>
      <c r="G1390" s="14"/>
      <c r="I1390" s="15"/>
      <c r="AE1390" s="11"/>
      <c r="AG1390" s="18"/>
    </row>
    <row r="1391" spans="2:33" ht="12.75">
      <c r="B1391" s="11"/>
      <c r="F1391" s="13"/>
      <c r="G1391" s="14"/>
      <c r="I1391" s="15"/>
      <c r="AE1391" s="11"/>
      <c r="AG1391" s="18"/>
    </row>
    <row r="1392" spans="2:33" ht="12.75">
      <c r="B1392" s="11"/>
      <c r="F1392" s="13"/>
      <c r="G1392" s="14"/>
      <c r="I1392" s="15"/>
      <c r="AE1392" s="11"/>
      <c r="AG1392" s="18"/>
    </row>
    <row r="1393" spans="2:33" ht="12.75">
      <c r="B1393" s="11"/>
      <c r="F1393" s="13"/>
      <c r="G1393" s="14"/>
      <c r="I1393" s="15"/>
      <c r="AE1393" s="11"/>
      <c r="AG1393" s="18"/>
    </row>
    <row r="1394" spans="2:33" ht="12.75">
      <c r="B1394" s="11"/>
      <c r="F1394" s="13"/>
      <c r="G1394" s="14"/>
      <c r="I1394" s="15"/>
      <c r="AE1394" s="11"/>
      <c r="AG1394" s="18"/>
    </row>
    <row r="1395" spans="2:33" ht="12.75">
      <c r="B1395" s="11"/>
      <c r="F1395" s="13"/>
      <c r="G1395" s="14"/>
      <c r="I1395" s="15"/>
      <c r="AE1395" s="11"/>
      <c r="AG1395" s="18"/>
    </row>
    <row r="1396" spans="2:33" ht="12.75">
      <c r="B1396" s="11"/>
      <c r="F1396" s="13"/>
      <c r="G1396" s="14"/>
      <c r="I1396" s="15"/>
      <c r="AE1396" s="11"/>
      <c r="AG1396" s="18"/>
    </row>
    <row r="1397" spans="2:33" ht="12.75">
      <c r="B1397" s="11"/>
      <c r="F1397" s="13"/>
      <c r="G1397" s="14"/>
      <c r="I1397" s="15"/>
      <c r="AE1397" s="11"/>
      <c r="AG1397" s="18"/>
    </row>
    <row r="1398" spans="2:33" ht="12.75">
      <c r="B1398" s="11"/>
      <c r="F1398" s="13"/>
      <c r="G1398" s="14"/>
      <c r="I1398" s="15"/>
      <c r="AE1398" s="11"/>
      <c r="AG1398" s="18"/>
    </row>
    <row r="1399" spans="2:33" ht="12.75">
      <c r="B1399" s="11"/>
      <c r="F1399" s="13"/>
      <c r="G1399" s="14"/>
      <c r="I1399" s="15"/>
      <c r="AE1399" s="11"/>
      <c r="AG1399" s="18"/>
    </row>
    <row r="1400" spans="2:33" ht="12.75">
      <c r="B1400" s="11"/>
      <c r="F1400" s="13"/>
      <c r="G1400" s="14"/>
      <c r="I1400" s="15"/>
      <c r="AE1400" s="11"/>
      <c r="AG1400" s="18"/>
    </row>
    <row r="1401" spans="2:33" ht="12.75">
      <c r="B1401" s="11"/>
      <c r="F1401" s="13"/>
      <c r="G1401" s="14"/>
      <c r="I1401" s="15"/>
      <c r="AE1401" s="11"/>
      <c r="AG1401" s="18"/>
    </row>
    <row r="1402" spans="2:33" ht="12.75">
      <c r="B1402" s="11"/>
      <c r="F1402" s="13"/>
      <c r="G1402" s="14"/>
      <c r="I1402" s="15"/>
      <c r="AE1402" s="11"/>
      <c r="AG1402" s="18"/>
    </row>
    <row r="1403" spans="2:33" ht="12.75">
      <c r="B1403" s="11"/>
      <c r="F1403" s="13"/>
      <c r="G1403" s="14"/>
      <c r="I1403" s="15"/>
      <c r="AE1403" s="11"/>
      <c r="AG1403" s="18"/>
    </row>
    <row r="1404" spans="2:33" ht="12.75">
      <c r="B1404" s="11"/>
      <c r="F1404" s="13"/>
      <c r="G1404" s="14"/>
      <c r="I1404" s="15"/>
      <c r="AE1404" s="11"/>
      <c r="AG1404" s="18"/>
    </row>
    <row r="1405" spans="2:33" ht="12.75">
      <c r="B1405" s="11"/>
      <c r="F1405" s="13"/>
      <c r="G1405" s="14"/>
      <c r="I1405" s="15"/>
      <c r="AE1405" s="11"/>
      <c r="AG1405" s="18"/>
    </row>
    <row r="1406" spans="2:33" ht="12.75">
      <c r="B1406" s="11"/>
      <c r="F1406" s="13"/>
      <c r="G1406" s="14"/>
      <c r="I1406" s="15"/>
      <c r="AE1406" s="11"/>
      <c r="AG1406" s="18"/>
    </row>
    <row r="1407" spans="2:33" ht="12.75">
      <c r="B1407" s="11"/>
      <c r="F1407" s="13"/>
      <c r="G1407" s="14"/>
      <c r="I1407" s="15"/>
      <c r="AE1407" s="11"/>
      <c r="AG1407" s="18"/>
    </row>
    <row r="1408" spans="2:33" ht="12.75">
      <c r="B1408" s="11"/>
      <c r="F1408" s="13"/>
      <c r="G1408" s="14"/>
      <c r="I1408" s="15"/>
      <c r="AE1408" s="11"/>
      <c r="AG1408" s="18"/>
    </row>
    <row r="1409" spans="2:33" ht="12.75">
      <c r="B1409" s="11"/>
      <c r="F1409" s="13"/>
      <c r="G1409" s="14"/>
      <c r="I1409" s="15"/>
      <c r="AE1409" s="11"/>
      <c r="AG1409" s="18"/>
    </row>
    <row r="1410" spans="2:33" ht="12.75">
      <c r="B1410" s="11"/>
      <c r="F1410" s="13"/>
      <c r="G1410" s="14"/>
      <c r="I1410" s="15"/>
      <c r="AE1410" s="11"/>
      <c r="AG1410" s="18"/>
    </row>
    <row r="1411" spans="2:33" ht="12.75">
      <c r="B1411" s="11"/>
      <c r="F1411" s="13"/>
      <c r="G1411" s="14"/>
      <c r="I1411" s="15"/>
      <c r="AE1411" s="11"/>
      <c r="AG1411" s="18"/>
    </row>
    <row r="1412" spans="2:33" ht="12.75">
      <c r="B1412" s="11"/>
      <c r="F1412" s="13"/>
      <c r="G1412" s="14"/>
      <c r="I1412" s="15"/>
      <c r="AE1412" s="11"/>
      <c r="AG1412" s="18"/>
    </row>
    <row r="1413" spans="2:33" ht="12.75">
      <c r="B1413" s="11"/>
      <c r="F1413" s="13"/>
      <c r="G1413" s="14"/>
      <c r="I1413" s="15"/>
      <c r="AE1413" s="11"/>
      <c r="AG1413" s="18"/>
    </row>
    <row r="1414" spans="2:33" ht="12.75">
      <c r="B1414" s="11"/>
      <c r="F1414" s="13"/>
      <c r="G1414" s="14"/>
      <c r="I1414" s="15"/>
      <c r="AE1414" s="11"/>
      <c r="AG1414" s="18"/>
    </row>
    <row r="1415" spans="2:33" ht="12.75">
      <c r="B1415" s="11"/>
      <c r="F1415" s="13"/>
      <c r="G1415" s="14"/>
      <c r="I1415" s="15"/>
      <c r="AE1415" s="11"/>
      <c r="AG1415" s="18"/>
    </row>
    <row r="1416" spans="2:33" ht="12.75">
      <c r="B1416" s="11"/>
      <c r="F1416" s="13"/>
      <c r="G1416" s="14"/>
      <c r="I1416" s="15"/>
      <c r="AE1416" s="11"/>
      <c r="AG1416" s="18"/>
    </row>
    <row r="1417" spans="2:33" ht="12.75">
      <c r="B1417" s="11"/>
      <c r="F1417" s="13"/>
      <c r="G1417" s="14"/>
      <c r="I1417" s="15"/>
      <c r="AE1417" s="11"/>
      <c r="AG1417" s="18"/>
    </row>
    <row r="1418" spans="2:33" ht="12.75">
      <c r="B1418" s="11"/>
      <c r="F1418" s="13"/>
      <c r="G1418" s="14"/>
      <c r="I1418" s="15"/>
      <c r="AE1418" s="11"/>
      <c r="AG1418" s="18"/>
    </row>
    <row r="1419" spans="2:33" ht="12.75">
      <c r="B1419" s="11"/>
      <c r="F1419" s="13"/>
      <c r="G1419" s="14"/>
      <c r="I1419" s="15"/>
      <c r="AE1419" s="11"/>
      <c r="AG1419" s="18"/>
    </row>
    <row r="1420" spans="2:33" ht="12.75">
      <c r="B1420" s="11"/>
      <c r="F1420" s="13"/>
      <c r="G1420" s="14"/>
      <c r="I1420" s="15"/>
      <c r="AE1420" s="11"/>
      <c r="AG1420" s="18"/>
    </row>
    <row r="1421" spans="2:33" ht="12.75">
      <c r="B1421" s="11"/>
      <c r="F1421" s="13"/>
      <c r="G1421" s="14"/>
      <c r="I1421" s="15"/>
      <c r="AE1421" s="11"/>
      <c r="AG1421" s="18"/>
    </row>
    <row r="1422" spans="2:33" ht="12.75">
      <c r="B1422" s="11"/>
      <c r="F1422" s="13"/>
      <c r="G1422" s="14"/>
      <c r="I1422" s="15"/>
      <c r="AE1422" s="11"/>
      <c r="AG1422" s="18"/>
    </row>
    <row r="1423" spans="2:33" ht="12.75">
      <c r="B1423" s="11"/>
      <c r="F1423" s="13"/>
      <c r="G1423" s="14"/>
      <c r="I1423" s="15"/>
      <c r="AE1423" s="11"/>
      <c r="AG1423" s="18"/>
    </row>
    <row r="1424" spans="2:33" ht="12.75">
      <c r="B1424" s="11"/>
      <c r="F1424" s="13"/>
      <c r="G1424" s="14"/>
      <c r="I1424" s="15"/>
      <c r="AE1424" s="11"/>
      <c r="AG1424" s="18"/>
    </row>
    <row r="1425" spans="2:33" ht="12.75">
      <c r="B1425" s="11"/>
      <c r="F1425" s="13"/>
      <c r="G1425" s="14"/>
      <c r="I1425" s="15"/>
      <c r="AE1425" s="11"/>
      <c r="AG1425" s="18"/>
    </row>
    <row r="1426" spans="2:33" ht="12.75">
      <c r="B1426" s="11"/>
      <c r="F1426" s="13"/>
      <c r="G1426" s="14"/>
      <c r="I1426" s="15"/>
      <c r="AE1426" s="11"/>
      <c r="AG1426" s="18"/>
    </row>
    <row r="1427" spans="2:33" ht="12.75">
      <c r="B1427" s="11"/>
      <c r="F1427" s="13"/>
      <c r="G1427" s="14"/>
      <c r="I1427" s="15"/>
      <c r="AE1427" s="11"/>
      <c r="AG1427" s="18"/>
    </row>
    <row r="1428" spans="2:33" ht="12.75">
      <c r="B1428" s="11"/>
      <c r="F1428" s="13"/>
      <c r="G1428" s="14"/>
      <c r="I1428" s="15"/>
      <c r="AE1428" s="11"/>
      <c r="AG1428" s="18"/>
    </row>
    <row r="1429" spans="2:33" ht="12.75">
      <c r="B1429" s="11"/>
      <c r="F1429" s="13"/>
      <c r="G1429" s="14"/>
      <c r="I1429" s="15"/>
      <c r="AE1429" s="11"/>
      <c r="AG1429" s="18"/>
    </row>
    <row r="1430" spans="2:33" ht="12.75">
      <c r="B1430" s="11"/>
      <c r="F1430" s="13"/>
      <c r="G1430" s="14"/>
      <c r="I1430" s="15"/>
      <c r="AE1430" s="11"/>
      <c r="AG1430" s="18"/>
    </row>
    <row r="1431" spans="2:33" ht="12.75">
      <c r="B1431" s="11"/>
      <c r="F1431" s="13"/>
      <c r="G1431" s="14"/>
      <c r="I1431" s="15"/>
      <c r="AE1431" s="11"/>
      <c r="AG1431" s="18"/>
    </row>
    <row r="1432" spans="2:33" ht="12.75">
      <c r="B1432" s="11"/>
      <c r="F1432" s="13"/>
      <c r="G1432" s="14"/>
      <c r="I1432" s="15"/>
      <c r="AE1432" s="11"/>
      <c r="AG1432" s="18"/>
    </row>
    <row r="1433" spans="2:33" ht="12.75">
      <c r="B1433" s="11"/>
      <c r="F1433" s="13"/>
      <c r="G1433" s="14"/>
      <c r="I1433" s="15"/>
      <c r="AE1433" s="11"/>
      <c r="AG1433" s="18"/>
    </row>
    <row r="1434" spans="2:33" ht="12.75">
      <c r="B1434" s="11"/>
      <c r="F1434" s="13"/>
      <c r="G1434" s="14"/>
      <c r="I1434" s="15"/>
      <c r="AE1434" s="11"/>
      <c r="AG1434" s="18"/>
    </row>
    <row r="1435" spans="2:33" ht="12.75">
      <c r="B1435" s="11"/>
      <c r="F1435" s="13"/>
      <c r="G1435" s="14"/>
      <c r="I1435" s="15"/>
      <c r="AE1435" s="11"/>
      <c r="AG1435" s="18"/>
    </row>
    <row r="1436" spans="2:33" ht="12.75">
      <c r="B1436" s="11"/>
      <c r="F1436" s="13"/>
      <c r="G1436" s="14"/>
      <c r="I1436" s="15"/>
      <c r="AE1436" s="11"/>
      <c r="AG1436" s="18"/>
    </row>
    <row r="1437" spans="2:33" ht="12.75">
      <c r="B1437" s="11"/>
      <c r="F1437" s="13"/>
      <c r="G1437" s="14"/>
      <c r="I1437" s="15"/>
      <c r="AE1437" s="11"/>
      <c r="AG1437" s="18"/>
    </row>
    <row r="1438" spans="2:33" ht="12.75">
      <c r="B1438" s="11"/>
      <c r="F1438" s="13"/>
      <c r="G1438" s="14"/>
      <c r="I1438" s="15"/>
      <c r="AE1438" s="11"/>
      <c r="AG1438" s="18"/>
    </row>
    <row r="1439" spans="2:33" ht="12.75">
      <c r="B1439" s="11"/>
      <c r="F1439" s="13"/>
      <c r="G1439" s="14"/>
      <c r="I1439" s="15"/>
      <c r="AE1439" s="11"/>
      <c r="AG1439" s="18"/>
    </row>
    <row r="1440" spans="2:33" ht="12.75">
      <c r="B1440" s="11"/>
      <c r="F1440" s="13"/>
      <c r="G1440" s="14"/>
      <c r="I1440" s="15"/>
      <c r="AE1440" s="11"/>
      <c r="AG1440" s="18"/>
    </row>
    <row r="1441" spans="2:33" ht="12.75">
      <c r="B1441" s="11"/>
      <c r="F1441" s="13"/>
      <c r="G1441" s="14"/>
      <c r="I1441" s="15"/>
      <c r="AE1441" s="11"/>
      <c r="AG1441" s="18"/>
    </row>
    <row r="1442" spans="2:33" ht="12.75">
      <c r="B1442" s="11"/>
      <c r="F1442" s="13"/>
      <c r="G1442" s="14"/>
      <c r="I1442" s="15"/>
      <c r="AE1442" s="11"/>
      <c r="AG1442" s="18"/>
    </row>
    <row r="1443" spans="2:33" ht="12.75">
      <c r="B1443" s="11"/>
      <c r="F1443" s="13"/>
      <c r="G1443" s="14"/>
      <c r="I1443" s="15"/>
      <c r="AE1443" s="11"/>
      <c r="AG1443" s="18"/>
    </row>
    <row r="1444" spans="2:33" ht="12.75">
      <c r="B1444" s="11"/>
      <c r="F1444" s="13"/>
      <c r="G1444" s="14"/>
      <c r="I1444" s="15"/>
      <c r="AE1444" s="11"/>
      <c r="AG1444" s="18"/>
    </row>
    <row r="1445" spans="2:33" ht="12.75">
      <c r="B1445" s="11"/>
      <c r="F1445" s="13"/>
      <c r="G1445" s="14"/>
      <c r="I1445" s="15"/>
      <c r="AE1445" s="11"/>
      <c r="AG1445" s="18"/>
    </row>
    <row r="1446" spans="2:33" ht="12.75">
      <c r="B1446" s="11"/>
      <c r="F1446" s="13"/>
      <c r="G1446" s="14"/>
      <c r="I1446" s="15"/>
      <c r="AE1446" s="11"/>
      <c r="AG1446" s="18"/>
    </row>
    <row r="1447" spans="2:33" ht="12.75">
      <c r="B1447" s="11"/>
      <c r="F1447" s="13"/>
      <c r="G1447" s="14"/>
      <c r="I1447" s="15"/>
      <c r="AE1447" s="11"/>
      <c r="AG1447" s="18"/>
    </row>
    <row r="1448" spans="2:33" ht="12.75">
      <c r="B1448" s="11"/>
      <c r="F1448" s="13"/>
      <c r="G1448" s="14"/>
      <c r="I1448" s="15"/>
      <c r="AE1448" s="11"/>
      <c r="AG1448" s="18"/>
    </row>
    <row r="1449" spans="2:33" ht="12.75">
      <c r="B1449" s="11"/>
      <c r="F1449" s="13"/>
      <c r="G1449" s="14"/>
      <c r="I1449" s="15"/>
      <c r="AE1449" s="11"/>
      <c r="AG1449" s="18"/>
    </row>
    <row r="1450" spans="2:33" ht="12.75">
      <c r="B1450" s="11"/>
      <c r="F1450" s="13"/>
      <c r="G1450" s="14"/>
      <c r="I1450" s="15"/>
      <c r="AE1450" s="11"/>
      <c r="AG1450" s="18"/>
    </row>
    <row r="1451" spans="2:33" ht="12.75">
      <c r="B1451" s="11"/>
      <c r="F1451" s="13"/>
      <c r="G1451" s="14"/>
      <c r="I1451" s="15"/>
      <c r="AE1451" s="11"/>
      <c r="AG1451" s="18"/>
    </row>
    <row r="1452" spans="2:33" ht="12.75">
      <c r="B1452" s="11"/>
      <c r="F1452" s="13"/>
      <c r="G1452" s="14"/>
      <c r="I1452" s="15"/>
      <c r="AE1452" s="11"/>
      <c r="AG1452" s="18"/>
    </row>
    <row r="1453" spans="2:33" ht="12.75">
      <c r="B1453" s="11"/>
      <c r="F1453" s="13"/>
      <c r="G1453" s="14"/>
      <c r="I1453" s="15"/>
      <c r="AE1453" s="11"/>
      <c r="AG1453" s="18"/>
    </row>
    <row r="1454" spans="2:33" ht="12.75">
      <c r="B1454" s="11"/>
      <c r="F1454" s="13"/>
      <c r="G1454" s="14"/>
      <c r="I1454" s="15"/>
      <c r="AE1454" s="11"/>
      <c r="AG1454" s="18"/>
    </row>
    <row r="1455" spans="2:33" ht="12.75">
      <c r="B1455" s="11"/>
      <c r="F1455" s="13"/>
      <c r="G1455" s="14"/>
      <c r="I1455" s="15"/>
      <c r="AE1455" s="11"/>
      <c r="AG1455" s="18"/>
    </row>
    <row r="1456" spans="2:33" ht="12.75">
      <c r="B1456" s="11"/>
      <c r="F1456" s="13"/>
      <c r="G1456" s="14"/>
      <c r="I1456" s="15"/>
      <c r="AE1456" s="11"/>
      <c r="AG1456" s="18"/>
    </row>
    <row r="1457" spans="2:33" ht="12.75">
      <c r="B1457" s="11"/>
      <c r="F1457" s="13"/>
      <c r="G1457" s="14"/>
      <c r="I1457" s="15"/>
      <c r="AE1457" s="11"/>
      <c r="AG1457" s="18"/>
    </row>
    <row r="1458" spans="2:33" ht="12.75">
      <c r="B1458" s="11"/>
      <c r="F1458" s="13"/>
      <c r="G1458" s="14"/>
      <c r="I1458" s="15"/>
      <c r="AE1458" s="11"/>
      <c r="AG1458" s="18"/>
    </row>
    <row r="1459" spans="2:33" ht="12.75">
      <c r="B1459" s="11"/>
      <c r="F1459" s="13"/>
      <c r="G1459" s="14"/>
      <c r="I1459" s="15"/>
      <c r="AE1459" s="11"/>
      <c r="AG1459" s="18"/>
    </row>
    <row r="1460" spans="2:33" ht="12.75">
      <c r="B1460" s="11"/>
      <c r="F1460" s="13"/>
      <c r="G1460" s="14"/>
      <c r="I1460" s="15"/>
      <c r="AE1460" s="11"/>
      <c r="AG1460" s="18"/>
    </row>
    <row r="1461" spans="2:33" ht="12.75">
      <c r="B1461" s="11"/>
      <c r="F1461" s="13"/>
      <c r="G1461" s="14"/>
      <c r="I1461" s="15"/>
      <c r="AE1461" s="11"/>
      <c r="AG1461" s="18"/>
    </row>
    <row r="1462" spans="2:33" ht="12.75">
      <c r="B1462" s="11"/>
      <c r="F1462" s="13"/>
      <c r="G1462" s="14"/>
      <c r="I1462" s="15"/>
      <c r="AE1462" s="11"/>
      <c r="AG1462" s="18"/>
    </row>
    <row r="1463" spans="2:33" ht="12.75">
      <c r="B1463" s="11"/>
      <c r="F1463" s="13"/>
      <c r="G1463" s="14"/>
      <c r="I1463" s="15"/>
      <c r="AE1463" s="11"/>
      <c r="AG1463" s="18"/>
    </row>
    <row r="1464" spans="2:33" ht="12.75">
      <c r="B1464" s="11"/>
      <c r="F1464" s="13"/>
      <c r="G1464" s="14"/>
      <c r="I1464" s="15"/>
      <c r="AE1464" s="11"/>
      <c r="AG1464" s="18"/>
    </row>
    <row r="1465" spans="2:33" ht="12.75">
      <c r="B1465" s="11"/>
      <c r="F1465" s="13"/>
      <c r="G1465" s="14"/>
      <c r="I1465" s="15"/>
      <c r="AE1465" s="11"/>
      <c r="AG1465" s="18"/>
    </row>
    <row r="1466" spans="2:33" ht="12.75">
      <c r="B1466" s="11"/>
      <c r="F1466" s="13"/>
      <c r="G1466" s="14"/>
      <c r="I1466" s="15"/>
      <c r="AE1466" s="11"/>
      <c r="AG1466" s="18"/>
    </row>
    <row r="1467" spans="2:33" ht="12.75">
      <c r="B1467" s="11"/>
      <c r="F1467" s="13"/>
      <c r="G1467" s="14"/>
      <c r="I1467" s="15"/>
      <c r="AE1467" s="11"/>
      <c r="AG1467" s="18"/>
    </row>
    <row r="1468" spans="2:33" ht="12.75">
      <c r="B1468" s="11"/>
      <c r="F1468" s="13"/>
      <c r="G1468" s="14"/>
      <c r="I1468" s="15"/>
      <c r="AE1468" s="11"/>
      <c r="AG1468" s="18"/>
    </row>
    <row r="1469" spans="2:33" ht="12.75">
      <c r="B1469" s="11"/>
      <c r="F1469" s="13"/>
      <c r="G1469" s="14"/>
      <c r="I1469" s="15"/>
      <c r="AE1469" s="11"/>
      <c r="AG1469" s="18"/>
    </row>
    <row r="1470" spans="2:33" ht="12.75">
      <c r="B1470" s="11"/>
      <c r="F1470" s="13"/>
      <c r="G1470" s="14"/>
      <c r="I1470" s="15"/>
      <c r="AE1470" s="11"/>
      <c r="AG1470" s="18"/>
    </row>
    <row r="1471" spans="2:33" ht="12.75">
      <c r="B1471" s="11"/>
      <c r="F1471" s="13"/>
      <c r="G1471" s="14"/>
      <c r="I1471" s="15"/>
      <c r="AE1471" s="11"/>
      <c r="AG1471" s="18"/>
    </row>
    <row r="1472" spans="2:33" ht="12.75">
      <c r="B1472" s="11"/>
      <c r="F1472" s="13"/>
      <c r="G1472" s="14"/>
      <c r="I1472" s="15"/>
      <c r="AE1472" s="11"/>
      <c r="AG1472" s="18"/>
    </row>
    <row r="1473" spans="2:33" ht="12.75">
      <c r="B1473" s="11"/>
      <c r="F1473" s="13"/>
      <c r="G1473" s="14"/>
      <c r="I1473" s="15"/>
      <c r="AE1473" s="11"/>
      <c r="AG1473" s="18"/>
    </row>
    <row r="1474" spans="2:33" ht="12.75">
      <c r="B1474" s="11"/>
      <c r="F1474" s="13"/>
      <c r="G1474" s="14"/>
      <c r="I1474" s="15"/>
      <c r="AE1474" s="11"/>
      <c r="AG1474" s="18"/>
    </row>
    <row r="1475" spans="2:33" ht="12.75">
      <c r="B1475" s="11"/>
      <c r="F1475" s="13"/>
      <c r="G1475" s="14"/>
      <c r="I1475" s="15"/>
      <c r="AE1475" s="11"/>
      <c r="AG1475" s="18"/>
    </row>
  </sheetData>
  <conditionalFormatting sqref="AG1:AG1475 AH506 AH521 AH558 AH560 AH569 AH575 AH577:AH579 AH587 AH591 AH593 AH598:AH599 AH619:AH621 AH624 AH627 AH630 AH633 AH638 AH655 AH674 AH698 AH773">
    <cfRule type="containsBlanks" dxfId="26" priority="1">
      <formula>LEN(TRIM(AG1))=0</formula>
    </cfRule>
  </conditionalFormatting>
  <conditionalFormatting sqref="AG1:AG1475 AH506 AH521 AH558 AH560 AH569 AH575 AH577:AH579 AH587 AH591 AH593 AH598:AH599 AH619:AH621 AH624 AH627 AH630 AH633 AH638 AH655 AH674 AH698 AH773">
    <cfRule type="containsText" dxfId="25" priority="2" operator="containsText" text="KR">
      <formula>NOT(ISERROR(SEARCH(("KR"),(AG1))))</formula>
    </cfRule>
  </conditionalFormatting>
  <conditionalFormatting sqref="AG1:AG1475 AH506 AH521 AH558 AH560 AH569 AH575 AH577:AH579 AH587 AH591 AH593 AH598:AH599 AH619:AH621 AH624 AH627 AH630 AH633 AH638 AH655 AH674 AH698 AH773">
    <cfRule type="beginsWith" dxfId="24" priority="3" operator="beginsWith" text="cancel">
      <formula>LEFT((AG1),LEN("cancel"))=("cancel")</formula>
    </cfRule>
  </conditionalFormatting>
  <conditionalFormatting sqref="AG1:AG1475 AH506 AH521 AH558 AH560 AH569 AH575 AH577:AH579 AH587 AH591 AH593 AH598:AH599 AH619:AH621 AH624 AH627 AH630 AH633 AH638 AH655 AH674 AH698 AH773">
    <cfRule type="containsText" dxfId="23" priority="4" operator="containsText" text="J">
      <formula>NOT(ISERROR(SEARCH(("J"),(AG1))))</formula>
    </cfRule>
  </conditionalFormatting>
  <conditionalFormatting sqref="AG1:AG1475 AH506 AH521 AH558 AH560 AH569 AH575 AH577:AH579 AH587 AH591 AH593 AH598:AH599 AH619:AH621 AH624 AH627 AH630 AH633 AH638 AH655 AH674 AH698 AH773">
    <cfRule type="containsText" dxfId="22" priority="5" operator="containsText" text="ND">
      <formula>NOT(ISERROR(SEARCH(("ND"),(AG1))))</formula>
    </cfRule>
  </conditionalFormatting>
  <conditionalFormatting sqref="AG1:AG1475 AH506 AH521 AH558 AH560 AH569 AH575 AH577:AH579 AH587 AH591 AH593 AH598:AH599 AH619:AH621 AH624 AH627 AH630 AH633 AH638 AH655 AH674 AH698 AH773">
    <cfRule type="containsText" dxfId="21" priority="6" operator="containsText" text="SF">
      <formula>NOT(ISERROR(SEARCH(("SF"),(AG1))))</formula>
    </cfRule>
  </conditionalFormatting>
  <conditionalFormatting sqref="AG1:AG1475 AH506 AH521 AH558 AH560 AH569 AH575 AH577:AH579 AH587 AH591 AH593 AH598:AH599 AH619:AH621 AH624 AH627 AH630 AH633 AH638 AH655 AH674 AH698 AH773">
    <cfRule type="containsText" dxfId="20" priority="7" operator="containsText" text="LS">
      <formula>NOT(ISERROR(SEARCH(("LS"),(AG1))))</formula>
    </cfRule>
  </conditionalFormatting>
  <conditionalFormatting sqref="AG1:AG1475 AH506 AH521 AH558 AH560 AH569 AH575 AH577:AH579 AH587 AH591 AH593 AH598:AH599 AH619:AH621 AH624 AH627 AH630 AH633 AH638 AH655 AH674 AH698 AH773">
    <cfRule type="containsText" dxfId="19" priority="8" operator="containsText" text="SW">
      <formula>NOT(ISERROR(SEARCH(("SW"),(AG1))))</formula>
    </cfRule>
  </conditionalFormatting>
  <conditionalFormatting sqref="AG1:AG1475 AH506 AH521 AH558 AH560 AH569 AH575 AH577:AH579 AH587 AH591 AH593 AH598:AH599 AH619:AH621 AH624 AH627 AH630 AH633 AH638 AH655 AH674 AH698 AH773">
    <cfRule type="containsText" dxfId="18" priority="9" operator="containsText" text="SE">
      <formula>NOT(ISERROR(SEARCH(("SE"),(AG1))))</formula>
    </cfRule>
  </conditionalFormatting>
  <conditionalFormatting sqref="AG1:AG1475 AH506 AH521 AH558 AH560 AH569 AH575 AH577:AH579 AH587 AH591 AH593 AH598:AH599 AH619:AH621 AH624 AH627 AH630 AH633 AH638 AH655 AH674 AH698 AH773">
    <cfRule type="containsText" dxfId="17" priority="10" operator="containsText" text="pm">
      <formula>NOT(ISERROR(SEARCH(("pm"),(AG1))))</formula>
    </cfRule>
  </conditionalFormatting>
  <conditionalFormatting sqref="AH1:AH1475 AG187:AG188 AG506 AG521">
    <cfRule type="containsBlanks" dxfId="16" priority="11">
      <formula>LEN(TRIM(AH1))=0</formula>
    </cfRule>
  </conditionalFormatting>
  <conditionalFormatting sqref="AH1:AH1475 AG187:AG188 AG506 AG521">
    <cfRule type="notContainsBlanks" dxfId="15" priority="12">
      <formula>LEN(TRIM(AH1))&gt;0</formula>
    </cfRule>
  </conditionalFormatting>
  <conditionalFormatting sqref="AG1:AG1475 AH506 AH521 AH558 AH560 AH569 AH575 AH577:AH579 AH587 AH591 AH593 AH598:AH599 AH619:AH621 AH624 AH627 AH630 AH633 AH638 AH655 AH674 AH698 AH773">
    <cfRule type="notContainsBlanks" dxfId="14" priority="13">
      <formula>LEN(TRIM(AG1))&gt;0</formula>
    </cfRule>
  </conditionalFormatting>
  <conditionalFormatting sqref="AG1:AG1475 AH2:AH1475">
    <cfRule type="beginsWith" dxfId="13" priority="14" operator="beginsWith" text="duplicate">
      <formula>LEFT((AG1),LEN("duplicate"))=("duplicate")</formula>
    </cfRule>
  </conditionalFormatting>
  <hyperlinks>
    <hyperlink ref="AJ27" r:id="rId1" xr:uid="{00000000-0004-0000-0000-000000000000}"/>
    <hyperlink ref="AJ28" r:id="rId2" xr:uid="{00000000-0004-0000-0000-000001000000}"/>
    <hyperlink ref="AJ29" r:id="rId3" xr:uid="{00000000-0004-0000-0000-000002000000}"/>
    <hyperlink ref="AJ30" r:id="rId4" xr:uid="{00000000-0004-0000-0000-000003000000}"/>
    <hyperlink ref="AJ31" r:id="rId5" xr:uid="{00000000-0004-0000-0000-000004000000}"/>
    <hyperlink ref="AJ32" r:id="rId6" xr:uid="{00000000-0004-0000-0000-000005000000}"/>
    <hyperlink ref="AJ33" r:id="rId7" xr:uid="{00000000-0004-0000-0000-000006000000}"/>
    <hyperlink ref="AJ34" r:id="rId8" xr:uid="{00000000-0004-0000-0000-000007000000}"/>
    <hyperlink ref="AJ35" r:id="rId9" xr:uid="{00000000-0004-0000-0000-000008000000}"/>
    <hyperlink ref="AJ36" r:id="rId10" xr:uid="{00000000-0004-0000-0000-000009000000}"/>
    <hyperlink ref="AJ37" r:id="rId11" xr:uid="{00000000-0004-0000-0000-00000A000000}"/>
    <hyperlink ref="AJ38" r:id="rId12" xr:uid="{00000000-0004-0000-0000-00000B000000}"/>
    <hyperlink ref="AJ39" r:id="rId13" xr:uid="{00000000-0004-0000-0000-00000C000000}"/>
    <hyperlink ref="AJ41" r:id="rId14" xr:uid="{00000000-0004-0000-0000-00000D000000}"/>
    <hyperlink ref="AJ42" r:id="rId15" xr:uid="{00000000-0004-0000-0000-00000E000000}"/>
    <hyperlink ref="AJ43" r:id="rId16" xr:uid="{00000000-0004-0000-0000-00000F000000}"/>
    <hyperlink ref="AJ44" r:id="rId17" xr:uid="{00000000-0004-0000-0000-000010000000}"/>
    <hyperlink ref="AJ45" r:id="rId18" xr:uid="{00000000-0004-0000-0000-000011000000}"/>
    <hyperlink ref="AJ46" r:id="rId19" xr:uid="{00000000-0004-0000-0000-000012000000}"/>
    <hyperlink ref="AJ47" r:id="rId20" xr:uid="{00000000-0004-0000-0000-000013000000}"/>
    <hyperlink ref="AJ48" r:id="rId21" xr:uid="{00000000-0004-0000-0000-000014000000}"/>
    <hyperlink ref="AJ49" r:id="rId22" xr:uid="{00000000-0004-0000-0000-000015000000}"/>
    <hyperlink ref="AJ50" r:id="rId23" xr:uid="{00000000-0004-0000-0000-000016000000}"/>
    <hyperlink ref="AJ51" r:id="rId24" xr:uid="{00000000-0004-0000-0000-000017000000}"/>
    <hyperlink ref="AJ52" r:id="rId25" xr:uid="{00000000-0004-0000-0000-000018000000}"/>
    <hyperlink ref="AJ53" r:id="rId26" xr:uid="{00000000-0004-0000-0000-000019000000}"/>
    <hyperlink ref="AJ54" r:id="rId27" xr:uid="{00000000-0004-0000-0000-00001A000000}"/>
    <hyperlink ref="AJ55" r:id="rId28" xr:uid="{00000000-0004-0000-0000-00001B000000}"/>
    <hyperlink ref="AJ56" r:id="rId29" xr:uid="{00000000-0004-0000-0000-00001C000000}"/>
    <hyperlink ref="AJ57" r:id="rId30" xr:uid="{00000000-0004-0000-0000-00001D000000}"/>
    <hyperlink ref="AJ58" r:id="rId31" xr:uid="{00000000-0004-0000-0000-00001E000000}"/>
    <hyperlink ref="AJ59" r:id="rId32" xr:uid="{00000000-0004-0000-0000-00001F000000}"/>
    <hyperlink ref="AJ60" r:id="rId33" xr:uid="{00000000-0004-0000-0000-000020000000}"/>
    <hyperlink ref="AJ61" r:id="rId34" xr:uid="{00000000-0004-0000-0000-000021000000}"/>
    <hyperlink ref="AJ62" r:id="rId35" xr:uid="{00000000-0004-0000-0000-000022000000}"/>
    <hyperlink ref="AJ63" r:id="rId36" xr:uid="{00000000-0004-0000-0000-000023000000}"/>
    <hyperlink ref="AJ64" r:id="rId37" xr:uid="{00000000-0004-0000-0000-000024000000}"/>
    <hyperlink ref="AJ65" r:id="rId38" xr:uid="{00000000-0004-0000-0000-000025000000}"/>
    <hyperlink ref="AJ66" r:id="rId39" xr:uid="{00000000-0004-0000-0000-000026000000}"/>
    <hyperlink ref="AJ67" r:id="rId40" xr:uid="{00000000-0004-0000-0000-000027000000}"/>
    <hyperlink ref="AJ68" r:id="rId41" xr:uid="{00000000-0004-0000-0000-000028000000}"/>
    <hyperlink ref="AJ69" r:id="rId42" xr:uid="{00000000-0004-0000-0000-000029000000}"/>
    <hyperlink ref="AJ70" r:id="rId43" xr:uid="{00000000-0004-0000-0000-00002A000000}"/>
    <hyperlink ref="AJ71" r:id="rId44" xr:uid="{00000000-0004-0000-0000-00002B000000}"/>
    <hyperlink ref="AJ72" r:id="rId45" xr:uid="{00000000-0004-0000-0000-00002C000000}"/>
    <hyperlink ref="AJ73" r:id="rId46" xr:uid="{00000000-0004-0000-0000-00002D000000}"/>
    <hyperlink ref="AJ74" r:id="rId47" xr:uid="{00000000-0004-0000-0000-00002E000000}"/>
    <hyperlink ref="AJ75" r:id="rId48" xr:uid="{00000000-0004-0000-0000-00002F000000}"/>
    <hyperlink ref="AJ76" r:id="rId49" xr:uid="{00000000-0004-0000-0000-000030000000}"/>
    <hyperlink ref="AJ77" r:id="rId50" xr:uid="{00000000-0004-0000-0000-000031000000}"/>
    <hyperlink ref="AJ78" r:id="rId51" xr:uid="{00000000-0004-0000-0000-000032000000}"/>
    <hyperlink ref="AJ79" r:id="rId52" xr:uid="{00000000-0004-0000-0000-000033000000}"/>
    <hyperlink ref="AJ80" r:id="rId53" xr:uid="{00000000-0004-0000-0000-000034000000}"/>
    <hyperlink ref="AJ81" r:id="rId54" xr:uid="{00000000-0004-0000-0000-000035000000}"/>
    <hyperlink ref="AJ82" r:id="rId55" xr:uid="{00000000-0004-0000-0000-000036000000}"/>
    <hyperlink ref="AJ83" r:id="rId56" xr:uid="{00000000-0004-0000-0000-000037000000}"/>
    <hyperlink ref="AJ84" r:id="rId57" xr:uid="{00000000-0004-0000-0000-000038000000}"/>
    <hyperlink ref="AJ85" r:id="rId58" xr:uid="{00000000-0004-0000-0000-000039000000}"/>
    <hyperlink ref="AJ86" r:id="rId59" xr:uid="{00000000-0004-0000-0000-00003A000000}"/>
    <hyperlink ref="AJ87" r:id="rId60" xr:uid="{00000000-0004-0000-0000-00003B000000}"/>
    <hyperlink ref="AJ88" r:id="rId61" xr:uid="{00000000-0004-0000-0000-00003C000000}"/>
    <hyperlink ref="AJ89" r:id="rId62" xr:uid="{00000000-0004-0000-0000-00003D000000}"/>
    <hyperlink ref="AJ90" r:id="rId63" xr:uid="{00000000-0004-0000-0000-00003E000000}"/>
    <hyperlink ref="AJ91" r:id="rId64" xr:uid="{00000000-0004-0000-0000-00003F000000}"/>
    <hyperlink ref="AJ92" r:id="rId65" xr:uid="{00000000-0004-0000-0000-000040000000}"/>
    <hyperlink ref="AJ93" r:id="rId66" xr:uid="{00000000-0004-0000-0000-000041000000}"/>
    <hyperlink ref="AJ94" r:id="rId67" xr:uid="{00000000-0004-0000-0000-000042000000}"/>
    <hyperlink ref="AJ95" r:id="rId68" xr:uid="{00000000-0004-0000-0000-000043000000}"/>
    <hyperlink ref="AJ96" r:id="rId69" xr:uid="{00000000-0004-0000-0000-000044000000}"/>
    <hyperlink ref="AJ97" r:id="rId70" xr:uid="{00000000-0004-0000-0000-000045000000}"/>
    <hyperlink ref="AJ98" r:id="rId71" xr:uid="{00000000-0004-0000-0000-000046000000}"/>
    <hyperlink ref="AJ99" r:id="rId72" xr:uid="{00000000-0004-0000-0000-000047000000}"/>
    <hyperlink ref="AJ100" r:id="rId73" xr:uid="{00000000-0004-0000-0000-000048000000}"/>
    <hyperlink ref="AJ101" r:id="rId74" xr:uid="{00000000-0004-0000-0000-000049000000}"/>
    <hyperlink ref="AJ102" r:id="rId75" xr:uid="{00000000-0004-0000-0000-00004A000000}"/>
    <hyperlink ref="AJ103" r:id="rId76" xr:uid="{00000000-0004-0000-0000-00004B000000}"/>
    <hyperlink ref="AJ104" r:id="rId77" xr:uid="{00000000-0004-0000-0000-00004C000000}"/>
    <hyperlink ref="AJ105" r:id="rId78" xr:uid="{00000000-0004-0000-0000-00004D000000}"/>
    <hyperlink ref="AJ106" r:id="rId79" xr:uid="{00000000-0004-0000-0000-00004E000000}"/>
    <hyperlink ref="AJ107" r:id="rId80" xr:uid="{00000000-0004-0000-0000-00004F000000}"/>
    <hyperlink ref="AJ108" r:id="rId81" xr:uid="{00000000-0004-0000-0000-000050000000}"/>
    <hyperlink ref="AJ109" r:id="rId82" xr:uid="{00000000-0004-0000-0000-000051000000}"/>
    <hyperlink ref="AJ110" r:id="rId83" xr:uid="{00000000-0004-0000-0000-000052000000}"/>
    <hyperlink ref="AJ111" r:id="rId84" xr:uid="{00000000-0004-0000-0000-000053000000}"/>
    <hyperlink ref="AJ112" r:id="rId85" xr:uid="{00000000-0004-0000-0000-000054000000}"/>
    <hyperlink ref="AJ113" r:id="rId86" xr:uid="{00000000-0004-0000-0000-000055000000}"/>
    <hyperlink ref="AJ114" r:id="rId87" xr:uid="{00000000-0004-0000-0000-000056000000}"/>
    <hyperlink ref="AJ115" r:id="rId88" xr:uid="{00000000-0004-0000-0000-000057000000}"/>
    <hyperlink ref="AJ116" r:id="rId89" xr:uid="{00000000-0004-0000-0000-000058000000}"/>
    <hyperlink ref="AJ117" r:id="rId90" xr:uid="{00000000-0004-0000-0000-000059000000}"/>
    <hyperlink ref="AJ118" r:id="rId91" xr:uid="{00000000-0004-0000-0000-00005A000000}"/>
    <hyperlink ref="AJ119" r:id="rId92" xr:uid="{00000000-0004-0000-0000-00005B000000}"/>
    <hyperlink ref="AJ120" r:id="rId93" xr:uid="{00000000-0004-0000-0000-00005C000000}"/>
    <hyperlink ref="AJ121" r:id="rId94" xr:uid="{00000000-0004-0000-0000-00005D000000}"/>
    <hyperlink ref="AJ122" r:id="rId95" xr:uid="{00000000-0004-0000-0000-00005E000000}"/>
    <hyperlink ref="AJ123" r:id="rId96" xr:uid="{00000000-0004-0000-0000-00005F000000}"/>
    <hyperlink ref="AJ124" r:id="rId97" xr:uid="{00000000-0004-0000-0000-000060000000}"/>
    <hyperlink ref="AJ125" r:id="rId98" xr:uid="{00000000-0004-0000-0000-000061000000}"/>
    <hyperlink ref="AJ126" r:id="rId99" xr:uid="{00000000-0004-0000-0000-000062000000}"/>
    <hyperlink ref="AJ127" r:id="rId100" xr:uid="{00000000-0004-0000-0000-000063000000}"/>
    <hyperlink ref="AJ128" r:id="rId101" xr:uid="{00000000-0004-0000-0000-000064000000}"/>
    <hyperlink ref="AJ129" r:id="rId102" xr:uid="{00000000-0004-0000-0000-000065000000}"/>
    <hyperlink ref="AJ130" r:id="rId103" xr:uid="{00000000-0004-0000-0000-000066000000}"/>
    <hyperlink ref="AJ131" r:id="rId104" xr:uid="{00000000-0004-0000-0000-000067000000}"/>
    <hyperlink ref="AJ132" r:id="rId105" xr:uid="{00000000-0004-0000-0000-000068000000}"/>
    <hyperlink ref="AJ133" r:id="rId106" xr:uid="{00000000-0004-0000-0000-000069000000}"/>
    <hyperlink ref="AJ134" r:id="rId107" xr:uid="{00000000-0004-0000-0000-00006A000000}"/>
    <hyperlink ref="AJ135" r:id="rId108" xr:uid="{00000000-0004-0000-0000-00006B000000}"/>
    <hyperlink ref="AJ136" r:id="rId109" xr:uid="{00000000-0004-0000-0000-00006C000000}"/>
    <hyperlink ref="AJ137" r:id="rId110" xr:uid="{00000000-0004-0000-0000-00006D000000}"/>
    <hyperlink ref="AJ138" r:id="rId111" xr:uid="{00000000-0004-0000-0000-00006E000000}"/>
    <hyperlink ref="AJ139" r:id="rId112" xr:uid="{00000000-0004-0000-0000-00006F000000}"/>
    <hyperlink ref="AJ140" r:id="rId113" xr:uid="{00000000-0004-0000-0000-000070000000}"/>
    <hyperlink ref="AJ141" r:id="rId114" xr:uid="{00000000-0004-0000-0000-000071000000}"/>
    <hyperlink ref="AJ142" r:id="rId115" xr:uid="{00000000-0004-0000-0000-000072000000}"/>
    <hyperlink ref="AJ143" r:id="rId116" xr:uid="{00000000-0004-0000-0000-000073000000}"/>
    <hyperlink ref="AJ144" r:id="rId117" xr:uid="{00000000-0004-0000-0000-000074000000}"/>
    <hyperlink ref="AJ145" r:id="rId118" xr:uid="{00000000-0004-0000-0000-000075000000}"/>
    <hyperlink ref="AJ146" r:id="rId119" xr:uid="{00000000-0004-0000-0000-000076000000}"/>
    <hyperlink ref="AJ147" r:id="rId120" xr:uid="{00000000-0004-0000-0000-000077000000}"/>
    <hyperlink ref="AJ148" r:id="rId121" xr:uid="{00000000-0004-0000-0000-000078000000}"/>
    <hyperlink ref="AJ149" r:id="rId122" xr:uid="{00000000-0004-0000-0000-000079000000}"/>
    <hyperlink ref="AJ150" r:id="rId123" xr:uid="{00000000-0004-0000-0000-00007A000000}"/>
    <hyperlink ref="AJ151" r:id="rId124" xr:uid="{00000000-0004-0000-0000-00007B000000}"/>
    <hyperlink ref="AJ152" r:id="rId125" xr:uid="{00000000-0004-0000-0000-00007C000000}"/>
    <hyperlink ref="AJ153" r:id="rId126" xr:uid="{00000000-0004-0000-0000-00007D000000}"/>
    <hyperlink ref="AJ154" r:id="rId127" xr:uid="{00000000-0004-0000-0000-00007E000000}"/>
    <hyperlink ref="AJ155" r:id="rId128" xr:uid="{00000000-0004-0000-0000-00007F000000}"/>
    <hyperlink ref="AJ156" r:id="rId129" xr:uid="{00000000-0004-0000-0000-000080000000}"/>
    <hyperlink ref="AJ157" r:id="rId130" xr:uid="{00000000-0004-0000-0000-000081000000}"/>
    <hyperlink ref="AJ158" r:id="rId131" xr:uid="{00000000-0004-0000-0000-000082000000}"/>
    <hyperlink ref="AJ159" r:id="rId132" xr:uid="{00000000-0004-0000-0000-000083000000}"/>
    <hyperlink ref="AJ160" r:id="rId133" xr:uid="{00000000-0004-0000-0000-000084000000}"/>
    <hyperlink ref="AJ161" r:id="rId134" xr:uid="{00000000-0004-0000-0000-000085000000}"/>
    <hyperlink ref="AJ162" r:id="rId135" xr:uid="{00000000-0004-0000-0000-000086000000}"/>
    <hyperlink ref="AJ163" r:id="rId136" xr:uid="{00000000-0004-0000-0000-000087000000}"/>
    <hyperlink ref="AJ164" r:id="rId137" xr:uid="{00000000-0004-0000-0000-000088000000}"/>
    <hyperlink ref="AJ165" r:id="rId138" xr:uid="{00000000-0004-0000-0000-000089000000}"/>
    <hyperlink ref="AJ166" r:id="rId139" xr:uid="{00000000-0004-0000-0000-00008A000000}"/>
    <hyperlink ref="AJ167" r:id="rId140" xr:uid="{00000000-0004-0000-0000-00008B000000}"/>
    <hyperlink ref="AJ168" r:id="rId141" xr:uid="{00000000-0004-0000-0000-00008C000000}"/>
    <hyperlink ref="AJ169" r:id="rId142" xr:uid="{00000000-0004-0000-0000-00008D000000}"/>
    <hyperlink ref="AJ170" r:id="rId143" xr:uid="{00000000-0004-0000-0000-00008E000000}"/>
    <hyperlink ref="AJ171" r:id="rId144" xr:uid="{00000000-0004-0000-0000-00008F000000}"/>
    <hyperlink ref="AJ172" r:id="rId145" xr:uid="{00000000-0004-0000-0000-000090000000}"/>
    <hyperlink ref="AJ173" r:id="rId146" xr:uid="{00000000-0004-0000-0000-000091000000}"/>
    <hyperlink ref="AJ174" r:id="rId147" xr:uid="{00000000-0004-0000-0000-000092000000}"/>
    <hyperlink ref="AJ175" r:id="rId148" xr:uid="{00000000-0004-0000-0000-000093000000}"/>
    <hyperlink ref="AJ176" r:id="rId149" xr:uid="{00000000-0004-0000-0000-000094000000}"/>
    <hyperlink ref="AJ177" r:id="rId150" xr:uid="{00000000-0004-0000-0000-000095000000}"/>
    <hyperlink ref="AJ178" r:id="rId151" xr:uid="{00000000-0004-0000-0000-000096000000}"/>
    <hyperlink ref="AJ179" r:id="rId152" xr:uid="{00000000-0004-0000-0000-000097000000}"/>
    <hyperlink ref="AJ180" r:id="rId153" xr:uid="{00000000-0004-0000-0000-000098000000}"/>
    <hyperlink ref="AJ181" r:id="rId154" xr:uid="{00000000-0004-0000-0000-000099000000}"/>
    <hyperlink ref="AJ182" r:id="rId155" xr:uid="{00000000-0004-0000-0000-00009A000000}"/>
    <hyperlink ref="AJ183" r:id="rId156" xr:uid="{00000000-0004-0000-0000-00009B000000}"/>
    <hyperlink ref="AJ184" r:id="rId157" xr:uid="{00000000-0004-0000-0000-00009C000000}"/>
    <hyperlink ref="AJ185" r:id="rId158" xr:uid="{00000000-0004-0000-0000-00009D000000}"/>
    <hyperlink ref="AJ186" r:id="rId159" xr:uid="{00000000-0004-0000-0000-00009E000000}"/>
    <hyperlink ref="AJ187" r:id="rId160" xr:uid="{00000000-0004-0000-0000-00009F000000}"/>
    <hyperlink ref="AJ188" r:id="rId161" xr:uid="{00000000-0004-0000-0000-0000A0000000}"/>
    <hyperlink ref="AJ189" r:id="rId162" xr:uid="{00000000-0004-0000-0000-0000A1000000}"/>
    <hyperlink ref="AJ190" r:id="rId163" xr:uid="{00000000-0004-0000-0000-0000A2000000}"/>
    <hyperlink ref="AJ191" r:id="rId164" xr:uid="{00000000-0004-0000-0000-0000A3000000}"/>
    <hyperlink ref="AJ192" r:id="rId165" xr:uid="{00000000-0004-0000-0000-0000A4000000}"/>
    <hyperlink ref="AJ193" r:id="rId166" xr:uid="{00000000-0004-0000-0000-0000A5000000}"/>
    <hyperlink ref="AJ194" r:id="rId167" xr:uid="{00000000-0004-0000-0000-0000A6000000}"/>
    <hyperlink ref="AJ195" r:id="rId168" xr:uid="{00000000-0004-0000-0000-0000A7000000}"/>
    <hyperlink ref="AJ196" r:id="rId169" xr:uid="{00000000-0004-0000-0000-0000A8000000}"/>
    <hyperlink ref="AJ197" r:id="rId170" xr:uid="{00000000-0004-0000-0000-0000A9000000}"/>
    <hyperlink ref="AJ198" r:id="rId171" xr:uid="{00000000-0004-0000-0000-0000AA000000}"/>
    <hyperlink ref="AJ199" r:id="rId172" xr:uid="{00000000-0004-0000-0000-0000AB000000}"/>
    <hyperlink ref="AJ200" r:id="rId173" xr:uid="{00000000-0004-0000-0000-0000AC000000}"/>
    <hyperlink ref="AJ201" r:id="rId174" xr:uid="{00000000-0004-0000-0000-0000AD000000}"/>
    <hyperlink ref="AJ202" r:id="rId175" xr:uid="{00000000-0004-0000-0000-0000AE000000}"/>
    <hyperlink ref="AJ203" r:id="rId176" xr:uid="{00000000-0004-0000-0000-0000AF000000}"/>
    <hyperlink ref="AJ204" r:id="rId177" xr:uid="{00000000-0004-0000-0000-0000B0000000}"/>
    <hyperlink ref="AJ206" r:id="rId178" xr:uid="{00000000-0004-0000-0000-0000B1000000}"/>
    <hyperlink ref="AJ207" r:id="rId179" xr:uid="{00000000-0004-0000-0000-0000B2000000}"/>
    <hyperlink ref="AJ208" r:id="rId180" xr:uid="{00000000-0004-0000-0000-0000B3000000}"/>
    <hyperlink ref="AJ209" r:id="rId181" xr:uid="{00000000-0004-0000-0000-0000B4000000}"/>
    <hyperlink ref="AJ210" r:id="rId182" xr:uid="{00000000-0004-0000-0000-0000B5000000}"/>
    <hyperlink ref="AJ211" r:id="rId183" xr:uid="{00000000-0004-0000-0000-0000B6000000}"/>
    <hyperlink ref="AJ212" r:id="rId184" xr:uid="{00000000-0004-0000-0000-0000B7000000}"/>
    <hyperlink ref="AJ213" r:id="rId185" xr:uid="{00000000-0004-0000-0000-0000B8000000}"/>
    <hyperlink ref="AJ214" r:id="rId186" xr:uid="{00000000-0004-0000-0000-0000B9000000}"/>
    <hyperlink ref="AJ215" r:id="rId187" xr:uid="{00000000-0004-0000-0000-0000BA000000}"/>
    <hyperlink ref="AJ216" r:id="rId188" xr:uid="{00000000-0004-0000-0000-0000BB000000}"/>
    <hyperlink ref="AJ217" r:id="rId189" xr:uid="{00000000-0004-0000-0000-0000BC000000}"/>
    <hyperlink ref="AJ218" r:id="rId190" xr:uid="{00000000-0004-0000-0000-0000BD000000}"/>
    <hyperlink ref="AJ219" r:id="rId191" xr:uid="{00000000-0004-0000-0000-0000BE000000}"/>
    <hyperlink ref="AJ220" r:id="rId192" xr:uid="{00000000-0004-0000-0000-0000BF000000}"/>
    <hyperlink ref="AJ221" r:id="rId193" xr:uid="{00000000-0004-0000-0000-0000C0000000}"/>
    <hyperlink ref="AJ222" r:id="rId194" xr:uid="{00000000-0004-0000-0000-0000C1000000}"/>
    <hyperlink ref="AJ223" r:id="rId195" xr:uid="{00000000-0004-0000-0000-0000C2000000}"/>
    <hyperlink ref="AJ224" r:id="rId196" xr:uid="{00000000-0004-0000-0000-0000C3000000}"/>
    <hyperlink ref="AJ225" r:id="rId197" xr:uid="{00000000-0004-0000-0000-0000C4000000}"/>
    <hyperlink ref="AJ226" r:id="rId198" xr:uid="{00000000-0004-0000-0000-0000C5000000}"/>
    <hyperlink ref="AJ227" r:id="rId199" xr:uid="{00000000-0004-0000-0000-0000C6000000}"/>
    <hyperlink ref="AJ228" r:id="rId200" xr:uid="{00000000-0004-0000-0000-0000C7000000}"/>
    <hyperlink ref="AJ229" r:id="rId201" xr:uid="{00000000-0004-0000-0000-0000C8000000}"/>
    <hyperlink ref="AJ230" r:id="rId202" xr:uid="{00000000-0004-0000-0000-0000C9000000}"/>
    <hyperlink ref="AJ231" r:id="rId203" xr:uid="{00000000-0004-0000-0000-0000CA000000}"/>
    <hyperlink ref="AJ232" r:id="rId204" xr:uid="{00000000-0004-0000-0000-0000CB000000}"/>
    <hyperlink ref="AJ233" r:id="rId205" xr:uid="{00000000-0004-0000-0000-0000CC000000}"/>
    <hyperlink ref="AJ234" r:id="rId206" xr:uid="{00000000-0004-0000-0000-0000CD000000}"/>
    <hyperlink ref="AJ235" r:id="rId207" xr:uid="{00000000-0004-0000-0000-0000CE000000}"/>
    <hyperlink ref="AJ236" r:id="rId208" xr:uid="{00000000-0004-0000-0000-0000CF000000}"/>
    <hyperlink ref="AJ237" r:id="rId209" xr:uid="{00000000-0004-0000-0000-0000D0000000}"/>
    <hyperlink ref="AJ238" r:id="rId210" xr:uid="{00000000-0004-0000-0000-0000D1000000}"/>
    <hyperlink ref="AJ239" r:id="rId211" xr:uid="{00000000-0004-0000-0000-0000D2000000}"/>
    <hyperlink ref="AJ240" r:id="rId212" xr:uid="{00000000-0004-0000-0000-0000D3000000}"/>
    <hyperlink ref="AJ241" r:id="rId213" xr:uid="{00000000-0004-0000-0000-0000D4000000}"/>
    <hyperlink ref="AJ242" r:id="rId214" xr:uid="{00000000-0004-0000-0000-0000D5000000}"/>
    <hyperlink ref="AJ243" r:id="rId215" xr:uid="{00000000-0004-0000-0000-0000D6000000}"/>
    <hyperlink ref="AJ244" r:id="rId216" xr:uid="{00000000-0004-0000-0000-0000D7000000}"/>
    <hyperlink ref="AJ245" r:id="rId217" xr:uid="{00000000-0004-0000-0000-0000D8000000}"/>
    <hyperlink ref="AJ246" r:id="rId218" xr:uid="{00000000-0004-0000-0000-0000D9000000}"/>
    <hyperlink ref="AJ247" r:id="rId219" xr:uid="{00000000-0004-0000-0000-0000DA000000}"/>
    <hyperlink ref="AJ248" r:id="rId220" xr:uid="{00000000-0004-0000-0000-0000DB000000}"/>
    <hyperlink ref="AJ249" r:id="rId221" xr:uid="{00000000-0004-0000-0000-0000DC000000}"/>
    <hyperlink ref="AJ250" r:id="rId222" xr:uid="{00000000-0004-0000-0000-0000DD000000}"/>
    <hyperlink ref="AJ251" r:id="rId223" xr:uid="{00000000-0004-0000-0000-0000DE000000}"/>
    <hyperlink ref="AJ252" r:id="rId224" xr:uid="{00000000-0004-0000-0000-0000DF000000}"/>
    <hyperlink ref="AJ253" r:id="rId225" xr:uid="{00000000-0004-0000-0000-0000E0000000}"/>
    <hyperlink ref="AJ254" r:id="rId226" xr:uid="{00000000-0004-0000-0000-0000E1000000}"/>
    <hyperlink ref="AJ255" r:id="rId227" xr:uid="{00000000-0004-0000-0000-0000E2000000}"/>
    <hyperlink ref="AJ256" r:id="rId228" xr:uid="{00000000-0004-0000-0000-0000E3000000}"/>
    <hyperlink ref="AJ257" r:id="rId229" xr:uid="{00000000-0004-0000-0000-0000E4000000}"/>
    <hyperlink ref="AJ258" r:id="rId230" xr:uid="{00000000-0004-0000-0000-0000E5000000}"/>
    <hyperlink ref="AJ259" r:id="rId231" xr:uid="{00000000-0004-0000-0000-0000E6000000}"/>
    <hyperlink ref="AJ260" r:id="rId232" xr:uid="{00000000-0004-0000-0000-0000E7000000}"/>
    <hyperlink ref="AJ261" r:id="rId233" xr:uid="{00000000-0004-0000-0000-0000E8000000}"/>
    <hyperlink ref="AJ262" r:id="rId234" xr:uid="{00000000-0004-0000-0000-0000E9000000}"/>
    <hyperlink ref="AJ263" r:id="rId235" xr:uid="{00000000-0004-0000-0000-0000EA000000}"/>
    <hyperlink ref="AJ264" r:id="rId236" xr:uid="{00000000-0004-0000-0000-0000EB000000}"/>
    <hyperlink ref="AJ265" r:id="rId237" xr:uid="{00000000-0004-0000-0000-0000EC000000}"/>
    <hyperlink ref="AJ266" r:id="rId238" xr:uid="{00000000-0004-0000-0000-0000ED000000}"/>
    <hyperlink ref="AJ267" r:id="rId239" xr:uid="{00000000-0004-0000-0000-0000EE000000}"/>
    <hyperlink ref="AJ268" r:id="rId240" xr:uid="{00000000-0004-0000-0000-0000EF000000}"/>
    <hyperlink ref="AJ269" r:id="rId241" xr:uid="{00000000-0004-0000-0000-0000F0000000}"/>
    <hyperlink ref="AJ270" r:id="rId242" xr:uid="{00000000-0004-0000-0000-0000F1000000}"/>
    <hyperlink ref="AJ271" r:id="rId243" xr:uid="{00000000-0004-0000-0000-0000F2000000}"/>
    <hyperlink ref="AJ272" r:id="rId244" xr:uid="{00000000-0004-0000-0000-0000F3000000}"/>
    <hyperlink ref="AJ273" r:id="rId245" xr:uid="{00000000-0004-0000-0000-0000F4000000}"/>
    <hyperlink ref="AJ274" r:id="rId246" xr:uid="{00000000-0004-0000-0000-0000F5000000}"/>
    <hyperlink ref="AJ275" r:id="rId247" xr:uid="{00000000-0004-0000-0000-0000F6000000}"/>
    <hyperlink ref="AJ276" r:id="rId248" xr:uid="{00000000-0004-0000-0000-0000F7000000}"/>
    <hyperlink ref="AJ277" r:id="rId249" xr:uid="{00000000-0004-0000-0000-0000F8000000}"/>
    <hyperlink ref="AJ278" r:id="rId250" xr:uid="{00000000-0004-0000-0000-0000F9000000}"/>
    <hyperlink ref="AJ279" r:id="rId251" xr:uid="{00000000-0004-0000-0000-0000FA000000}"/>
    <hyperlink ref="AJ280" r:id="rId252" xr:uid="{00000000-0004-0000-0000-0000FB000000}"/>
    <hyperlink ref="AJ281" r:id="rId253" xr:uid="{00000000-0004-0000-0000-0000FC000000}"/>
    <hyperlink ref="AJ282" r:id="rId254" xr:uid="{00000000-0004-0000-0000-0000FD000000}"/>
    <hyperlink ref="AJ283" r:id="rId255" xr:uid="{00000000-0004-0000-0000-0000FE000000}"/>
    <hyperlink ref="AJ284" r:id="rId256" xr:uid="{00000000-0004-0000-0000-0000FF000000}"/>
    <hyperlink ref="AJ285" r:id="rId257" xr:uid="{00000000-0004-0000-0000-000000010000}"/>
    <hyperlink ref="AJ286" r:id="rId258" xr:uid="{00000000-0004-0000-0000-000001010000}"/>
    <hyperlink ref="AJ287" r:id="rId259" xr:uid="{00000000-0004-0000-0000-000002010000}"/>
    <hyperlink ref="AJ288" r:id="rId260" xr:uid="{00000000-0004-0000-0000-000003010000}"/>
    <hyperlink ref="AJ289" r:id="rId261" xr:uid="{00000000-0004-0000-0000-000004010000}"/>
    <hyperlink ref="AJ290" r:id="rId262" xr:uid="{00000000-0004-0000-0000-000005010000}"/>
    <hyperlink ref="AJ291" r:id="rId263" xr:uid="{00000000-0004-0000-0000-000006010000}"/>
    <hyperlink ref="AJ292" r:id="rId264" xr:uid="{00000000-0004-0000-0000-000007010000}"/>
    <hyperlink ref="AJ293" r:id="rId265" xr:uid="{00000000-0004-0000-0000-000008010000}"/>
    <hyperlink ref="AJ294" r:id="rId266" xr:uid="{00000000-0004-0000-0000-000009010000}"/>
    <hyperlink ref="AJ295" r:id="rId267" xr:uid="{00000000-0004-0000-0000-00000A010000}"/>
    <hyperlink ref="AJ296" r:id="rId268" xr:uid="{00000000-0004-0000-0000-00000B010000}"/>
    <hyperlink ref="AJ297" r:id="rId269" xr:uid="{00000000-0004-0000-0000-00000C010000}"/>
    <hyperlink ref="AJ298" r:id="rId270" xr:uid="{00000000-0004-0000-0000-00000D010000}"/>
    <hyperlink ref="AJ299" r:id="rId271" xr:uid="{00000000-0004-0000-0000-00000E010000}"/>
    <hyperlink ref="AJ300" r:id="rId272" xr:uid="{00000000-0004-0000-0000-00000F010000}"/>
    <hyperlink ref="AJ301" r:id="rId273" xr:uid="{00000000-0004-0000-0000-000010010000}"/>
    <hyperlink ref="AJ302" r:id="rId274" xr:uid="{00000000-0004-0000-0000-000011010000}"/>
    <hyperlink ref="AJ303" r:id="rId275" xr:uid="{00000000-0004-0000-0000-000012010000}"/>
    <hyperlink ref="AJ304" r:id="rId276" xr:uid="{00000000-0004-0000-0000-000013010000}"/>
    <hyperlink ref="AJ305" r:id="rId277" xr:uid="{00000000-0004-0000-0000-000014010000}"/>
    <hyperlink ref="AJ306" r:id="rId278" xr:uid="{00000000-0004-0000-0000-000015010000}"/>
    <hyperlink ref="AJ307" r:id="rId279" xr:uid="{00000000-0004-0000-0000-000016010000}"/>
    <hyperlink ref="AJ308" r:id="rId280" xr:uid="{00000000-0004-0000-0000-000017010000}"/>
    <hyperlink ref="AJ309" r:id="rId281" xr:uid="{00000000-0004-0000-0000-000018010000}"/>
    <hyperlink ref="AJ310" r:id="rId282" xr:uid="{00000000-0004-0000-0000-000019010000}"/>
    <hyperlink ref="AJ311" r:id="rId283" xr:uid="{00000000-0004-0000-0000-00001A010000}"/>
    <hyperlink ref="AJ312" r:id="rId284" xr:uid="{00000000-0004-0000-0000-00001B010000}"/>
    <hyperlink ref="AJ313" r:id="rId285" xr:uid="{00000000-0004-0000-0000-00001C010000}"/>
    <hyperlink ref="AJ314" r:id="rId286" xr:uid="{00000000-0004-0000-0000-00001D010000}"/>
    <hyperlink ref="AJ315" r:id="rId287" xr:uid="{00000000-0004-0000-0000-00001E010000}"/>
    <hyperlink ref="AJ316" r:id="rId288" xr:uid="{00000000-0004-0000-0000-00001F010000}"/>
    <hyperlink ref="AJ317" r:id="rId289" xr:uid="{00000000-0004-0000-0000-000020010000}"/>
    <hyperlink ref="AJ318" r:id="rId290" xr:uid="{00000000-0004-0000-0000-000021010000}"/>
    <hyperlink ref="AJ319" r:id="rId291" xr:uid="{00000000-0004-0000-0000-000022010000}"/>
    <hyperlink ref="AJ320" r:id="rId292" xr:uid="{00000000-0004-0000-0000-000023010000}"/>
    <hyperlink ref="AJ321" r:id="rId293" xr:uid="{00000000-0004-0000-0000-000024010000}"/>
    <hyperlink ref="AJ322" r:id="rId294" xr:uid="{00000000-0004-0000-0000-000025010000}"/>
    <hyperlink ref="AJ323" r:id="rId295" xr:uid="{00000000-0004-0000-0000-000026010000}"/>
    <hyperlink ref="AJ324" r:id="rId296" xr:uid="{00000000-0004-0000-0000-000027010000}"/>
    <hyperlink ref="AJ325" r:id="rId297" xr:uid="{00000000-0004-0000-0000-000028010000}"/>
    <hyperlink ref="AJ326" r:id="rId298" xr:uid="{00000000-0004-0000-0000-000029010000}"/>
    <hyperlink ref="AJ327" r:id="rId299" xr:uid="{00000000-0004-0000-0000-00002A010000}"/>
    <hyperlink ref="AJ328" r:id="rId300" xr:uid="{00000000-0004-0000-0000-00002B010000}"/>
    <hyperlink ref="AJ329" r:id="rId301" xr:uid="{00000000-0004-0000-0000-00002C010000}"/>
    <hyperlink ref="AJ330" r:id="rId302" xr:uid="{00000000-0004-0000-0000-00002D010000}"/>
    <hyperlink ref="AJ331" r:id="rId303" xr:uid="{00000000-0004-0000-0000-00002E010000}"/>
    <hyperlink ref="AJ332" r:id="rId304" xr:uid="{00000000-0004-0000-0000-00002F010000}"/>
    <hyperlink ref="AJ333" r:id="rId305" xr:uid="{00000000-0004-0000-0000-000030010000}"/>
    <hyperlink ref="AJ334" r:id="rId306" xr:uid="{00000000-0004-0000-0000-000031010000}"/>
    <hyperlink ref="AJ335" r:id="rId307" xr:uid="{00000000-0004-0000-0000-000032010000}"/>
    <hyperlink ref="AJ336" r:id="rId308" xr:uid="{00000000-0004-0000-0000-000033010000}"/>
    <hyperlink ref="AJ337" r:id="rId309" xr:uid="{00000000-0004-0000-0000-000034010000}"/>
    <hyperlink ref="AJ338" r:id="rId310" xr:uid="{00000000-0004-0000-0000-000035010000}"/>
    <hyperlink ref="AJ339" r:id="rId311" xr:uid="{00000000-0004-0000-0000-000036010000}"/>
    <hyperlink ref="AJ340" r:id="rId312" xr:uid="{00000000-0004-0000-0000-000037010000}"/>
    <hyperlink ref="AJ341" r:id="rId313" xr:uid="{00000000-0004-0000-0000-000038010000}"/>
    <hyperlink ref="AJ342" r:id="rId314" xr:uid="{00000000-0004-0000-0000-000039010000}"/>
    <hyperlink ref="AJ343" r:id="rId315" xr:uid="{00000000-0004-0000-0000-00003A010000}"/>
    <hyperlink ref="AJ344" r:id="rId316" xr:uid="{00000000-0004-0000-0000-00003B010000}"/>
    <hyperlink ref="AJ345" r:id="rId317" xr:uid="{00000000-0004-0000-0000-00003C010000}"/>
    <hyperlink ref="AJ346" r:id="rId318" xr:uid="{00000000-0004-0000-0000-00003D010000}"/>
    <hyperlink ref="AJ347" r:id="rId319" xr:uid="{00000000-0004-0000-0000-00003E010000}"/>
    <hyperlink ref="AJ348" r:id="rId320" xr:uid="{00000000-0004-0000-0000-00003F010000}"/>
    <hyperlink ref="AJ349" r:id="rId321" xr:uid="{00000000-0004-0000-0000-000040010000}"/>
    <hyperlink ref="AJ350" r:id="rId322" xr:uid="{00000000-0004-0000-0000-000041010000}"/>
    <hyperlink ref="AJ351" r:id="rId323" xr:uid="{00000000-0004-0000-0000-000042010000}"/>
    <hyperlink ref="AJ352" r:id="rId324" xr:uid="{00000000-0004-0000-0000-000043010000}"/>
    <hyperlink ref="AJ353" r:id="rId325" xr:uid="{00000000-0004-0000-0000-000044010000}"/>
    <hyperlink ref="AJ354" r:id="rId326" xr:uid="{00000000-0004-0000-0000-000045010000}"/>
    <hyperlink ref="AJ355" r:id="rId327" xr:uid="{00000000-0004-0000-0000-000046010000}"/>
    <hyperlink ref="AJ356" r:id="rId328" xr:uid="{00000000-0004-0000-0000-000047010000}"/>
    <hyperlink ref="AJ357" r:id="rId329" xr:uid="{00000000-0004-0000-0000-000048010000}"/>
    <hyperlink ref="AJ358" r:id="rId330" xr:uid="{00000000-0004-0000-0000-000049010000}"/>
    <hyperlink ref="AJ359" r:id="rId331" xr:uid="{00000000-0004-0000-0000-00004A010000}"/>
    <hyperlink ref="AJ360" r:id="rId332" xr:uid="{00000000-0004-0000-0000-00004B010000}"/>
    <hyperlink ref="AJ361" r:id="rId333" xr:uid="{00000000-0004-0000-0000-00004C010000}"/>
    <hyperlink ref="AJ362" r:id="rId334" xr:uid="{00000000-0004-0000-0000-00004D010000}"/>
    <hyperlink ref="AJ363" r:id="rId335" xr:uid="{00000000-0004-0000-0000-00004E010000}"/>
    <hyperlink ref="AJ364" r:id="rId336" xr:uid="{00000000-0004-0000-0000-00004F010000}"/>
    <hyperlink ref="AJ365" r:id="rId337" xr:uid="{00000000-0004-0000-0000-000050010000}"/>
    <hyperlink ref="AJ366" r:id="rId338" xr:uid="{00000000-0004-0000-0000-000051010000}"/>
    <hyperlink ref="AJ367" r:id="rId339" xr:uid="{00000000-0004-0000-0000-000052010000}"/>
    <hyperlink ref="AJ368" r:id="rId340" xr:uid="{00000000-0004-0000-0000-000053010000}"/>
    <hyperlink ref="AJ369" r:id="rId341" xr:uid="{00000000-0004-0000-0000-000054010000}"/>
    <hyperlink ref="AJ370" r:id="rId342" xr:uid="{00000000-0004-0000-0000-000055010000}"/>
    <hyperlink ref="AJ371" r:id="rId343" xr:uid="{00000000-0004-0000-0000-000056010000}"/>
    <hyperlink ref="AJ372" r:id="rId344" xr:uid="{00000000-0004-0000-0000-000057010000}"/>
    <hyperlink ref="AJ373" r:id="rId345" xr:uid="{00000000-0004-0000-0000-000058010000}"/>
    <hyperlink ref="AJ374" r:id="rId346" xr:uid="{00000000-0004-0000-0000-000059010000}"/>
    <hyperlink ref="AJ375" r:id="rId347" xr:uid="{00000000-0004-0000-0000-00005A010000}"/>
    <hyperlink ref="AJ376" r:id="rId348" xr:uid="{00000000-0004-0000-0000-00005B010000}"/>
    <hyperlink ref="AJ377" r:id="rId349" xr:uid="{00000000-0004-0000-0000-00005C010000}"/>
    <hyperlink ref="AJ378" r:id="rId350" xr:uid="{00000000-0004-0000-0000-00005D010000}"/>
    <hyperlink ref="AJ379" r:id="rId351" xr:uid="{00000000-0004-0000-0000-00005E010000}"/>
    <hyperlink ref="AJ380" r:id="rId352" xr:uid="{00000000-0004-0000-0000-00005F010000}"/>
    <hyperlink ref="AJ381" r:id="rId353" xr:uid="{00000000-0004-0000-0000-000060010000}"/>
    <hyperlink ref="AJ382" r:id="rId354" xr:uid="{00000000-0004-0000-0000-000061010000}"/>
    <hyperlink ref="AJ383" r:id="rId355" xr:uid="{00000000-0004-0000-0000-000062010000}"/>
    <hyperlink ref="AJ384" r:id="rId356" xr:uid="{00000000-0004-0000-0000-000063010000}"/>
    <hyperlink ref="AJ385" r:id="rId357" xr:uid="{00000000-0004-0000-0000-000064010000}"/>
    <hyperlink ref="AJ386" r:id="rId358" xr:uid="{00000000-0004-0000-0000-000065010000}"/>
    <hyperlink ref="AJ387" r:id="rId359" xr:uid="{00000000-0004-0000-0000-000066010000}"/>
    <hyperlink ref="AJ388" r:id="rId360" xr:uid="{00000000-0004-0000-0000-000067010000}"/>
    <hyperlink ref="AJ389" r:id="rId361" xr:uid="{00000000-0004-0000-0000-000068010000}"/>
    <hyperlink ref="AJ390" r:id="rId362" xr:uid="{00000000-0004-0000-0000-000069010000}"/>
    <hyperlink ref="AJ391" r:id="rId363" xr:uid="{00000000-0004-0000-0000-00006A010000}"/>
    <hyperlink ref="AJ392" r:id="rId364" xr:uid="{00000000-0004-0000-0000-00006B010000}"/>
    <hyperlink ref="AJ393" r:id="rId365" xr:uid="{00000000-0004-0000-0000-00006C010000}"/>
    <hyperlink ref="AJ394" r:id="rId366" xr:uid="{00000000-0004-0000-0000-00006D010000}"/>
    <hyperlink ref="AJ395" r:id="rId367" xr:uid="{00000000-0004-0000-0000-00006E010000}"/>
    <hyperlink ref="AJ396" r:id="rId368" xr:uid="{00000000-0004-0000-0000-00006F010000}"/>
    <hyperlink ref="AJ397" r:id="rId369" xr:uid="{00000000-0004-0000-0000-000070010000}"/>
    <hyperlink ref="AJ398" r:id="rId370" xr:uid="{00000000-0004-0000-0000-000071010000}"/>
    <hyperlink ref="AJ399" r:id="rId371" xr:uid="{00000000-0004-0000-0000-000072010000}"/>
    <hyperlink ref="AJ400" r:id="rId372" xr:uid="{00000000-0004-0000-0000-000073010000}"/>
    <hyperlink ref="AJ401" r:id="rId373" xr:uid="{00000000-0004-0000-0000-000074010000}"/>
    <hyperlink ref="AJ402" r:id="rId374" xr:uid="{00000000-0004-0000-0000-000075010000}"/>
    <hyperlink ref="AJ403" r:id="rId375" xr:uid="{00000000-0004-0000-0000-000076010000}"/>
    <hyperlink ref="AJ404" r:id="rId376" xr:uid="{00000000-0004-0000-0000-000077010000}"/>
    <hyperlink ref="AJ405" r:id="rId377" xr:uid="{00000000-0004-0000-0000-000078010000}"/>
    <hyperlink ref="AJ406" r:id="rId378" xr:uid="{00000000-0004-0000-0000-000079010000}"/>
    <hyperlink ref="AJ407" r:id="rId379" xr:uid="{00000000-0004-0000-0000-00007A010000}"/>
    <hyperlink ref="AJ408" r:id="rId380" xr:uid="{00000000-0004-0000-0000-00007B010000}"/>
    <hyperlink ref="AJ409" r:id="rId381" xr:uid="{00000000-0004-0000-0000-00007C010000}"/>
    <hyperlink ref="AJ410" r:id="rId382" xr:uid="{00000000-0004-0000-0000-00007D010000}"/>
    <hyperlink ref="AJ411" r:id="rId383" xr:uid="{00000000-0004-0000-0000-00007E010000}"/>
    <hyperlink ref="AJ412" r:id="rId384" xr:uid="{00000000-0004-0000-0000-00007F010000}"/>
    <hyperlink ref="AJ413" r:id="rId385" xr:uid="{00000000-0004-0000-0000-000080010000}"/>
    <hyperlink ref="AJ414" r:id="rId386" xr:uid="{00000000-0004-0000-0000-000081010000}"/>
    <hyperlink ref="AJ415" r:id="rId387" xr:uid="{00000000-0004-0000-0000-000082010000}"/>
    <hyperlink ref="AJ416" r:id="rId388" xr:uid="{00000000-0004-0000-0000-000083010000}"/>
    <hyperlink ref="AJ417" r:id="rId389" xr:uid="{00000000-0004-0000-0000-000084010000}"/>
    <hyperlink ref="AJ418" r:id="rId390" xr:uid="{00000000-0004-0000-0000-000085010000}"/>
    <hyperlink ref="AJ419" r:id="rId391" xr:uid="{00000000-0004-0000-0000-000086010000}"/>
    <hyperlink ref="AJ420" r:id="rId392" xr:uid="{00000000-0004-0000-0000-000087010000}"/>
    <hyperlink ref="AJ421" r:id="rId393" xr:uid="{00000000-0004-0000-0000-000088010000}"/>
    <hyperlink ref="AJ422" r:id="rId394" xr:uid="{00000000-0004-0000-0000-000089010000}"/>
    <hyperlink ref="AJ423" r:id="rId395" xr:uid="{00000000-0004-0000-0000-00008A010000}"/>
    <hyperlink ref="AJ424" r:id="rId396" xr:uid="{00000000-0004-0000-0000-00008B010000}"/>
    <hyperlink ref="AJ425" r:id="rId397" xr:uid="{00000000-0004-0000-0000-00008C010000}"/>
    <hyperlink ref="AJ426" r:id="rId398" xr:uid="{00000000-0004-0000-0000-00008D010000}"/>
    <hyperlink ref="AJ427" r:id="rId399" xr:uid="{00000000-0004-0000-0000-00008E010000}"/>
    <hyperlink ref="AJ428" r:id="rId400" xr:uid="{00000000-0004-0000-0000-00008F010000}"/>
    <hyperlink ref="AJ429" r:id="rId401" xr:uid="{00000000-0004-0000-0000-000090010000}"/>
    <hyperlink ref="AJ430" r:id="rId402" xr:uid="{00000000-0004-0000-0000-000091010000}"/>
    <hyperlink ref="AJ431" r:id="rId403" xr:uid="{00000000-0004-0000-0000-000092010000}"/>
    <hyperlink ref="AJ432" r:id="rId404" xr:uid="{00000000-0004-0000-0000-000093010000}"/>
    <hyperlink ref="AJ433" r:id="rId405" xr:uid="{00000000-0004-0000-0000-000094010000}"/>
    <hyperlink ref="AJ434" r:id="rId406" xr:uid="{00000000-0004-0000-0000-000095010000}"/>
    <hyperlink ref="AJ435" r:id="rId407" xr:uid="{00000000-0004-0000-0000-000096010000}"/>
    <hyperlink ref="AJ436" r:id="rId408" xr:uid="{00000000-0004-0000-0000-000097010000}"/>
    <hyperlink ref="AJ437" r:id="rId409" xr:uid="{00000000-0004-0000-0000-000098010000}"/>
    <hyperlink ref="AJ438" r:id="rId410" xr:uid="{00000000-0004-0000-0000-000099010000}"/>
    <hyperlink ref="AJ439" r:id="rId411" xr:uid="{00000000-0004-0000-0000-00009A010000}"/>
    <hyperlink ref="AJ440" r:id="rId412" xr:uid="{00000000-0004-0000-0000-00009B010000}"/>
    <hyperlink ref="AJ441" r:id="rId413" xr:uid="{00000000-0004-0000-0000-00009C010000}"/>
    <hyperlink ref="AJ442" r:id="rId414" xr:uid="{00000000-0004-0000-0000-00009D010000}"/>
    <hyperlink ref="AJ443" r:id="rId415" xr:uid="{00000000-0004-0000-0000-00009E010000}"/>
    <hyperlink ref="AJ444" r:id="rId416" xr:uid="{00000000-0004-0000-0000-00009F010000}"/>
    <hyperlink ref="AJ445" r:id="rId417" xr:uid="{00000000-0004-0000-0000-0000A0010000}"/>
    <hyperlink ref="AJ446" r:id="rId418" xr:uid="{00000000-0004-0000-0000-0000A1010000}"/>
    <hyperlink ref="AJ447" r:id="rId419" xr:uid="{00000000-0004-0000-0000-0000A2010000}"/>
    <hyperlink ref="AJ448" r:id="rId420" xr:uid="{00000000-0004-0000-0000-0000A3010000}"/>
    <hyperlink ref="AJ449" r:id="rId421" xr:uid="{00000000-0004-0000-0000-0000A4010000}"/>
    <hyperlink ref="AJ450" r:id="rId422" xr:uid="{00000000-0004-0000-0000-0000A5010000}"/>
    <hyperlink ref="AJ451" r:id="rId423" xr:uid="{00000000-0004-0000-0000-0000A6010000}"/>
    <hyperlink ref="AJ452" r:id="rId424" xr:uid="{00000000-0004-0000-0000-0000A7010000}"/>
    <hyperlink ref="AJ453" r:id="rId425" xr:uid="{00000000-0004-0000-0000-0000A8010000}"/>
    <hyperlink ref="AJ454" r:id="rId426" xr:uid="{00000000-0004-0000-0000-0000A9010000}"/>
    <hyperlink ref="AJ455" r:id="rId427" xr:uid="{00000000-0004-0000-0000-0000AA010000}"/>
    <hyperlink ref="AJ456" r:id="rId428" xr:uid="{00000000-0004-0000-0000-0000AB010000}"/>
    <hyperlink ref="AJ457" r:id="rId429" xr:uid="{00000000-0004-0000-0000-0000AC010000}"/>
    <hyperlink ref="AJ458" r:id="rId430" xr:uid="{00000000-0004-0000-0000-0000AD010000}"/>
    <hyperlink ref="AJ459" r:id="rId431" xr:uid="{00000000-0004-0000-0000-0000AE010000}"/>
    <hyperlink ref="AJ460" r:id="rId432" xr:uid="{00000000-0004-0000-0000-0000AF010000}"/>
    <hyperlink ref="AJ461" r:id="rId433" xr:uid="{00000000-0004-0000-0000-0000B0010000}"/>
    <hyperlink ref="AJ462" r:id="rId434" xr:uid="{00000000-0004-0000-0000-0000B1010000}"/>
    <hyperlink ref="AJ463" r:id="rId435" xr:uid="{00000000-0004-0000-0000-0000B2010000}"/>
    <hyperlink ref="AJ464" r:id="rId436" xr:uid="{00000000-0004-0000-0000-0000B3010000}"/>
    <hyperlink ref="AJ465" r:id="rId437" xr:uid="{00000000-0004-0000-0000-0000B4010000}"/>
    <hyperlink ref="AJ466" r:id="rId438" xr:uid="{00000000-0004-0000-0000-0000B5010000}"/>
    <hyperlink ref="AJ467" r:id="rId439" xr:uid="{00000000-0004-0000-0000-0000B6010000}"/>
    <hyperlink ref="AJ468" r:id="rId440" xr:uid="{00000000-0004-0000-0000-0000B7010000}"/>
    <hyperlink ref="AJ469" r:id="rId441" xr:uid="{00000000-0004-0000-0000-0000B8010000}"/>
    <hyperlink ref="AJ470" r:id="rId442" xr:uid="{00000000-0004-0000-0000-0000B9010000}"/>
    <hyperlink ref="AJ471" r:id="rId443" xr:uid="{00000000-0004-0000-0000-0000BA010000}"/>
    <hyperlink ref="AJ472" r:id="rId444" xr:uid="{00000000-0004-0000-0000-0000BB010000}"/>
    <hyperlink ref="AJ473" r:id="rId445" xr:uid="{00000000-0004-0000-0000-0000BC010000}"/>
    <hyperlink ref="AJ474" r:id="rId446" xr:uid="{00000000-0004-0000-0000-0000BD010000}"/>
    <hyperlink ref="AJ475" r:id="rId447" xr:uid="{00000000-0004-0000-0000-0000BE010000}"/>
    <hyperlink ref="AJ476" r:id="rId448" xr:uid="{00000000-0004-0000-0000-0000BF010000}"/>
    <hyperlink ref="AJ477" r:id="rId449" xr:uid="{00000000-0004-0000-0000-0000C0010000}"/>
    <hyperlink ref="AJ478" r:id="rId450" xr:uid="{00000000-0004-0000-0000-0000C1010000}"/>
    <hyperlink ref="AJ479" r:id="rId451" xr:uid="{00000000-0004-0000-0000-0000C2010000}"/>
    <hyperlink ref="AJ480" r:id="rId452" xr:uid="{00000000-0004-0000-0000-0000C3010000}"/>
    <hyperlink ref="AJ481" r:id="rId453" xr:uid="{00000000-0004-0000-0000-0000C4010000}"/>
    <hyperlink ref="AJ482" r:id="rId454" xr:uid="{00000000-0004-0000-0000-0000C5010000}"/>
    <hyperlink ref="AJ483" r:id="rId455" xr:uid="{00000000-0004-0000-0000-0000C6010000}"/>
    <hyperlink ref="AJ484" r:id="rId456" xr:uid="{00000000-0004-0000-0000-0000C7010000}"/>
    <hyperlink ref="AJ485" r:id="rId457" xr:uid="{00000000-0004-0000-0000-0000C8010000}"/>
    <hyperlink ref="AJ486" r:id="rId458" xr:uid="{00000000-0004-0000-0000-0000C9010000}"/>
    <hyperlink ref="AJ487" r:id="rId459" xr:uid="{00000000-0004-0000-0000-0000CA010000}"/>
    <hyperlink ref="AJ488" r:id="rId460" xr:uid="{00000000-0004-0000-0000-0000CB010000}"/>
    <hyperlink ref="AJ489" r:id="rId461" xr:uid="{00000000-0004-0000-0000-0000CC010000}"/>
    <hyperlink ref="AJ490" r:id="rId462" xr:uid="{00000000-0004-0000-0000-0000CD010000}"/>
    <hyperlink ref="AJ491" r:id="rId463" xr:uid="{00000000-0004-0000-0000-0000CE010000}"/>
    <hyperlink ref="AJ492" r:id="rId464" xr:uid="{00000000-0004-0000-0000-0000CF010000}"/>
    <hyperlink ref="AJ493" r:id="rId465" xr:uid="{00000000-0004-0000-0000-0000D0010000}"/>
    <hyperlink ref="AJ494" r:id="rId466" xr:uid="{00000000-0004-0000-0000-0000D1010000}"/>
    <hyperlink ref="AJ495" r:id="rId467" xr:uid="{00000000-0004-0000-0000-0000D2010000}"/>
    <hyperlink ref="AJ496" r:id="rId468" xr:uid="{00000000-0004-0000-0000-0000D3010000}"/>
    <hyperlink ref="AJ497" r:id="rId469" xr:uid="{00000000-0004-0000-0000-0000D4010000}"/>
    <hyperlink ref="AJ498" r:id="rId470" xr:uid="{00000000-0004-0000-0000-0000D5010000}"/>
    <hyperlink ref="AJ499" r:id="rId471" xr:uid="{00000000-0004-0000-0000-0000D6010000}"/>
    <hyperlink ref="AJ500" r:id="rId472" xr:uid="{00000000-0004-0000-0000-0000D7010000}"/>
    <hyperlink ref="AJ501" r:id="rId473" xr:uid="{00000000-0004-0000-0000-0000D8010000}"/>
    <hyperlink ref="AJ502" r:id="rId474" xr:uid="{00000000-0004-0000-0000-0000D9010000}"/>
    <hyperlink ref="AJ503" r:id="rId475" xr:uid="{00000000-0004-0000-0000-0000DA010000}"/>
    <hyperlink ref="AJ504" r:id="rId476" xr:uid="{00000000-0004-0000-0000-0000DB010000}"/>
    <hyperlink ref="AJ505" r:id="rId477" xr:uid="{00000000-0004-0000-0000-0000DC010000}"/>
    <hyperlink ref="AJ506" r:id="rId478" xr:uid="{00000000-0004-0000-0000-0000DD010000}"/>
    <hyperlink ref="AJ507" r:id="rId479" xr:uid="{00000000-0004-0000-0000-0000DE010000}"/>
    <hyperlink ref="AJ508" r:id="rId480" xr:uid="{00000000-0004-0000-0000-0000DF010000}"/>
    <hyperlink ref="AJ509" r:id="rId481" xr:uid="{00000000-0004-0000-0000-0000E0010000}"/>
    <hyperlink ref="AJ510" r:id="rId482" xr:uid="{00000000-0004-0000-0000-0000E1010000}"/>
    <hyperlink ref="AJ511" r:id="rId483" xr:uid="{00000000-0004-0000-0000-0000E2010000}"/>
    <hyperlink ref="AJ512" r:id="rId484" xr:uid="{00000000-0004-0000-0000-0000E3010000}"/>
    <hyperlink ref="AJ513" r:id="rId485" xr:uid="{00000000-0004-0000-0000-0000E4010000}"/>
    <hyperlink ref="AJ514" r:id="rId486" xr:uid="{00000000-0004-0000-0000-0000E5010000}"/>
    <hyperlink ref="AJ515" r:id="rId487" xr:uid="{00000000-0004-0000-0000-0000E6010000}"/>
    <hyperlink ref="AJ516" r:id="rId488" xr:uid="{00000000-0004-0000-0000-0000E7010000}"/>
    <hyperlink ref="AJ517" r:id="rId489" xr:uid="{00000000-0004-0000-0000-0000E8010000}"/>
    <hyperlink ref="AJ518" r:id="rId490" xr:uid="{00000000-0004-0000-0000-0000E9010000}"/>
    <hyperlink ref="AJ519" r:id="rId491" xr:uid="{00000000-0004-0000-0000-0000EA010000}"/>
    <hyperlink ref="AJ520" r:id="rId492" xr:uid="{00000000-0004-0000-0000-0000EB010000}"/>
    <hyperlink ref="AJ521" r:id="rId493" xr:uid="{00000000-0004-0000-0000-0000EC010000}"/>
    <hyperlink ref="AJ522" r:id="rId494" xr:uid="{00000000-0004-0000-0000-0000ED010000}"/>
    <hyperlink ref="AJ523" r:id="rId495" xr:uid="{00000000-0004-0000-0000-0000EE010000}"/>
    <hyperlink ref="AJ524" r:id="rId496" xr:uid="{00000000-0004-0000-0000-0000EF010000}"/>
    <hyperlink ref="AJ525" r:id="rId497" xr:uid="{00000000-0004-0000-0000-0000F0010000}"/>
    <hyperlink ref="AJ526" r:id="rId498" xr:uid="{00000000-0004-0000-0000-0000F1010000}"/>
    <hyperlink ref="AJ527" r:id="rId499" xr:uid="{00000000-0004-0000-0000-0000F2010000}"/>
    <hyperlink ref="AJ528" r:id="rId500" xr:uid="{00000000-0004-0000-0000-0000F3010000}"/>
    <hyperlink ref="AJ529" r:id="rId501" xr:uid="{00000000-0004-0000-0000-0000F4010000}"/>
    <hyperlink ref="AJ530" r:id="rId502" xr:uid="{00000000-0004-0000-0000-0000F5010000}"/>
    <hyperlink ref="AJ531" r:id="rId503" xr:uid="{00000000-0004-0000-0000-0000F6010000}"/>
    <hyperlink ref="AJ532" r:id="rId504" xr:uid="{00000000-0004-0000-0000-0000F7010000}"/>
    <hyperlink ref="AJ533" r:id="rId505" xr:uid="{00000000-0004-0000-0000-0000F8010000}"/>
    <hyperlink ref="AJ534" r:id="rId506" xr:uid="{00000000-0004-0000-0000-0000F9010000}"/>
    <hyperlink ref="AJ535" r:id="rId507" xr:uid="{00000000-0004-0000-0000-0000FA010000}"/>
    <hyperlink ref="AJ536" r:id="rId508" xr:uid="{00000000-0004-0000-0000-0000FB010000}"/>
    <hyperlink ref="AJ537" r:id="rId509" xr:uid="{00000000-0004-0000-0000-0000FC010000}"/>
    <hyperlink ref="AJ538" r:id="rId510" xr:uid="{00000000-0004-0000-0000-0000FD010000}"/>
    <hyperlink ref="AJ539" r:id="rId511" xr:uid="{00000000-0004-0000-0000-0000FE010000}"/>
    <hyperlink ref="AJ540" r:id="rId512" xr:uid="{00000000-0004-0000-0000-0000FF010000}"/>
    <hyperlink ref="AJ541" r:id="rId513" xr:uid="{00000000-0004-0000-0000-000000020000}"/>
    <hyperlink ref="AJ542" r:id="rId514" xr:uid="{00000000-0004-0000-0000-000001020000}"/>
    <hyperlink ref="AJ543" r:id="rId515" xr:uid="{00000000-0004-0000-0000-000002020000}"/>
    <hyperlink ref="AJ544" r:id="rId516" xr:uid="{00000000-0004-0000-0000-000003020000}"/>
    <hyperlink ref="AJ545" r:id="rId517" xr:uid="{00000000-0004-0000-0000-000004020000}"/>
    <hyperlink ref="AJ546" r:id="rId518" xr:uid="{00000000-0004-0000-0000-000005020000}"/>
    <hyperlink ref="AJ547" r:id="rId519" xr:uid="{00000000-0004-0000-0000-000006020000}"/>
    <hyperlink ref="AJ548" r:id="rId520" xr:uid="{00000000-0004-0000-0000-000007020000}"/>
    <hyperlink ref="AJ549" r:id="rId521" xr:uid="{00000000-0004-0000-0000-000008020000}"/>
    <hyperlink ref="AJ550" r:id="rId522" xr:uid="{00000000-0004-0000-0000-000009020000}"/>
    <hyperlink ref="AJ551" r:id="rId523" xr:uid="{00000000-0004-0000-0000-00000A020000}"/>
    <hyperlink ref="AJ552" r:id="rId524" xr:uid="{00000000-0004-0000-0000-00000B020000}"/>
    <hyperlink ref="AJ553" r:id="rId525" xr:uid="{00000000-0004-0000-0000-00000C020000}"/>
    <hyperlink ref="AJ554" r:id="rId526" xr:uid="{00000000-0004-0000-0000-00000D020000}"/>
    <hyperlink ref="AJ555" r:id="rId527" xr:uid="{00000000-0004-0000-0000-00000E020000}"/>
    <hyperlink ref="AJ556" r:id="rId528" xr:uid="{00000000-0004-0000-0000-00000F020000}"/>
    <hyperlink ref="AJ557" r:id="rId529" xr:uid="{00000000-0004-0000-0000-000010020000}"/>
    <hyperlink ref="AJ558" r:id="rId530" xr:uid="{00000000-0004-0000-0000-000011020000}"/>
    <hyperlink ref="AJ559" r:id="rId531" xr:uid="{00000000-0004-0000-0000-000012020000}"/>
    <hyperlink ref="AJ560" r:id="rId532" xr:uid="{00000000-0004-0000-0000-000013020000}"/>
    <hyperlink ref="AJ561" r:id="rId533" xr:uid="{00000000-0004-0000-0000-000014020000}"/>
    <hyperlink ref="AJ562" r:id="rId534" xr:uid="{00000000-0004-0000-0000-000015020000}"/>
    <hyperlink ref="AJ563" r:id="rId535" xr:uid="{00000000-0004-0000-0000-000016020000}"/>
    <hyperlink ref="AJ564" r:id="rId536" xr:uid="{00000000-0004-0000-0000-000017020000}"/>
    <hyperlink ref="AJ565" r:id="rId537" xr:uid="{00000000-0004-0000-0000-000018020000}"/>
    <hyperlink ref="AJ566" r:id="rId538" xr:uid="{00000000-0004-0000-0000-000019020000}"/>
    <hyperlink ref="AJ567" r:id="rId539" xr:uid="{00000000-0004-0000-0000-00001A020000}"/>
    <hyperlink ref="AJ568" r:id="rId540" xr:uid="{00000000-0004-0000-0000-00001B020000}"/>
    <hyperlink ref="AJ569" r:id="rId541" xr:uid="{00000000-0004-0000-0000-00001C020000}"/>
    <hyperlink ref="AJ570" r:id="rId542" xr:uid="{00000000-0004-0000-0000-00001D020000}"/>
    <hyperlink ref="AJ571" r:id="rId543" xr:uid="{00000000-0004-0000-0000-00001E020000}"/>
    <hyperlink ref="AJ572" r:id="rId544" xr:uid="{00000000-0004-0000-0000-00001F020000}"/>
    <hyperlink ref="AJ573" r:id="rId545" xr:uid="{00000000-0004-0000-0000-000020020000}"/>
    <hyperlink ref="AJ574" r:id="rId546" xr:uid="{00000000-0004-0000-0000-000021020000}"/>
    <hyperlink ref="AJ575" r:id="rId547" xr:uid="{00000000-0004-0000-0000-000022020000}"/>
    <hyperlink ref="AJ576" r:id="rId548" xr:uid="{00000000-0004-0000-0000-000023020000}"/>
    <hyperlink ref="AJ577" r:id="rId549" xr:uid="{00000000-0004-0000-0000-000024020000}"/>
    <hyperlink ref="AJ578" r:id="rId550" xr:uid="{00000000-0004-0000-0000-000025020000}"/>
    <hyperlink ref="AJ579" r:id="rId551" xr:uid="{00000000-0004-0000-0000-000026020000}"/>
    <hyperlink ref="AJ580" r:id="rId552" xr:uid="{00000000-0004-0000-0000-000027020000}"/>
    <hyperlink ref="AJ581" r:id="rId553" xr:uid="{00000000-0004-0000-0000-000028020000}"/>
    <hyperlink ref="AJ582" r:id="rId554" xr:uid="{00000000-0004-0000-0000-000029020000}"/>
    <hyperlink ref="AJ583" r:id="rId555" xr:uid="{00000000-0004-0000-0000-00002A020000}"/>
    <hyperlink ref="AJ584" r:id="rId556" xr:uid="{00000000-0004-0000-0000-00002B020000}"/>
    <hyperlink ref="AJ585" r:id="rId557" xr:uid="{00000000-0004-0000-0000-00002C020000}"/>
    <hyperlink ref="AJ586" r:id="rId558" xr:uid="{00000000-0004-0000-0000-00002D020000}"/>
    <hyperlink ref="AJ587" r:id="rId559" xr:uid="{00000000-0004-0000-0000-00002E020000}"/>
    <hyperlink ref="AJ588" r:id="rId560" xr:uid="{00000000-0004-0000-0000-00002F020000}"/>
    <hyperlink ref="AJ589" r:id="rId561" xr:uid="{00000000-0004-0000-0000-000030020000}"/>
    <hyperlink ref="AJ590" r:id="rId562" xr:uid="{00000000-0004-0000-0000-000031020000}"/>
    <hyperlink ref="AJ591" r:id="rId563" xr:uid="{00000000-0004-0000-0000-000032020000}"/>
    <hyperlink ref="AJ592" r:id="rId564" xr:uid="{00000000-0004-0000-0000-000033020000}"/>
    <hyperlink ref="AJ593" r:id="rId565" xr:uid="{00000000-0004-0000-0000-000034020000}"/>
    <hyperlink ref="AJ594" r:id="rId566" xr:uid="{00000000-0004-0000-0000-000035020000}"/>
    <hyperlink ref="AJ595" r:id="rId567" xr:uid="{00000000-0004-0000-0000-000036020000}"/>
    <hyperlink ref="AJ596" r:id="rId568" xr:uid="{00000000-0004-0000-0000-000037020000}"/>
    <hyperlink ref="AJ597" r:id="rId569" xr:uid="{00000000-0004-0000-0000-000038020000}"/>
    <hyperlink ref="AJ598" r:id="rId570" xr:uid="{00000000-0004-0000-0000-000039020000}"/>
    <hyperlink ref="AJ599" r:id="rId571" xr:uid="{00000000-0004-0000-0000-00003A020000}"/>
    <hyperlink ref="AJ600" r:id="rId572" xr:uid="{00000000-0004-0000-0000-00003B020000}"/>
    <hyperlink ref="AJ601" r:id="rId573" xr:uid="{00000000-0004-0000-0000-00003C020000}"/>
    <hyperlink ref="AJ602" r:id="rId574" xr:uid="{00000000-0004-0000-0000-00003D020000}"/>
    <hyperlink ref="AJ603" r:id="rId575" xr:uid="{00000000-0004-0000-0000-00003E020000}"/>
    <hyperlink ref="AJ604" r:id="rId576" xr:uid="{00000000-0004-0000-0000-00003F020000}"/>
    <hyperlink ref="AJ605" r:id="rId577" xr:uid="{00000000-0004-0000-0000-000040020000}"/>
    <hyperlink ref="AJ606" r:id="rId578" xr:uid="{00000000-0004-0000-0000-000041020000}"/>
    <hyperlink ref="AJ607" r:id="rId579" xr:uid="{00000000-0004-0000-0000-000042020000}"/>
    <hyperlink ref="AJ608" r:id="rId580" xr:uid="{00000000-0004-0000-0000-000043020000}"/>
    <hyperlink ref="AJ609" r:id="rId581" xr:uid="{00000000-0004-0000-0000-000044020000}"/>
    <hyperlink ref="AJ610" r:id="rId582" xr:uid="{00000000-0004-0000-0000-000045020000}"/>
    <hyperlink ref="AJ611" r:id="rId583" xr:uid="{00000000-0004-0000-0000-000046020000}"/>
    <hyperlink ref="AJ612" r:id="rId584" xr:uid="{00000000-0004-0000-0000-000047020000}"/>
    <hyperlink ref="AJ613" r:id="rId585" xr:uid="{00000000-0004-0000-0000-000048020000}"/>
    <hyperlink ref="AJ614" r:id="rId586" xr:uid="{00000000-0004-0000-0000-000049020000}"/>
    <hyperlink ref="AJ615" r:id="rId587" xr:uid="{00000000-0004-0000-0000-00004A020000}"/>
    <hyperlink ref="AJ616" r:id="rId588" xr:uid="{00000000-0004-0000-0000-00004B020000}"/>
    <hyperlink ref="AJ617" r:id="rId589" xr:uid="{00000000-0004-0000-0000-00004C020000}"/>
    <hyperlink ref="AJ618" r:id="rId590" xr:uid="{00000000-0004-0000-0000-00004D020000}"/>
    <hyperlink ref="AJ619" r:id="rId591" xr:uid="{00000000-0004-0000-0000-00004E020000}"/>
    <hyperlink ref="AJ620" r:id="rId592" xr:uid="{00000000-0004-0000-0000-00004F020000}"/>
    <hyperlink ref="AJ621" r:id="rId593" xr:uid="{00000000-0004-0000-0000-000050020000}"/>
    <hyperlink ref="AJ622" r:id="rId594" xr:uid="{00000000-0004-0000-0000-000051020000}"/>
    <hyperlink ref="AJ623" r:id="rId595" xr:uid="{00000000-0004-0000-0000-000052020000}"/>
    <hyperlink ref="AJ624" r:id="rId596" xr:uid="{00000000-0004-0000-0000-000053020000}"/>
    <hyperlink ref="AJ625" r:id="rId597" xr:uid="{00000000-0004-0000-0000-000054020000}"/>
    <hyperlink ref="AJ626" r:id="rId598" xr:uid="{00000000-0004-0000-0000-000055020000}"/>
    <hyperlink ref="AJ627" r:id="rId599" xr:uid="{00000000-0004-0000-0000-000056020000}"/>
    <hyperlink ref="AJ628" r:id="rId600" xr:uid="{00000000-0004-0000-0000-000057020000}"/>
    <hyperlink ref="AJ629" r:id="rId601" xr:uid="{00000000-0004-0000-0000-000058020000}"/>
    <hyperlink ref="AJ630" r:id="rId602" xr:uid="{00000000-0004-0000-0000-000059020000}"/>
    <hyperlink ref="AJ631" r:id="rId603" xr:uid="{00000000-0004-0000-0000-00005A020000}"/>
    <hyperlink ref="AJ632" r:id="rId604" xr:uid="{00000000-0004-0000-0000-00005B020000}"/>
    <hyperlink ref="AJ633" r:id="rId605" xr:uid="{00000000-0004-0000-0000-00005C020000}"/>
    <hyperlink ref="AJ634" r:id="rId606" xr:uid="{00000000-0004-0000-0000-00005D020000}"/>
    <hyperlink ref="AJ635" r:id="rId607" xr:uid="{00000000-0004-0000-0000-00005E020000}"/>
    <hyperlink ref="AJ636" r:id="rId608" xr:uid="{00000000-0004-0000-0000-00005F020000}"/>
    <hyperlink ref="AJ637" r:id="rId609" xr:uid="{00000000-0004-0000-0000-000060020000}"/>
    <hyperlink ref="AJ638" r:id="rId610" xr:uid="{00000000-0004-0000-0000-000061020000}"/>
    <hyperlink ref="AJ639" r:id="rId611" xr:uid="{00000000-0004-0000-0000-000062020000}"/>
    <hyperlink ref="AJ640" r:id="rId612" xr:uid="{00000000-0004-0000-0000-000063020000}"/>
    <hyperlink ref="AJ641" r:id="rId613" xr:uid="{00000000-0004-0000-0000-000064020000}"/>
    <hyperlink ref="AJ642" r:id="rId614" xr:uid="{00000000-0004-0000-0000-000065020000}"/>
    <hyperlink ref="AJ643" r:id="rId615" xr:uid="{00000000-0004-0000-0000-000066020000}"/>
    <hyperlink ref="AJ644" r:id="rId616" xr:uid="{00000000-0004-0000-0000-000067020000}"/>
    <hyperlink ref="AJ645" r:id="rId617" xr:uid="{00000000-0004-0000-0000-000068020000}"/>
    <hyperlink ref="AJ646" r:id="rId618" xr:uid="{00000000-0004-0000-0000-000069020000}"/>
    <hyperlink ref="AJ647" r:id="rId619" xr:uid="{00000000-0004-0000-0000-00006A020000}"/>
    <hyperlink ref="AJ648" r:id="rId620" xr:uid="{00000000-0004-0000-0000-00006B020000}"/>
    <hyperlink ref="AJ649" r:id="rId621" xr:uid="{00000000-0004-0000-0000-00006C020000}"/>
    <hyperlink ref="AJ650" r:id="rId622" xr:uid="{00000000-0004-0000-0000-00006D020000}"/>
    <hyperlink ref="AJ651" r:id="rId623" xr:uid="{00000000-0004-0000-0000-00006E020000}"/>
    <hyperlink ref="AJ652" r:id="rId624" xr:uid="{00000000-0004-0000-0000-00006F020000}"/>
    <hyperlink ref="AJ653" r:id="rId625" xr:uid="{00000000-0004-0000-0000-000070020000}"/>
    <hyperlink ref="AJ654" r:id="rId626" xr:uid="{00000000-0004-0000-0000-000071020000}"/>
    <hyperlink ref="AJ655" r:id="rId627" xr:uid="{00000000-0004-0000-0000-000072020000}"/>
    <hyperlink ref="AJ656" r:id="rId628" xr:uid="{00000000-0004-0000-0000-000073020000}"/>
    <hyperlink ref="AJ657" r:id="rId629" xr:uid="{00000000-0004-0000-0000-000074020000}"/>
    <hyperlink ref="AJ658" r:id="rId630" xr:uid="{00000000-0004-0000-0000-000075020000}"/>
    <hyperlink ref="AJ659" r:id="rId631" xr:uid="{00000000-0004-0000-0000-000076020000}"/>
    <hyperlink ref="AJ660" r:id="rId632" xr:uid="{00000000-0004-0000-0000-000077020000}"/>
    <hyperlink ref="AJ661" r:id="rId633" xr:uid="{00000000-0004-0000-0000-000078020000}"/>
    <hyperlink ref="AJ662" r:id="rId634" xr:uid="{00000000-0004-0000-0000-000079020000}"/>
    <hyperlink ref="AJ663" r:id="rId635" xr:uid="{00000000-0004-0000-0000-00007A020000}"/>
    <hyperlink ref="AJ664" r:id="rId636" xr:uid="{00000000-0004-0000-0000-00007B020000}"/>
    <hyperlink ref="AJ665" r:id="rId637" xr:uid="{00000000-0004-0000-0000-00007C020000}"/>
    <hyperlink ref="AJ666" r:id="rId638" xr:uid="{00000000-0004-0000-0000-00007D020000}"/>
    <hyperlink ref="AJ667" r:id="rId639" xr:uid="{00000000-0004-0000-0000-00007E020000}"/>
    <hyperlink ref="AJ668" r:id="rId640" xr:uid="{00000000-0004-0000-0000-00007F020000}"/>
    <hyperlink ref="AJ669" r:id="rId641" xr:uid="{00000000-0004-0000-0000-000080020000}"/>
    <hyperlink ref="AJ670" r:id="rId642" xr:uid="{00000000-0004-0000-0000-000081020000}"/>
    <hyperlink ref="AJ671" r:id="rId643" xr:uid="{00000000-0004-0000-0000-000082020000}"/>
    <hyperlink ref="AJ672" r:id="rId644" xr:uid="{00000000-0004-0000-0000-000083020000}"/>
    <hyperlink ref="AJ673" r:id="rId645" xr:uid="{00000000-0004-0000-0000-000084020000}"/>
    <hyperlink ref="AJ674" r:id="rId646" xr:uid="{00000000-0004-0000-0000-000085020000}"/>
    <hyperlink ref="AJ675" r:id="rId647" xr:uid="{00000000-0004-0000-0000-000086020000}"/>
    <hyperlink ref="AJ676" r:id="rId648" xr:uid="{00000000-0004-0000-0000-000087020000}"/>
    <hyperlink ref="AJ677" r:id="rId649" xr:uid="{00000000-0004-0000-0000-000088020000}"/>
    <hyperlink ref="AJ678" r:id="rId650" xr:uid="{00000000-0004-0000-0000-000089020000}"/>
    <hyperlink ref="AJ679" r:id="rId651" xr:uid="{00000000-0004-0000-0000-00008A020000}"/>
    <hyperlink ref="AJ680" r:id="rId652" xr:uid="{00000000-0004-0000-0000-00008B020000}"/>
    <hyperlink ref="AJ681" r:id="rId653" xr:uid="{00000000-0004-0000-0000-00008C020000}"/>
    <hyperlink ref="AJ682" r:id="rId654" xr:uid="{00000000-0004-0000-0000-00008D020000}"/>
    <hyperlink ref="AJ683" r:id="rId655" xr:uid="{00000000-0004-0000-0000-00008E020000}"/>
    <hyperlink ref="AJ684" r:id="rId656" xr:uid="{00000000-0004-0000-0000-00008F020000}"/>
    <hyperlink ref="AJ685" r:id="rId657" xr:uid="{00000000-0004-0000-0000-000090020000}"/>
    <hyperlink ref="AJ686" r:id="rId658" xr:uid="{00000000-0004-0000-0000-000091020000}"/>
    <hyperlink ref="AJ687" r:id="rId659" xr:uid="{00000000-0004-0000-0000-000092020000}"/>
    <hyperlink ref="AJ690" r:id="rId660" xr:uid="{00000000-0004-0000-0000-000093020000}"/>
    <hyperlink ref="AJ691" r:id="rId661" xr:uid="{00000000-0004-0000-0000-000094020000}"/>
    <hyperlink ref="AJ692" r:id="rId662" xr:uid="{00000000-0004-0000-0000-000095020000}"/>
    <hyperlink ref="AJ693" r:id="rId663" xr:uid="{00000000-0004-0000-0000-000096020000}"/>
    <hyperlink ref="AJ694" r:id="rId664" xr:uid="{00000000-0004-0000-0000-000097020000}"/>
    <hyperlink ref="AJ695" r:id="rId665" xr:uid="{00000000-0004-0000-0000-000098020000}"/>
    <hyperlink ref="AJ696" r:id="rId666" xr:uid="{00000000-0004-0000-0000-000099020000}"/>
    <hyperlink ref="AJ697" r:id="rId667" xr:uid="{00000000-0004-0000-0000-00009A020000}"/>
    <hyperlink ref="AJ698" r:id="rId668" xr:uid="{00000000-0004-0000-0000-00009B020000}"/>
    <hyperlink ref="AJ699" r:id="rId669" xr:uid="{00000000-0004-0000-0000-00009C020000}"/>
    <hyperlink ref="AJ700" r:id="rId670" xr:uid="{00000000-0004-0000-0000-00009D020000}"/>
    <hyperlink ref="AJ701" r:id="rId671" xr:uid="{00000000-0004-0000-0000-00009E020000}"/>
    <hyperlink ref="AJ702" r:id="rId672" xr:uid="{00000000-0004-0000-0000-00009F020000}"/>
    <hyperlink ref="AJ703" r:id="rId673" xr:uid="{00000000-0004-0000-0000-0000A0020000}"/>
    <hyperlink ref="AJ704" r:id="rId674" xr:uid="{00000000-0004-0000-0000-0000A1020000}"/>
    <hyperlink ref="AJ705" r:id="rId675" xr:uid="{00000000-0004-0000-0000-0000A2020000}"/>
    <hyperlink ref="AJ706" r:id="rId676" xr:uid="{00000000-0004-0000-0000-0000A3020000}"/>
    <hyperlink ref="AJ707" r:id="rId677" xr:uid="{00000000-0004-0000-0000-0000A4020000}"/>
    <hyperlink ref="AJ708" r:id="rId678" xr:uid="{00000000-0004-0000-0000-0000A5020000}"/>
    <hyperlink ref="AJ709" r:id="rId679" xr:uid="{00000000-0004-0000-0000-0000A6020000}"/>
    <hyperlink ref="AJ710" r:id="rId680" xr:uid="{00000000-0004-0000-0000-0000A7020000}"/>
    <hyperlink ref="AJ711" r:id="rId681" xr:uid="{00000000-0004-0000-0000-0000A8020000}"/>
    <hyperlink ref="AJ712" r:id="rId682" xr:uid="{00000000-0004-0000-0000-0000A9020000}"/>
    <hyperlink ref="AJ713" r:id="rId683" xr:uid="{00000000-0004-0000-0000-0000AA020000}"/>
    <hyperlink ref="AJ714" r:id="rId684" xr:uid="{00000000-0004-0000-0000-0000AB020000}"/>
    <hyperlink ref="AJ715" r:id="rId685" xr:uid="{00000000-0004-0000-0000-0000AC020000}"/>
    <hyperlink ref="AJ716" r:id="rId686" xr:uid="{00000000-0004-0000-0000-0000AD020000}"/>
    <hyperlink ref="AJ717" r:id="rId687" xr:uid="{00000000-0004-0000-0000-0000AE020000}"/>
    <hyperlink ref="AJ718" r:id="rId688" xr:uid="{00000000-0004-0000-0000-0000AF020000}"/>
    <hyperlink ref="AJ719" r:id="rId689" xr:uid="{00000000-0004-0000-0000-0000B0020000}"/>
    <hyperlink ref="AJ720" r:id="rId690" xr:uid="{00000000-0004-0000-0000-0000B1020000}"/>
    <hyperlink ref="AJ721" r:id="rId691" xr:uid="{00000000-0004-0000-0000-0000B2020000}"/>
    <hyperlink ref="AJ722" r:id="rId692" xr:uid="{00000000-0004-0000-0000-0000B3020000}"/>
    <hyperlink ref="AJ723" r:id="rId693" xr:uid="{00000000-0004-0000-0000-0000B4020000}"/>
    <hyperlink ref="AJ724" r:id="rId694" xr:uid="{00000000-0004-0000-0000-0000B5020000}"/>
    <hyperlink ref="AJ725" r:id="rId695" xr:uid="{00000000-0004-0000-0000-0000B6020000}"/>
    <hyperlink ref="AJ726" r:id="rId696" xr:uid="{00000000-0004-0000-0000-0000B7020000}"/>
    <hyperlink ref="AJ727" r:id="rId697" xr:uid="{00000000-0004-0000-0000-0000B8020000}"/>
    <hyperlink ref="AJ728" r:id="rId698" xr:uid="{00000000-0004-0000-0000-0000B9020000}"/>
    <hyperlink ref="AJ729" r:id="rId699" xr:uid="{00000000-0004-0000-0000-0000BA020000}"/>
    <hyperlink ref="AJ730" r:id="rId700" xr:uid="{00000000-0004-0000-0000-0000BB020000}"/>
    <hyperlink ref="AJ731" r:id="rId701" xr:uid="{00000000-0004-0000-0000-0000BC020000}"/>
    <hyperlink ref="AJ732" r:id="rId702" xr:uid="{00000000-0004-0000-0000-0000BD020000}"/>
    <hyperlink ref="AJ733" r:id="rId703" xr:uid="{00000000-0004-0000-0000-0000BE020000}"/>
    <hyperlink ref="AJ734" r:id="rId704" xr:uid="{00000000-0004-0000-0000-0000BF020000}"/>
    <hyperlink ref="AJ735" r:id="rId705" xr:uid="{00000000-0004-0000-0000-0000C0020000}"/>
    <hyperlink ref="AJ736" r:id="rId706" xr:uid="{00000000-0004-0000-0000-0000C1020000}"/>
    <hyperlink ref="AJ737" r:id="rId707" xr:uid="{00000000-0004-0000-0000-0000C2020000}"/>
    <hyperlink ref="AJ738" r:id="rId708" xr:uid="{00000000-0004-0000-0000-0000C3020000}"/>
    <hyperlink ref="AJ739" r:id="rId709" xr:uid="{00000000-0004-0000-0000-0000C4020000}"/>
    <hyperlink ref="AJ740" r:id="rId710" xr:uid="{00000000-0004-0000-0000-0000C5020000}"/>
    <hyperlink ref="AJ741" r:id="rId711" xr:uid="{00000000-0004-0000-0000-0000C6020000}"/>
    <hyperlink ref="AJ742" r:id="rId712" xr:uid="{00000000-0004-0000-0000-0000C7020000}"/>
    <hyperlink ref="AJ743" r:id="rId713" xr:uid="{00000000-0004-0000-0000-0000C8020000}"/>
    <hyperlink ref="AJ744" r:id="rId714" xr:uid="{00000000-0004-0000-0000-0000C9020000}"/>
    <hyperlink ref="AJ745" r:id="rId715" xr:uid="{00000000-0004-0000-0000-0000CA020000}"/>
    <hyperlink ref="AJ746" r:id="rId716" xr:uid="{00000000-0004-0000-0000-0000CB020000}"/>
    <hyperlink ref="AJ747" r:id="rId717" xr:uid="{00000000-0004-0000-0000-0000CC020000}"/>
    <hyperlink ref="AJ748" r:id="rId718" xr:uid="{00000000-0004-0000-0000-0000CD020000}"/>
    <hyperlink ref="AJ749" r:id="rId719" xr:uid="{00000000-0004-0000-0000-0000CE020000}"/>
    <hyperlink ref="AJ750" r:id="rId720" xr:uid="{00000000-0004-0000-0000-0000CF020000}"/>
    <hyperlink ref="AJ751" r:id="rId721" xr:uid="{00000000-0004-0000-0000-0000D0020000}"/>
    <hyperlink ref="AJ752" r:id="rId722" xr:uid="{00000000-0004-0000-0000-0000D1020000}"/>
    <hyperlink ref="AJ753" r:id="rId723" xr:uid="{00000000-0004-0000-0000-0000D2020000}"/>
    <hyperlink ref="AJ754" r:id="rId724" xr:uid="{00000000-0004-0000-0000-0000D3020000}"/>
    <hyperlink ref="AJ755" r:id="rId725" xr:uid="{00000000-0004-0000-0000-0000D4020000}"/>
    <hyperlink ref="AJ756" r:id="rId726" xr:uid="{00000000-0004-0000-0000-0000D5020000}"/>
    <hyperlink ref="AJ757" r:id="rId727" xr:uid="{00000000-0004-0000-0000-0000D6020000}"/>
    <hyperlink ref="AJ758" r:id="rId728" xr:uid="{00000000-0004-0000-0000-0000D7020000}"/>
    <hyperlink ref="AJ759" r:id="rId729" xr:uid="{00000000-0004-0000-0000-0000D8020000}"/>
    <hyperlink ref="AJ760" r:id="rId730" xr:uid="{00000000-0004-0000-0000-0000D9020000}"/>
    <hyperlink ref="AJ761" r:id="rId731" xr:uid="{00000000-0004-0000-0000-0000DA020000}"/>
    <hyperlink ref="AJ762" r:id="rId732" xr:uid="{00000000-0004-0000-0000-0000DB020000}"/>
    <hyperlink ref="AJ763" r:id="rId733" xr:uid="{00000000-0004-0000-0000-0000DC020000}"/>
    <hyperlink ref="AJ764" r:id="rId734" xr:uid="{00000000-0004-0000-0000-0000DD020000}"/>
    <hyperlink ref="AJ765" r:id="rId735" xr:uid="{00000000-0004-0000-0000-0000DE020000}"/>
    <hyperlink ref="AJ766" r:id="rId736" xr:uid="{00000000-0004-0000-0000-0000DF020000}"/>
    <hyperlink ref="AJ767" r:id="rId737" xr:uid="{00000000-0004-0000-0000-0000E0020000}"/>
    <hyperlink ref="AJ768" r:id="rId738" xr:uid="{00000000-0004-0000-0000-0000E1020000}"/>
    <hyperlink ref="AJ769" r:id="rId739" xr:uid="{00000000-0004-0000-0000-0000E2020000}"/>
    <hyperlink ref="AJ770" r:id="rId740" xr:uid="{00000000-0004-0000-0000-0000E3020000}"/>
    <hyperlink ref="AJ771" r:id="rId741" xr:uid="{00000000-0004-0000-0000-0000E4020000}"/>
    <hyperlink ref="AJ772" r:id="rId742" xr:uid="{00000000-0004-0000-0000-0000E5020000}"/>
    <hyperlink ref="AJ773" r:id="rId743" xr:uid="{00000000-0004-0000-0000-0000E6020000}"/>
    <hyperlink ref="AJ774" r:id="rId744" xr:uid="{00000000-0004-0000-0000-0000E7020000}"/>
    <hyperlink ref="AJ775" r:id="rId745" xr:uid="{00000000-0004-0000-0000-0000E8020000}"/>
    <hyperlink ref="AJ776" r:id="rId746" xr:uid="{00000000-0004-0000-0000-0000E9020000}"/>
    <hyperlink ref="AJ777" r:id="rId747" xr:uid="{00000000-0004-0000-0000-0000EA020000}"/>
    <hyperlink ref="AJ778" r:id="rId748" xr:uid="{00000000-0004-0000-0000-0000EB020000}"/>
    <hyperlink ref="AJ779" r:id="rId749" xr:uid="{00000000-0004-0000-0000-0000EC020000}"/>
    <hyperlink ref="AJ780" r:id="rId750" xr:uid="{00000000-0004-0000-0000-0000ED020000}"/>
    <hyperlink ref="AJ781" r:id="rId751" xr:uid="{00000000-0004-0000-0000-0000EE020000}"/>
    <hyperlink ref="AJ782" r:id="rId752" xr:uid="{00000000-0004-0000-0000-0000EF020000}"/>
    <hyperlink ref="AJ783" r:id="rId753" xr:uid="{00000000-0004-0000-0000-0000F0020000}"/>
    <hyperlink ref="AJ784" r:id="rId754" xr:uid="{00000000-0004-0000-0000-0000F1020000}"/>
    <hyperlink ref="AJ785" r:id="rId755" xr:uid="{00000000-0004-0000-0000-0000F2020000}"/>
    <hyperlink ref="AJ786" r:id="rId756" xr:uid="{00000000-0004-0000-0000-0000F3020000}"/>
    <hyperlink ref="AJ787" r:id="rId757" xr:uid="{00000000-0004-0000-0000-0000F4020000}"/>
    <hyperlink ref="AJ788" r:id="rId758" xr:uid="{00000000-0004-0000-0000-0000F5020000}"/>
    <hyperlink ref="AJ789" r:id="rId759" xr:uid="{00000000-0004-0000-0000-0000F6020000}"/>
    <hyperlink ref="AJ790" r:id="rId760" xr:uid="{00000000-0004-0000-0000-0000F7020000}"/>
    <hyperlink ref="AJ791" r:id="rId761" xr:uid="{00000000-0004-0000-0000-0000F8020000}"/>
    <hyperlink ref="AJ792" r:id="rId762" xr:uid="{00000000-0004-0000-0000-0000F9020000}"/>
    <hyperlink ref="AJ793" r:id="rId763" xr:uid="{00000000-0004-0000-0000-0000FA020000}"/>
    <hyperlink ref="AJ794" r:id="rId764" xr:uid="{00000000-0004-0000-0000-0000FB020000}"/>
    <hyperlink ref="AJ795" r:id="rId765" xr:uid="{00000000-0004-0000-0000-0000FC020000}"/>
    <hyperlink ref="AJ796" r:id="rId766" xr:uid="{00000000-0004-0000-0000-0000FD020000}"/>
    <hyperlink ref="AJ797" r:id="rId767" xr:uid="{00000000-0004-0000-0000-0000FE020000}"/>
    <hyperlink ref="AJ798" r:id="rId768" xr:uid="{00000000-0004-0000-0000-0000FF020000}"/>
    <hyperlink ref="AJ799" r:id="rId769" xr:uid="{00000000-0004-0000-0000-000000030000}"/>
    <hyperlink ref="AJ800" r:id="rId770" xr:uid="{00000000-0004-0000-0000-000001030000}"/>
    <hyperlink ref="AJ801" r:id="rId771" xr:uid="{00000000-0004-0000-0000-000002030000}"/>
    <hyperlink ref="AJ802" r:id="rId772" xr:uid="{00000000-0004-0000-0000-000003030000}"/>
    <hyperlink ref="AJ803" r:id="rId773" xr:uid="{00000000-0004-0000-0000-000004030000}"/>
    <hyperlink ref="AJ804" r:id="rId774" xr:uid="{00000000-0004-0000-0000-000005030000}"/>
    <hyperlink ref="AJ805" r:id="rId775" xr:uid="{00000000-0004-0000-0000-000006030000}"/>
    <hyperlink ref="AJ806" r:id="rId776" xr:uid="{00000000-0004-0000-0000-000007030000}"/>
    <hyperlink ref="AJ807" r:id="rId777" xr:uid="{00000000-0004-0000-0000-000008030000}"/>
    <hyperlink ref="AJ808" r:id="rId778" xr:uid="{00000000-0004-0000-0000-000009030000}"/>
    <hyperlink ref="AJ809" r:id="rId779" xr:uid="{00000000-0004-0000-0000-00000A030000}"/>
    <hyperlink ref="AJ810" r:id="rId780" xr:uid="{00000000-0004-0000-0000-00000B030000}"/>
    <hyperlink ref="AJ811" r:id="rId781" xr:uid="{00000000-0004-0000-0000-00000C030000}"/>
    <hyperlink ref="AJ812" r:id="rId782" xr:uid="{00000000-0004-0000-0000-00000D030000}"/>
    <hyperlink ref="AJ813" r:id="rId783" xr:uid="{00000000-0004-0000-0000-00000E030000}"/>
    <hyperlink ref="AJ814" r:id="rId784" xr:uid="{00000000-0004-0000-0000-00000F030000}"/>
    <hyperlink ref="AJ815" r:id="rId785" xr:uid="{00000000-0004-0000-0000-000010030000}"/>
    <hyperlink ref="AJ816" r:id="rId786" xr:uid="{00000000-0004-0000-0000-000011030000}"/>
    <hyperlink ref="AJ817" r:id="rId787" xr:uid="{00000000-0004-0000-0000-000012030000}"/>
    <hyperlink ref="AJ818" r:id="rId788" xr:uid="{00000000-0004-0000-0000-000013030000}"/>
    <hyperlink ref="AJ819" r:id="rId789" xr:uid="{00000000-0004-0000-0000-000014030000}"/>
    <hyperlink ref="AJ820" r:id="rId790" xr:uid="{00000000-0004-0000-0000-000015030000}"/>
    <hyperlink ref="AJ821" r:id="rId791" xr:uid="{00000000-0004-0000-0000-000016030000}"/>
    <hyperlink ref="AJ822" r:id="rId792" xr:uid="{00000000-0004-0000-0000-000017030000}"/>
    <hyperlink ref="AJ823" r:id="rId793" xr:uid="{00000000-0004-0000-0000-000018030000}"/>
    <hyperlink ref="AJ824" r:id="rId794" xr:uid="{00000000-0004-0000-0000-000019030000}"/>
    <hyperlink ref="AJ825" r:id="rId795" xr:uid="{00000000-0004-0000-0000-00001A030000}"/>
    <hyperlink ref="AJ826" r:id="rId796" xr:uid="{00000000-0004-0000-0000-00001B030000}"/>
    <hyperlink ref="AJ827" r:id="rId797" xr:uid="{00000000-0004-0000-0000-00001C030000}"/>
    <hyperlink ref="AJ828" r:id="rId798" xr:uid="{00000000-0004-0000-0000-00001D030000}"/>
    <hyperlink ref="AJ829" r:id="rId799" xr:uid="{00000000-0004-0000-0000-00001E030000}"/>
    <hyperlink ref="AJ830" r:id="rId800" xr:uid="{00000000-0004-0000-0000-00001F030000}"/>
    <hyperlink ref="AJ831" r:id="rId801" xr:uid="{00000000-0004-0000-0000-000020030000}"/>
    <hyperlink ref="AJ832" r:id="rId802" xr:uid="{00000000-0004-0000-0000-000021030000}"/>
    <hyperlink ref="AJ833" r:id="rId803" xr:uid="{00000000-0004-0000-0000-000022030000}"/>
    <hyperlink ref="AJ834" r:id="rId804" xr:uid="{00000000-0004-0000-0000-000023030000}"/>
    <hyperlink ref="AJ835" r:id="rId805" xr:uid="{00000000-0004-0000-0000-000024030000}"/>
    <hyperlink ref="AJ836" r:id="rId806" xr:uid="{00000000-0004-0000-0000-000025030000}"/>
    <hyperlink ref="AJ837" r:id="rId807" xr:uid="{00000000-0004-0000-0000-000026030000}"/>
    <hyperlink ref="AJ838" r:id="rId808" xr:uid="{00000000-0004-0000-0000-000027030000}"/>
    <hyperlink ref="AJ839" r:id="rId809" xr:uid="{00000000-0004-0000-0000-000028030000}"/>
    <hyperlink ref="AJ840" r:id="rId810" xr:uid="{00000000-0004-0000-0000-000029030000}"/>
    <hyperlink ref="AJ841" r:id="rId811" xr:uid="{00000000-0004-0000-0000-00002A030000}"/>
    <hyperlink ref="AJ842" r:id="rId812" xr:uid="{00000000-0004-0000-0000-00002B030000}"/>
    <hyperlink ref="AJ843" r:id="rId813" xr:uid="{00000000-0004-0000-0000-00002C030000}"/>
    <hyperlink ref="AJ844" r:id="rId814" xr:uid="{00000000-0004-0000-0000-00002D030000}"/>
    <hyperlink ref="AJ845" r:id="rId815" xr:uid="{00000000-0004-0000-0000-00002E030000}"/>
    <hyperlink ref="AJ846" r:id="rId816" xr:uid="{00000000-0004-0000-0000-00002F030000}"/>
    <hyperlink ref="AJ847" r:id="rId817" xr:uid="{00000000-0004-0000-0000-000030030000}"/>
    <hyperlink ref="AJ848" r:id="rId818" xr:uid="{00000000-0004-0000-0000-000031030000}"/>
    <hyperlink ref="AJ849" r:id="rId819" xr:uid="{00000000-0004-0000-0000-000032030000}"/>
    <hyperlink ref="AJ850" r:id="rId820" xr:uid="{00000000-0004-0000-0000-000033030000}"/>
    <hyperlink ref="AJ851" r:id="rId821" xr:uid="{00000000-0004-0000-0000-000034030000}"/>
    <hyperlink ref="AJ852" r:id="rId822" xr:uid="{00000000-0004-0000-0000-000035030000}"/>
    <hyperlink ref="AJ853" r:id="rId823" xr:uid="{00000000-0004-0000-0000-000036030000}"/>
    <hyperlink ref="AJ854" r:id="rId824" xr:uid="{00000000-0004-0000-0000-000037030000}"/>
    <hyperlink ref="AJ855" r:id="rId825" xr:uid="{00000000-0004-0000-0000-000038030000}"/>
    <hyperlink ref="AJ856" r:id="rId826" xr:uid="{00000000-0004-0000-0000-000039030000}"/>
    <hyperlink ref="AJ857" r:id="rId827" xr:uid="{00000000-0004-0000-0000-00003A030000}"/>
    <hyperlink ref="AJ858" r:id="rId828" xr:uid="{00000000-0004-0000-0000-00003B030000}"/>
    <hyperlink ref="AJ859" r:id="rId829" xr:uid="{00000000-0004-0000-0000-00003C030000}"/>
    <hyperlink ref="AJ860" r:id="rId830" xr:uid="{00000000-0004-0000-0000-00003D030000}"/>
    <hyperlink ref="AJ861" r:id="rId831" xr:uid="{00000000-0004-0000-0000-00003E030000}"/>
    <hyperlink ref="AJ862" r:id="rId832" xr:uid="{00000000-0004-0000-0000-00003F030000}"/>
    <hyperlink ref="AJ863" r:id="rId833" xr:uid="{00000000-0004-0000-0000-000040030000}"/>
    <hyperlink ref="AJ864" r:id="rId834" xr:uid="{00000000-0004-0000-0000-000041030000}"/>
    <hyperlink ref="AJ865" r:id="rId835" xr:uid="{00000000-0004-0000-0000-000042030000}"/>
    <hyperlink ref="AJ866" r:id="rId836" xr:uid="{00000000-0004-0000-0000-000043030000}"/>
    <hyperlink ref="AJ867" r:id="rId837" xr:uid="{00000000-0004-0000-0000-000044030000}"/>
    <hyperlink ref="AJ868" r:id="rId838" xr:uid="{00000000-0004-0000-0000-000045030000}"/>
    <hyperlink ref="AJ869" r:id="rId839" xr:uid="{00000000-0004-0000-0000-000046030000}"/>
    <hyperlink ref="AJ870" r:id="rId840" xr:uid="{00000000-0004-0000-0000-000047030000}"/>
    <hyperlink ref="AJ871" r:id="rId841" xr:uid="{00000000-0004-0000-0000-000048030000}"/>
    <hyperlink ref="AJ872" r:id="rId842" xr:uid="{00000000-0004-0000-0000-000049030000}"/>
    <hyperlink ref="AJ873" r:id="rId843" xr:uid="{00000000-0004-0000-0000-00004A030000}"/>
    <hyperlink ref="AJ874" r:id="rId844" xr:uid="{00000000-0004-0000-0000-00004B030000}"/>
    <hyperlink ref="AJ875" r:id="rId845" xr:uid="{00000000-0004-0000-0000-00004C030000}"/>
    <hyperlink ref="AJ876" r:id="rId846" xr:uid="{00000000-0004-0000-0000-00004D030000}"/>
    <hyperlink ref="AJ877" r:id="rId847" xr:uid="{00000000-0004-0000-0000-00004E030000}"/>
    <hyperlink ref="AJ878" r:id="rId848" xr:uid="{00000000-0004-0000-0000-00004F030000}"/>
    <hyperlink ref="AJ879" r:id="rId849" xr:uid="{00000000-0004-0000-0000-000050030000}"/>
    <hyperlink ref="AJ880" r:id="rId850" xr:uid="{00000000-0004-0000-0000-000051030000}"/>
    <hyperlink ref="AJ881" r:id="rId851" xr:uid="{00000000-0004-0000-0000-000052030000}"/>
    <hyperlink ref="AJ882" r:id="rId852" xr:uid="{00000000-0004-0000-0000-000053030000}"/>
    <hyperlink ref="AJ883" r:id="rId853" xr:uid="{00000000-0004-0000-0000-000054030000}"/>
    <hyperlink ref="AJ884" r:id="rId854" xr:uid="{00000000-0004-0000-0000-000055030000}"/>
    <hyperlink ref="AJ885" r:id="rId855" xr:uid="{00000000-0004-0000-0000-000056030000}"/>
    <hyperlink ref="AJ886" r:id="rId856" xr:uid="{00000000-0004-0000-0000-000057030000}"/>
    <hyperlink ref="AJ887" r:id="rId857" xr:uid="{00000000-0004-0000-0000-000058030000}"/>
    <hyperlink ref="AJ888" r:id="rId858" xr:uid="{00000000-0004-0000-0000-000059030000}"/>
    <hyperlink ref="AJ889" r:id="rId859" xr:uid="{00000000-0004-0000-0000-00005A030000}"/>
    <hyperlink ref="AJ890" r:id="rId860" xr:uid="{00000000-0004-0000-0000-00005B030000}"/>
    <hyperlink ref="AJ891" r:id="rId861" xr:uid="{00000000-0004-0000-0000-00005C030000}"/>
    <hyperlink ref="AJ892" r:id="rId862" xr:uid="{00000000-0004-0000-0000-00005D030000}"/>
    <hyperlink ref="AJ893" r:id="rId863" xr:uid="{00000000-0004-0000-0000-00005E030000}"/>
    <hyperlink ref="AJ894" r:id="rId864" xr:uid="{00000000-0004-0000-0000-00005F030000}"/>
    <hyperlink ref="AJ895" r:id="rId865" xr:uid="{00000000-0004-0000-0000-000060030000}"/>
    <hyperlink ref="AJ896" r:id="rId866" xr:uid="{00000000-0004-0000-0000-000061030000}"/>
    <hyperlink ref="AJ897" r:id="rId867" xr:uid="{00000000-0004-0000-0000-000062030000}"/>
    <hyperlink ref="AJ898" r:id="rId868" xr:uid="{00000000-0004-0000-0000-000063030000}"/>
    <hyperlink ref="AJ899" r:id="rId869" xr:uid="{00000000-0004-0000-0000-000064030000}"/>
    <hyperlink ref="AJ900" r:id="rId870" xr:uid="{00000000-0004-0000-0000-000065030000}"/>
    <hyperlink ref="AJ901" r:id="rId871" xr:uid="{00000000-0004-0000-0000-000066030000}"/>
    <hyperlink ref="AJ902" r:id="rId872" xr:uid="{00000000-0004-0000-0000-000067030000}"/>
    <hyperlink ref="AJ903" r:id="rId873" xr:uid="{00000000-0004-0000-0000-000068030000}"/>
    <hyperlink ref="AJ904" r:id="rId874" xr:uid="{00000000-0004-0000-0000-000069030000}"/>
    <hyperlink ref="AJ905" r:id="rId875" xr:uid="{00000000-0004-0000-0000-00006A030000}"/>
    <hyperlink ref="AJ906" r:id="rId876" xr:uid="{00000000-0004-0000-0000-00006B030000}"/>
    <hyperlink ref="AJ907" r:id="rId877" xr:uid="{00000000-0004-0000-0000-00006C030000}"/>
    <hyperlink ref="AJ908" r:id="rId878" xr:uid="{00000000-0004-0000-0000-00006D030000}"/>
    <hyperlink ref="AJ909" r:id="rId879" xr:uid="{00000000-0004-0000-0000-00006E030000}"/>
    <hyperlink ref="AJ910" r:id="rId880" xr:uid="{00000000-0004-0000-0000-00006F030000}"/>
    <hyperlink ref="AJ911" r:id="rId881" xr:uid="{00000000-0004-0000-0000-000070030000}"/>
    <hyperlink ref="AJ912" r:id="rId882" xr:uid="{00000000-0004-0000-0000-000071030000}"/>
    <hyperlink ref="AJ913" r:id="rId883" xr:uid="{00000000-0004-0000-0000-000072030000}"/>
    <hyperlink ref="AJ914" r:id="rId884" xr:uid="{00000000-0004-0000-0000-000073030000}"/>
    <hyperlink ref="AJ915" r:id="rId885" xr:uid="{00000000-0004-0000-0000-000074030000}"/>
    <hyperlink ref="AJ916" r:id="rId886" xr:uid="{00000000-0004-0000-0000-000075030000}"/>
    <hyperlink ref="AJ917" r:id="rId887" xr:uid="{00000000-0004-0000-0000-000076030000}"/>
    <hyperlink ref="AJ918" r:id="rId888" xr:uid="{00000000-0004-0000-0000-000077030000}"/>
    <hyperlink ref="AJ919" r:id="rId889" xr:uid="{00000000-0004-0000-0000-000078030000}"/>
    <hyperlink ref="AJ920" r:id="rId890" xr:uid="{00000000-0004-0000-0000-000079030000}"/>
    <hyperlink ref="AJ921" r:id="rId891" xr:uid="{00000000-0004-0000-0000-00007A030000}"/>
    <hyperlink ref="AJ922" r:id="rId892" xr:uid="{00000000-0004-0000-0000-00007B030000}"/>
    <hyperlink ref="AJ923" r:id="rId893" xr:uid="{00000000-0004-0000-0000-00007C030000}"/>
    <hyperlink ref="AJ924" r:id="rId894" xr:uid="{00000000-0004-0000-0000-00007D030000}"/>
    <hyperlink ref="AJ925" r:id="rId895" xr:uid="{00000000-0004-0000-0000-00007E030000}"/>
    <hyperlink ref="AJ926" r:id="rId896" xr:uid="{00000000-0004-0000-0000-00007F030000}"/>
    <hyperlink ref="AJ927" r:id="rId897" xr:uid="{00000000-0004-0000-0000-000080030000}"/>
    <hyperlink ref="AJ928" r:id="rId898" xr:uid="{00000000-0004-0000-0000-000081030000}"/>
    <hyperlink ref="AJ929" r:id="rId899" xr:uid="{00000000-0004-0000-0000-000082030000}"/>
    <hyperlink ref="AJ930" r:id="rId900" xr:uid="{00000000-0004-0000-0000-000083030000}"/>
    <hyperlink ref="AJ931" r:id="rId901" xr:uid="{00000000-0004-0000-0000-000084030000}"/>
    <hyperlink ref="AJ932" r:id="rId902" xr:uid="{00000000-0004-0000-0000-000085030000}"/>
    <hyperlink ref="AJ933" r:id="rId903" xr:uid="{00000000-0004-0000-0000-000086030000}"/>
    <hyperlink ref="AJ934" r:id="rId904" xr:uid="{00000000-0004-0000-0000-000087030000}"/>
    <hyperlink ref="AJ935" r:id="rId905" xr:uid="{00000000-0004-0000-0000-000088030000}"/>
    <hyperlink ref="AJ936" r:id="rId906" xr:uid="{00000000-0004-0000-0000-000089030000}"/>
    <hyperlink ref="AJ937" r:id="rId907" xr:uid="{00000000-0004-0000-0000-00008A030000}"/>
    <hyperlink ref="AJ938" r:id="rId908" xr:uid="{00000000-0004-0000-0000-00008B030000}"/>
    <hyperlink ref="AJ939" r:id="rId909" xr:uid="{00000000-0004-0000-0000-00008C030000}"/>
    <hyperlink ref="AJ940" r:id="rId910" xr:uid="{00000000-0004-0000-0000-00008D030000}"/>
    <hyperlink ref="AJ941" r:id="rId911" xr:uid="{00000000-0004-0000-0000-00008E030000}"/>
    <hyperlink ref="AJ942" r:id="rId912" xr:uid="{00000000-0004-0000-0000-00008F030000}"/>
    <hyperlink ref="AJ943" r:id="rId913" xr:uid="{00000000-0004-0000-0000-000090030000}"/>
    <hyperlink ref="AJ944" r:id="rId914" xr:uid="{00000000-0004-0000-0000-000091030000}"/>
    <hyperlink ref="AJ945" r:id="rId915" xr:uid="{00000000-0004-0000-0000-000092030000}"/>
    <hyperlink ref="AJ946" r:id="rId916" xr:uid="{00000000-0004-0000-0000-000093030000}"/>
    <hyperlink ref="AJ947" r:id="rId917" xr:uid="{00000000-0004-0000-0000-000094030000}"/>
    <hyperlink ref="AJ948" r:id="rId918" xr:uid="{00000000-0004-0000-0000-000095030000}"/>
    <hyperlink ref="AJ949" r:id="rId919" xr:uid="{00000000-0004-0000-0000-000096030000}"/>
    <hyperlink ref="AJ950" r:id="rId920" xr:uid="{00000000-0004-0000-0000-000097030000}"/>
    <hyperlink ref="AJ951" r:id="rId921" xr:uid="{00000000-0004-0000-0000-000098030000}"/>
    <hyperlink ref="AJ952" r:id="rId922" xr:uid="{00000000-0004-0000-0000-000099030000}"/>
    <hyperlink ref="AJ953" r:id="rId923" xr:uid="{00000000-0004-0000-0000-00009A030000}"/>
    <hyperlink ref="AJ954" r:id="rId924" xr:uid="{00000000-0004-0000-0000-00009B030000}"/>
    <hyperlink ref="AJ955" r:id="rId925" xr:uid="{00000000-0004-0000-0000-00009C030000}"/>
    <hyperlink ref="AJ956" r:id="rId926" xr:uid="{00000000-0004-0000-0000-00009D030000}"/>
    <hyperlink ref="AJ957" r:id="rId927" xr:uid="{00000000-0004-0000-0000-00009E030000}"/>
    <hyperlink ref="AJ958" r:id="rId928" xr:uid="{00000000-0004-0000-0000-00009F030000}"/>
    <hyperlink ref="AJ959" r:id="rId929" xr:uid="{00000000-0004-0000-0000-0000A0030000}"/>
    <hyperlink ref="AJ960" r:id="rId930" xr:uid="{00000000-0004-0000-0000-0000A1030000}"/>
    <hyperlink ref="AJ961" r:id="rId931" xr:uid="{00000000-0004-0000-0000-0000A2030000}"/>
    <hyperlink ref="AJ962" r:id="rId932" xr:uid="{00000000-0004-0000-0000-0000A3030000}"/>
    <hyperlink ref="AJ963" r:id="rId933" xr:uid="{00000000-0004-0000-0000-0000A4030000}"/>
    <hyperlink ref="AJ964" r:id="rId934" xr:uid="{00000000-0004-0000-0000-0000A5030000}"/>
    <hyperlink ref="AJ965" r:id="rId935" xr:uid="{00000000-0004-0000-0000-0000A6030000}"/>
    <hyperlink ref="AJ966" r:id="rId936" xr:uid="{00000000-0004-0000-0000-0000A7030000}"/>
    <hyperlink ref="AJ967" r:id="rId937" xr:uid="{00000000-0004-0000-0000-0000A8030000}"/>
    <hyperlink ref="AJ968" r:id="rId938" xr:uid="{00000000-0004-0000-0000-0000A9030000}"/>
    <hyperlink ref="AJ969" r:id="rId939" xr:uid="{00000000-0004-0000-0000-0000AA030000}"/>
    <hyperlink ref="AJ970" r:id="rId940" xr:uid="{00000000-0004-0000-0000-0000AB030000}"/>
    <hyperlink ref="AJ971" r:id="rId941" xr:uid="{00000000-0004-0000-0000-0000AC030000}"/>
    <hyperlink ref="AJ972" r:id="rId942" xr:uid="{00000000-0004-0000-0000-0000AD030000}"/>
    <hyperlink ref="AJ973" r:id="rId943" xr:uid="{00000000-0004-0000-0000-0000AE030000}"/>
    <hyperlink ref="AJ974" r:id="rId944" xr:uid="{00000000-0004-0000-0000-0000AF030000}"/>
    <hyperlink ref="AJ975" r:id="rId945" xr:uid="{00000000-0004-0000-0000-0000B0030000}"/>
    <hyperlink ref="AJ976" r:id="rId946" xr:uid="{00000000-0004-0000-0000-0000B1030000}"/>
    <hyperlink ref="AJ977" r:id="rId947" xr:uid="{00000000-0004-0000-0000-0000B2030000}"/>
    <hyperlink ref="AJ978" r:id="rId948" xr:uid="{00000000-0004-0000-0000-0000B3030000}"/>
    <hyperlink ref="AJ979" r:id="rId949" xr:uid="{00000000-0004-0000-0000-0000B4030000}"/>
    <hyperlink ref="AJ980" r:id="rId950" xr:uid="{00000000-0004-0000-0000-0000B5030000}"/>
    <hyperlink ref="AJ981" r:id="rId951" xr:uid="{00000000-0004-0000-0000-0000B6030000}"/>
    <hyperlink ref="AJ982" r:id="rId952" xr:uid="{00000000-0004-0000-0000-0000B7030000}"/>
    <hyperlink ref="AJ983" r:id="rId953" xr:uid="{00000000-0004-0000-0000-0000B8030000}"/>
    <hyperlink ref="AJ984" r:id="rId954" xr:uid="{00000000-0004-0000-0000-0000B9030000}"/>
    <hyperlink ref="AJ985" r:id="rId955" xr:uid="{00000000-0004-0000-0000-0000BA030000}"/>
    <hyperlink ref="AJ986" r:id="rId956" xr:uid="{00000000-0004-0000-0000-0000BB030000}"/>
    <hyperlink ref="AJ987" r:id="rId957" xr:uid="{00000000-0004-0000-0000-0000BC030000}"/>
    <hyperlink ref="AJ988" r:id="rId958" xr:uid="{00000000-0004-0000-0000-0000BD030000}"/>
    <hyperlink ref="AJ989" r:id="rId959" xr:uid="{00000000-0004-0000-0000-0000BE030000}"/>
    <hyperlink ref="AJ990" r:id="rId960" xr:uid="{00000000-0004-0000-0000-0000BF030000}"/>
    <hyperlink ref="AJ991" r:id="rId961" xr:uid="{00000000-0004-0000-0000-0000C0030000}"/>
    <hyperlink ref="AJ992" r:id="rId962" xr:uid="{00000000-0004-0000-0000-0000C1030000}"/>
    <hyperlink ref="AJ993" r:id="rId963" xr:uid="{00000000-0004-0000-0000-0000C2030000}"/>
    <hyperlink ref="AJ994" r:id="rId964" xr:uid="{00000000-0004-0000-0000-0000C3030000}"/>
    <hyperlink ref="AJ995" r:id="rId965" xr:uid="{00000000-0004-0000-0000-0000C4030000}"/>
    <hyperlink ref="AJ996" r:id="rId966" xr:uid="{00000000-0004-0000-0000-0000C5030000}"/>
    <hyperlink ref="AJ997" r:id="rId967" xr:uid="{00000000-0004-0000-0000-0000C6030000}"/>
    <hyperlink ref="AJ998" r:id="rId968" xr:uid="{00000000-0004-0000-0000-0000C7030000}"/>
    <hyperlink ref="AJ999" r:id="rId969" xr:uid="{00000000-0004-0000-0000-0000C8030000}"/>
    <hyperlink ref="AJ1000" r:id="rId970" xr:uid="{00000000-0004-0000-0000-0000C9030000}"/>
    <hyperlink ref="AJ1001" r:id="rId971" xr:uid="{00000000-0004-0000-0000-0000CA030000}"/>
    <hyperlink ref="AJ1002" r:id="rId972" xr:uid="{00000000-0004-0000-0000-0000CB030000}"/>
    <hyperlink ref="AJ1003" r:id="rId973" xr:uid="{00000000-0004-0000-0000-0000CC030000}"/>
    <hyperlink ref="AJ1004" r:id="rId974" xr:uid="{00000000-0004-0000-0000-0000CD030000}"/>
    <hyperlink ref="AJ1005" r:id="rId975" xr:uid="{00000000-0004-0000-0000-0000CE030000}"/>
    <hyperlink ref="AJ1006" r:id="rId976" xr:uid="{00000000-0004-0000-0000-0000CF030000}"/>
    <hyperlink ref="AJ1007" r:id="rId977" xr:uid="{00000000-0004-0000-0000-0000D0030000}"/>
    <hyperlink ref="AJ1008" r:id="rId978" xr:uid="{00000000-0004-0000-0000-0000D1030000}"/>
    <hyperlink ref="AJ1009" r:id="rId979" xr:uid="{00000000-0004-0000-0000-0000D2030000}"/>
    <hyperlink ref="AJ1010" r:id="rId980" xr:uid="{00000000-0004-0000-0000-0000D3030000}"/>
    <hyperlink ref="AJ1011" r:id="rId981" xr:uid="{00000000-0004-0000-0000-0000D4030000}"/>
    <hyperlink ref="AJ1012" r:id="rId982" xr:uid="{00000000-0004-0000-0000-0000D5030000}"/>
    <hyperlink ref="AJ1013" r:id="rId983" xr:uid="{00000000-0004-0000-0000-0000D6030000}"/>
    <hyperlink ref="AJ1014" r:id="rId984" xr:uid="{00000000-0004-0000-0000-0000D7030000}"/>
    <hyperlink ref="AJ1015" r:id="rId985" xr:uid="{00000000-0004-0000-0000-0000D8030000}"/>
    <hyperlink ref="AJ1016" r:id="rId986" xr:uid="{00000000-0004-0000-0000-0000D9030000}"/>
    <hyperlink ref="AJ1017" r:id="rId987" xr:uid="{00000000-0004-0000-0000-0000DA030000}"/>
    <hyperlink ref="AJ1018" r:id="rId988" xr:uid="{00000000-0004-0000-0000-0000DB030000}"/>
    <hyperlink ref="AJ1019" r:id="rId989" xr:uid="{00000000-0004-0000-0000-0000DC030000}"/>
    <hyperlink ref="AJ1020" r:id="rId990" xr:uid="{00000000-0004-0000-0000-0000DD030000}"/>
    <hyperlink ref="AJ1021" r:id="rId991" xr:uid="{00000000-0004-0000-0000-0000DE030000}"/>
    <hyperlink ref="AJ1022" r:id="rId992" xr:uid="{00000000-0004-0000-0000-0000DF030000}"/>
    <hyperlink ref="AJ1023" r:id="rId993" xr:uid="{00000000-0004-0000-0000-0000E0030000}"/>
    <hyperlink ref="AJ1024" r:id="rId994" xr:uid="{00000000-0004-0000-0000-0000E1030000}"/>
    <hyperlink ref="AJ1025" r:id="rId995" xr:uid="{00000000-0004-0000-0000-0000E2030000}"/>
    <hyperlink ref="AJ1026" r:id="rId996" xr:uid="{00000000-0004-0000-0000-0000E3030000}"/>
    <hyperlink ref="AJ1027" r:id="rId997" xr:uid="{00000000-0004-0000-0000-0000E4030000}"/>
    <hyperlink ref="AJ1028" r:id="rId998" xr:uid="{00000000-0004-0000-0000-0000E5030000}"/>
    <hyperlink ref="AJ1029" r:id="rId999" xr:uid="{00000000-0004-0000-0000-0000E6030000}"/>
    <hyperlink ref="AJ1030" r:id="rId1000" xr:uid="{00000000-0004-0000-0000-0000E7030000}"/>
    <hyperlink ref="AJ1031" r:id="rId1001" xr:uid="{00000000-0004-0000-0000-0000E8030000}"/>
    <hyperlink ref="AJ1032" r:id="rId1002" xr:uid="{00000000-0004-0000-0000-0000E9030000}"/>
    <hyperlink ref="AJ1033" r:id="rId1003" xr:uid="{00000000-0004-0000-0000-0000EA030000}"/>
    <hyperlink ref="AJ1034" r:id="rId1004" xr:uid="{00000000-0004-0000-0000-0000EB030000}"/>
    <hyperlink ref="AJ1035" r:id="rId1005" xr:uid="{00000000-0004-0000-0000-0000EC030000}"/>
    <hyperlink ref="AJ1036" r:id="rId1006" xr:uid="{00000000-0004-0000-0000-0000ED030000}"/>
    <hyperlink ref="AJ1037" r:id="rId1007" xr:uid="{00000000-0004-0000-0000-0000EE030000}"/>
    <hyperlink ref="AJ1038" r:id="rId1008" xr:uid="{00000000-0004-0000-0000-0000EF030000}"/>
    <hyperlink ref="AJ1039" r:id="rId1009" xr:uid="{00000000-0004-0000-0000-0000F0030000}"/>
    <hyperlink ref="AJ1040" r:id="rId1010" xr:uid="{00000000-0004-0000-0000-0000F1030000}"/>
    <hyperlink ref="AJ1041" r:id="rId1011" xr:uid="{00000000-0004-0000-0000-0000F2030000}"/>
    <hyperlink ref="AJ1042" r:id="rId1012" xr:uid="{00000000-0004-0000-0000-0000F3030000}"/>
    <hyperlink ref="AJ1043" r:id="rId1013" xr:uid="{00000000-0004-0000-0000-0000F4030000}"/>
    <hyperlink ref="AJ1044" r:id="rId1014" xr:uid="{00000000-0004-0000-0000-0000F5030000}"/>
    <hyperlink ref="AJ1045" r:id="rId1015" xr:uid="{00000000-0004-0000-0000-0000F6030000}"/>
    <hyperlink ref="AJ1046" r:id="rId1016" xr:uid="{00000000-0004-0000-0000-0000F7030000}"/>
    <hyperlink ref="AJ1047" r:id="rId1017" xr:uid="{00000000-0004-0000-0000-0000F8030000}"/>
    <hyperlink ref="AJ1048" r:id="rId1018" xr:uid="{00000000-0004-0000-0000-0000F9030000}"/>
    <hyperlink ref="AJ1049" r:id="rId1019" xr:uid="{00000000-0004-0000-0000-0000FA030000}"/>
    <hyperlink ref="AJ1050" r:id="rId1020" xr:uid="{00000000-0004-0000-0000-0000FB030000}"/>
    <hyperlink ref="AJ1051" r:id="rId1021" xr:uid="{00000000-0004-0000-0000-0000FC030000}"/>
    <hyperlink ref="AJ1052" r:id="rId1022" xr:uid="{00000000-0004-0000-0000-0000FD030000}"/>
    <hyperlink ref="AJ1053" r:id="rId1023" xr:uid="{00000000-0004-0000-0000-0000FE030000}"/>
    <hyperlink ref="AJ1054" r:id="rId1024" xr:uid="{00000000-0004-0000-0000-0000FF030000}"/>
    <hyperlink ref="AJ1055" r:id="rId1025" xr:uid="{00000000-0004-0000-0000-000000040000}"/>
    <hyperlink ref="AJ1056" r:id="rId1026" xr:uid="{00000000-0004-0000-0000-000001040000}"/>
    <hyperlink ref="AJ1057" r:id="rId1027" xr:uid="{00000000-0004-0000-0000-000002040000}"/>
    <hyperlink ref="AJ1058" r:id="rId1028" xr:uid="{00000000-0004-0000-0000-000003040000}"/>
    <hyperlink ref="AJ1059" r:id="rId1029" xr:uid="{00000000-0004-0000-0000-000004040000}"/>
    <hyperlink ref="AJ1060" r:id="rId1030" xr:uid="{00000000-0004-0000-0000-000005040000}"/>
    <hyperlink ref="AJ1061" r:id="rId1031" xr:uid="{00000000-0004-0000-0000-000006040000}"/>
    <hyperlink ref="AJ1062" r:id="rId1032" xr:uid="{00000000-0004-0000-0000-000007040000}"/>
    <hyperlink ref="AJ1063" r:id="rId1033" xr:uid="{00000000-0004-0000-0000-000008040000}"/>
    <hyperlink ref="AJ1064" r:id="rId1034" xr:uid="{00000000-0004-0000-0000-000009040000}"/>
    <hyperlink ref="AJ1065" r:id="rId1035" xr:uid="{00000000-0004-0000-0000-00000A040000}"/>
    <hyperlink ref="AJ1066" r:id="rId1036" xr:uid="{00000000-0004-0000-0000-00000B040000}"/>
    <hyperlink ref="AJ1067" r:id="rId1037" xr:uid="{00000000-0004-0000-0000-00000C040000}"/>
    <hyperlink ref="AJ1068" r:id="rId1038" xr:uid="{00000000-0004-0000-0000-00000D040000}"/>
    <hyperlink ref="AJ1069" r:id="rId1039" xr:uid="{00000000-0004-0000-0000-00000E040000}"/>
    <hyperlink ref="AJ1070" r:id="rId1040" xr:uid="{00000000-0004-0000-0000-00000F040000}"/>
    <hyperlink ref="AJ1071" r:id="rId1041" xr:uid="{00000000-0004-0000-0000-000010040000}"/>
    <hyperlink ref="AJ1072" r:id="rId1042" xr:uid="{00000000-0004-0000-0000-000011040000}"/>
    <hyperlink ref="AJ1073" r:id="rId1043" xr:uid="{00000000-0004-0000-0000-000012040000}"/>
    <hyperlink ref="AJ1074" r:id="rId1044" xr:uid="{00000000-0004-0000-0000-000013040000}"/>
    <hyperlink ref="AJ1075" r:id="rId1045" xr:uid="{00000000-0004-0000-0000-000014040000}"/>
    <hyperlink ref="AJ1076" r:id="rId1046" xr:uid="{00000000-0004-0000-0000-000015040000}"/>
    <hyperlink ref="AJ1077" r:id="rId1047" xr:uid="{00000000-0004-0000-0000-000016040000}"/>
    <hyperlink ref="AJ1078" r:id="rId1048" xr:uid="{00000000-0004-0000-0000-000017040000}"/>
    <hyperlink ref="AJ1079" r:id="rId1049" xr:uid="{00000000-0004-0000-0000-000018040000}"/>
    <hyperlink ref="AJ1080" r:id="rId1050" xr:uid="{00000000-0004-0000-0000-000019040000}"/>
    <hyperlink ref="AJ1081" r:id="rId1051" xr:uid="{00000000-0004-0000-0000-00001A040000}"/>
    <hyperlink ref="AJ1082" r:id="rId1052" xr:uid="{00000000-0004-0000-0000-00001B040000}"/>
    <hyperlink ref="AJ1083" r:id="rId1053" xr:uid="{00000000-0004-0000-0000-00001C040000}"/>
    <hyperlink ref="AJ1084" r:id="rId1054" xr:uid="{00000000-0004-0000-0000-00001D040000}"/>
    <hyperlink ref="AJ1085" r:id="rId1055" xr:uid="{00000000-0004-0000-0000-00001E040000}"/>
    <hyperlink ref="AJ1086" r:id="rId1056" xr:uid="{00000000-0004-0000-0000-00001F040000}"/>
    <hyperlink ref="AJ1087" r:id="rId1057" xr:uid="{00000000-0004-0000-0000-000020040000}"/>
    <hyperlink ref="AJ1088" r:id="rId1058" xr:uid="{00000000-0004-0000-0000-000021040000}"/>
    <hyperlink ref="AJ1089" r:id="rId1059" xr:uid="{00000000-0004-0000-0000-000022040000}"/>
    <hyperlink ref="AJ1090" r:id="rId1060" xr:uid="{00000000-0004-0000-0000-000023040000}"/>
    <hyperlink ref="AJ1091" r:id="rId1061" xr:uid="{00000000-0004-0000-0000-000024040000}"/>
    <hyperlink ref="AJ1092" r:id="rId1062" xr:uid="{00000000-0004-0000-0000-000025040000}"/>
    <hyperlink ref="AJ1093" r:id="rId1063" xr:uid="{00000000-0004-0000-0000-000026040000}"/>
    <hyperlink ref="AJ1094" r:id="rId1064" xr:uid="{00000000-0004-0000-0000-000027040000}"/>
    <hyperlink ref="AJ1095" r:id="rId1065" xr:uid="{00000000-0004-0000-0000-000028040000}"/>
    <hyperlink ref="AJ1096" r:id="rId1066" xr:uid="{00000000-0004-0000-0000-000029040000}"/>
    <hyperlink ref="AJ1097" r:id="rId1067" xr:uid="{00000000-0004-0000-0000-00002A040000}"/>
    <hyperlink ref="AJ1098" r:id="rId1068" xr:uid="{00000000-0004-0000-0000-00002B040000}"/>
    <hyperlink ref="AJ1099" r:id="rId1069" xr:uid="{00000000-0004-0000-0000-00002C040000}"/>
    <hyperlink ref="AJ1100" r:id="rId1070" xr:uid="{00000000-0004-0000-0000-00002D040000}"/>
    <hyperlink ref="AJ1101" r:id="rId1071" xr:uid="{00000000-0004-0000-0000-00002E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5703125" defaultRowHeig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AL1475"/>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5703125" defaultRowHeight="15.75" customHeight="1"/>
  <cols>
    <col min="4" max="4" width="16.7109375" customWidth="1"/>
    <col min="6" max="6" width="18" customWidth="1"/>
    <col min="7" max="7" width="24" customWidth="1"/>
    <col min="8" max="8" width="22.5703125" customWidth="1"/>
    <col min="9" max="9" width="16.5703125" customWidth="1"/>
    <col min="10" max="10" width="28.5703125" customWidth="1"/>
    <col min="13" max="13" width="41.85546875" customWidth="1"/>
    <col min="14" max="14" width="43.28515625" customWidth="1"/>
    <col min="15" max="15" width="95.42578125" customWidth="1"/>
    <col min="31" max="31" width="19.42578125" customWidth="1"/>
    <col min="32" max="32" width="28.140625" customWidth="1"/>
    <col min="33" max="33" width="17.5703125" customWidth="1"/>
    <col min="34" max="34" width="18.85546875" customWidth="1"/>
    <col min="35" max="35" width="45.5703125" customWidth="1"/>
    <col min="36" max="36" width="90.85546875" customWidth="1"/>
    <col min="37" max="37" width="59.28515625" customWidth="1"/>
    <col min="38" max="38" width="289.5703125" customWidth="1"/>
  </cols>
  <sheetData>
    <row r="1" spans="1:38" ht="15.75" customHeight="1">
      <c r="A1" s="1" t="str">
        <f ca="1">IFERROR(__xludf.DUMMYFUNCTION("QUERY('Form Responses 2'!A1:AE1475,""select A, B, C, D, E, AE, F, G, H, I, J, K, L, M, N, O, P, Q, R, S, T, U, V, W, X, Y, Z, AA, AB, AC, AD"")"),"Timestamp")</f>
        <v>Timestamp</v>
      </c>
      <c r="B1" s="2" t="str">
        <f ca="1">IFERROR(__xludf.DUMMYFUNCTION("""COMPUTED_VALUE"""),"YOUR NAME")</f>
        <v>YOUR NAME</v>
      </c>
      <c r="C1" s="1" t="str">
        <f ca="1">IFERROR(__xludf.DUMMYFUNCTION("""COMPUTED_VALUE"""),"YOUR EMAIL")</f>
        <v>YOUR EMAIL</v>
      </c>
      <c r="D1" s="1" t="str">
        <f ca="1">IFERROR(__xludf.DUMMYFUNCTION("""COMPUTED_VALUE"""),"Float Plan Holder")</f>
        <v>Float Plan Holder</v>
      </c>
      <c r="E1" s="1" t="str">
        <f ca="1">IFERROR(__xludf.DUMMYFUNCTION("""COMPUTED_VALUE"""),"BOAT RAMP")</f>
        <v>BOAT RAMP</v>
      </c>
      <c r="F1" s="3" t="str">
        <f ca="1">IFERROR(__xludf.DUMMYFUNCTION("""COMPUTED_VALUE"""),"Time you plan to launch")</f>
        <v>Time you plan to launch</v>
      </c>
      <c r="G1" s="4" t="str">
        <f ca="1">IFERROR(__xludf.DUMMYFUNCTION("""COMPUTED_VALUE"""),"Date you plan to launch")</f>
        <v>Date you plan to launch</v>
      </c>
      <c r="H1" s="1" t="str">
        <f ca="1">IFERROR(__xludf.DUMMYFUNCTION("""COMPUTED_VALUE"""),"Destination")</f>
        <v>Destination</v>
      </c>
      <c r="I1" s="5" t="str">
        <f ca="1">IFERROR(__xludf.DUMMYFUNCTION("""COMPUTED_VALUE"""),"Estimated time off the water")</f>
        <v>Estimated time off the water</v>
      </c>
      <c r="J1" s="1" t="str">
        <f ca="1">IFERROR(__xludf.DUMMYFUNCTION("""COMPUTED_VALUE"""),"Time return to office (best estimate)")</f>
        <v>Time return to office (best estimate)</v>
      </c>
      <c r="K1" s="1" t="str">
        <f ca="1">IFERROR(__xludf.DUMMYFUNCTION("""COMPUTED_VALUE"""),"Vessel Details")</f>
        <v>Vessel Details</v>
      </c>
      <c r="L1" s="1" t="str">
        <f ca="1">IFERROR(__xludf.DUMMYFUNCTION("""COMPUTED_VALUE"""),"If you selected Canoe(s) or Kayak(s), how many are you taking?")</f>
        <v>If you selected Canoe(s) or Kayak(s), how many are you taking?</v>
      </c>
      <c r="M1" s="1" t="str">
        <f ca="1">IFERROR(__xludf.DUMMYFUNCTION("""COMPUTED_VALUE"""),"Towing Vehicle")</f>
        <v>Towing Vehicle</v>
      </c>
      <c r="N1" s="1" t="str">
        <f ca="1">IFERROR(__xludf.DUMMYFUNCTION("""COMPUTED_VALUE"""),"Who is (are) the Certified Operator(s)?")</f>
        <v>Who is (are) the Certified Operator(s)?</v>
      </c>
      <c r="O1" s="1" t="str">
        <f ca="1">IFERROR(__xludf.DUMMYFUNCTION("""COMPUTED_VALUE"""),"Who is (are) the other individuals on-board?")</f>
        <v>Who is (are) the other individuals on-board?</v>
      </c>
      <c r="P1" s="1" t="str">
        <f ca="1">IFERROR(__xludf.DUMMYFUNCTION("""COMPUTED_VALUE"""),"Who is the primary Captain?")</f>
        <v>Who is the primary Captain?</v>
      </c>
      <c r="Q1" s="1" t="str">
        <f ca="1">IFERROR(__xludf.DUMMYFUNCTION("""COMPUTED_VALUE""")," [Trailer Lights, Tire Pressure, Boat Box with Keys, Tool Kit, PFD's for every passenger, Type IV Throwable, Fuel, Battery, Radio/Cell Check, Anchor &amp; Line, Paddles and/or Push Pole, Boat Hook, First-Aid Kit, Whistle/Horn, Signal Devices, Fire Extinguishe"&amp;"r, Navigation Lights]")</f>
        <v xml:space="preserve"> [Trailer Lights, Tire Pressure, Boat Box with Keys, Tool Kit, PFD's for every passenger, Type IV Throwable, Fuel, Battery, Radio/Cell Check, Anchor &amp; Line, Paddles and/or Push Pole, Boat Hook, First-Aid Kit, Whistle/Horn, Signal Devices, Fire Extinguisher, Navigation Lights]</v>
      </c>
      <c r="R1" s="1" t="str">
        <f ca="1">IFERROR(__xludf.DUMMYFUNCTION("""COMPUTED_VALUE""")," [Tool Kit]")</f>
        <v xml:space="preserve"> [Tool Kit]</v>
      </c>
      <c r="S1" s="1" t="str">
        <f ca="1">IFERROR(__xludf.DUMMYFUNCTION("""COMPUTED_VALUE""")," [PFD's and Type IV throwable]")</f>
        <v xml:space="preserve"> [PFD's and Type IV throwable]</v>
      </c>
      <c r="T1" s="1" t="str">
        <f ca="1">IFERROR(__xludf.DUMMYFUNCTION("""COMPUTED_VALUE""")," [Fuel, Battery, and Radio/Cell Check]")</f>
        <v xml:space="preserve"> [Fuel, Battery, and Radio/Cell Check]</v>
      </c>
      <c r="U1" s="1" t="str">
        <f ca="1">IFERROR(__xludf.DUMMYFUNCTION("""COMPUTED_VALUE""")," [Anchor and Line]")</f>
        <v xml:space="preserve"> [Anchor and Line]</v>
      </c>
      <c r="V1" s="1" t="str">
        <f ca="1">IFERROR(__xludf.DUMMYFUNCTION("""COMPUTED_VALUE""")," [Paddles, Push Pole]")</f>
        <v xml:space="preserve"> [Paddles, Push Pole]</v>
      </c>
      <c r="W1" s="1" t="str">
        <f ca="1">IFERROR(__xludf.DUMMYFUNCTION("""COMPUTED_VALUE""")," [Boat Hook]")</f>
        <v xml:space="preserve"> [Boat Hook]</v>
      </c>
      <c r="X1" s="1" t="str">
        <f ca="1">IFERROR(__xludf.DUMMYFUNCTION("""COMPUTED_VALUE""")," [First-Aid Kit]")</f>
        <v xml:space="preserve"> [First-Aid Kit]</v>
      </c>
      <c r="Y1" s="1" t="str">
        <f ca="1">IFERROR(__xludf.DUMMYFUNCTION("""COMPUTED_VALUE""")," [Whistle/ Horn]")</f>
        <v xml:space="preserve"> [Whistle/ Horn]</v>
      </c>
      <c r="Z1" s="1" t="str">
        <f ca="1">IFERROR(__xludf.DUMMYFUNCTION("""COMPUTED_VALUE""")," [Signal Devices]")</f>
        <v xml:space="preserve"> [Signal Devices]</v>
      </c>
      <c r="AA1" s="1" t="str">
        <f ca="1">IFERROR(__xludf.DUMMYFUNCTION("""COMPUTED_VALUE""")," [Fire Extinguisher]")</f>
        <v xml:space="preserve"> [Fire Extinguisher]</v>
      </c>
      <c r="AB1" s="1" t="str">
        <f ca="1">IFERROR(__xludf.DUMMYFUNCTION("""COMPUTED_VALUE""")," [Trailer and Boat Lights]")</f>
        <v xml:space="preserve"> [Trailer and Boat Lights]</v>
      </c>
      <c r="AC1" s="1" t="str">
        <f ca="1">IFERROR(__xludf.DUMMYFUNCTION("""COMPUTED_VALUE""")," [Tire Pressure]")</f>
        <v xml:space="preserve"> [Tire Pressure]</v>
      </c>
      <c r="AD1" s="1" t="str">
        <f ca="1">IFERROR(__xludf.DUMMYFUNCTION("""COMPUTED_VALUE"""),"Check the Weather (Optional)")</f>
        <v>Check the Weather (Optional)</v>
      </c>
      <c r="AE1" s="1" t="str">
        <f ca="1">IFERROR(__xludf.DUMMYFUNCTION("""COMPUTED_VALUE"""),"Check the Tides (Optional)")</f>
        <v>Check the Tides (Optional)</v>
      </c>
      <c r="AF1" s="6" t="s">
        <v>0</v>
      </c>
      <c r="AG1" s="7" t="s">
        <v>1</v>
      </c>
      <c r="AH1" s="8" t="s">
        <v>2</v>
      </c>
      <c r="AI1" s="9" t="s">
        <v>3</v>
      </c>
      <c r="AJ1" s="9" t="s">
        <v>4</v>
      </c>
      <c r="AK1" s="9" t="s">
        <v>5</v>
      </c>
      <c r="AL1" s="9" t="s">
        <v>6</v>
      </c>
    </row>
    <row r="2" spans="1:38" ht="15.75" customHeight="1">
      <c r="A2" s="10">
        <f ca="1">IFERROR(__xludf.DUMMYFUNCTION("""COMPUTED_VALUE"""),42342.6323527893)</f>
        <v>42342.632352789296</v>
      </c>
      <c r="B2" s="11" t="str">
        <f ca="1">IFERROR(__xludf.DUMMYFUNCTION("""COMPUTED_VALUE"""),"Kenneth Rainer")</f>
        <v>Kenneth Rainer</v>
      </c>
      <c r="C2" t="str">
        <f ca="1">IFERROR(__xludf.DUMMYFUNCTION("""COMPUTED_VALUE"""),"KennethCRainer@gmail.com")</f>
        <v>KennethCRainer@gmail.com</v>
      </c>
      <c r="D2" s="12" t="str">
        <f ca="1">IFERROR(__xludf.DUMMYFUNCTION("""COMPUTED_VALUE"""),"Research/Pam")</f>
        <v>Research/Pam</v>
      </c>
      <c r="E2" t="str">
        <f ca="1">IFERROR(__xludf.DUMMYFUNCTION("""COMPUTED_VALUE"""),"Aunt Kate's")</f>
        <v>Aunt Kate's</v>
      </c>
      <c r="F2" s="13"/>
      <c r="G2" s="14">
        <f ca="1">IFERROR(__xludf.DUMMYFUNCTION("""COMPUTED_VALUE"""),42342)</f>
        <v>42342</v>
      </c>
      <c r="H2" t="str">
        <f ca="1">IFERROR(__xludf.DUMMYFUNCTION("""COMPUTED_VALUE"""),"Field Station")</f>
        <v>Field Station</v>
      </c>
      <c r="I2" s="15">
        <f ca="1">IFERROR(__xludf.DUMMYFUNCTION("""COMPUTED_VALUE"""),0.0625)</f>
        <v>6.25E-2</v>
      </c>
      <c r="J2" s="16">
        <f ca="1">IFERROR(__xludf.DUMMYFUNCTION("""COMPUTED_VALUE"""),0.666666666667879)</f>
        <v>0.66666666666787899</v>
      </c>
      <c r="K2" t="str">
        <f ca="1">IFERROR(__xludf.DUMMYFUNCTION("""COMPUTED_VALUE"""),"17ft Skill FL0642GW DEP07239")</f>
        <v>17ft Skill FL0642GW DEP07239</v>
      </c>
      <c r="M2" t="str">
        <f ca="1">IFERROR(__xludf.DUMMYFUNCTION("""COMPUTED_VALUE"""),"Ford F150 2015 (White) - DEP21448")</f>
        <v>Ford F150 2015 (White) - DEP21448</v>
      </c>
      <c r="N2" t="str">
        <f ca="1">IFERROR(__xludf.DUMMYFUNCTION("""COMPUTED_VALUE"""),"Nikki Dix, (352) 219-4079, Pam Marcum, (480) 332-5414")</f>
        <v>Nikki Dix, (352) 219-4079, Pam Marcum, (480) 332-5414</v>
      </c>
      <c r="O2" t="str">
        <f ca="1">IFERROR(__xludf.DUMMYFUNCTION("""COMPUTED_VALUE"""),"Joseph Burgess, Katie Petrinec, (904) 891-2956, Kenneth Rainer, (936) 499-1853, Matt Welsh, (904) 705-5617")</f>
        <v>Joseph Burgess, Katie Petrinec, (904) 891-2956, Kenneth Rainer, (936) 499-1853, Matt Welsh, (904) 705-5617</v>
      </c>
      <c r="P2" t="str">
        <f ca="1">IFERROR(__xludf.DUMMYFUNCTION("""COMPUTED_VALUE"""),"Joseph Burgess")</f>
        <v>Joseph Burgess</v>
      </c>
      <c r="AF2" s="11" t="str">
        <f t="array" ref="AF2:AF1201">IF(LEN('Form Responses 2'!$A2:$A1475),IF('Form Responses 2'!D2:D1475="Research","Nikki.Dix@floridadep.gov",IF('Form Responses 2'!D2:D1475="Stewardship (Aquatic)","Scott.Eastman@floridadep.gov",IF('Form Responses 2'!D2:D1475="Education","Kenneth.Rainer@floridadep.gov",IF('Form Responses 2'!D2:D1475="Stewardship (Uplands)","Scott.Eastman@floridadep.gov",IF('Form Responses 2'!D2:D1475="Coastal Training Program","Kaitlyn.Dietz@floridadep.gov",IF('Form Responses 2'!D2:D1475="Volunteer","Shannon.Rininger@floridadep.gov",IF('Form Responses 2'!D2:D1475="Administration","Lia.Sansom@floridadep.gov",IF('Form Responses 2'!D2:D1475="Research/Nikki","Nikki.Dix@floridadep.gov",IF('Form Responses 2'!D2:D1475="Research/Pam","Pamela.Marcum@floridadep.gov",IF('Form Responses 2'!D2:D1475="Research/Shannon","Shannon.Dunnigan@floridadep.gov",IF('Form Responses 2'!D2:D1475="Research/Silas","Silas.Tanner@floridadep.gov",IF('Form Responses 2'!D2:D1475="Nikki Dix","Nikki.Dix@floridadep.gov",IF('Form Responses 2'!D2:D1475="Pam Marcum","Pamela.Marcum@floridadep.gov",IF('Form Responses 2'!D2:D1475="Shannon Dunnigan","Shannon.Dunnigan@floridadep.gov",IF('Form Responses 2'!D2:D1475="Silas Tanner","Silas.Tanner@floridadep.gov",IF('Form Responses 2'!D2:D1475="Katie Petrinec","Katherine.Petrinec@floridadep.gov",IF('Form Responses 2'!D2:D1475="Scott Eastman","Scott.Eastman@floridadep.gov",IF('Form Responses 2'!D2:D1475="Suzi Porterfield","Susan.Porterfield@floridadep.gov",IF('Form Responses 2'!D2:D1475="Jimmy Tomazinis","James.Tomazinis@floridadep.gov",IF('Form Responses 2'!D2:D1475="Josie Spearman","Josephine.Spearman@floridadep.gov","")))))))))))))))))))))</f>
        <v>Pamela.Marcum@floridadep.gov</v>
      </c>
      <c r="AG2" s="17" t="s">
        <v>7</v>
      </c>
      <c r="AH2" s="12"/>
      <c r="AI2" s="12" t="s">
        <v>8</v>
      </c>
      <c r="AJ2" s="12" t="s">
        <v>8</v>
      </c>
      <c r="AK2" s="12" t="s">
        <v>8</v>
      </c>
      <c r="AL2" s="12" t="s">
        <v>8</v>
      </c>
    </row>
    <row r="3" spans="1:38" ht="15.75" customHeight="1">
      <c r="A3" s="10">
        <f ca="1">IFERROR(__xludf.DUMMYFUNCTION("""COMPUTED_VALUE"""),42342.6371359953)</f>
        <v>42342.637135995297</v>
      </c>
      <c r="B3" s="11" t="str">
        <f ca="1">IFERROR(__xludf.DUMMYFUNCTION("""COMPUTED_VALUE"""),"Kenneth Rainer")</f>
        <v>Kenneth Rainer</v>
      </c>
      <c r="C3" t="str">
        <f ca="1">IFERROR(__xludf.DUMMYFUNCTION("""COMPUTED_VALUE"""),"KennethCRainer@gmail.com")</f>
        <v>KennethCRainer@gmail.com</v>
      </c>
      <c r="D3" t="str">
        <f ca="1">IFERROR(__xludf.DUMMYFUNCTION("""COMPUTED_VALUE"""),"Education")</f>
        <v>Education</v>
      </c>
      <c r="E3" t="str">
        <f ca="1">IFERROR(__xludf.DUMMYFUNCTION("""COMPUTED_VALUE"""),"Aunt Kate's")</f>
        <v>Aunt Kate's</v>
      </c>
      <c r="F3" s="13"/>
      <c r="G3" s="14">
        <f ca="1">IFERROR(__xludf.DUMMYFUNCTION("""COMPUTED_VALUE"""),42342)</f>
        <v>42342</v>
      </c>
      <c r="H3" t="str">
        <f ca="1">IFERROR(__xludf.DUMMYFUNCTION("""COMPUTED_VALUE"""),"Field Station")</f>
        <v>Field Station</v>
      </c>
      <c r="I3" s="15">
        <f ca="1">IFERROR(__xludf.DUMMYFUNCTION("""COMPUTED_VALUE"""),0.0520833333321206)</f>
        <v>5.2083333332120597E-2</v>
      </c>
      <c r="J3" s="16">
        <f ca="1">IFERROR(__xludf.DUMMYFUNCTION("""COMPUTED_VALUE"""),0.666666666667879)</f>
        <v>0.66666666666787899</v>
      </c>
      <c r="K3" t="str">
        <f ca="1">IFERROR(__xludf.DUMMYFUNCTION("""COMPUTED_VALUE"""),"F 20ft Sea Ark (Easy 200)")</f>
        <v>F 20ft Sea Ark (Easy 200)</v>
      </c>
      <c r="M3" t="str">
        <f ca="1">IFERROR(__xludf.DUMMYFUNCTION("""COMPUTED_VALUE"""),"Ford F150 2015 (White) - DEP21448")</f>
        <v>Ford F150 2015 (White) - DEP21448</v>
      </c>
      <c r="N3" t="str">
        <f ca="1">IFERROR(__xludf.DUMMYFUNCTION("""COMPUTED_VALUE"""),"Joseph Burgess, Pam Marcum, (480) 332-5414")</f>
        <v>Joseph Burgess, Pam Marcum, (480) 332-5414</v>
      </c>
      <c r="O3" t="str">
        <f ca="1">IFERROR(__xludf.DUMMYFUNCTION("""COMPUTED_VALUE"""),"Pam Marcum, (480) 332-5414, Matt Monroe, Kenneth Rainer, (936) 499-1853")</f>
        <v>Pam Marcum, (480) 332-5414, Matt Monroe, Kenneth Rainer, (936) 499-1853</v>
      </c>
      <c r="P3" t="str">
        <f ca="1">IFERROR(__xludf.DUMMYFUNCTION("""COMPUTED_VALUE"""),"Nikki Dix, (352) 219-4079")</f>
        <v>Nikki Dix, (352) 219-4079</v>
      </c>
      <c r="AE3" s="11"/>
      <c r="AF3" s="12" t="str">
        <v>Kenneth.Rainer@floridadep.gov</v>
      </c>
      <c r="AG3" s="17"/>
      <c r="AH3" s="12"/>
      <c r="AI3" s="12" t="s">
        <v>8</v>
      </c>
      <c r="AJ3" s="12" t="s">
        <v>8</v>
      </c>
      <c r="AK3" s="12" t="s">
        <v>8</v>
      </c>
      <c r="AL3" s="12" t="s">
        <v>8</v>
      </c>
    </row>
    <row r="4" spans="1:38" ht="15.75" customHeight="1">
      <c r="A4" s="10">
        <f ca="1">IFERROR(__xludf.DUMMYFUNCTION("""COMPUTED_VALUE"""),42346.6481451851)</f>
        <v>42346.6481451851</v>
      </c>
      <c r="B4" s="11" t="str">
        <f ca="1">IFERROR(__xludf.DUMMYFUNCTION("""COMPUTED_VALUE"""),"Kenneth Rainer")</f>
        <v>Kenneth Rainer</v>
      </c>
      <c r="C4" t="str">
        <f ca="1">IFERROR(__xludf.DUMMYFUNCTION("""COMPUTED_VALUE"""),"Kenneth.Rainer@dep.state.fl.us")</f>
        <v>Kenneth.Rainer@dep.state.fl.us</v>
      </c>
      <c r="D4" t="str">
        <f ca="1">IFERROR(__xludf.DUMMYFUNCTION("""COMPUTED_VALUE"""),"Education")</f>
        <v>Education</v>
      </c>
      <c r="E4" t="str">
        <f ca="1">IFERROR(__xludf.DUMMYFUNCTION("""COMPUTED_VALUE"""),"Vilano Boat Ramp (Campeche Cove)")</f>
        <v>Vilano Boat Ramp (Campeche Cove)</v>
      </c>
      <c r="F4" s="13"/>
      <c r="G4" s="14">
        <f ca="1">IFERROR(__xludf.DUMMYFUNCTION("""COMPUTED_VALUE"""),42347)</f>
        <v>42347</v>
      </c>
      <c r="H4" t="str">
        <f ca="1">IFERROR(__xludf.DUMMYFUNCTION("""COMPUTED_VALUE"""),"Moses Creek")</f>
        <v>Moses Creek</v>
      </c>
      <c r="I4" s="15">
        <f ca="1">IFERROR(__xludf.DUMMYFUNCTION("""COMPUTED_VALUE"""),0.375)</f>
        <v>0.375</v>
      </c>
      <c r="J4" s="16">
        <f ca="1">IFERROR(__xludf.DUMMYFUNCTION("""COMPUTED_VALUE"""),42347.7083333333)</f>
        <v>42347.708333333299</v>
      </c>
      <c r="K4" t="str">
        <f ca="1">IFERROR(__xludf.DUMMYFUNCTION("""COMPUTED_VALUE"""),"F 20ft Sea Ark (Easy 200)")</f>
        <v>F 20ft Sea Ark (Easy 200)</v>
      </c>
      <c r="M4" t="str">
        <f ca="1">IFERROR(__xludf.DUMMYFUNCTION("""COMPUTED_VALUE"""),"Ford F150 2015 (White) - DEP21448")</f>
        <v>Ford F150 2015 (White) - DEP21448</v>
      </c>
      <c r="N4" t="str">
        <f ca="1">IFERROR(__xludf.DUMMYFUNCTION("""COMPUTED_VALUE"""),"Pam Marcum, (480) 332-5414, Kenneth Rainer, (936) 499-1853")</f>
        <v>Pam Marcum, (480) 332-5414, Kenneth Rainer, (936) 499-1853</v>
      </c>
      <c r="O4" t="str">
        <f ca="1">IFERROR(__xludf.DUMMYFUNCTION("""COMPUTED_VALUE"""),"Volunteers")</f>
        <v>Volunteers</v>
      </c>
      <c r="P4" t="str">
        <f ca="1">IFERROR(__xludf.DUMMYFUNCTION("""COMPUTED_VALUE"""),"Kenneth Rainer, (936) 499-1853")</f>
        <v>Kenneth Rainer, (936) 499-1853</v>
      </c>
      <c r="AE4" s="11"/>
      <c r="AF4" t="str">
        <v>Kenneth.Rainer@floridadep.gov</v>
      </c>
      <c r="AG4" s="18"/>
      <c r="AH4" s="12"/>
      <c r="AI4" s="12" t="s">
        <v>8</v>
      </c>
      <c r="AJ4" s="12" t="s">
        <v>8</v>
      </c>
      <c r="AK4" s="12" t="s">
        <v>8</v>
      </c>
      <c r="AL4" s="12" t="s">
        <v>8</v>
      </c>
    </row>
    <row r="5" spans="1:38" ht="15.75" customHeight="1">
      <c r="A5" s="10">
        <f ca="1">IFERROR(__xludf.DUMMYFUNCTION("""COMPUTED_VALUE"""),42536.5394540972)</f>
        <v>42536.539454097197</v>
      </c>
      <c r="B5" s="11" t="str">
        <f ca="1">IFERROR(__xludf.DUMMYFUNCTION("""COMPUTED_VALUE"""),"Kenneth Rainer")</f>
        <v>Kenneth Rainer</v>
      </c>
      <c r="C5" t="str">
        <f ca="1">IFERROR(__xludf.DUMMYFUNCTION("""COMPUTED_VALUE"""),"Kenneth.Rainer@dep.state.fl.us")</f>
        <v>Kenneth.Rainer@dep.state.fl.us</v>
      </c>
      <c r="D5" t="str">
        <f ca="1">IFERROR(__xludf.DUMMYFUNCTION("""COMPUTED_VALUE"""),"Education")</f>
        <v>Education</v>
      </c>
      <c r="E5" t="str">
        <f ca="1">IFERROR(__xludf.DUMMYFUNCTION("""COMPUTED_VALUE"""),"Usina Boat Ramp (Aunt Kate's)")</f>
        <v>Usina Boat Ramp (Aunt Kate's)</v>
      </c>
      <c r="F5" s="13"/>
      <c r="G5" s="14">
        <f ca="1">IFERROR(__xludf.DUMMYFUNCTION("""COMPUTED_VALUE"""),42537)</f>
        <v>42537</v>
      </c>
      <c r="H5" t="str">
        <f ca="1">IFERROR(__xludf.DUMMYFUNCTION("""COMPUTED_VALUE"""),"Wright's Landing (Tolomato River)")</f>
        <v>Wright's Landing (Tolomato River)</v>
      </c>
      <c r="I5" s="15">
        <f ca="1">IFERROR(__xludf.DUMMYFUNCTION("""COMPUTED_VALUE"""),0.166666666667879)</f>
        <v>0.16666666666787899</v>
      </c>
      <c r="J5" s="16">
        <f ca="1">IFERROR(__xludf.DUMMYFUNCTION("""COMPUTED_VALUE"""),42537.5833333333)</f>
        <v>42537.583333333299</v>
      </c>
      <c r="K5" t="str">
        <f ca="1">IFERROR(__xludf.DUMMYFUNCTION("""COMPUTED_VALUE"""),"23ft Skiff FL7972LJ DEP07613")</f>
        <v>23ft Skiff FL7972LJ DEP07613</v>
      </c>
      <c r="M5" t="str">
        <f ca="1">IFERROR(__xludf.DUMMYFUNCTION("""COMPUTED_VALUE"""),"Ford F150 2015 (White) - DEP21448")</f>
        <v>Ford F150 2015 (White) - DEP21448</v>
      </c>
      <c r="N5" t="str">
        <f ca="1">IFERROR(__xludf.DUMMYFUNCTION("""COMPUTED_VALUE"""),"Kenneth Rainer, (936) 499-1853")</f>
        <v>Kenneth Rainer, (936) 499-1853</v>
      </c>
      <c r="O5" t="str">
        <f ca="1">IFERROR(__xludf.DUMMYFUNCTION("""COMPUTED_VALUE"""),"Erin Elliot, Meghan Higgins, 7-9yr campers (June 13-17, 2016 week)")</f>
        <v>Erin Elliot, Meghan Higgins, 7-9yr campers (June 13-17, 2016 week)</v>
      </c>
      <c r="P5" t="str">
        <f ca="1">IFERROR(__xludf.DUMMYFUNCTION("""COMPUTED_VALUE"""),"Kenneth Rainer, (936) 499-1853")</f>
        <v>Kenneth Rainer, (936) 499-1853</v>
      </c>
      <c r="AE5" s="11"/>
      <c r="AF5" t="str">
        <v>Kenneth.Rainer@floridadep.gov</v>
      </c>
      <c r="AG5" s="18"/>
      <c r="AH5" s="12"/>
      <c r="AI5" s="12" t="s">
        <v>8</v>
      </c>
      <c r="AJ5" s="12" t="s">
        <v>8</v>
      </c>
      <c r="AK5" s="12" t="s">
        <v>8</v>
      </c>
      <c r="AL5" s="12" t="s">
        <v>8</v>
      </c>
    </row>
    <row r="6" spans="1:38" ht="15.75" customHeight="1">
      <c r="A6" s="10">
        <f ca="1">IFERROR(__xludf.DUMMYFUNCTION("""COMPUTED_VALUE"""),42542.4538064351)</f>
        <v>42542.4538064351</v>
      </c>
      <c r="B6" s="11" t="str">
        <f ca="1">IFERROR(__xludf.DUMMYFUNCTION("""COMPUTED_VALUE"""),"Kenneth Rainer")</f>
        <v>Kenneth Rainer</v>
      </c>
      <c r="C6" t="str">
        <f ca="1">IFERROR(__xludf.DUMMYFUNCTION("""COMPUTED_VALUE"""),"Kenneth.Rainer@dep.state.fl.us")</f>
        <v>Kenneth.Rainer@dep.state.fl.us</v>
      </c>
      <c r="D6" t="str">
        <f ca="1">IFERROR(__xludf.DUMMYFUNCTION("""COMPUTED_VALUE"""),"Education")</f>
        <v>Education</v>
      </c>
      <c r="E6" t="str">
        <f ca="1">IFERROR(__xludf.DUMMYFUNCTION("""COMPUTED_VALUE"""),"Usina Boat Ramp")</f>
        <v>Usina Boat Ramp</v>
      </c>
      <c r="F6" s="13"/>
      <c r="G6" s="14">
        <f ca="1">IFERROR(__xludf.DUMMYFUNCTION("""COMPUTED_VALUE"""),42543)</f>
        <v>42543</v>
      </c>
      <c r="H6" t="str">
        <f ca="1">IFERROR(__xludf.DUMMYFUNCTION("""COMPUTED_VALUE"""),"Shell Bluff and then to tip of Guana Peninsula")</f>
        <v>Shell Bluff and then to tip of Guana Peninsula</v>
      </c>
      <c r="I6" s="15">
        <f ca="1">IFERROR(__xludf.DUMMYFUNCTION("""COMPUTED_VALUE"""),0.375)</f>
        <v>0.375</v>
      </c>
      <c r="J6" s="16">
        <f ca="1">IFERROR(__xludf.DUMMYFUNCTION("""COMPUTED_VALUE"""),42543.5416666666)</f>
        <v>42543.541666666599</v>
      </c>
      <c r="K6" t="str">
        <f ca="1">IFERROR(__xludf.DUMMYFUNCTION("""COMPUTED_VALUE"""),"23ft Skiff FL7972LJ DEP07613")</f>
        <v>23ft Skiff FL7972LJ DEP07613</v>
      </c>
      <c r="M6" t="str">
        <f ca="1">IFERROR(__xludf.DUMMYFUNCTION("""COMPUTED_VALUE"""),"Ford F150 2015 (White) - DEP21448")</f>
        <v>Ford F150 2015 (White) - DEP21448</v>
      </c>
      <c r="N6" t="str">
        <f ca="1">IFERROR(__xludf.DUMMYFUNCTION("""COMPUTED_VALUE"""),"Kenneth Rainer, (936) 499-1853")</f>
        <v>Kenneth Rainer, (936) 499-1853</v>
      </c>
      <c r="O6" t="str">
        <f ca="1">IFERROR(__xludf.DUMMYFUNCTION("""COMPUTED_VALUE"""),"Erin Elliot, Meghan Higgins, 10-12yr Ocean Week Campers")</f>
        <v>Erin Elliot, Meghan Higgins, 10-12yr Ocean Week Campers</v>
      </c>
      <c r="P6" t="str">
        <f ca="1">IFERROR(__xludf.DUMMYFUNCTION("""COMPUTED_VALUE"""),"Kenneth Rainer, (936) 499-1853")</f>
        <v>Kenneth Rainer, (936) 499-1853</v>
      </c>
      <c r="AE6" s="11"/>
      <c r="AF6" t="str">
        <v>Kenneth.Rainer@floridadep.gov</v>
      </c>
      <c r="AG6" s="18"/>
      <c r="AH6" s="12"/>
      <c r="AI6" s="12" t="s">
        <v>8</v>
      </c>
      <c r="AJ6" s="12" t="s">
        <v>8</v>
      </c>
      <c r="AK6" s="12" t="s">
        <v>8</v>
      </c>
      <c r="AL6" s="12" t="s">
        <v>8</v>
      </c>
    </row>
    <row r="7" spans="1:38" ht="15.75" customHeight="1">
      <c r="A7" s="10">
        <f ca="1">IFERROR(__xludf.DUMMYFUNCTION("""COMPUTED_VALUE"""),42596.453526412)</f>
        <v>42596.453526411999</v>
      </c>
      <c r="B7" s="11" t="str">
        <f ca="1">IFERROR(__xludf.DUMMYFUNCTION("""COMPUTED_VALUE"""),"Kenneth Rainer")</f>
        <v>Kenneth Rainer</v>
      </c>
      <c r="C7" t="str">
        <f ca="1">IFERROR(__xludf.DUMMYFUNCTION("""COMPUTED_VALUE"""),"Kenneth.Rainer@dep.state.fl.us")</f>
        <v>Kenneth.Rainer@dep.state.fl.us</v>
      </c>
      <c r="D7" t="str">
        <f ca="1">IFERROR(__xludf.DUMMYFUNCTION("""COMPUTED_VALUE"""),"Education")</f>
        <v>Education</v>
      </c>
      <c r="E7" t="str">
        <f ca="1">IFERROR(__xludf.DUMMYFUNCTION("""COMPUTED_VALUE"""),"Vilano Boat Ramp")</f>
        <v>Vilano Boat Ramp</v>
      </c>
      <c r="F7" s="13"/>
      <c r="G7" s="14">
        <f ca="1">IFERROR(__xludf.DUMMYFUNCTION("""COMPUTED_VALUE"""),42597)</f>
        <v>42597</v>
      </c>
      <c r="H7" t="str">
        <f ca="1">IFERROR(__xludf.DUMMYFUNCTION("""COMPUTED_VALUE"""),"Northern Component to conduct Nekton Surveys")</f>
        <v>Northern Component to conduct Nekton Surveys</v>
      </c>
      <c r="I7" s="15">
        <f ca="1">IFERROR(__xludf.DUMMYFUNCTION("""COMPUTED_VALUE"""),0.28125)</f>
        <v>0.28125</v>
      </c>
      <c r="J7" s="16">
        <f ca="1">IFERROR(__xludf.DUMMYFUNCTION("""COMPUTED_VALUE"""),42536.5416666666)</f>
        <v>42536.541666666599</v>
      </c>
      <c r="K7" t="str">
        <f ca="1">IFERROR(__xludf.DUMMYFUNCTION("""COMPUTED_VALUE"""),"23ft Skiff FL7972LJ DEP07613")</f>
        <v>23ft Skiff FL7972LJ DEP07613</v>
      </c>
      <c r="M7" t="str">
        <f ca="1">IFERROR(__xludf.DUMMYFUNCTION("""COMPUTED_VALUE"""),"Ford F150 2015 (White) - DEP21448")</f>
        <v>Ford F150 2015 (White) - DEP21448</v>
      </c>
      <c r="N7" t="str">
        <f ca="1">IFERROR(__xludf.DUMMYFUNCTION("""COMPUTED_VALUE"""),"Kenneth Rainer, (936) 499-1853")</f>
        <v>Kenneth Rainer, (936) 499-1853</v>
      </c>
      <c r="O7" t="str">
        <f ca="1">IFERROR(__xludf.DUMMYFUNCTION("""COMPUTED_VALUE"""),"Ed McGinley")</f>
        <v>Ed McGinley</v>
      </c>
      <c r="P7" t="str">
        <f ca="1">IFERROR(__xludf.DUMMYFUNCTION("""COMPUTED_VALUE"""),"Kenneth Rainer, (936) 499-1853")</f>
        <v>Kenneth Rainer, (936) 499-1853</v>
      </c>
      <c r="AE7" s="11"/>
      <c r="AF7" t="str">
        <v>Kenneth.Rainer@floridadep.gov</v>
      </c>
      <c r="AG7" s="18"/>
      <c r="AH7" s="12"/>
      <c r="AI7" s="12" t="s">
        <v>8</v>
      </c>
      <c r="AJ7" s="12" t="s">
        <v>8</v>
      </c>
      <c r="AK7" s="12" t="s">
        <v>8</v>
      </c>
      <c r="AL7" s="12" t="s">
        <v>8</v>
      </c>
    </row>
    <row r="8" spans="1:38" ht="15.75" customHeight="1">
      <c r="A8" s="10">
        <f ca="1">IFERROR(__xludf.DUMMYFUNCTION("""COMPUTED_VALUE"""),42628.4610398263)</f>
        <v>42628.461039826303</v>
      </c>
      <c r="B8" s="11" t="str">
        <f ca="1">IFERROR(__xludf.DUMMYFUNCTION("""COMPUTED_VALUE"""),"Kenneth Rainer")</f>
        <v>Kenneth Rainer</v>
      </c>
      <c r="C8" t="str">
        <f ca="1">IFERROR(__xludf.DUMMYFUNCTION("""COMPUTED_VALUE"""),"Kenneth.Rainer@dep.state.fl.us")</f>
        <v>Kenneth.Rainer@dep.state.fl.us</v>
      </c>
      <c r="D8" t="str">
        <f ca="1">IFERROR(__xludf.DUMMYFUNCTION("""COMPUTED_VALUE"""),"Education")</f>
        <v>Education</v>
      </c>
      <c r="E8" t="str">
        <f ca="1">IFERROR(__xludf.DUMMYFUNCTION("""COMPUTED_VALUE"""),"Vilano Boat Ramp")</f>
        <v>Vilano Boat Ramp</v>
      </c>
      <c r="F8" s="13"/>
      <c r="G8" s="14">
        <f ca="1">IFERROR(__xludf.DUMMYFUNCTION("""COMPUTED_VALUE"""),42629)</f>
        <v>42629</v>
      </c>
      <c r="H8" t="str">
        <f ca="1">IFERROR(__xludf.DUMMYFUNCTION("""COMPUTED_VALUE"""),"Nekton Survey Sample Sites")</f>
        <v>Nekton Survey Sample Sites</v>
      </c>
      <c r="I8" s="15">
        <f ca="1">IFERROR(__xludf.DUMMYFUNCTION("""COMPUTED_VALUE"""),0.291666666667879)</f>
        <v>0.29166666666787899</v>
      </c>
      <c r="J8" s="16">
        <f ca="1">IFERROR(__xludf.DUMMYFUNCTION("""COMPUTED_VALUE"""),42629.5416666666)</f>
        <v>42629.541666666599</v>
      </c>
      <c r="K8" t="str">
        <f ca="1">IFERROR(__xludf.DUMMYFUNCTION("""COMPUTED_VALUE"""),"23ft Skiff FL7972LJ DEP07613")</f>
        <v>23ft Skiff FL7972LJ DEP07613</v>
      </c>
      <c r="M8" t="str">
        <f ca="1">IFERROR(__xludf.DUMMYFUNCTION("""COMPUTED_VALUE"""),"Ford F150 2015 (White) - DEP21448")</f>
        <v>Ford F150 2015 (White) - DEP21448</v>
      </c>
      <c r="N8" t="str">
        <f ca="1">IFERROR(__xludf.DUMMYFUNCTION("""COMPUTED_VALUE"""),"Kenneth Rainer, (936) 499-1853")</f>
        <v>Kenneth Rainer, (936) 499-1853</v>
      </c>
      <c r="O8" t="str">
        <f ca="1">IFERROR(__xludf.DUMMYFUNCTION("""COMPUTED_VALUE"""),"Ed McGinley, Flagler Students")</f>
        <v>Ed McGinley, Flagler Students</v>
      </c>
      <c r="P8" t="str">
        <f ca="1">IFERROR(__xludf.DUMMYFUNCTION("""COMPUTED_VALUE"""),"Kenneth Rainer, (936) 499-1853")</f>
        <v>Kenneth Rainer, (936) 499-1853</v>
      </c>
      <c r="AE8" s="11"/>
      <c r="AF8" t="str">
        <v>Kenneth.Rainer@floridadep.gov</v>
      </c>
      <c r="AG8" s="18"/>
      <c r="AH8" s="12"/>
      <c r="AI8" s="12" t="s">
        <v>8</v>
      </c>
      <c r="AJ8" s="12" t="s">
        <v>8</v>
      </c>
      <c r="AK8" s="12" t="s">
        <v>8</v>
      </c>
      <c r="AL8" s="12" t="s">
        <v>8</v>
      </c>
    </row>
    <row r="9" spans="1:38" ht="15.75" customHeight="1">
      <c r="A9" s="10">
        <f ca="1">IFERROR(__xludf.DUMMYFUNCTION("""COMPUTED_VALUE"""),42642.6175006597)</f>
        <v>42642.617500659697</v>
      </c>
      <c r="B9" s="11" t="str">
        <f ca="1">IFERROR(__xludf.DUMMYFUNCTION("""COMPUTED_VALUE"""),"Kenneth Rainer")</f>
        <v>Kenneth Rainer</v>
      </c>
      <c r="C9" t="str">
        <f ca="1">IFERROR(__xludf.DUMMYFUNCTION("""COMPUTED_VALUE"""),"Kenneth.Rainer@dep.state.fl.us")</f>
        <v>Kenneth.Rainer@dep.state.fl.us</v>
      </c>
      <c r="D9" t="str">
        <f ca="1">IFERROR(__xludf.DUMMYFUNCTION("""COMPUTED_VALUE"""),"Education")</f>
        <v>Education</v>
      </c>
      <c r="E9" t="str">
        <f ca="1">IFERROR(__xludf.DUMMYFUNCTION("""COMPUTED_VALUE"""),"Vilano Boat Ramp")</f>
        <v>Vilano Boat Ramp</v>
      </c>
      <c r="F9" s="13"/>
      <c r="G9" s="14">
        <f ca="1">IFERROR(__xludf.DUMMYFUNCTION("""COMPUTED_VALUE"""),42643)</f>
        <v>42643</v>
      </c>
      <c r="H9" t="str">
        <f ca="1">IFERROR(__xludf.DUMMYFUNCTION("""COMPUTED_VALUE"""),"Nekton Survey (northern component)")</f>
        <v>Nekton Survey (northern component)</v>
      </c>
      <c r="I9" s="15">
        <f ca="1">IFERROR(__xludf.DUMMYFUNCTION("""COMPUTED_VALUE"""),0.33333333333212)</f>
        <v>0.33333333333212001</v>
      </c>
      <c r="J9" s="16">
        <f ca="1">IFERROR(__xludf.DUMMYFUNCTION("""COMPUTED_VALUE"""),42643.5)</f>
        <v>42643.5</v>
      </c>
      <c r="K9" t="str">
        <f ca="1">IFERROR(__xludf.DUMMYFUNCTION("""COMPUTED_VALUE"""),"23ft Skiff FL7972LJ DEP07613")</f>
        <v>23ft Skiff FL7972LJ DEP07613</v>
      </c>
      <c r="M9" t="str">
        <f ca="1">IFERROR(__xludf.DUMMYFUNCTION("""COMPUTED_VALUE"""),"Ford F150 2015 (White) - DEP21448")</f>
        <v>Ford F150 2015 (White) - DEP21448</v>
      </c>
      <c r="N9" t="str">
        <f ca="1">IFERROR(__xludf.DUMMYFUNCTION("""COMPUTED_VALUE"""),"Kenneth Rainer, (936) 499-1853")</f>
        <v>Kenneth Rainer, (936) 499-1853</v>
      </c>
      <c r="O9" t="str">
        <f ca="1">IFERROR(__xludf.DUMMYFUNCTION("""COMPUTED_VALUE"""),"Ed McGinley, Molly Hoffman, Tim Mullen")</f>
        <v>Ed McGinley, Molly Hoffman, Tim Mullen</v>
      </c>
      <c r="P9" t="str">
        <f ca="1">IFERROR(__xludf.DUMMYFUNCTION("""COMPUTED_VALUE"""),"Kenneth Rainer, (936) 499-1853")</f>
        <v>Kenneth Rainer, (936) 499-1853</v>
      </c>
      <c r="AE9" s="11"/>
      <c r="AF9" t="str">
        <v>Kenneth.Rainer@floridadep.gov</v>
      </c>
      <c r="AG9" s="18"/>
      <c r="AH9" s="12"/>
      <c r="AI9" s="12" t="s">
        <v>8</v>
      </c>
      <c r="AJ9" s="12" t="s">
        <v>8</v>
      </c>
      <c r="AK9" s="12" t="s">
        <v>8</v>
      </c>
      <c r="AL9" s="12" t="s">
        <v>8</v>
      </c>
    </row>
    <row r="10" spans="1:38" ht="15.75" customHeight="1">
      <c r="A10" s="10">
        <f ca="1">IFERROR(__xludf.DUMMYFUNCTION("""COMPUTED_VALUE"""),42655.6890326504)</f>
        <v>42655.6890326504</v>
      </c>
      <c r="B10" s="11" t="str">
        <f ca="1">IFERROR(__xludf.DUMMYFUNCTION("""COMPUTED_VALUE"""),"Kenneth Rainer")</f>
        <v>Kenneth Rainer</v>
      </c>
      <c r="C10" t="str">
        <f ca="1">IFERROR(__xludf.DUMMYFUNCTION("""COMPUTED_VALUE"""),"Kenneth.Rainer@dep.state.fl.us")</f>
        <v>Kenneth.Rainer@dep.state.fl.us</v>
      </c>
      <c r="D10" t="str">
        <f ca="1">IFERROR(__xludf.DUMMYFUNCTION("""COMPUTED_VALUE"""),"Education")</f>
        <v>Education</v>
      </c>
      <c r="E10" t="str">
        <f ca="1">IFERROR(__xludf.DUMMYFUNCTION("""COMPUTED_VALUE"""),"Vilano Boat Ramp")</f>
        <v>Vilano Boat Ramp</v>
      </c>
      <c r="F10" s="13"/>
      <c r="G10" s="14">
        <f ca="1">IFERROR(__xludf.DUMMYFUNCTION("""COMPUTED_VALUE"""),42656)</f>
        <v>42656</v>
      </c>
      <c r="H10" t="str">
        <f ca="1">IFERROR(__xludf.DUMMYFUNCTION("""COMPUTED_VALUE"""),"Southern Component - Nekton Trawl")</f>
        <v>Southern Component - Nekton Trawl</v>
      </c>
      <c r="I10" s="15">
        <f ca="1">IFERROR(__xludf.DUMMYFUNCTION("""COMPUTED_VALUE"""),0.27083333333212)</f>
        <v>0.27083333333212001</v>
      </c>
      <c r="J10" s="16">
        <f ca="1">IFERROR(__xludf.DUMMYFUNCTION("""COMPUTED_VALUE"""),42656.5)</f>
        <v>42656.5</v>
      </c>
      <c r="K10" t="str">
        <f ca="1">IFERROR(__xludf.DUMMYFUNCTION("""COMPUTED_VALUE"""),"23ft Skiff FL7972LJ DEP07613")</f>
        <v>23ft Skiff FL7972LJ DEP07613</v>
      </c>
      <c r="M10" t="str">
        <f ca="1">IFERROR(__xludf.DUMMYFUNCTION("""COMPUTED_VALUE"""),"Ford F150 2015 (White) - DEP21448")</f>
        <v>Ford F150 2015 (White) - DEP21448</v>
      </c>
      <c r="N10" t="str">
        <f ca="1">IFERROR(__xludf.DUMMYFUNCTION("""COMPUTED_VALUE"""),"Kenneth Rainer, (936) 499-1853")</f>
        <v>Kenneth Rainer, (936) 499-1853</v>
      </c>
      <c r="O10" t="str">
        <f ca="1">IFERROR(__xludf.DUMMYFUNCTION("""COMPUTED_VALUE"""),"Josephine Spearman, Nicholas Scheffer, Benjamin Rome, Ed McGinley")</f>
        <v>Josephine Spearman, Nicholas Scheffer, Benjamin Rome, Ed McGinley</v>
      </c>
      <c r="P10" t="str">
        <f ca="1">IFERROR(__xludf.DUMMYFUNCTION("""COMPUTED_VALUE"""),"Kenneth Rainer, (936) 499-1853")</f>
        <v>Kenneth Rainer, (936) 499-1853</v>
      </c>
      <c r="AE10" s="11"/>
      <c r="AF10" t="str">
        <v>Kenneth.Rainer@floridadep.gov</v>
      </c>
      <c r="AG10" s="18"/>
      <c r="AH10" s="12"/>
      <c r="AI10" s="12" t="s">
        <v>8</v>
      </c>
      <c r="AJ10" s="12" t="s">
        <v>8</v>
      </c>
      <c r="AK10" s="12" t="s">
        <v>8</v>
      </c>
      <c r="AL10" s="12" t="s">
        <v>8</v>
      </c>
    </row>
    <row r="11" spans="1:38" ht="15.75" customHeight="1">
      <c r="A11" s="10">
        <f ca="1">IFERROR(__xludf.DUMMYFUNCTION("""COMPUTED_VALUE"""),42710.5658244675)</f>
        <v>42710.5658244675</v>
      </c>
      <c r="B11" s="11" t="str">
        <f ca="1">IFERROR(__xludf.DUMMYFUNCTION("""COMPUTED_VALUE"""),"Kenneth Rainer")</f>
        <v>Kenneth Rainer</v>
      </c>
      <c r="C11" t="str">
        <f ca="1">IFERROR(__xludf.DUMMYFUNCTION("""COMPUTED_VALUE"""),"Kenneth.Rainer@dep.state.fl.us")</f>
        <v>Kenneth.Rainer@dep.state.fl.us</v>
      </c>
      <c r="D11" t="str">
        <f ca="1">IFERROR(__xludf.DUMMYFUNCTION("""COMPUTED_VALUE"""),"Education")</f>
        <v>Education</v>
      </c>
      <c r="E11" t="str">
        <f ca="1">IFERROR(__xludf.DUMMYFUNCTION("""COMPUTED_VALUE"""),"Vilano Boat Ramp")</f>
        <v>Vilano Boat Ramp</v>
      </c>
      <c r="F11" s="13"/>
      <c r="G11" s="14">
        <f ca="1">IFERROR(__xludf.DUMMYFUNCTION("""COMPUTED_VALUE"""),42711)</f>
        <v>42711</v>
      </c>
      <c r="H11" t="str">
        <f ca="1">IFERROR(__xludf.DUMMYFUNCTION("""COMPUTED_VALUE"""),"Nekton Sampling Sites")</f>
        <v>Nekton Sampling Sites</v>
      </c>
      <c r="I11" s="15">
        <f ca="1">IFERROR(__xludf.DUMMYFUNCTION("""COMPUTED_VALUE"""),0.5625)</f>
        <v>0.5625</v>
      </c>
      <c r="J11" s="16">
        <f ca="1">IFERROR(__xludf.DUMMYFUNCTION("""COMPUTED_VALUE"""),42711.7083333333)</f>
        <v>42711.708333333299</v>
      </c>
      <c r="K11" t="str">
        <f ca="1">IFERROR(__xludf.DUMMYFUNCTION("""COMPUTED_VALUE"""),"20ft Sea Ark FL5351SJ UNF 2015")</f>
        <v>20ft Sea Ark FL5351SJ UNF 2015</v>
      </c>
      <c r="M11" t="str">
        <f ca="1">IFERROR(__xludf.DUMMYFUNCTION("""COMPUTED_VALUE"""),"Ford F150 2015 (White) - DEP21448")</f>
        <v>Ford F150 2015 (White) - DEP21448</v>
      </c>
      <c r="N11" t="str">
        <f ca="1">IFERROR(__xludf.DUMMYFUNCTION("""COMPUTED_VALUE"""),"Kenneth Rainer, (936) 499-1853")</f>
        <v>Kenneth Rainer, (936) 499-1853</v>
      </c>
      <c r="O11" t="str">
        <f ca="1">IFERROR(__xludf.DUMMYFUNCTION("""COMPUTED_VALUE"""),"Ed McGinley")</f>
        <v>Ed McGinley</v>
      </c>
      <c r="P11" t="str">
        <f ca="1">IFERROR(__xludf.DUMMYFUNCTION("""COMPUTED_VALUE"""),"Kenneth Rainer, (936) 499-1853")</f>
        <v>Kenneth Rainer, (936) 499-1853</v>
      </c>
      <c r="AE11" s="11"/>
      <c r="AF11" t="str">
        <v>Kenneth.Rainer@floridadep.gov</v>
      </c>
      <c r="AG11" s="18"/>
      <c r="AH11" s="12"/>
      <c r="AI11" s="12" t="s">
        <v>8</v>
      </c>
      <c r="AJ11" s="12" t="s">
        <v>8</v>
      </c>
      <c r="AK11" s="12" t="s">
        <v>8</v>
      </c>
      <c r="AL11" s="12" t="s">
        <v>8</v>
      </c>
    </row>
    <row r="12" spans="1:38" ht="15.75" customHeight="1">
      <c r="A12" s="10">
        <f ca="1">IFERROR(__xludf.DUMMYFUNCTION("""COMPUTED_VALUE"""),42710.5665154512)</f>
        <v>42710.566515451297</v>
      </c>
      <c r="B12" s="11" t="str">
        <f ca="1">IFERROR(__xludf.DUMMYFUNCTION("""COMPUTED_VALUE"""),"Kenneth Rainer")</f>
        <v>Kenneth Rainer</v>
      </c>
      <c r="C12" t="str">
        <f ca="1">IFERROR(__xludf.DUMMYFUNCTION("""COMPUTED_VALUE"""),"Kenneth.Rainer@dep.state.fl.us")</f>
        <v>Kenneth.Rainer@dep.state.fl.us</v>
      </c>
      <c r="D12" t="str">
        <f ca="1">IFERROR(__xludf.DUMMYFUNCTION("""COMPUTED_VALUE"""),"Education")</f>
        <v>Education</v>
      </c>
      <c r="E12" t="str">
        <f ca="1">IFERROR(__xludf.DUMMYFUNCTION("""COMPUTED_VALUE"""),"Vilano Boat Ramp")</f>
        <v>Vilano Boat Ramp</v>
      </c>
      <c r="F12" s="13"/>
      <c r="G12" s="14">
        <f ca="1">IFERROR(__xludf.DUMMYFUNCTION("""COMPUTED_VALUE"""),42713)</f>
        <v>42713</v>
      </c>
      <c r="H12" t="str">
        <f ca="1">IFERROR(__xludf.DUMMYFUNCTION("""COMPUTED_VALUE"""),"Nekton Sampling Sites")</f>
        <v>Nekton Sampling Sites</v>
      </c>
      <c r="I12" s="15">
        <f ca="1">IFERROR(__xludf.DUMMYFUNCTION("""COMPUTED_VALUE"""),0.64583333333212)</f>
        <v>0.64583333333212001</v>
      </c>
      <c r="J12" s="16">
        <f ca="1">IFERROR(__xludf.DUMMYFUNCTION("""COMPUTED_VALUE"""),42713.75)</f>
        <v>42713.75</v>
      </c>
      <c r="K12" t="str">
        <f ca="1">IFERROR(__xludf.DUMMYFUNCTION("""COMPUTED_VALUE"""),"20ft Sea Ark FL5351SJ UNF 2015")</f>
        <v>20ft Sea Ark FL5351SJ UNF 2015</v>
      </c>
      <c r="M12" t="str">
        <f ca="1">IFERROR(__xludf.DUMMYFUNCTION("""COMPUTED_VALUE"""),"Ford F150 2015 (White) - DEP21448")</f>
        <v>Ford F150 2015 (White) - DEP21448</v>
      </c>
      <c r="N12" t="str">
        <f ca="1">IFERROR(__xludf.DUMMYFUNCTION("""COMPUTED_VALUE"""),"Kenneth Rainer, (936) 499-1853")</f>
        <v>Kenneth Rainer, (936) 499-1853</v>
      </c>
      <c r="O12" t="str">
        <f ca="1">IFERROR(__xludf.DUMMYFUNCTION("""COMPUTED_VALUE"""),"Ed McGinley")</f>
        <v>Ed McGinley</v>
      </c>
      <c r="P12" t="str">
        <f ca="1">IFERROR(__xludf.DUMMYFUNCTION("""COMPUTED_VALUE"""),"Kenneth Rainer, (936) 499-1853")</f>
        <v>Kenneth Rainer, (936) 499-1853</v>
      </c>
      <c r="AE12" s="11"/>
      <c r="AF12" t="str">
        <v>Kenneth.Rainer@floridadep.gov</v>
      </c>
      <c r="AG12" s="18"/>
      <c r="AH12" s="12"/>
      <c r="AI12" s="12" t="s">
        <v>8</v>
      </c>
      <c r="AJ12" s="12" t="s">
        <v>8</v>
      </c>
      <c r="AK12" s="12" t="s">
        <v>8</v>
      </c>
      <c r="AL12" s="12" t="s">
        <v>8</v>
      </c>
    </row>
    <row r="13" spans="1:38" ht="15.75" customHeight="1">
      <c r="A13" s="10">
        <f ca="1">IFERROR(__xludf.DUMMYFUNCTION("""COMPUTED_VALUE"""),42775.5226729861)</f>
        <v>42775.522672986102</v>
      </c>
      <c r="B13" s="11" t="str">
        <f ca="1">IFERROR(__xludf.DUMMYFUNCTION("""COMPUTED_VALUE"""),"Kenneth Rainer")</f>
        <v>Kenneth Rainer</v>
      </c>
      <c r="C13" t="str">
        <f ca="1">IFERROR(__xludf.DUMMYFUNCTION("""COMPUTED_VALUE"""),"Kenneth.Rainer@dep.state.fl.us")</f>
        <v>Kenneth.Rainer@dep.state.fl.us</v>
      </c>
      <c r="D13" t="str">
        <f ca="1">IFERROR(__xludf.DUMMYFUNCTION("""COMPUTED_VALUE"""),"Education")</f>
        <v>Education</v>
      </c>
      <c r="E13" t="str">
        <f ca="1">IFERROR(__xludf.DUMMYFUNCTION("""COMPUTED_VALUE"""),"Vilano Boat Ramp")</f>
        <v>Vilano Boat Ramp</v>
      </c>
      <c r="F13" s="13"/>
      <c r="G13" s="14">
        <f ca="1">IFERROR(__xludf.DUMMYFUNCTION("""COMPUTED_VALUE"""),42776)</f>
        <v>42776</v>
      </c>
      <c r="H13" t="str">
        <f ca="1">IFERROR(__xludf.DUMMYFUNCTION("""COMPUTED_VALUE"""),"Southern Component")</f>
        <v>Southern Component</v>
      </c>
      <c r="I13" s="15">
        <f ca="1">IFERROR(__xludf.DUMMYFUNCTION("""COMPUTED_VALUE"""),0.30208333333212)</f>
        <v>0.30208333333212001</v>
      </c>
      <c r="J13" s="16">
        <f ca="1">IFERROR(__xludf.DUMMYFUNCTION("""COMPUTED_VALUE"""),42776.5)</f>
        <v>42776.5</v>
      </c>
      <c r="M13" t="str">
        <f ca="1">IFERROR(__xludf.DUMMYFUNCTION("""COMPUTED_VALUE"""),"Ford F150 2015 (White) - DEP21448")</f>
        <v>Ford F150 2015 (White) - DEP21448</v>
      </c>
      <c r="N13" t="str">
        <f ca="1">IFERROR(__xludf.DUMMYFUNCTION("""COMPUTED_VALUE"""),"Kenneth Rainer, (936) 499-1853")</f>
        <v>Kenneth Rainer, (936) 499-1853</v>
      </c>
      <c r="O13" t="str">
        <f ca="1">IFERROR(__xludf.DUMMYFUNCTION("""COMPUTED_VALUE"""),"Lia Sansom, Ed McGinley, Two Flagler Students")</f>
        <v>Lia Sansom, Ed McGinley, Two Flagler Students</v>
      </c>
      <c r="P13" t="str">
        <f ca="1">IFERROR(__xludf.DUMMYFUNCTION("""COMPUTED_VALUE"""),"Kenneth Rainer, (936) 499-1853")</f>
        <v>Kenneth Rainer, (936) 499-1853</v>
      </c>
      <c r="AE13" s="11"/>
      <c r="AF13" t="str">
        <v>Kenneth.Rainer@floridadep.gov</v>
      </c>
      <c r="AG13" s="18"/>
      <c r="AH13" s="12"/>
      <c r="AI13" s="12" t="s">
        <v>8</v>
      </c>
      <c r="AJ13" s="12" t="s">
        <v>8</v>
      </c>
      <c r="AK13" s="12" t="s">
        <v>8</v>
      </c>
      <c r="AL13" s="12" t="s">
        <v>8</v>
      </c>
    </row>
    <row r="14" spans="1:38" ht="15.75" customHeight="1">
      <c r="A14" s="10">
        <f ca="1">IFERROR(__xludf.DUMMYFUNCTION("""COMPUTED_VALUE"""),42789.4239907523)</f>
        <v>42789.423990752301</v>
      </c>
      <c r="B14" s="11" t="str">
        <f ca="1">IFERROR(__xludf.DUMMYFUNCTION("""COMPUTED_VALUE"""),"Kenneth Rainer")</f>
        <v>Kenneth Rainer</v>
      </c>
      <c r="C14" t="str">
        <f ca="1">IFERROR(__xludf.DUMMYFUNCTION("""COMPUTED_VALUE"""),"Kenneth.Rainer@dep.state.fl.us")</f>
        <v>Kenneth.Rainer@dep.state.fl.us</v>
      </c>
      <c r="D14" t="str">
        <f ca="1">IFERROR(__xludf.DUMMYFUNCTION("""COMPUTED_VALUE"""),"Education")</f>
        <v>Education</v>
      </c>
      <c r="E14" t="str">
        <f ca="1">IFERROR(__xludf.DUMMYFUNCTION("""COMPUTED_VALUE"""),"Vilano Boat Ramp")</f>
        <v>Vilano Boat Ramp</v>
      </c>
      <c r="F14" s="13"/>
      <c r="G14" s="14">
        <f ca="1">IFERROR(__xludf.DUMMYFUNCTION("""COMPUTED_VALUE"""),42790)</f>
        <v>42790</v>
      </c>
      <c r="H14" t="str">
        <f ca="1">IFERROR(__xludf.DUMMYFUNCTION("""COMPUTED_VALUE"""),"Northern Component for Nekton Survey")</f>
        <v>Northern Component for Nekton Survey</v>
      </c>
      <c r="I14" s="15">
        <f ca="1">IFERROR(__xludf.DUMMYFUNCTION("""COMPUTED_VALUE"""),0.263888888890505)</f>
        <v>0.26388888889050499</v>
      </c>
      <c r="J14" s="16">
        <f ca="1">IFERROR(__xludf.DUMMYFUNCTION("""COMPUTED_VALUE"""),42790.5)</f>
        <v>42790.5</v>
      </c>
      <c r="K14" t="str">
        <f ca="1">IFERROR(__xludf.DUMMYFUNCTION("""COMPUTED_VALUE"""),"23ft Skiff FL7972LJ DEP07613")</f>
        <v>23ft Skiff FL7972LJ DEP07613</v>
      </c>
      <c r="M14" t="str">
        <f ca="1">IFERROR(__xludf.DUMMYFUNCTION("""COMPUTED_VALUE"""),"Ford F150 2015 (White) - DEP21448")</f>
        <v>Ford F150 2015 (White) - DEP21448</v>
      </c>
      <c r="N14" t="str">
        <f ca="1">IFERROR(__xludf.DUMMYFUNCTION("""COMPUTED_VALUE"""),"Kenneth Rainer, (936) 499-1853")</f>
        <v>Kenneth Rainer, (936) 499-1853</v>
      </c>
      <c r="O14" t="str">
        <f ca="1">IFERROR(__xludf.DUMMYFUNCTION("""COMPUTED_VALUE"""),"Ed McGinley, 3 Flagler Students")</f>
        <v>Ed McGinley, 3 Flagler Students</v>
      </c>
      <c r="P14" t="str">
        <f ca="1">IFERROR(__xludf.DUMMYFUNCTION("""COMPUTED_VALUE"""),"Kenneth Rainer, (936) 499-1853")</f>
        <v>Kenneth Rainer, (936) 499-1853</v>
      </c>
      <c r="AE14" s="11"/>
      <c r="AF14" t="str">
        <v>Kenneth.Rainer@floridadep.gov</v>
      </c>
      <c r="AG14" s="18"/>
      <c r="AH14" s="12"/>
      <c r="AI14" s="12" t="s">
        <v>8</v>
      </c>
      <c r="AJ14" s="12" t="s">
        <v>8</v>
      </c>
      <c r="AK14" s="12" t="s">
        <v>8</v>
      </c>
      <c r="AL14" s="12" t="s">
        <v>8</v>
      </c>
    </row>
    <row r="15" spans="1:38" ht="15.75" customHeight="1">
      <c r="A15" s="10">
        <f ca="1">IFERROR(__xludf.DUMMYFUNCTION("""COMPUTED_VALUE"""),42804.3224152083)</f>
        <v>42804.322415208298</v>
      </c>
      <c r="B15" s="11" t="str">
        <f ca="1">IFERROR(__xludf.DUMMYFUNCTION("""COMPUTED_VALUE"""),"Kenneth Rainer")</f>
        <v>Kenneth Rainer</v>
      </c>
      <c r="C15" t="str">
        <f ca="1">IFERROR(__xludf.DUMMYFUNCTION("""COMPUTED_VALUE"""),"Kenneth.Rainer@dep.state.fl.us")</f>
        <v>Kenneth.Rainer@dep.state.fl.us</v>
      </c>
      <c r="D15" t="str">
        <f ca="1">IFERROR(__xludf.DUMMYFUNCTION("""COMPUTED_VALUE"""),"Education")</f>
        <v>Education</v>
      </c>
      <c r="E15" t="str">
        <f ca="1">IFERROR(__xludf.DUMMYFUNCTION("""COMPUTED_VALUE"""),"Usina Boat Ramp")</f>
        <v>Usina Boat Ramp</v>
      </c>
      <c r="F15" s="13"/>
      <c r="G15" s="14">
        <f ca="1">IFERROR(__xludf.DUMMYFUNCTION("""COMPUTED_VALUE"""),42804)</f>
        <v>42804</v>
      </c>
      <c r="H15" t="str">
        <f ca="1">IFERROR(__xludf.DUMMYFUNCTION("""COMPUTED_VALUE"""),"Northern Component of GTM")</f>
        <v>Northern Component of GTM</v>
      </c>
      <c r="I15" s="15">
        <f ca="1">IFERROR(__xludf.DUMMYFUNCTION("""COMPUTED_VALUE"""),0.354166666667879)</f>
        <v>0.35416666666787899</v>
      </c>
      <c r="J15" s="16">
        <f ca="1">IFERROR(__xludf.DUMMYFUNCTION("""COMPUTED_VALUE"""),42804.5416666666)</f>
        <v>42804.541666666599</v>
      </c>
      <c r="K15" t="str">
        <f ca="1">IFERROR(__xludf.DUMMYFUNCTION("""COMPUTED_VALUE"""),"23ft Skiff FL7972LJ DEP07613")</f>
        <v>23ft Skiff FL7972LJ DEP07613</v>
      </c>
      <c r="N15" t="str">
        <f ca="1">IFERROR(__xludf.DUMMYFUNCTION("""COMPUTED_VALUE"""),"Kenneth Rainer, (936) 499-1853")</f>
        <v>Kenneth Rainer, (936) 499-1853</v>
      </c>
      <c r="O15" t="str">
        <f ca="1">IFERROR(__xludf.DUMMYFUNCTION("""COMPUTED_VALUE"""),"Kenneth Rainer, (936) 499-1853, McCoy students and teachers")</f>
        <v>Kenneth Rainer, (936) 499-1853, McCoy students and teachers</v>
      </c>
      <c r="P15" t="str">
        <f ca="1">IFERROR(__xludf.DUMMYFUNCTION("""COMPUTED_VALUE"""),"Kenneth Rainer, (936) 499-1853")</f>
        <v>Kenneth Rainer, (936) 499-1853</v>
      </c>
      <c r="AE15" s="11"/>
      <c r="AF15" t="str">
        <v>Kenneth.Rainer@floridadep.gov</v>
      </c>
      <c r="AG15" s="18"/>
      <c r="AH15" s="12"/>
      <c r="AI15" s="12" t="s">
        <v>8</v>
      </c>
      <c r="AJ15" s="12" t="s">
        <v>8</v>
      </c>
      <c r="AK15" s="12" t="s">
        <v>8</v>
      </c>
      <c r="AL15" s="12" t="s">
        <v>8</v>
      </c>
    </row>
    <row r="16" spans="1:38" ht="15.75" customHeight="1">
      <c r="A16" s="10">
        <f ca="1">IFERROR(__xludf.DUMMYFUNCTION("""COMPUTED_VALUE"""),42838.3923666435)</f>
        <v>42838.3923666435</v>
      </c>
      <c r="B16" s="11" t="str">
        <f ca="1">IFERROR(__xludf.DUMMYFUNCTION("""COMPUTED_VALUE"""),"Kenneth Rainer")</f>
        <v>Kenneth Rainer</v>
      </c>
      <c r="C16" t="str">
        <f ca="1">IFERROR(__xludf.DUMMYFUNCTION("""COMPUTED_VALUE"""),"Kenneth.Rainer@dep.state.fl.us")</f>
        <v>Kenneth.Rainer@dep.state.fl.us</v>
      </c>
      <c r="D16" t="str">
        <f ca="1">IFERROR(__xludf.DUMMYFUNCTION("""COMPUTED_VALUE"""),"Education")</f>
        <v>Education</v>
      </c>
      <c r="E16" t="str">
        <f ca="1">IFERROR(__xludf.DUMMYFUNCTION("""COMPUTED_VALUE"""),"Vilano Boat Ramp")</f>
        <v>Vilano Boat Ramp</v>
      </c>
      <c r="F16" s="13"/>
      <c r="G16" s="14">
        <f ca="1">IFERROR(__xludf.DUMMYFUNCTION("""COMPUTED_VALUE"""),42840)</f>
        <v>42840</v>
      </c>
      <c r="H16" t="str">
        <f ca="1">IFERROR(__xludf.DUMMYFUNCTION("""COMPUTED_VALUE"""),"Northern Component")</f>
        <v>Northern Component</v>
      </c>
      <c r="I16" s="15">
        <f ca="1">IFERROR(__xludf.DUMMYFUNCTION("""COMPUTED_VALUE"""),0.33333333333212)</f>
        <v>0.33333333333212001</v>
      </c>
      <c r="J16" s="16">
        <f ca="1">IFERROR(__xludf.DUMMYFUNCTION("""COMPUTED_VALUE"""),42842.3333333333)</f>
        <v>42842.333333333299</v>
      </c>
      <c r="K16" t="str">
        <f ca="1">IFERROR(__xludf.DUMMYFUNCTION("""COMPUTED_VALUE"""),"23ft Skiff FL7972LJ DEP07613")</f>
        <v>23ft Skiff FL7972LJ DEP07613</v>
      </c>
      <c r="M16" t="str">
        <f ca="1">IFERROR(__xludf.DUMMYFUNCTION("""COMPUTED_VALUE"""),"Ford F150 2015 (White) - DEP21448")</f>
        <v>Ford F150 2015 (White) - DEP21448</v>
      </c>
      <c r="N16" t="str">
        <f ca="1">IFERROR(__xludf.DUMMYFUNCTION("""COMPUTED_VALUE"""),"Kenneth Rainer, (936) 499-1853")</f>
        <v>Kenneth Rainer, (936) 499-1853</v>
      </c>
      <c r="O16" t="str">
        <f ca="1">IFERROR(__xludf.DUMMYFUNCTION("""COMPUTED_VALUE"""),"Joe McCoy; Nancy Watson; Mary Turner; Michael Chen; Matthew Petty; Isabella Cioffi; Kaleb Cowart")</f>
        <v>Joe McCoy; Nancy Watson; Mary Turner; Michael Chen; Matthew Petty; Isabella Cioffi; Kaleb Cowart</v>
      </c>
      <c r="P16" t="str">
        <f ca="1">IFERROR(__xludf.DUMMYFUNCTION("""COMPUTED_VALUE"""),"Kenneth Rainer, (936) 499-1853")</f>
        <v>Kenneth Rainer, (936) 499-1853</v>
      </c>
      <c r="AE16" s="11"/>
      <c r="AF16" t="str">
        <v>Kenneth.Rainer@floridadep.gov</v>
      </c>
      <c r="AG16" s="18"/>
      <c r="AH16" s="12"/>
      <c r="AI16" s="12" t="s">
        <v>8</v>
      </c>
      <c r="AJ16" s="12" t="s">
        <v>8</v>
      </c>
      <c r="AK16" s="12" t="s">
        <v>8</v>
      </c>
      <c r="AL16" s="12" t="s">
        <v>8</v>
      </c>
    </row>
    <row r="17" spans="1:38" ht="15.75" customHeight="1">
      <c r="A17" s="10">
        <f ca="1">IFERROR(__xludf.DUMMYFUNCTION("""COMPUTED_VALUE"""),42845.5247933333)</f>
        <v>42845.524793333301</v>
      </c>
      <c r="B17" s="11" t="str">
        <f ca="1">IFERROR(__xludf.DUMMYFUNCTION("""COMPUTED_VALUE"""),"Kenneth Rainer")</f>
        <v>Kenneth Rainer</v>
      </c>
      <c r="C17" t="str">
        <f ca="1">IFERROR(__xludf.DUMMYFUNCTION("""COMPUTED_VALUE"""),"Kenneth.Rainer@dep.state.fl.us")</f>
        <v>Kenneth.Rainer@dep.state.fl.us</v>
      </c>
      <c r="D17" t="str">
        <f ca="1">IFERROR(__xludf.DUMMYFUNCTION("""COMPUTED_VALUE"""),"Education")</f>
        <v>Education</v>
      </c>
      <c r="E17" t="str">
        <f ca="1">IFERROR(__xludf.DUMMYFUNCTION("""COMPUTED_VALUE"""),"Vilano Boat Ramp")</f>
        <v>Vilano Boat Ramp</v>
      </c>
      <c r="F17" s="13"/>
      <c r="G17" s="14">
        <f ca="1">IFERROR(__xludf.DUMMYFUNCTION("""COMPUTED_VALUE"""),42846)</f>
        <v>42846</v>
      </c>
      <c r="H17" t="str">
        <f ca="1">IFERROR(__xludf.DUMMYFUNCTION("""COMPUTED_VALUE"""),"Northern Component")</f>
        <v>Northern Component</v>
      </c>
      <c r="I17" s="15">
        <f ca="1">IFERROR(__xludf.DUMMYFUNCTION("""COMPUTED_VALUE"""),0.27083333333212)</f>
        <v>0.27083333333212001</v>
      </c>
      <c r="J17" s="16">
        <f ca="1">IFERROR(__xludf.DUMMYFUNCTION("""COMPUTED_VALUE"""),42846.5416666666)</f>
        <v>42846.541666666599</v>
      </c>
      <c r="K17" t="str">
        <f ca="1">IFERROR(__xludf.DUMMYFUNCTION("""COMPUTED_VALUE"""),"20ft Sea Ark FL5351SJ UNF 2015")</f>
        <v>20ft Sea Ark FL5351SJ UNF 2015</v>
      </c>
      <c r="M17" t="str">
        <f ca="1">IFERROR(__xludf.DUMMYFUNCTION("""COMPUTED_VALUE"""),"Ford F150 2015 (White) - DEP21448")</f>
        <v>Ford F150 2015 (White) - DEP21448</v>
      </c>
      <c r="N17" t="str">
        <f ca="1">IFERROR(__xludf.DUMMYFUNCTION("""COMPUTED_VALUE"""),"Kenneth Rainer, (936) 499-1853")</f>
        <v>Kenneth Rainer, (936) 499-1853</v>
      </c>
      <c r="O17" t="str">
        <f ca="1">IFERROR(__xludf.DUMMYFUNCTION("""COMPUTED_VALUE"""),"Nikki Dix, (352) 219-4079, Matt Monroe, Ed McGinley")</f>
        <v>Nikki Dix, (352) 219-4079, Matt Monroe, Ed McGinley</v>
      </c>
      <c r="P17" t="str">
        <f ca="1">IFERROR(__xludf.DUMMYFUNCTION("""COMPUTED_VALUE"""),"Kenneth Rainer, (936) 499-1853")</f>
        <v>Kenneth Rainer, (936) 499-1853</v>
      </c>
      <c r="AE17" s="11"/>
      <c r="AF17" t="str">
        <v>Kenneth.Rainer@floridadep.gov</v>
      </c>
      <c r="AG17" s="18"/>
      <c r="AH17" s="12"/>
      <c r="AI17" s="12" t="s">
        <v>8</v>
      </c>
      <c r="AJ17" s="12" t="s">
        <v>8</v>
      </c>
      <c r="AK17" s="12" t="s">
        <v>8</v>
      </c>
      <c r="AL17" s="12" t="s">
        <v>8</v>
      </c>
    </row>
    <row r="18" spans="1:38" ht="15.75" customHeight="1">
      <c r="A18" s="10">
        <f ca="1">IFERROR(__xludf.DUMMYFUNCTION("""COMPUTED_VALUE"""),42852.4168922106)</f>
        <v>42852.416892210596</v>
      </c>
      <c r="B18" s="11" t="str">
        <f ca="1">IFERROR(__xludf.DUMMYFUNCTION("""COMPUTED_VALUE"""),"Kenneth Rainer")</f>
        <v>Kenneth Rainer</v>
      </c>
      <c r="C18" t="str">
        <f ca="1">IFERROR(__xludf.DUMMYFUNCTION("""COMPUTED_VALUE"""),"Kenneth.Rainer@dep.state.fl.us")</f>
        <v>Kenneth.Rainer@dep.state.fl.us</v>
      </c>
      <c r="D18" t="str">
        <f ca="1">IFERROR(__xludf.DUMMYFUNCTION("""COMPUTED_VALUE"""),"Education")</f>
        <v>Education</v>
      </c>
      <c r="E18" t="str">
        <f ca="1">IFERROR(__xludf.DUMMYFUNCTION("""COMPUTED_VALUE"""),"Vilano Boat Ramp")</f>
        <v>Vilano Boat Ramp</v>
      </c>
      <c r="F18" s="13"/>
      <c r="G18" s="14">
        <f ca="1">IFERROR(__xludf.DUMMYFUNCTION("""COMPUTED_VALUE"""),42853)</f>
        <v>42853</v>
      </c>
      <c r="H18" t="str">
        <f ca="1">IFERROR(__xludf.DUMMYFUNCTION("""COMPUTED_VALUE"""),"Southern Component")</f>
        <v>Southern Component</v>
      </c>
      <c r="I18" s="15">
        <f ca="1">IFERROR(__xludf.DUMMYFUNCTION("""COMPUTED_VALUE"""),0.416666666667879)</f>
        <v>0.41666666666787899</v>
      </c>
      <c r="J18" s="16">
        <f ca="1">IFERROR(__xludf.DUMMYFUNCTION("""COMPUTED_VALUE"""),42853.5833333333)</f>
        <v>42853.583333333299</v>
      </c>
      <c r="K18" t="str">
        <f ca="1">IFERROR(__xludf.DUMMYFUNCTION("""COMPUTED_VALUE"""),"23ft Skiff FL7972LJ DEP07613")</f>
        <v>23ft Skiff FL7972LJ DEP07613</v>
      </c>
      <c r="M18" t="str">
        <f ca="1">IFERROR(__xludf.DUMMYFUNCTION("""COMPUTED_VALUE"""),"Ford F150 2015 (White) - DEP21448")</f>
        <v>Ford F150 2015 (White) - DEP21448</v>
      </c>
      <c r="N18" t="str">
        <f ca="1">IFERROR(__xludf.DUMMYFUNCTION("""COMPUTED_VALUE"""),"Kenneth Rainer, (936) 499-1853")</f>
        <v>Kenneth Rainer, (936) 499-1853</v>
      </c>
      <c r="O18" t="str">
        <f ca="1">IFERROR(__xludf.DUMMYFUNCTION("""COMPUTED_VALUE"""),"Matt Monroe, Ed McGinley")</f>
        <v>Matt Monroe, Ed McGinley</v>
      </c>
      <c r="AE18" s="11"/>
      <c r="AF18" t="str">
        <v>Kenneth.Rainer@floridadep.gov</v>
      </c>
      <c r="AG18" s="18"/>
      <c r="AH18" s="12"/>
      <c r="AI18" s="12" t="s">
        <v>8</v>
      </c>
      <c r="AJ18" s="12" t="s">
        <v>8</v>
      </c>
      <c r="AK18" s="12" t="s">
        <v>8</v>
      </c>
      <c r="AL18" s="12" t="s">
        <v>8</v>
      </c>
    </row>
    <row r="19" spans="1:38" ht="15.75" customHeight="1">
      <c r="A19" s="10">
        <f ca="1">IFERROR(__xludf.DUMMYFUNCTION("""COMPUTED_VALUE"""),42858.3942624421)</f>
        <v>42858.394262442103</v>
      </c>
      <c r="B19" s="11" t="str">
        <f ca="1">IFERROR(__xludf.DUMMYFUNCTION("""COMPUTED_VALUE"""),"Kenneth Rainer")</f>
        <v>Kenneth Rainer</v>
      </c>
      <c r="C19" t="str">
        <f ca="1">IFERROR(__xludf.DUMMYFUNCTION("""COMPUTED_VALUE"""),"Kenneth.Rainer@dep.state.fl.us")</f>
        <v>Kenneth.Rainer@dep.state.fl.us</v>
      </c>
      <c r="D19" t="str">
        <f ca="1">IFERROR(__xludf.DUMMYFUNCTION("""COMPUTED_VALUE"""),"Education")</f>
        <v>Education</v>
      </c>
      <c r="E19" t="str">
        <f ca="1">IFERROR(__xludf.DUMMYFUNCTION("""COMPUTED_VALUE"""),"Usina Boat Ramp")</f>
        <v>Usina Boat Ramp</v>
      </c>
      <c r="F19" s="13"/>
      <c r="G19" s="14">
        <f ca="1">IFERROR(__xludf.DUMMYFUNCTION("""COMPUTED_VALUE"""),42860)</f>
        <v>42860</v>
      </c>
      <c r="H19" t="str">
        <f ca="1">IFERROR(__xludf.DUMMYFUNCTION("""COMPUTED_VALUE"""),"Northern Portion of GTM NERR")</f>
        <v>Northern Portion of GTM NERR</v>
      </c>
      <c r="I19" s="15">
        <f ca="1">IFERROR(__xludf.DUMMYFUNCTION("""COMPUTED_VALUE"""),0.291666666667879)</f>
        <v>0.29166666666787899</v>
      </c>
      <c r="J19" s="16">
        <f ca="1">IFERROR(__xludf.DUMMYFUNCTION("""COMPUTED_VALUE"""),42860.5833333333)</f>
        <v>42860.583333333299</v>
      </c>
      <c r="K19" t="str">
        <f ca="1">IFERROR(__xludf.DUMMYFUNCTION("""COMPUTED_VALUE"""),"23ft Skiff FL7972LJ DEP07613")</f>
        <v>23ft Skiff FL7972LJ DEP07613</v>
      </c>
      <c r="M19" t="str">
        <f ca="1">IFERROR(__xludf.DUMMYFUNCTION("""COMPUTED_VALUE"""),"Ford F150 2015 (White) - DEP21448")</f>
        <v>Ford F150 2015 (White) - DEP21448</v>
      </c>
      <c r="N19" t="str">
        <f ca="1">IFERROR(__xludf.DUMMYFUNCTION("""COMPUTED_VALUE"""),"Kenneth Rainer, (936) 499-1853")</f>
        <v>Kenneth Rainer, (936) 499-1853</v>
      </c>
      <c r="O19" t="str">
        <f ca="1">IFERROR(__xludf.DUMMYFUNCTION("""COMPUTED_VALUE"""),"Emma Hanson")</f>
        <v>Emma Hanson</v>
      </c>
      <c r="P19" t="str">
        <f ca="1">IFERROR(__xludf.DUMMYFUNCTION("""COMPUTED_VALUE"""),"Kenneth Rainer, (936) 499-1853")</f>
        <v>Kenneth Rainer, (936) 499-1853</v>
      </c>
      <c r="AE19" s="11"/>
      <c r="AF19" t="str">
        <v>Kenneth.Rainer@floridadep.gov</v>
      </c>
      <c r="AG19" s="18"/>
      <c r="AH19" s="12"/>
      <c r="AI19" s="12" t="s">
        <v>8</v>
      </c>
      <c r="AJ19" s="12" t="s">
        <v>8</v>
      </c>
      <c r="AK19" s="12" t="s">
        <v>8</v>
      </c>
      <c r="AL19" s="12" t="s">
        <v>8</v>
      </c>
    </row>
    <row r="20" spans="1:38" ht="15.75" customHeight="1">
      <c r="A20" s="10">
        <f ca="1">IFERROR(__xludf.DUMMYFUNCTION("""COMPUTED_VALUE"""),42891.4967387615)</f>
        <v>42891.496738761503</v>
      </c>
      <c r="B20" s="11" t="str">
        <f ca="1">IFERROR(__xludf.DUMMYFUNCTION("""COMPUTED_VALUE"""),"Kenneth Rainer")</f>
        <v>Kenneth Rainer</v>
      </c>
      <c r="C20" t="str">
        <f ca="1">IFERROR(__xludf.DUMMYFUNCTION("""COMPUTED_VALUE"""),"Kenneth.Rainer@dep.state.fl.us")</f>
        <v>Kenneth.Rainer@dep.state.fl.us</v>
      </c>
      <c r="D20" t="str">
        <f ca="1">IFERROR(__xludf.DUMMYFUNCTION("""COMPUTED_VALUE"""),"Education")</f>
        <v>Education</v>
      </c>
      <c r="F20" s="13"/>
      <c r="G20" s="14">
        <f ca="1">IFERROR(__xludf.DUMMYFUNCTION("""COMPUTED_VALUE"""),42894)</f>
        <v>42894</v>
      </c>
      <c r="I20" s="15">
        <f ca="1">IFERROR(__xludf.DUMMYFUNCTION("""COMPUTED_VALUE"""),0.33333333333212)</f>
        <v>0.33333333333212001</v>
      </c>
      <c r="J20" s="16">
        <f ca="1">IFERROR(__xludf.DUMMYFUNCTION("""COMPUTED_VALUE"""),42894.5833333333)</f>
        <v>42894.583333333299</v>
      </c>
      <c r="K20" t="str">
        <f ca="1">IFERROR(__xludf.DUMMYFUNCTION("""COMPUTED_VALUE"""),"23ft Skiff FL7972LJ DEP07613")</f>
        <v>23ft Skiff FL7972LJ DEP07613</v>
      </c>
      <c r="M20" t="str">
        <f ca="1">IFERROR(__xludf.DUMMYFUNCTION("""COMPUTED_VALUE"""),"Ford F150 2015 (White) - DEP21448")</f>
        <v>Ford F150 2015 (White) - DEP21448</v>
      </c>
      <c r="N20" t="str">
        <f ca="1">IFERROR(__xludf.DUMMYFUNCTION("""COMPUTED_VALUE"""),"Kenneth Rainer, (936) 499-1853")</f>
        <v>Kenneth Rainer, (936) 499-1853</v>
      </c>
      <c r="O20" t="str">
        <f ca="1">IFERROR(__xludf.DUMMYFUNCTION("""COMPUTED_VALUE"""),"Kenneth Rainer, (936) 499-1853")</f>
        <v>Kenneth Rainer, (936) 499-1853</v>
      </c>
      <c r="P20" t="str">
        <f ca="1">IFERROR(__xludf.DUMMYFUNCTION("""COMPUTED_VALUE"""),"Kenneth Rainer, (936) 499-1853")</f>
        <v>Kenneth Rainer, (936) 499-1853</v>
      </c>
      <c r="AE20" s="11"/>
      <c r="AF20" t="str">
        <v>Kenneth.Rainer@floridadep.gov</v>
      </c>
      <c r="AG20" s="18"/>
      <c r="AH20" s="12"/>
      <c r="AI20" s="12" t="s">
        <v>8</v>
      </c>
      <c r="AJ20" s="12" t="s">
        <v>8</v>
      </c>
      <c r="AK20" s="12" t="s">
        <v>8</v>
      </c>
      <c r="AL20" s="12" t="s">
        <v>8</v>
      </c>
    </row>
    <row r="21" spans="1:38" ht="15.75" customHeight="1">
      <c r="A21" s="10">
        <f ca="1">IFERROR(__xludf.DUMMYFUNCTION("""COMPUTED_VALUE"""),42891.4973265972)</f>
        <v>42891.4973265972</v>
      </c>
      <c r="B21" s="11" t="str">
        <f ca="1">IFERROR(__xludf.DUMMYFUNCTION("""COMPUTED_VALUE"""),"Kenneth Rainer")</f>
        <v>Kenneth Rainer</v>
      </c>
      <c r="C21" t="str">
        <f ca="1">IFERROR(__xludf.DUMMYFUNCTION("""COMPUTED_VALUE"""),"Kenneth.Rainer@dep.state.fl.us")</f>
        <v>Kenneth.Rainer@dep.state.fl.us</v>
      </c>
      <c r="D21" t="str">
        <f ca="1">IFERROR(__xludf.DUMMYFUNCTION("""COMPUTED_VALUE"""),"Education")</f>
        <v>Education</v>
      </c>
      <c r="F21" s="13"/>
      <c r="G21" s="14">
        <f ca="1">IFERROR(__xludf.DUMMYFUNCTION("""COMPUTED_VALUE"""),42895)</f>
        <v>42895</v>
      </c>
      <c r="I21" s="15">
        <f ca="1">IFERROR(__xludf.DUMMYFUNCTION("""COMPUTED_VALUE"""),0.33333333333212)</f>
        <v>0.33333333333212001</v>
      </c>
      <c r="J21" s="16">
        <f ca="1">IFERROR(__xludf.DUMMYFUNCTION("""COMPUTED_VALUE"""),42895.5833333333)</f>
        <v>42895.583333333299</v>
      </c>
      <c r="K21" t="str">
        <f ca="1">IFERROR(__xludf.DUMMYFUNCTION("""COMPUTED_VALUE"""),"23ft Skiff FL7972LJ DEP07613")</f>
        <v>23ft Skiff FL7972LJ DEP07613</v>
      </c>
      <c r="M21" t="str">
        <f ca="1">IFERROR(__xludf.DUMMYFUNCTION("""COMPUTED_VALUE"""),"Ford F150 2015 (White) - DEP21448")</f>
        <v>Ford F150 2015 (White) - DEP21448</v>
      </c>
      <c r="N21" t="str">
        <f ca="1">IFERROR(__xludf.DUMMYFUNCTION("""COMPUTED_VALUE"""),"Kenneth Rainer, (936) 499-1853")</f>
        <v>Kenneth Rainer, (936) 499-1853</v>
      </c>
      <c r="O21" t="str">
        <f ca="1">IFERROR(__xludf.DUMMYFUNCTION("""COMPUTED_VALUE"""),"Kenneth Rainer, (936) 499-1853")</f>
        <v>Kenneth Rainer, (936) 499-1853</v>
      </c>
      <c r="P21" t="str">
        <f ca="1">IFERROR(__xludf.DUMMYFUNCTION("""COMPUTED_VALUE"""),"Kenneth Rainer, (936) 499-1853")</f>
        <v>Kenneth Rainer, (936) 499-1853</v>
      </c>
      <c r="AE21" s="11"/>
      <c r="AF21" t="str">
        <v>Kenneth.Rainer@floridadep.gov</v>
      </c>
      <c r="AG21" s="18"/>
      <c r="AH21" s="12"/>
      <c r="AI21" s="12" t="s">
        <v>8</v>
      </c>
      <c r="AJ21" s="12" t="s">
        <v>8</v>
      </c>
      <c r="AK21" s="12" t="s">
        <v>8</v>
      </c>
      <c r="AL21" s="12" t="s">
        <v>8</v>
      </c>
    </row>
    <row r="22" spans="1:38" ht="15.75" customHeight="1">
      <c r="A22" s="10">
        <f ca="1">IFERROR(__xludf.DUMMYFUNCTION("""COMPUTED_VALUE"""),42899.4301591087)</f>
        <v>42899.430159108699</v>
      </c>
      <c r="B22" s="11" t="str">
        <f ca="1">IFERROR(__xludf.DUMMYFUNCTION("""COMPUTED_VALUE"""),"Kenneth Rainer")</f>
        <v>Kenneth Rainer</v>
      </c>
      <c r="C22" t="str">
        <f ca="1">IFERROR(__xludf.DUMMYFUNCTION("""COMPUTED_VALUE"""),"Kenneth.Rainer@dep.state.fl.us")</f>
        <v>Kenneth.Rainer@dep.state.fl.us</v>
      </c>
      <c r="D22" t="str">
        <f ca="1">IFERROR(__xludf.DUMMYFUNCTION("""COMPUTED_VALUE"""),"Education")</f>
        <v>Education</v>
      </c>
      <c r="E22" t="str">
        <f ca="1">IFERROR(__xludf.DUMMYFUNCTION("""COMPUTED_VALUE"""),"Aunt Kate's")</f>
        <v>Aunt Kate's</v>
      </c>
      <c r="F22" s="13"/>
      <c r="G22" s="14">
        <f ca="1">IFERROR(__xludf.DUMMYFUNCTION("""COMPUTED_VALUE"""),42900)</f>
        <v>42900</v>
      </c>
      <c r="H22" t="str">
        <f ca="1">IFERROR(__xludf.DUMMYFUNCTION("""COMPUTED_VALUE"""),"Guana Peninsula")</f>
        <v>Guana Peninsula</v>
      </c>
      <c r="I22" s="15">
        <f ca="1">IFERROR(__xludf.DUMMYFUNCTION("""COMPUTED_VALUE"""),0.375)</f>
        <v>0.375</v>
      </c>
      <c r="J22" s="16">
        <f ca="1">IFERROR(__xludf.DUMMYFUNCTION("""COMPUTED_VALUE"""),42900.5416666666)</f>
        <v>42900.541666666599</v>
      </c>
      <c r="K22" t="str">
        <f ca="1">IFERROR(__xludf.DUMMYFUNCTION("""COMPUTED_VALUE"""),"23ft Skiff FL7972LJ DEP07613")</f>
        <v>23ft Skiff FL7972LJ DEP07613</v>
      </c>
      <c r="M22" t="str">
        <f ca="1">IFERROR(__xludf.DUMMYFUNCTION("""COMPUTED_VALUE"""),"Ford F150 2015 (White) - DEP21448")</f>
        <v>Ford F150 2015 (White) - DEP21448</v>
      </c>
      <c r="N22" t="str">
        <f ca="1">IFERROR(__xludf.DUMMYFUNCTION("""COMPUTED_VALUE"""),"Kenneth Rainer, (936) 499-1853")</f>
        <v>Kenneth Rainer, (936) 499-1853</v>
      </c>
      <c r="O22" t="str">
        <f ca="1">IFERROR(__xludf.DUMMYFUNCTION("""COMPUTED_VALUE"""),"Kenneth Rainer, (936) 499-1853")</f>
        <v>Kenneth Rainer, (936) 499-1853</v>
      </c>
      <c r="P22" t="str">
        <f ca="1">IFERROR(__xludf.DUMMYFUNCTION("""COMPUTED_VALUE"""),"Kenneth Rainer, (936) 499-1853")</f>
        <v>Kenneth Rainer, (936) 499-1853</v>
      </c>
      <c r="AD22" t="str">
        <f ca="1">IFERROR(__xludf.DUMMYFUNCTION("""COMPUTED_VALUE"""),"Weather at 9:00 A.M. - 78F, 51% rain, 3mph S")</f>
        <v>Weather at 9:00 A.M. - 78F, 51% rain, 3mph S</v>
      </c>
      <c r="AE22" s="11" t="str">
        <f ca="1">IFERROR(__xludf.DUMMYFUNCTION("""COMPUTED_VALUE"""),"Tides: Low at 6:31 A.M. and High at 12:34 P.M.")</f>
        <v>Tides: Low at 6:31 A.M. and High at 12:34 P.M.</v>
      </c>
      <c r="AF22" t="str">
        <v>Kenneth.Rainer@floridadep.gov</v>
      </c>
      <c r="AG22" s="18"/>
      <c r="AH22" s="12"/>
      <c r="AI22" s="12" t="s">
        <v>8</v>
      </c>
      <c r="AJ22" s="12" t="s">
        <v>8</v>
      </c>
      <c r="AK22" s="12" t="s">
        <v>8</v>
      </c>
      <c r="AL22" s="12" t="s">
        <v>8</v>
      </c>
    </row>
    <row r="23" spans="1:38" ht="15.75" customHeight="1">
      <c r="A23" s="10">
        <f ca="1">IFERROR(__xludf.DUMMYFUNCTION("""COMPUTED_VALUE"""),42906.5227764467)</f>
        <v>42906.522776446698</v>
      </c>
      <c r="B23" s="11" t="str">
        <f ca="1">IFERROR(__xludf.DUMMYFUNCTION("""COMPUTED_VALUE"""),"Kenneth Rainer")</f>
        <v>Kenneth Rainer</v>
      </c>
      <c r="C23" t="str">
        <f ca="1">IFERROR(__xludf.DUMMYFUNCTION("""COMPUTED_VALUE"""),"Kenneth.Rainer@dep.state.fl.us")</f>
        <v>Kenneth.Rainer@dep.state.fl.us</v>
      </c>
      <c r="D23" t="str">
        <f ca="1">IFERROR(__xludf.DUMMYFUNCTION("""COMPUTED_VALUE"""),"Education")</f>
        <v>Education</v>
      </c>
      <c r="E23" t="str">
        <f ca="1">IFERROR(__xludf.DUMMYFUNCTION("""COMPUTED_VALUE"""),"Aunt Kate's Boat Ramp")</f>
        <v>Aunt Kate's Boat Ramp</v>
      </c>
      <c r="F23" s="13"/>
      <c r="G23" s="14">
        <f ca="1">IFERROR(__xludf.DUMMYFUNCTION("""COMPUTED_VALUE"""),42907)</f>
        <v>42907</v>
      </c>
      <c r="H23" t="str">
        <f ca="1">IFERROR(__xludf.DUMMYFUNCTION("""COMPUTED_VALUE"""),"Northern Component (along Guana peninsula)")</f>
        <v>Northern Component (along Guana peninsula)</v>
      </c>
      <c r="I23" s="15">
        <f ca="1">IFERROR(__xludf.DUMMYFUNCTION("""COMPUTED_VALUE"""),0.354166666667879)</f>
        <v>0.35416666666787899</v>
      </c>
      <c r="J23" s="16">
        <f ca="1">IFERROR(__xludf.DUMMYFUNCTION("""COMPUTED_VALUE"""),42907.5625)</f>
        <v>42907.5625</v>
      </c>
      <c r="K23" t="str">
        <f ca="1">IFERROR(__xludf.DUMMYFUNCTION("""COMPUTED_VALUE"""),"23ft Skiff FL7972LJ DEP07613")</f>
        <v>23ft Skiff FL7972LJ DEP07613</v>
      </c>
      <c r="M23" t="str">
        <f ca="1">IFERROR(__xludf.DUMMYFUNCTION("""COMPUTED_VALUE"""),"Ford F150 2015 (White) - DEP21448")</f>
        <v>Ford F150 2015 (White) - DEP21448</v>
      </c>
      <c r="N23" t="str">
        <f ca="1">IFERROR(__xludf.DUMMYFUNCTION("""COMPUTED_VALUE"""),"Kenneth Rainer, (936) 499-1853")</f>
        <v>Kenneth Rainer, (936) 499-1853</v>
      </c>
      <c r="O23" t="str">
        <f ca="1">IFERROR(__xludf.DUMMYFUNCTION("""COMPUTED_VALUE"""),"Kenneth Rainer, (936) 499-1853")</f>
        <v>Kenneth Rainer, (936) 499-1853</v>
      </c>
      <c r="P23" t="str">
        <f ca="1">IFERROR(__xludf.DUMMYFUNCTION("""COMPUTED_VALUE"""),"Kenneth Rainer, (936) 499-1853")</f>
        <v>Kenneth Rainer, (936) 499-1853</v>
      </c>
      <c r="AD23" t="str">
        <f ca="1">IFERROR(__xludf.DUMMYFUNCTION("""COMPUTED_VALUE"""),"Weather: 8AM, 78F, 15% chance rain, 8mph SSE")</f>
        <v>Weather: 8AM, 78F, 15% chance rain, 8mph SSE</v>
      </c>
      <c r="AE23" s="11" t="str">
        <f ca="1">IFERROR(__xludf.DUMMYFUNCTION("""COMPUTED_VALUE"""),"Tides: High is 6:26AM, Low is 12:38PM")</f>
        <v>Tides: High is 6:26AM, Low is 12:38PM</v>
      </c>
      <c r="AF23" t="str">
        <v>Kenneth.Rainer@floridadep.gov</v>
      </c>
      <c r="AG23" s="18"/>
      <c r="AH23" s="12"/>
      <c r="AI23" s="12" t="s">
        <v>8</v>
      </c>
      <c r="AJ23" s="12" t="s">
        <v>8</v>
      </c>
      <c r="AK23" s="12" t="s">
        <v>8</v>
      </c>
      <c r="AL23" s="12" t="s">
        <v>8</v>
      </c>
    </row>
    <row r="24" spans="1:38" ht="15.75" customHeight="1">
      <c r="A24" s="10">
        <f ca="1">IFERROR(__xludf.DUMMYFUNCTION("""COMPUTED_VALUE"""),42927.4307686574)</f>
        <v>42927.430768657403</v>
      </c>
      <c r="B24" s="11" t="str">
        <f ca="1">IFERROR(__xludf.DUMMYFUNCTION("""COMPUTED_VALUE"""),"Kenneth Rainer")</f>
        <v>Kenneth Rainer</v>
      </c>
      <c r="C24" t="str">
        <f ca="1">IFERROR(__xludf.DUMMYFUNCTION("""COMPUTED_VALUE"""),"Kenneth.Rainer@dep.state.fl.us")</f>
        <v>Kenneth.Rainer@dep.state.fl.us</v>
      </c>
      <c r="D24" t="str">
        <f ca="1">IFERROR(__xludf.DUMMYFUNCTION("""COMPUTED_VALUE"""),"Education")</f>
        <v>Education</v>
      </c>
      <c r="E24" t="str">
        <f ca="1">IFERROR(__xludf.DUMMYFUNCTION("""COMPUTED_VALUE"""),"Usina Boat Ramp")</f>
        <v>Usina Boat Ramp</v>
      </c>
      <c r="F24" s="13"/>
      <c r="G24" s="14">
        <f ca="1">IFERROR(__xludf.DUMMYFUNCTION("""COMPUTED_VALUE"""),42928)</f>
        <v>42928</v>
      </c>
      <c r="H24" t="str">
        <f ca="1">IFERROR(__xludf.DUMMYFUNCTION("""COMPUTED_VALUE"""),"Northern Component")</f>
        <v>Northern Component</v>
      </c>
      <c r="I24" s="15">
        <f ca="1">IFERROR(__xludf.DUMMYFUNCTION("""COMPUTED_VALUE"""),0.354166666667879)</f>
        <v>0.35416666666787899</v>
      </c>
      <c r="J24" s="16">
        <f ca="1">IFERROR(__xludf.DUMMYFUNCTION("""COMPUTED_VALUE"""),42928.5416666666)</f>
        <v>42928.541666666599</v>
      </c>
      <c r="K24" t="str">
        <f ca="1">IFERROR(__xludf.DUMMYFUNCTION("""COMPUTED_VALUE"""),"23ft Skiff FL7972LJ DEP07613")</f>
        <v>23ft Skiff FL7972LJ DEP07613</v>
      </c>
      <c r="M24" t="str">
        <f ca="1">IFERROR(__xludf.DUMMYFUNCTION("""COMPUTED_VALUE"""),"Ford F150 2015 (White) - DEP21448")</f>
        <v>Ford F150 2015 (White) - DEP21448</v>
      </c>
      <c r="N24" t="str">
        <f ca="1">IFERROR(__xludf.DUMMYFUNCTION("""COMPUTED_VALUE"""),"Kenneth Rainer, (936) 499-1853")</f>
        <v>Kenneth Rainer, (936) 499-1853</v>
      </c>
      <c r="O24" t="str">
        <f ca="1">IFERROR(__xludf.DUMMYFUNCTION("""COMPUTED_VALUE"""),"7-9yr Summer Campers, Taylor, Silvia, Ashton, Emma")</f>
        <v>7-9yr Summer Campers, Taylor, Silvia, Ashton, Emma</v>
      </c>
      <c r="P24" t="str">
        <f ca="1">IFERROR(__xludf.DUMMYFUNCTION("""COMPUTED_VALUE"""),"Kenneth Rainer, (936) 499-1853")</f>
        <v>Kenneth Rainer, (936) 499-1853</v>
      </c>
      <c r="AD24" t="str">
        <f ca="1">IFERROR(__xludf.DUMMYFUNCTION("""COMPUTED_VALUE"""),"Weather (9am): 82F, 7% chance rain, 3mph ESE")</f>
        <v>Weather (9am): 82F, 7% chance rain, 3mph ESE</v>
      </c>
      <c r="AE24" s="11" t="str">
        <f ca="1">IFERROR(__xludf.DUMMYFUNCTION("""COMPUTED_VALUE"""),"Tides: Low Tide 5:22AM; High Tide 11:28pm (incoming tide)")</f>
        <v>Tides: Low Tide 5:22AM; High Tide 11:28pm (incoming tide)</v>
      </c>
      <c r="AF24" t="str">
        <v>Kenneth.Rainer@floridadep.gov</v>
      </c>
      <c r="AG24" s="18"/>
      <c r="AH24" s="12"/>
      <c r="AI24" s="12" t="s">
        <v>8</v>
      </c>
      <c r="AJ24" s="12" t="s">
        <v>8</v>
      </c>
      <c r="AK24" s="12" t="s">
        <v>8</v>
      </c>
      <c r="AL24" s="12" t="s">
        <v>8</v>
      </c>
    </row>
    <row r="25" spans="1:38" ht="15.75" customHeight="1">
      <c r="A25" s="10">
        <f ca="1">IFERROR(__xludf.DUMMYFUNCTION("""COMPUTED_VALUE"""),42928.6313663657)</f>
        <v>42928.631366365698</v>
      </c>
      <c r="B25" s="11" t="str">
        <f ca="1">IFERROR(__xludf.DUMMYFUNCTION("""COMPUTED_VALUE"""),"Josephine Spearman")</f>
        <v>Josephine Spearman</v>
      </c>
      <c r="C25" t="str">
        <f ca="1">IFERROR(__xludf.DUMMYFUNCTION("""COMPUTED_VALUE"""),"Josephine.Spearman@dep.state.fl.us")</f>
        <v>Josephine.Spearman@dep.state.fl.us</v>
      </c>
      <c r="D25" t="str">
        <f ca="1">IFERROR(__xludf.DUMMYFUNCTION("""COMPUTED_VALUE"""),"Education")</f>
        <v>Education</v>
      </c>
      <c r="E25" t="str">
        <f ca="1">IFERROR(__xludf.DUMMYFUNCTION("""COMPUTED_VALUE"""),"Guana Dam")</f>
        <v>Guana Dam</v>
      </c>
      <c r="F25" s="13"/>
      <c r="G25" s="14">
        <f ca="1">IFERROR(__xludf.DUMMYFUNCTION("""COMPUTED_VALUE"""),42929)</f>
        <v>42929</v>
      </c>
      <c r="H25" t="str">
        <f ca="1">IFERROR(__xludf.DUMMYFUNCTION("""COMPUTED_VALUE"""),"Guana Lake")</f>
        <v>Guana Lake</v>
      </c>
      <c r="I25" s="15">
        <f ca="1">IFERROR(__xludf.DUMMYFUNCTION("""COMPUTED_VALUE"""),0.375)</f>
        <v>0.375</v>
      </c>
      <c r="J25" s="16">
        <f ca="1">IFERROR(__xludf.DUMMYFUNCTION("""COMPUTED_VALUE"""),42929.5416666666)</f>
        <v>42929.541666666599</v>
      </c>
      <c r="K25" t="str">
        <f ca="1">IFERROR(__xludf.DUMMYFUNCTION("""COMPUTED_VALUE"""),"Kayak(s)")</f>
        <v>Kayak(s)</v>
      </c>
      <c r="L25">
        <f ca="1">IFERROR(__xludf.DUMMYFUNCTION("""COMPUTED_VALUE"""),7)</f>
        <v>7</v>
      </c>
      <c r="M25" t="str">
        <f ca="1">IFERROR(__xludf.DUMMYFUNCTION("""COMPUTED_VALUE"""),"Ford F150 2015 (White) - DEP21448")</f>
        <v>Ford F150 2015 (White) - DEP21448</v>
      </c>
      <c r="N25" t="str">
        <f ca="1">IFERROR(__xludf.DUMMYFUNCTION("""COMPUTED_VALUE"""),"Josephine Spearman")</f>
        <v>Josephine Spearman</v>
      </c>
      <c r="O25" t="str">
        <f ca="1">IFERROR(__xludf.DUMMYFUNCTION("""COMPUTED_VALUE"""),"7-9yr Campers, Ashton, Emma, Taylor, Sylvia")</f>
        <v>7-9yr Campers, Ashton, Emma, Taylor, Sylvia</v>
      </c>
      <c r="P25" t="str">
        <f ca="1">IFERROR(__xludf.DUMMYFUNCTION("""COMPUTED_VALUE"""),"Josephine Spearman")</f>
        <v>Josephine Spearman</v>
      </c>
      <c r="AD25" t="str">
        <f ca="1">IFERROR(__xludf.DUMMYFUNCTION("""COMPUTED_VALUE"""),"Weather (@9am): 82F, 15% chance rain, 6mph ENE")</f>
        <v>Weather (@9am): 82F, 15% chance rain, 6mph ENE</v>
      </c>
      <c r="AE25" s="11"/>
      <c r="AF25" t="str">
        <v>Kenneth.Rainer@floridadep.gov</v>
      </c>
      <c r="AG25" s="18"/>
      <c r="AH25" s="12"/>
      <c r="AI25" s="12" t="s">
        <v>8</v>
      </c>
      <c r="AJ25" s="12" t="s">
        <v>8</v>
      </c>
      <c r="AK25" s="12" t="s">
        <v>8</v>
      </c>
      <c r="AL25" s="12" t="s">
        <v>8</v>
      </c>
    </row>
    <row r="26" spans="1:38" ht="15.75" customHeight="1">
      <c r="A26" s="10">
        <f ca="1">IFERROR(__xludf.DUMMYFUNCTION("""COMPUTED_VALUE"""),42935.5106154166)</f>
        <v>42935.510615416599</v>
      </c>
      <c r="B26" s="11" t="str">
        <f ca="1">IFERROR(__xludf.DUMMYFUNCTION("""COMPUTED_VALUE"""),"Kenneth Rainer")</f>
        <v>Kenneth Rainer</v>
      </c>
      <c r="C26" t="str">
        <f ca="1">IFERROR(__xludf.DUMMYFUNCTION("""COMPUTED_VALUE"""),"Kenneth.Rainer@dep.state.fl.us")</f>
        <v>Kenneth.Rainer@dep.state.fl.us</v>
      </c>
      <c r="D26" t="str">
        <f ca="1">IFERROR(__xludf.DUMMYFUNCTION("""COMPUTED_VALUE"""),"Education")</f>
        <v>Education</v>
      </c>
      <c r="E26" t="str">
        <f ca="1">IFERROR(__xludf.DUMMYFUNCTION("""COMPUTED_VALUE"""),"Usina Boat Ramp")</f>
        <v>Usina Boat Ramp</v>
      </c>
      <c r="F26" s="13"/>
      <c r="G26" s="14">
        <f ca="1">IFERROR(__xludf.DUMMYFUNCTION("""COMPUTED_VALUE"""),42936)</f>
        <v>42936</v>
      </c>
      <c r="H26" t="str">
        <f ca="1">IFERROR(__xludf.DUMMYFUNCTION("""COMPUTED_VALUE"""),"Northern Component")</f>
        <v>Northern Component</v>
      </c>
      <c r="I26" s="15">
        <f ca="1">IFERROR(__xludf.DUMMYFUNCTION("""COMPUTED_VALUE"""),0.33333333333212)</f>
        <v>0.33333333333212001</v>
      </c>
      <c r="J26" s="16">
        <f ca="1">IFERROR(__xludf.DUMMYFUNCTION("""COMPUTED_VALUE"""),42936.5416666666)</f>
        <v>42936.541666666599</v>
      </c>
      <c r="K26" t="str">
        <f ca="1">IFERROR(__xludf.DUMMYFUNCTION("""COMPUTED_VALUE"""),"23ft Skiff FL7972LJ DEP07613")</f>
        <v>23ft Skiff FL7972LJ DEP07613</v>
      </c>
      <c r="M26" t="str">
        <f ca="1">IFERROR(__xludf.DUMMYFUNCTION("""COMPUTED_VALUE"""),"Ford F150 2015 (White) - DEP21448")</f>
        <v>Ford F150 2015 (White) - DEP21448</v>
      </c>
      <c r="N26" t="str">
        <f ca="1">IFERROR(__xludf.DUMMYFUNCTION("""COMPUTED_VALUE"""),"Kenneth Rainer, (936) 499-1853")</f>
        <v>Kenneth Rainer, (936) 499-1853</v>
      </c>
      <c r="O26" t="str">
        <f ca="1">IFERROR(__xludf.DUMMYFUNCTION("""COMPUTED_VALUE"""),"Ashton, Taylor, Sylvia, 10-12yr Campers")</f>
        <v>Ashton, Taylor, Sylvia, 10-12yr Campers</v>
      </c>
      <c r="P26" t="str">
        <f ca="1">IFERROR(__xludf.DUMMYFUNCTION("""COMPUTED_VALUE"""),"Kenneth Rainer, (936) 499-1853")</f>
        <v>Kenneth Rainer, (936) 499-1853</v>
      </c>
      <c r="AD26" t="str">
        <f ca="1">IFERROR(__xludf.DUMMYFUNCTION("""COMPUTED_VALUE"""),"Weather: 9am 81F, 6% chance rain, 4mph WNW")</f>
        <v>Weather: 9am 81F, 6% chance rain, 4mph WNW</v>
      </c>
      <c r="AE26" s="11" t="str">
        <f ca="1">IFERROR(__xludf.DUMMYFUNCTION("""COMPUTED_VALUE"""),"Tides: High Tide (6:04 a.m.), Low Tide (12:16 p.m.)")</f>
        <v>Tides: High Tide (6:04 a.m.), Low Tide (12:16 p.m.)</v>
      </c>
      <c r="AF26" t="str">
        <v>Kenneth.Rainer@floridadep.gov</v>
      </c>
      <c r="AG26" s="18"/>
      <c r="AH26" s="12"/>
      <c r="AI26" s="12" t="s">
        <v>8</v>
      </c>
      <c r="AJ26" s="12" t="s">
        <v>8</v>
      </c>
      <c r="AK26" s="12" t="s">
        <v>8</v>
      </c>
      <c r="AL26" s="12" t="s">
        <v>8</v>
      </c>
    </row>
    <row r="27" spans="1:38" ht="15.75" customHeight="1">
      <c r="A27" s="10">
        <f ca="1">IFERROR(__xludf.DUMMYFUNCTION("""COMPUTED_VALUE"""),43166.4240187962)</f>
        <v>43166.424018796199</v>
      </c>
      <c r="B27" s="11" t="str">
        <f ca="1">IFERROR(__xludf.DUMMYFUNCTION("""COMPUTED_VALUE"""),"Trey Tester")</f>
        <v>Trey Tester</v>
      </c>
      <c r="C27" t="str">
        <f ca="1">IFERROR(__xludf.DUMMYFUNCTION("""COMPUTED_VALUE"""),"Kenneth.Rainer@floridadep.gov")</f>
        <v>Kenneth.Rainer@floridadep.gov</v>
      </c>
      <c r="D27" t="str">
        <f ca="1">IFERROR(__xludf.DUMMYFUNCTION("""COMPUTED_VALUE"""),"Education")</f>
        <v>Education</v>
      </c>
      <c r="E27" t="str">
        <f ca="1">IFERROR(__xludf.DUMMYFUNCTION("""COMPUTED_VALUE"""),"Usina Boat Ramp")</f>
        <v>Usina Boat Ramp</v>
      </c>
      <c r="F27" s="13"/>
      <c r="G27" s="14">
        <f ca="1">IFERROR(__xludf.DUMMYFUNCTION("""COMPUTED_VALUE"""),43166)</f>
        <v>43166</v>
      </c>
      <c r="H27" t="str">
        <f ca="1">IFERROR(__xludf.DUMMYFUNCTION("""COMPUTED_VALUE"""),"Angelini Project")</f>
        <v>Angelini Project</v>
      </c>
      <c r="I27" s="15">
        <f ca="1">IFERROR(__xludf.DUMMYFUNCTION("""COMPUTED_VALUE"""),0.125)</f>
        <v>0.125</v>
      </c>
      <c r="J27" s="16">
        <f ca="1">IFERROR(__xludf.DUMMYFUNCTION("""COMPUTED_VALUE"""),43166.7083333333)</f>
        <v>43166.708333333299</v>
      </c>
      <c r="K27" t="str">
        <f ca="1">IFERROR(__xludf.DUMMYFUNCTION("""COMPUTED_VALUE"""),"F 20ft Sea Ark (Easy 200) FL8534PY DEP21451")</f>
        <v>F 20ft Sea Ark (Easy 200) FL8534PY DEP21451</v>
      </c>
      <c r="M27" t="str">
        <f ca="1">IFERROR(__xludf.DUMMYFUNCTION("""COMPUTED_VALUE"""),"Ford F150 2005 (Blue Bomber) - DEP06139")</f>
        <v>Ford F150 2005 (Blue Bomber) - DEP06139</v>
      </c>
      <c r="N27" t="str">
        <f ca="1">IFERROR(__xludf.DUMMYFUNCTION("""COMPUTED_VALUE"""),"Kenneth Rainer, (936) 499-1853")</f>
        <v>Kenneth Rainer, (936) 499-1853</v>
      </c>
      <c r="O27" t="str">
        <f ca="1">IFERROR(__xludf.DUMMYFUNCTION("""COMPUTED_VALUE"""),"Silas Tanner, Scott Eastman, Joseph Burgess, Josie Spearman")</f>
        <v>Silas Tanner, Scott Eastman, Joseph Burgess, Josie Spearman</v>
      </c>
      <c r="P27" t="str">
        <f ca="1">IFERROR(__xludf.DUMMYFUNCTION("""COMPUTED_VALUE"""),"Kenneth Rainer")</f>
        <v>Kenneth Rainer</v>
      </c>
      <c r="Q27" t="str">
        <f ca="1">IFERROR(__xludf.DUMMYFUNCTION("""COMPUTED_VALUE"""),"Good")</f>
        <v>Good</v>
      </c>
      <c r="R27" t="str">
        <f ca="1">IFERROR(__xludf.DUMMYFUNCTION("""COMPUTED_VALUE"""),"Good")</f>
        <v>Good</v>
      </c>
      <c r="S27" t="str">
        <f ca="1">IFERROR(__xludf.DUMMYFUNCTION("""COMPUTED_VALUE"""),"Good")</f>
        <v>Good</v>
      </c>
      <c r="T27" t="str">
        <f ca="1">IFERROR(__xludf.DUMMYFUNCTION("""COMPUTED_VALUE"""),"Good")</f>
        <v>Good</v>
      </c>
      <c r="U27" t="str">
        <f ca="1">IFERROR(__xludf.DUMMYFUNCTION("""COMPUTED_VALUE"""),"Good")</f>
        <v>Good</v>
      </c>
      <c r="V27" t="str">
        <f ca="1">IFERROR(__xludf.DUMMYFUNCTION("""COMPUTED_VALUE"""),"Good")</f>
        <v>Good</v>
      </c>
      <c r="W27" t="str">
        <f ca="1">IFERROR(__xludf.DUMMYFUNCTION("""COMPUTED_VALUE"""),"Good")</f>
        <v>Good</v>
      </c>
      <c r="X27" t="str">
        <f ca="1">IFERROR(__xludf.DUMMYFUNCTION("""COMPUTED_VALUE"""),"Good")</f>
        <v>Good</v>
      </c>
      <c r="Y27" t="str">
        <f ca="1">IFERROR(__xludf.DUMMYFUNCTION("""COMPUTED_VALUE"""),"Good")</f>
        <v>Good</v>
      </c>
      <c r="Z27" t="str">
        <f ca="1">IFERROR(__xludf.DUMMYFUNCTION("""COMPUTED_VALUE"""),"Good")</f>
        <v>Good</v>
      </c>
      <c r="AA27" t="str">
        <f ca="1">IFERROR(__xludf.DUMMYFUNCTION("""COMPUTED_VALUE"""),"Good")</f>
        <v>Good</v>
      </c>
      <c r="AB27" t="str">
        <f ca="1">IFERROR(__xludf.DUMMYFUNCTION("""COMPUTED_VALUE"""),"Good")</f>
        <v>Good</v>
      </c>
      <c r="AC27" t="str">
        <f ca="1">IFERROR(__xludf.DUMMYFUNCTION("""COMPUTED_VALUE"""),"Good")</f>
        <v>Good</v>
      </c>
      <c r="AD27" t="str">
        <f ca="1">IFERROR(__xludf.DUMMYFUNCTION("""COMPUTED_VALUE"""),"Beautiful")</f>
        <v>Beautiful</v>
      </c>
      <c r="AE27" s="11" t="str">
        <f ca="1">IFERROR(__xludf.DUMMYFUNCTION("""COMPUTED_VALUE"""),"Very Very High")</f>
        <v>Very Very High</v>
      </c>
      <c r="AF27" s="12" t="str">
        <v>Kenneth.Rainer@floridadep.gov</v>
      </c>
      <c r="AG27" s="17" t="s">
        <v>7</v>
      </c>
      <c r="AH27" s="12"/>
      <c r="AI27" s="12" t="s">
        <v>10</v>
      </c>
      <c r="AJ27" s="19" t="s">
        <v>11</v>
      </c>
      <c r="AK27" s="20" t="str">
        <f>HYPERLINK("https://drive.google.com/a/gtmnerr.org/file/d/1-xBJcM5t4rp1kF8CtiHFHCGIYOyemNCh/view?usp=drivesdk","Trey Tester - 3/7/2018")</f>
        <v>Trey Tester - 3/7/2018</v>
      </c>
      <c r="AL27" s="12" t="s">
        <v>12</v>
      </c>
    </row>
    <row r="28" spans="1:38" ht="15.75" customHeight="1">
      <c r="A28" s="10">
        <f ca="1">IFERROR(__xludf.DUMMYFUNCTION("""COMPUTED_VALUE"""),43175.3990988888)</f>
        <v>43175.399098888804</v>
      </c>
      <c r="B28" s="11" t="str">
        <f ca="1">IFERROR(__xludf.DUMMYFUNCTION("""COMPUTED_VALUE"""),"Pamela Marcum")</f>
        <v>Pamela Marcum</v>
      </c>
      <c r="C28" t="str">
        <f ca="1">IFERROR(__xludf.DUMMYFUNCTION("""COMPUTED_VALUE"""),"Pamela.Marcum@Dep.state.fl.us")</f>
        <v>Pamela.Marcum@Dep.state.fl.us</v>
      </c>
      <c r="D28" t="str">
        <f ca="1">IFERROR(__xludf.DUMMYFUNCTION("""COMPUTED_VALUE"""),"Research")</f>
        <v>Research</v>
      </c>
      <c r="E28" t="str">
        <f ca="1">IFERROR(__xludf.DUMMYFUNCTION("""COMPUTED_VALUE"""),"Bing's Landing")</f>
        <v>Bing's Landing</v>
      </c>
      <c r="F28" s="13"/>
      <c r="G28" s="14">
        <f ca="1">IFERROR(__xludf.DUMMYFUNCTION("""COMPUTED_VALUE"""),43175)</f>
        <v>43175</v>
      </c>
      <c r="H28" t="str">
        <f ca="1">IFERROR(__xludf.DUMMYFUNCTION("""COMPUTED_VALUE"""),"Matanzas River &amp; Jordan Island")</f>
        <v>Matanzas River &amp; Jordan Island</v>
      </c>
      <c r="I28" s="15">
        <f ca="1">IFERROR(__xludf.DUMMYFUNCTION("""COMPUTED_VALUE"""),0.64583333333212)</f>
        <v>0.64583333333212001</v>
      </c>
      <c r="J28" s="16">
        <f ca="1">IFERROR(__xludf.DUMMYFUNCTION("""COMPUTED_VALUE"""),43175.6875)</f>
        <v>43175.6875</v>
      </c>
      <c r="K28" t="str">
        <f ca="1">IFERROR(__xludf.DUMMYFUNCTION("""COMPUTED_VALUE"""),"23ft Skiff (Bertha) FL7972LJ DEP07613")</f>
        <v>23ft Skiff (Bertha) FL7972LJ DEP07613</v>
      </c>
      <c r="M28" t="str">
        <f ca="1">IFERROR(__xludf.DUMMYFUNCTION("""COMPUTED_VALUE"""),"Ford F150 2008 - DEP18041 (ML)")</f>
        <v>Ford F150 2008 - DEP18041 (ML)</v>
      </c>
      <c r="N28" t="str">
        <f ca="1">IFERROR(__xludf.DUMMYFUNCTION("""COMPUTED_VALUE"""),"Pam Marcum, (480) 332-5414")</f>
        <v>Pam Marcum, (480) 332-5414</v>
      </c>
      <c r="O28" t="str">
        <f ca="1">IFERROR(__xludf.DUMMYFUNCTION("""COMPUTED_VALUE"""),"Ben Mowbray, Weslty Woodward")</f>
        <v>Ben Mowbray, Weslty Woodward</v>
      </c>
      <c r="P28" t="str">
        <f ca="1">IFERROR(__xludf.DUMMYFUNCTION("""COMPUTED_VALUE"""),"Pam")</f>
        <v>Pam</v>
      </c>
      <c r="Q28" t="str">
        <f ca="1">IFERROR(__xludf.DUMMYFUNCTION("""COMPUTED_VALUE"""),"Good")</f>
        <v>Good</v>
      </c>
      <c r="R28" t="str">
        <f ca="1">IFERROR(__xludf.DUMMYFUNCTION("""COMPUTED_VALUE"""),"Good")</f>
        <v>Good</v>
      </c>
      <c r="S28" t="str">
        <f ca="1">IFERROR(__xludf.DUMMYFUNCTION("""COMPUTED_VALUE"""),"Good")</f>
        <v>Good</v>
      </c>
      <c r="T28" t="str">
        <f ca="1">IFERROR(__xludf.DUMMYFUNCTION("""COMPUTED_VALUE"""),"Good")</f>
        <v>Good</v>
      </c>
      <c r="U28" t="str">
        <f ca="1">IFERROR(__xludf.DUMMYFUNCTION("""COMPUTED_VALUE"""),"Good")</f>
        <v>Good</v>
      </c>
      <c r="V28" t="str">
        <f ca="1">IFERROR(__xludf.DUMMYFUNCTION("""COMPUTED_VALUE"""),"Good")</f>
        <v>Good</v>
      </c>
      <c r="W28" t="str">
        <f ca="1">IFERROR(__xludf.DUMMYFUNCTION("""COMPUTED_VALUE"""),"Good")</f>
        <v>Good</v>
      </c>
      <c r="X28" t="str">
        <f ca="1">IFERROR(__xludf.DUMMYFUNCTION("""COMPUTED_VALUE"""),"Good")</f>
        <v>Good</v>
      </c>
      <c r="Y28" t="str">
        <f ca="1">IFERROR(__xludf.DUMMYFUNCTION("""COMPUTED_VALUE"""),"Good")</f>
        <v>Good</v>
      </c>
      <c r="Z28" t="str">
        <f ca="1">IFERROR(__xludf.DUMMYFUNCTION("""COMPUTED_VALUE"""),"Good")</f>
        <v>Good</v>
      </c>
      <c r="AA28" t="str">
        <f ca="1">IFERROR(__xludf.DUMMYFUNCTION("""COMPUTED_VALUE"""),"Good")</f>
        <v>Good</v>
      </c>
      <c r="AB28" t="str">
        <f ca="1">IFERROR(__xludf.DUMMYFUNCTION("""COMPUTED_VALUE"""),"Good")</f>
        <v>Good</v>
      </c>
      <c r="AC28" t="str">
        <f ca="1">IFERROR(__xludf.DUMMYFUNCTION("""COMPUTED_VALUE"""),"Good")</f>
        <v>Good</v>
      </c>
      <c r="AD28" t="str">
        <f ca="1">IFERROR(__xludf.DUMMYFUNCTION("""COMPUTED_VALUE"""),"OK")</f>
        <v>OK</v>
      </c>
      <c r="AE28" s="11"/>
      <c r="AF28" s="12" t="str">
        <v>Nikki.Dix@floridadep.gov</v>
      </c>
      <c r="AG28" s="17" t="s">
        <v>13</v>
      </c>
      <c r="AH28" s="12"/>
      <c r="AI28" s="12" t="s">
        <v>14</v>
      </c>
      <c r="AJ28" s="19" t="s">
        <v>15</v>
      </c>
      <c r="AK28" s="20" t="str">
        <f>HYPERLINK("https://drive.google.com/a/gtmnerr.org/file/d/1PoGr328HmybT9p6Khc3j48PbR5wcYaea/view?usp=drivesdk","Pamela Marcum - 3/16/2018")</f>
        <v>Pamela Marcum - 3/16/2018</v>
      </c>
      <c r="AL28" s="12" t="s">
        <v>16</v>
      </c>
    </row>
    <row r="29" spans="1:38" ht="15.75" customHeight="1">
      <c r="A29" s="10">
        <f ca="1">IFERROR(__xludf.DUMMYFUNCTION("""COMPUTED_VALUE"""),43182.3609942245)</f>
        <v>43182.360994224502</v>
      </c>
      <c r="B29" s="11" t="str">
        <f ca="1">IFERROR(__xludf.DUMMYFUNCTION("""COMPUTED_VALUE"""),"Pamela Marcum")</f>
        <v>Pamela Marcum</v>
      </c>
      <c r="C29" t="str">
        <f ca="1">IFERROR(__xludf.DUMMYFUNCTION("""COMPUTED_VALUE"""),"Pamela.Marcum@dep.state.fl.us")</f>
        <v>Pamela.Marcum@dep.state.fl.us</v>
      </c>
      <c r="D29" t="str">
        <f ca="1">IFERROR(__xludf.DUMMYFUNCTION("""COMPUTED_VALUE"""),"Research")</f>
        <v>Research</v>
      </c>
      <c r="F29" s="13"/>
      <c r="G29" s="14">
        <f ca="1">IFERROR(__xludf.DUMMYFUNCTION("""COMPUTED_VALUE"""),43181)</f>
        <v>43181</v>
      </c>
      <c r="H29" t="str">
        <f ca="1">IFERROR(__xludf.DUMMYFUNCTION("""COMPUTED_VALUE"""),"Upper Pellicer Creek")</f>
        <v>Upper Pellicer Creek</v>
      </c>
      <c r="I29" s="15">
        <f ca="1">IFERROR(__xludf.DUMMYFUNCTION("""COMPUTED_VALUE"""),0.625)</f>
        <v>0.625</v>
      </c>
      <c r="J29" s="16">
        <f ca="1">IFERROR(__xludf.DUMMYFUNCTION("""COMPUTED_VALUE"""),43181.6875)</f>
        <v>43181.6875</v>
      </c>
      <c r="K29" t="str">
        <f ca="1">IFERROR(__xludf.DUMMYFUNCTION("""COMPUTED_VALUE"""),"23ft Skiff (Bertha) FL7972LJ DEP07613")</f>
        <v>23ft Skiff (Bertha) FL7972LJ DEP07613</v>
      </c>
      <c r="M29" t="str">
        <f ca="1">IFERROR(__xludf.DUMMYFUNCTION("""COMPUTED_VALUE"""),"Ford F150 2008 - DEP18041 (ML)")</f>
        <v>Ford F150 2008 - DEP18041 (ML)</v>
      </c>
      <c r="N29" t="str">
        <f ca="1">IFERROR(__xludf.DUMMYFUNCTION("""COMPUTED_VALUE"""),"Pam Marcum, (480) 332-5414, Remo Mondazzi")</f>
        <v>Pam Marcum, (480) 332-5414, Remo Mondazzi</v>
      </c>
      <c r="O29" t="str">
        <f ca="1">IFERROR(__xludf.DUMMYFUNCTION("""COMPUTED_VALUE"""),"Ben Mowbray")</f>
        <v>Ben Mowbray</v>
      </c>
      <c r="P29" t="str">
        <f ca="1">IFERROR(__xludf.DUMMYFUNCTION("""COMPUTED_VALUE"""),"Pamela Marcum")</f>
        <v>Pamela Marcum</v>
      </c>
      <c r="Q29" t="str">
        <f ca="1">IFERROR(__xludf.DUMMYFUNCTION("""COMPUTED_VALUE"""),"Good")</f>
        <v>Good</v>
      </c>
      <c r="R29" t="str">
        <f ca="1">IFERROR(__xludf.DUMMYFUNCTION("""COMPUTED_VALUE"""),"Good")</f>
        <v>Good</v>
      </c>
      <c r="S29" t="str">
        <f ca="1">IFERROR(__xludf.DUMMYFUNCTION("""COMPUTED_VALUE"""),"Good")</f>
        <v>Good</v>
      </c>
      <c r="T29" t="str">
        <f ca="1">IFERROR(__xludf.DUMMYFUNCTION("""COMPUTED_VALUE"""),"Good")</f>
        <v>Good</v>
      </c>
      <c r="U29" t="str">
        <f ca="1">IFERROR(__xludf.DUMMYFUNCTION("""COMPUTED_VALUE"""),"Good")</f>
        <v>Good</v>
      </c>
      <c r="V29" t="str">
        <f ca="1">IFERROR(__xludf.DUMMYFUNCTION("""COMPUTED_VALUE"""),"Good")</f>
        <v>Good</v>
      </c>
      <c r="W29" t="str">
        <f ca="1">IFERROR(__xludf.DUMMYFUNCTION("""COMPUTED_VALUE"""),"Good")</f>
        <v>Good</v>
      </c>
      <c r="X29" t="str">
        <f ca="1">IFERROR(__xludf.DUMMYFUNCTION("""COMPUTED_VALUE"""),"Good")</f>
        <v>Good</v>
      </c>
      <c r="Y29" t="str">
        <f ca="1">IFERROR(__xludf.DUMMYFUNCTION("""COMPUTED_VALUE"""),"Good")</f>
        <v>Good</v>
      </c>
      <c r="Z29" t="str">
        <f ca="1">IFERROR(__xludf.DUMMYFUNCTION("""COMPUTED_VALUE"""),"Good")</f>
        <v>Good</v>
      </c>
      <c r="AA29" t="str">
        <f ca="1">IFERROR(__xludf.DUMMYFUNCTION("""COMPUTED_VALUE"""),"Good")</f>
        <v>Good</v>
      </c>
      <c r="AB29" t="str">
        <f ca="1">IFERROR(__xludf.DUMMYFUNCTION("""COMPUTED_VALUE"""),"Good")</f>
        <v>Good</v>
      </c>
      <c r="AC29" t="str">
        <f ca="1">IFERROR(__xludf.DUMMYFUNCTION("""COMPUTED_VALUE"""),"Good")</f>
        <v>Good</v>
      </c>
      <c r="AE29" s="11"/>
      <c r="AF29" s="12" t="str">
        <v>Nikki.Dix@floridadep.gov</v>
      </c>
      <c r="AG29" s="17" t="s">
        <v>17</v>
      </c>
      <c r="AH29" s="12"/>
      <c r="AI29" s="12" t="s">
        <v>18</v>
      </c>
      <c r="AJ29" s="19" t="s">
        <v>19</v>
      </c>
      <c r="AK29" s="20" t="str">
        <f>HYPERLINK("https://drive.google.com/a/gtmnerr.org/file/d/1lZDSHrj3qsq_O52lhKl_J8Ol3Ppm2wpf/view?usp=drivesdk","Pamela Marcum - 3/22/2018")</f>
        <v>Pamela Marcum - 3/22/2018</v>
      </c>
      <c r="AL29" s="12" t="s">
        <v>20</v>
      </c>
    </row>
    <row r="30" spans="1:38" ht="15.75" customHeight="1">
      <c r="A30" s="10">
        <f ca="1">IFERROR(__xludf.DUMMYFUNCTION("""COMPUTED_VALUE"""),43183.3722159259)</f>
        <v>43183.372215925898</v>
      </c>
      <c r="B30" s="11" t="str">
        <f ca="1">IFERROR(__xludf.DUMMYFUNCTION("""COMPUTED_VALUE"""),"Pamela Marcum")</f>
        <v>Pamela Marcum</v>
      </c>
      <c r="C30" t="str">
        <f ca="1">IFERROR(__xludf.DUMMYFUNCTION("""COMPUTED_VALUE"""),"Pamela.Marcum@Dep.state.fl.us")</f>
        <v>Pamela.Marcum@Dep.state.fl.us</v>
      </c>
      <c r="D30" t="str">
        <f ca="1">IFERROR(__xludf.DUMMYFUNCTION("""COMPUTED_VALUE"""),"Research")</f>
        <v>Research</v>
      </c>
      <c r="E30" t="str">
        <f ca="1">IFERROR(__xludf.DUMMYFUNCTION("""COMPUTED_VALUE"""),"Faver-Dykes")</f>
        <v>Faver-Dykes</v>
      </c>
      <c r="F30" s="13"/>
      <c r="G30" s="14">
        <f ca="1">IFERROR(__xludf.DUMMYFUNCTION("""COMPUTED_VALUE"""),43183)</f>
        <v>43183</v>
      </c>
      <c r="H30" t="str">
        <f ca="1">IFERROR(__xludf.DUMMYFUNCTION("""COMPUTED_VALUE"""),"Middle Pellicer Creek")</f>
        <v>Middle Pellicer Creek</v>
      </c>
      <c r="I30" s="15">
        <f ca="1">IFERROR(__xludf.DUMMYFUNCTION("""COMPUTED_VALUE"""),0.625)</f>
        <v>0.625</v>
      </c>
      <c r="J30" s="16">
        <f ca="1">IFERROR(__xludf.DUMMYFUNCTION("""COMPUTED_VALUE"""),43183.6875)</f>
        <v>43183.6875</v>
      </c>
      <c r="K30" t="str">
        <f ca="1">IFERROR(__xludf.DUMMYFUNCTION("""COMPUTED_VALUE"""),"23ft Skiff (Bertha) FL7972LJ DEP07613")</f>
        <v>23ft Skiff (Bertha) FL7972LJ DEP07613</v>
      </c>
      <c r="M30" t="str">
        <f ca="1">IFERROR(__xludf.DUMMYFUNCTION("""COMPUTED_VALUE"""),"Ford F150 2008 - DEP18041 (ML)")</f>
        <v>Ford F150 2008 - DEP18041 (ML)</v>
      </c>
      <c r="N30" t="str">
        <f ca="1">IFERROR(__xludf.DUMMYFUNCTION("""COMPUTED_VALUE"""),"Pam Marcum, (480) 332-5414")</f>
        <v>Pam Marcum, (480) 332-5414</v>
      </c>
      <c r="O30" t="str">
        <f ca="1">IFERROR(__xludf.DUMMYFUNCTION("""COMPUTED_VALUE"""),"Greg Hornsby")</f>
        <v>Greg Hornsby</v>
      </c>
      <c r="P30" t="str">
        <f ca="1">IFERROR(__xludf.DUMMYFUNCTION("""COMPUTED_VALUE"""),"Pamela Marcum")</f>
        <v>Pamela Marcum</v>
      </c>
      <c r="Q30" t="str">
        <f ca="1">IFERROR(__xludf.DUMMYFUNCTION("""COMPUTED_VALUE"""),"Good")</f>
        <v>Good</v>
      </c>
      <c r="R30" t="str">
        <f ca="1">IFERROR(__xludf.DUMMYFUNCTION("""COMPUTED_VALUE"""),"Good")</f>
        <v>Good</v>
      </c>
      <c r="S30" t="str">
        <f ca="1">IFERROR(__xludf.DUMMYFUNCTION("""COMPUTED_VALUE"""),"Good")</f>
        <v>Good</v>
      </c>
      <c r="T30" t="str">
        <f ca="1">IFERROR(__xludf.DUMMYFUNCTION("""COMPUTED_VALUE"""),"Good")</f>
        <v>Good</v>
      </c>
      <c r="U30" t="str">
        <f ca="1">IFERROR(__xludf.DUMMYFUNCTION("""COMPUTED_VALUE"""),"Good")</f>
        <v>Good</v>
      </c>
      <c r="V30" t="str">
        <f ca="1">IFERROR(__xludf.DUMMYFUNCTION("""COMPUTED_VALUE"""),"Good")</f>
        <v>Good</v>
      </c>
      <c r="W30" t="str">
        <f ca="1">IFERROR(__xludf.DUMMYFUNCTION("""COMPUTED_VALUE"""),"Good")</f>
        <v>Good</v>
      </c>
      <c r="X30" t="str">
        <f ca="1">IFERROR(__xludf.DUMMYFUNCTION("""COMPUTED_VALUE"""),"Good")</f>
        <v>Good</v>
      </c>
      <c r="Y30" t="str">
        <f ca="1">IFERROR(__xludf.DUMMYFUNCTION("""COMPUTED_VALUE"""),"Good")</f>
        <v>Good</v>
      </c>
      <c r="Z30" t="str">
        <f ca="1">IFERROR(__xludf.DUMMYFUNCTION("""COMPUTED_VALUE"""),"Good")</f>
        <v>Good</v>
      </c>
      <c r="AA30" t="str">
        <f ca="1">IFERROR(__xludf.DUMMYFUNCTION("""COMPUTED_VALUE"""),"Good")</f>
        <v>Good</v>
      </c>
      <c r="AB30" t="str">
        <f ca="1">IFERROR(__xludf.DUMMYFUNCTION("""COMPUTED_VALUE"""),"Good")</f>
        <v>Good</v>
      </c>
      <c r="AC30" t="str">
        <f ca="1">IFERROR(__xludf.DUMMYFUNCTION("""COMPUTED_VALUE"""),"Good")</f>
        <v>Good</v>
      </c>
      <c r="AE30" s="11"/>
      <c r="AF30" s="12" t="str">
        <v>Nikki.Dix@floridadep.gov</v>
      </c>
      <c r="AG30" s="17" t="s">
        <v>21</v>
      </c>
      <c r="AH30" s="12"/>
      <c r="AI30" s="12" t="s">
        <v>22</v>
      </c>
      <c r="AJ30" s="19" t="s">
        <v>23</v>
      </c>
      <c r="AK30" s="20" t="str">
        <f>HYPERLINK("https://drive.google.com/a/gtmnerr.org/file/d/1QvAZ7R1p5_SFBt5mF93Am43VNlxMzFTn/view?usp=drivesdk","Pamela Marcum - 3/24/2018")</f>
        <v>Pamela Marcum - 3/24/2018</v>
      </c>
      <c r="AL30" s="12" t="s">
        <v>24</v>
      </c>
    </row>
    <row r="31" spans="1:38" ht="15.75" customHeight="1">
      <c r="A31" s="10">
        <f ca="1">IFERROR(__xludf.DUMMYFUNCTION("""COMPUTED_VALUE"""),43185.5852039004)</f>
        <v>43185.585203900402</v>
      </c>
      <c r="B31" s="11" t="str">
        <f ca="1">IFERROR(__xludf.DUMMYFUNCTION("""COMPUTED_VALUE"""),"Silas Tanner")</f>
        <v>Silas Tanner</v>
      </c>
      <c r="C31" t="str">
        <f ca="1">IFERROR(__xludf.DUMMYFUNCTION("""COMPUTED_VALUE"""),"silas.tanner@floridadep.gov")</f>
        <v>silas.tanner@floridadep.gov</v>
      </c>
      <c r="D31" t="str">
        <f ca="1">IFERROR(__xludf.DUMMYFUNCTION("""COMPUTED_VALUE"""),"Research")</f>
        <v>Research</v>
      </c>
      <c r="E31" t="str">
        <f ca="1">IFERROR(__xludf.DUMMYFUNCTION("""COMPUTED_VALUE"""),"Usina Boat Ramp")</f>
        <v>Usina Boat Ramp</v>
      </c>
      <c r="F31" s="13"/>
      <c r="G31" s="14">
        <f ca="1">IFERROR(__xludf.DUMMYFUNCTION("""COMPUTED_VALUE"""),43186)</f>
        <v>43186</v>
      </c>
      <c r="H31" t="str">
        <f ca="1">IFERROR(__xludf.DUMMYFUNCTION("""COMPUTED_VALUE"""),"ICW around Pine Island")</f>
        <v>ICW around Pine Island</v>
      </c>
      <c r="I31" s="15">
        <f ca="1">IFERROR(__xludf.DUMMYFUNCTION("""COMPUTED_VALUE"""),0.979166666667879)</f>
        <v>0.97916666666787899</v>
      </c>
      <c r="J31" s="16">
        <f ca="1">IFERROR(__xludf.DUMMYFUNCTION("""COMPUTED_VALUE"""),43186.9895833333)</f>
        <v>43186.989583333299</v>
      </c>
      <c r="K31" t="str">
        <f ca="1">IFERROR(__xludf.DUMMYFUNCTION("""COMPUTED_VALUE"""),"23ft Skiff (Bertha) FL7972LJ DEP07613")</f>
        <v>23ft Skiff (Bertha) FL7972LJ DEP07613</v>
      </c>
      <c r="M31" t="str">
        <f ca="1">IFERROR(__xludf.DUMMYFUNCTION("""COMPUTED_VALUE"""),"Ford F250 2017 (Moby Dix) - DEP0021578")</f>
        <v>Ford F250 2017 (Moby Dix) - DEP0021578</v>
      </c>
      <c r="N31" t="str">
        <f ca="1">IFERROR(__xludf.DUMMYFUNCTION("""COMPUTED_VALUE"""),"Silas Tanner, Jimmy Tomazinis")</f>
        <v>Silas Tanner, Jimmy Tomazinis</v>
      </c>
      <c r="O31" t="str">
        <f ca="1">IFERROR(__xludf.DUMMYFUNCTION("""COMPUTED_VALUE"""),"Adam Rosenblatt, Courtney Lanasa, Mason Thackston")</f>
        <v>Adam Rosenblatt, Courtney Lanasa, Mason Thackston</v>
      </c>
      <c r="P31" t="str">
        <f ca="1">IFERROR(__xludf.DUMMYFUNCTION("""COMPUTED_VALUE"""),"Silas Tanner")</f>
        <v>Silas Tanner</v>
      </c>
      <c r="Q31" t="str">
        <f ca="1">IFERROR(__xludf.DUMMYFUNCTION("""COMPUTED_VALUE"""),"Good")</f>
        <v>Good</v>
      </c>
      <c r="R31" t="str">
        <f ca="1">IFERROR(__xludf.DUMMYFUNCTION("""COMPUTED_VALUE"""),"Good")</f>
        <v>Good</v>
      </c>
      <c r="S31" t="str">
        <f ca="1">IFERROR(__xludf.DUMMYFUNCTION("""COMPUTED_VALUE"""),"Good")</f>
        <v>Good</v>
      </c>
      <c r="T31" t="str">
        <f ca="1">IFERROR(__xludf.DUMMYFUNCTION("""COMPUTED_VALUE"""),"Good")</f>
        <v>Good</v>
      </c>
      <c r="U31" t="str">
        <f ca="1">IFERROR(__xludf.DUMMYFUNCTION("""COMPUTED_VALUE"""),"Good")</f>
        <v>Good</v>
      </c>
      <c r="V31" t="str">
        <f ca="1">IFERROR(__xludf.DUMMYFUNCTION("""COMPUTED_VALUE"""),"Good")</f>
        <v>Good</v>
      </c>
      <c r="W31" t="str">
        <f ca="1">IFERROR(__xludf.DUMMYFUNCTION("""COMPUTED_VALUE"""),"Good")</f>
        <v>Good</v>
      </c>
      <c r="X31" t="str">
        <f ca="1">IFERROR(__xludf.DUMMYFUNCTION("""COMPUTED_VALUE"""),"Good")</f>
        <v>Good</v>
      </c>
      <c r="Y31" t="str">
        <f ca="1">IFERROR(__xludf.DUMMYFUNCTION("""COMPUTED_VALUE"""),"Good")</f>
        <v>Good</v>
      </c>
      <c r="Z31" t="str">
        <f ca="1">IFERROR(__xludf.DUMMYFUNCTION("""COMPUTED_VALUE"""),"Good")</f>
        <v>Good</v>
      </c>
      <c r="AA31" t="str">
        <f ca="1">IFERROR(__xludf.DUMMYFUNCTION("""COMPUTED_VALUE"""),"Good")</f>
        <v>Good</v>
      </c>
      <c r="AB31" t="str">
        <f ca="1">IFERROR(__xludf.DUMMYFUNCTION("""COMPUTED_VALUE"""),"Good")</f>
        <v>Good</v>
      </c>
      <c r="AC31" t="str">
        <f ca="1">IFERROR(__xludf.DUMMYFUNCTION("""COMPUTED_VALUE"""),"Good")</f>
        <v>Good</v>
      </c>
      <c r="AE31" s="11"/>
      <c r="AF31" s="12" t="str">
        <v>Nikki.Dix@floridadep.gov</v>
      </c>
      <c r="AG31" s="17" t="s">
        <v>21</v>
      </c>
      <c r="AH31" s="12"/>
      <c r="AI31" s="12" t="s">
        <v>25</v>
      </c>
      <c r="AJ31" s="19" t="s">
        <v>26</v>
      </c>
      <c r="AK31" s="20" t="str">
        <f>HYPERLINK("https://drive.google.com/a/gtmnerr.org/file/d/1YinwlBsrG6skh50eUb96HFs4ROS8w5Vd/view?usp=drivesdk","Silas Tanner - 3/27/2018")</f>
        <v>Silas Tanner - 3/27/2018</v>
      </c>
      <c r="AL31" s="12" t="s">
        <v>27</v>
      </c>
    </row>
    <row r="32" spans="1:38" ht="15.75" customHeight="1">
      <c r="A32" s="10">
        <f ca="1">IFERROR(__xludf.DUMMYFUNCTION("""COMPUTED_VALUE"""),43185.5877775462)</f>
        <v>43185.5877775462</v>
      </c>
      <c r="B32" s="11" t="str">
        <f ca="1">IFERROR(__xludf.DUMMYFUNCTION("""COMPUTED_VALUE"""),"Silas Tanner")</f>
        <v>Silas Tanner</v>
      </c>
      <c r="C32" t="str">
        <f ca="1">IFERROR(__xludf.DUMMYFUNCTION("""COMPUTED_VALUE"""),"silas.tanner@floridadep.gov")</f>
        <v>silas.tanner@floridadep.gov</v>
      </c>
      <c r="D32" t="str">
        <f ca="1">IFERROR(__xludf.DUMMYFUNCTION("""COMPUTED_VALUE"""),"Research")</f>
        <v>Research</v>
      </c>
      <c r="E32" t="str">
        <f ca="1">IFERROR(__xludf.DUMMYFUNCTION("""COMPUTED_VALUE"""),"Vilano County Ramp")</f>
        <v>Vilano County Ramp</v>
      </c>
      <c r="F32" s="13"/>
      <c r="G32" s="14">
        <f ca="1">IFERROR(__xludf.DUMMYFUNCTION("""COMPUTED_VALUE"""),43186)</f>
        <v>43186</v>
      </c>
      <c r="H32" t="str">
        <f ca="1">IFERROR(__xludf.DUMMYFUNCTION("""COMPUTED_VALUE"""),"ICW: SWMP sites")</f>
        <v>ICW: SWMP sites</v>
      </c>
      <c r="I32" s="15">
        <f ca="1">IFERROR(__xludf.DUMMYFUNCTION("""COMPUTED_VALUE"""),0.5625)</f>
        <v>0.5625</v>
      </c>
      <c r="J32" s="16">
        <f ca="1">IFERROR(__xludf.DUMMYFUNCTION("""COMPUTED_VALUE"""),43186.5729166666)</f>
        <v>43186.572916666599</v>
      </c>
      <c r="K32" t="str">
        <f ca="1">IFERROR(__xludf.DUMMYFUNCTION("""COMPUTED_VALUE"""),"23ft Skiff (Bertha) FL7972LJ DEP07613")</f>
        <v>23ft Skiff (Bertha) FL7972LJ DEP07613</v>
      </c>
      <c r="M32" t="str">
        <f ca="1">IFERROR(__xludf.DUMMYFUNCTION("""COMPUTED_VALUE"""),"Ford F250 2017 (Moby Dix) - DEP0021578")</f>
        <v>Ford F250 2017 (Moby Dix) - DEP0021578</v>
      </c>
      <c r="N32" t="str">
        <f ca="1">IFERROR(__xludf.DUMMYFUNCTION("""COMPUTED_VALUE"""),"Silas Tanner, Jimmy Tomazinis")</f>
        <v>Silas Tanner, Jimmy Tomazinis</v>
      </c>
      <c r="O32" t="str">
        <f ca="1">IFERROR(__xludf.DUMMYFUNCTION("""COMPUTED_VALUE"""),"Matthew Sturchio")</f>
        <v>Matthew Sturchio</v>
      </c>
      <c r="P32" t="str">
        <f ca="1">IFERROR(__xludf.DUMMYFUNCTION("""COMPUTED_VALUE"""),"Silas Tanner")</f>
        <v>Silas Tanner</v>
      </c>
      <c r="Q32" t="str">
        <f ca="1">IFERROR(__xludf.DUMMYFUNCTION("""COMPUTED_VALUE"""),"Good")</f>
        <v>Good</v>
      </c>
      <c r="R32" t="str">
        <f ca="1">IFERROR(__xludf.DUMMYFUNCTION("""COMPUTED_VALUE"""),"Good")</f>
        <v>Good</v>
      </c>
      <c r="S32" t="str">
        <f ca="1">IFERROR(__xludf.DUMMYFUNCTION("""COMPUTED_VALUE"""),"Good")</f>
        <v>Good</v>
      </c>
      <c r="T32" t="str">
        <f ca="1">IFERROR(__xludf.DUMMYFUNCTION("""COMPUTED_VALUE"""),"Good")</f>
        <v>Good</v>
      </c>
      <c r="U32" t="str">
        <f ca="1">IFERROR(__xludf.DUMMYFUNCTION("""COMPUTED_VALUE"""),"Good")</f>
        <v>Good</v>
      </c>
      <c r="V32" t="str">
        <f ca="1">IFERROR(__xludf.DUMMYFUNCTION("""COMPUTED_VALUE"""),"Good")</f>
        <v>Good</v>
      </c>
      <c r="W32" t="str">
        <f ca="1">IFERROR(__xludf.DUMMYFUNCTION("""COMPUTED_VALUE"""),"Good")</f>
        <v>Good</v>
      </c>
      <c r="X32" t="str">
        <f ca="1">IFERROR(__xludf.DUMMYFUNCTION("""COMPUTED_VALUE"""),"Good")</f>
        <v>Good</v>
      </c>
      <c r="Y32" t="str">
        <f ca="1">IFERROR(__xludf.DUMMYFUNCTION("""COMPUTED_VALUE"""),"Good")</f>
        <v>Good</v>
      </c>
      <c r="Z32" t="str">
        <f ca="1">IFERROR(__xludf.DUMMYFUNCTION("""COMPUTED_VALUE"""),"Good")</f>
        <v>Good</v>
      </c>
      <c r="AA32" t="str">
        <f ca="1">IFERROR(__xludf.DUMMYFUNCTION("""COMPUTED_VALUE"""),"Good")</f>
        <v>Good</v>
      </c>
      <c r="AB32" t="str">
        <f ca="1">IFERROR(__xludf.DUMMYFUNCTION("""COMPUTED_VALUE"""),"Good")</f>
        <v>Good</v>
      </c>
      <c r="AC32" t="str">
        <f ca="1">IFERROR(__xludf.DUMMYFUNCTION("""COMPUTED_VALUE"""),"Good")</f>
        <v>Good</v>
      </c>
      <c r="AE32" s="11"/>
      <c r="AF32" s="12" t="str">
        <v>Nikki.Dix@floridadep.gov</v>
      </c>
      <c r="AG32" s="17" t="s">
        <v>17</v>
      </c>
      <c r="AH32" s="12"/>
      <c r="AI32" s="12" t="s">
        <v>28</v>
      </c>
      <c r="AJ32" s="19" t="s">
        <v>29</v>
      </c>
      <c r="AK32" s="20" t="str">
        <f>HYPERLINK("https://drive.google.com/a/gtmnerr.org/file/d/1UDcTZ57HVMirRLXojC9fGFCmlWToZDMk/view?usp=drivesdk","Silas Tanner - 3/27/2018")</f>
        <v>Silas Tanner - 3/27/2018</v>
      </c>
      <c r="AL32" s="12" t="s">
        <v>30</v>
      </c>
    </row>
    <row r="33" spans="1:38" ht="15.75" customHeight="1">
      <c r="A33" s="10">
        <f ca="1">IFERROR(__xludf.DUMMYFUNCTION("""COMPUTED_VALUE"""),43187.3173052314)</f>
        <v>43187.317305231401</v>
      </c>
      <c r="B33" s="11" t="str">
        <f ca="1">IFERROR(__xludf.DUMMYFUNCTION("""COMPUTED_VALUE"""),"James Tomazinis")</f>
        <v>James Tomazinis</v>
      </c>
      <c r="C33" t="str">
        <f ca="1">IFERROR(__xludf.DUMMYFUNCTION("""COMPUTED_VALUE"""),"james.tomazinis@floridadep.gov")</f>
        <v>james.tomazinis@floridadep.gov</v>
      </c>
      <c r="D33" t="str">
        <f ca="1">IFERROR(__xludf.DUMMYFUNCTION("""COMPUTED_VALUE"""),"Stewardship (Aquatic)")</f>
        <v>Stewardship (Aquatic)</v>
      </c>
      <c r="E33" t="str">
        <f ca="1">IFERROR(__xludf.DUMMYFUNCTION("""COMPUTED_VALUE"""),"Guana Dam")</f>
        <v>Guana Dam</v>
      </c>
      <c r="F33" s="13"/>
      <c r="G33" s="14">
        <f ca="1">IFERROR(__xludf.DUMMYFUNCTION("""COMPUTED_VALUE"""),43187)</f>
        <v>43187</v>
      </c>
      <c r="H33" t="str">
        <f ca="1">IFERROR(__xludf.DUMMYFUNCTION("""COMPUTED_VALUE"""),"Guana Nutrient sites")</f>
        <v>Guana Nutrient sites</v>
      </c>
      <c r="I33" s="15">
        <f ca="1">IFERROR(__xludf.DUMMYFUNCTION("""COMPUTED_VALUE"""),0.5)</f>
        <v>0.5</v>
      </c>
      <c r="J33" s="16">
        <f ca="1">IFERROR(__xludf.DUMMYFUNCTION("""COMPUTED_VALUE"""),43187.0104166666)</f>
        <v>43187.010416666599</v>
      </c>
      <c r="K33" t="str">
        <f ca="1">IFERROR(__xludf.DUMMYFUNCTION("""COMPUTED_VALUE"""),"Jon Boat FL0484NP DEP06819")</f>
        <v>Jon Boat FL0484NP DEP06819</v>
      </c>
      <c r="M33" t="str">
        <f ca="1">IFERROR(__xludf.DUMMYFUNCTION("""COMPUTED_VALUE"""),"Ford F150 2008 - DEP18041 (ML)")</f>
        <v>Ford F150 2008 - DEP18041 (ML)</v>
      </c>
      <c r="N33" t="str">
        <f ca="1">IFERROR(__xludf.DUMMYFUNCTION("""COMPUTED_VALUE"""),"Silas Tanner, Jimmy Tomazinis")</f>
        <v>Silas Tanner, Jimmy Tomazinis</v>
      </c>
      <c r="P33" t="str">
        <f ca="1">IFERROR(__xludf.DUMMYFUNCTION("""COMPUTED_VALUE"""),"James Tomazinis")</f>
        <v>James Tomazinis</v>
      </c>
      <c r="Q33" t="str">
        <f ca="1">IFERROR(__xludf.DUMMYFUNCTION("""COMPUTED_VALUE"""),"Good")</f>
        <v>Good</v>
      </c>
      <c r="R33" t="str">
        <f ca="1">IFERROR(__xludf.DUMMYFUNCTION("""COMPUTED_VALUE"""),"Good")</f>
        <v>Good</v>
      </c>
      <c r="S33" t="str">
        <f ca="1">IFERROR(__xludf.DUMMYFUNCTION("""COMPUTED_VALUE"""),"Good")</f>
        <v>Good</v>
      </c>
      <c r="T33" t="str">
        <f ca="1">IFERROR(__xludf.DUMMYFUNCTION("""COMPUTED_VALUE"""),"Good")</f>
        <v>Good</v>
      </c>
      <c r="U33" t="str">
        <f ca="1">IFERROR(__xludf.DUMMYFUNCTION("""COMPUTED_VALUE"""),"Good")</f>
        <v>Good</v>
      </c>
      <c r="V33" t="str">
        <f ca="1">IFERROR(__xludf.DUMMYFUNCTION("""COMPUTED_VALUE"""),"Good")</f>
        <v>Good</v>
      </c>
      <c r="W33" t="str">
        <f ca="1">IFERROR(__xludf.DUMMYFUNCTION("""COMPUTED_VALUE"""),"Good")</f>
        <v>Good</v>
      </c>
      <c r="X33" t="str">
        <f ca="1">IFERROR(__xludf.DUMMYFUNCTION("""COMPUTED_VALUE"""),"Good")</f>
        <v>Good</v>
      </c>
      <c r="Y33" t="str">
        <f ca="1">IFERROR(__xludf.DUMMYFUNCTION("""COMPUTED_VALUE"""),"Good")</f>
        <v>Good</v>
      </c>
      <c r="Z33" t="str">
        <f ca="1">IFERROR(__xludf.DUMMYFUNCTION("""COMPUTED_VALUE"""),"Good")</f>
        <v>Good</v>
      </c>
      <c r="AA33" t="str">
        <f ca="1">IFERROR(__xludf.DUMMYFUNCTION("""COMPUTED_VALUE"""),"Good")</f>
        <v>Good</v>
      </c>
      <c r="AB33" t="str">
        <f ca="1">IFERROR(__xludf.DUMMYFUNCTION("""COMPUTED_VALUE"""),"Good")</f>
        <v>Good</v>
      </c>
      <c r="AC33" t="str">
        <f ca="1">IFERROR(__xludf.DUMMYFUNCTION("""COMPUTED_VALUE"""),"Good")</f>
        <v>Good</v>
      </c>
      <c r="AE33" s="11"/>
      <c r="AF33" s="12" t="str">
        <v>Scott.Eastman@floridadep.gov</v>
      </c>
      <c r="AG33" s="17" t="s">
        <v>17</v>
      </c>
      <c r="AH33" s="12"/>
      <c r="AI33" s="12" t="s">
        <v>31</v>
      </c>
      <c r="AJ33" s="19" t="s">
        <v>32</v>
      </c>
      <c r="AK33" s="20" t="str">
        <f>HYPERLINK("https://drive.google.com/a/gtmnerr.org/file/d/1jgjcWdO9z2WyqZPvktwTx42rtdLSC_0a/view?usp=drivesdk","James Tomazinis - 3/28/2018")</f>
        <v>James Tomazinis - 3/28/2018</v>
      </c>
      <c r="AL33" s="12" t="s">
        <v>33</v>
      </c>
    </row>
    <row r="34" spans="1:38" ht="15.75" customHeight="1">
      <c r="A34" s="10">
        <f ca="1">IFERROR(__xludf.DUMMYFUNCTION("""COMPUTED_VALUE"""),43188.3608278472)</f>
        <v>43188.360827847202</v>
      </c>
      <c r="B34" s="11" t="str">
        <f ca="1">IFERROR(__xludf.DUMMYFUNCTION("""COMPUTED_VALUE"""),"James Tomazinis")</f>
        <v>James Tomazinis</v>
      </c>
      <c r="C34" t="str">
        <f ca="1">IFERROR(__xludf.DUMMYFUNCTION("""COMPUTED_VALUE"""),"james.tomazinis@floridadep.gov")</f>
        <v>james.tomazinis@floridadep.gov</v>
      </c>
      <c r="D34" t="str">
        <f ca="1">IFERROR(__xludf.DUMMYFUNCTION("""COMPUTED_VALUE"""),"Stewardship (Aquatic)")</f>
        <v>Stewardship (Aquatic)</v>
      </c>
      <c r="E34" t="str">
        <f ca="1">IFERROR(__xludf.DUMMYFUNCTION("""COMPUTED_VALUE"""),"Aunt Kates")</f>
        <v>Aunt Kates</v>
      </c>
      <c r="F34" s="13"/>
      <c r="G34" s="14">
        <f ca="1">IFERROR(__xludf.DUMMYFUNCTION("""COMPUTED_VALUE"""),43188)</f>
        <v>43188</v>
      </c>
      <c r="H34" t="str">
        <f ca="1">IFERROR(__xludf.DUMMYFUNCTION("""COMPUTED_VALUE"""),"Angelini Sites")</f>
        <v>Angelini Sites</v>
      </c>
      <c r="I34" s="15">
        <f ca="1">IFERROR(__xludf.DUMMYFUNCTION("""COMPUTED_VALUE"""),0.70833333333212)</f>
        <v>0.70833333333212001</v>
      </c>
      <c r="J34" s="16">
        <f ca="1">IFERROR(__xludf.DUMMYFUNCTION("""COMPUTED_VALUE"""),43188.71875)</f>
        <v>43188.71875</v>
      </c>
      <c r="K34" t="str">
        <f ca="1">IFERROR(__xludf.DUMMYFUNCTION("""COMPUTED_VALUE"""),"23ft Skiff (Bertha) FL7972LJ DEP07613")</f>
        <v>23ft Skiff (Bertha) FL7972LJ DEP07613</v>
      </c>
      <c r="M34" t="str">
        <f ca="1">IFERROR(__xludf.DUMMYFUNCTION("""COMPUTED_VALUE"""),"Ford F250 2017 (Moby Dix) - DEP0021578")</f>
        <v>Ford F250 2017 (Moby Dix) - DEP0021578</v>
      </c>
      <c r="N34" t="str">
        <f ca="1">IFERROR(__xludf.DUMMYFUNCTION("""COMPUTED_VALUE"""),"Jimmy Tomazinis")</f>
        <v>Jimmy Tomazinis</v>
      </c>
      <c r="O34" t="str">
        <f ca="1">IFERROR(__xludf.DUMMYFUNCTION("""COMPUTED_VALUE"""),"Greg")</f>
        <v>Greg</v>
      </c>
      <c r="P34" t="str">
        <f ca="1">IFERROR(__xludf.DUMMYFUNCTION("""COMPUTED_VALUE"""),"Jimmy")</f>
        <v>Jimmy</v>
      </c>
      <c r="Q34" t="str">
        <f ca="1">IFERROR(__xludf.DUMMYFUNCTION("""COMPUTED_VALUE"""),"Good")</f>
        <v>Good</v>
      </c>
      <c r="R34" t="str">
        <f ca="1">IFERROR(__xludf.DUMMYFUNCTION("""COMPUTED_VALUE"""),"Good")</f>
        <v>Good</v>
      </c>
      <c r="S34" t="str">
        <f ca="1">IFERROR(__xludf.DUMMYFUNCTION("""COMPUTED_VALUE"""),"Good")</f>
        <v>Good</v>
      </c>
      <c r="T34" t="str">
        <f ca="1">IFERROR(__xludf.DUMMYFUNCTION("""COMPUTED_VALUE"""),"Good")</f>
        <v>Good</v>
      </c>
      <c r="U34" t="str">
        <f ca="1">IFERROR(__xludf.DUMMYFUNCTION("""COMPUTED_VALUE"""),"Good")</f>
        <v>Good</v>
      </c>
      <c r="V34" t="str">
        <f ca="1">IFERROR(__xludf.DUMMYFUNCTION("""COMPUTED_VALUE"""),"Good")</f>
        <v>Good</v>
      </c>
      <c r="W34" t="str">
        <f ca="1">IFERROR(__xludf.DUMMYFUNCTION("""COMPUTED_VALUE"""),"Good")</f>
        <v>Good</v>
      </c>
      <c r="X34" t="str">
        <f ca="1">IFERROR(__xludf.DUMMYFUNCTION("""COMPUTED_VALUE"""),"Good")</f>
        <v>Good</v>
      </c>
      <c r="Y34" t="str">
        <f ca="1">IFERROR(__xludf.DUMMYFUNCTION("""COMPUTED_VALUE"""),"Good")</f>
        <v>Good</v>
      </c>
      <c r="Z34" t="str">
        <f ca="1">IFERROR(__xludf.DUMMYFUNCTION("""COMPUTED_VALUE"""),"Good")</f>
        <v>Good</v>
      </c>
      <c r="AA34" t="str">
        <f ca="1">IFERROR(__xludf.DUMMYFUNCTION("""COMPUTED_VALUE"""),"Good")</f>
        <v>Good</v>
      </c>
      <c r="AB34" t="str">
        <f ca="1">IFERROR(__xludf.DUMMYFUNCTION("""COMPUTED_VALUE"""),"Good")</f>
        <v>Good</v>
      </c>
      <c r="AC34" t="str">
        <f ca="1">IFERROR(__xludf.DUMMYFUNCTION("""COMPUTED_VALUE"""),"Good")</f>
        <v>Good</v>
      </c>
      <c r="AE34" s="11"/>
      <c r="AF34" s="12" t="str">
        <v>Scott.Eastman@floridadep.gov</v>
      </c>
      <c r="AG34" s="17" t="s">
        <v>21</v>
      </c>
      <c r="AH34" s="12"/>
      <c r="AI34" s="12" t="s">
        <v>34</v>
      </c>
      <c r="AJ34" s="19" t="s">
        <v>35</v>
      </c>
      <c r="AK34" s="20" t="str">
        <f>HYPERLINK("https://drive.google.com/a/gtmnerr.org/file/d/1xdZPUxBQL3Q04nu9hZKEqU5OAwvcXjY4/view?usp=drivesdk","James Tomazinis - 3/29/2018")</f>
        <v>James Tomazinis - 3/29/2018</v>
      </c>
      <c r="AL34" s="12" t="s">
        <v>36</v>
      </c>
    </row>
    <row r="35" spans="1:38" ht="15.75" customHeight="1">
      <c r="A35" s="10">
        <f ca="1">IFERROR(__xludf.DUMMYFUNCTION("""COMPUTED_VALUE"""),43189.4947829398)</f>
        <v>43189.494782939801</v>
      </c>
      <c r="B35" s="11" t="str">
        <f ca="1">IFERROR(__xludf.DUMMYFUNCTION("""COMPUTED_VALUE"""),"Kenneth Rainer")</f>
        <v>Kenneth Rainer</v>
      </c>
      <c r="C35" t="str">
        <f ca="1">IFERROR(__xludf.DUMMYFUNCTION("""COMPUTED_VALUE"""),"Kenneth.Rainer@dep.state.fl.us")</f>
        <v>Kenneth.Rainer@dep.state.fl.us</v>
      </c>
      <c r="D35" t="str">
        <f ca="1">IFERROR(__xludf.DUMMYFUNCTION("""COMPUTED_VALUE"""),"Education")</f>
        <v>Education</v>
      </c>
      <c r="E35" t="str">
        <f ca="1">IFERROR(__xludf.DUMMYFUNCTION("""COMPUTED_VALUE"""),"Frank Butler West Boat Ramp")</f>
        <v>Frank Butler West Boat Ramp</v>
      </c>
      <c r="F35" s="13"/>
      <c r="G35" s="14">
        <f ca="1">IFERROR(__xludf.DUMMYFUNCTION("""COMPUTED_VALUE"""),43190)</f>
        <v>43190</v>
      </c>
      <c r="H35" t="str">
        <f ca="1">IFERROR(__xludf.DUMMYFUNCTION("""COMPUTED_VALUE"""),"Southern Component (Matanzas River)")</f>
        <v>Southern Component (Matanzas River)</v>
      </c>
      <c r="I35" s="15">
        <f ca="1">IFERROR(__xludf.DUMMYFUNCTION("""COMPUTED_VALUE"""),0.541666666667879)</f>
        <v>0.54166666666787899</v>
      </c>
      <c r="J35" s="16">
        <f ca="1">IFERROR(__xludf.DUMMYFUNCTION("""COMPUTED_VALUE"""),43190.7083333333)</f>
        <v>43190.708333333299</v>
      </c>
      <c r="K35" t="str">
        <f ca="1">IFERROR(__xludf.DUMMYFUNCTION("""COMPUTED_VALUE"""),"23ft Skiff (Bertha) FL7972LJ DEP07613")</f>
        <v>23ft Skiff (Bertha) FL7972LJ DEP07613</v>
      </c>
      <c r="M35" t="str">
        <f ca="1">IFERROR(__xludf.DUMMYFUNCTION("""COMPUTED_VALUE"""),"Ford F250 2017 (Moby Dix) - DEP0021578")</f>
        <v>Ford F250 2017 (Moby Dix) - DEP0021578</v>
      </c>
      <c r="N35" t="str">
        <f ca="1">IFERROR(__xludf.DUMMYFUNCTION("""COMPUTED_VALUE"""),"Kenneth Rainer, (936) 499-1853")</f>
        <v>Kenneth Rainer, (936) 499-1853</v>
      </c>
      <c r="O35" t="str">
        <f ca="1">IFERROR(__xludf.DUMMYFUNCTION("""COMPUTED_VALUE"""),"Joe McCoy, Five High School Students (provided DEP release waivers)")</f>
        <v>Joe McCoy, Five High School Students (provided DEP release waivers)</v>
      </c>
      <c r="P35" t="str">
        <f ca="1">IFERROR(__xludf.DUMMYFUNCTION("""COMPUTED_VALUE"""),"Kenneth Rainer")</f>
        <v>Kenneth Rainer</v>
      </c>
      <c r="Q35" t="str">
        <f ca="1">IFERROR(__xludf.DUMMYFUNCTION("""COMPUTED_VALUE"""),"Good")</f>
        <v>Good</v>
      </c>
      <c r="R35" t="str">
        <f ca="1">IFERROR(__xludf.DUMMYFUNCTION("""COMPUTED_VALUE"""),"Good")</f>
        <v>Good</v>
      </c>
      <c r="S35" t="str">
        <f ca="1">IFERROR(__xludf.DUMMYFUNCTION("""COMPUTED_VALUE"""),"Good")</f>
        <v>Good</v>
      </c>
      <c r="T35" t="str">
        <f ca="1">IFERROR(__xludf.DUMMYFUNCTION("""COMPUTED_VALUE"""),"Good")</f>
        <v>Good</v>
      </c>
      <c r="U35" t="str">
        <f ca="1">IFERROR(__xludf.DUMMYFUNCTION("""COMPUTED_VALUE"""),"Good")</f>
        <v>Good</v>
      </c>
      <c r="V35" t="str">
        <f ca="1">IFERROR(__xludf.DUMMYFUNCTION("""COMPUTED_VALUE"""),"Good")</f>
        <v>Good</v>
      </c>
      <c r="W35" t="str">
        <f ca="1">IFERROR(__xludf.DUMMYFUNCTION("""COMPUTED_VALUE"""),"Good")</f>
        <v>Good</v>
      </c>
      <c r="X35" t="str">
        <f ca="1">IFERROR(__xludf.DUMMYFUNCTION("""COMPUTED_VALUE"""),"Good")</f>
        <v>Good</v>
      </c>
      <c r="Y35" t="str">
        <f ca="1">IFERROR(__xludf.DUMMYFUNCTION("""COMPUTED_VALUE"""),"Good")</f>
        <v>Good</v>
      </c>
      <c r="Z35" t="str">
        <f ca="1">IFERROR(__xludf.DUMMYFUNCTION("""COMPUTED_VALUE"""),"Good")</f>
        <v>Good</v>
      </c>
      <c r="AA35" t="str">
        <f ca="1">IFERROR(__xludf.DUMMYFUNCTION("""COMPUTED_VALUE"""),"Good")</f>
        <v>Good</v>
      </c>
      <c r="AB35" t="str">
        <f ca="1">IFERROR(__xludf.DUMMYFUNCTION("""COMPUTED_VALUE"""),"Good")</f>
        <v>Good</v>
      </c>
      <c r="AC35" t="str">
        <f ca="1">IFERROR(__xludf.DUMMYFUNCTION("""COMPUTED_VALUE"""),"Good")</f>
        <v>Good</v>
      </c>
      <c r="AD35" t="str">
        <f ca="1">IFERROR(__xludf.DUMMYFUNCTION("""COMPUTED_VALUE"""),"Partly Cloudy, High 72 F, 16% rain, wind is 10mph NNW")</f>
        <v>Partly Cloudy, High 72 F, 16% rain, wind is 10mph NNW</v>
      </c>
      <c r="AE35" s="11" t="str">
        <f ca="1">IFERROR(__xludf.DUMMYFUNCTION("""COMPUTED_VALUE"""),"High Tide (4.8') 10:07 AM; Low Tide (-0.2') 4:34 PM")</f>
        <v>High Tide (4.8') 10:07 AM; Low Tide (-0.2') 4:34 PM</v>
      </c>
      <c r="AF35" s="12" t="str">
        <v>Kenneth.Rainer@floridadep.gov</v>
      </c>
      <c r="AG35" s="17" t="s">
        <v>37</v>
      </c>
      <c r="AH35" s="12"/>
      <c r="AI35" s="12" t="s">
        <v>38</v>
      </c>
      <c r="AJ35" s="19" t="s">
        <v>39</v>
      </c>
      <c r="AK35" s="20" t="str">
        <f>HYPERLINK("https://drive.google.com/a/gtmnerr.org/file/d/1CqRffsFMJFT8y9LOWdRzM3m5rD9ZeP2D/view?usp=drivesdk","Kenneth Rainer - 3/31/2018")</f>
        <v>Kenneth Rainer - 3/31/2018</v>
      </c>
      <c r="AL35" s="12" t="s">
        <v>40</v>
      </c>
    </row>
    <row r="36" spans="1:38" ht="15.75" customHeight="1">
      <c r="A36" s="10">
        <f ca="1">IFERROR(__xludf.DUMMYFUNCTION("""COMPUTED_VALUE"""),43193.3148996527)</f>
        <v>43193.314899652702</v>
      </c>
      <c r="B36" s="11" t="str">
        <f ca="1">IFERROR(__xludf.DUMMYFUNCTION("""COMPUTED_VALUE"""),"Pamela Marcum")</f>
        <v>Pamela Marcum</v>
      </c>
      <c r="C36" t="str">
        <f ca="1">IFERROR(__xludf.DUMMYFUNCTION("""COMPUTED_VALUE"""),"Pamela.Marcum@dep.state.fl.us")</f>
        <v>Pamela.Marcum@dep.state.fl.us</v>
      </c>
      <c r="D36" t="str">
        <f ca="1">IFERROR(__xludf.DUMMYFUNCTION("""COMPUTED_VALUE"""),"Research")</f>
        <v>Research</v>
      </c>
      <c r="E36" t="str">
        <f ca="1">IFERROR(__xludf.DUMMYFUNCTION("""COMPUTED_VALUE"""),"Aunt Kate's/Usina")</f>
        <v>Aunt Kate's/Usina</v>
      </c>
      <c r="F36" s="13"/>
      <c r="G36" s="14">
        <f ca="1">IFERROR(__xludf.DUMMYFUNCTION("""COMPUTED_VALUE"""),43193)</f>
        <v>43193</v>
      </c>
      <c r="H36" t="str">
        <f ca="1">IFERROR(__xludf.DUMMYFUNCTION("""COMPUTED_VALUE"""),"Spat Run, Marsh Platforms, Angelini Site")</f>
        <v>Spat Run, Marsh Platforms, Angelini Site</v>
      </c>
      <c r="I36" s="15">
        <f ca="1">IFERROR(__xludf.DUMMYFUNCTION("""COMPUTED_VALUE"""),0.64583333333212)</f>
        <v>0.64583333333212001</v>
      </c>
      <c r="J36" s="16">
        <f ca="1">IFERROR(__xludf.DUMMYFUNCTION("""COMPUTED_VALUE"""),43193.6666666666)</f>
        <v>43193.666666666599</v>
      </c>
      <c r="K36" t="str">
        <f ca="1">IFERROR(__xludf.DUMMYFUNCTION("""COMPUTED_VALUE"""),"23ft Skiff (Bertha) FL7972LJ DEP07613")</f>
        <v>23ft Skiff (Bertha) FL7972LJ DEP07613</v>
      </c>
      <c r="M36" t="str">
        <f ca="1">IFERROR(__xludf.DUMMYFUNCTION("""COMPUTED_VALUE"""),"Ford F150 2008 - DEP18041 (ML)")</f>
        <v>Ford F150 2008 - DEP18041 (ML)</v>
      </c>
      <c r="N36" t="str">
        <f ca="1">IFERROR(__xludf.DUMMYFUNCTION("""COMPUTED_VALUE"""),"Pam Marcum, (480) 332-5414")</f>
        <v>Pam Marcum, (480) 332-5414</v>
      </c>
      <c r="O36" t="str">
        <f ca="1">IFERROR(__xludf.DUMMYFUNCTION("""COMPUTED_VALUE"""),"Ben Mowbray")</f>
        <v>Ben Mowbray</v>
      </c>
      <c r="P36" t="str">
        <f ca="1">IFERROR(__xludf.DUMMYFUNCTION("""COMPUTED_VALUE"""),"Pam ")</f>
        <v xml:space="preserve">Pam </v>
      </c>
      <c r="Q36" t="str">
        <f ca="1">IFERROR(__xludf.DUMMYFUNCTION("""COMPUTED_VALUE"""),"Good")</f>
        <v>Good</v>
      </c>
      <c r="R36" t="str">
        <f ca="1">IFERROR(__xludf.DUMMYFUNCTION("""COMPUTED_VALUE"""),"Good")</f>
        <v>Good</v>
      </c>
      <c r="S36" t="str">
        <f ca="1">IFERROR(__xludf.DUMMYFUNCTION("""COMPUTED_VALUE"""),"Good")</f>
        <v>Good</v>
      </c>
      <c r="T36" t="str">
        <f ca="1">IFERROR(__xludf.DUMMYFUNCTION("""COMPUTED_VALUE"""),"Good")</f>
        <v>Good</v>
      </c>
      <c r="U36" t="str">
        <f ca="1">IFERROR(__xludf.DUMMYFUNCTION("""COMPUTED_VALUE"""),"Good")</f>
        <v>Good</v>
      </c>
      <c r="V36" t="str">
        <f ca="1">IFERROR(__xludf.DUMMYFUNCTION("""COMPUTED_VALUE"""),"Good")</f>
        <v>Good</v>
      </c>
      <c r="W36" t="str">
        <f ca="1">IFERROR(__xludf.DUMMYFUNCTION("""COMPUTED_VALUE"""),"Good")</f>
        <v>Good</v>
      </c>
      <c r="X36" t="str">
        <f ca="1">IFERROR(__xludf.DUMMYFUNCTION("""COMPUTED_VALUE"""),"Good")</f>
        <v>Good</v>
      </c>
      <c r="Y36" t="str">
        <f ca="1">IFERROR(__xludf.DUMMYFUNCTION("""COMPUTED_VALUE"""),"Good")</f>
        <v>Good</v>
      </c>
      <c r="Z36" t="str">
        <f ca="1">IFERROR(__xludf.DUMMYFUNCTION("""COMPUTED_VALUE"""),"Good")</f>
        <v>Good</v>
      </c>
      <c r="AA36" t="str">
        <f ca="1">IFERROR(__xludf.DUMMYFUNCTION("""COMPUTED_VALUE"""),"Good")</f>
        <v>Good</v>
      </c>
      <c r="AB36" t="str">
        <f ca="1">IFERROR(__xludf.DUMMYFUNCTION("""COMPUTED_VALUE"""),"Good")</f>
        <v>Good</v>
      </c>
      <c r="AC36" t="str">
        <f ca="1">IFERROR(__xludf.DUMMYFUNCTION("""COMPUTED_VALUE"""),"Good")</f>
        <v>Good</v>
      </c>
      <c r="AE36" s="11"/>
      <c r="AF36" s="12" t="str">
        <v>Nikki.Dix@floridadep.gov</v>
      </c>
      <c r="AG36" s="17" t="s">
        <v>41</v>
      </c>
      <c r="AH36" s="12"/>
      <c r="AI36" s="12" t="s">
        <v>42</v>
      </c>
      <c r="AJ36" s="19" t="s">
        <v>43</v>
      </c>
      <c r="AK36" s="20" t="str">
        <f>HYPERLINK("https://drive.google.com/a/gtmnerr.org/file/d/1VQkdorZRbfabc3AEa7o8ja86ZuyLfsIJ/view?usp=drivesdk","Pamela Marcum - 4/3/2018")</f>
        <v>Pamela Marcum - 4/3/2018</v>
      </c>
      <c r="AL36" s="12" t="s">
        <v>44</v>
      </c>
    </row>
    <row r="37" spans="1:38" ht="12.75">
      <c r="A37" s="10">
        <f ca="1">IFERROR(__xludf.DUMMYFUNCTION("""COMPUTED_VALUE"""),43195.3253082986)</f>
        <v>43195.325308298598</v>
      </c>
      <c r="B37" s="11" t="str">
        <f ca="1">IFERROR(__xludf.DUMMYFUNCTION("""COMPUTED_VALUE"""),"Pam Marcum")</f>
        <v>Pam Marcum</v>
      </c>
      <c r="C37" t="str">
        <f ca="1">IFERROR(__xludf.DUMMYFUNCTION("""COMPUTED_VALUE"""),"Pamela.Marcum@dep.state.fl.us")</f>
        <v>Pamela.Marcum@dep.state.fl.us</v>
      </c>
      <c r="D37" t="str">
        <f ca="1">IFERROR(__xludf.DUMMYFUNCTION("""COMPUTED_VALUE"""),"Research")</f>
        <v>Research</v>
      </c>
      <c r="E37" t="str">
        <f ca="1">IFERROR(__xludf.DUMMYFUNCTION("""COMPUTED_VALUE"""),"Usina")</f>
        <v>Usina</v>
      </c>
      <c r="F37" s="13"/>
      <c r="G37" s="14">
        <f ca="1">IFERROR(__xludf.DUMMYFUNCTION("""COMPUTED_VALUE"""),43195)</f>
        <v>43195</v>
      </c>
      <c r="H37" t="str">
        <f ca="1">IFERROR(__xludf.DUMMYFUNCTION("""COMPUTED_VALUE"""),"Guana River")</f>
        <v>Guana River</v>
      </c>
      <c r="I37" s="15">
        <f ca="1">IFERROR(__xludf.DUMMYFUNCTION("""COMPUTED_VALUE"""),0.4375)</f>
        <v>0.4375</v>
      </c>
      <c r="J37" s="16">
        <f ca="1">IFERROR(__xludf.DUMMYFUNCTION("""COMPUTED_VALUE"""),43195.4583333333)</f>
        <v>43195.458333333299</v>
      </c>
      <c r="K37" t="str">
        <f ca="1">IFERROR(__xludf.DUMMYFUNCTION("""COMPUTED_VALUE"""),"23ft Skiff (Bertha) FL7972LJ DEP07613")</f>
        <v>23ft Skiff (Bertha) FL7972LJ DEP07613</v>
      </c>
      <c r="M37" t="str">
        <f ca="1">IFERROR(__xludf.DUMMYFUNCTION("""COMPUTED_VALUE"""),"Ford F150 2008 - DEP18041 (ML)")</f>
        <v>Ford F150 2008 - DEP18041 (ML)</v>
      </c>
      <c r="N37" t="str">
        <f ca="1">IFERROR(__xludf.DUMMYFUNCTION("""COMPUTED_VALUE"""),"Pam Marcum, (480) 332-5414")</f>
        <v>Pam Marcum, (480) 332-5414</v>
      </c>
      <c r="O37" t="str">
        <f ca="1">IFERROR(__xludf.DUMMYFUNCTION("""COMPUTED_VALUE"""),"Ben Mowbray (407) 962-8782")</f>
        <v>Ben Mowbray (407) 962-8782</v>
      </c>
      <c r="P37" t="str">
        <f ca="1">IFERROR(__xludf.DUMMYFUNCTION("""COMPUTED_VALUE"""),"Pam Marcum")</f>
        <v>Pam Marcum</v>
      </c>
      <c r="Q37" t="str">
        <f ca="1">IFERROR(__xludf.DUMMYFUNCTION("""COMPUTED_VALUE"""),"Good")</f>
        <v>Good</v>
      </c>
      <c r="R37" t="str">
        <f ca="1">IFERROR(__xludf.DUMMYFUNCTION("""COMPUTED_VALUE"""),"Good")</f>
        <v>Good</v>
      </c>
      <c r="S37" t="str">
        <f ca="1">IFERROR(__xludf.DUMMYFUNCTION("""COMPUTED_VALUE"""),"Good")</f>
        <v>Good</v>
      </c>
      <c r="T37" t="str">
        <f ca="1">IFERROR(__xludf.DUMMYFUNCTION("""COMPUTED_VALUE"""),"Good")</f>
        <v>Good</v>
      </c>
      <c r="U37" t="str">
        <f ca="1">IFERROR(__xludf.DUMMYFUNCTION("""COMPUTED_VALUE"""),"Good")</f>
        <v>Good</v>
      </c>
      <c r="V37" t="str">
        <f ca="1">IFERROR(__xludf.DUMMYFUNCTION("""COMPUTED_VALUE"""),"Good")</f>
        <v>Good</v>
      </c>
      <c r="W37" t="str">
        <f ca="1">IFERROR(__xludf.DUMMYFUNCTION("""COMPUTED_VALUE"""),"Good")</f>
        <v>Good</v>
      </c>
      <c r="X37" t="str">
        <f ca="1">IFERROR(__xludf.DUMMYFUNCTION("""COMPUTED_VALUE"""),"Good")</f>
        <v>Good</v>
      </c>
      <c r="Y37" t="str">
        <f ca="1">IFERROR(__xludf.DUMMYFUNCTION("""COMPUTED_VALUE"""),"Good")</f>
        <v>Good</v>
      </c>
      <c r="Z37" t="str">
        <f ca="1">IFERROR(__xludf.DUMMYFUNCTION("""COMPUTED_VALUE"""),"Good")</f>
        <v>Good</v>
      </c>
      <c r="AA37" t="str">
        <f ca="1">IFERROR(__xludf.DUMMYFUNCTION("""COMPUTED_VALUE"""),"Good")</f>
        <v>Good</v>
      </c>
      <c r="AB37" t="str">
        <f ca="1">IFERROR(__xludf.DUMMYFUNCTION("""COMPUTED_VALUE"""),"Good")</f>
        <v>Good</v>
      </c>
      <c r="AC37" t="str">
        <f ca="1">IFERROR(__xludf.DUMMYFUNCTION("""COMPUTED_VALUE"""),"Good")</f>
        <v>Good</v>
      </c>
      <c r="AE37" s="11"/>
      <c r="AF37" s="12" t="str">
        <v>Nikki.Dix@floridadep.gov</v>
      </c>
      <c r="AG37" s="17" t="s">
        <v>17</v>
      </c>
      <c r="AH37" s="12"/>
      <c r="AI37" s="12" t="s">
        <v>45</v>
      </c>
      <c r="AJ37" s="19" t="s">
        <v>46</v>
      </c>
      <c r="AK37" s="20" t="str">
        <f>HYPERLINK("https://drive.google.com/a/gtmnerr.org/file/d/1wwbmFLgI3rXytEVbNoq8P0VpSeSlZpZt/view?usp=drivesdk","Pam Marcum - 4/5/2018")</f>
        <v>Pam Marcum - 4/5/2018</v>
      </c>
      <c r="AL37" s="12" t="s">
        <v>47</v>
      </c>
    </row>
    <row r="38" spans="1:38" ht="12.75">
      <c r="A38" s="10">
        <f ca="1">IFERROR(__xludf.DUMMYFUNCTION("""COMPUTED_VALUE"""),43197.3709065856)</f>
        <v>43197.370906585602</v>
      </c>
      <c r="B38" s="11" t="str">
        <f ca="1">IFERROR(__xludf.DUMMYFUNCTION("""COMPUTED_VALUE"""),"Benjamin E Mowbray")</f>
        <v>Benjamin E Mowbray</v>
      </c>
      <c r="C38" t="str">
        <f ca="1">IFERROR(__xludf.DUMMYFUNCTION("""COMPUTED_VALUE"""),"mowbraybenjamin@gmail.com")</f>
        <v>mowbraybenjamin@gmail.com</v>
      </c>
      <c r="D38" t="str">
        <f ca="1">IFERROR(__xludf.DUMMYFUNCTION("""COMPUTED_VALUE"""),"Research")</f>
        <v>Research</v>
      </c>
      <c r="E38" t="str">
        <f ca="1">IFERROR(__xludf.DUMMYFUNCTION("""COMPUTED_VALUE"""),"Usina")</f>
        <v>Usina</v>
      </c>
      <c r="F38" s="13"/>
      <c r="G38" s="14">
        <f ca="1">IFERROR(__xludf.DUMMYFUNCTION("""COMPUTED_VALUE"""),43197)</f>
        <v>43197</v>
      </c>
      <c r="H38" t="str">
        <f ca="1">IFERROR(__xludf.DUMMYFUNCTION("""COMPUTED_VALUE"""),"Wright's landing")</f>
        <v>Wright's landing</v>
      </c>
      <c r="I38" s="15">
        <f ca="1">IFERROR(__xludf.DUMMYFUNCTION("""COMPUTED_VALUE"""),0.493055555554747)</f>
        <v>0.493055555554747</v>
      </c>
      <c r="J38" s="16">
        <f ca="1">IFERROR(__xludf.DUMMYFUNCTION("""COMPUTED_VALUE"""),43197.5208333333)</f>
        <v>43197.520833333299</v>
      </c>
      <c r="K38" t="str">
        <f ca="1">IFERROR(__xludf.DUMMYFUNCTION("""COMPUTED_VALUE"""),"23ft Skiff (Bertha) FL7972LJ DEP07613")</f>
        <v>23ft Skiff (Bertha) FL7972LJ DEP07613</v>
      </c>
      <c r="M38" t="str">
        <f ca="1">IFERROR(__xludf.DUMMYFUNCTION("""COMPUTED_VALUE"""),"Ford F250 2017 (Moby Dix) - DEP0021578")</f>
        <v>Ford F250 2017 (Moby Dix) - DEP0021578</v>
      </c>
      <c r="N38" t="str">
        <f ca="1">IFERROR(__xludf.DUMMYFUNCTION("""COMPUTED_VALUE"""),"Jimmy Tomazinis")</f>
        <v>Jimmy Tomazinis</v>
      </c>
      <c r="O38" t="str">
        <f ca="1">IFERROR(__xludf.DUMMYFUNCTION("""COMPUTED_VALUE"""),"Ben Mowbray")</f>
        <v>Ben Mowbray</v>
      </c>
      <c r="P38" t="str">
        <f ca="1">IFERROR(__xludf.DUMMYFUNCTION("""COMPUTED_VALUE"""),"Jimmy")</f>
        <v>Jimmy</v>
      </c>
      <c r="Q38" t="str">
        <f ca="1">IFERROR(__xludf.DUMMYFUNCTION("""COMPUTED_VALUE"""),"Good")</f>
        <v>Good</v>
      </c>
      <c r="R38" t="str">
        <f ca="1">IFERROR(__xludf.DUMMYFUNCTION("""COMPUTED_VALUE"""),"Good")</f>
        <v>Good</v>
      </c>
      <c r="S38" t="str">
        <f ca="1">IFERROR(__xludf.DUMMYFUNCTION("""COMPUTED_VALUE"""),"Good")</f>
        <v>Good</v>
      </c>
      <c r="T38" t="str">
        <f ca="1">IFERROR(__xludf.DUMMYFUNCTION("""COMPUTED_VALUE"""),"Good")</f>
        <v>Good</v>
      </c>
      <c r="U38" t="str">
        <f ca="1">IFERROR(__xludf.DUMMYFUNCTION("""COMPUTED_VALUE"""),"Good")</f>
        <v>Good</v>
      </c>
      <c r="V38" t="str">
        <f ca="1">IFERROR(__xludf.DUMMYFUNCTION("""COMPUTED_VALUE"""),"Good")</f>
        <v>Good</v>
      </c>
      <c r="W38" t="str">
        <f ca="1">IFERROR(__xludf.DUMMYFUNCTION("""COMPUTED_VALUE"""),"Good")</f>
        <v>Good</v>
      </c>
      <c r="X38" t="str">
        <f ca="1">IFERROR(__xludf.DUMMYFUNCTION("""COMPUTED_VALUE"""),"Good")</f>
        <v>Good</v>
      </c>
      <c r="Y38" t="str">
        <f ca="1">IFERROR(__xludf.DUMMYFUNCTION("""COMPUTED_VALUE"""),"Good")</f>
        <v>Good</v>
      </c>
      <c r="Z38" t="str">
        <f ca="1">IFERROR(__xludf.DUMMYFUNCTION("""COMPUTED_VALUE"""),"Good")</f>
        <v>Good</v>
      </c>
      <c r="AA38" t="str">
        <f ca="1">IFERROR(__xludf.DUMMYFUNCTION("""COMPUTED_VALUE"""),"Good")</f>
        <v>Good</v>
      </c>
      <c r="AB38" t="str">
        <f ca="1">IFERROR(__xludf.DUMMYFUNCTION("""COMPUTED_VALUE"""),"Good")</f>
        <v>Good</v>
      </c>
      <c r="AC38" t="str">
        <f ca="1">IFERROR(__xludf.DUMMYFUNCTION("""COMPUTED_VALUE"""),"Good")</f>
        <v>Good</v>
      </c>
      <c r="AE38" s="11"/>
      <c r="AF38" s="12" t="str">
        <v>Nikki.Dix@floridadep.gov</v>
      </c>
      <c r="AG38" s="17" t="s">
        <v>41</v>
      </c>
      <c r="AH38" s="12"/>
      <c r="AI38" s="12" t="s">
        <v>48</v>
      </c>
      <c r="AJ38" s="19" t="s">
        <v>49</v>
      </c>
      <c r="AK38" s="20" t="str">
        <f>HYPERLINK("https://drive.google.com/a/gtmnerr.org/file/d/1PS5YPza6b0J9agPHBVTnWxTfvhLIFch7/view?usp=drivesdk","Benjamin E Mowbray - 4/7/2018")</f>
        <v>Benjamin E Mowbray - 4/7/2018</v>
      </c>
      <c r="AL38" s="12" t="s">
        <v>50</v>
      </c>
    </row>
    <row r="39" spans="1:38" ht="12.75">
      <c r="A39" s="10">
        <f ca="1">IFERROR(__xludf.DUMMYFUNCTION("""COMPUTED_VALUE"""),43197.3721735879)</f>
        <v>43197.372173587901</v>
      </c>
      <c r="B39" s="11" t="str">
        <f ca="1">IFERROR(__xludf.DUMMYFUNCTION("""COMPUTED_VALUE"""),"Ben Mowbray")</f>
        <v>Ben Mowbray</v>
      </c>
      <c r="C39" t="str">
        <f ca="1">IFERROR(__xludf.DUMMYFUNCTION("""COMPUTED_VALUE"""),"mowbraybenjamin@gmail.com")</f>
        <v>mowbraybenjamin@gmail.com</v>
      </c>
      <c r="D39" t="str">
        <f ca="1">IFERROR(__xludf.DUMMYFUNCTION("""COMPUTED_VALUE"""),"Research")</f>
        <v>Research</v>
      </c>
      <c r="E39" t="str">
        <f ca="1">IFERROR(__xludf.DUMMYFUNCTION("""COMPUTED_VALUE"""),"Usina")</f>
        <v>Usina</v>
      </c>
      <c r="F39" s="13"/>
      <c r="G39" s="14">
        <f ca="1">IFERROR(__xludf.DUMMYFUNCTION("""COMPUTED_VALUE"""),43197)</f>
        <v>43197</v>
      </c>
      <c r="H39" t="str">
        <f ca="1">IFERROR(__xludf.DUMMYFUNCTION("""COMPUTED_VALUE"""),"Wright's landing")</f>
        <v>Wright's landing</v>
      </c>
      <c r="I39" s="15">
        <f ca="1">IFERROR(__xludf.DUMMYFUNCTION("""COMPUTED_VALUE"""),0.493055555554747)</f>
        <v>0.493055555554747</v>
      </c>
      <c r="J39" s="16">
        <f ca="1">IFERROR(__xludf.DUMMYFUNCTION("""COMPUTED_VALUE"""),43197.5208333333)</f>
        <v>43197.520833333299</v>
      </c>
      <c r="K39" t="str">
        <f ca="1">IFERROR(__xludf.DUMMYFUNCTION("""COMPUTED_VALUE"""),"20ft Sea Ark FL5351SJ UNF 2015")</f>
        <v>20ft Sea Ark FL5351SJ UNF 2015</v>
      </c>
      <c r="M39" t="str">
        <f ca="1">IFERROR(__xludf.DUMMYFUNCTION("""COMPUTED_VALUE"""),"Ford F150 2008 - DEP18041 (ML)")</f>
        <v>Ford F150 2008 - DEP18041 (ML)</v>
      </c>
      <c r="N39" t="str">
        <f ca="1">IFERROR(__xludf.DUMMYFUNCTION("""COMPUTED_VALUE"""),"Pam Marcum, (480) 332-5414, Gabriela Canas")</f>
        <v>Pam Marcum, (480) 332-5414, Gabriela Canas</v>
      </c>
      <c r="P39" t="str">
        <f ca="1">IFERROR(__xludf.DUMMYFUNCTION("""COMPUTED_VALUE"""),"Pam")</f>
        <v>Pam</v>
      </c>
      <c r="Q39" t="str">
        <f ca="1">IFERROR(__xludf.DUMMYFUNCTION("""COMPUTED_VALUE"""),"Good")</f>
        <v>Good</v>
      </c>
      <c r="R39" t="str">
        <f ca="1">IFERROR(__xludf.DUMMYFUNCTION("""COMPUTED_VALUE"""),"Good")</f>
        <v>Good</v>
      </c>
      <c r="S39" t="str">
        <f ca="1">IFERROR(__xludf.DUMMYFUNCTION("""COMPUTED_VALUE"""),"Good")</f>
        <v>Good</v>
      </c>
      <c r="T39" t="str">
        <f ca="1">IFERROR(__xludf.DUMMYFUNCTION("""COMPUTED_VALUE"""),"Good")</f>
        <v>Good</v>
      </c>
      <c r="U39" t="str">
        <f ca="1">IFERROR(__xludf.DUMMYFUNCTION("""COMPUTED_VALUE"""),"Good")</f>
        <v>Good</v>
      </c>
      <c r="V39" t="str">
        <f ca="1">IFERROR(__xludf.DUMMYFUNCTION("""COMPUTED_VALUE"""),"Good")</f>
        <v>Good</v>
      </c>
      <c r="W39" t="str">
        <f ca="1">IFERROR(__xludf.DUMMYFUNCTION("""COMPUTED_VALUE"""),"Good")</f>
        <v>Good</v>
      </c>
      <c r="X39" t="str">
        <f ca="1">IFERROR(__xludf.DUMMYFUNCTION("""COMPUTED_VALUE"""),"Good")</f>
        <v>Good</v>
      </c>
      <c r="Y39" t="str">
        <f ca="1">IFERROR(__xludf.DUMMYFUNCTION("""COMPUTED_VALUE"""),"Good")</f>
        <v>Good</v>
      </c>
      <c r="Z39" t="str">
        <f ca="1">IFERROR(__xludf.DUMMYFUNCTION("""COMPUTED_VALUE"""),"Good")</f>
        <v>Good</v>
      </c>
      <c r="AA39" t="str">
        <f ca="1">IFERROR(__xludf.DUMMYFUNCTION("""COMPUTED_VALUE"""),"Good")</f>
        <v>Good</v>
      </c>
      <c r="AB39" t="str">
        <f ca="1">IFERROR(__xludf.DUMMYFUNCTION("""COMPUTED_VALUE"""),"Good")</f>
        <v>Good</v>
      </c>
      <c r="AC39" t="str">
        <f ca="1">IFERROR(__xludf.DUMMYFUNCTION("""COMPUTED_VALUE"""),"Good")</f>
        <v>Good</v>
      </c>
      <c r="AE39" s="11"/>
      <c r="AF39" s="12" t="str">
        <v>Nikki.Dix@floridadep.gov</v>
      </c>
      <c r="AG39" s="17" t="s">
        <v>41</v>
      </c>
      <c r="AH39" s="12"/>
      <c r="AI39" s="12" t="s">
        <v>51</v>
      </c>
      <c r="AJ39" s="19" t="s">
        <v>52</v>
      </c>
      <c r="AK39" s="20" t="str">
        <f>HYPERLINK("https://drive.google.com/a/gtmnerr.org/file/d/1xtziDCcDw8NcS5SRk_17AU3Q8TKpQ1Z4/view?usp=drivesdk","Ben Mowbray - 4/7/2018")</f>
        <v>Ben Mowbray - 4/7/2018</v>
      </c>
      <c r="AL39" s="12" t="s">
        <v>53</v>
      </c>
    </row>
    <row r="40" spans="1:38" ht="12.75">
      <c r="A40" s="10">
        <f ca="1">IFERROR(__xludf.DUMMYFUNCTION("""COMPUTED_VALUE"""),43199.5246040625)</f>
        <v>43199.524604062499</v>
      </c>
      <c r="B40" s="11" t="str">
        <f ca="1">IFERROR(__xludf.DUMMYFUNCTION("""COMPUTED_VALUE"""),"Silas Tanner")</f>
        <v>Silas Tanner</v>
      </c>
      <c r="C40" t="str">
        <f ca="1">IFERROR(__xludf.DUMMYFUNCTION("""COMPUTED_VALUE"""),"silas.tanner@floridadep.gov")</f>
        <v>silas.tanner@floridadep.gov</v>
      </c>
      <c r="D40" t="str">
        <f ca="1">IFERROR(__xludf.DUMMYFUNCTION("""COMPUTED_VALUE"""),"Research")</f>
        <v>Research</v>
      </c>
      <c r="E40" t="str">
        <f ca="1">IFERROR(__xludf.DUMMYFUNCTION("""COMPUTED_VALUE"""),"Vilano County Ramp")</f>
        <v>Vilano County Ramp</v>
      </c>
      <c r="F40" s="13"/>
      <c r="G40" s="14">
        <f ca="1">IFERROR(__xludf.DUMMYFUNCTION("""COMPUTED_VALUE"""),43201)</f>
        <v>43201</v>
      </c>
      <c r="H40" t="str">
        <f ca="1">IFERROR(__xludf.DUMMYFUNCTION("""COMPUTED_VALUE"""),"ICW: SWMP sites")</f>
        <v>ICW: SWMP sites</v>
      </c>
      <c r="I40" s="15">
        <f ca="1">IFERROR(__xludf.DUMMYFUNCTION("""COMPUTED_VALUE"""),0.5625)</f>
        <v>0.5625</v>
      </c>
      <c r="J40" s="16">
        <f ca="1">IFERROR(__xludf.DUMMYFUNCTION("""COMPUTED_VALUE"""),43201.5729166666)</f>
        <v>43201.572916666599</v>
      </c>
      <c r="K40" t="str">
        <f ca="1">IFERROR(__xludf.DUMMYFUNCTION("""COMPUTED_VALUE"""),"23ft Skiff (Bertha) FL7972LJ DEP07613")</f>
        <v>23ft Skiff (Bertha) FL7972LJ DEP07613</v>
      </c>
      <c r="M40" t="str">
        <f ca="1">IFERROR(__xludf.DUMMYFUNCTION("""COMPUTED_VALUE"""),"Ford F250 2017 (Moby Dix) - DEP0021578")</f>
        <v>Ford F250 2017 (Moby Dix) - DEP0021578</v>
      </c>
      <c r="N40" t="str">
        <f ca="1">IFERROR(__xludf.DUMMYFUNCTION("""COMPUTED_VALUE"""),"Silas Tanner, Jimmy Tomazinis")</f>
        <v>Silas Tanner, Jimmy Tomazinis</v>
      </c>
      <c r="O40" t="str">
        <f ca="1">IFERROR(__xludf.DUMMYFUNCTION("""COMPUTED_VALUE"""),"Ben Mowbray, Jeff Finnan")</f>
        <v>Ben Mowbray, Jeff Finnan</v>
      </c>
      <c r="P40" t="str">
        <f ca="1">IFERROR(__xludf.DUMMYFUNCTION("""COMPUTED_VALUE"""),"Silas Tanner")</f>
        <v>Silas Tanner</v>
      </c>
      <c r="Q40" t="str">
        <f ca="1">IFERROR(__xludf.DUMMYFUNCTION("""COMPUTED_VALUE"""),"Good")</f>
        <v>Good</v>
      </c>
      <c r="R40" t="str">
        <f ca="1">IFERROR(__xludf.DUMMYFUNCTION("""COMPUTED_VALUE"""),"Good")</f>
        <v>Good</v>
      </c>
      <c r="S40" t="str">
        <f ca="1">IFERROR(__xludf.DUMMYFUNCTION("""COMPUTED_VALUE"""),"Good")</f>
        <v>Good</v>
      </c>
      <c r="T40" t="str">
        <f ca="1">IFERROR(__xludf.DUMMYFUNCTION("""COMPUTED_VALUE"""),"Good")</f>
        <v>Good</v>
      </c>
      <c r="U40" t="str">
        <f ca="1">IFERROR(__xludf.DUMMYFUNCTION("""COMPUTED_VALUE"""),"Good")</f>
        <v>Good</v>
      </c>
      <c r="V40" t="str">
        <f ca="1">IFERROR(__xludf.DUMMYFUNCTION("""COMPUTED_VALUE"""),"Good")</f>
        <v>Good</v>
      </c>
      <c r="W40" t="str">
        <f ca="1">IFERROR(__xludf.DUMMYFUNCTION("""COMPUTED_VALUE"""),"Good")</f>
        <v>Good</v>
      </c>
      <c r="X40" t="str">
        <f ca="1">IFERROR(__xludf.DUMMYFUNCTION("""COMPUTED_VALUE"""),"Good")</f>
        <v>Good</v>
      </c>
      <c r="Y40" t="str">
        <f ca="1">IFERROR(__xludf.DUMMYFUNCTION("""COMPUTED_VALUE"""),"Good")</f>
        <v>Good</v>
      </c>
      <c r="Z40" t="str">
        <f ca="1">IFERROR(__xludf.DUMMYFUNCTION("""COMPUTED_VALUE"""),"Good")</f>
        <v>Good</v>
      </c>
      <c r="AA40" t="str">
        <f ca="1">IFERROR(__xludf.DUMMYFUNCTION("""COMPUTED_VALUE"""),"Good")</f>
        <v>Good</v>
      </c>
      <c r="AB40" t="str">
        <f ca="1">IFERROR(__xludf.DUMMYFUNCTION("""COMPUTED_VALUE"""),"Good")</f>
        <v>Good</v>
      </c>
      <c r="AC40" t="str">
        <f ca="1">IFERROR(__xludf.DUMMYFUNCTION("""COMPUTED_VALUE"""),"Good")</f>
        <v>Good</v>
      </c>
      <c r="AD40" t="str">
        <f ca="1">IFERROR(__xludf.DUMMYFUNCTION("""COMPUTED_VALUE"""),"Good, clear")</f>
        <v>Good, clear</v>
      </c>
      <c r="AE40" s="11" t="str">
        <f ca="1">IFERROR(__xludf.DUMMYFUNCTION("""COMPUTED_VALUE"""),"Good, high outgoing")</f>
        <v>Good, high outgoing</v>
      </c>
      <c r="AF40" s="12" t="str">
        <v>Nikki.Dix@floridadep.gov</v>
      </c>
      <c r="AG40" s="21" t="s">
        <v>54</v>
      </c>
      <c r="AH40" s="12"/>
      <c r="AI40" s="12" t="s">
        <v>8</v>
      </c>
      <c r="AJ40" s="12" t="s">
        <v>8</v>
      </c>
      <c r="AK40" s="12" t="s">
        <v>8</v>
      </c>
      <c r="AL40" s="12" t="s">
        <v>8</v>
      </c>
    </row>
    <row r="41" spans="1:38" ht="12.75">
      <c r="A41" s="10">
        <f ca="1">IFERROR(__xludf.DUMMYFUNCTION("""COMPUTED_VALUE"""),43200.4453172337)</f>
        <v>43200.445317233702</v>
      </c>
      <c r="B41" s="11" t="str">
        <f ca="1">IFERROR(__xludf.DUMMYFUNCTION("""COMPUTED_VALUE"""),"Silas Tanner")</f>
        <v>Silas Tanner</v>
      </c>
      <c r="C41" t="str">
        <f ca="1">IFERROR(__xludf.DUMMYFUNCTION("""COMPUTED_VALUE"""),"silas.tanner@floridadep.gov")</f>
        <v>silas.tanner@floridadep.gov</v>
      </c>
      <c r="D41" t="str">
        <f ca="1">IFERROR(__xludf.DUMMYFUNCTION("""COMPUTED_VALUE"""),"Research")</f>
        <v>Research</v>
      </c>
      <c r="E41" t="str">
        <f ca="1">IFERROR(__xludf.DUMMYFUNCTION("""COMPUTED_VALUE"""),"Vilano County Ramp")</f>
        <v>Vilano County Ramp</v>
      </c>
      <c r="F41" s="13"/>
      <c r="G41" s="14">
        <f ca="1">IFERROR(__xludf.DUMMYFUNCTION("""COMPUTED_VALUE"""),43202)</f>
        <v>43202</v>
      </c>
      <c r="H41" t="str">
        <f ca="1">IFERROR(__xludf.DUMMYFUNCTION("""COMPUTED_VALUE"""),"ICW: SWMP sites")</f>
        <v>ICW: SWMP sites</v>
      </c>
      <c r="I41" s="15">
        <f ca="1">IFERROR(__xludf.DUMMYFUNCTION("""COMPUTED_VALUE"""),0.5625)</f>
        <v>0.5625</v>
      </c>
      <c r="J41" s="16">
        <f ca="1">IFERROR(__xludf.DUMMYFUNCTION("""COMPUTED_VALUE"""),43202.5729166666)</f>
        <v>43202.572916666599</v>
      </c>
      <c r="K41" t="str">
        <f ca="1">IFERROR(__xludf.DUMMYFUNCTION("""COMPUTED_VALUE"""),"20ft Sea Ark FL5351SJ UNF 2015")</f>
        <v>20ft Sea Ark FL5351SJ UNF 2015</v>
      </c>
      <c r="M41" t="str">
        <f ca="1">IFERROR(__xludf.DUMMYFUNCTION("""COMPUTED_VALUE"""),"Ford F150 2008 - DEP18041 (ML)")</f>
        <v>Ford F150 2008 - DEP18041 (ML)</v>
      </c>
      <c r="N41" t="str">
        <f ca="1">IFERROR(__xludf.DUMMYFUNCTION("""COMPUTED_VALUE"""),"Shannon Dunnigan, Silas Tanner")</f>
        <v>Shannon Dunnigan, Silas Tanner</v>
      </c>
      <c r="P41" t="str">
        <f ca="1">IFERROR(__xludf.DUMMYFUNCTION("""COMPUTED_VALUE"""),"Tanner")</f>
        <v>Tanner</v>
      </c>
      <c r="Q41" t="str">
        <f ca="1">IFERROR(__xludf.DUMMYFUNCTION("""COMPUTED_VALUE"""),"Good")</f>
        <v>Good</v>
      </c>
      <c r="R41" t="str">
        <f ca="1">IFERROR(__xludf.DUMMYFUNCTION("""COMPUTED_VALUE"""),"Good")</f>
        <v>Good</v>
      </c>
      <c r="S41" t="str">
        <f ca="1">IFERROR(__xludf.DUMMYFUNCTION("""COMPUTED_VALUE"""),"Good")</f>
        <v>Good</v>
      </c>
      <c r="T41" t="str">
        <f ca="1">IFERROR(__xludf.DUMMYFUNCTION("""COMPUTED_VALUE"""),"Good")</f>
        <v>Good</v>
      </c>
      <c r="U41" t="str">
        <f ca="1">IFERROR(__xludf.DUMMYFUNCTION("""COMPUTED_VALUE"""),"Good")</f>
        <v>Good</v>
      </c>
      <c r="V41" t="str">
        <f ca="1">IFERROR(__xludf.DUMMYFUNCTION("""COMPUTED_VALUE"""),"Good")</f>
        <v>Good</v>
      </c>
      <c r="W41" t="str">
        <f ca="1">IFERROR(__xludf.DUMMYFUNCTION("""COMPUTED_VALUE"""),"Good")</f>
        <v>Good</v>
      </c>
      <c r="X41" t="str">
        <f ca="1">IFERROR(__xludf.DUMMYFUNCTION("""COMPUTED_VALUE"""),"Good")</f>
        <v>Good</v>
      </c>
      <c r="Y41" t="str">
        <f ca="1">IFERROR(__xludf.DUMMYFUNCTION("""COMPUTED_VALUE"""),"Good")</f>
        <v>Good</v>
      </c>
      <c r="Z41" t="str">
        <f ca="1">IFERROR(__xludf.DUMMYFUNCTION("""COMPUTED_VALUE"""),"Good")</f>
        <v>Good</v>
      </c>
      <c r="AA41" t="str">
        <f ca="1">IFERROR(__xludf.DUMMYFUNCTION("""COMPUTED_VALUE"""),"Good")</f>
        <v>Good</v>
      </c>
      <c r="AB41" t="str">
        <f ca="1">IFERROR(__xludf.DUMMYFUNCTION("""COMPUTED_VALUE"""),"Good")</f>
        <v>Good</v>
      </c>
      <c r="AC41" t="str">
        <f ca="1">IFERROR(__xludf.DUMMYFUNCTION("""COMPUTED_VALUE"""),"Good")</f>
        <v>Good</v>
      </c>
      <c r="AE41" s="11"/>
      <c r="AF41" s="12" t="str">
        <v>Nikki.Dix@floridadep.gov</v>
      </c>
      <c r="AG41" s="17" t="s">
        <v>41</v>
      </c>
      <c r="AH41" s="12"/>
      <c r="AI41" s="12" t="s">
        <v>55</v>
      </c>
      <c r="AJ41" s="19" t="s">
        <v>56</v>
      </c>
      <c r="AK41" s="20" t="str">
        <f>HYPERLINK("https://drive.google.com/a/gtmnerr.org/file/d/1dZ2zFneiLNJ-LVQ0meYVs4oB71EuzBH6/view?usp=drivesdk","Silas Tanner - 4/12/2018")</f>
        <v>Silas Tanner - 4/12/2018</v>
      </c>
      <c r="AL41" s="12" t="s">
        <v>57</v>
      </c>
    </row>
    <row r="42" spans="1:38" ht="12.75">
      <c r="A42" s="10">
        <f ca="1">IFERROR(__xludf.DUMMYFUNCTION("""COMPUTED_VALUE"""),43201.3924335069)</f>
        <v>43201.392433506902</v>
      </c>
      <c r="B42" s="11" t="str">
        <f ca="1">IFERROR(__xludf.DUMMYFUNCTION("""COMPUTED_VALUE"""),"Silas Tanner")</f>
        <v>Silas Tanner</v>
      </c>
      <c r="C42" t="str">
        <f ca="1">IFERROR(__xludf.DUMMYFUNCTION("""COMPUTED_VALUE"""),"silas.tanner@floridadep.gov")</f>
        <v>silas.tanner@floridadep.gov</v>
      </c>
      <c r="D42" t="str">
        <f ca="1">IFERROR(__xludf.DUMMYFUNCTION("""COMPUTED_VALUE"""),"Research")</f>
        <v>Research</v>
      </c>
      <c r="E42" t="str">
        <f ca="1">IFERROR(__xludf.DUMMYFUNCTION("""COMPUTED_VALUE"""),"Bing's")</f>
        <v>Bing's</v>
      </c>
      <c r="F42" s="13"/>
      <c r="G42" s="14">
        <f ca="1">IFERROR(__xludf.DUMMYFUNCTION("""COMPUTED_VALUE"""),43203)</f>
        <v>43203</v>
      </c>
      <c r="H42" t="str">
        <f ca="1">IFERROR(__xludf.DUMMYFUNCTION("""COMPUTED_VALUE"""),"ICW between Rattlesnake Island and Bing's")</f>
        <v>ICW between Rattlesnake Island and Bing's</v>
      </c>
      <c r="I42" s="15">
        <f ca="1">IFERROR(__xludf.DUMMYFUNCTION("""COMPUTED_VALUE"""),0.541666666667879)</f>
        <v>0.54166666666787899</v>
      </c>
      <c r="J42" s="16">
        <f ca="1">IFERROR(__xludf.DUMMYFUNCTION("""COMPUTED_VALUE"""),43203.5833333333)</f>
        <v>43203.583333333299</v>
      </c>
      <c r="K42" t="str">
        <f ca="1">IFERROR(__xludf.DUMMYFUNCTION("""COMPUTED_VALUE"""),"23ft Skiff (Bertha) FL7972LJ DEP07613")</f>
        <v>23ft Skiff (Bertha) FL7972LJ DEP07613</v>
      </c>
      <c r="M42" t="str">
        <f ca="1">IFERROR(__xludf.DUMMYFUNCTION("""COMPUTED_VALUE"""),"Ford F250 2017 (Moby Dix) - DEP0021578")</f>
        <v>Ford F250 2017 (Moby Dix) - DEP0021578</v>
      </c>
      <c r="N42" t="str">
        <f ca="1">IFERROR(__xludf.DUMMYFUNCTION("""COMPUTED_VALUE"""),"Silas Tanner")</f>
        <v>Silas Tanner</v>
      </c>
      <c r="O42" t="str">
        <f ca="1">IFERROR(__xludf.DUMMYFUNCTION("""COMPUTED_VALUE"""),"Matt Brown, Westly Woodward, Ally Hartnett")</f>
        <v>Matt Brown, Westly Woodward, Ally Hartnett</v>
      </c>
      <c r="P42" t="str">
        <f ca="1">IFERROR(__xludf.DUMMYFUNCTION("""COMPUTED_VALUE"""),"Silas Tanner")</f>
        <v>Silas Tanner</v>
      </c>
      <c r="Q42" t="str">
        <f ca="1">IFERROR(__xludf.DUMMYFUNCTION("""COMPUTED_VALUE"""),"Good")</f>
        <v>Good</v>
      </c>
      <c r="R42" t="str">
        <f ca="1">IFERROR(__xludf.DUMMYFUNCTION("""COMPUTED_VALUE"""),"Good")</f>
        <v>Good</v>
      </c>
      <c r="S42" t="str">
        <f ca="1">IFERROR(__xludf.DUMMYFUNCTION("""COMPUTED_VALUE"""),"Good")</f>
        <v>Good</v>
      </c>
      <c r="T42" t="str">
        <f ca="1">IFERROR(__xludf.DUMMYFUNCTION("""COMPUTED_VALUE"""),"Good")</f>
        <v>Good</v>
      </c>
      <c r="U42" t="str">
        <f ca="1">IFERROR(__xludf.DUMMYFUNCTION("""COMPUTED_VALUE"""),"Good")</f>
        <v>Good</v>
      </c>
      <c r="V42" t="str">
        <f ca="1">IFERROR(__xludf.DUMMYFUNCTION("""COMPUTED_VALUE"""),"Good")</f>
        <v>Good</v>
      </c>
      <c r="W42" t="str">
        <f ca="1">IFERROR(__xludf.DUMMYFUNCTION("""COMPUTED_VALUE"""),"Good")</f>
        <v>Good</v>
      </c>
      <c r="X42" t="str">
        <f ca="1">IFERROR(__xludf.DUMMYFUNCTION("""COMPUTED_VALUE"""),"Good")</f>
        <v>Good</v>
      </c>
      <c r="Y42" t="str">
        <f ca="1">IFERROR(__xludf.DUMMYFUNCTION("""COMPUTED_VALUE"""),"Good")</f>
        <v>Good</v>
      </c>
      <c r="Z42" t="str">
        <f ca="1">IFERROR(__xludf.DUMMYFUNCTION("""COMPUTED_VALUE"""),"Good")</f>
        <v>Good</v>
      </c>
      <c r="AA42" t="str">
        <f ca="1">IFERROR(__xludf.DUMMYFUNCTION("""COMPUTED_VALUE"""),"Good")</f>
        <v>Good</v>
      </c>
      <c r="AB42" t="str">
        <f ca="1">IFERROR(__xludf.DUMMYFUNCTION("""COMPUTED_VALUE"""),"Good")</f>
        <v>Good</v>
      </c>
      <c r="AC42" t="str">
        <f ca="1">IFERROR(__xludf.DUMMYFUNCTION("""COMPUTED_VALUE"""),"Good")</f>
        <v>Good</v>
      </c>
      <c r="AD42" t="str">
        <f ca="1">IFERROR(__xludf.DUMMYFUNCTION("""COMPUTED_VALUE"""),"Mostly sunny")</f>
        <v>Mostly sunny</v>
      </c>
      <c r="AE42" s="11" t="str">
        <f ca="1">IFERROR(__xludf.DUMMYFUNCTION("""COMPUTED_VALUE"""),"High outgoing")</f>
        <v>High outgoing</v>
      </c>
      <c r="AF42" s="12" t="str">
        <v>Nikki.Dix@floridadep.gov</v>
      </c>
      <c r="AG42" s="17" t="s">
        <v>58</v>
      </c>
      <c r="AH42" s="12"/>
      <c r="AI42" s="12" t="s">
        <v>59</v>
      </c>
      <c r="AJ42" s="19" t="s">
        <v>60</v>
      </c>
      <c r="AK42" s="20" t="str">
        <f>HYPERLINK("https://drive.google.com/a/gtmnerr.org/file/d/1iSoKHDcZ4JzQNG4JwzRoVeKu0BXy7IBM/view?usp=drivesdk","Silas Tanner - 4/13/2018")</f>
        <v>Silas Tanner - 4/13/2018</v>
      </c>
      <c r="AL42" s="12" t="s">
        <v>61</v>
      </c>
    </row>
    <row r="43" spans="1:38" ht="12.75">
      <c r="A43" s="10">
        <f ca="1">IFERROR(__xludf.DUMMYFUNCTION("""COMPUTED_VALUE"""),43202.3330612963)</f>
        <v>43202.333061296304</v>
      </c>
      <c r="B43" s="11" t="str">
        <f ca="1">IFERROR(__xludf.DUMMYFUNCTION("""COMPUTED_VALUE"""),"Pamela Marcum")</f>
        <v>Pamela Marcum</v>
      </c>
      <c r="C43" t="str">
        <f ca="1">IFERROR(__xludf.DUMMYFUNCTION("""COMPUTED_VALUE"""),"Pamela.Marcum@floridadep.gov")</f>
        <v>Pamela.Marcum@floridadep.gov</v>
      </c>
      <c r="D43" t="str">
        <f ca="1">IFERROR(__xludf.DUMMYFUNCTION("""COMPUTED_VALUE"""),"Research")</f>
        <v>Research</v>
      </c>
      <c r="E43" t="str">
        <f ca="1">IFERROR(__xludf.DUMMYFUNCTION("""COMPUTED_VALUE"""),"Vilano ")</f>
        <v xml:space="preserve">Vilano </v>
      </c>
      <c r="F43" s="13"/>
      <c r="G43" s="14">
        <f ca="1">IFERROR(__xludf.DUMMYFUNCTION("""COMPUTED_VALUE"""),43202)</f>
        <v>43202</v>
      </c>
      <c r="H43" t="str">
        <f ca="1">IFERROR(__xludf.DUMMYFUNCTION("""COMPUTED_VALUE"""),"Matanzas River")</f>
        <v>Matanzas River</v>
      </c>
      <c r="I43" s="15">
        <f ca="1">IFERROR(__xludf.DUMMYFUNCTION("""COMPUTED_VALUE"""),0.541666666667879)</f>
        <v>0.54166666666787899</v>
      </c>
      <c r="J43" s="16">
        <f ca="1">IFERROR(__xludf.DUMMYFUNCTION("""COMPUTED_VALUE"""),43202.5625)</f>
        <v>43202.5625</v>
      </c>
      <c r="K43" t="str">
        <f ca="1">IFERROR(__xludf.DUMMYFUNCTION("""COMPUTED_VALUE"""),"23ft Skiff (Bertha) FL7972LJ DEP07613")</f>
        <v>23ft Skiff (Bertha) FL7972LJ DEP07613</v>
      </c>
      <c r="M43" t="str">
        <f ca="1">IFERROR(__xludf.DUMMYFUNCTION("""COMPUTED_VALUE"""),"Ford F250 2017 (Moby Dix) - DEP0021578")</f>
        <v>Ford F250 2017 (Moby Dix) - DEP0021578</v>
      </c>
      <c r="N43" t="str">
        <f ca="1">IFERROR(__xludf.DUMMYFUNCTION("""COMPUTED_VALUE"""),"Pam Marcum, (480) 332-5414")</f>
        <v>Pam Marcum, (480) 332-5414</v>
      </c>
      <c r="O43" t="str">
        <f ca="1">IFERROR(__xludf.DUMMYFUNCTION("""COMPUTED_VALUE"""),"Admin Tour Members (see Nikki's email)")</f>
        <v>Admin Tour Members (see Nikki's email)</v>
      </c>
      <c r="P43" t="str">
        <f ca="1">IFERROR(__xludf.DUMMYFUNCTION("""COMPUTED_VALUE"""),"Pam")</f>
        <v>Pam</v>
      </c>
      <c r="Q43" t="str">
        <f ca="1">IFERROR(__xludf.DUMMYFUNCTION("""COMPUTED_VALUE"""),"Good")</f>
        <v>Good</v>
      </c>
      <c r="R43" t="str">
        <f ca="1">IFERROR(__xludf.DUMMYFUNCTION("""COMPUTED_VALUE"""),"Good")</f>
        <v>Good</v>
      </c>
      <c r="S43" t="str">
        <f ca="1">IFERROR(__xludf.DUMMYFUNCTION("""COMPUTED_VALUE"""),"Good")</f>
        <v>Good</v>
      </c>
      <c r="T43" t="str">
        <f ca="1">IFERROR(__xludf.DUMMYFUNCTION("""COMPUTED_VALUE"""),"Good")</f>
        <v>Good</v>
      </c>
      <c r="U43" t="str">
        <f ca="1">IFERROR(__xludf.DUMMYFUNCTION("""COMPUTED_VALUE"""),"Good")</f>
        <v>Good</v>
      </c>
      <c r="V43" t="str">
        <f ca="1">IFERROR(__xludf.DUMMYFUNCTION("""COMPUTED_VALUE"""),"Good")</f>
        <v>Good</v>
      </c>
      <c r="W43" t="str">
        <f ca="1">IFERROR(__xludf.DUMMYFUNCTION("""COMPUTED_VALUE"""),"Good")</f>
        <v>Good</v>
      </c>
      <c r="X43" t="str">
        <f ca="1">IFERROR(__xludf.DUMMYFUNCTION("""COMPUTED_VALUE"""),"Good")</f>
        <v>Good</v>
      </c>
      <c r="Y43" t="str">
        <f ca="1">IFERROR(__xludf.DUMMYFUNCTION("""COMPUTED_VALUE"""),"Good")</f>
        <v>Good</v>
      </c>
      <c r="Z43" t="str">
        <f ca="1">IFERROR(__xludf.DUMMYFUNCTION("""COMPUTED_VALUE"""),"Good")</f>
        <v>Good</v>
      </c>
      <c r="AA43" t="str">
        <f ca="1">IFERROR(__xludf.DUMMYFUNCTION("""COMPUTED_VALUE"""),"Good")</f>
        <v>Good</v>
      </c>
      <c r="AB43" t="str">
        <f ca="1">IFERROR(__xludf.DUMMYFUNCTION("""COMPUTED_VALUE"""),"Good")</f>
        <v>Good</v>
      </c>
      <c r="AC43" t="str">
        <f ca="1">IFERROR(__xludf.DUMMYFUNCTION("""COMPUTED_VALUE"""),"Good")</f>
        <v>Good</v>
      </c>
      <c r="AE43" s="11"/>
      <c r="AF43" s="12" t="str">
        <v>Nikki.Dix@floridadep.gov</v>
      </c>
      <c r="AG43" s="17" t="s">
        <v>41</v>
      </c>
      <c r="AH43" s="12"/>
      <c r="AI43" s="12" t="s">
        <v>62</v>
      </c>
      <c r="AJ43" s="19" t="s">
        <v>63</v>
      </c>
      <c r="AK43" s="20" t="str">
        <f>HYPERLINK("https://drive.google.com/a/gtmnerr.org/file/d/1X-tbMcKrUC7VZG_2B5PruW_7lMpu_1vI/view?usp=drivesdk","Pamela Marcum - 4/12/2018")</f>
        <v>Pamela Marcum - 4/12/2018</v>
      </c>
      <c r="AL43" s="12" t="s">
        <v>64</v>
      </c>
    </row>
    <row r="44" spans="1:38" ht="12.75">
      <c r="A44" s="10">
        <f ca="1">IFERROR(__xludf.DUMMYFUNCTION("""COMPUTED_VALUE"""),43206.5428631481)</f>
        <v>43206.542863148097</v>
      </c>
      <c r="B44" s="11" t="str">
        <f ca="1">IFERROR(__xludf.DUMMYFUNCTION("""COMPUTED_VALUE"""),"Ben Mowbray")</f>
        <v>Ben Mowbray</v>
      </c>
      <c r="C44" t="str">
        <f ca="1">IFERROR(__xludf.DUMMYFUNCTION("""COMPUTED_VALUE"""),"Ben.Mowbray@dep.state.fl.us")</f>
        <v>Ben.Mowbray@dep.state.fl.us</v>
      </c>
      <c r="D44" t="str">
        <f ca="1">IFERROR(__xludf.DUMMYFUNCTION("""COMPUTED_VALUE"""),"Research")</f>
        <v>Research</v>
      </c>
      <c r="E44" t="str">
        <f ca="1">IFERROR(__xludf.DUMMYFUNCTION("""COMPUTED_VALUE"""),"Faver-Dykes")</f>
        <v>Faver-Dykes</v>
      </c>
      <c r="F44" s="13"/>
      <c r="G44" s="14">
        <f ca="1">IFERROR(__xludf.DUMMYFUNCTION("""COMPUTED_VALUE"""),43207)</f>
        <v>43207</v>
      </c>
      <c r="H44" t="str">
        <f ca="1">IFERROR(__xludf.DUMMYFUNCTION("""COMPUTED_VALUE"""),"Vegetation platforms")</f>
        <v>Vegetation platforms</v>
      </c>
      <c r="I44" s="15">
        <f ca="1">IFERROR(__xludf.DUMMYFUNCTION("""COMPUTED_VALUE"""),0.52083333333212)</f>
        <v>0.52083333333212001</v>
      </c>
      <c r="J44" s="16">
        <f ca="1">IFERROR(__xludf.DUMMYFUNCTION("""COMPUTED_VALUE"""),43207.0520833333)</f>
        <v>43207.052083333299</v>
      </c>
      <c r="K44" t="str">
        <f ca="1">IFERROR(__xludf.DUMMYFUNCTION("""COMPUTED_VALUE"""),"20ft Sea Ark FL5351SJ UNF 2015")</f>
        <v>20ft Sea Ark FL5351SJ UNF 2015</v>
      </c>
      <c r="M44" t="str">
        <f ca="1">IFERROR(__xludf.DUMMYFUNCTION("""COMPUTED_VALUE"""),"Ford F250 2017 (Moby Dix) - DEP0021578")</f>
        <v>Ford F250 2017 (Moby Dix) - DEP0021578</v>
      </c>
      <c r="N44" t="str">
        <f ca="1">IFERROR(__xludf.DUMMYFUNCTION("""COMPUTED_VALUE"""),"Pam Marcum, (480) 332-5414, Silas Tanner")</f>
        <v>Pam Marcum, (480) 332-5414, Silas Tanner</v>
      </c>
      <c r="O44" t="str">
        <f ca="1">IFERROR(__xludf.DUMMYFUNCTION("""COMPUTED_VALUE"""),"Benjamin Mowbray, Jennifer Odzinski")</f>
        <v>Benjamin Mowbray, Jennifer Odzinski</v>
      </c>
      <c r="P44" t="str">
        <f ca="1">IFERROR(__xludf.DUMMYFUNCTION("""COMPUTED_VALUE"""),"Pam")</f>
        <v>Pam</v>
      </c>
      <c r="Q44" t="str">
        <f ca="1">IFERROR(__xludf.DUMMYFUNCTION("""COMPUTED_VALUE"""),"Good")</f>
        <v>Good</v>
      </c>
      <c r="R44" t="str">
        <f ca="1">IFERROR(__xludf.DUMMYFUNCTION("""COMPUTED_VALUE"""),"Good")</f>
        <v>Good</v>
      </c>
      <c r="S44" t="str">
        <f ca="1">IFERROR(__xludf.DUMMYFUNCTION("""COMPUTED_VALUE"""),"Good")</f>
        <v>Good</v>
      </c>
      <c r="T44" t="str">
        <f ca="1">IFERROR(__xludf.DUMMYFUNCTION("""COMPUTED_VALUE"""),"Good")</f>
        <v>Good</v>
      </c>
      <c r="U44" t="str">
        <f ca="1">IFERROR(__xludf.DUMMYFUNCTION("""COMPUTED_VALUE"""),"Good")</f>
        <v>Good</v>
      </c>
      <c r="V44" t="str">
        <f ca="1">IFERROR(__xludf.DUMMYFUNCTION("""COMPUTED_VALUE"""),"Good")</f>
        <v>Good</v>
      </c>
      <c r="W44" t="str">
        <f ca="1">IFERROR(__xludf.DUMMYFUNCTION("""COMPUTED_VALUE"""),"Good")</f>
        <v>Good</v>
      </c>
      <c r="X44" t="str">
        <f ca="1">IFERROR(__xludf.DUMMYFUNCTION("""COMPUTED_VALUE"""),"Good")</f>
        <v>Good</v>
      </c>
      <c r="Y44" t="str">
        <f ca="1">IFERROR(__xludf.DUMMYFUNCTION("""COMPUTED_VALUE"""),"Good")</f>
        <v>Good</v>
      </c>
      <c r="Z44" t="str">
        <f ca="1">IFERROR(__xludf.DUMMYFUNCTION("""COMPUTED_VALUE"""),"Good")</f>
        <v>Good</v>
      </c>
      <c r="AA44" t="str">
        <f ca="1">IFERROR(__xludf.DUMMYFUNCTION("""COMPUTED_VALUE"""),"Good")</f>
        <v>Good</v>
      </c>
      <c r="AB44" t="str">
        <f ca="1">IFERROR(__xludf.DUMMYFUNCTION("""COMPUTED_VALUE"""),"Good")</f>
        <v>Good</v>
      </c>
      <c r="AC44" t="str">
        <f ca="1">IFERROR(__xludf.DUMMYFUNCTION("""COMPUTED_VALUE"""),"Good")</f>
        <v>Good</v>
      </c>
      <c r="AE44" s="11"/>
      <c r="AF44" t="str">
        <v>Nikki.Dix@floridadep.gov</v>
      </c>
      <c r="AG44" s="17" t="s">
        <v>58</v>
      </c>
      <c r="AH44" s="12"/>
      <c r="AI44" s="12" t="s">
        <v>65</v>
      </c>
      <c r="AJ44" s="19" t="s">
        <v>66</v>
      </c>
      <c r="AK44" s="20" t="str">
        <f>HYPERLINK("https://docs.google.com/document/d/1lvnFSpiVYr6imjfOlWlxPW2ouTpS9jO0pAxu4_Njk7M/edit?usp=drivesdk","Ben Mowbray - Tuesday, April 17, 2018 at 12:00:00 AM")</f>
        <v>Ben Mowbray - Tuesday, April 17, 2018 at 12:00:00 AM</v>
      </c>
      <c r="AL44" s="12" t="s">
        <v>67</v>
      </c>
    </row>
    <row r="45" spans="1:38" ht="12.75">
      <c r="A45" s="10">
        <f ca="1">IFERROR(__xludf.DUMMYFUNCTION("""COMPUTED_VALUE"""),43206.735719456)</f>
        <v>43206.735719456003</v>
      </c>
      <c r="B45" s="22" t="str">
        <f ca="1">IFERROR(__xludf.DUMMYFUNCTION("""COMPUTED_VALUE"""),"Pamela Marcum")</f>
        <v>Pamela Marcum</v>
      </c>
      <c r="C45" t="str">
        <f ca="1">IFERROR(__xludf.DUMMYFUNCTION("""COMPUTED_VALUE"""),"Pamela.Marcum@dep.state.fl.us")</f>
        <v>Pamela.Marcum@dep.state.fl.us</v>
      </c>
      <c r="D45" t="str">
        <f ca="1">IFERROR(__xludf.DUMMYFUNCTION("""COMPUTED_VALUE"""),"Research")</f>
        <v>Research</v>
      </c>
      <c r="F45" s="13">
        <f ca="1">IFERROR(__xludf.DUMMYFUNCTION("""COMPUTED_VALUE"""),0.33333333333212)</f>
        <v>0.33333333333212001</v>
      </c>
      <c r="G45" s="14">
        <f ca="1">IFERROR(__xludf.DUMMYFUNCTION("""COMPUTED_VALUE"""),43208)</f>
        <v>43208</v>
      </c>
      <c r="H45" t="str">
        <f ca="1">IFERROR(__xludf.DUMMYFUNCTION("""COMPUTED_VALUE"""),"Washington Oaks Marsh Site")</f>
        <v>Washington Oaks Marsh Site</v>
      </c>
      <c r="I45" s="15">
        <f ca="1">IFERROR(__xludf.DUMMYFUNCTION("""COMPUTED_VALUE"""),0.541666666667879)</f>
        <v>0.54166666666787899</v>
      </c>
      <c r="J45" s="16">
        <f ca="1">IFERROR(__xludf.DUMMYFUNCTION("""COMPUTED_VALUE"""),43208.6041666666)</f>
        <v>43208.604166666599</v>
      </c>
      <c r="K45" t="str">
        <f ca="1">IFERROR(__xludf.DUMMYFUNCTION("""COMPUTED_VALUE"""),"20ft Sea Ark FL5351SJ UNF 2015")</f>
        <v>20ft Sea Ark FL5351SJ UNF 2015</v>
      </c>
      <c r="M45" t="str">
        <f ca="1">IFERROR(__xludf.DUMMYFUNCTION("""COMPUTED_VALUE"""),"Ford F250 2017 (Moby Dix) - DEP0021578")</f>
        <v>Ford F250 2017 (Moby Dix) - DEP0021578</v>
      </c>
      <c r="N45" t="str">
        <f ca="1">IFERROR(__xludf.DUMMYFUNCTION("""COMPUTED_VALUE"""),"Pam Marcum, (480) 332-5414, Silas Tanner, (904) 483-8423")</f>
        <v>Pam Marcum, (480) 332-5414, Silas Tanner, (904) 483-8423</v>
      </c>
      <c r="O45" t="str">
        <f ca="1">IFERROR(__xludf.DUMMYFUNCTION("""COMPUTED_VALUE"""),"Benjamin Mowbray, (407) 962-8782, Gabriela Canas, (904) 891-9743")</f>
        <v>Benjamin Mowbray, (407) 962-8782, Gabriela Canas, (904) 891-9743</v>
      </c>
      <c r="P45" t="str">
        <f ca="1">IFERROR(__xludf.DUMMYFUNCTION("""COMPUTED_VALUE"""),"Silas Tanner")</f>
        <v>Silas Tanner</v>
      </c>
      <c r="Q45" t="str">
        <f ca="1">IFERROR(__xludf.DUMMYFUNCTION("""COMPUTED_VALUE"""),"Good")</f>
        <v>Good</v>
      </c>
      <c r="R45" t="str">
        <f ca="1">IFERROR(__xludf.DUMMYFUNCTION("""COMPUTED_VALUE"""),"Good")</f>
        <v>Good</v>
      </c>
      <c r="S45" t="str">
        <f ca="1">IFERROR(__xludf.DUMMYFUNCTION("""COMPUTED_VALUE"""),"Good")</f>
        <v>Good</v>
      </c>
      <c r="T45" t="str">
        <f ca="1">IFERROR(__xludf.DUMMYFUNCTION("""COMPUTED_VALUE"""),"Good")</f>
        <v>Good</v>
      </c>
      <c r="U45" t="str">
        <f ca="1">IFERROR(__xludf.DUMMYFUNCTION("""COMPUTED_VALUE"""),"Good")</f>
        <v>Good</v>
      </c>
      <c r="V45" t="str">
        <f ca="1">IFERROR(__xludf.DUMMYFUNCTION("""COMPUTED_VALUE"""),"Good")</f>
        <v>Good</v>
      </c>
      <c r="W45" t="str">
        <f ca="1">IFERROR(__xludf.DUMMYFUNCTION("""COMPUTED_VALUE"""),"Good")</f>
        <v>Good</v>
      </c>
      <c r="X45" t="str">
        <f ca="1">IFERROR(__xludf.DUMMYFUNCTION("""COMPUTED_VALUE"""),"Good")</f>
        <v>Good</v>
      </c>
      <c r="Y45" t="str">
        <f ca="1">IFERROR(__xludf.DUMMYFUNCTION("""COMPUTED_VALUE"""),"Good")</f>
        <v>Good</v>
      </c>
      <c r="Z45" t="str">
        <f ca="1">IFERROR(__xludf.DUMMYFUNCTION("""COMPUTED_VALUE"""),"Good")</f>
        <v>Good</v>
      </c>
      <c r="AA45" t="str">
        <f ca="1">IFERROR(__xludf.DUMMYFUNCTION("""COMPUTED_VALUE"""),"Good")</f>
        <v>Good</v>
      </c>
      <c r="AB45" t="str">
        <f ca="1">IFERROR(__xludf.DUMMYFUNCTION("""COMPUTED_VALUE"""),"Good")</f>
        <v>Good</v>
      </c>
      <c r="AC45" t="str">
        <f ca="1">IFERROR(__xludf.DUMMYFUNCTION("""COMPUTED_VALUE"""),"Good")</f>
        <v>Good</v>
      </c>
      <c r="AE45" s="11"/>
      <c r="AF45" t="str">
        <v>Nikki.Dix@floridadep.gov</v>
      </c>
      <c r="AG45" s="17" t="s">
        <v>58</v>
      </c>
      <c r="AH45" s="12"/>
      <c r="AI45" s="12" t="s">
        <v>68</v>
      </c>
      <c r="AJ45" s="19" t="s">
        <v>69</v>
      </c>
      <c r="AK45" s="20" t="str">
        <f>HYPERLINK("https://docs.google.com/document/d/1yuciw9UAQC0hXjE6C7ODRboAy7GXEhKwmAu3V1IstVw/edit?usp=drivesdk","Pamela Marcum - 4/18/2018 8:00 AM")</f>
        <v>Pamela Marcum - 4/18/2018 8:00 AM</v>
      </c>
      <c r="AL45" s="12" t="s">
        <v>70</v>
      </c>
    </row>
    <row r="46" spans="1:38" ht="12.75">
      <c r="A46" s="10">
        <f ca="1">IFERROR(__xludf.DUMMYFUNCTION("""COMPUTED_VALUE"""),43209.3013402777)</f>
        <v>43209.3013402777</v>
      </c>
      <c r="B46" s="11" t="str">
        <f ca="1">IFERROR(__xludf.DUMMYFUNCTION("""COMPUTED_VALUE"""),"Pamela Marcum")</f>
        <v>Pamela Marcum</v>
      </c>
      <c r="C46" t="str">
        <f ca="1">IFERROR(__xludf.DUMMYFUNCTION("""COMPUTED_VALUE"""),"Pamela.Marcum@Dep.state.fl.us")</f>
        <v>Pamela.Marcum@Dep.state.fl.us</v>
      </c>
      <c r="D46" t="str">
        <f ca="1">IFERROR(__xludf.DUMMYFUNCTION("""COMPUTED_VALUE"""),"Research")</f>
        <v>Research</v>
      </c>
      <c r="E46" t="str">
        <f ca="1">IFERROR(__xludf.DUMMYFUNCTION("""COMPUTED_VALUE"""),"Palm Valley 210 Bridge")</f>
        <v>Palm Valley 210 Bridge</v>
      </c>
      <c r="F46" s="13">
        <f ca="1">IFERROR(__xludf.DUMMYFUNCTION("""COMPUTED_VALUE"""),0.322916666667879)</f>
        <v>0.32291666666787899</v>
      </c>
      <c r="G46" s="14">
        <f ca="1">IFERROR(__xludf.DUMMYFUNCTION("""COMPUTED_VALUE"""),43209)</f>
        <v>43209</v>
      </c>
      <c r="H46" t="str">
        <f ca="1">IFERROR(__xludf.DUMMYFUNCTION("""COMPUTED_VALUE"""),"Pine Island Marsh Site")</f>
        <v>Pine Island Marsh Site</v>
      </c>
      <c r="I46" s="15">
        <f ca="1">IFERROR(__xludf.DUMMYFUNCTION("""COMPUTED_VALUE"""),0.625)</f>
        <v>0.625</v>
      </c>
      <c r="J46" s="16">
        <f ca="1">IFERROR(__xludf.DUMMYFUNCTION("""COMPUTED_VALUE"""),43209.6458333333)</f>
        <v>43209.645833333299</v>
      </c>
      <c r="K46" t="str">
        <f ca="1">IFERROR(__xludf.DUMMYFUNCTION("""COMPUTED_VALUE"""),"20ft Sea Ark FL5351SJ UNF 2015")</f>
        <v>20ft Sea Ark FL5351SJ UNF 2015</v>
      </c>
      <c r="M46" t="str">
        <f ca="1">IFERROR(__xludf.DUMMYFUNCTION("""COMPUTED_VALUE"""),"Ford F250 2017 (Moby Dix) - DEP0021578")</f>
        <v>Ford F250 2017 (Moby Dix) - DEP0021578</v>
      </c>
      <c r="N46" t="str">
        <f ca="1">IFERROR(__xludf.DUMMYFUNCTION("""COMPUTED_VALUE"""),"Pam Marcum, (480) 332-5414, Silas Tanner, (904) 483-8423")</f>
        <v>Pam Marcum, (480) 332-5414, Silas Tanner, (904) 483-8423</v>
      </c>
      <c r="O46" t="str">
        <f ca="1">IFERROR(__xludf.DUMMYFUNCTION("""COMPUTED_VALUE"""),"Benjamin Mowbray, (407) 962-8782, Matt Sturchio")</f>
        <v>Benjamin Mowbray, (407) 962-8782, Matt Sturchio</v>
      </c>
      <c r="P46" t="str">
        <f ca="1">IFERROR(__xludf.DUMMYFUNCTION("""COMPUTED_VALUE"""),"Pam")</f>
        <v>Pam</v>
      </c>
      <c r="Q46" t="str">
        <f ca="1">IFERROR(__xludf.DUMMYFUNCTION("""COMPUTED_VALUE"""),"Good")</f>
        <v>Good</v>
      </c>
      <c r="R46" t="str">
        <f ca="1">IFERROR(__xludf.DUMMYFUNCTION("""COMPUTED_VALUE"""),"Good")</f>
        <v>Good</v>
      </c>
      <c r="S46" t="str">
        <f ca="1">IFERROR(__xludf.DUMMYFUNCTION("""COMPUTED_VALUE"""),"Good")</f>
        <v>Good</v>
      </c>
      <c r="T46" t="str">
        <f ca="1">IFERROR(__xludf.DUMMYFUNCTION("""COMPUTED_VALUE"""),"Good")</f>
        <v>Good</v>
      </c>
      <c r="U46" t="str">
        <f ca="1">IFERROR(__xludf.DUMMYFUNCTION("""COMPUTED_VALUE"""),"Good")</f>
        <v>Good</v>
      </c>
      <c r="V46" t="str">
        <f ca="1">IFERROR(__xludf.DUMMYFUNCTION("""COMPUTED_VALUE"""),"Good")</f>
        <v>Good</v>
      </c>
      <c r="W46" t="str">
        <f ca="1">IFERROR(__xludf.DUMMYFUNCTION("""COMPUTED_VALUE"""),"Good")</f>
        <v>Good</v>
      </c>
      <c r="X46" t="str">
        <f ca="1">IFERROR(__xludf.DUMMYFUNCTION("""COMPUTED_VALUE"""),"Good")</f>
        <v>Good</v>
      </c>
      <c r="Y46" t="str">
        <f ca="1">IFERROR(__xludf.DUMMYFUNCTION("""COMPUTED_VALUE"""),"Good")</f>
        <v>Good</v>
      </c>
      <c r="Z46" t="str">
        <f ca="1">IFERROR(__xludf.DUMMYFUNCTION("""COMPUTED_VALUE"""),"Good")</f>
        <v>Good</v>
      </c>
      <c r="AA46" t="str">
        <f ca="1">IFERROR(__xludf.DUMMYFUNCTION("""COMPUTED_VALUE"""),"Good")</f>
        <v>Good</v>
      </c>
      <c r="AB46" t="str">
        <f ca="1">IFERROR(__xludf.DUMMYFUNCTION("""COMPUTED_VALUE"""),"Good")</f>
        <v>Good</v>
      </c>
      <c r="AC46" t="str">
        <f ca="1">IFERROR(__xludf.DUMMYFUNCTION("""COMPUTED_VALUE"""),"Good")</f>
        <v>Good</v>
      </c>
      <c r="AE46" s="11"/>
      <c r="AF46" t="str">
        <v>Nikki.Dix@floridadep.gov</v>
      </c>
      <c r="AG46" s="17" t="s">
        <v>41</v>
      </c>
      <c r="AH46" s="12"/>
      <c r="AI46" s="12" t="s">
        <v>71</v>
      </c>
      <c r="AJ46" s="19" t="s">
        <v>72</v>
      </c>
      <c r="AK46" s="20" t="str">
        <f>HYPERLINK("https://docs.google.com/document/d/1xUIhT2sRTDOWmpUEFwaZu47fXh5-6Kw9MpWVOIypX_Y/edit?usp=drivesdk","Pamela Marcum - 4/19/2018 7:45 AM")</f>
        <v>Pamela Marcum - 4/19/2018 7:45 AM</v>
      </c>
      <c r="AL46" s="12" t="s">
        <v>73</v>
      </c>
    </row>
    <row r="47" spans="1:38" ht="12.75">
      <c r="A47" s="10">
        <f ca="1">IFERROR(__xludf.DUMMYFUNCTION("""COMPUTED_VALUE"""),43210.3457550347)</f>
        <v>43210.345755034701</v>
      </c>
      <c r="B47" s="11" t="str">
        <f ca="1">IFERROR(__xludf.DUMMYFUNCTION("""COMPUTED_VALUE"""),"Silas Tanner")</f>
        <v>Silas Tanner</v>
      </c>
      <c r="C47" t="str">
        <f ca="1">IFERROR(__xludf.DUMMYFUNCTION("""COMPUTED_VALUE"""),"silas.tanner@dep.state.fl.us")</f>
        <v>silas.tanner@dep.state.fl.us</v>
      </c>
      <c r="D47" t="str">
        <f ca="1">IFERROR(__xludf.DUMMYFUNCTION("""COMPUTED_VALUE"""),"Research")</f>
        <v>Research</v>
      </c>
      <c r="E47" t="str">
        <f ca="1">IFERROR(__xludf.DUMMYFUNCTION("""COMPUTED_VALUE"""),"Douglas Crane Park &amp; Boat Ramp")</f>
        <v>Douglas Crane Park &amp; Boat Ramp</v>
      </c>
      <c r="F47" s="13">
        <f ca="1">IFERROR(__xludf.DUMMYFUNCTION("""COMPUTED_VALUE"""),0.375)</f>
        <v>0.375</v>
      </c>
      <c r="G47" s="14">
        <f ca="1">IFERROR(__xludf.DUMMYFUNCTION("""COMPUTED_VALUE"""),43210)</f>
        <v>43210</v>
      </c>
      <c r="H47" t="str">
        <f ca="1">IFERROR(__xludf.DUMMYFUNCTION("""COMPUTED_VALUE"""),"ICW south of 312 - Site 22 (Jason's Creek) ")</f>
        <v xml:space="preserve">ICW south of 312 - Site 22 (Jason's Creek) </v>
      </c>
      <c r="I47" s="15">
        <f ca="1">IFERROR(__xludf.DUMMYFUNCTION("""COMPUTED_VALUE"""),0.64583333333212)</f>
        <v>0.64583333333212001</v>
      </c>
      <c r="J47" s="16">
        <f ca="1">IFERROR(__xludf.DUMMYFUNCTION("""COMPUTED_VALUE"""),43210.6666666666)</f>
        <v>43210.666666666599</v>
      </c>
      <c r="K47" t="str">
        <f ca="1">IFERROR(__xludf.DUMMYFUNCTION("""COMPUTED_VALUE"""),"20ft Sea Ark FL5351SJ UNF 2015")</f>
        <v>20ft Sea Ark FL5351SJ UNF 2015</v>
      </c>
      <c r="M47" t="str">
        <f ca="1">IFERROR(__xludf.DUMMYFUNCTION("""COMPUTED_VALUE"""),"Ford F250 2017 (Moby Dix) - DEP0021578")</f>
        <v>Ford F250 2017 (Moby Dix) - DEP0021578</v>
      </c>
      <c r="N47" t="str">
        <f ca="1">IFERROR(__xludf.DUMMYFUNCTION("""COMPUTED_VALUE"""),"Pam Marcum, (480) 332-5414, Silas Tanner, (904) 483-8423, Ben Mowbray, (407) 962-8782")</f>
        <v>Pam Marcum, (480) 332-5414, Silas Tanner, (904) 483-8423, Ben Mowbray, (407) 962-8782</v>
      </c>
      <c r="O47" t="str">
        <f ca="1">IFERROR(__xludf.DUMMYFUNCTION("""COMPUTED_VALUE"""),"Jeff Finnan")</f>
        <v>Jeff Finnan</v>
      </c>
      <c r="P47" t="str">
        <f ca="1">IFERROR(__xludf.DUMMYFUNCTION("""COMPUTED_VALUE"""),"Silas Tanner")</f>
        <v>Silas Tanner</v>
      </c>
      <c r="Q47" t="str">
        <f ca="1">IFERROR(__xludf.DUMMYFUNCTION("""COMPUTED_VALUE"""),"Good")</f>
        <v>Good</v>
      </c>
      <c r="R47" t="str">
        <f ca="1">IFERROR(__xludf.DUMMYFUNCTION("""COMPUTED_VALUE"""),"Good")</f>
        <v>Good</v>
      </c>
      <c r="S47" t="str">
        <f ca="1">IFERROR(__xludf.DUMMYFUNCTION("""COMPUTED_VALUE"""),"Good")</f>
        <v>Good</v>
      </c>
      <c r="T47" t="str">
        <f ca="1">IFERROR(__xludf.DUMMYFUNCTION("""COMPUTED_VALUE"""),"Good")</f>
        <v>Good</v>
      </c>
      <c r="U47" t="str">
        <f ca="1">IFERROR(__xludf.DUMMYFUNCTION("""COMPUTED_VALUE"""),"Good")</f>
        <v>Good</v>
      </c>
      <c r="V47" t="str">
        <f ca="1">IFERROR(__xludf.DUMMYFUNCTION("""COMPUTED_VALUE"""),"Good")</f>
        <v>Good</v>
      </c>
      <c r="W47" t="str">
        <f ca="1">IFERROR(__xludf.DUMMYFUNCTION("""COMPUTED_VALUE"""),"Good")</f>
        <v>Good</v>
      </c>
      <c r="X47" t="str">
        <f ca="1">IFERROR(__xludf.DUMMYFUNCTION("""COMPUTED_VALUE"""),"Good")</f>
        <v>Good</v>
      </c>
      <c r="Y47" t="str">
        <f ca="1">IFERROR(__xludf.DUMMYFUNCTION("""COMPUTED_VALUE"""),"Good")</f>
        <v>Good</v>
      </c>
      <c r="Z47" t="str">
        <f ca="1">IFERROR(__xludf.DUMMYFUNCTION("""COMPUTED_VALUE"""),"Good")</f>
        <v>Good</v>
      </c>
      <c r="AA47" t="str">
        <f ca="1">IFERROR(__xludf.DUMMYFUNCTION("""COMPUTED_VALUE"""),"Good")</f>
        <v>Good</v>
      </c>
      <c r="AB47" t="str">
        <f ca="1">IFERROR(__xludf.DUMMYFUNCTION("""COMPUTED_VALUE"""),"Good")</f>
        <v>Good</v>
      </c>
      <c r="AC47" t="str">
        <f ca="1">IFERROR(__xludf.DUMMYFUNCTION("""COMPUTED_VALUE"""),"Good")</f>
        <v>Good</v>
      </c>
      <c r="AE47" s="11"/>
      <c r="AF47" t="str">
        <v>Nikki.Dix@floridadep.gov</v>
      </c>
      <c r="AG47" s="17" t="s">
        <v>17</v>
      </c>
      <c r="AH47" s="12"/>
      <c r="AI47" s="12" t="s">
        <v>74</v>
      </c>
      <c r="AJ47" s="19" t="s">
        <v>75</v>
      </c>
      <c r="AK47" s="20" t="str">
        <f>HYPERLINK("https://docs.google.com/document/d/1JEa1CEgHyehbkiQb0UeiGakohFPxlUdscuddwbzrIxE/edit?usp=drivesdk","Silas Tanner - 4/20/2018 9:00 AM")</f>
        <v>Silas Tanner - 4/20/2018 9:00 AM</v>
      </c>
      <c r="AL47" s="12" t="s">
        <v>76</v>
      </c>
    </row>
    <row r="48" spans="1:38" ht="12.75">
      <c r="A48" s="10">
        <f ca="1">IFERROR(__xludf.DUMMYFUNCTION("""COMPUTED_VALUE"""),43213.4024663888)</f>
        <v>43213.402466388798</v>
      </c>
      <c r="B48" s="11" t="str">
        <f ca="1">IFERROR(__xludf.DUMMYFUNCTION("""COMPUTED_VALUE"""),"Silas Tanner")</f>
        <v>Silas Tanner</v>
      </c>
      <c r="C48" t="str">
        <f ca="1">IFERROR(__xludf.DUMMYFUNCTION("""COMPUTED_VALUE"""),"silas.tanner@floridadep.gov")</f>
        <v>silas.tanner@floridadep.gov</v>
      </c>
      <c r="D48" t="str">
        <f ca="1">IFERROR(__xludf.DUMMYFUNCTION("""COMPUTED_VALUE"""),"Research")</f>
        <v>Research</v>
      </c>
      <c r="E48" t="str">
        <f ca="1">IFERROR(__xludf.DUMMYFUNCTION("""COMPUTED_VALUE"""),"Green Road Boat Ramp")</f>
        <v>Green Road Boat Ramp</v>
      </c>
      <c r="F48" s="13">
        <f ca="1">IFERROR(__xludf.DUMMYFUNCTION("""COMPUTED_VALUE"""),0.40625)</f>
        <v>0.40625</v>
      </c>
      <c r="G48" s="14">
        <f ca="1">IFERROR(__xludf.DUMMYFUNCTION("""COMPUTED_VALUE"""),43214)</f>
        <v>43214</v>
      </c>
      <c r="H48" t="str">
        <f ca="1">IFERROR(__xludf.DUMMYFUNCTION("""COMPUTED_VALUE"""),"Moses Creek")</f>
        <v>Moses Creek</v>
      </c>
      <c r="I48" s="15">
        <f ca="1">IFERROR(__xludf.DUMMYFUNCTION("""COMPUTED_VALUE"""),0.65625)</f>
        <v>0.65625</v>
      </c>
      <c r="J48" s="16">
        <f ca="1">IFERROR(__xludf.DUMMYFUNCTION("""COMPUTED_VALUE"""),43214.6875)</f>
        <v>43214.6875</v>
      </c>
      <c r="K48" t="str">
        <f ca="1">IFERROR(__xludf.DUMMYFUNCTION("""COMPUTED_VALUE"""),"20ft Sea Ark FL5351SJ UNF 2015")</f>
        <v>20ft Sea Ark FL5351SJ UNF 2015</v>
      </c>
      <c r="M48" t="str">
        <f ca="1">IFERROR(__xludf.DUMMYFUNCTION("""COMPUTED_VALUE"""),"Ford F250 2017 (Moby Dix) - DEP0021578")</f>
        <v>Ford F250 2017 (Moby Dix) - DEP0021578</v>
      </c>
      <c r="N48" t="str">
        <f ca="1">IFERROR(__xludf.DUMMYFUNCTION("""COMPUTED_VALUE"""),"Silas Tanner, (904) 483-8423")</f>
        <v>Silas Tanner, (904) 483-8423</v>
      </c>
      <c r="O48" t="str">
        <f ca="1">IFERROR(__xludf.DUMMYFUNCTION("""COMPUTED_VALUE"""),"Benjamin Mowbray, (407) 962-8782, Annie Otto")</f>
        <v>Benjamin Mowbray, (407) 962-8782, Annie Otto</v>
      </c>
      <c r="P48" t="str">
        <f ca="1">IFERROR(__xludf.DUMMYFUNCTION("""COMPUTED_VALUE"""),"Silas Tanner")</f>
        <v>Silas Tanner</v>
      </c>
      <c r="Q48" t="str">
        <f ca="1">IFERROR(__xludf.DUMMYFUNCTION("""COMPUTED_VALUE"""),"Good")</f>
        <v>Good</v>
      </c>
      <c r="R48" t="str">
        <f ca="1">IFERROR(__xludf.DUMMYFUNCTION("""COMPUTED_VALUE"""),"Good")</f>
        <v>Good</v>
      </c>
      <c r="S48" t="str">
        <f ca="1">IFERROR(__xludf.DUMMYFUNCTION("""COMPUTED_VALUE"""),"Good")</f>
        <v>Good</v>
      </c>
      <c r="T48" t="str">
        <f ca="1">IFERROR(__xludf.DUMMYFUNCTION("""COMPUTED_VALUE"""),"Good")</f>
        <v>Good</v>
      </c>
      <c r="U48" t="str">
        <f ca="1">IFERROR(__xludf.DUMMYFUNCTION("""COMPUTED_VALUE"""),"Good")</f>
        <v>Good</v>
      </c>
      <c r="V48" t="str">
        <f ca="1">IFERROR(__xludf.DUMMYFUNCTION("""COMPUTED_VALUE"""),"Good")</f>
        <v>Good</v>
      </c>
      <c r="W48" t="str">
        <f ca="1">IFERROR(__xludf.DUMMYFUNCTION("""COMPUTED_VALUE"""),"Good")</f>
        <v>Good</v>
      </c>
      <c r="X48" t="str">
        <f ca="1">IFERROR(__xludf.DUMMYFUNCTION("""COMPUTED_VALUE"""),"Good")</f>
        <v>Good</v>
      </c>
      <c r="Y48" t="str">
        <f ca="1">IFERROR(__xludf.DUMMYFUNCTION("""COMPUTED_VALUE"""),"Good")</f>
        <v>Good</v>
      </c>
      <c r="Z48" t="str">
        <f ca="1">IFERROR(__xludf.DUMMYFUNCTION("""COMPUTED_VALUE"""),"Good")</f>
        <v>Good</v>
      </c>
      <c r="AA48" t="str">
        <f ca="1">IFERROR(__xludf.DUMMYFUNCTION("""COMPUTED_VALUE"""),"Good")</f>
        <v>Good</v>
      </c>
      <c r="AB48" t="str">
        <f ca="1">IFERROR(__xludf.DUMMYFUNCTION("""COMPUTED_VALUE"""),"Good")</f>
        <v>Good</v>
      </c>
      <c r="AC48" t="str">
        <f ca="1">IFERROR(__xludf.DUMMYFUNCTION("""COMPUTED_VALUE"""),"Good")</f>
        <v>Good</v>
      </c>
      <c r="AE48" s="11"/>
      <c r="AF48" t="str">
        <v>Nikki.Dix@floridadep.gov</v>
      </c>
      <c r="AG48" s="17" t="s">
        <v>17</v>
      </c>
      <c r="AH48" s="12"/>
      <c r="AI48" s="12" t="s">
        <v>77</v>
      </c>
      <c r="AJ48" s="19" t="s">
        <v>78</v>
      </c>
      <c r="AK48" s="20" t="str">
        <f>HYPERLINK("https://docs.google.com/document/d/1JFryXOw2InmmGmXxxzshvZNk4sdpEONK7hn7Y_AqJRE/edit?usp=drivesdk","Silas Tanner - 4/23/2018 9:45 AM")</f>
        <v>Silas Tanner - 4/23/2018 9:45 AM</v>
      </c>
      <c r="AL48" s="12" t="s">
        <v>79</v>
      </c>
    </row>
    <row r="49" spans="1:38" ht="12.75">
      <c r="A49" s="10">
        <f ca="1">IFERROR(__xludf.DUMMYFUNCTION("""COMPUTED_VALUE"""),43213.7141548842)</f>
        <v>43213.714154884197</v>
      </c>
      <c r="B49" s="11" t="str">
        <f ca="1">IFERROR(__xludf.DUMMYFUNCTION("""COMPUTED_VALUE"""),"James Tomazinis")</f>
        <v>James Tomazinis</v>
      </c>
      <c r="C49" t="str">
        <f ca="1">IFERROR(__xludf.DUMMYFUNCTION("""COMPUTED_VALUE"""),"james.tomazinis@dep.state.fl.us")</f>
        <v>james.tomazinis@dep.state.fl.us</v>
      </c>
      <c r="D49" t="str">
        <f ca="1">IFERROR(__xludf.DUMMYFUNCTION("""COMPUTED_VALUE"""),"Stewardship (Aquatic)")</f>
        <v>Stewardship (Aquatic)</v>
      </c>
      <c r="E49" t="str">
        <f ca="1">IFERROR(__xludf.DUMMYFUNCTION("""COMPUTED_VALUE"""),"Guana Dam")</f>
        <v>Guana Dam</v>
      </c>
      <c r="F49" s="13">
        <f ca="1">IFERROR(__xludf.DUMMYFUNCTION("""COMPUTED_VALUE"""),0.28125)</f>
        <v>0.28125</v>
      </c>
      <c r="G49" s="14">
        <f ca="1">IFERROR(__xludf.DUMMYFUNCTION("""COMPUTED_VALUE"""),43214)</f>
        <v>43214</v>
      </c>
      <c r="H49" t="str">
        <f ca="1">IFERROR(__xludf.DUMMYFUNCTION("""COMPUTED_VALUE"""),"Guana NUT sites")</f>
        <v>Guana NUT sites</v>
      </c>
      <c r="I49" s="15">
        <f ca="1">IFERROR(__xludf.DUMMYFUNCTION("""COMPUTED_VALUE"""),0.45833333333212)</f>
        <v>0.45833333333212001</v>
      </c>
      <c r="J49" s="16"/>
      <c r="K49" t="str">
        <f ca="1">IFERROR(__xludf.DUMMYFUNCTION("""COMPUTED_VALUE"""),"Jon Boat FL0484NP DEP06819")</f>
        <v>Jon Boat FL0484NP DEP06819</v>
      </c>
      <c r="M49" t="str">
        <f ca="1">IFERROR(__xludf.DUMMYFUNCTION("""COMPUTED_VALUE"""),"Ford F150 2015 (White) - DEP21448")</f>
        <v>Ford F150 2015 (White) - DEP21448</v>
      </c>
      <c r="N49" t="str">
        <f ca="1">IFERROR(__xludf.DUMMYFUNCTION("""COMPUTED_VALUE"""),"Jimmy Tomazinis, (904) 547-0094")</f>
        <v>Jimmy Tomazinis, (904) 547-0094</v>
      </c>
      <c r="O49" t="str">
        <f ca="1">IFERROR(__xludf.DUMMYFUNCTION("""COMPUTED_VALUE"""),"Mike Dickson")</f>
        <v>Mike Dickson</v>
      </c>
      <c r="P49" t="str">
        <f ca="1">IFERROR(__xludf.DUMMYFUNCTION("""COMPUTED_VALUE"""),"Jimmy")</f>
        <v>Jimmy</v>
      </c>
      <c r="Q49" t="str">
        <f ca="1">IFERROR(__xludf.DUMMYFUNCTION("""COMPUTED_VALUE"""),"Good")</f>
        <v>Good</v>
      </c>
      <c r="R49" t="str">
        <f ca="1">IFERROR(__xludf.DUMMYFUNCTION("""COMPUTED_VALUE"""),"Good")</f>
        <v>Good</v>
      </c>
      <c r="S49" t="str">
        <f ca="1">IFERROR(__xludf.DUMMYFUNCTION("""COMPUTED_VALUE"""),"Good")</f>
        <v>Good</v>
      </c>
      <c r="T49" t="str">
        <f ca="1">IFERROR(__xludf.DUMMYFUNCTION("""COMPUTED_VALUE"""),"Good")</f>
        <v>Good</v>
      </c>
      <c r="U49" t="str">
        <f ca="1">IFERROR(__xludf.DUMMYFUNCTION("""COMPUTED_VALUE"""),"Good")</f>
        <v>Good</v>
      </c>
      <c r="V49" t="str">
        <f ca="1">IFERROR(__xludf.DUMMYFUNCTION("""COMPUTED_VALUE"""),"Good")</f>
        <v>Good</v>
      </c>
      <c r="W49" t="str">
        <f ca="1">IFERROR(__xludf.DUMMYFUNCTION("""COMPUTED_VALUE"""),"Good")</f>
        <v>Good</v>
      </c>
      <c r="X49" t="str">
        <f ca="1">IFERROR(__xludf.DUMMYFUNCTION("""COMPUTED_VALUE"""),"Good")</f>
        <v>Good</v>
      </c>
      <c r="Y49" t="str">
        <f ca="1">IFERROR(__xludf.DUMMYFUNCTION("""COMPUTED_VALUE"""),"Good")</f>
        <v>Good</v>
      </c>
      <c r="Z49" t="str">
        <f ca="1">IFERROR(__xludf.DUMMYFUNCTION("""COMPUTED_VALUE"""),"Good")</f>
        <v>Good</v>
      </c>
      <c r="AA49" t="str">
        <f ca="1">IFERROR(__xludf.DUMMYFUNCTION("""COMPUTED_VALUE"""),"Good")</f>
        <v>Good</v>
      </c>
      <c r="AB49" t="str">
        <f ca="1">IFERROR(__xludf.DUMMYFUNCTION("""COMPUTED_VALUE"""),"Good")</f>
        <v>Good</v>
      </c>
      <c r="AC49" t="str">
        <f ca="1">IFERROR(__xludf.DUMMYFUNCTION("""COMPUTED_VALUE"""),"Good")</f>
        <v>Good</v>
      </c>
      <c r="AE49" s="11"/>
      <c r="AF49" t="str">
        <v>Scott.Eastman@floridadep.gov</v>
      </c>
      <c r="AG49" s="17" t="s">
        <v>17</v>
      </c>
      <c r="AH49" s="12"/>
      <c r="AI49" s="12" t="s">
        <v>80</v>
      </c>
      <c r="AJ49" s="19" t="s">
        <v>81</v>
      </c>
      <c r="AK49" s="20" t="str">
        <f>HYPERLINK("https://docs.google.com/document/d/1cZgdQ9Bkry7GfAi9UtVtg27Em-ne__SFXnsOQWLIXOg/edit?usp=drivesdk","James Tomazinis - 4/24/2018 6:45 AM")</f>
        <v>James Tomazinis - 4/24/2018 6:45 AM</v>
      </c>
      <c r="AL49" s="12" t="s">
        <v>82</v>
      </c>
    </row>
    <row r="50" spans="1:38" ht="12.75">
      <c r="A50" s="10">
        <f ca="1">IFERROR(__xludf.DUMMYFUNCTION("""COMPUTED_VALUE"""),43214.3588161226)</f>
        <v>43214.3588161226</v>
      </c>
      <c r="B50" s="11" t="str">
        <f ca="1">IFERROR(__xludf.DUMMYFUNCTION("""COMPUTED_VALUE"""),"Pamela Marcum")</f>
        <v>Pamela Marcum</v>
      </c>
      <c r="C50" t="str">
        <f ca="1">IFERROR(__xludf.DUMMYFUNCTION("""COMPUTED_VALUE"""),"Pamela.Marcum@dep.state.fl.us")</f>
        <v>Pamela.Marcum@dep.state.fl.us</v>
      </c>
      <c r="D50" t="str">
        <f ca="1">IFERROR(__xludf.DUMMYFUNCTION("""COMPUTED_VALUE"""),"Research")</f>
        <v>Research</v>
      </c>
      <c r="E50" t="str">
        <f ca="1">IFERROR(__xludf.DUMMYFUNCTION("""COMPUTED_VALUE"""),"Aunt Kate's")</f>
        <v>Aunt Kate's</v>
      </c>
      <c r="F50" s="13">
        <f ca="1">IFERROR(__xludf.DUMMYFUNCTION("""COMPUTED_VALUE"""),0.36458333333212)</f>
        <v>0.36458333333212001</v>
      </c>
      <c r="G50" s="14">
        <f ca="1">IFERROR(__xludf.DUMMYFUNCTION("""COMPUTED_VALUE"""),43214)</f>
        <v>43214</v>
      </c>
      <c r="H50" t="str">
        <f ca="1">IFERROR(__xludf.DUMMYFUNCTION("""COMPUTED_VALUE"""),"Upper Tolomato River")</f>
        <v>Upper Tolomato River</v>
      </c>
      <c r="I50" s="15">
        <f ca="1">IFERROR(__xludf.DUMMYFUNCTION("""COMPUTED_VALUE"""),0.58333333333212)</f>
        <v>0.58333333333212001</v>
      </c>
      <c r="J50" s="16">
        <f ca="1">IFERROR(__xludf.DUMMYFUNCTION("""COMPUTED_VALUE"""),43214.6041666666)</f>
        <v>43214.604166666599</v>
      </c>
      <c r="K50" t="str">
        <f ca="1">IFERROR(__xludf.DUMMYFUNCTION("""COMPUTED_VALUE"""),"23ft Skiff (Bertha) FL7972LJ DEP07613")</f>
        <v>23ft Skiff (Bertha) FL7972LJ DEP07613</v>
      </c>
      <c r="M50" t="str">
        <f ca="1">IFERROR(__xludf.DUMMYFUNCTION("""COMPUTED_VALUE"""),"Ford F150 2008 - DEP18041 (SWMP Thing)")</f>
        <v>Ford F150 2008 - DEP18041 (SWMP Thing)</v>
      </c>
      <c r="N50" t="str">
        <f ca="1">IFERROR(__xludf.DUMMYFUNCTION("""COMPUTED_VALUE"""),"Nikki Dix, (352) 219-4079, Pam Marcum, (480) 332-5414")</f>
        <v>Nikki Dix, (352) 219-4079, Pam Marcum, (480) 332-5414</v>
      </c>
      <c r="O50" t="str">
        <f ca="1">IFERROR(__xludf.DUMMYFUNCTION("""COMPUTED_VALUE"""),"Greg Kusel, Patrick Norby")</f>
        <v>Greg Kusel, Patrick Norby</v>
      </c>
      <c r="P50" t="str">
        <f ca="1">IFERROR(__xludf.DUMMYFUNCTION("""COMPUTED_VALUE"""),"Pam")</f>
        <v>Pam</v>
      </c>
      <c r="Q50" t="str">
        <f ca="1">IFERROR(__xludf.DUMMYFUNCTION("""COMPUTED_VALUE"""),"Good")</f>
        <v>Good</v>
      </c>
      <c r="R50" t="str">
        <f ca="1">IFERROR(__xludf.DUMMYFUNCTION("""COMPUTED_VALUE"""),"Good")</f>
        <v>Good</v>
      </c>
      <c r="S50" t="str">
        <f ca="1">IFERROR(__xludf.DUMMYFUNCTION("""COMPUTED_VALUE"""),"Good")</f>
        <v>Good</v>
      </c>
      <c r="T50" t="str">
        <f ca="1">IFERROR(__xludf.DUMMYFUNCTION("""COMPUTED_VALUE"""),"Good")</f>
        <v>Good</v>
      </c>
      <c r="U50" t="str">
        <f ca="1">IFERROR(__xludf.DUMMYFUNCTION("""COMPUTED_VALUE"""),"Good")</f>
        <v>Good</v>
      </c>
      <c r="V50" t="str">
        <f ca="1">IFERROR(__xludf.DUMMYFUNCTION("""COMPUTED_VALUE"""),"Good")</f>
        <v>Good</v>
      </c>
      <c r="W50" t="str">
        <f ca="1">IFERROR(__xludf.DUMMYFUNCTION("""COMPUTED_VALUE"""),"Good")</f>
        <v>Good</v>
      </c>
      <c r="X50" t="str">
        <f ca="1">IFERROR(__xludf.DUMMYFUNCTION("""COMPUTED_VALUE"""),"Good")</f>
        <v>Good</v>
      </c>
      <c r="Y50" t="str">
        <f ca="1">IFERROR(__xludf.DUMMYFUNCTION("""COMPUTED_VALUE"""),"Good")</f>
        <v>Good</v>
      </c>
      <c r="Z50" t="str">
        <f ca="1">IFERROR(__xludf.DUMMYFUNCTION("""COMPUTED_VALUE"""),"Good")</f>
        <v>Good</v>
      </c>
      <c r="AA50" t="str">
        <f ca="1">IFERROR(__xludf.DUMMYFUNCTION("""COMPUTED_VALUE"""),"Good")</f>
        <v>Good</v>
      </c>
      <c r="AB50" t="str">
        <f ca="1">IFERROR(__xludf.DUMMYFUNCTION("""COMPUTED_VALUE"""),"Good")</f>
        <v>Good</v>
      </c>
      <c r="AC50" t="str">
        <f ca="1">IFERROR(__xludf.DUMMYFUNCTION("""COMPUTED_VALUE"""),"Good")</f>
        <v>Good</v>
      </c>
      <c r="AE50" s="11"/>
      <c r="AF50" t="str">
        <v>Nikki.Dix@floridadep.gov</v>
      </c>
      <c r="AG50" s="17" t="s">
        <v>17</v>
      </c>
      <c r="AH50" s="12"/>
      <c r="AI50" s="12" t="s">
        <v>83</v>
      </c>
      <c r="AJ50" s="19" t="s">
        <v>84</v>
      </c>
      <c r="AK50" s="20" t="str">
        <f>HYPERLINK("https://docs.google.com/document/d/141YwKW4KI8Q1dzT2ZpYz1hJTIpHl_K-P_b2fL-FVL80/edit?usp=drivesdk","Pamela Marcum - 4/24/2018 8:45 AM")</f>
        <v>Pamela Marcum - 4/24/2018 8:45 AM</v>
      </c>
      <c r="AL50" s="12" t="s">
        <v>85</v>
      </c>
    </row>
    <row r="51" spans="1:38" ht="12.75">
      <c r="A51" s="10">
        <f ca="1">IFERROR(__xludf.DUMMYFUNCTION("""COMPUTED_VALUE"""),43215.2637767939)</f>
        <v>43215.263776793901</v>
      </c>
      <c r="B51" s="11" t="str">
        <f ca="1">IFERROR(__xludf.DUMMYFUNCTION("""COMPUTED_VALUE"""),"Silas Tanner")</f>
        <v>Silas Tanner</v>
      </c>
      <c r="C51" t="str">
        <f ca="1">IFERROR(__xludf.DUMMYFUNCTION("""COMPUTED_VALUE"""),"Silas.tanner@floridadep.gov")</f>
        <v>Silas.tanner@floridadep.gov</v>
      </c>
      <c r="D51" t="str">
        <f ca="1">IFERROR(__xludf.DUMMYFUNCTION("""COMPUTED_VALUE"""),"Research")</f>
        <v>Research</v>
      </c>
      <c r="E51" t="str">
        <f ca="1">IFERROR(__xludf.DUMMYFUNCTION("""COMPUTED_VALUE"""),"Vilano County ramp")</f>
        <v>Vilano County ramp</v>
      </c>
      <c r="F51" s="13">
        <f ca="1">IFERROR(__xludf.DUMMYFUNCTION("""COMPUTED_VALUE"""),0.291666666667879)</f>
        <v>0.29166666666787899</v>
      </c>
      <c r="G51" s="14">
        <f ca="1">IFERROR(__xludf.DUMMYFUNCTION("""COMPUTED_VALUE"""),43215)</f>
        <v>43215</v>
      </c>
      <c r="H51" t="str">
        <f ca="1">IFERROR(__xludf.DUMMYFUNCTION("""COMPUTED_VALUE"""),"ICW SWMP sites")</f>
        <v>ICW SWMP sites</v>
      </c>
      <c r="I51" s="15">
        <f ca="1">IFERROR(__xludf.DUMMYFUNCTION("""COMPUTED_VALUE"""),0.5625)</f>
        <v>0.5625</v>
      </c>
      <c r="J51" s="16">
        <f ca="1">IFERROR(__xludf.DUMMYFUNCTION("""COMPUTED_VALUE"""),43215.5833333333)</f>
        <v>43215.583333333299</v>
      </c>
      <c r="K51" t="str">
        <f ca="1">IFERROR(__xludf.DUMMYFUNCTION("""COMPUTED_VALUE"""),"23ft Skiff (Bertha) FL7972LJ DEP07613")</f>
        <v>23ft Skiff (Bertha) FL7972LJ DEP07613</v>
      </c>
      <c r="M51" t="str">
        <f ca="1">IFERROR(__xludf.DUMMYFUNCTION("""COMPUTED_VALUE"""),"Ford F150 2008 - DEP18041 (SWMP Thing)")</f>
        <v>Ford F150 2008 - DEP18041 (SWMP Thing)</v>
      </c>
      <c r="N51" t="str">
        <f ca="1">IFERROR(__xludf.DUMMYFUNCTION("""COMPUTED_VALUE"""),"Silas Tanner, (904) 483-8423, Jimmy Tomazinis, (904) 547-0094")</f>
        <v>Silas Tanner, (904) 483-8423, Jimmy Tomazinis, (904) 547-0094</v>
      </c>
      <c r="O51" t="str">
        <f ca="1">IFERROR(__xludf.DUMMYFUNCTION("""COMPUTED_VALUE"""),"Jeff Finnan")</f>
        <v>Jeff Finnan</v>
      </c>
      <c r="P51" t="str">
        <f ca="1">IFERROR(__xludf.DUMMYFUNCTION("""COMPUTED_VALUE"""),"Silas Tanner")</f>
        <v>Silas Tanner</v>
      </c>
      <c r="Q51" t="str">
        <f ca="1">IFERROR(__xludf.DUMMYFUNCTION("""COMPUTED_VALUE"""),"Good")</f>
        <v>Good</v>
      </c>
      <c r="R51" t="str">
        <f ca="1">IFERROR(__xludf.DUMMYFUNCTION("""COMPUTED_VALUE"""),"Good")</f>
        <v>Good</v>
      </c>
      <c r="S51" t="str">
        <f ca="1">IFERROR(__xludf.DUMMYFUNCTION("""COMPUTED_VALUE"""),"Good")</f>
        <v>Good</v>
      </c>
      <c r="T51" t="str">
        <f ca="1">IFERROR(__xludf.DUMMYFUNCTION("""COMPUTED_VALUE"""),"Good")</f>
        <v>Good</v>
      </c>
      <c r="U51" t="str">
        <f ca="1">IFERROR(__xludf.DUMMYFUNCTION("""COMPUTED_VALUE"""),"Good")</f>
        <v>Good</v>
      </c>
      <c r="V51" t="str">
        <f ca="1">IFERROR(__xludf.DUMMYFUNCTION("""COMPUTED_VALUE"""),"Good")</f>
        <v>Good</v>
      </c>
      <c r="W51" t="str">
        <f ca="1">IFERROR(__xludf.DUMMYFUNCTION("""COMPUTED_VALUE"""),"Good")</f>
        <v>Good</v>
      </c>
      <c r="X51" t="str">
        <f ca="1">IFERROR(__xludf.DUMMYFUNCTION("""COMPUTED_VALUE"""),"Good")</f>
        <v>Good</v>
      </c>
      <c r="Y51" t="str">
        <f ca="1">IFERROR(__xludf.DUMMYFUNCTION("""COMPUTED_VALUE"""),"Good")</f>
        <v>Good</v>
      </c>
      <c r="Z51" t="str">
        <f ca="1">IFERROR(__xludf.DUMMYFUNCTION("""COMPUTED_VALUE"""),"Good")</f>
        <v>Good</v>
      </c>
      <c r="AA51" t="str">
        <f ca="1">IFERROR(__xludf.DUMMYFUNCTION("""COMPUTED_VALUE"""),"Good")</f>
        <v>Good</v>
      </c>
      <c r="AB51" t="str">
        <f ca="1">IFERROR(__xludf.DUMMYFUNCTION("""COMPUTED_VALUE"""),"Good")</f>
        <v>Good</v>
      </c>
      <c r="AC51" t="str">
        <f ca="1">IFERROR(__xludf.DUMMYFUNCTION("""COMPUTED_VALUE"""),"Good")</f>
        <v>Good</v>
      </c>
      <c r="AE51" s="11"/>
      <c r="AF51" t="str">
        <v>Nikki.Dix@floridadep.gov</v>
      </c>
      <c r="AG51" s="17" t="s">
        <v>17</v>
      </c>
      <c r="AH51" s="12"/>
      <c r="AI51" s="12" t="s">
        <v>86</v>
      </c>
      <c r="AJ51" s="19" t="s">
        <v>87</v>
      </c>
      <c r="AK51" s="20" t="str">
        <f>HYPERLINK("https://docs.google.com/document/d/11JZf3cCy2oWzUnb0sX9zgzWgWoI2_8xAwaHHjF2yHkM/edit?usp=drivesdk","Silas Tanner - 4/25/2018 7:00 AM")</f>
        <v>Silas Tanner - 4/25/2018 7:00 AM</v>
      </c>
      <c r="AL51" s="12" t="s">
        <v>88</v>
      </c>
    </row>
    <row r="52" spans="1:38" ht="12.75">
      <c r="A52" s="10">
        <f ca="1">IFERROR(__xludf.DUMMYFUNCTION("""COMPUTED_VALUE"""),43216.5339157638)</f>
        <v>43216.533915763801</v>
      </c>
      <c r="B52" s="11" t="str">
        <f ca="1">IFERROR(__xludf.DUMMYFUNCTION("""COMPUTED_VALUE"""),"Silas Tanner")</f>
        <v>Silas Tanner</v>
      </c>
      <c r="C52" t="str">
        <f ca="1">IFERROR(__xludf.DUMMYFUNCTION("""COMPUTED_VALUE"""),"silas.tanner@dep.state.fl.us")</f>
        <v>silas.tanner@dep.state.fl.us</v>
      </c>
      <c r="D52" t="str">
        <f ca="1">IFERROR(__xludf.DUMMYFUNCTION("""COMPUTED_VALUE"""),"Research")</f>
        <v>Research</v>
      </c>
      <c r="E52" t="str">
        <f ca="1">IFERROR(__xludf.DUMMYFUNCTION("""COMPUTED_VALUE"""),"Moses Creek floating dock")</f>
        <v>Moses Creek floating dock</v>
      </c>
      <c r="F52" s="13">
        <f ca="1">IFERROR(__xludf.DUMMYFUNCTION("""COMPUTED_VALUE"""),0.604166666667879)</f>
        <v>0.60416666666787899</v>
      </c>
      <c r="G52" s="14">
        <f ca="1">IFERROR(__xludf.DUMMYFUNCTION("""COMPUTED_VALUE"""),43216)</f>
        <v>43216</v>
      </c>
      <c r="H52" t="str">
        <f ca="1">IFERROR(__xludf.DUMMYFUNCTION("""COMPUTED_VALUE"""),"Moses Creek vegetation platforms")</f>
        <v>Moses Creek vegetation platforms</v>
      </c>
      <c r="I52" s="15">
        <f ca="1">IFERROR(__xludf.DUMMYFUNCTION("""COMPUTED_VALUE"""),0.729166666667879)</f>
        <v>0.72916666666787899</v>
      </c>
      <c r="J52" s="16">
        <f ca="1">IFERROR(__xludf.DUMMYFUNCTION("""COMPUTED_VALUE"""),43216.7708333333)</f>
        <v>43216.770833333299</v>
      </c>
      <c r="K52" t="str">
        <f ca="1">IFERROR(__xludf.DUMMYFUNCTION("""COMPUTED_VALUE"""),"Canoe(s)")</f>
        <v>Canoe(s)</v>
      </c>
      <c r="L52">
        <f ca="1">IFERROR(__xludf.DUMMYFUNCTION("""COMPUTED_VALUE"""),2)</f>
        <v>2</v>
      </c>
      <c r="M52" t="str">
        <f ca="1">IFERROR(__xludf.DUMMYFUNCTION("""COMPUTED_VALUE"""),"Ford F150 2008 - DEP18041 (SWMP Thing)")</f>
        <v>Ford F150 2008 - DEP18041 (SWMP Thing)</v>
      </c>
      <c r="N52" t="str">
        <f ca="1">IFERROR(__xludf.DUMMYFUNCTION("""COMPUTED_VALUE"""),"Pam Marcum, (480) 332-5414, Silas Tanner, (904) 483-8423, Ben Mowbray, (407) 962-8782")</f>
        <v>Pam Marcum, (480) 332-5414, Silas Tanner, (904) 483-8423, Ben Mowbray, (407) 962-8782</v>
      </c>
      <c r="P52" t="str">
        <f ca="1">IFERROR(__xludf.DUMMYFUNCTION("""COMPUTED_VALUE"""),"Pam Marcum")</f>
        <v>Pam Marcum</v>
      </c>
      <c r="Q52" t="str">
        <f ca="1">IFERROR(__xludf.DUMMYFUNCTION("""COMPUTED_VALUE"""),"Good")</f>
        <v>Good</v>
      </c>
      <c r="R52" t="str">
        <f ca="1">IFERROR(__xludf.DUMMYFUNCTION("""COMPUTED_VALUE"""),"Good")</f>
        <v>Good</v>
      </c>
      <c r="S52" t="str">
        <f ca="1">IFERROR(__xludf.DUMMYFUNCTION("""COMPUTED_VALUE"""),"Good")</f>
        <v>Good</v>
      </c>
      <c r="T52" t="str">
        <f ca="1">IFERROR(__xludf.DUMMYFUNCTION("""COMPUTED_VALUE"""),"Good")</f>
        <v>Good</v>
      </c>
      <c r="U52" t="str">
        <f ca="1">IFERROR(__xludf.DUMMYFUNCTION("""COMPUTED_VALUE"""),"Good")</f>
        <v>Good</v>
      </c>
      <c r="V52" t="str">
        <f ca="1">IFERROR(__xludf.DUMMYFUNCTION("""COMPUTED_VALUE"""),"Good")</f>
        <v>Good</v>
      </c>
      <c r="W52" t="str">
        <f ca="1">IFERROR(__xludf.DUMMYFUNCTION("""COMPUTED_VALUE"""),"Good")</f>
        <v>Good</v>
      </c>
      <c r="X52" t="str">
        <f ca="1">IFERROR(__xludf.DUMMYFUNCTION("""COMPUTED_VALUE"""),"Good")</f>
        <v>Good</v>
      </c>
      <c r="Y52" t="str">
        <f ca="1">IFERROR(__xludf.DUMMYFUNCTION("""COMPUTED_VALUE"""),"Good")</f>
        <v>Good</v>
      </c>
      <c r="Z52" t="str">
        <f ca="1">IFERROR(__xludf.DUMMYFUNCTION("""COMPUTED_VALUE"""),"Good")</f>
        <v>Good</v>
      </c>
      <c r="AA52" t="str">
        <f ca="1">IFERROR(__xludf.DUMMYFUNCTION("""COMPUTED_VALUE"""),"Good")</f>
        <v>Good</v>
      </c>
      <c r="AB52" t="str">
        <f ca="1">IFERROR(__xludf.DUMMYFUNCTION("""COMPUTED_VALUE"""),"Good")</f>
        <v>Good</v>
      </c>
      <c r="AC52" t="str">
        <f ca="1">IFERROR(__xludf.DUMMYFUNCTION("""COMPUTED_VALUE"""),"Good")</f>
        <v>Good</v>
      </c>
      <c r="AE52" s="11"/>
      <c r="AF52" t="str">
        <v>Nikki.Dix@floridadep.gov</v>
      </c>
      <c r="AG52" s="17" t="s">
        <v>41</v>
      </c>
      <c r="AH52" s="12"/>
      <c r="AI52" s="12" t="s">
        <v>89</v>
      </c>
      <c r="AJ52" s="19" t="s">
        <v>90</v>
      </c>
      <c r="AK52" s="20" t="str">
        <f>HYPERLINK("https://docs.google.com/document/d/1eL5Q6SNkiPmg7jIbli2gKBq4HNhYtjpYK0Xasr2D1E4/edit?usp=drivesdk","Silas Tanner - 4/26/2018 2:30 PM")</f>
        <v>Silas Tanner - 4/26/2018 2:30 PM</v>
      </c>
      <c r="AL52" s="12" t="s">
        <v>91</v>
      </c>
    </row>
    <row r="53" spans="1:38" ht="12.75">
      <c r="A53" s="10">
        <f ca="1">IFERROR(__xludf.DUMMYFUNCTION("""COMPUTED_VALUE"""),43217.3732522453)</f>
        <v>43217.373252245299</v>
      </c>
      <c r="B53" s="11" t="str">
        <f ca="1">IFERROR(__xludf.DUMMYFUNCTION("""COMPUTED_VALUE"""),"Shannon Dunnigan")</f>
        <v>Shannon Dunnigan</v>
      </c>
      <c r="C53" t="str">
        <f ca="1">IFERROR(__xludf.DUMMYFUNCTION("""COMPUTED_VALUE"""),"Shannon.Dunnigan@dep.state.fl.us")</f>
        <v>Shannon.Dunnigan@dep.state.fl.us</v>
      </c>
      <c r="D53" t="str">
        <f ca="1">IFERROR(__xludf.DUMMYFUNCTION("""COMPUTED_VALUE"""),"Research")</f>
        <v>Research</v>
      </c>
      <c r="E53" t="str">
        <f ca="1">IFERROR(__xludf.DUMMYFUNCTION("""COMPUTED_VALUE"""),"Bings Landing")</f>
        <v>Bings Landing</v>
      </c>
      <c r="F53" s="13">
        <f ca="1">IFERROR(__xludf.DUMMYFUNCTION("""COMPUTED_VALUE"""),0.42708333333212)</f>
        <v>0.42708333333212001</v>
      </c>
      <c r="G53" s="14">
        <f ca="1">IFERROR(__xludf.DUMMYFUNCTION("""COMPUTED_VALUE"""),43217)</f>
        <v>43217</v>
      </c>
      <c r="H53" t="str">
        <f ca="1">IFERROR(__xludf.DUMMYFUNCTION("""COMPUTED_VALUE"""),"Summerhaven")</f>
        <v>Summerhaven</v>
      </c>
      <c r="I53" s="15">
        <f ca="1">IFERROR(__xludf.DUMMYFUNCTION("""COMPUTED_VALUE"""),0.0208333333321206)</f>
        <v>2.0833333332120601E-2</v>
      </c>
      <c r="J53" s="16">
        <f ca="1">IFERROR(__xludf.DUMMYFUNCTION("""COMPUTED_VALUE"""),43217.6041666666)</f>
        <v>43217.604166666599</v>
      </c>
      <c r="K53" t="str">
        <f ca="1">IFERROR(__xludf.DUMMYFUNCTION("""COMPUTED_VALUE"""),"20ft Sea Ark FL5351SJ UNF 2015")</f>
        <v>20ft Sea Ark FL5351SJ UNF 2015</v>
      </c>
      <c r="M53" t="str">
        <f ca="1">IFERROR(__xludf.DUMMYFUNCTION("""COMPUTED_VALUE"""),"Ford F150 2008 - DEP18041 (SWMP Thing)")</f>
        <v>Ford F150 2008 - DEP18041 (SWMP Thing)</v>
      </c>
      <c r="N53" t="str">
        <f ca="1">IFERROR(__xludf.DUMMYFUNCTION("""COMPUTED_VALUE"""),"Shannon Dunnigan, (803) 727-5734")</f>
        <v>Shannon Dunnigan, (803) 727-5734</v>
      </c>
      <c r="O53" t="str">
        <f ca="1">IFERROR(__xludf.DUMMYFUNCTION("""COMPUTED_VALUE"""),"Matt Brown, Westly Woodward, Ally Hartnett")</f>
        <v>Matt Brown, Westly Woodward, Ally Hartnett</v>
      </c>
      <c r="P53" t="str">
        <f ca="1">IFERROR(__xludf.DUMMYFUNCTION("""COMPUTED_VALUE"""),"Shannon")</f>
        <v>Shannon</v>
      </c>
      <c r="Q53" t="str">
        <f ca="1">IFERROR(__xludf.DUMMYFUNCTION("""COMPUTED_VALUE"""),"Good")</f>
        <v>Good</v>
      </c>
      <c r="R53" t="str">
        <f ca="1">IFERROR(__xludf.DUMMYFUNCTION("""COMPUTED_VALUE"""),"Good")</f>
        <v>Good</v>
      </c>
      <c r="S53" t="str">
        <f ca="1">IFERROR(__xludf.DUMMYFUNCTION("""COMPUTED_VALUE"""),"Good")</f>
        <v>Good</v>
      </c>
      <c r="T53" t="str">
        <f ca="1">IFERROR(__xludf.DUMMYFUNCTION("""COMPUTED_VALUE"""),"Good")</f>
        <v>Good</v>
      </c>
      <c r="U53" t="str">
        <f ca="1">IFERROR(__xludf.DUMMYFUNCTION("""COMPUTED_VALUE"""),"Good")</f>
        <v>Good</v>
      </c>
      <c r="V53" t="str">
        <f ca="1">IFERROR(__xludf.DUMMYFUNCTION("""COMPUTED_VALUE"""),"Good")</f>
        <v>Good</v>
      </c>
      <c r="W53" t="str">
        <f ca="1">IFERROR(__xludf.DUMMYFUNCTION("""COMPUTED_VALUE"""),"Good")</f>
        <v>Good</v>
      </c>
      <c r="X53" t="str">
        <f ca="1">IFERROR(__xludf.DUMMYFUNCTION("""COMPUTED_VALUE"""),"Good")</f>
        <v>Good</v>
      </c>
      <c r="Y53" t="str">
        <f ca="1">IFERROR(__xludf.DUMMYFUNCTION("""COMPUTED_VALUE"""),"Good")</f>
        <v>Good</v>
      </c>
      <c r="Z53" t="str">
        <f ca="1">IFERROR(__xludf.DUMMYFUNCTION("""COMPUTED_VALUE"""),"Good")</f>
        <v>Good</v>
      </c>
      <c r="AA53" t="str">
        <f ca="1">IFERROR(__xludf.DUMMYFUNCTION("""COMPUTED_VALUE"""),"Good")</f>
        <v>Good</v>
      </c>
      <c r="AB53" t="str">
        <f ca="1">IFERROR(__xludf.DUMMYFUNCTION("""COMPUTED_VALUE"""),"Good")</f>
        <v>Good</v>
      </c>
      <c r="AC53" t="str">
        <f ca="1">IFERROR(__xludf.DUMMYFUNCTION("""COMPUTED_VALUE"""),"Good")</f>
        <v>Good</v>
      </c>
      <c r="AE53" s="11"/>
      <c r="AF53" t="str">
        <v>Nikki.Dix@floridadep.gov</v>
      </c>
      <c r="AG53" s="17" t="s">
        <v>17</v>
      </c>
      <c r="AH53" s="12"/>
      <c r="AI53" s="12" t="s">
        <v>92</v>
      </c>
      <c r="AJ53" s="19" t="s">
        <v>93</v>
      </c>
      <c r="AK53" s="20" t="str">
        <f>HYPERLINK("https://docs.google.com/document/d/1pqxIs0u3K7GhvcOKvyC8IjsZWvGnhWY4BbRyjvR0EHs/edit?usp=drivesdk","Shannon Dunnigan - 4/27/2018 10:15 AM")</f>
        <v>Shannon Dunnigan - 4/27/2018 10:15 AM</v>
      </c>
      <c r="AL53" s="12" t="s">
        <v>94</v>
      </c>
    </row>
    <row r="54" spans="1:38" ht="12.75">
      <c r="A54" s="10">
        <f ca="1">IFERROR(__xludf.DUMMYFUNCTION("""COMPUTED_VALUE"""),43217.4770742592)</f>
        <v>43217.477074259201</v>
      </c>
      <c r="B54" s="11" t="str">
        <f ca="1">IFERROR(__xludf.DUMMYFUNCTION("""COMPUTED_VALUE"""),"Pamela Marcum")</f>
        <v>Pamela Marcum</v>
      </c>
      <c r="C54" t="str">
        <f ca="1">IFERROR(__xludf.DUMMYFUNCTION("""COMPUTED_VALUE"""),"Pamela.Marcum@dep.state.fl.us")</f>
        <v>Pamela.Marcum@dep.state.fl.us</v>
      </c>
      <c r="D54" t="str">
        <f ca="1">IFERROR(__xludf.DUMMYFUNCTION("""COMPUTED_VALUE"""),"Research")</f>
        <v>Research</v>
      </c>
      <c r="E54" t="str">
        <f ca="1">IFERROR(__xludf.DUMMYFUNCTION("""COMPUTED_VALUE"""),"Usina Ramp/Aunt Kate's")</f>
        <v>Usina Ramp/Aunt Kate's</v>
      </c>
      <c r="F54" s="13">
        <f ca="1">IFERROR(__xludf.DUMMYFUNCTION("""COMPUTED_VALUE"""),0.479166666667879)</f>
        <v>0.47916666666787899</v>
      </c>
      <c r="G54" s="14">
        <f ca="1">IFERROR(__xludf.DUMMYFUNCTION("""COMPUTED_VALUE"""),43217)</f>
        <v>43217</v>
      </c>
      <c r="H54" t="str">
        <f ca="1">IFERROR(__xludf.DUMMYFUNCTION("""COMPUTED_VALUE"""),"Tolomato River- Angelini Sites")</f>
        <v>Tolomato River- Angelini Sites</v>
      </c>
      <c r="I54" s="15">
        <f ca="1">IFERROR(__xludf.DUMMYFUNCTION("""COMPUTED_VALUE"""),0.75)</f>
        <v>0.75</v>
      </c>
      <c r="J54" s="16">
        <f ca="1">IFERROR(__xludf.DUMMYFUNCTION("""COMPUTED_VALUE"""),43217.7708333333)</f>
        <v>43217.770833333299</v>
      </c>
      <c r="K54" t="str">
        <f ca="1">IFERROR(__xludf.DUMMYFUNCTION("""COMPUTED_VALUE"""),"23ft Skiff (Bertha) FL7972LJ DEP07613")</f>
        <v>23ft Skiff (Bertha) FL7972LJ DEP07613</v>
      </c>
      <c r="M54" t="str">
        <f ca="1">IFERROR(__xludf.DUMMYFUNCTION("""COMPUTED_VALUE"""),"Ford F250 2017 (Moby Dix) - DEP0021578")</f>
        <v>Ford F250 2017 (Moby Dix) - DEP0021578</v>
      </c>
      <c r="N54" t="str">
        <f ca="1">IFERROR(__xludf.DUMMYFUNCTION("""COMPUTED_VALUE"""),"Pam Marcum, (480) 332-5414, Remo Mondazzi")</f>
        <v>Pam Marcum, (480) 332-5414, Remo Mondazzi</v>
      </c>
      <c r="O54" t="str">
        <f ca="1">IFERROR(__xludf.DUMMYFUNCTION("""COMPUTED_VALUE"""),"Benjamin Mowbray, (407) 962-8782, Christine Angelini, Patrick Norby, Greg Kusel, Annie Otto, Jessica Lee")</f>
        <v>Benjamin Mowbray, (407) 962-8782, Christine Angelini, Patrick Norby, Greg Kusel, Annie Otto, Jessica Lee</v>
      </c>
      <c r="P54" t="str">
        <f ca="1">IFERROR(__xludf.DUMMYFUNCTION("""COMPUTED_VALUE"""),"Pam Marcum")</f>
        <v>Pam Marcum</v>
      </c>
      <c r="Q54" t="str">
        <f ca="1">IFERROR(__xludf.DUMMYFUNCTION("""COMPUTED_VALUE"""),"Good")</f>
        <v>Good</v>
      </c>
      <c r="R54" t="str">
        <f ca="1">IFERROR(__xludf.DUMMYFUNCTION("""COMPUTED_VALUE"""),"Good")</f>
        <v>Good</v>
      </c>
      <c r="S54" t="str">
        <f ca="1">IFERROR(__xludf.DUMMYFUNCTION("""COMPUTED_VALUE"""),"Good")</f>
        <v>Good</v>
      </c>
      <c r="T54" t="str">
        <f ca="1">IFERROR(__xludf.DUMMYFUNCTION("""COMPUTED_VALUE"""),"Good")</f>
        <v>Good</v>
      </c>
      <c r="U54" t="str">
        <f ca="1">IFERROR(__xludf.DUMMYFUNCTION("""COMPUTED_VALUE"""),"Good")</f>
        <v>Good</v>
      </c>
      <c r="V54" t="str">
        <f ca="1">IFERROR(__xludf.DUMMYFUNCTION("""COMPUTED_VALUE"""),"Good")</f>
        <v>Good</v>
      </c>
      <c r="W54" t="str">
        <f ca="1">IFERROR(__xludf.DUMMYFUNCTION("""COMPUTED_VALUE"""),"Good")</f>
        <v>Good</v>
      </c>
      <c r="X54" t="str">
        <f ca="1">IFERROR(__xludf.DUMMYFUNCTION("""COMPUTED_VALUE"""),"Good")</f>
        <v>Good</v>
      </c>
      <c r="Y54" t="str">
        <f ca="1">IFERROR(__xludf.DUMMYFUNCTION("""COMPUTED_VALUE"""),"Good")</f>
        <v>Good</v>
      </c>
      <c r="Z54" t="str">
        <f ca="1">IFERROR(__xludf.DUMMYFUNCTION("""COMPUTED_VALUE"""),"Good")</f>
        <v>Good</v>
      </c>
      <c r="AA54" t="str">
        <f ca="1">IFERROR(__xludf.DUMMYFUNCTION("""COMPUTED_VALUE"""),"Good")</f>
        <v>Good</v>
      </c>
      <c r="AB54" t="str">
        <f ca="1">IFERROR(__xludf.DUMMYFUNCTION("""COMPUTED_VALUE"""),"Good")</f>
        <v>Good</v>
      </c>
      <c r="AC54" t="str">
        <f ca="1">IFERROR(__xludf.DUMMYFUNCTION("""COMPUTED_VALUE"""),"Good")</f>
        <v>Good</v>
      </c>
      <c r="AE54" s="11"/>
      <c r="AF54" t="str">
        <v>Nikki.Dix@floridadep.gov</v>
      </c>
      <c r="AG54" s="17" t="s">
        <v>41</v>
      </c>
      <c r="AH54" s="12"/>
      <c r="AI54" s="12" t="s">
        <v>95</v>
      </c>
      <c r="AJ54" s="19" t="s">
        <v>96</v>
      </c>
      <c r="AK54" s="20" t="str">
        <f>HYPERLINK("https://docs.google.com/document/d/1o_kh_Z-U6_tGhTgiT0C3Z1YHstpG_03KK-kY2lq7ebs/edit?usp=drivesdk","Pamela Marcum - 4/27/2018 11:30 AM")</f>
        <v>Pamela Marcum - 4/27/2018 11:30 AM</v>
      </c>
      <c r="AL54" s="12" t="s">
        <v>97</v>
      </c>
    </row>
    <row r="55" spans="1:38" ht="12.75">
      <c r="A55" s="10">
        <f ca="1">IFERROR(__xludf.DUMMYFUNCTION("""COMPUTED_VALUE"""),43220.4149645833)</f>
        <v>43220.414964583302</v>
      </c>
      <c r="B55" s="11" t="str">
        <f ca="1">IFERROR(__xludf.DUMMYFUNCTION("""COMPUTED_VALUE"""),"Silas Tanner")</f>
        <v>Silas Tanner</v>
      </c>
      <c r="C55" t="str">
        <f ca="1">IFERROR(__xludf.DUMMYFUNCTION("""COMPUTED_VALUE"""),"silas.tanner@floridadep.gov")</f>
        <v>silas.tanner@floridadep.gov</v>
      </c>
      <c r="D55" t="str">
        <f ca="1">IFERROR(__xludf.DUMMYFUNCTION("""COMPUTED_VALUE"""),"Research")</f>
        <v>Research</v>
      </c>
      <c r="E55" t="str">
        <f ca="1">IFERROR(__xludf.DUMMYFUNCTION("""COMPUTED_VALUE"""),"Vilano County Ramp")</f>
        <v>Vilano County Ramp</v>
      </c>
      <c r="F55" s="13">
        <f ca="1">IFERROR(__xludf.DUMMYFUNCTION("""COMPUTED_VALUE"""),0.385416666667879)</f>
        <v>0.38541666666787899</v>
      </c>
      <c r="G55" s="14">
        <f ca="1">IFERROR(__xludf.DUMMYFUNCTION("""COMPUTED_VALUE"""),43221)</f>
        <v>43221</v>
      </c>
      <c r="H55" t="str">
        <f ca="1">IFERROR(__xludf.DUMMYFUNCTION("""COMPUTED_VALUE"""),"ICW - SWMP sites FM, SS &amp; PI")</f>
        <v>ICW - SWMP sites FM, SS &amp; PI</v>
      </c>
      <c r="I55" s="15">
        <f ca="1">IFERROR(__xludf.DUMMYFUNCTION("""COMPUTED_VALUE"""),0.5625)</f>
        <v>0.5625</v>
      </c>
      <c r="J55" s="16">
        <f ca="1">IFERROR(__xludf.DUMMYFUNCTION("""COMPUTED_VALUE"""),43221.5729166666)</f>
        <v>43221.572916666599</v>
      </c>
      <c r="K55" t="str">
        <f ca="1">IFERROR(__xludf.DUMMYFUNCTION("""COMPUTED_VALUE"""),"20ft Sea Ark FL5351SJ UNF 2015")</f>
        <v>20ft Sea Ark FL5351SJ UNF 2015</v>
      </c>
      <c r="M55" t="str">
        <f ca="1">IFERROR(__xludf.DUMMYFUNCTION("""COMPUTED_VALUE"""),"Ford F250 2017 (Moby Dix) - DEP0021578")</f>
        <v>Ford F250 2017 (Moby Dix) - DEP0021578</v>
      </c>
      <c r="N55" t="str">
        <f ca="1">IFERROR(__xludf.DUMMYFUNCTION("""COMPUTED_VALUE"""),"Silas Tanner, (904) 483-8423, Remo Mondazi")</f>
        <v>Silas Tanner, (904) 483-8423, Remo Mondazi</v>
      </c>
      <c r="P55" t="str">
        <f ca="1">IFERROR(__xludf.DUMMYFUNCTION("""COMPUTED_VALUE"""),"Silas Tanner")</f>
        <v>Silas Tanner</v>
      </c>
      <c r="Q55" t="str">
        <f ca="1">IFERROR(__xludf.DUMMYFUNCTION("""COMPUTED_VALUE"""),"Good")</f>
        <v>Good</v>
      </c>
      <c r="R55" t="str">
        <f ca="1">IFERROR(__xludf.DUMMYFUNCTION("""COMPUTED_VALUE"""),"Good")</f>
        <v>Good</v>
      </c>
      <c r="S55" t="str">
        <f ca="1">IFERROR(__xludf.DUMMYFUNCTION("""COMPUTED_VALUE"""),"Good")</f>
        <v>Good</v>
      </c>
      <c r="T55" t="str">
        <f ca="1">IFERROR(__xludf.DUMMYFUNCTION("""COMPUTED_VALUE"""),"Good")</f>
        <v>Good</v>
      </c>
      <c r="U55" t="str">
        <f ca="1">IFERROR(__xludf.DUMMYFUNCTION("""COMPUTED_VALUE"""),"Good")</f>
        <v>Good</v>
      </c>
      <c r="V55" t="str">
        <f ca="1">IFERROR(__xludf.DUMMYFUNCTION("""COMPUTED_VALUE"""),"Good")</f>
        <v>Good</v>
      </c>
      <c r="W55" t="str">
        <f ca="1">IFERROR(__xludf.DUMMYFUNCTION("""COMPUTED_VALUE"""),"Good")</f>
        <v>Good</v>
      </c>
      <c r="X55" t="str">
        <f ca="1">IFERROR(__xludf.DUMMYFUNCTION("""COMPUTED_VALUE"""),"Good")</f>
        <v>Good</v>
      </c>
      <c r="Y55" t="str">
        <f ca="1">IFERROR(__xludf.DUMMYFUNCTION("""COMPUTED_VALUE"""),"Good")</f>
        <v>Good</v>
      </c>
      <c r="Z55" t="str">
        <f ca="1">IFERROR(__xludf.DUMMYFUNCTION("""COMPUTED_VALUE"""),"Good")</f>
        <v>Good</v>
      </c>
      <c r="AA55" t="str">
        <f ca="1">IFERROR(__xludf.DUMMYFUNCTION("""COMPUTED_VALUE"""),"Good")</f>
        <v>Good</v>
      </c>
      <c r="AB55" t="str">
        <f ca="1">IFERROR(__xludf.DUMMYFUNCTION("""COMPUTED_VALUE"""),"Good")</f>
        <v>Good</v>
      </c>
      <c r="AC55" t="str">
        <f ca="1">IFERROR(__xludf.DUMMYFUNCTION("""COMPUTED_VALUE"""),"Good")</f>
        <v>Good</v>
      </c>
      <c r="AE55" s="11"/>
      <c r="AF55" t="str">
        <v>Nikki.Dix@floridadep.gov</v>
      </c>
      <c r="AG55" s="17" t="s">
        <v>17</v>
      </c>
      <c r="AH55" s="12"/>
      <c r="AI55" s="12" t="s">
        <v>98</v>
      </c>
      <c r="AJ55" s="19" t="s">
        <v>99</v>
      </c>
      <c r="AK55" s="20" t="str">
        <f>HYPERLINK("https://docs.google.com/document/d/15XlgdKXD7KIdSk2IIAY4JghUF2KIMnTCytAv-cTrJKA/edit?usp=drivesdk","Silas Tanner - 5/1/2018 9:15 AM")</f>
        <v>Silas Tanner - 5/1/2018 9:15 AM</v>
      </c>
      <c r="AL55" s="12" t="s">
        <v>100</v>
      </c>
    </row>
    <row r="56" spans="1:38" ht="12.75">
      <c r="A56" s="10">
        <f ca="1">IFERROR(__xludf.DUMMYFUNCTION("""COMPUTED_VALUE"""),43221.4103299884)</f>
        <v>43221.410329988401</v>
      </c>
      <c r="B56" s="11" t="str">
        <f ca="1">IFERROR(__xludf.DUMMYFUNCTION("""COMPUTED_VALUE"""),"Ben Mowbray")</f>
        <v>Ben Mowbray</v>
      </c>
      <c r="C56" t="str">
        <f ca="1">IFERROR(__xludf.DUMMYFUNCTION("""COMPUTED_VALUE"""),"ben.mowbray@dep.state.fl.us")</f>
        <v>ben.mowbray@dep.state.fl.us</v>
      </c>
      <c r="D56" t="str">
        <f ca="1">IFERROR(__xludf.DUMMYFUNCTION("""COMPUTED_VALUE"""),"Research")</f>
        <v>Research</v>
      </c>
      <c r="E56" t="str">
        <f ca="1">IFERROR(__xludf.DUMMYFUNCTION("""COMPUTED_VALUE"""),"Vilano")</f>
        <v>Vilano</v>
      </c>
      <c r="F56" s="13">
        <f ca="1">IFERROR(__xludf.DUMMYFUNCTION("""COMPUTED_VALUE"""),0.430555555554747)</f>
        <v>0.430555555554747</v>
      </c>
      <c r="G56" s="14">
        <f ca="1">IFERROR(__xludf.DUMMYFUNCTION("""COMPUTED_VALUE"""),43221)</f>
        <v>43221</v>
      </c>
      <c r="H56" t="str">
        <f ca="1">IFERROR(__xludf.DUMMYFUNCTION("""COMPUTED_VALUE"""),"Check Off")</f>
        <v>Check Off</v>
      </c>
      <c r="I56" s="15">
        <f ca="1">IFERROR(__xludf.DUMMYFUNCTION("""COMPUTED_VALUE"""),0.5)</f>
        <v>0.5</v>
      </c>
      <c r="J56" s="16">
        <f ca="1">IFERROR(__xludf.DUMMYFUNCTION("""COMPUTED_VALUE"""),43221.2173611111)</f>
        <v>43221.217361111099</v>
      </c>
      <c r="K56" t="str">
        <f ca="1">IFERROR(__xludf.DUMMYFUNCTION("""COMPUTED_VALUE"""),"23ft Skiff (Bertha) FL7972LJ DEP07613")</f>
        <v>23ft Skiff (Bertha) FL7972LJ DEP07613</v>
      </c>
      <c r="M56" t="str">
        <f ca="1">IFERROR(__xludf.DUMMYFUNCTION("""COMPUTED_VALUE"""),"Ford 150 2007 with covered cap - DEP06870")</f>
        <v>Ford 150 2007 with covered cap - DEP06870</v>
      </c>
      <c r="N56" t="str">
        <f ca="1">IFERROR(__xludf.DUMMYFUNCTION("""COMPUTED_VALUE"""),"Joseph Burgess, (904) 599-2723, Ben Mowbray, (407) 962-8782")</f>
        <v>Joseph Burgess, (904) 599-2723, Ben Mowbray, (407) 962-8782</v>
      </c>
      <c r="O56" t="str">
        <f ca="1">IFERROR(__xludf.DUMMYFUNCTION("""COMPUTED_VALUE"""),"Benjamin Mowbray, (407) 962-8782, Joseph Burgess, (904) 599-2723")</f>
        <v>Benjamin Mowbray, (407) 962-8782, Joseph Burgess, (904) 599-2723</v>
      </c>
      <c r="P56" t="str">
        <f ca="1">IFERROR(__xludf.DUMMYFUNCTION("""COMPUTED_VALUE"""),"Ben Mowbray")</f>
        <v>Ben Mowbray</v>
      </c>
      <c r="Q56" t="str">
        <f ca="1">IFERROR(__xludf.DUMMYFUNCTION("""COMPUTED_VALUE"""),"Good")</f>
        <v>Good</v>
      </c>
      <c r="R56" t="str">
        <f ca="1">IFERROR(__xludf.DUMMYFUNCTION("""COMPUTED_VALUE"""),"Good")</f>
        <v>Good</v>
      </c>
      <c r="S56" t="str">
        <f ca="1">IFERROR(__xludf.DUMMYFUNCTION("""COMPUTED_VALUE"""),"Good")</f>
        <v>Good</v>
      </c>
      <c r="T56" t="str">
        <f ca="1">IFERROR(__xludf.DUMMYFUNCTION("""COMPUTED_VALUE"""),"Good")</f>
        <v>Good</v>
      </c>
      <c r="U56" t="str">
        <f ca="1">IFERROR(__xludf.DUMMYFUNCTION("""COMPUTED_VALUE"""),"Good")</f>
        <v>Good</v>
      </c>
      <c r="V56" t="str">
        <f ca="1">IFERROR(__xludf.DUMMYFUNCTION("""COMPUTED_VALUE"""),"Good")</f>
        <v>Good</v>
      </c>
      <c r="W56" t="str">
        <f ca="1">IFERROR(__xludf.DUMMYFUNCTION("""COMPUTED_VALUE"""),"Good")</f>
        <v>Good</v>
      </c>
      <c r="X56" t="str">
        <f ca="1">IFERROR(__xludf.DUMMYFUNCTION("""COMPUTED_VALUE"""),"Good")</f>
        <v>Good</v>
      </c>
      <c r="Y56" t="str">
        <f ca="1">IFERROR(__xludf.DUMMYFUNCTION("""COMPUTED_VALUE"""),"Good")</f>
        <v>Good</v>
      </c>
      <c r="Z56" t="str">
        <f ca="1">IFERROR(__xludf.DUMMYFUNCTION("""COMPUTED_VALUE"""),"Good")</f>
        <v>Good</v>
      </c>
      <c r="AA56" t="str">
        <f ca="1">IFERROR(__xludf.DUMMYFUNCTION("""COMPUTED_VALUE"""),"Good")</f>
        <v>Good</v>
      </c>
      <c r="AB56" t="str">
        <f ca="1">IFERROR(__xludf.DUMMYFUNCTION("""COMPUTED_VALUE"""),"Good")</f>
        <v>Good</v>
      </c>
      <c r="AC56" t="str">
        <f ca="1">IFERROR(__xludf.DUMMYFUNCTION("""COMPUTED_VALUE"""),"Good")</f>
        <v>Good</v>
      </c>
      <c r="AE56" s="11"/>
      <c r="AF56" t="str">
        <v>Nikki.Dix@floridadep.gov</v>
      </c>
      <c r="AG56" s="17" t="s">
        <v>17</v>
      </c>
      <c r="AH56" s="12"/>
      <c r="AI56" s="12" t="s">
        <v>101</v>
      </c>
      <c r="AJ56" s="19" t="s">
        <v>102</v>
      </c>
      <c r="AK56" s="20" t="str">
        <f>HYPERLINK("https://docs.google.com/document/d/1v2wrRH98Mb6W56K8yPZheM1Zp9pKLMkjPI3HLleM2-E/edit?usp=drivesdk","Ben Mowbray - 5/1/2018 10:20 AM")</f>
        <v>Ben Mowbray - 5/1/2018 10:20 AM</v>
      </c>
      <c r="AL56" s="12" t="s">
        <v>103</v>
      </c>
    </row>
    <row r="57" spans="1:38" ht="12.75">
      <c r="A57" s="10">
        <f ca="1">IFERROR(__xludf.DUMMYFUNCTION("""COMPUTED_VALUE"""),43221.7139232407)</f>
        <v>43221.713923240699</v>
      </c>
      <c r="B57" s="11" t="str">
        <f ca="1">IFERROR(__xludf.DUMMYFUNCTION("""COMPUTED_VALUE"""),"Pamela Marcum")</f>
        <v>Pamela Marcum</v>
      </c>
      <c r="C57" t="str">
        <f ca="1">IFERROR(__xludf.DUMMYFUNCTION("""COMPUTED_VALUE"""),"Pamela.Marcum@Dep.state.fl.us")</f>
        <v>Pamela.Marcum@Dep.state.fl.us</v>
      </c>
      <c r="D57" t="str">
        <f ca="1">IFERROR(__xludf.DUMMYFUNCTION("""COMPUTED_VALUE"""),"Research")</f>
        <v>Research</v>
      </c>
      <c r="E57" t="str">
        <f ca="1">IFERROR(__xludf.DUMMYFUNCTION("""COMPUTED_VALUE"""),"Crane Park/Shore Drive")</f>
        <v>Crane Park/Shore Drive</v>
      </c>
      <c r="F57" s="13">
        <f ca="1">IFERROR(__xludf.DUMMYFUNCTION("""COMPUTED_VALUE"""),0.375)</f>
        <v>0.375</v>
      </c>
      <c r="G57" s="14">
        <f ca="1">IFERROR(__xludf.DUMMYFUNCTION("""COMPUTED_VALUE"""),43222)</f>
        <v>43222</v>
      </c>
      <c r="H57" t="str">
        <f ca="1">IFERROR(__xludf.DUMMYFUNCTION("""COMPUTED_VALUE"""),"Matanzas River Marshes")</f>
        <v>Matanzas River Marshes</v>
      </c>
      <c r="I57" s="15">
        <f ca="1">IFERROR(__xludf.DUMMYFUNCTION("""COMPUTED_VALUE"""),0.625)</f>
        <v>0.625</v>
      </c>
      <c r="J57" s="16">
        <f ca="1">IFERROR(__xludf.DUMMYFUNCTION("""COMPUTED_VALUE"""),43222.6666666666)</f>
        <v>43222.666666666599</v>
      </c>
      <c r="K57" t="str">
        <f ca="1">IFERROR(__xludf.DUMMYFUNCTION("""COMPUTED_VALUE"""),"20ft Sea Ark FL5351SJ UNF 2015")</f>
        <v>20ft Sea Ark FL5351SJ UNF 2015</v>
      </c>
      <c r="M57" t="str">
        <f ca="1">IFERROR(__xludf.DUMMYFUNCTION("""COMPUTED_VALUE"""),"Ford F250 2017 (Moby Dix) - DEP0021578")</f>
        <v>Ford F250 2017 (Moby Dix) - DEP0021578</v>
      </c>
      <c r="N57" t="str">
        <f ca="1">IFERROR(__xludf.DUMMYFUNCTION("""COMPUTED_VALUE"""),"Pam Marcum, (480) 332-5414, Ben Mowbray, (407) 962-8782")</f>
        <v>Pam Marcum, (480) 332-5414, Ben Mowbray, (407) 962-8782</v>
      </c>
      <c r="O57" t="str">
        <f ca="1">IFERROR(__xludf.DUMMYFUNCTION("""COMPUTED_VALUE"""),"Gabriela Canas, (904) 891-9743")</f>
        <v>Gabriela Canas, (904) 891-9743</v>
      </c>
      <c r="P57" t="str">
        <f ca="1">IFERROR(__xludf.DUMMYFUNCTION("""COMPUTED_VALUE"""),"Ben Mowbray")</f>
        <v>Ben Mowbray</v>
      </c>
      <c r="Q57" t="str">
        <f ca="1">IFERROR(__xludf.DUMMYFUNCTION("""COMPUTED_VALUE"""),"Good")</f>
        <v>Good</v>
      </c>
      <c r="R57" t="str">
        <f ca="1">IFERROR(__xludf.DUMMYFUNCTION("""COMPUTED_VALUE"""),"Good")</f>
        <v>Good</v>
      </c>
      <c r="S57" t="str">
        <f ca="1">IFERROR(__xludf.DUMMYFUNCTION("""COMPUTED_VALUE"""),"Good")</f>
        <v>Good</v>
      </c>
      <c r="T57" t="str">
        <f ca="1">IFERROR(__xludf.DUMMYFUNCTION("""COMPUTED_VALUE"""),"Good")</f>
        <v>Good</v>
      </c>
      <c r="U57" t="str">
        <f ca="1">IFERROR(__xludf.DUMMYFUNCTION("""COMPUTED_VALUE"""),"Good")</f>
        <v>Good</v>
      </c>
      <c r="V57" t="str">
        <f ca="1">IFERROR(__xludf.DUMMYFUNCTION("""COMPUTED_VALUE"""),"Good")</f>
        <v>Good</v>
      </c>
      <c r="W57" t="str">
        <f ca="1">IFERROR(__xludf.DUMMYFUNCTION("""COMPUTED_VALUE"""),"Good")</f>
        <v>Good</v>
      </c>
      <c r="X57" t="str">
        <f ca="1">IFERROR(__xludf.DUMMYFUNCTION("""COMPUTED_VALUE"""),"Good")</f>
        <v>Good</v>
      </c>
      <c r="Y57" t="str">
        <f ca="1">IFERROR(__xludf.DUMMYFUNCTION("""COMPUTED_VALUE"""),"Good")</f>
        <v>Good</v>
      </c>
      <c r="Z57" t="str">
        <f ca="1">IFERROR(__xludf.DUMMYFUNCTION("""COMPUTED_VALUE"""),"Good")</f>
        <v>Good</v>
      </c>
      <c r="AA57" t="str">
        <f ca="1">IFERROR(__xludf.DUMMYFUNCTION("""COMPUTED_VALUE"""),"Good")</f>
        <v>Good</v>
      </c>
      <c r="AB57" t="str">
        <f ca="1">IFERROR(__xludf.DUMMYFUNCTION("""COMPUTED_VALUE"""),"Good")</f>
        <v>Good</v>
      </c>
      <c r="AC57" t="str">
        <f ca="1">IFERROR(__xludf.DUMMYFUNCTION("""COMPUTED_VALUE"""),"Good")</f>
        <v>Good</v>
      </c>
      <c r="AE57" s="11"/>
      <c r="AF57" t="str">
        <v>Nikki.Dix@floridadep.gov</v>
      </c>
      <c r="AG57" s="17" t="s">
        <v>41</v>
      </c>
      <c r="AH57" s="12"/>
      <c r="AI57" s="12" t="s">
        <v>104</v>
      </c>
      <c r="AJ57" s="19" t="s">
        <v>105</v>
      </c>
      <c r="AK57" s="20" t="str">
        <f>HYPERLINK("https://docs.google.com/document/d/1v_EdmdvVGzhAN3sdHRshOKc3HcBBu2-dgl8Cd4de5UM/edit?usp=drivesdk","Pamela Marcum - 5/2/2018 9:00 AM")</f>
        <v>Pamela Marcum - 5/2/2018 9:00 AM</v>
      </c>
      <c r="AL57" s="12" t="s">
        <v>106</v>
      </c>
    </row>
    <row r="58" spans="1:38" ht="12.75">
      <c r="A58" s="10">
        <f ca="1">IFERROR(__xludf.DUMMYFUNCTION("""COMPUTED_VALUE"""),43223.3730821759)</f>
        <v>43223.373082175902</v>
      </c>
      <c r="B58" s="11" t="str">
        <f ca="1">IFERROR(__xludf.DUMMYFUNCTION("""COMPUTED_VALUE"""),"Pamela Marcum")</f>
        <v>Pamela Marcum</v>
      </c>
      <c r="C58" t="str">
        <f ca="1">IFERROR(__xludf.DUMMYFUNCTION("""COMPUTED_VALUE"""),"Pamela.Marcum@dep.state.fl.us")</f>
        <v>Pamela.Marcum@dep.state.fl.us</v>
      </c>
      <c r="D58" t="str">
        <f ca="1">IFERROR(__xludf.DUMMYFUNCTION("""COMPUTED_VALUE"""),"Research")</f>
        <v>Research</v>
      </c>
      <c r="E58" t="str">
        <f ca="1">IFERROR(__xludf.DUMMYFUNCTION("""COMPUTED_VALUE"""),"Faver-Dykes State Park")</f>
        <v>Faver-Dykes State Park</v>
      </c>
      <c r="F58" s="13">
        <f ca="1">IFERROR(__xludf.DUMMYFUNCTION("""COMPUTED_VALUE"""),0.45833333333212)</f>
        <v>0.45833333333212001</v>
      </c>
      <c r="G58" s="14">
        <f ca="1">IFERROR(__xludf.DUMMYFUNCTION("""COMPUTED_VALUE"""),43223)</f>
        <v>43223</v>
      </c>
      <c r="H58" t="str">
        <f ca="1">IFERROR(__xludf.DUMMYFUNCTION("""COMPUTED_VALUE"""),"Pellicer Creek")</f>
        <v>Pellicer Creek</v>
      </c>
      <c r="I58" s="15">
        <f ca="1">IFERROR(__xludf.DUMMYFUNCTION("""COMPUTED_VALUE"""),0.666666666667879)</f>
        <v>0.66666666666787899</v>
      </c>
      <c r="J58" s="16">
        <f ca="1">IFERROR(__xludf.DUMMYFUNCTION("""COMPUTED_VALUE"""),43223.7083333333)</f>
        <v>43223.708333333299</v>
      </c>
      <c r="K58" t="str">
        <f ca="1">IFERROR(__xludf.DUMMYFUNCTION("""COMPUTED_VALUE"""),"20ft Sea Ark FL5351SJ UNF 2015")</f>
        <v>20ft Sea Ark FL5351SJ UNF 2015</v>
      </c>
      <c r="M58" t="str">
        <f ca="1">IFERROR(__xludf.DUMMYFUNCTION("""COMPUTED_VALUE"""),"Ford F250 2017 (Moby Dix) - DEP0021578")</f>
        <v>Ford F250 2017 (Moby Dix) - DEP0021578</v>
      </c>
      <c r="N58" t="str">
        <f ca="1">IFERROR(__xludf.DUMMYFUNCTION("""COMPUTED_VALUE"""),"Pam Marcum, (480) 332-5414, Ben Mowbray, (407) 962-8782")</f>
        <v>Pam Marcum, (480) 332-5414, Ben Mowbray, (407) 962-8782</v>
      </c>
      <c r="P58" t="str">
        <f ca="1">IFERROR(__xludf.DUMMYFUNCTION("""COMPUTED_VALUE"""),"Ben Mowbray")</f>
        <v>Ben Mowbray</v>
      </c>
      <c r="Q58" t="str">
        <f ca="1">IFERROR(__xludf.DUMMYFUNCTION("""COMPUTED_VALUE"""),"Good")</f>
        <v>Good</v>
      </c>
      <c r="R58" t="str">
        <f ca="1">IFERROR(__xludf.DUMMYFUNCTION("""COMPUTED_VALUE"""),"Good")</f>
        <v>Good</v>
      </c>
      <c r="S58" t="str">
        <f ca="1">IFERROR(__xludf.DUMMYFUNCTION("""COMPUTED_VALUE"""),"Good")</f>
        <v>Good</v>
      </c>
      <c r="T58" t="str">
        <f ca="1">IFERROR(__xludf.DUMMYFUNCTION("""COMPUTED_VALUE"""),"Good")</f>
        <v>Good</v>
      </c>
      <c r="U58" t="str">
        <f ca="1">IFERROR(__xludf.DUMMYFUNCTION("""COMPUTED_VALUE"""),"Good")</f>
        <v>Good</v>
      </c>
      <c r="V58" t="str">
        <f ca="1">IFERROR(__xludf.DUMMYFUNCTION("""COMPUTED_VALUE"""),"Good")</f>
        <v>Good</v>
      </c>
      <c r="W58" t="str">
        <f ca="1">IFERROR(__xludf.DUMMYFUNCTION("""COMPUTED_VALUE"""),"Good")</f>
        <v>Good</v>
      </c>
      <c r="X58" t="str">
        <f ca="1">IFERROR(__xludf.DUMMYFUNCTION("""COMPUTED_VALUE"""),"Good")</f>
        <v>Good</v>
      </c>
      <c r="Y58" t="str">
        <f ca="1">IFERROR(__xludf.DUMMYFUNCTION("""COMPUTED_VALUE"""),"Good")</f>
        <v>Good</v>
      </c>
      <c r="Z58" t="str">
        <f ca="1">IFERROR(__xludf.DUMMYFUNCTION("""COMPUTED_VALUE"""),"Good")</f>
        <v>Good</v>
      </c>
      <c r="AA58" t="str">
        <f ca="1">IFERROR(__xludf.DUMMYFUNCTION("""COMPUTED_VALUE"""),"Good")</f>
        <v>Good</v>
      </c>
      <c r="AB58" t="str">
        <f ca="1">IFERROR(__xludf.DUMMYFUNCTION("""COMPUTED_VALUE"""),"Good")</f>
        <v>Good</v>
      </c>
      <c r="AC58" t="str">
        <f ca="1">IFERROR(__xludf.DUMMYFUNCTION("""COMPUTED_VALUE"""),"Good")</f>
        <v>Good</v>
      </c>
      <c r="AE58" s="11"/>
      <c r="AF58" t="str">
        <v>Nikki.Dix@floridadep.gov</v>
      </c>
      <c r="AG58" s="17" t="s">
        <v>17</v>
      </c>
      <c r="AH58" s="12"/>
      <c r="AI58" s="12" t="s">
        <v>107</v>
      </c>
      <c r="AJ58" s="19" t="s">
        <v>108</v>
      </c>
      <c r="AK58" s="20" t="str">
        <f>HYPERLINK("https://docs.google.com/document/d/1aRzzSkR4_IR2TrYGXtPq9lf_h_sywa9CZFinxHZ5IvA/edit?usp=drivesdk","Pamela Marcum - 5/3/2018 11:00 AM")</f>
        <v>Pamela Marcum - 5/3/2018 11:00 AM</v>
      </c>
      <c r="AL58" s="12" t="s">
        <v>109</v>
      </c>
    </row>
    <row r="59" spans="1:38" ht="12.75">
      <c r="A59" s="10">
        <f ca="1">IFERROR(__xludf.DUMMYFUNCTION("""COMPUTED_VALUE"""),43224.3894437037)</f>
        <v>43224.389443703702</v>
      </c>
      <c r="B59" s="11" t="str">
        <f ca="1">IFERROR(__xludf.DUMMYFUNCTION("""COMPUTED_VALUE"""),"Pamela Marcum")</f>
        <v>Pamela Marcum</v>
      </c>
      <c r="C59" t="str">
        <f ca="1">IFERROR(__xludf.DUMMYFUNCTION("""COMPUTED_VALUE"""),"Pamela.Marcum@dep.state.fl.us")</f>
        <v>Pamela.Marcum@dep.state.fl.us</v>
      </c>
      <c r="D59" t="str">
        <f ca="1">IFERROR(__xludf.DUMMYFUNCTION("""COMPUTED_VALUE"""),"Research")</f>
        <v>Research</v>
      </c>
      <c r="E59" t="str">
        <f ca="1">IFERROR(__xludf.DUMMYFUNCTION("""COMPUTED_VALUE"""),"Faer-Dykes State Park")</f>
        <v>Faer-Dykes State Park</v>
      </c>
      <c r="F59" s="13">
        <f ca="1">IFERROR(__xludf.DUMMYFUNCTION("""COMPUTED_VALUE"""),0.416666666667879)</f>
        <v>0.41666666666787899</v>
      </c>
      <c r="G59" s="14">
        <f ca="1">IFERROR(__xludf.DUMMYFUNCTION("""COMPUTED_VALUE"""),43224)</f>
        <v>43224</v>
      </c>
      <c r="H59" t="str">
        <f ca="1">IFERROR(__xludf.DUMMYFUNCTION("""COMPUTED_VALUE"""),"Pellicer Creek Transects")</f>
        <v>Pellicer Creek Transects</v>
      </c>
      <c r="I59" s="15">
        <f ca="1">IFERROR(__xludf.DUMMYFUNCTION("""COMPUTED_VALUE"""),0.666666666667879)</f>
        <v>0.66666666666787899</v>
      </c>
      <c r="J59" s="16">
        <f ca="1">IFERROR(__xludf.DUMMYFUNCTION("""COMPUTED_VALUE"""),43224.7083333333)</f>
        <v>43224.708333333299</v>
      </c>
      <c r="M59" t="str">
        <f ca="1">IFERROR(__xludf.DUMMYFUNCTION("""COMPUTED_VALUE"""),"Ford F250 2017 (Moby Dix) - DEP0021578")</f>
        <v>Ford F250 2017 (Moby Dix) - DEP0021578</v>
      </c>
      <c r="N59" t="str">
        <f ca="1">IFERROR(__xludf.DUMMYFUNCTION("""COMPUTED_VALUE"""),"Pam Marcum, (480) 332-5414")</f>
        <v>Pam Marcum, (480) 332-5414</v>
      </c>
      <c r="O59" t="str">
        <f ca="1">IFERROR(__xludf.DUMMYFUNCTION("""COMPUTED_VALUE"""),"Annie Otto")</f>
        <v>Annie Otto</v>
      </c>
      <c r="P59" t="str">
        <f ca="1">IFERROR(__xludf.DUMMYFUNCTION("""COMPUTED_VALUE"""),"Pam Marcum")</f>
        <v>Pam Marcum</v>
      </c>
      <c r="Q59" t="str">
        <f ca="1">IFERROR(__xludf.DUMMYFUNCTION("""COMPUTED_VALUE"""),"Good")</f>
        <v>Good</v>
      </c>
      <c r="R59" t="str">
        <f ca="1">IFERROR(__xludf.DUMMYFUNCTION("""COMPUTED_VALUE"""),"Good")</f>
        <v>Good</v>
      </c>
      <c r="S59" t="str">
        <f ca="1">IFERROR(__xludf.DUMMYFUNCTION("""COMPUTED_VALUE"""),"Good")</f>
        <v>Good</v>
      </c>
      <c r="T59" t="str">
        <f ca="1">IFERROR(__xludf.DUMMYFUNCTION("""COMPUTED_VALUE"""),"Good")</f>
        <v>Good</v>
      </c>
      <c r="U59" t="str">
        <f ca="1">IFERROR(__xludf.DUMMYFUNCTION("""COMPUTED_VALUE"""),"Good")</f>
        <v>Good</v>
      </c>
      <c r="V59" t="str">
        <f ca="1">IFERROR(__xludf.DUMMYFUNCTION("""COMPUTED_VALUE"""),"Good")</f>
        <v>Good</v>
      </c>
      <c r="W59" t="str">
        <f ca="1">IFERROR(__xludf.DUMMYFUNCTION("""COMPUTED_VALUE"""),"Good")</f>
        <v>Good</v>
      </c>
      <c r="X59" t="str">
        <f ca="1">IFERROR(__xludf.DUMMYFUNCTION("""COMPUTED_VALUE"""),"Good")</f>
        <v>Good</v>
      </c>
      <c r="Y59" t="str">
        <f ca="1">IFERROR(__xludf.DUMMYFUNCTION("""COMPUTED_VALUE"""),"Good")</f>
        <v>Good</v>
      </c>
      <c r="Z59" t="str">
        <f ca="1">IFERROR(__xludf.DUMMYFUNCTION("""COMPUTED_VALUE"""),"Good")</f>
        <v>Good</v>
      </c>
      <c r="AA59" t="str">
        <f ca="1">IFERROR(__xludf.DUMMYFUNCTION("""COMPUTED_VALUE"""),"Good")</f>
        <v>Good</v>
      </c>
      <c r="AB59" t="str">
        <f ca="1">IFERROR(__xludf.DUMMYFUNCTION("""COMPUTED_VALUE"""),"Good")</f>
        <v>Good</v>
      </c>
      <c r="AC59" t="str">
        <f ca="1">IFERROR(__xludf.DUMMYFUNCTION("""COMPUTED_VALUE"""),"Good")</f>
        <v>Good</v>
      </c>
      <c r="AE59" s="11"/>
      <c r="AF59" t="str">
        <v>Nikki.Dix@floridadep.gov</v>
      </c>
      <c r="AG59" s="17" t="s">
        <v>41</v>
      </c>
      <c r="AH59" s="12"/>
      <c r="AI59" s="12" t="s">
        <v>110</v>
      </c>
      <c r="AJ59" s="19" t="s">
        <v>111</v>
      </c>
      <c r="AK59" s="20" t="str">
        <f>HYPERLINK("https://docs.google.com/document/d/1UxSihKYLLd3ptxsJHs_8U8O3j5OHfzHKbjnt5FECBbs/edit?usp=drivesdk","Pamela Marcum - 5/4/2018 10:00 AM")</f>
        <v>Pamela Marcum - 5/4/2018 10:00 AM</v>
      </c>
      <c r="AL59" s="12" t="s">
        <v>112</v>
      </c>
    </row>
    <row r="60" spans="1:38" ht="12.75">
      <c r="A60" s="10">
        <f ca="1">IFERROR(__xludf.DUMMYFUNCTION("""COMPUTED_VALUE"""),43228.3507740046)</f>
        <v>43228.350774004597</v>
      </c>
      <c r="B60" s="11" t="str">
        <f ca="1">IFERROR(__xludf.DUMMYFUNCTION("""COMPUTED_VALUE"""),"Ben Mowbray")</f>
        <v>Ben Mowbray</v>
      </c>
      <c r="C60" t="str">
        <f ca="1">IFERROR(__xludf.DUMMYFUNCTION("""COMPUTED_VALUE"""),"ben.mowbray@dep.state.fl.us")</f>
        <v>ben.mowbray@dep.state.fl.us</v>
      </c>
      <c r="D60" t="str">
        <f ca="1">IFERROR(__xludf.DUMMYFUNCTION("""COMPUTED_VALUE"""),"Research")</f>
        <v>Research</v>
      </c>
      <c r="E60" t="str">
        <f ca="1">IFERROR(__xludf.DUMMYFUNCTION("""COMPUTED_VALUE"""),"Aunt Kate's")</f>
        <v>Aunt Kate's</v>
      </c>
      <c r="F60" s="13">
        <f ca="1">IFERROR(__xludf.DUMMYFUNCTION("""COMPUTED_VALUE"""),0.388888888890505)</f>
        <v>0.38888888889050499</v>
      </c>
      <c r="G60" s="14">
        <f ca="1">IFERROR(__xludf.DUMMYFUNCTION("""COMPUTED_VALUE"""),43228)</f>
        <v>43228</v>
      </c>
      <c r="H60" t="str">
        <f ca="1">IFERROR(__xludf.DUMMYFUNCTION("""COMPUTED_VALUE"""),"Spat Run")</f>
        <v>Spat Run</v>
      </c>
      <c r="I60" s="15">
        <f ca="1">IFERROR(__xludf.DUMMYFUNCTION("""COMPUTED_VALUE"""),0.604166666667879)</f>
        <v>0.60416666666787899</v>
      </c>
      <c r="J60" s="16">
        <f ca="1">IFERROR(__xludf.DUMMYFUNCTION("""COMPUTED_VALUE"""),43228.1180555555)</f>
        <v>43228.118055555497</v>
      </c>
      <c r="K60" t="str">
        <f ca="1">IFERROR(__xludf.DUMMYFUNCTION("""COMPUTED_VALUE"""),"20ft Sea Ark FL5351SJ UNF 2015")</f>
        <v>20ft Sea Ark FL5351SJ UNF 2015</v>
      </c>
      <c r="M60" t="str">
        <f ca="1">IFERROR(__xludf.DUMMYFUNCTION("""COMPUTED_VALUE"""),"Ford F250 2017 (Moby Dix) - DEP0021578")</f>
        <v>Ford F250 2017 (Moby Dix) - DEP0021578</v>
      </c>
      <c r="N60" t="str">
        <f ca="1">IFERROR(__xludf.DUMMYFUNCTION("""COMPUTED_VALUE"""),"Ben Mowbray, (407) 962-8782")</f>
        <v>Ben Mowbray, (407) 962-8782</v>
      </c>
      <c r="O60" t="str">
        <f ca="1">IFERROR(__xludf.DUMMYFUNCTION("""COMPUTED_VALUE"""),"Remo and Sam")</f>
        <v>Remo and Sam</v>
      </c>
      <c r="P60" t="str">
        <f ca="1">IFERROR(__xludf.DUMMYFUNCTION("""COMPUTED_VALUE"""),"Ben")</f>
        <v>Ben</v>
      </c>
      <c r="Q60" t="str">
        <f ca="1">IFERROR(__xludf.DUMMYFUNCTION("""COMPUTED_VALUE"""),"Good")</f>
        <v>Good</v>
      </c>
      <c r="R60" t="str">
        <f ca="1">IFERROR(__xludf.DUMMYFUNCTION("""COMPUTED_VALUE"""),"Good")</f>
        <v>Good</v>
      </c>
      <c r="S60" t="str">
        <f ca="1">IFERROR(__xludf.DUMMYFUNCTION("""COMPUTED_VALUE"""),"Good")</f>
        <v>Good</v>
      </c>
      <c r="T60" t="str">
        <f ca="1">IFERROR(__xludf.DUMMYFUNCTION("""COMPUTED_VALUE"""),"Good")</f>
        <v>Good</v>
      </c>
      <c r="U60" t="str">
        <f ca="1">IFERROR(__xludf.DUMMYFUNCTION("""COMPUTED_VALUE"""),"Good")</f>
        <v>Good</v>
      </c>
      <c r="V60" t="str">
        <f ca="1">IFERROR(__xludf.DUMMYFUNCTION("""COMPUTED_VALUE"""),"Good")</f>
        <v>Good</v>
      </c>
      <c r="W60" t="str">
        <f ca="1">IFERROR(__xludf.DUMMYFUNCTION("""COMPUTED_VALUE"""),"Good")</f>
        <v>Good</v>
      </c>
      <c r="X60" t="str">
        <f ca="1">IFERROR(__xludf.DUMMYFUNCTION("""COMPUTED_VALUE"""),"Good")</f>
        <v>Good</v>
      </c>
      <c r="Y60" t="str">
        <f ca="1">IFERROR(__xludf.DUMMYFUNCTION("""COMPUTED_VALUE"""),"Good")</f>
        <v>Good</v>
      </c>
      <c r="Z60" t="str">
        <f ca="1">IFERROR(__xludf.DUMMYFUNCTION("""COMPUTED_VALUE"""),"Good")</f>
        <v>Good</v>
      </c>
      <c r="AA60" t="str">
        <f ca="1">IFERROR(__xludf.DUMMYFUNCTION("""COMPUTED_VALUE"""),"Good")</f>
        <v>Good</v>
      </c>
      <c r="AB60" t="str">
        <f ca="1">IFERROR(__xludf.DUMMYFUNCTION("""COMPUTED_VALUE"""),"Good")</f>
        <v>Good</v>
      </c>
      <c r="AC60" t="str">
        <f ca="1">IFERROR(__xludf.DUMMYFUNCTION("""COMPUTED_VALUE"""),"Good")</f>
        <v>Good</v>
      </c>
      <c r="AE60" s="11"/>
      <c r="AF60" t="str">
        <v>Nikki.Dix@floridadep.gov</v>
      </c>
      <c r="AG60" s="17" t="s">
        <v>113</v>
      </c>
      <c r="AH60" s="12"/>
      <c r="AI60" s="12" t="s">
        <v>114</v>
      </c>
      <c r="AJ60" s="19" t="s">
        <v>115</v>
      </c>
      <c r="AK60" s="20" t="str">
        <f>HYPERLINK("https://docs.google.com/document/d/1YVH9hAY0Il0DCK6rFfBHIM-B2FMeHXQEEJUjpA6N7-U/edit?usp=drivesdk","Ben Mowbray - 5/8/2018 9:20 AM")</f>
        <v>Ben Mowbray - 5/8/2018 9:20 AM</v>
      </c>
      <c r="AL60" s="12" t="s">
        <v>116</v>
      </c>
    </row>
    <row r="61" spans="1:38" ht="12.75">
      <c r="A61" s="10">
        <f ca="1">IFERROR(__xludf.DUMMYFUNCTION("""COMPUTED_VALUE"""),43230.3615916435)</f>
        <v>43230.361591643501</v>
      </c>
      <c r="B61" s="11" t="str">
        <f ca="1">IFERROR(__xludf.DUMMYFUNCTION("""COMPUTED_VALUE"""),"Ben Mowbray")</f>
        <v>Ben Mowbray</v>
      </c>
      <c r="C61" t="str">
        <f ca="1">IFERROR(__xludf.DUMMYFUNCTION("""COMPUTED_VALUE"""),"ben.mowbray@dep.state.fl.us")</f>
        <v>ben.mowbray@dep.state.fl.us</v>
      </c>
      <c r="D61" t="str">
        <f ca="1">IFERROR(__xludf.DUMMYFUNCTION("""COMPUTED_VALUE"""),"Research")</f>
        <v>Research</v>
      </c>
      <c r="E61" t="str">
        <f ca="1">IFERROR(__xludf.DUMMYFUNCTION("""COMPUTED_VALUE"""),"Aunt Kate's / Shore Drive")</f>
        <v>Aunt Kate's / Shore Drive</v>
      </c>
      <c r="F61" s="13">
        <f ca="1">IFERROR(__xludf.DUMMYFUNCTION("""COMPUTED_VALUE"""),0.416666666667879)</f>
        <v>0.41666666666787899</v>
      </c>
      <c r="G61" s="14">
        <f ca="1">IFERROR(__xludf.DUMMYFUNCTION("""COMPUTED_VALUE"""),43230)</f>
        <v>43230</v>
      </c>
      <c r="H61" t="str">
        <f ca="1">IFERROR(__xludf.DUMMYFUNCTION("""COMPUTED_VALUE"""),"Spat Run")</f>
        <v>Spat Run</v>
      </c>
      <c r="I61" s="15">
        <f ca="1">IFERROR(__xludf.DUMMYFUNCTION("""COMPUTED_VALUE"""),0.104166666667879)</f>
        <v>0.10416666666787899</v>
      </c>
      <c r="J61" s="16">
        <f ca="1">IFERROR(__xludf.DUMMYFUNCTION("""COMPUTED_VALUE"""),43230.1354166666)</f>
        <v>43230.135416666599</v>
      </c>
      <c r="K61" t="str">
        <f ca="1">IFERROR(__xludf.DUMMYFUNCTION("""COMPUTED_VALUE"""),"20ft Sea Ark FL5351SJ UNF 2015")</f>
        <v>20ft Sea Ark FL5351SJ UNF 2015</v>
      </c>
      <c r="M61" t="str">
        <f ca="1">IFERROR(__xludf.DUMMYFUNCTION("""COMPUTED_VALUE"""),"Ford F150 2008 - DEP18041 (SWMP Thing)")</f>
        <v>Ford F150 2008 - DEP18041 (SWMP Thing)</v>
      </c>
      <c r="N61" t="str">
        <f ca="1">IFERROR(__xludf.DUMMYFUNCTION("""COMPUTED_VALUE"""),"Ben Mowbray, (407) 962-8782")</f>
        <v>Ben Mowbray, (407) 962-8782</v>
      </c>
      <c r="O61" t="str">
        <f ca="1">IFERROR(__xludf.DUMMYFUNCTION("""COMPUTED_VALUE"""),"Sam Shaw or Hunter Mathews")</f>
        <v>Sam Shaw or Hunter Mathews</v>
      </c>
      <c r="P61" t="str">
        <f ca="1">IFERROR(__xludf.DUMMYFUNCTION("""COMPUTED_VALUE"""),"Ben")</f>
        <v>Ben</v>
      </c>
      <c r="Q61" t="str">
        <f ca="1">IFERROR(__xludf.DUMMYFUNCTION("""COMPUTED_VALUE"""),"Good")</f>
        <v>Good</v>
      </c>
      <c r="R61" t="str">
        <f ca="1">IFERROR(__xludf.DUMMYFUNCTION("""COMPUTED_VALUE"""),"Good")</f>
        <v>Good</v>
      </c>
      <c r="S61" t="str">
        <f ca="1">IFERROR(__xludf.DUMMYFUNCTION("""COMPUTED_VALUE"""),"Good")</f>
        <v>Good</v>
      </c>
      <c r="T61" t="str">
        <f ca="1">IFERROR(__xludf.DUMMYFUNCTION("""COMPUTED_VALUE"""),"Good")</f>
        <v>Good</v>
      </c>
      <c r="U61" t="str">
        <f ca="1">IFERROR(__xludf.DUMMYFUNCTION("""COMPUTED_VALUE"""),"Good")</f>
        <v>Good</v>
      </c>
      <c r="V61" t="str">
        <f ca="1">IFERROR(__xludf.DUMMYFUNCTION("""COMPUTED_VALUE"""),"Good")</f>
        <v>Good</v>
      </c>
      <c r="W61" t="str">
        <f ca="1">IFERROR(__xludf.DUMMYFUNCTION("""COMPUTED_VALUE"""),"Good")</f>
        <v>Good</v>
      </c>
      <c r="X61" t="str">
        <f ca="1">IFERROR(__xludf.DUMMYFUNCTION("""COMPUTED_VALUE"""),"Good")</f>
        <v>Good</v>
      </c>
      <c r="Y61" t="str">
        <f ca="1">IFERROR(__xludf.DUMMYFUNCTION("""COMPUTED_VALUE"""),"Good")</f>
        <v>Good</v>
      </c>
      <c r="Z61" t="str">
        <f ca="1">IFERROR(__xludf.DUMMYFUNCTION("""COMPUTED_VALUE"""),"Good")</f>
        <v>Good</v>
      </c>
      <c r="AA61" t="str">
        <f ca="1">IFERROR(__xludf.DUMMYFUNCTION("""COMPUTED_VALUE"""),"Good")</f>
        <v>Good</v>
      </c>
      <c r="AB61" t="str">
        <f ca="1">IFERROR(__xludf.DUMMYFUNCTION("""COMPUTED_VALUE"""),"Good")</f>
        <v>Good</v>
      </c>
      <c r="AC61" t="str">
        <f ca="1">IFERROR(__xludf.DUMMYFUNCTION("""COMPUTED_VALUE"""),"Good")</f>
        <v>Good</v>
      </c>
      <c r="AE61" s="11"/>
      <c r="AF61" t="str">
        <v>Nikki.Dix@floridadep.gov</v>
      </c>
      <c r="AG61" s="17" t="s">
        <v>17</v>
      </c>
      <c r="AH61" s="12"/>
      <c r="AI61" s="12" t="s">
        <v>117</v>
      </c>
      <c r="AJ61" s="19" t="s">
        <v>118</v>
      </c>
      <c r="AK61" s="20" t="str">
        <f>HYPERLINK("https://docs.google.com/document/d/12huri7tFQSawQjEXKj8ob1-TqT9eABr2dmxojMW4czY/edit?usp=drivesdk","Ben Mowbray - 5/10/2018 10:00 AM")</f>
        <v>Ben Mowbray - 5/10/2018 10:00 AM</v>
      </c>
      <c r="AL61" s="12" t="s">
        <v>119</v>
      </c>
    </row>
    <row r="62" spans="1:38" ht="12.75">
      <c r="A62" s="10">
        <f ca="1">IFERROR(__xludf.DUMMYFUNCTION("""COMPUTED_VALUE"""),43231.2999590393)</f>
        <v>43231.299959039301</v>
      </c>
      <c r="B62" s="11" t="str">
        <f ca="1">IFERROR(__xludf.DUMMYFUNCTION("""COMPUTED_VALUE"""),"Ben Mowbray")</f>
        <v>Ben Mowbray</v>
      </c>
      <c r="C62" t="str">
        <f ca="1">IFERROR(__xludf.DUMMYFUNCTION("""COMPUTED_VALUE"""),"ben.mowbray@dep.state.fl.us")</f>
        <v>ben.mowbray@dep.state.fl.us</v>
      </c>
      <c r="D62" t="str">
        <f ca="1">IFERROR(__xludf.DUMMYFUNCTION("""COMPUTED_VALUE"""),"Research")</f>
        <v>Research</v>
      </c>
      <c r="E62" t="str">
        <f ca="1">IFERROR(__xludf.DUMMYFUNCTION("""COMPUTED_VALUE"""),"Bing's")</f>
        <v>Bing's</v>
      </c>
      <c r="F62" s="13">
        <f ca="1">IFERROR(__xludf.DUMMYFUNCTION("""COMPUTED_VALUE"""),0.354166666667879)</f>
        <v>0.35416666666787899</v>
      </c>
      <c r="G62" s="14">
        <f ca="1">IFERROR(__xludf.DUMMYFUNCTION("""COMPUTED_VALUE"""),43231)</f>
        <v>43231</v>
      </c>
      <c r="H62" t="str">
        <f ca="1">IFERROR(__xludf.DUMMYFUNCTION("""COMPUTED_VALUE"""),"Summerhaven Nut Run")</f>
        <v>Summerhaven Nut Run</v>
      </c>
      <c r="I62" s="15">
        <f ca="1">IFERROR(__xludf.DUMMYFUNCTION("""COMPUTED_VALUE"""),0.4375)</f>
        <v>0.4375</v>
      </c>
      <c r="J62" s="16">
        <f ca="1">IFERROR(__xludf.DUMMYFUNCTION("""COMPUTED_VALUE"""),43231.625)</f>
        <v>43231.625</v>
      </c>
      <c r="K62" t="str">
        <f ca="1">IFERROR(__xludf.DUMMYFUNCTION("""COMPUTED_VALUE"""),"23ft Skiff (Bertha) FL7972LJ DEP07613")</f>
        <v>23ft Skiff (Bertha) FL7972LJ DEP07613</v>
      </c>
      <c r="M62" t="str">
        <f ca="1">IFERROR(__xludf.DUMMYFUNCTION("""COMPUTED_VALUE"""),"Ford F250 2017 (Moby Dix) - DEP0021578")</f>
        <v>Ford F250 2017 (Moby Dix) - DEP0021578</v>
      </c>
      <c r="N62" t="str">
        <f ca="1">IFERROR(__xludf.DUMMYFUNCTION("""COMPUTED_VALUE"""),"Ben Mowbray, (407) 962-8782")</f>
        <v>Ben Mowbray, (407) 962-8782</v>
      </c>
      <c r="O62" t="str">
        <f ca="1">IFERROR(__xludf.DUMMYFUNCTION("""COMPUTED_VALUE"""),"Sam Shaw, Matt Brown, Wesley, Trinity (maybe)")</f>
        <v>Sam Shaw, Matt Brown, Wesley, Trinity (maybe)</v>
      </c>
      <c r="P62" t="str">
        <f ca="1">IFERROR(__xludf.DUMMYFUNCTION("""COMPUTED_VALUE"""),"Ben")</f>
        <v>Ben</v>
      </c>
      <c r="Q62" t="str">
        <f ca="1">IFERROR(__xludf.DUMMYFUNCTION("""COMPUTED_VALUE"""),"Good")</f>
        <v>Good</v>
      </c>
      <c r="R62" t="str">
        <f ca="1">IFERROR(__xludf.DUMMYFUNCTION("""COMPUTED_VALUE"""),"Good")</f>
        <v>Good</v>
      </c>
      <c r="S62" t="str">
        <f ca="1">IFERROR(__xludf.DUMMYFUNCTION("""COMPUTED_VALUE"""),"Good")</f>
        <v>Good</v>
      </c>
      <c r="T62" t="str">
        <f ca="1">IFERROR(__xludf.DUMMYFUNCTION("""COMPUTED_VALUE"""),"Good")</f>
        <v>Good</v>
      </c>
      <c r="U62" t="str">
        <f ca="1">IFERROR(__xludf.DUMMYFUNCTION("""COMPUTED_VALUE"""),"Good")</f>
        <v>Good</v>
      </c>
      <c r="V62" t="str">
        <f ca="1">IFERROR(__xludf.DUMMYFUNCTION("""COMPUTED_VALUE"""),"Good")</f>
        <v>Good</v>
      </c>
      <c r="W62" t="str">
        <f ca="1">IFERROR(__xludf.DUMMYFUNCTION("""COMPUTED_VALUE"""),"Good")</f>
        <v>Good</v>
      </c>
      <c r="X62" t="str">
        <f ca="1">IFERROR(__xludf.DUMMYFUNCTION("""COMPUTED_VALUE"""),"Good")</f>
        <v>Good</v>
      </c>
      <c r="Y62" t="str">
        <f ca="1">IFERROR(__xludf.DUMMYFUNCTION("""COMPUTED_VALUE"""),"Good")</f>
        <v>Good</v>
      </c>
      <c r="Z62" t="str">
        <f ca="1">IFERROR(__xludf.DUMMYFUNCTION("""COMPUTED_VALUE"""),"Good")</f>
        <v>Good</v>
      </c>
      <c r="AA62" t="str">
        <f ca="1">IFERROR(__xludf.DUMMYFUNCTION("""COMPUTED_VALUE"""),"Good")</f>
        <v>Good</v>
      </c>
      <c r="AB62" t="str">
        <f ca="1">IFERROR(__xludf.DUMMYFUNCTION("""COMPUTED_VALUE"""),"Good")</f>
        <v>Good</v>
      </c>
      <c r="AC62" t="str">
        <f ca="1">IFERROR(__xludf.DUMMYFUNCTION("""COMPUTED_VALUE"""),"Good")</f>
        <v>Good</v>
      </c>
      <c r="AE62" s="11"/>
      <c r="AF62" t="str">
        <v>Nikki.Dix@floridadep.gov</v>
      </c>
      <c r="AG62" s="17" t="s">
        <v>17</v>
      </c>
      <c r="AH62" s="12"/>
      <c r="AI62" s="12" t="s">
        <v>120</v>
      </c>
      <c r="AJ62" s="19" t="s">
        <v>121</v>
      </c>
      <c r="AK62" s="20" t="str">
        <f>HYPERLINK("https://docs.google.com/document/d/1NVKICve706r0YkCzp__mT8BDMJdF4QnbOgxRSabgmKc/edit?usp=drivesdk","Ben Mowbray - 5/11/2018 8:30 AM")</f>
        <v>Ben Mowbray - 5/11/2018 8:30 AM</v>
      </c>
      <c r="AL62" s="12" t="s">
        <v>122</v>
      </c>
    </row>
    <row r="63" spans="1:38" ht="12.75">
      <c r="A63" s="10">
        <f ca="1">IFERROR(__xludf.DUMMYFUNCTION("""COMPUTED_VALUE"""),43234.6390791088)</f>
        <v>43234.639079108798</v>
      </c>
      <c r="B63" s="11" t="str">
        <f ca="1">IFERROR(__xludf.DUMMYFUNCTION("""COMPUTED_VALUE"""),"Silas Tanner")</f>
        <v>Silas Tanner</v>
      </c>
      <c r="C63" t="str">
        <f ca="1">IFERROR(__xludf.DUMMYFUNCTION("""COMPUTED_VALUE"""),"silas.tanner@floridadep.gov")</f>
        <v>silas.tanner@floridadep.gov</v>
      </c>
      <c r="D63" t="str">
        <f ca="1">IFERROR(__xludf.DUMMYFUNCTION("""COMPUTED_VALUE"""),"Research")</f>
        <v>Research</v>
      </c>
      <c r="E63" t="str">
        <f ca="1">IFERROR(__xludf.DUMMYFUNCTION("""COMPUTED_VALUE"""),"Vilano County Ramp")</f>
        <v>Vilano County Ramp</v>
      </c>
      <c r="F63" s="13">
        <f ca="1">IFERROR(__xludf.DUMMYFUNCTION("""COMPUTED_VALUE"""),0.36458333333212)</f>
        <v>0.36458333333212001</v>
      </c>
      <c r="G63" s="14">
        <f ca="1">IFERROR(__xludf.DUMMYFUNCTION("""COMPUTED_VALUE"""),43235)</f>
        <v>43235</v>
      </c>
      <c r="H63" t="str">
        <f ca="1">IFERROR(__xludf.DUMMYFUNCTION("""COMPUTED_VALUE"""),"ICW SWMP Sites: FM, SS &amp; PI")</f>
        <v>ICW SWMP Sites: FM, SS &amp; PI</v>
      </c>
      <c r="I63" s="15">
        <f ca="1">IFERROR(__xludf.DUMMYFUNCTION("""COMPUTED_VALUE"""),0.5)</f>
        <v>0.5</v>
      </c>
      <c r="J63" s="16">
        <f ca="1">IFERROR(__xludf.DUMMYFUNCTION("""COMPUTED_VALUE"""),43235.5208333333)</f>
        <v>43235.520833333299</v>
      </c>
      <c r="K63" t="str">
        <f ca="1">IFERROR(__xludf.DUMMYFUNCTION("""COMPUTED_VALUE"""),"23ft Skiff (Bertha) FL7972LJ DEP07613")</f>
        <v>23ft Skiff (Bertha) FL7972LJ DEP07613</v>
      </c>
      <c r="M63" t="str">
        <f ca="1">IFERROR(__xludf.DUMMYFUNCTION("""COMPUTED_VALUE"""),"Ford F250 2017 (Moby Dix) - DEP0021578")</f>
        <v>Ford F250 2017 (Moby Dix) - DEP0021578</v>
      </c>
      <c r="N63" t="str">
        <f ca="1">IFERROR(__xludf.DUMMYFUNCTION("""COMPUTED_VALUE"""),"Silas Tanner, (904) 483-8423")</f>
        <v>Silas Tanner, (904) 483-8423</v>
      </c>
      <c r="O63" t="str">
        <f ca="1">IFERROR(__xludf.DUMMYFUNCTION("""COMPUTED_VALUE"""),"Hunter Mathews")</f>
        <v>Hunter Mathews</v>
      </c>
      <c r="P63" t="str">
        <f ca="1">IFERROR(__xludf.DUMMYFUNCTION("""COMPUTED_VALUE"""),"Silas Tanner")</f>
        <v>Silas Tanner</v>
      </c>
      <c r="Q63" t="str">
        <f ca="1">IFERROR(__xludf.DUMMYFUNCTION("""COMPUTED_VALUE"""),"Good")</f>
        <v>Good</v>
      </c>
      <c r="R63" t="str">
        <f ca="1">IFERROR(__xludf.DUMMYFUNCTION("""COMPUTED_VALUE"""),"Good")</f>
        <v>Good</v>
      </c>
      <c r="S63" t="str">
        <f ca="1">IFERROR(__xludf.DUMMYFUNCTION("""COMPUTED_VALUE"""),"Good")</f>
        <v>Good</v>
      </c>
      <c r="T63" t="str">
        <f ca="1">IFERROR(__xludf.DUMMYFUNCTION("""COMPUTED_VALUE"""),"Good")</f>
        <v>Good</v>
      </c>
      <c r="U63" t="str">
        <f ca="1">IFERROR(__xludf.DUMMYFUNCTION("""COMPUTED_VALUE"""),"Good")</f>
        <v>Good</v>
      </c>
      <c r="V63" t="str">
        <f ca="1">IFERROR(__xludf.DUMMYFUNCTION("""COMPUTED_VALUE"""),"Good")</f>
        <v>Good</v>
      </c>
      <c r="W63" t="str">
        <f ca="1">IFERROR(__xludf.DUMMYFUNCTION("""COMPUTED_VALUE"""),"Good")</f>
        <v>Good</v>
      </c>
      <c r="X63" t="str">
        <f ca="1">IFERROR(__xludf.DUMMYFUNCTION("""COMPUTED_VALUE"""),"Good")</f>
        <v>Good</v>
      </c>
      <c r="Y63" t="str">
        <f ca="1">IFERROR(__xludf.DUMMYFUNCTION("""COMPUTED_VALUE"""),"Good")</f>
        <v>Good</v>
      </c>
      <c r="Z63" t="str">
        <f ca="1">IFERROR(__xludf.DUMMYFUNCTION("""COMPUTED_VALUE"""),"Good")</f>
        <v>Good</v>
      </c>
      <c r="AA63" t="str">
        <f ca="1">IFERROR(__xludf.DUMMYFUNCTION("""COMPUTED_VALUE"""),"Good")</f>
        <v>Good</v>
      </c>
      <c r="AB63" t="str">
        <f ca="1">IFERROR(__xludf.DUMMYFUNCTION("""COMPUTED_VALUE"""),"Good")</f>
        <v>Good</v>
      </c>
      <c r="AC63" t="str">
        <f ca="1">IFERROR(__xludf.DUMMYFUNCTION("""COMPUTED_VALUE"""),"Good")</f>
        <v>Good</v>
      </c>
      <c r="AE63" s="11"/>
      <c r="AF63" t="str">
        <v>Nikki.Dix@floridadep.gov</v>
      </c>
      <c r="AG63" s="17" t="s">
        <v>17</v>
      </c>
      <c r="AH63" s="12"/>
      <c r="AI63" s="12" t="s">
        <v>123</v>
      </c>
      <c r="AJ63" s="19" t="s">
        <v>124</v>
      </c>
      <c r="AK63" s="20" t="str">
        <f>HYPERLINK("https://docs.google.com/document/d/1As9djMbo-ypJ-TIGH9yy3dPkMxR0WI1KMjZ3T-YgY3o/edit?usp=drivesdk","Silas Tanner - 5/15/2018 8:45 AM")</f>
        <v>Silas Tanner - 5/15/2018 8:45 AM</v>
      </c>
      <c r="AL63" s="12" t="s">
        <v>125</v>
      </c>
    </row>
    <row r="64" spans="1:38" ht="12.75">
      <c r="A64" s="10">
        <f ca="1">IFERROR(__xludf.DUMMYFUNCTION("""COMPUTED_VALUE"""),43236.663171331)</f>
        <v>43236.663171330998</v>
      </c>
      <c r="B64" s="11" t="str">
        <f ca="1">IFERROR(__xludf.DUMMYFUNCTION("""COMPUTED_VALUE"""),"Kenneth Rainer")</f>
        <v>Kenneth Rainer</v>
      </c>
      <c r="C64" t="str">
        <f ca="1">IFERROR(__xludf.DUMMYFUNCTION("""COMPUTED_VALUE"""),"Kenneth.Rainer@dep.state.fl.us")</f>
        <v>Kenneth.Rainer@dep.state.fl.us</v>
      </c>
      <c r="D64" t="str">
        <f ca="1">IFERROR(__xludf.DUMMYFUNCTION("""COMPUTED_VALUE"""),"Education")</f>
        <v>Education</v>
      </c>
      <c r="E64" t="str">
        <f ca="1">IFERROR(__xludf.DUMMYFUNCTION("""COMPUTED_VALUE"""),"Usina Boat Ramp")</f>
        <v>Usina Boat Ramp</v>
      </c>
      <c r="F64" s="13">
        <f ca="1">IFERROR(__xludf.DUMMYFUNCTION("""COMPUTED_VALUE"""),0.3125)</f>
        <v>0.3125</v>
      </c>
      <c r="G64" s="14">
        <f ca="1">IFERROR(__xludf.DUMMYFUNCTION("""COMPUTED_VALUE"""),43237)</f>
        <v>43237</v>
      </c>
      <c r="H64" t="str">
        <f ca="1">IFERROR(__xludf.DUMMYFUNCTION("""COMPUTED_VALUE"""),"Site 1: Angelini Project, Pine Island")</f>
        <v>Site 1: Angelini Project, Pine Island</v>
      </c>
      <c r="I64" s="15">
        <f ca="1">IFERROR(__xludf.DUMMYFUNCTION("""COMPUTED_VALUE"""),0.5)</f>
        <v>0.5</v>
      </c>
      <c r="J64" s="16">
        <f ca="1">IFERROR(__xludf.DUMMYFUNCTION("""COMPUTED_VALUE"""),43237.5208333333)</f>
        <v>43237.520833333299</v>
      </c>
      <c r="K64" t="str">
        <f ca="1">IFERROR(__xludf.DUMMYFUNCTION("""COMPUTED_VALUE"""),"23ft Skiff (Bertha) FL7972LJ DEP07613")</f>
        <v>23ft Skiff (Bertha) FL7972LJ DEP07613</v>
      </c>
      <c r="M64" t="str">
        <f ca="1">IFERROR(__xludf.DUMMYFUNCTION("""COMPUTED_VALUE"""),"Ford F250 2017 (Moby Dix) - DEP0021578")</f>
        <v>Ford F250 2017 (Moby Dix) - DEP0021578</v>
      </c>
      <c r="N64" t="str">
        <f ca="1">IFERROR(__xludf.DUMMYFUNCTION("""COMPUTED_VALUE"""),"Kenneth Rainer, (936) 499-1853")</f>
        <v>Kenneth Rainer, (936) 499-1853</v>
      </c>
      <c r="O64" t="str">
        <f ca="1">IFERROR(__xludf.DUMMYFUNCTION("""COMPUTED_VALUE"""),"Emma Hanson")</f>
        <v>Emma Hanson</v>
      </c>
      <c r="P64" t="str">
        <f ca="1">IFERROR(__xludf.DUMMYFUNCTION("""COMPUTED_VALUE"""),"Kenneth Rainer")</f>
        <v>Kenneth Rainer</v>
      </c>
      <c r="Q64" t="str">
        <f ca="1">IFERROR(__xludf.DUMMYFUNCTION("""COMPUTED_VALUE"""),"Good")</f>
        <v>Good</v>
      </c>
      <c r="R64" t="str">
        <f ca="1">IFERROR(__xludf.DUMMYFUNCTION("""COMPUTED_VALUE"""),"Good")</f>
        <v>Good</v>
      </c>
      <c r="S64" t="str">
        <f ca="1">IFERROR(__xludf.DUMMYFUNCTION("""COMPUTED_VALUE"""),"Good")</f>
        <v>Good</v>
      </c>
      <c r="T64" t="str">
        <f ca="1">IFERROR(__xludf.DUMMYFUNCTION("""COMPUTED_VALUE"""),"Good")</f>
        <v>Good</v>
      </c>
      <c r="U64" t="str">
        <f ca="1">IFERROR(__xludf.DUMMYFUNCTION("""COMPUTED_VALUE"""),"Good")</f>
        <v>Good</v>
      </c>
      <c r="V64" t="str">
        <f ca="1">IFERROR(__xludf.DUMMYFUNCTION("""COMPUTED_VALUE"""),"Good")</f>
        <v>Good</v>
      </c>
      <c r="W64" t="str">
        <f ca="1">IFERROR(__xludf.DUMMYFUNCTION("""COMPUTED_VALUE"""),"Good")</f>
        <v>Good</v>
      </c>
      <c r="X64" t="str">
        <f ca="1">IFERROR(__xludf.DUMMYFUNCTION("""COMPUTED_VALUE"""),"Good")</f>
        <v>Good</v>
      </c>
      <c r="Y64" t="str">
        <f ca="1">IFERROR(__xludf.DUMMYFUNCTION("""COMPUTED_VALUE"""),"Good")</f>
        <v>Good</v>
      </c>
      <c r="Z64" t="str">
        <f ca="1">IFERROR(__xludf.DUMMYFUNCTION("""COMPUTED_VALUE"""),"Good")</f>
        <v>Good</v>
      </c>
      <c r="AA64" t="str">
        <f ca="1">IFERROR(__xludf.DUMMYFUNCTION("""COMPUTED_VALUE"""),"Good")</f>
        <v>Good</v>
      </c>
      <c r="AB64" t="str">
        <f ca="1">IFERROR(__xludf.DUMMYFUNCTION("""COMPUTED_VALUE"""),"Good")</f>
        <v>Good</v>
      </c>
      <c r="AC64" t="str">
        <f ca="1">IFERROR(__xludf.DUMMYFUNCTION("""COMPUTED_VALUE"""),"Good")</f>
        <v>Good</v>
      </c>
      <c r="AD64" t="str">
        <f ca="1">IFERROR(__xludf.DUMMYFUNCTION("""COMPUTED_VALUE"""),"74 °F, 24% Rain, 11mph South")</f>
        <v>74 °F, 24% Rain, 11mph South</v>
      </c>
      <c r="AE64" s="11" t="str">
        <f ca="1">IFERROR(__xludf.DUMMYFUNCTION("""COMPUTED_VALUE"""),"04:48 AM -0.80 L and 10:56 AM 3.92 H")</f>
        <v>04:48 AM -0.80 L and 10:56 AM 3.92 H</v>
      </c>
      <c r="AF64" t="str">
        <v>Kenneth.Rainer@floridadep.gov</v>
      </c>
      <c r="AG64" s="17" t="s">
        <v>126</v>
      </c>
      <c r="AH64" s="12"/>
      <c r="AI64" s="12" t="s">
        <v>127</v>
      </c>
      <c r="AJ64" s="19" t="s">
        <v>128</v>
      </c>
      <c r="AK64" s="20" t="str">
        <f>HYPERLINK("https://docs.google.com/document/d/1ZYCXLV6gt2oXgWl9Ziwcxz8bjA1d5w_O5I7Ap6ZOB2M/edit?usp=drivesdk","Kenneth Rainer - 5/17/2018 7:30 AM")</f>
        <v>Kenneth Rainer - 5/17/2018 7:30 AM</v>
      </c>
      <c r="AL64" s="12" t="s">
        <v>129</v>
      </c>
    </row>
    <row r="65" spans="1:38" ht="12.75">
      <c r="A65" s="10">
        <f ca="1">IFERROR(__xludf.DUMMYFUNCTION("""COMPUTED_VALUE"""),43237.3159602546)</f>
        <v>43237.3159602546</v>
      </c>
      <c r="B65" s="11" t="str">
        <f ca="1">IFERROR(__xludf.DUMMYFUNCTION("""COMPUTED_VALUE"""),"Ben Mowbray")</f>
        <v>Ben Mowbray</v>
      </c>
      <c r="C65" t="str">
        <f ca="1">IFERROR(__xludf.DUMMYFUNCTION("""COMPUTED_VALUE"""),"ben.mowbray@dep.state.fl.us")</f>
        <v>ben.mowbray@dep.state.fl.us</v>
      </c>
      <c r="D65" t="str">
        <f ca="1">IFERROR(__xludf.DUMMYFUNCTION("""COMPUTED_VALUE"""),"Research")</f>
        <v>Research</v>
      </c>
      <c r="E65" t="str">
        <f ca="1">IFERROR(__xludf.DUMMYFUNCTION("""COMPUTED_VALUE"""),"Palm Valley")</f>
        <v>Palm Valley</v>
      </c>
      <c r="F65" s="13">
        <f ca="1">IFERROR(__xludf.DUMMYFUNCTION("""COMPUTED_VALUE"""),0.33333333333212)</f>
        <v>0.33333333333212001</v>
      </c>
      <c r="G65" s="14">
        <f ca="1">IFERROR(__xludf.DUMMYFUNCTION("""COMPUTED_VALUE"""),43237)</f>
        <v>43237</v>
      </c>
      <c r="H65" t="str">
        <f ca="1">IFERROR(__xludf.DUMMYFUNCTION("""COMPUTED_VALUE"""),"Angelini Sites")</f>
        <v>Angelini Sites</v>
      </c>
      <c r="I65" s="15">
        <f ca="1">IFERROR(__xludf.DUMMYFUNCTION("""COMPUTED_VALUE"""),0.375)</f>
        <v>0.375</v>
      </c>
      <c r="J65" s="16">
        <f ca="1">IFERROR(__xludf.DUMMYFUNCTION("""COMPUTED_VALUE"""),43237.3888888888)</f>
        <v>43237.388888888803</v>
      </c>
      <c r="K65" t="str">
        <f ca="1">IFERROR(__xludf.DUMMYFUNCTION("""COMPUTED_VALUE"""),"20ft Sea Ark FL5351SJ UNF 2015")</f>
        <v>20ft Sea Ark FL5351SJ UNF 2015</v>
      </c>
      <c r="M65" t="str">
        <f ca="1">IFERROR(__xludf.DUMMYFUNCTION("""COMPUTED_VALUE"""),"Ford F150 2008 - DEP18041 (SWMP Thing)")</f>
        <v>Ford F150 2008 - DEP18041 (SWMP Thing)</v>
      </c>
      <c r="N65" t="str">
        <f ca="1">IFERROR(__xludf.DUMMYFUNCTION("""COMPUTED_VALUE"""),"Ben Mowbray, (407) 962-8782")</f>
        <v>Ben Mowbray, (407) 962-8782</v>
      </c>
      <c r="O65" t="str">
        <f ca="1">IFERROR(__xludf.DUMMYFUNCTION("""COMPUTED_VALUE"""),"Remo")</f>
        <v>Remo</v>
      </c>
      <c r="P65" t="str">
        <f ca="1">IFERROR(__xludf.DUMMYFUNCTION("""COMPUTED_VALUE"""),"Ben")</f>
        <v>Ben</v>
      </c>
      <c r="Q65" t="str">
        <f ca="1">IFERROR(__xludf.DUMMYFUNCTION("""COMPUTED_VALUE"""),"Good")</f>
        <v>Good</v>
      </c>
      <c r="R65" t="str">
        <f ca="1">IFERROR(__xludf.DUMMYFUNCTION("""COMPUTED_VALUE"""),"Good")</f>
        <v>Good</v>
      </c>
      <c r="S65" t="str">
        <f ca="1">IFERROR(__xludf.DUMMYFUNCTION("""COMPUTED_VALUE"""),"Good")</f>
        <v>Good</v>
      </c>
      <c r="T65" t="str">
        <f ca="1">IFERROR(__xludf.DUMMYFUNCTION("""COMPUTED_VALUE"""),"Good")</f>
        <v>Good</v>
      </c>
      <c r="U65" t="str">
        <f ca="1">IFERROR(__xludf.DUMMYFUNCTION("""COMPUTED_VALUE"""),"Good")</f>
        <v>Good</v>
      </c>
      <c r="V65" t="str">
        <f ca="1">IFERROR(__xludf.DUMMYFUNCTION("""COMPUTED_VALUE"""),"Good")</f>
        <v>Good</v>
      </c>
      <c r="W65" t="str">
        <f ca="1">IFERROR(__xludf.DUMMYFUNCTION("""COMPUTED_VALUE"""),"Good")</f>
        <v>Good</v>
      </c>
      <c r="X65" t="str">
        <f ca="1">IFERROR(__xludf.DUMMYFUNCTION("""COMPUTED_VALUE"""),"Good")</f>
        <v>Good</v>
      </c>
      <c r="Y65" t="str">
        <f ca="1">IFERROR(__xludf.DUMMYFUNCTION("""COMPUTED_VALUE"""),"Good")</f>
        <v>Good</v>
      </c>
      <c r="Z65" t="str">
        <f ca="1">IFERROR(__xludf.DUMMYFUNCTION("""COMPUTED_VALUE"""),"Good")</f>
        <v>Good</v>
      </c>
      <c r="AA65" t="str">
        <f ca="1">IFERROR(__xludf.DUMMYFUNCTION("""COMPUTED_VALUE"""),"Good")</f>
        <v>Good</v>
      </c>
      <c r="AB65" t="str">
        <f ca="1">IFERROR(__xludf.DUMMYFUNCTION("""COMPUTED_VALUE"""),"Good")</f>
        <v>Good</v>
      </c>
      <c r="AC65" t="str">
        <f ca="1">IFERROR(__xludf.DUMMYFUNCTION("""COMPUTED_VALUE"""),"Good")</f>
        <v>Good</v>
      </c>
      <c r="AE65" s="11"/>
      <c r="AF65" t="str">
        <v>Nikki.Dix@floridadep.gov</v>
      </c>
      <c r="AG65" s="17" t="s">
        <v>126</v>
      </c>
      <c r="AH65" s="12"/>
      <c r="AI65" s="12" t="s">
        <v>130</v>
      </c>
      <c r="AJ65" s="19" t="s">
        <v>131</v>
      </c>
      <c r="AK65" s="20" t="str">
        <f>HYPERLINK("https://docs.google.com/document/d/10nnniawQVtJWr1j6dGtxHYuaPvjUZS_oEzRZ6f249BE/edit?usp=drivesdk","Ben Mowbray - 5/17/2018 8:00 AM")</f>
        <v>Ben Mowbray - 5/17/2018 8:00 AM</v>
      </c>
      <c r="AL65" s="12" t="s">
        <v>132</v>
      </c>
    </row>
    <row r="66" spans="1:38" ht="12.75">
      <c r="A66" s="10">
        <f ca="1">IFERROR(__xludf.DUMMYFUNCTION("""COMPUTED_VALUE"""),43243.8144379282)</f>
        <v>43243.814437928202</v>
      </c>
      <c r="B66" s="11" t="str">
        <f ca="1">IFERROR(__xludf.DUMMYFUNCTION("""COMPUTED_VALUE"""),"Pamela Marcum")</f>
        <v>Pamela Marcum</v>
      </c>
      <c r="C66" t="str">
        <f ca="1">IFERROR(__xludf.DUMMYFUNCTION("""COMPUTED_VALUE"""),"Pamela.Marcum@Dep.state.fl.us")</f>
        <v>Pamela.Marcum@Dep.state.fl.us</v>
      </c>
      <c r="D66" t="str">
        <f ca="1">IFERROR(__xludf.DUMMYFUNCTION("""COMPUTED_VALUE"""),"Research")</f>
        <v>Research</v>
      </c>
      <c r="E66" t="str">
        <f ca="1">IFERROR(__xludf.DUMMYFUNCTION("""COMPUTED_VALUE"""),"Crane Park Shore Drive")</f>
        <v>Crane Park Shore Drive</v>
      </c>
      <c r="F66" s="13">
        <f ca="1">IFERROR(__xludf.DUMMYFUNCTION("""COMPUTED_VALUE"""),0.33333333333212)</f>
        <v>0.33333333333212001</v>
      </c>
      <c r="G66" s="14">
        <f ca="1">IFERROR(__xludf.DUMMYFUNCTION("""COMPUTED_VALUE"""),43244)</f>
        <v>43244</v>
      </c>
      <c r="H66" t="str">
        <f ca="1">IFERROR(__xludf.DUMMYFUNCTION("""COMPUTED_VALUE"""),"Tidal Creek North of East Creek")</f>
        <v>Tidal Creek North of East Creek</v>
      </c>
      <c r="I66" s="15">
        <f ca="1">IFERROR(__xludf.DUMMYFUNCTION("""COMPUTED_VALUE"""),0.625)</f>
        <v>0.625</v>
      </c>
      <c r="J66" s="16">
        <f ca="1">IFERROR(__xludf.DUMMYFUNCTION("""COMPUTED_VALUE"""),43244.6666666666)</f>
        <v>43244.666666666599</v>
      </c>
      <c r="K66" t="str">
        <f ca="1">IFERROR(__xludf.DUMMYFUNCTION("""COMPUTED_VALUE"""),"23ft Skiff (Bertha) FL7972LJ DEP07613")</f>
        <v>23ft Skiff (Bertha) FL7972LJ DEP07613</v>
      </c>
      <c r="M66" t="str">
        <f ca="1">IFERROR(__xludf.DUMMYFUNCTION("""COMPUTED_VALUE"""),"Ford F150 2008 - DEP18041 (SWMP Thing)")</f>
        <v>Ford F150 2008 - DEP18041 (SWMP Thing)</v>
      </c>
      <c r="N66" t="str">
        <f ca="1">IFERROR(__xludf.DUMMYFUNCTION("""COMPUTED_VALUE"""),"Pam Marcum, (480) 332-5414")</f>
        <v>Pam Marcum, (480) 332-5414</v>
      </c>
      <c r="O66" t="str">
        <f ca="1">IFERROR(__xludf.DUMMYFUNCTION("""COMPUTED_VALUE"""),"Sam Chapman, Matt Hayes, Libby, Chuck, Emily, Ember, Chansotheary")</f>
        <v>Sam Chapman, Matt Hayes, Libby, Chuck, Emily, Ember, Chansotheary</v>
      </c>
      <c r="P66" t="str">
        <f ca="1">IFERROR(__xludf.DUMMYFUNCTION("""COMPUTED_VALUE"""),"Pam Marcum")</f>
        <v>Pam Marcum</v>
      </c>
      <c r="Q66" t="str">
        <f ca="1">IFERROR(__xludf.DUMMYFUNCTION("""COMPUTED_VALUE"""),"Good")</f>
        <v>Good</v>
      </c>
      <c r="R66" t="str">
        <f ca="1">IFERROR(__xludf.DUMMYFUNCTION("""COMPUTED_VALUE"""),"Good")</f>
        <v>Good</v>
      </c>
      <c r="S66" t="str">
        <f ca="1">IFERROR(__xludf.DUMMYFUNCTION("""COMPUTED_VALUE"""),"Good")</f>
        <v>Good</v>
      </c>
      <c r="T66" t="str">
        <f ca="1">IFERROR(__xludf.DUMMYFUNCTION("""COMPUTED_VALUE"""),"Good")</f>
        <v>Good</v>
      </c>
      <c r="U66" t="str">
        <f ca="1">IFERROR(__xludf.DUMMYFUNCTION("""COMPUTED_VALUE"""),"Good")</f>
        <v>Good</v>
      </c>
      <c r="V66" t="str">
        <f ca="1">IFERROR(__xludf.DUMMYFUNCTION("""COMPUTED_VALUE"""),"Good")</f>
        <v>Good</v>
      </c>
      <c r="W66" t="str">
        <f ca="1">IFERROR(__xludf.DUMMYFUNCTION("""COMPUTED_VALUE"""),"Good")</f>
        <v>Good</v>
      </c>
      <c r="X66" t="str">
        <f ca="1">IFERROR(__xludf.DUMMYFUNCTION("""COMPUTED_VALUE"""),"Good")</f>
        <v>Good</v>
      </c>
      <c r="Y66" t="str">
        <f ca="1">IFERROR(__xludf.DUMMYFUNCTION("""COMPUTED_VALUE"""),"Good")</f>
        <v>Good</v>
      </c>
      <c r="Z66" t="str">
        <f ca="1">IFERROR(__xludf.DUMMYFUNCTION("""COMPUTED_VALUE"""),"Good")</f>
        <v>Good</v>
      </c>
      <c r="AA66" t="str">
        <f ca="1">IFERROR(__xludf.DUMMYFUNCTION("""COMPUTED_VALUE"""),"Good")</f>
        <v>Good</v>
      </c>
      <c r="AB66" t="str">
        <f ca="1">IFERROR(__xludf.DUMMYFUNCTION("""COMPUTED_VALUE"""),"Good")</f>
        <v>Good</v>
      </c>
      <c r="AC66" t="str">
        <f ca="1">IFERROR(__xludf.DUMMYFUNCTION("""COMPUTED_VALUE"""),"Good")</f>
        <v>Good</v>
      </c>
      <c r="AE66" s="11"/>
      <c r="AF66" t="str">
        <v>Nikki.Dix@floridadep.gov</v>
      </c>
      <c r="AG66" s="17" t="s">
        <v>41</v>
      </c>
      <c r="AH66" s="12"/>
      <c r="AI66" s="12" t="s">
        <v>133</v>
      </c>
      <c r="AJ66" s="19" t="s">
        <v>134</v>
      </c>
      <c r="AK66" s="20" t="str">
        <f>HYPERLINK("https://docs.google.com/document/d/1_HH9Z8-j5vEDahK3SVVb5cw1dwoAO7QFzxqAWGE-CnI/edit?usp=drivesdk","Pamela Marcum - 5/24/2018 8:00 AM")</f>
        <v>Pamela Marcum - 5/24/2018 8:00 AM</v>
      </c>
      <c r="AL66" s="12" t="s">
        <v>135</v>
      </c>
    </row>
    <row r="67" spans="1:38" ht="12.75">
      <c r="A67" s="10">
        <f ca="1">IFERROR(__xludf.DUMMYFUNCTION("""COMPUTED_VALUE"""),43244.4463801504)</f>
        <v>43244.446380150403</v>
      </c>
      <c r="B67" s="11" t="str">
        <f ca="1">IFERROR(__xludf.DUMMYFUNCTION("""COMPUTED_VALUE"""),"Silas Tanner")</f>
        <v>Silas Tanner</v>
      </c>
      <c r="C67" t="str">
        <f ca="1">IFERROR(__xludf.DUMMYFUNCTION("""COMPUTED_VALUE"""),"silas.tanner@floridadep.gov")</f>
        <v>silas.tanner@floridadep.gov</v>
      </c>
      <c r="D67" t="str">
        <f ca="1">IFERROR(__xludf.DUMMYFUNCTION("""COMPUTED_VALUE"""),"Research")</f>
        <v>Research</v>
      </c>
      <c r="E67" t="str">
        <f ca="1">IFERROR(__xludf.DUMMYFUNCTION("""COMPUTED_VALUE"""),"Bing's Landing")</f>
        <v>Bing's Landing</v>
      </c>
      <c r="F67" s="13">
        <f ca="1">IFERROR(__xludf.DUMMYFUNCTION("""COMPUTED_VALUE"""),0.34375)</f>
        <v>0.34375</v>
      </c>
      <c r="G67" s="14">
        <f ca="1">IFERROR(__xludf.DUMMYFUNCTION("""COMPUTED_VALUE"""),43245)</f>
        <v>43245</v>
      </c>
      <c r="H67" t="str">
        <f ca="1">IFERROR(__xludf.DUMMYFUNCTION("""COMPUTED_VALUE"""),"ICW b/w Rattlesnake Is. and Bing's")</f>
        <v>ICW b/w Rattlesnake Is. and Bing's</v>
      </c>
      <c r="I67" s="15">
        <f ca="1">IFERROR(__xludf.DUMMYFUNCTION("""COMPUTED_VALUE"""),0.5)</f>
        <v>0.5</v>
      </c>
      <c r="J67" s="16">
        <f ca="1">IFERROR(__xludf.DUMMYFUNCTION("""COMPUTED_VALUE"""),43245.5416666666)</f>
        <v>43245.541666666599</v>
      </c>
      <c r="K67" t="str">
        <f ca="1">IFERROR(__xludf.DUMMYFUNCTION("""COMPUTED_VALUE"""),"23ft Skiff (Bertha) FL7972LJ DEP07613")</f>
        <v>23ft Skiff (Bertha) FL7972LJ DEP07613</v>
      </c>
      <c r="M67" t="str">
        <f ca="1">IFERROR(__xludf.DUMMYFUNCTION("""COMPUTED_VALUE"""),"Ford F150 2008 - DEP18041 (SWMP Thing)")</f>
        <v>Ford F150 2008 - DEP18041 (SWMP Thing)</v>
      </c>
      <c r="N67" t="str">
        <f ca="1">IFERROR(__xludf.DUMMYFUNCTION("""COMPUTED_VALUE"""),"Silas Tanner, (904) 483-8423")</f>
        <v>Silas Tanner, (904) 483-8423</v>
      </c>
      <c r="O67" t="str">
        <f ca="1">IFERROR(__xludf.DUMMYFUNCTION("""COMPUTED_VALUE"""),"Matt Brown, Westly Woodward, Remo Mondazi")</f>
        <v>Matt Brown, Westly Woodward, Remo Mondazi</v>
      </c>
      <c r="P67" t="str">
        <f ca="1">IFERROR(__xludf.DUMMYFUNCTION("""COMPUTED_VALUE"""),"Silas Tanner")</f>
        <v>Silas Tanner</v>
      </c>
      <c r="Q67" t="str">
        <f ca="1">IFERROR(__xludf.DUMMYFUNCTION("""COMPUTED_VALUE"""),"Good")</f>
        <v>Good</v>
      </c>
      <c r="R67" t="str">
        <f ca="1">IFERROR(__xludf.DUMMYFUNCTION("""COMPUTED_VALUE"""),"Good")</f>
        <v>Good</v>
      </c>
      <c r="S67" t="str">
        <f ca="1">IFERROR(__xludf.DUMMYFUNCTION("""COMPUTED_VALUE"""),"Good")</f>
        <v>Good</v>
      </c>
      <c r="T67" t="str">
        <f ca="1">IFERROR(__xludf.DUMMYFUNCTION("""COMPUTED_VALUE"""),"Good")</f>
        <v>Good</v>
      </c>
      <c r="U67" t="str">
        <f ca="1">IFERROR(__xludf.DUMMYFUNCTION("""COMPUTED_VALUE"""),"Good")</f>
        <v>Good</v>
      </c>
      <c r="V67" t="str">
        <f ca="1">IFERROR(__xludf.DUMMYFUNCTION("""COMPUTED_VALUE"""),"Good")</f>
        <v>Good</v>
      </c>
      <c r="W67" t="str">
        <f ca="1">IFERROR(__xludf.DUMMYFUNCTION("""COMPUTED_VALUE"""),"Good")</f>
        <v>Good</v>
      </c>
      <c r="X67" t="str">
        <f ca="1">IFERROR(__xludf.DUMMYFUNCTION("""COMPUTED_VALUE"""),"Good")</f>
        <v>Good</v>
      </c>
      <c r="Y67" t="str">
        <f ca="1">IFERROR(__xludf.DUMMYFUNCTION("""COMPUTED_VALUE"""),"Good")</f>
        <v>Good</v>
      </c>
      <c r="Z67" t="str">
        <f ca="1">IFERROR(__xludf.DUMMYFUNCTION("""COMPUTED_VALUE"""),"Good")</f>
        <v>Good</v>
      </c>
      <c r="AA67" t="str">
        <f ca="1">IFERROR(__xludf.DUMMYFUNCTION("""COMPUTED_VALUE"""),"Good")</f>
        <v>Good</v>
      </c>
      <c r="AB67" t="str">
        <f ca="1">IFERROR(__xludf.DUMMYFUNCTION("""COMPUTED_VALUE"""),"Good")</f>
        <v>Good</v>
      </c>
      <c r="AC67" t="str">
        <f ca="1">IFERROR(__xludf.DUMMYFUNCTION("""COMPUTED_VALUE"""),"Good")</f>
        <v>Good</v>
      </c>
      <c r="AE67" s="11"/>
      <c r="AF67" t="str">
        <v>Nikki.Dix@floridadep.gov</v>
      </c>
      <c r="AG67" s="17" t="s">
        <v>17</v>
      </c>
      <c r="AH67" s="12"/>
      <c r="AI67" s="12" t="s">
        <v>136</v>
      </c>
      <c r="AJ67" s="19" t="s">
        <v>137</v>
      </c>
      <c r="AK67" s="20" t="str">
        <f>HYPERLINK("https://docs.google.com/document/d/1xPjlL2XpuJuVs9bhlQHaVaBJvaUVRrAiSl6QpD-EBQQ/edit?usp=drivesdk","Silas Tanner - 5/25/2018 8:15 AM")</f>
        <v>Silas Tanner - 5/25/2018 8:15 AM</v>
      </c>
      <c r="AL67" s="12" t="s">
        <v>138</v>
      </c>
    </row>
    <row r="68" spans="1:38" ht="12.75">
      <c r="A68" s="10">
        <f ca="1">IFERROR(__xludf.DUMMYFUNCTION("""COMPUTED_VALUE"""),43248.3607038773)</f>
        <v>43248.360703877297</v>
      </c>
      <c r="B68" s="11" t="str">
        <f ca="1">IFERROR(__xludf.DUMMYFUNCTION("""COMPUTED_VALUE"""),"Ben Mowbray")</f>
        <v>Ben Mowbray</v>
      </c>
      <c r="C68" t="str">
        <f ca="1">IFERROR(__xludf.DUMMYFUNCTION("""COMPUTED_VALUE"""),"ben.mowbray@dep.state.fl.us")</f>
        <v>ben.mowbray@dep.state.fl.us</v>
      </c>
      <c r="D68" t="str">
        <f ca="1">IFERROR(__xludf.DUMMYFUNCTION("""COMPUTED_VALUE"""),"Research")</f>
        <v>Research</v>
      </c>
      <c r="E68" t="str">
        <f ca="1">IFERROR(__xludf.DUMMYFUNCTION("""COMPUTED_VALUE"""),"Shore Dr.")</f>
        <v>Shore Dr.</v>
      </c>
      <c r="F68" s="13">
        <f ca="1">IFERROR(__xludf.DUMMYFUNCTION("""COMPUTED_VALUE"""),0.39583333333212)</f>
        <v>0.39583333333212001</v>
      </c>
      <c r="G68" s="14">
        <f ca="1">IFERROR(__xludf.DUMMYFUNCTION("""COMPUTED_VALUE"""),43248)</f>
        <v>43248</v>
      </c>
      <c r="H68" t="str">
        <f ca="1">IFERROR(__xludf.DUMMYFUNCTION("""COMPUTED_VALUE"""),"Chapman Sites")</f>
        <v>Chapman Sites</v>
      </c>
      <c r="I68" s="15">
        <f ca="1">IFERROR(__xludf.DUMMYFUNCTION("""COMPUTED_VALUE"""),0.666666666667879)</f>
        <v>0.66666666666787899</v>
      </c>
      <c r="J68" s="16">
        <f ca="1">IFERROR(__xludf.DUMMYFUNCTION("""COMPUTED_VALUE"""),43248.7083333333)</f>
        <v>43248.708333333299</v>
      </c>
      <c r="K68" t="str">
        <f ca="1">IFERROR(__xludf.DUMMYFUNCTION("""COMPUTED_VALUE"""),"23ft Skiff (Bertha) FL7972LJ DEP07613")</f>
        <v>23ft Skiff (Bertha) FL7972LJ DEP07613</v>
      </c>
      <c r="M68" t="str">
        <f ca="1">IFERROR(__xludf.DUMMYFUNCTION("""COMPUTED_VALUE"""),"Ford F250 2017 (Moby Dix) - DEP0021578")</f>
        <v>Ford F250 2017 (Moby Dix) - DEP0021578</v>
      </c>
      <c r="N68" t="str">
        <f ca="1">IFERROR(__xludf.DUMMYFUNCTION("""COMPUTED_VALUE"""),"Ben Mowbray, (407) 962-8782")</f>
        <v>Ben Mowbray, (407) 962-8782</v>
      </c>
      <c r="O68" t="str">
        <f ca="1">IFERROR(__xludf.DUMMYFUNCTION("""COMPUTED_VALUE"""),"Gabriela Canas, (904) 891-9743, Chapman group")</f>
        <v>Gabriela Canas, (904) 891-9743, Chapman group</v>
      </c>
      <c r="P68" t="str">
        <f ca="1">IFERROR(__xludf.DUMMYFUNCTION("""COMPUTED_VALUE"""),"Ben")</f>
        <v>Ben</v>
      </c>
      <c r="Q68" t="str">
        <f ca="1">IFERROR(__xludf.DUMMYFUNCTION("""COMPUTED_VALUE"""),"Good")</f>
        <v>Good</v>
      </c>
      <c r="R68" t="str">
        <f ca="1">IFERROR(__xludf.DUMMYFUNCTION("""COMPUTED_VALUE"""),"Good")</f>
        <v>Good</v>
      </c>
      <c r="S68" t="str">
        <f ca="1">IFERROR(__xludf.DUMMYFUNCTION("""COMPUTED_VALUE"""),"Good")</f>
        <v>Good</v>
      </c>
      <c r="T68" t="str">
        <f ca="1">IFERROR(__xludf.DUMMYFUNCTION("""COMPUTED_VALUE"""),"Good")</f>
        <v>Good</v>
      </c>
      <c r="U68" t="str">
        <f ca="1">IFERROR(__xludf.DUMMYFUNCTION("""COMPUTED_VALUE"""),"Good")</f>
        <v>Good</v>
      </c>
      <c r="V68" t="str">
        <f ca="1">IFERROR(__xludf.DUMMYFUNCTION("""COMPUTED_VALUE"""),"Good")</f>
        <v>Good</v>
      </c>
      <c r="W68" t="str">
        <f ca="1">IFERROR(__xludf.DUMMYFUNCTION("""COMPUTED_VALUE"""),"Good")</f>
        <v>Good</v>
      </c>
      <c r="X68" t="str">
        <f ca="1">IFERROR(__xludf.DUMMYFUNCTION("""COMPUTED_VALUE"""),"Good")</f>
        <v>Good</v>
      </c>
      <c r="Y68" t="str">
        <f ca="1">IFERROR(__xludf.DUMMYFUNCTION("""COMPUTED_VALUE"""),"Good")</f>
        <v>Good</v>
      </c>
      <c r="Z68" t="str">
        <f ca="1">IFERROR(__xludf.DUMMYFUNCTION("""COMPUTED_VALUE"""),"Good")</f>
        <v>Good</v>
      </c>
      <c r="AA68" t="str">
        <f ca="1">IFERROR(__xludf.DUMMYFUNCTION("""COMPUTED_VALUE"""),"Good")</f>
        <v>Good</v>
      </c>
      <c r="AB68" t="str">
        <f ca="1">IFERROR(__xludf.DUMMYFUNCTION("""COMPUTED_VALUE"""),"Good")</f>
        <v>Good</v>
      </c>
      <c r="AC68" t="str">
        <f ca="1">IFERROR(__xludf.DUMMYFUNCTION("""COMPUTED_VALUE"""),"Good")</f>
        <v>Good</v>
      </c>
      <c r="AE68" s="11"/>
      <c r="AF68" t="str">
        <v>Nikki.Dix@floridadep.gov</v>
      </c>
      <c r="AG68" s="17" t="s">
        <v>139</v>
      </c>
      <c r="AH68" s="12"/>
      <c r="AI68" s="12" t="s">
        <v>140</v>
      </c>
      <c r="AJ68" s="19" t="s">
        <v>141</v>
      </c>
      <c r="AK68" s="20" t="str">
        <f>HYPERLINK("https://docs.google.com/document/d/1Z8dAn-NJRpmpNLlG1zkbjukS7RuYIXNvx0IZ730X_Lk/edit?usp=drivesdk","Ben Mowbray - 5/28/2018 9:30 AM")</f>
        <v>Ben Mowbray - 5/28/2018 9:30 AM</v>
      </c>
      <c r="AL68" s="12" t="s">
        <v>142</v>
      </c>
    </row>
    <row r="69" spans="1:38" ht="12.75">
      <c r="A69" s="10">
        <f ca="1">IFERROR(__xludf.DUMMYFUNCTION("""COMPUTED_VALUE"""),43249.3171502893)</f>
        <v>43249.317150289302</v>
      </c>
      <c r="B69" s="11" t="str">
        <f ca="1">IFERROR(__xludf.DUMMYFUNCTION("""COMPUTED_VALUE"""),"Silas Tanner")</f>
        <v>Silas Tanner</v>
      </c>
      <c r="C69" t="str">
        <f ca="1">IFERROR(__xludf.DUMMYFUNCTION("""COMPUTED_VALUE"""),"silas.tanner@floridadep.gov")</f>
        <v>silas.tanner@floridadep.gov</v>
      </c>
      <c r="D69" t="str">
        <f ca="1">IFERROR(__xludf.DUMMYFUNCTION("""COMPUTED_VALUE"""),"Research")</f>
        <v>Research</v>
      </c>
      <c r="E69" t="str">
        <f ca="1">IFERROR(__xludf.DUMMYFUNCTION("""COMPUTED_VALUE"""),"Vilano County Ramp; Green Rd")</f>
        <v>Vilano County Ramp; Green Rd</v>
      </c>
      <c r="F69" s="13">
        <f ca="1">IFERROR(__xludf.DUMMYFUNCTION("""COMPUTED_VALUE"""),0.39583333333212)</f>
        <v>0.39583333333212001</v>
      </c>
      <c r="G69" s="14">
        <f ca="1">IFERROR(__xludf.DUMMYFUNCTION("""COMPUTED_VALUE"""),43249)</f>
        <v>43249</v>
      </c>
      <c r="H69" t="str">
        <f ca="1">IFERROR(__xludf.DUMMYFUNCTION("""COMPUTED_VALUE"""),"ICW SWMP Sites")</f>
        <v>ICW SWMP Sites</v>
      </c>
      <c r="I69" s="15">
        <f ca="1">IFERROR(__xludf.DUMMYFUNCTION("""COMPUTED_VALUE"""),0.625)</f>
        <v>0.625</v>
      </c>
      <c r="J69" s="16">
        <f ca="1">IFERROR(__xludf.DUMMYFUNCTION("""COMPUTED_VALUE"""),43249.6458333333)</f>
        <v>43249.645833333299</v>
      </c>
      <c r="K69" t="str">
        <f ca="1">IFERROR(__xludf.DUMMYFUNCTION("""COMPUTED_VALUE"""),"20ft Sea Ark FL5351SJ UNF 2015")</f>
        <v>20ft Sea Ark FL5351SJ UNF 2015</v>
      </c>
      <c r="M69" t="str">
        <f ca="1">IFERROR(__xludf.DUMMYFUNCTION("""COMPUTED_VALUE"""),"Ford F150 2008 - DEP18041 (SWMP Thing)")</f>
        <v>Ford F150 2008 - DEP18041 (SWMP Thing)</v>
      </c>
      <c r="N69" t="str">
        <f ca="1">IFERROR(__xludf.DUMMYFUNCTION("""COMPUTED_VALUE"""),"Silas Tanner, (904) 483-8423, Jimmy Tomazinis, (904) 547-0094")</f>
        <v>Silas Tanner, (904) 483-8423, Jimmy Tomazinis, (904) 547-0094</v>
      </c>
      <c r="P69" t="str">
        <f ca="1">IFERROR(__xludf.DUMMYFUNCTION("""COMPUTED_VALUE"""),"Silas Tanner")</f>
        <v>Silas Tanner</v>
      </c>
      <c r="Q69" t="str">
        <f ca="1">IFERROR(__xludf.DUMMYFUNCTION("""COMPUTED_VALUE"""),"Good")</f>
        <v>Good</v>
      </c>
      <c r="R69" t="str">
        <f ca="1">IFERROR(__xludf.DUMMYFUNCTION("""COMPUTED_VALUE"""),"Good")</f>
        <v>Good</v>
      </c>
      <c r="S69" t="str">
        <f ca="1">IFERROR(__xludf.DUMMYFUNCTION("""COMPUTED_VALUE"""),"Good")</f>
        <v>Good</v>
      </c>
      <c r="T69" t="str">
        <f ca="1">IFERROR(__xludf.DUMMYFUNCTION("""COMPUTED_VALUE"""),"Good")</f>
        <v>Good</v>
      </c>
      <c r="U69" t="str">
        <f ca="1">IFERROR(__xludf.DUMMYFUNCTION("""COMPUTED_VALUE"""),"Good")</f>
        <v>Good</v>
      </c>
      <c r="V69" t="str">
        <f ca="1">IFERROR(__xludf.DUMMYFUNCTION("""COMPUTED_VALUE"""),"Good")</f>
        <v>Good</v>
      </c>
      <c r="W69" t="str">
        <f ca="1">IFERROR(__xludf.DUMMYFUNCTION("""COMPUTED_VALUE"""),"Good")</f>
        <v>Good</v>
      </c>
      <c r="X69" t="str">
        <f ca="1">IFERROR(__xludf.DUMMYFUNCTION("""COMPUTED_VALUE"""),"Good")</f>
        <v>Good</v>
      </c>
      <c r="Y69" t="str">
        <f ca="1">IFERROR(__xludf.DUMMYFUNCTION("""COMPUTED_VALUE"""),"Good")</f>
        <v>Good</v>
      </c>
      <c r="Z69" t="str">
        <f ca="1">IFERROR(__xludf.DUMMYFUNCTION("""COMPUTED_VALUE"""),"Good")</f>
        <v>Good</v>
      </c>
      <c r="AA69" t="str">
        <f ca="1">IFERROR(__xludf.DUMMYFUNCTION("""COMPUTED_VALUE"""),"Good")</f>
        <v>Good</v>
      </c>
      <c r="AB69" t="str">
        <f ca="1">IFERROR(__xludf.DUMMYFUNCTION("""COMPUTED_VALUE"""),"Good")</f>
        <v>Good</v>
      </c>
      <c r="AC69" t="str">
        <f ca="1">IFERROR(__xludf.DUMMYFUNCTION("""COMPUTED_VALUE"""),"Good")</f>
        <v>Good</v>
      </c>
      <c r="AE69" s="11"/>
      <c r="AF69" t="str">
        <v>Nikki.Dix@floridadep.gov</v>
      </c>
      <c r="AG69" s="17" t="s">
        <v>17</v>
      </c>
      <c r="AH69" s="12"/>
      <c r="AI69" s="12" t="s">
        <v>143</v>
      </c>
      <c r="AJ69" s="19" t="s">
        <v>144</v>
      </c>
      <c r="AK69" s="20" t="str">
        <f>HYPERLINK("https://docs.google.com/document/d/1-UbK8hMJUW_5g5Rku1FY9ewcvvUW5AHNrwKQATrchv4/edit?usp=drivesdk","Silas Tanner - 5/29/2018 9:30 AM")</f>
        <v>Silas Tanner - 5/29/2018 9:30 AM</v>
      </c>
      <c r="AL69" s="12" t="s">
        <v>145</v>
      </c>
    </row>
    <row r="70" spans="1:38" ht="12.75">
      <c r="A70" s="10">
        <f ca="1">IFERROR(__xludf.DUMMYFUNCTION("""COMPUTED_VALUE"""),43250.3983840277)</f>
        <v>43250.3983840277</v>
      </c>
      <c r="B70" s="11" t="str">
        <f ca="1">IFERROR(__xludf.DUMMYFUNCTION("""COMPUTED_VALUE"""),"James Tomazinis")</f>
        <v>James Tomazinis</v>
      </c>
      <c r="C70" t="str">
        <f ca="1">IFERROR(__xludf.DUMMYFUNCTION("""COMPUTED_VALUE"""),"james.tomazinis@floridadep.gov")</f>
        <v>james.tomazinis@floridadep.gov</v>
      </c>
      <c r="D70" t="str">
        <f ca="1">IFERROR(__xludf.DUMMYFUNCTION("""COMPUTED_VALUE"""),"Stewardship (Aquatic)")</f>
        <v>Stewardship (Aquatic)</v>
      </c>
      <c r="E70" t="str">
        <f ca="1">IFERROR(__xludf.DUMMYFUNCTION("""COMPUTED_VALUE"""),"dam")</f>
        <v>dam</v>
      </c>
      <c r="F70" s="13">
        <f ca="1">IFERROR(__xludf.DUMMYFUNCTION("""COMPUTED_VALUE"""),0.40625)</f>
        <v>0.40625</v>
      </c>
      <c r="G70" s="14">
        <f ca="1">IFERROR(__xludf.DUMMYFUNCTION("""COMPUTED_VALUE"""),43250)</f>
        <v>43250</v>
      </c>
      <c r="H70" t="str">
        <f ca="1">IFERROR(__xludf.DUMMYFUNCTION("""COMPUTED_VALUE"""),"Guana sample sites")</f>
        <v>Guana sample sites</v>
      </c>
      <c r="I70" s="15">
        <f ca="1">IFERROR(__xludf.DUMMYFUNCTION("""COMPUTED_VALUE"""),0.541666666667879)</f>
        <v>0.54166666666787899</v>
      </c>
      <c r="J70" s="16"/>
      <c r="K70" t="str">
        <f ca="1">IFERROR(__xludf.DUMMYFUNCTION("""COMPUTED_VALUE"""),"Jon Boat FL0484NP DEP06819")</f>
        <v>Jon Boat FL0484NP DEP06819</v>
      </c>
      <c r="M70" t="str">
        <f ca="1">IFERROR(__xludf.DUMMYFUNCTION("""COMPUTED_VALUE"""),"Ford Explorer 2002 - DEP05465 (AP)")</f>
        <v>Ford Explorer 2002 - DEP05465 (AP)</v>
      </c>
      <c r="N70" t="str">
        <f ca="1">IFERROR(__xludf.DUMMYFUNCTION("""COMPUTED_VALUE"""),"Jimmy Tomazinis, (904) 547-0094")</f>
        <v>Jimmy Tomazinis, (904) 547-0094</v>
      </c>
      <c r="O70" t="str">
        <f ca="1">IFERROR(__xludf.DUMMYFUNCTION("""COMPUTED_VALUE"""),"Hunter Mathews")</f>
        <v>Hunter Mathews</v>
      </c>
      <c r="P70" t="str">
        <f ca="1">IFERROR(__xludf.DUMMYFUNCTION("""COMPUTED_VALUE"""),"Jimmy")</f>
        <v>Jimmy</v>
      </c>
      <c r="Q70" t="str">
        <f ca="1">IFERROR(__xludf.DUMMYFUNCTION("""COMPUTED_VALUE"""),"Good")</f>
        <v>Good</v>
      </c>
      <c r="R70" t="str">
        <f ca="1">IFERROR(__xludf.DUMMYFUNCTION("""COMPUTED_VALUE"""),"Good")</f>
        <v>Good</v>
      </c>
      <c r="S70" t="str">
        <f ca="1">IFERROR(__xludf.DUMMYFUNCTION("""COMPUTED_VALUE"""),"Good")</f>
        <v>Good</v>
      </c>
      <c r="T70" t="str">
        <f ca="1">IFERROR(__xludf.DUMMYFUNCTION("""COMPUTED_VALUE"""),"Good")</f>
        <v>Good</v>
      </c>
      <c r="U70" t="str">
        <f ca="1">IFERROR(__xludf.DUMMYFUNCTION("""COMPUTED_VALUE"""),"Good")</f>
        <v>Good</v>
      </c>
      <c r="V70" t="str">
        <f ca="1">IFERROR(__xludf.DUMMYFUNCTION("""COMPUTED_VALUE"""),"Good")</f>
        <v>Good</v>
      </c>
      <c r="W70" t="str">
        <f ca="1">IFERROR(__xludf.DUMMYFUNCTION("""COMPUTED_VALUE"""),"Good")</f>
        <v>Good</v>
      </c>
      <c r="X70" t="str">
        <f ca="1">IFERROR(__xludf.DUMMYFUNCTION("""COMPUTED_VALUE"""),"Good")</f>
        <v>Good</v>
      </c>
      <c r="Y70" t="str">
        <f ca="1">IFERROR(__xludf.DUMMYFUNCTION("""COMPUTED_VALUE"""),"Good")</f>
        <v>Good</v>
      </c>
      <c r="Z70" t="str">
        <f ca="1">IFERROR(__xludf.DUMMYFUNCTION("""COMPUTED_VALUE"""),"Good")</f>
        <v>Good</v>
      </c>
      <c r="AA70" t="str">
        <f ca="1">IFERROR(__xludf.DUMMYFUNCTION("""COMPUTED_VALUE"""),"Good")</f>
        <v>Good</v>
      </c>
      <c r="AB70" t="str">
        <f ca="1">IFERROR(__xludf.DUMMYFUNCTION("""COMPUTED_VALUE"""),"Good")</f>
        <v>Good</v>
      </c>
      <c r="AC70" t="str">
        <f ca="1">IFERROR(__xludf.DUMMYFUNCTION("""COMPUTED_VALUE"""),"Good")</f>
        <v>Good</v>
      </c>
      <c r="AE70" s="11"/>
      <c r="AF70" t="str">
        <v>Scott.Eastman@floridadep.gov</v>
      </c>
      <c r="AG70" s="17" t="s">
        <v>17</v>
      </c>
      <c r="AH70" s="12"/>
      <c r="AI70" s="12" t="s">
        <v>146</v>
      </c>
      <c r="AJ70" s="19" t="s">
        <v>147</v>
      </c>
      <c r="AK70" s="20" t="str">
        <f>HYPERLINK("https://docs.google.com/document/d/1WsrMwbtq1vkTBudK_ew-NbpNttOyEo3T3Yuj3AdKLcs/edit?usp=drivesdk","James Tomazinis - 5/30/2018 9:45 AM")</f>
        <v>James Tomazinis - 5/30/2018 9:45 AM</v>
      </c>
      <c r="AL70" s="12" t="s">
        <v>148</v>
      </c>
    </row>
    <row r="71" spans="1:38" ht="12.75">
      <c r="A71" s="10">
        <f ca="1">IFERROR(__xludf.DUMMYFUNCTION("""COMPUTED_VALUE"""),43250.4428428819)</f>
        <v>43250.442842881901</v>
      </c>
      <c r="B71" s="11" t="str">
        <f ca="1">IFERROR(__xludf.DUMMYFUNCTION("""COMPUTED_VALUE"""),"Ben Mowbray")</f>
        <v>Ben Mowbray</v>
      </c>
      <c r="C71" t="str">
        <f ca="1">IFERROR(__xludf.DUMMYFUNCTION("""COMPUTED_VALUE"""),"ben.mowbray@dep.state.fl.us")</f>
        <v>ben.mowbray@dep.state.fl.us</v>
      </c>
      <c r="D71" t="str">
        <f ca="1">IFERROR(__xludf.DUMMYFUNCTION("""COMPUTED_VALUE"""),"Research")</f>
        <v>Research</v>
      </c>
      <c r="E71" t="str">
        <f ca="1">IFERROR(__xludf.DUMMYFUNCTION("""COMPUTED_VALUE"""),"Whitney Lab")</f>
        <v>Whitney Lab</v>
      </c>
      <c r="F71" s="13">
        <f ca="1">IFERROR(__xludf.DUMMYFUNCTION("""COMPUTED_VALUE"""),0.5)</f>
        <v>0.5</v>
      </c>
      <c r="G71" s="14">
        <f ca="1">IFERROR(__xludf.DUMMYFUNCTION("""COMPUTED_VALUE"""),43250)</f>
        <v>43250</v>
      </c>
      <c r="H71" t="str">
        <f ca="1">IFERROR(__xludf.DUMMYFUNCTION("""COMPUTED_VALUE"""),"Kimbro Sites")</f>
        <v>Kimbro Sites</v>
      </c>
      <c r="I71" s="15">
        <f ca="1">IFERROR(__xludf.DUMMYFUNCTION("""COMPUTED_VALUE"""),0.805555555554747)</f>
        <v>0.805555555554747</v>
      </c>
      <c r="J71" s="16">
        <f ca="1">IFERROR(__xludf.DUMMYFUNCTION("""COMPUTED_VALUE"""),43250.8472222222)</f>
        <v>43250.847222222197</v>
      </c>
      <c r="K71" t="str">
        <f ca="1">IFERROR(__xludf.DUMMYFUNCTION("""COMPUTED_VALUE"""),"23ft Skiff (Bertha) FL7972LJ DEP07613, Kayak(s)")</f>
        <v>23ft Skiff (Bertha) FL7972LJ DEP07613, Kayak(s)</v>
      </c>
      <c r="L71">
        <f ca="1">IFERROR(__xludf.DUMMYFUNCTION("""COMPUTED_VALUE"""),2)</f>
        <v>2</v>
      </c>
      <c r="M71" t="str">
        <f ca="1">IFERROR(__xludf.DUMMYFUNCTION("""COMPUTED_VALUE"""),"Ford F150 2008 - DEP18041 (SWMP Thing)")</f>
        <v>Ford F150 2008 - DEP18041 (SWMP Thing)</v>
      </c>
      <c r="N71" t="str">
        <f ca="1">IFERROR(__xludf.DUMMYFUNCTION("""COMPUTED_VALUE"""),"Pam Marcum, (480) 332-5414, Ben Mowbray, (407) 962-8782")</f>
        <v>Pam Marcum, (480) 332-5414, Ben Mowbray, (407) 962-8782</v>
      </c>
      <c r="O71" t="str">
        <f ca="1">IFERROR(__xludf.DUMMYFUNCTION("""COMPUTED_VALUE"""),"Kimbro Team")</f>
        <v>Kimbro Team</v>
      </c>
      <c r="P71" t="str">
        <f ca="1">IFERROR(__xludf.DUMMYFUNCTION("""COMPUTED_VALUE"""),"Ben")</f>
        <v>Ben</v>
      </c>
      <c r="Q71" t="str">
        <f ca="1">IFERROR(__xludf.DUMMYFUNCTION("""COMPUTED_VALUE"""),"Good")</f>
        <v>Good</v>
      </c>
      <c r="R71" t="str">
        <f ca="1">IFERROR(__xludf.DUMMYFUNCTION("""COMPUTED_VALUE"""),"Good")</f>
        <v>Good</v>
      </c>
      <c r="S71" t="str">
        <f ca="1">IFERROR(__xludf.DUMMYFUNCTION("""COMPUTED_VALUE"""),"Good")</f>
        <v>Good</v>
      </c>
      <c r="T71" t="str">
        <f ca="1">IFERROR(__xludf.DUMMYFUNCTION("""COMPUTED_VALUE"""),"Good")</f>
        <v>Good</v>
      </c>
      <c r="U71" t="str">
        <f ca="1">IFERROR(__xludf.DUMMYFUNCTION("""COMPUTED_VALUE"""),"Good")</f>
        <v>Good</v>
      </c>
      <c r="V71" t="str">
        <f ca="1">IFERROR(__xludf.DUMMYFUNCTION("""COMPUTED_VALUE"""),"Good")</f>
        <v>Good</v>
      </c>
      <c r="W71" t="str">
        <f ca="1">IFERROR(__xludf.DUMMYFUNCTION("""COMPUTED_VALUE"""),"Good")</f>
        <v>Good</v>
      </c>
      <c r="X71" t="str">
        <f ca="1">IFERROR(__xludf.DUMMYFUNCTION("""COMPUTED_VALUE"""),"Good")</f>
        <v>Good</v>
      </c>
      <c r="Y71" t="str">
        <f ca="1">IFERROR(__xludf.DUMMYFUNCTION("""COMPUTED_VALUE"""),"Good")</f>
        <v>Good</v>
      </c>
      <c r="Z71" t="str">
        <f ca="1">IFERROR(__xludf.DUMMYFUNCTION("""COMPUTED_VALUE"""),"Good")</f>
        <v>Good</v>
      </c>
      <c r="AA71" t="str">
        <f ca="1">IFERROR(__xludf.DUMMYFUNCTION("""COMPUTED_VALUE"""),"Good")</f>
        <v>Good</v>
      </c>
      <c r="AB71" t="str">
        <f ca="1">IFERROR(__xludf.DUMMYFUNCTION("""COMPUTED_VALUE"""),"Good")</f>
        <v>Good</v>
      </c>
      <c r="AC71" t="str">
        <f ca="1">IFERROR(__xludf.DUMMYFUNCTION("""COMPUTED_VALUE"""),"Good")</f>
        <v>Good</v>
      </c>
      <c r="AE71" s="11"/>
      <c r="AF71" t="str">
        <v>Nikki.Dix@floridadep.gov</v>
      </c>
      <c r="AG71" s="17" t="s">
        <v>17</v>
      </c>
      <c r="AH71" s="12"/>
      <c r="AI71" s="12" t="s">
        <v>149</v>
      </c>
      <c r="AJ71" s="19" t="s">
        <v>150</v>
      </c>
      <c r="AK71" s="20" t="str">
        <f>HYPERLINK("https://docs.google.com/document/d/1QBVhj8T9wlvA9MtmpE0nIHEBCK43PFkjVDTBjO99NHM/edit?usp=drivesdk","Ben Mowbray - 5/30/2018 12:00 PM")</f>
        <v>Ben Mowbray - 5/30/2018 12:00 PM</v>
      </c>
      <c r="AL71" s="12" t="s">
        <v>151</v>
      </c>
    </row>
    <row r="72" spans="1:38" ht="12.75">
      <c r="A72" s="10">
        <f ca="1">IFERROR(__xludf.DUMMYFUNCTION("""COMPUTED_VALUE"""),43250.4888432986)</f>
        <v>43250.488843298597</v>
      </c>
      <c r="B72" s="11" t="str">
        <f ca="1">IFERROR(__xludf.DUMMYFUNCTION("""COMPUTED_VALUE"""),"Silas Tanner")</f>
        <v>Silas Tanner</v>
      </c>
      <c r="C72" t="str">
        <f ca="1">IFERROR(__xludf.DUMMYFUNCTION("""COMPUTED_VALUE"""),"silas.tanner@floridadep.gov")</f>
        <v>silas.tanner@floridadep.gov</v>
      </c>
      <c r="D72" t="str">
        <f ca="1">IFERROR(__xludf.DUMMYFUNCTION("""COMPUTED_VALUE"""),"Research")</f>
        <v>Research</v>
      </c>
      <c r="E72" t="str">
        <f ca="1">IFERROR(__xludf.DUMMYFUNCTION("""COMPUTED_VALUE"""),"Vilano Ramp; Green Rd")</f>
        <v>Vilano Ramp; Green Rd</v>
      </c>
      <c r="F72" s="13">
        <f ca="1">IFERROR(__xludf.DUMMYFUNCTION("""COMPUTED_VALUE"""),0.36458333333212)</f>
        <v>0.36458333333212001</v>
      </c>
      <c r="G72" s="14">
        <f ca="1">IFERROR(__xludf.DUMMYFUNCTION("""COMPUTED_VALUE"""),43251)</f>
        <v>43251</v>
      </c>
      <c r="H72" t="str">
        <f ca="1">IFERROR(__xludf.DUMMYFUNCTION("""COMPUTED_VALUE"""),"ICW - SWMP sites")</f>
        <v>ICW - SWMP sites</v>
      </c>
      <c r="I72" s="15">
        <f ca="1">IFERROR(__xludf.DUMMYFUNCTION("""COMPUTED_VALUE"""),0.58333333333212)</f>
        <v>0.58333333333212001</v>
      </c>
      <c r="J72" s="16">
        <f ca="1">IFERROR(__xludf.DUMMYFUNCTION("""COMPUTED_VALUE"""),43251.6041666666)</f>
        <v>43251.604166666599</v>
      </c>
      <c r="K72" t="str">
        <f ca="1">IFERROR(__xludf.DUMMYFUNCTION("""COMPUTED_VALUE"""),"20ft Sea Ark FL5351SJ UNF 2015")</f>
        <v>20ft Sea Ark FL5351SJ UNF 2015</v>
      </c>
      <c r="M72" t="str">
        <f ca="1">IFERROR(__xludf.DUMMYFUNCTION("""COMPUTED_VALUE"""),"Ford F250 2017 (Moby Dix) - DEP0021578")</f>
        <v>Ford F250 2017 (Moby Dix) - DEP0021578</v>
      </c>
      <c r="N72" t="str">
        <f ca="1">IFERROR(__xludf.DUMMYFUNCTION("""COMPUTED_VALUE"""),"Silas Tanner, (904) 483-8423, Remo Mondazi")</f>
        <v>Silas Tanner, (904) 483-8423, Remo Mondazi</v>
      </c>
      <c r="P72" t="str">
        <f ca="1">IFERROR(__xludf.DUMMYFUNCTION("""COMPUTED_VALUE"""),"Silas Tanner")</f>
        <v>Silas Tanner</v>
      </c>
      <c r="Q72" t="str">
        <f ca="1">IFERROR(__xludf.DUMMYFUNCTION("""COMPUTED_VALUE"""),"Good")</f>
        <v>Good</v>
      </c>
      <c r="R72" t="str">
        <f ca="1">IFERROR(__xludf.DUMMYFUNCTION("""COMPUTED_VALUE"""),"Good")</f>
        <v>Good</v>
      </c>
      <c r="S72" t="str">
        <f ca="1">IFERROR(__xludf.DUMMYFUNCTION("""COMPUTED_VALUE"""),"Good")</f>
        <v>Good</v>
      </c>
      <c r="T72" t="str">
        <f ca="1">IFERROR(__xludf.DUMMYFUNCTION("""COMPUTED_VALUE"""),"Good")</f>
        <v>Good</v>
      </c>
      <c r="U72" t="str">
        <f ca="1">IFERROR(__xludf.DUMMYFUNCTION("""COMPUTED_VALUE"""),"Good")</f>
        <v>Good</v>
      </c>
      <c r="V72" t="str">
        <f ca="1">IFERROR(__xludf.DUMMYFUNCTION("""COMPUTED_VALUE"""),"Good")</f>
        <v>Good</v>
      </c>
      <c r="W72" t="str">
        <f ca="1">IFERROR(__xludf.DUMMYFUNCTION("""COMPUTED_VALUE"""),"Good")</f>
        <v>Good</v>
      </c>
      <c r="X72" t="str">
        <f ca="1">IFERROR(__xludf.DUMMYFUNCTION("""COMPUTED_VALUE"""),"Good")</f>
        <v>Good</v>
      </c>
      <c r="Y72" t="str">
        <f ca="1">IFERROR(__xludf.DUMMYFUNCTION("""COMPUTED_VALUE"""),"Good")</f>
        <v>Good</v>
      </c>
      <c r="Z72" t="str">
        <f ca="1">IFERROR(__xludf.DUMMYFUNCTION("""COMPUTED_VALUE"""),"Good")</f>
        <v>Good</v>
      </c>
      <c r="AA72" t="str">
        <f ca="1">IFERROR(__xludf.DUMMYFUNCTION("""COMPUTED_VALUE"""),"Good")</f>
        <v>Good</v>
      </c>
      <c r="AB72" t="str">
        <f ca="1">IFERROR(__xludf.DUMMYFUNCTION("""COMPUTED_VALUE"""),"Good")</f>
        <v>Good</v>
      </c>
      <c r="AC72" t="str">
        <f ca="1">IFERROR(__xludf.DUMMYFUNCTION("""COMPUTED_VALUE"""),"Good")</f>
        <v>Good</v>
      </c>
      <c r="AE72" s="11"/>
      <c r="AF72" t="str">
        <v>Nikki.Dix@floridadep.gov</v>
      </c>
      <c r="AG72" s="17" t="s">
        <v>17</v>
      </c>
      <c r="AH72" s="12"/>
      <c r="AI72" s="12" t="s">
        <v>152</v>
      </c>
      <c r="AJ72" s="19" t="s">
        <v>153</v>
      </c>
      <c r="AK72" s="20" t="str">
        <f>HYPERLINK("https://docs.google.com/document/d/18xsY3dGulHPGl_CAhmxP1foemiasC677-RRywmPh4mc/edit?usp=drivesdk","Silas Tanner - 5/31/2018 8:45 AM")</f>
        <v>Silas Tanner - 5/31/2018 8:45 AM</v>
      </c>
      <c r="AL72" s="12" t="s">
        <v>154</v>
      </c>
    </row>
    <row r="73" spans="1:38" ht="12.75">
      <c r="A73" s="10">
        <f ca="1">IFERROR(__xludf.DUMMYFUNCTION("""COMPUTED_VALUE"""),43251.4755913773)</f>
        <v>43251.475591377297</v>
      </c>
      <c r="B73" s="11" t="str">
        <f ca="1">IFERROR(__xludf.DUMMYFUNCTION("""COMPUTED_VALUE"""),"Ben Mowbray")</f>
        <v>Ben Mowbray</v>
      </c>
      <c r="C73" t="str">
        <f ca="1">IFERROR(__xludf.DUMMYFUNCTION("""COMPUTED_VALUE"""),"ben.mowbray@dep.state.fl.us")</f>
        <v>ben.mowbray@dep.state.fl.us</v>
      </c>
      <c r="D73" t="str">
        <f ca="1">IFERROR(__xludf.DUMMYFUNCTION("""COMPUTED_VALUE"""),"Research")</f>
        <v>Research</v>
      </c>
      <c r="E73" t="str">
        <f ca="1">IFERROR(__xludf.DUMMYFUNCTION("""COMPUTED_VALUE"""),"Green Rd.")</f>
        <v>Green Rd.</v>
      </c>
      <c r="F73" s="13">
        <f ca="1">IFERROR(__xludf.DUMMYFUNCTION("""COMPUTED_VALUE"""),0.541666666667879)</f>
        <v>0.54166666666787899</v>
      </c>
      <c r="G73" s="14">
        <f ca="1">IFERROR(__xludf.DUMMYFUNCTION("""COMPUTED_VALUE"""),43251)</f>
        <v>43251</v>
      </c>
      <c r="H73" t="str">
        <f ca="1">IFERROR(__xludf.DUMMYFUNCTION("""COMPUTED_VALUE"""),"Kimbro Sites")</f>
        <v>Kimbro Sites</v>
      </c>
      <c r="I73" s="15">
        <f ca="1">IFERROR(__xludf.DUMMYFUNCTION("""COMPUTED_VALUE"""),0.791666666667879)</f>
        <v>0.79166666666787899</v>
      </c>
      <c r="J73" s="16">
        <f ca="1">IFERROR(__xludf.DUMMYFUNCTION("""COMPUTED_VALUE"""),43251.8333333333)</f>
        <v>43251.833333333299</v>
      </c>
      <c r="K73" t="str">
        <f ca="1">IFERROR(__xludf.DUMMYFUNCTION("""COMPUTED_VALUE"""),"23ft Skiff (Bertha) FL7972LJ DEP07613, Kayak(s)")</f>
        <v>23ft Skiff (Bertha) FL7972LJ DEP07613, Kayak(s)</v>
      </c>
      <c r="L73">
        <f ca="1">IFERROR(__xludf.DUMMYFUNCTION("""COMPUTED_VALUE"""),2)</f>
        <v>2</v>
      </c>
      <c r="M73" t="str">
        <f ca="1">IFERROR(__xludf.DUMMYFUNCTION("""COMPUTED_VALUE"""),"Ford F150 2008 - DEP18041 (SWMP Thing)")</f>
        <v>Ford F150 2008 - DEP18041 (SWMP Thing)</v>
      </c>
      <c r="N73" t="str">
        <f ca="1">IFERROR(__xludf.DUMMYFUNCTION("""COMPUTED_VALUE"""),"Pam Marcum, (480) 332-5414, Ben Mowbray, (407) 962-8782")</f>
        <v>Pam Marcum, (480) 332-5414, Ben Mowbray, (407) 962-8782</v>
      </c>
      <c r="O73" t="str">
        <f ca="1">IFERROR(__xludf.DUMMYFUNCTION("""COMPUTED_VALUE"""),"Craig + Kimbro's team")</f>
        <v>Craig + Kimbro's team</v>
      </c>
      <c r="P73" t="str">
        <f ca="1">IFERROR(__xludf.DUMMYFUNCTION("""COMPUTED_VALUE"""),"Ben")</f>
        <v>Ben</v>
      </c>
      <c r="Q73" t="str">
        <f ca="1">IFERROR(__xludf.DUMMYFUNCTION("""COMPUTED_VALUE"""),"Good")</f>
        <v>Good</v>
      </c>
      <c r="R73" t="str">
        <f ca="1">IFERROR(__xludf.DUMMYFUNCTION("""COMPUTED_VALUE"""),"Good")</f>
        <v>Good</v>
      </c>
      <c r="S73" t="str">
        <f ca="1">IFERROR(__xludf.DUMMYFUNCTION("""COMPUTED_VALUE"""),"Good")</f>
        <v>Good</v>
      </c>
      <c r="T73" t="str">
        <f ca="1">IFERROR(__xludf.DUMMYFUNCTION("""COMPUTED_VALUE"""),"Good")</f>
        <v>Good</v>
      </c>
      <c r="U73" t="str">
        <f ca="1">IFERROR(__xludf.DUMMYFUNCTION("""COMPUTED_VALUE"""),"Good")</f>
        <v>Good</v>
      </c>
      <c r="V73" t="str">
        <f ca="1">IFERROR(__xludf.DUMMYFUNCTION("""COMPUTED_VALUE"""),"Good")</f>
        <v>Good</v>
      </c>
      <c r="W73" t="str">
        <f ca="1">IFERROR(__xludf.DUMMYFUNCTION("""COMPUTED_VALUE"""),"Good")</f>
        <v>Good</v>
      </c>
      <c r="X73" t="str">
        <f ca="1">IFERROR(__xludf.DUMMYFUNCTION("""COMPUTED_VALUE"""),"Good")</f>
        <v>Good</v>
      </c>
      <c r="Y73" t="str">
        <f ca="1">IFERROR(__xludf.DUMMYFUNCTION("""COMPUTED_VALUE"""),"Good")</f>
        <v>Good</v>
      </c>
      <c r="Z73" t="str">
        <f ca="1">IFERROR(__xludf.DUMMYFUNCTION("""COMPUTED_VALUE"""),"Good")</f>
        <v>Good</v>
      </c>
      <c r="AA73" t="str">
        <f ca="1">IFERROR(__xludf.DUMMYFUNCTION("""COMPUTED_VALUE"""),"Good")</f>
        <v>Good</v>
      </c>
      <c r="AB73" t="str">
        <f ca="1">IFERROR(__xludf.DUMMYFUNCTION("""COMPUTED_VALUE"""),"Good")</f>
        <v>Good</v>
      </c>
      <c r="AC73" t="str">
        <f ca="1">IFERROR(__xludf.DUMMYFUNCTION("""COMPUTED_VALUE"""),"Good")</f>
        <v>Good</v>
      </c>
      <c r="AE73" s="11"/>
      <c r="AF73" t="str">
        <v>Nikki.Dix@floridadep.gov</v>
      </c>
      <c r="AG73" s="17" t="s">
        <v>41</v>
      </c>
      <c r="AH73" s="12"/>
      <c r="AI73" s="12" t="s">
        <v>155</v>
      </c>
      <c r="AJ73" s="19" t="s">
        <v>156</v>
      </c>
      <c r="AK73" s="20" t="str">
        <f>HYPERLINK("https://docs.google.com/document/d/1GGxNyt9MBnblp9Zx3L_z8an_bzsgGlS6W15cDVnm3fk/edit?usp=drivesdk","Ben Mowbray - 5/31/2018 1:00 PM")</f>
        <v>Ben Mowbray - 5/31/2018 1:00 PM</v>
      </c>
      <c r="AL73" s="12" t="s">
        <v>157</v>
      </c>
    </row>
    <row r="74" spans="1:38" ht="12.75">
      <c r="A74" s="10">
        <f ca="1">IFERROR(__xludf.DUMMYFUNCTION("""COMPUTED_VALUE"""),43252.4123285995)</f>
        <v>43252.412328599501</v>
      </c>
      <c r="B74" s="11" t="str">
        <f ca="1">IFERROR(__xludf.DUMMYFUNCTION("""COMPUTED_VALUE"""),"Pamela Marcum")</f>
        <v>Pamela Marcum</v>
      </c>
      <c r="C74" t="str">
        <f ca="1">IFERROR(__xludf.DUMMYFUNCTION("""COMPUTED_VALUE"""),"Pamela.Marcum@dep.state.fl.us")</f>
        <v>Pamela.Marcum@dep.state.fl.us</v>
      </c>
      <c r="D74" t="str">
        <f ca="1">IFERROR(__xludf.DUMMYFUNCTION("""COMPUTED_VALUE"""),"Research")</f>
        <v>Research</v>
      </c>
      <c r="E74" t="str">
        <f ca="1">IFERROR(__xludf.DUMMYFUNCTION("""COMPUTED_VALUE"""),"Whitney Lab")</f>
        <v>Whitney Lab</v>
      </c>
      <c r="F74" s="13">
        <f ca="1">IFERROR(__xludf.DUMMYFUNCTION("""COMPUTED_VALUE"""),0.45833333333212)</f>
        <v>0.45833333333212001</v>
      </c>
      <c r="G74" s="14">
        <f ca="1">IFERROR(__xludf.DUMMYFUNCTION("""COMPUTED_VALUE"""),43252)</f>
        <v>43252</v>
      </c>
      <c r="H74" t="str">
        <f ca="1">IFERROR(__xludf.DUMMYFUNCTION("""COMPUTED_VALUE"""),"Fort Matanzas area")</f>
        <v>Fort Matanzas area</v>
      </c>
      <c r="I74" s="15">
        <f ca="1">IFERROR(__xludf.DUMMYFUNCTION("""COMPUTED_VALUE"""),0.666666666667879)</f>
        <v>0.66666666666787899</v>
      </c>
      <c r="J74" s="16">
        <f ca="1">IFERROR(__xludf.DUMMYFUNCTION("""COMPUTED_VALUE"""),43253.7083333333)</f>
        <v>43253.708333333299</v>
      </c>
      <c r="K74" t="str">
        <f ca="1">IFERROR(__xludf.DUMMYFUNCTION("""COMPUTED_VALUE"""),"20ft Sea Ark FL5351SJ UNF 2015")</f>
        <v>20ft Sea Ark FL5351SJ UNF 2015</v>
      </c>
      <c r="M74" t="str">
        <f ca="1">IFERROR(__xludf.DUMMYFUNCTION("""COMPUTED_VALUE"""),"Ford F150 2008 - DEP18041 (SWMP Thing)")</f>
        <v>Ford F150 2008 - DEP18041 (SWMP Thing)</v>
      </c>
      <c r="N74" t="str">
        <f ca="1">IFERROR(__xludf.DUMMYFUNCTION("""COMPUTED_VALUE"""),"Pam Marcum, (480) 332-5414")</f>
        <v>Pam Marcum, (480) 332-5414</v>
      </c>
      <c r="O74" t="str">
        <f ca="1">IFERROR(__xludf.DUMMYFUNCTION("""COMPUTED_VALUE"""),"Tricia Kaiser, Eben Broadbent")</f>
        <v>Tricia Kaiser, Eben Broadbent</v>
      </c>
      <c r="P74" t="str">
        <f ca="1">IFERROR(__xludf.DUMMYFUNCTION("""COMPUTED_VALUE"""),"Pam Marcum")</f>
        <v>Pam Marcum</v>
      </c>
      <c r="Q74" t="str">
        <f ca="1">IFERROR(__xludf.DUMMYFUNCTION("""COMPUTED_VALUE"""),"Good")</f>
        <v>Good</v>
      </c>
      <c r="R74" t="str">
        <f ca="1">IFERROR(__xludf.DUMMYFUNCTION("""COMPUTED_VALUE"""),"Good")</f>
        <v>Good</v>
      </c>
      <c r="S74" t="str">
        <f ca="1">IFERROR(__xludf.DUMMYFUNCTION("""COMPUTED_VALUE"""),"Good")</f>
        <v>Good</v>
      </c>
      <c r="T74" t="str">
        <f ca="1">IFERROR(__xludf.DUMMYFUNCTION("""COMPUTED_VALUE"""),"Good")</f>
        <v>Good</v>
      </c>
      <c r="U74" t="str">
        <f ca="1">IFERROR(__xludf.DUMMYFUNCTION("""COMPUTED_VALUE"""),"Good")</f>
        <v>Good</v>
      </c>
      <c r="V74" t="str">
        <f ca="1">IFERROR(__xludf.DUMMYFUNCTION("""COMPUTED_VALUE"""),"Good")</f>
        <v>Good</v>
      </c>
      <c r="W74" t="str">
        <f ca="1">IFERROR(__xludf.DUMMYFUNCTION("""COMPUTED_VALUE"""),"Good")</f>
        <v>Good</v>
      </c>
      <c r="X74" t="str">
        <f ca="1">IFERROR(__xludf.DUMMYFUNCTION("""COMPUTED_VALUE"""),"Good")</f>
        <v>Good</v>
      </c>
      <c r="Y74" t="str">
        <f ca="1">IFERROR(__xludf.DUMMYFUNCTION("""COMPUTED_VALUE"""),"Good")</f>
        <v>Good</v>
      </c>
      <c r="Z74" t="str">
        <f ca="1">IFERROR(__xludf.DUMMYFUNCTION("""COMPUTED_VALUE"""),"Good")</f>
        <v>Good</v>
      </c>
      <c r="AA74" t="str">
        <f ca="1">IFERROR(__xludf.DUMMYFUNCTION("""COMPUTED_VALUE"""),"Good")</f>
        <v>Good</v>
      </c>
      <c r="AB74" t="str">
        <f ca="1">IFERROR(__xludf.DUMMYFUNCTION("""COMPUTED_VALUE"""),"Good")</f>
        <v>Good</v>
      </c>
      <c r="AC74" t="str">
        <f ca="1">IFERROR(__xludf.DUMMYFUNCTION("""COMPUTED_VALUE"""),"Good")</f>
        <v>Good</v>
      </c>
      <c r="AE74" s="11"/>
      <c r="AF74" t="str">
        <v>Nikki.Dix@floridadep.gov</v>
      </c>
      <c r="AG74" s="17" t="s">
        <v>41</v>
      </c>
      <c r="AH74" s="12"/>
      <c r="AI74" s="12" t="s">
        <v>158</v>
      </c>
      <c r="AJ74" s="19" t="s">
        <v>159</v>
      </c>
      <c r="AK74" s="20" t="str">
        <f>HYPERLINK("https://docs.google.com/document/d/1Meihg5Jrur5EeX5nc6SpgFu2CqSqHvOVRaDjMu8Kzjw/edit?usp=drivesdk","Pamela Marcum - 6/1/2018 11:00 AM")</f>
        <v>Pamela Marcum - 6/1/2018 11:00 AM</v>
      </c>
      <c r="AL74" s="12" t="s">
        <v>160</v>
      </c>
    </row>
    <row r="75" spans="1:38" ht="12.75">
      <c r="A75" s="10">
        <f ca="1">IFERROR(__xludf.DUMMYFUNCTION("""COMPUTED_VALUE"""),43252.9702232523)</f>
        <v>43252.970223252298</v>
      </c>
      <c r="B75" s="11" t="str">
        <f ca="1">IFERROR(__xludf.DUMMYFUNCTION("""COMPUTED_VALUE"""),"Pamela Marcum")</f>
        <v>Pamela Marcum</v>
      </c>
      <c r="C75" t="str">
        <f ca="1">IFERROR(__xludf.DUMMYFUNCTION("""COMPUTED_VALUE"""),"Pamela.Marcum@dep.state.fl.us")</f>
        <v>Pamela.Marcum@dep.state.fl.us</v>
      </c>
      <c r="D75" t="str">
        <f ca="1">IFERROR(__xludf.DUMMYFUNCTION("""COMPUTED_VALUE"""),"Research")</f>
        <v>Research</v>
      </c>
      <c r="E75" t="str">
        <f ca="1">IFERROR(__xludf.DUMMYFUNCTION("""COMPUTED_VALUE"""),"Douglas Crane Park Shore Dr. ")</f>
        <v xml:space="preserve">Douglas Crane Park Shore Dr. </v>
      </c>
      <c r="F75" s="13">
        <f ca="1">IFERROR(__xludf.DUMMYFUNCTION("""COMPUTED_VALUE"""),0.25)</f>
        <v>0.25</v>
      </c>
      <c r="G75" s="14">
        <f ca="1">IFERROR(__xludf.DUMMYFUNCTION("""COMPUTED_VALUE"""),43253)</f>
        <v>43253</v>
      </c>
      <c r="H75" t="str">
        <f ca="1">IFERROR(__xludf.DUMMYFUNCTION("""COMPUTED_VALUE"""),"Spat sites")</f>
        <v>Spat sites</v>
      </c>
      <c r="I75" s="15">
        <f ca="1">IFERROR(__xludf.DUMMYFUNCTION("""COMPUTED_VALUE"""),0.5)</f>
        <v>0.5</v>
      </c>
      <c r="J75" s="16">
        <f ca="1">IFERROR(__xludf.DUMMYFUNCTION("""COMPUTED_VALUE"""),43252.5416666666)</f>
        <v>43252.541666666599</v>
      </c>
      <c r="K75" t="str">
        <f ca="1">IFERROR(__xludf.DUMMYFUNCTION("""COMPUTED_VALUE"""),"20ft Sea Ark FL5351SJ UNF 2015")</f>
        <v>20ft Sea Ark FL5351SJ UNF 2015</v>
      </c>
      <c r="M75" t="str">
        <f ca="1">IFERROR(__xludf.DUMMYFUNCTION("""COMPUTED_VALUE"""),"Ford F150 2008 - DEP18041 (SWMP Thing)")</f>
        <v>Ford F150 2008 - DEP18041 (SWMP Thing)</v>
      </c>
      <c r="N75" t="str">
        <f ca="1">IFERROR(__xludf.DUMMYFUNCTION("""COMPUTED_VALUE"""),"Pam Marcum, (480) 332-5414")</f>
        <v>Pam Marcum, (480) 332-5414</v>
      </c>
      <c r="O75" t="str">
        <f ca="1">IFERROR(__xludf.DUMMYFUNCTION("""COMPUTED_VALUE"""),"David Kimbro, Rodrigo")</f>
        <v>David Kimbro, Rodrigo</v>
      </c>
      <c r="P75" t="str">
        <f ca="1">IFERROR(__xludf.DUMMYFUNCTION("""COMPUTED_VALUE"""),"Pam")</f>
        <v>Pam</v>
      </c>
      <c r="Q75" t="str">
        <f ca="1">IFERROR(__xludf.DUMMYFUNCTION("""COMPUTED_VALUE"""),"Good")</f>
        <v>Good</v>
      </c>
      <c r="R75" t="str">
        <f ca="1">IFERROR(__xludf.DUMMYFUNCTION("""COMPUTED_VALUE"""),"Good")</f>
        <v>Good</v>
      </c>
      <c r="S75" t="str">
        <f ca="1">IFERROR(__xludf.DUMMYFUNCTION("""COMPUTED_VALUE"""),"Good")</f>
        <v>Good</v>
      </c>
      <c r="T75" t="str">
        <f ca="1">IFERROR(__xludf.DUMMYFUNCTION("""COMPUTED_VALUE"""),"Good")</f>
        <v>Good</v>
      </c>
      <c r="U75" t="str">
        <f ca="1">IFERROR(__xludf.DUMMYFUNCTION("""COMPUTED_VALUE"""),"Good")</f>
        <v>Good</v>
      </c>
      <c r="V75" t="str">
        <f ca="1">IFERROR(__xludf.DUMMYFUNCTION("""COMPUTED_VALUE"""),"Good")</f>
        <v>Good</v>
      </c>
      <c r="W75" t="str">
        <f ca="1">IFERROR(__xludf.DUMMYFUNCTION("""COMPUTED_VALUE"""),"Good")</f>
        <v>Good</v>
      </c>
      <c r="X75" t="str">
        <f ca="1">IFERROR(__xludf.DUMMYFUNCTION("""COMPUTED_VALUE"""),"Good")</f>
        <v>Good</v>
      </c>
      <c r="Y75" t="str">
        <f ca="1">IFERROR(__xludf.DUMMYFUNCTION("""COMPUTED_VALUE"""),"Good")</f>
        <v>Good</v>
      </c>
      <c r="Z75" t="str">
        <f ca="1">IFERROR(__xludf.DUMMYFUNCTION("""COMPUTED_VALUE"""),"Good")</f>
        <v>Good</v>
      </c>
      <c r="AA75" t="str">
        <f ca="1">IFERROR(__xludf.DUMMYFUNCTION("""COMPUTED_VALUE"""),"Good")</f>
        <v>Good</v>
      </c>
      <c r="AB75" t="str">
        <f ca="1">IFERROR(__xludf.DUMMYFUNCTION("""COMPUTED_VALUE"""),"Good")</f>
        <v>Good</v>
      </c>
      <c r="AC75" t="str">
        <f ca="1">IFERROR(__xludf.DUMMYFUNCTION("""COMPUTED_VALUE"""),"Good")</f>
        <v>Good</v>
      </c>
      <c r="AE75" s="11"/>
      <c r="AF75" t="str">
        <v>Nikki.Dix@floridadep.gov</v>
      </c>
      <c r="AG75" s="17" t="s">
        <v>41</v>
      </c>
      <c r="AH75" s="12"/>
      <c r="AI75" s="12" t="s">
        <v>161</v>
      </c>
      <c r="AJ75" s="19" t="s">
        <v>162</v>
      </c>
      <c r="AK75" s="20" t="str">
        <f>HYPERLINK("https://docs.google.com/document/d/1_BU8DyN37-pP7dXayBuVa2UgN4SSVZhJ2PswBb3iWpA/edit?usp=drivesdk","Pamela Marcum - 6/2/2018 6:00 AM")</f>
        <v>Pamela Marcum - 6/2/2018 6:00 AM</v>
      </c>
      <c r="AL75" s="12" t="s">
        <v>163</v>
      </c>
    </row>
    <row r="76" spans="1:38" ht="12.75">
      <c r="A76" s="10">
        <f ca="1">IFERROR(__xludf.DUMMYFUNCTION("""COMPUTED_VALUE"""),43255.5065000115)</f>
        <v>43255.506500011499</v>
      </c>
      <c r="B76" s="11" t="str">
        <f ca="1">IFERROR(__xludf.DUMMYFUNCTION("""COMPUTED_VALUE"""),"Kenneth Rainer")</f>
        <v>Kenneth Rainer</v>
      </c>
      <c r="C76" t="str">
        <f ca="1">IFERROR(__xludf.DUMMYFUNCTION("""COMPUTED_VALUE"""),"Kenneth.Rainer@dep.state.fl.us")</f>
        <v>Kenneth.Rainer@dep.state.fl.us</v>
      </c>
      <c r="D76" t="str">
        <f ca="1">IFERROR(__xludf.DUMMYFUNCTION("""COMPUTED_VALUE"""),"Education")</f>
        <v>Education</v>
      </c>
      <c r="E76" t="str">
        <f ca="1">IFERROR(__xludf.DUMMYFUNCTION("""COMPUTED_VALUE"""),"Green Road Boat Ramp")</f>
        <v>Green Road Boat Ramp</v>
      </c>
      <c r="F76" s="13">
        <f ca="1">IFERROR(__xludf.DUMMYFUNCTION("""COMPUTED_VALUE"""),0.416666666667879)</f>
        <v>0.41666666666787899</v>
      </c>
      <c r="G76" s="14">
        <f ca="1">IFERROR(__xludf.DUMMYFUNCTION("""COMPUTED_VALUE"""),43256)</f>
        <v>43256</v>
      </c>
      <c r="H76" t="str">
        <f ca="1">IFERROR(__xludf.DUMMYFUNCTION("""COMPUTED_VALUE"""),"Jason's Creek/ Matanzas Inlet")</f>
        <v>Jason's Creek/ Matanzas Inlet</v>
      </c>
      <c r="I76" s="15">
        <f ca="1">IFERROR(__xludf.DUMMYFUNCTION("""COMPUTED_VALUE"""),0.64583333333212)</f>
        <v>0.64583333333212001</v>
      </c>
      <c r="J76" s="16">
        <f ca="1">IFERROR(__xludf.DUMMYFUNCTION("""COMPUTED_VALUE"""),43257.6458333333)</f>
        <v>43257.645833333299</v>
      </c>
      <c r="K76" t="str">
        <f ca="1">IFERROR(__xludf.DUMMYFUNCTION("""COMPUTED_VALUE"""),"23ft Skiff (Bertha) FL7972LJ DEP07613, Kayak(s)")</f>
        <v>23ft Skiff (Bertha) FL7972LJ DEP07613, Kayak(s)</v>
      </c>
      <c r="L76">
        <f ca="1">IFERROR(__xludf.DUMMYFUNCTION("""COMPUTED_VALUE"""),6)</f>
        <v>6</v>
      </c>
      <c r="M76" t="str">
        <f ca="1">IFERROR(__xludf.DUMMYFUNCTION("""COMPUTED_VALUE"""),"Ford F250 2017 (Moby Dix) - DEP0021578")</f>
        <v>Ford F250 2017 (Moby Dix) - DEP0021578</v>
      </c>
      <c r="N76" t="str">
        <f ca="1">IFERROR(__xludf.DUMMYFUNCTION("""COMPUTED_VALUE"""),"Kenneth Rainer, (936) 499-1853, Jimmy Tomazinis, (904) 547-0094")</f>
        <v>Kenneth Rainer, (936) 499-1853, Jimmy Tomazinis, (904) 547-0094</v>
      </c>
      <c r="O76" t="str">
        <f ca="1">IFERROR(__xludf.DUMMYFUNCTION("""COMPUTED_VALUE"""),"Gabriela Canas, (904) 891-9743, Emma Hanson, Summer Campers and Summer Camp Interns")</f>
        <v>Gabriela Canas, (904) 891-9743, Emma Hanson, Summer Campers and Summer Camp Interns</v>
      </c>
      <c r="P76" t="str">
        <f ca="1">IFERROR(__xludf.DUMMYFUNCTION("""COMPUTED_VALUE"""),"Kenneth Rainer")</f>
        <v>Kenneth Rainer</v>
      </c>
      <c r="Q76" t="str">
        <f ca="1">IFERROR(__xludf.DUMMYFUNCTION("""COMPUTED_VALUE"""),"Good")</f>
        <v>Good</v>
      </c>
      <c r="R76" t="str">
        <f ca="1">IFERROR(__xludf.DUMMYFUNCTION("""COMPUTED_VALUE"""),"Good")</f>
        <v>Good</v>
      </c>
      <c r="S76" t="str">
        <f ca="1">IFERROR(__xludf.DUMMYFUNCTION("""COMPUTED_VALUE"""),"Good")</f>
        <v>Good</v>
      </c>
      <c r="T76" t="str">
        <f ca="1">IFERROR(__xludf.DUMMYFUNCTION("""COMPUTED_VALUE"""),"Good")</f>
        <v>Good</v>
      </c>
      <c r="U76" t="str">
        <f ca="1">IFERROR(__xludf.DUMMYFUNCTION("""COMPUTED_VALUE"""),"Good")</f>
        <v>Good</v>
      </c>
      <c r="V76" t="str">
        <f ca="1">IFERROR(__xludf.DUMMYFUNCTION("""COMPUTED_VALUE"""),"Good")</f>
        <v>Good</v>
      </c>
      <c r="W76" t="str">
        <f ca="1">IFERROR(__xludf.DUMMYFUNCTION("""COMPUTED_VALUE"""),"Good")</f>
        <v>Good</v>
      </c>
      <c r="X76" t="str">
        <f ca="1">IFERROR(__xludf.DUMMYFUNCTION("""COMPUTED_VALUE"""),"Good")</f>
        <v>Good</v>
      </c>
      <c r="Y76" t="str">
        <f ca="1">IFERROR(__xludf.DUMMYFUNCTION("""COMPUTED_VALUE"""),"Good")</f>
        <v>Good</v>
      </c>
      <c r="Z76" t="str">
        <f ca="1">IFERROR(__xludf.DUMMYFUNCTION("""COMPUTED_VALUE"""),"Good")</f>
        <v>Good</v>
      </c>
      <c r="AA76" t="str">
        <f ca="1">IFERROR(__xludf.DUMMYFUNCTION("""COMPUTED_VALUE"""),"Good")</f>
        <v>Good</v>
      </c>
      <c r="AB76" t="str">
        <f ca="1">IFERROR(__xludf.DUMMYFUNCTION("""COMPUTED_VALUE"""),"Good")</f>
        <v>Good</v>
      </c>
      <c r="AC76" t="str">
        <f ca="1">IFERROR(__xludf.DUMMYFUNCTION("""COMPUTED_VALUE"""),"Good")</f>
        <v>Good</v>
      </c>
      <c r="AD76" t="str">
        <f ca="1">IFERROR(__xludf.DUMMYFUNCTION("""COMPUTED_VALUE"""),"88F; 2%; 7 mph WNW")</f>
        <v>88F; 2%; 7 mph WNW</v>
      </c>
      <c r="AE76" s="11" t="str">
        <f ca="1">IFERROR(__xludf.DUMMYFUNCTION("""COMPUTED_VALUE"""),"H (1:35 a.m. | 3.51ft), L (8:21 a.m. | 0.37ft), H (2:06 p.m. | 2.87ft), L (8:17 p.m. | 0.55ft)")</f>
        <v>H (1:35 a.m. | 3.51ft), L (8:21 a.m. | 0.37ft), H (2:06 p.m. | 2.87ft), L (8:17 p.m. | 0.55ft)</v>
      </c>
      <c r="AF76" t="str">
        <v>Kenneth.Rainer@floridadep.gov</v>
      </c>
      <c r="AG76" s="17" t="s">
        <v>17</v>
      </c>
      <c r="AH76" s="12"/>
      <c r="AI76" s="12" t="s">
        <v>164</v>
      </c>
      <c r="AJ76" s="19" t="s">
        <v>165</v>
      </c>
      <c r="AK76" s="20" t="str">
        <f>HYPERLINK("https://docs.google.com/document/d/1_99TZLD-k-C9EsSVpSJNccEWzt4WrxyVPB59pY1zq1c/edit?usp=drivesdk","Kenneth Rainer - 6/5/2018 10:00 AM")</f>
        <v>Kenneth Rainer - 6/5/2018 10:00 AM</v>
      </c>
      <c r="AL76" s="12" t="s">
        <v>166</v>
      </c>
    </row>
    <row r="77" spans="1:38" ht="12.75">
      <c r="A77" s="10">
        <f ca="1">IFERROR(__xludf.DUMMYFUNCTION("""COMPUTED_VALUE"""),43255.5090859837)</f>
        <v>43255.5090859837</v>
      </c>
      <c r="B77" s="11" t="str">
        <f ca="1">IFERROR(__xludf.DUMMYFUNCTION("""COMPUTED_VALUE"""),"Jimmy Tomazinis")</f>
        <v>Jimmy Tomazinis</v>
      </c>
      <c r="C77" t="str">
        <f ca="1">IFERROR(__xludf.DUMMYFUNCTION("""COMPUTED_VALUE"""),"james.tomazinis@floridadep.gov")</f>
        <v>james.tomazinis@floridadep.gov</v>
      </c>
      <c r="D77" t="str">
        <f ca="1">IFERROR(__xludf.DUMMYFUNCTION("""COMPUTED_VALUE"""),"Education")</f>
        <v>Education</v>
      </c>
      <c r="E77" t="str">
        <f ca="1">IFERROR(__xludf.DUMMYFUNCTION("""COMPUTED_VALUE"""),"Green Road Boat Ramp")</f>
        <v>Green Road Boat Ramp</v>
      </c>
      <c r="F77" s="13">
        <f ca="1">IFERROR(__xludf.DUMMYFUNCTION("""COMPUTED_VALUE"""),0.416666666667879)</f>
        <v>0.41666666666787899</v>
      </c>
      <c r="G77" s="14">
        <f ca="1">IFERROR(__xludf.DUMMYFUNCTION("""COMPUTED_VALUE"""),43256)</f>
        <v>43256</v>
      </c>
      <c r="H77" t="str">
        <f ca="1">IFERROR(__xludf.DUMMYFUNCTION("""COMPUTED_VALUE"""),"Jason's Creek / Matanzas Inlet")</f>
        <v>Jason's Creek / Matanzas Inlet</v>
      </c>
      <c r="I77" s="15">
        <f ca="1">IFERROR(__xludf.DUMMYFUNCTION("""COMPUTED_VALUE"""),0.64583333333212)</f>
        <v>0.64583333333212001</v>
      </c>
      <c r="J77" s="16">
        <f ca="1">IFERROR(__xludf.DUMMYFUNCTION("""COMPUTED_VALUE"""),43257.6458333333)</f>
        <v>43257.645833333299</v>
      </c>
      <c r="K77" t="str">
        <f ca="1">IFERROR(__xludf.DUMMYFUNCTION("""COMPUTED_VALUE"""),"F 20ft Sea Ark (Easy 200) FL8534PY DEP21451")</f>
        <v>F 20ft Sea Ark (Easy 200) FL8534PY DEP21451</v>
      </c>
      <c r="M77" t="str">
        <f ca="1">IFERROR(__xludf.DUMMYFUNCTION("""COMPUTED_VALUE"""),"Ford F150 2008 - DEP18041 (SWMP Thing)")</f>
        <v>Ford F150 2008 - DEP18041 (SWMP Thing)</v>
      </c>
      <c r="N77" t="str">
        <f ca="1">IFERROR(__xludf.DUMMYFUNCTION("""COMPUTED_VALUE"""),"Kenneth Rainer, (936) 499-1853, Jimmy Tomazinis, (904) 547-0094")</f>
        <v>Kenneth Rainer, (936) 499-1853, Jimmy Tomazinis, (904) 547-0094</v>
      </c>
      <c r="O77" t="str">
        <f ca="1">IFERROR(__xludf.DUMMYFUNCTION("""COMPUTED_VALUE"""),"Gabriela Canas, (904) 891-9743, Emma Hanson, Summer Campers and Summer Camp Interns")</f>
        <v>Gabriela Canas, (904) 891-9743, Emma Hanson, Summer Campers and Summer Camp Interns</v>
      </c>
      <c r="P77" t="str">
        <f ca="1">IFERROR(__xludf.DUMMYFUNCTION("""COMPUTED_VALUE"""),"James Tomazinis")</f>
        <v>James Tomazinis</v>
      </c>
      <c r="Q77" t="str">
        <f ca="1">IFERROR(__xludf.DUMMYFUNCTION("""COMPUTED_VALUE"""),"Good")</f>
        <v>Good</v>
      </c>
      <c r="R77" t="str">
        <f ca="1">IFERROR(__xludf.DUMMYFUNCTION("""COMPUTED_VALUE"""),"Good")</f>
        <v>Good</v>
      </c>
      <c r="S77" t="str">
        <f ca="1">IFERROR(__xludf.DUMMYFUNCTION("""COMPUTED_VALUE"""),"Good")</f>
        <v>Good</v>
      </c>
      <c r="T77" t="str">
        <f ca="1">IFERROR(__xludf.DUMMYFUNCTION("""COMPUTED_VALUE"""),"Good")</f>
        <v>Good</v>
      </c>
      <c r="U77" t="str">
        <f ca="1">IFERROR(__xludf.DUMMYFUNCTION("""COMPUTED_VALUE"""),"Good")</f>
        <v>Good</v>
      </c>
      <c r="V77" t="str">
        <f ca="1">IFERROR(__xludf.DUMMYFUNCTION("""COMPUTED_VALUE"""),"Good")</f>
        <v>Good</v>
      </c>
      <c r="W77" t="str">
        <f ca="1">IFERROR(__xludf.DUMMYFUNCTION("""COMPUTED_VALUE"""),"Good")</f>
        <v>Good</v>
      </c>
      <c r="X77" t="str">
        <f ca="1">IFERROR(__xludf.DUMMYFUNCTION("""COMPUTED_VALUE"""),"Good")</f>
        <v>Good</v>
      </c>
      <c r="Y77" t="str">
        <f ca="1">IFERROR(__xludf.DUMMYFUNCTION("""COMPUTED_VALUE"""),"Good")</f>
        <v>Good</v>
      </c>
      <c r="Z77" t="str">
        <f ca="1">IFERROR(__xludf.DUMMYFUNCTION("""COMPUTED_VALUE"""),"Good")</f>
        <v>Good</v>
      </c>
      <c r="AA77" t="str">
        <f ca="1">IFERROR(__xludf.DUMMYFUNCTION("""COMPUTED_VALUE"""),"Good")</f>
        <v>Good</v>
      </c>
      <c r="AB77" t="str">
        <f ca="1">IFERROR(__xludf.DUMMYFUNCTION("""COMPUTED_VALUE"""),"Good")</f>
        <v>Good</v>
      </c>
      <c r="AC77" t="str">
        <f ca="1">IFERROR(__xludf.DUMMYFUNCTION("""COMPUTED_VALUE"""),"Good")</f>
        <v>Good</v>
      </c>
      <c r="AD77" t="str">
        <f ca="1">IFERROR(__xludf.DUMMYFUNCTION("""COMPUTED_VALUE"""),"88F; 2%; 7 mph WNW")</f>
        <v>88F; 2%; 7 mph WNW</v>
      </c>
      <c r="AE77" s="11" t="str">
        <f ca="1">IFERROR(__xludf.DUMMYFUNCTION("""COMPUTED_VALUE"""),"H (1:35 a.m. | 3.51ft), L (8:21 a.m. | 0.37ft), H (2:06 p.m. | 2.87ft), L (8:17 p.m. | 0.55ft)")</f>
        <v>H (1:35 a.m. | 3.51ft), L (8:21 a.m. | 0.37ft), H (2:06 p.m. | 2.87ft), L (8:17 p.m. | 0.55ft)</v>
      </c>
      <c r="AF77" t="str">
        <v>Kenneth.Rainer@floridadep.gov</v>
      </c>
      <c r="AG77" s="17" t="s">
        <v>17</v>
      </c>
      <c r="AH77" s="12"/>
      <c r="AI77" s="12" t="s">
        <v>167</v>
      </c>
      <c r="AJ77" s="19" t="s">
        <v>168</v>
      </c>
      <c r="AK77" s="20" t="str">
        <f>HYPERLINK("https://docs.google.com/document/d/1OT1kes3CIgU0ZoBNEpPtzP0zZ3y229Cg9-mTm6wn5UM/edit?usp=drivesdk","Jimmy Tomazinis - 6/5/2018 10:00 AM")</f>
        <v>Jimmy Tomazinis - 6/5/2018 10:00 AM</v>
      </c>
      <c r="AL77" s="12" t="s">
        <v>169</v>
      </c>
    </row>
    <row r="78" spans="1:38" ht="12.75">
      <c r="A78" s="10">
        <f ca="1">IFERROR(__xludf.DUMMYFUNCTION("""COMPUTED_VALUE"""),43255.5117305324)</f>
        <v>43255.511730532402</v>
      </c>
      <c r="B78" s="11" t="str">
        <f ca="1">IFERROR(__xludf.DUMMYFUNCTION("""COMPUTED_VALUE"""),"Kenneth Rainer")</f>
        <v>Kenneth Rainer</v>
      </c>
      <c r="C78" t="str">
        <f ca="1">IFERROR(__xludf.DUMMYFUNCTION("""COMPUTED_VALUE"""),"Kenneth.Rainer@dep.state.fl.us")</f>
        <v>Kenneth.Rainer@dep.state.fl.us</v>
      </c>
      <c r="D78" t="str">
        <f ca="1">IFERROR(__xludf.DUMMYFUNCTION("""COMPUTED_VALUE"""),"Education")</f>
        <v>Education</v>
      </c>
      <c r="E78" t="str">
        <f ca="1">IFERROR(__xludf.DUMMYFUNCTION("""COMPUTED_VALUE"""),"Usina Boat Ramp")</f>
        <v>Usina Boat Ramp</v>
      </c>
      <c r="F78" s="13">
        <f ca="1">IFERROR(__xludf.DUMMYFUNCTION("""COMPUTED_VALUE"""),0.39583333333212)</f>
        <v>0.39583333333212001</v>
      </c>
      <c r="G78" s="14">
        <f ca="1">IFERROR(__xludf.DUMMYFUNCTION("""COMPUTED_VALUE"""),43258)</f>
        <v>43258</v>
      </c>
      <c r="H78" t="str">
        <f ca="1">IFERROR(__xludf.DUMMYFUNCTION("""COMPUTED_VALUE"""),"Wright's Landing; Shell Bluff; Angelini Project")</f>
        <v>Wright's Landing; Shell Bluff; Angelini Project</v>
      </c>
      <c r="I78" s="15">
        <f ca="1">IFERROR(__xludf.DUMMYFUNCTION("""COMPUTED_VALUE"""),0.64583333333212)</f>
        <v>0.64583333333212001</v>
      </c>
      <c r="J78" s="16">
        <f ca="1">IFERROR(__xludf.DUMMYFUNCTION("""COMPUTED_VALUE"""),43258.6666666666)</f>
        <v>43258.666666666599</v>
      </c>
      <c r="K78" t="str">
        <f ca="1">IFERROR(__xludf.DUMMYFUNCTION("""COMPUTED_VALUE"""),"23ft Skiff (Bertha) FL7972LJ DEP07613")</f>
        <v>23ft Skiff (Bertha) FL7972LJ DEP07613</v>
      </c>
      <c r="M78" t="str">
        <f ca="1">IFERROR(__xludf.DUMMYFUNCTION("""COMPUTED_VALUE"""),"Ford F250 2017 (Moby Dix) - DEP0021578")</f>
        <v>Ford F250 2017 (Moby Dix) - DEP0021578</v>
      </c>
      <c r="N78" t="str">
        <f ca="1">IFERROR(__xludf.DUMMYFUNCTION("""COMPUTED_VALUE"""),"Kenneth Rainer, (936) 499-1853, Silas Tanner, (904) 483-8423")</f>
        <v>Kenneth Rainer, (936) 499-1853, Silas Tanner, (904) 483-8423</v>
      </c>
      <c r="O78" t="str">
        <f ca="1">IFERROR(__xludf.DUMMYFUNCTION("""COMPUTED_VALUE"""),"Gabriela Canas, (904) 891-9743, Emma Hanson, Josie Spearman, (386) 627-0816, Summer Campers and Summer Camp Interns")</f>
        <v>Gabriela Canas, (904) 891-9743, Emma Hanson, Josie Spearman, (386) 627-0816, Summer Campers and Summer Camp Interns</v>
      </c>
      <c r="P78" t="str">
        <f ca="1">IFERROR(__xludf.DUMMYFUNCTION("""COMPUTED_VALUE"""),"Kenneth Rainer")</f>
        <v>Kenneth Rainer</v>
      </c>
      <c r="Q78" t="str">
        <f ca="1">IFERROR(__xludf.DUMMYFUNCTION("""COMPUTED_VALUE"""),"Good")</f>
        <v>Good</v>
      </c>
      <c r="R78" t="str">
        <f ca="1">IFERROR(__xludf.DUMMYFUNCTION("""COMPUTED_VALUE"""),"Good")</f>
        <v>Good</v>
      </c>
      <c r="S78" t="str">
        <f ca="1">IFERROR(__xludf.DUMMYFUNCTION("""COMPUTED_VALUE"""),"Good")</f>
        <v>Good</v>
      </c>
      <c r="T78" t="str">
        <f ca="1">IFERROR(__xludf.DUMMYFUNCTION("""COMPUTED_VALUE"""),"Good")</f>
        <v>Good</v>
      </c>
      <c r="U78" t="str">
        <f ca="1">IFERROR(__xludf.DUMMYFUNCTION("""COMPUTED_VALUE"""),"Good")</f>
        <v>Good</v>
      </c>
      <c r="V78" t="str">
        <f ca="1">IFERROR(__xludf.DUMMYFUNCTION("""COMPUTED_VALUE"""),"Good")</f>
        <v>Good</v>
      </c>
      <c r="W78" t="str">
        <f ca="1">IFERROR(__xludf.DUMMYFUNCTION("""COMPUTED_VALUE"""),"Good")</f>
        <v>Good</v>
      </c>
      <c r="X78" t="str">
        <f ca="1">IFERROR(__xludf.DUMMYFUNCTION("""COMPUTED_VALUE"""),"Good")</f>
        <v>Good</v>
      </c>
      <c r="Y78" t="str">
        <f ca="1">IFERROR(__xludf.DUMMYFUNCTION("""COMPUTED_VALUE"""),"Good")</f>
        <v>Good</v>
      </c>
      <c r="Z78" t="str">
        <f ca="1">IFERROR(__xludf.DUMMYFUNCTION("""COMPUTED_VALUE"""),"Good")</f>
        <v>Good</v>
      </c>
      <c r="AA78" t="str">
        <f ca="1">IFERROR(__xludf.DUMMYFUNCTION("""COMPUTED_VALUE"""),"Good")</f>
        <v>Good</v>
      </c>
      <c r="AB78" t="str">
        <f ca="1">IFERROR(__xludf.DUMMYFUNCTION("""COMPUTED_VALUE"""),"Good")</f>
        <v>Good</v>
      </c>
      <c r="AC78" t="str">
        <f ca="1">IFERROR(__xludf.DUMMYFUNCTION("""COMPUTED_VALUE"""),"Good")</f>
        <v>Good</v>
      </c>
      <c r="AD78" t="str">
        <f ca="1">IFERROR(__xludf.DUMMYFUNCTION("""COMPUTED_VALUE"""),"87F; 34%; 10 mph ESE (scattered thunderstorms and partly cloudy)")</f>
        <v>87F; 34%; 10 mph ESE (scattered thunderstorms and partly cloudy)</v>
      </c>
      <c r="AE78" s="11" t="str">
        <f ca="1">IFERROR(__xludf.DUMMYFUNCTION("""COMPUTED_VALUE"""),"H (3:18 a.m. | 3.36ft), L (9:46 a.m. | -0.27ft), H (4:02 p.m. | 3.32ft), L (10:08 p.m. | 0.08ft)")</f>
        <v>H (3:18 a.m. | 3.36ft), L (9:46 a.m. | -0.27ft), H (4:02 p.m. | 3.32ft), L (10:08 p.m. | 0.08ft)</v>
      </c>
      <c r="AF78" t="str">
        <v>Kenneth.Rainer@floridadep.gov</v>
      </c>
      <c r="AG78" s="17" t="s">
        <v>7</v>
      </c>
      <c r="AH78" s="12"/>
      <c r="AI78" s="12" t="s">
        <v>170</v>
      </c>
      <c r="AJ78" s="19" t="s">
        <v>171</v>
      </c>
      <c r="AK78" s="20" t="str">
        <f>HYPERLINK("https://docs.google.com/document/d/1f4rCTUh5g2HKvT37iHIzLi2xkFwrlxrV8ZlB-EPRd_0/edit?usp=drivesdk","Kenneth Rainer - 6/7/2018 9:30 AM")</f>
        <v>Kenneth Rainer - 6/7/2018 9:30 AM</v>
      </c>
      <c r="AL78" s="12" t="s">
        <v>172</v>
      </c>
    </row>
    <row r="79" spans="1:38" ht="12.75">
      <c r="A79" s="10">
        <f ca="1">IFERROR(__xludf.DUMMYFUNCTION("""COMPUTED_VALUE"""),43255.5134832523)</f>
        <v>43255.513483252304</v>
      </c>
      <c r="B79" s="11" t="str">
        <f ca="1">IFERROR(__xludf.DUMMYFUNCTION("""COMPUTED_VALUE"""),"Silas Tanner")</f>
        <v>Silas Tanner</v>
      </c>
      <c r="C79" t="str">
        <f ca="1">IFERROR(__xludf.DUMMYFUNCTION("""COMPUTED_VALUE"""),"silas.tanner@floridadep.gov")</f>
        <v>silas.tanner@floridadep.gov</v>
      </c>
      <c r="D79" t="str">
        <f ca="1">IFERROR(__xludf.DUMMYFUNCTION("""COMPUTED_VALUE"""),"Education")</f>
        <v>Education</v>
      </c>
      <c r="E79" t="str">
        <f ca="1">IFERROR(__xludf.DUMMYFUNCTION("""COMPUTED_VALUE"""),"Usina Boat Ramp")</f>
        <v>Usina Boat Ramp</v>
      </c>
      <c r="F79" s="13">
        <f ca="1">IFERROR(__xludf.DUMMYFUNCTION("""COMPUTED_VALUE"""),0.39583333333212)</f>
        <v>0.39583333333212001</v>
      </c>
      <c r="G79" s="14">
        <f ca="1">IFERROR(__xludf.DUMMYFUNCTION("""COMPUTED_VALUE"""),43258)</f>
        <v>43258</v>
      </c>
      <c r="H79" t="str">
        <f ca="1">IFERROR(__xludf.DUMMYFUNCTION("""COMPUTED_VALUE"""),"Wright's Landing; Shell Bluff; Angelini Project")</f>
        <v>Wright's Landing; Shell Bluff; Angelini Project</v>
      </c>
      <c r="I79" s="15">
        <f ca="1">IFERROR(__xludf.DUMMYFUNCTION("""COMPUTED_VALUE"""),0.64583333333212)</f>
        <v>0.64583333333212001</v>
      </c>
      <c r="J79" s="16">
        <f ca="1">IFERROR(__xludf.DUMMYFUNCTION("""COMPUTED_VALUE"""),43258.6666666666)</f>
        <v>43258.666666666599</v>
      </c>
      <c r="K79" t="str">
        <f ca="1">IFERROR(__xludf.DUMMYFUNCTION("""COMPUTED_VALUE"""),"F 20ft Sea Ark (Easy 200) FL8534PY DEP21451")</f>
        <v>F 20ft Sea Ark (Easy 200) FL8534PY DEP21451</v>
      </c>
      <c r="M79" t="str">
        <f ca="1">IFERROR(__xludf.DUMMYFUNCTION("""COMPUTED_VALUE"""),"Ford F150 2008 - DEP18041 (SWMP Thing)")</f>
        <v>Ford F150 2008 - DEP18041 (SWMP Thing)</v>
      </c>
      <c r="N79" t="str">
        <f ca="1">IFERROR(__xludf.DUMMYFUNCTION("""COMPUTED_VALUE"""),"Kenneth Rainer, (936) 499-1853, Silas Tanner, (904) 483-8423")</f>
        <v>Kenneth Rainer, (936) 499-1853, Silas Tanner, (904) 483-8423</v>
      </c>
      <c r="O79" t="str">
        <f ca="1">IFERROR(__xludf.DUMMYFUNCTION("""COMPUTED_VALUE"""),"Gabriela Canas, (904) 891-9743, Emma Hanson, Josie Spearman, (386) 627-0816, Summer Campers and Summer Camp Interns")</f>
        <v>Gabriela Canas, (904) 891-9743, Emma Hanson, Josie Spearman, (386) 627-0816, Summer Campers and Summer Camp Interns</v>
      </c>
      <c r="P79" t="str">
        <f ca="1">IFERROR(__xludf.DUMMYFUNCTION("""COMPUTED_VALUE"""),"Silas Tanner")</f>
        <v>Silas Tanner</v>
      </c>
      <c r="Q79" t="str">
        <f ca="1">IFERROR(__xludf.DUMMYFUNCTION("""COMPUTED_VALUE"""),"Good")</f>
        <v>Good</v>
      </c>
      <c r="R79" t="str">
        <f ca="1">IFERROR(__xludf.DUMMYFUNCTION("""COMPUTED_VALUE"""),"Good")</f>
        <v>Good</v>
      </c>
      <c r="S79" t="str">
        <f ca="1">IFERROR(__xludf.DUMMYFUNCTION("""COMPUTED_VALUE"""),"Good")</f>
        <v>Good</v>
      </c>
      <c r="T79" t="str">
        <f ca="1">IFERROR(__xludf.DUMMYFUNCTION("""COMPUTED_VALUE"""),"Good")</f>
        <v>Good</v>
      </c>
      <c r="U79" t="str">
        <f ca="1">IFERROR(__xludf.DUMMYFUNCTION("""COMPUTED_VALUE"""),"Good")</f>
        <v>Good</v>
      </c>
      <c r="V79" t="str">
        <f ca="1">IFERROR(__xludf.DUMMYFUNCTION("""COMPUTED_VALUE"""),"Good")</f>
        <v>Good</v>
      </c>
      <c r="W79" t="str">
        <f ca="1">IFERROR(__xludf.DUMMYFUNCTION("""COMPUTED_VALUE"""),"Good")</f>
        <v>Good</v>
      </c>
      <c r="X79" t="str">
        <f ca="1">IFERROR(__xludf.DUMMYFUNCTION("""COMPUTED_VALUE"""),"Good")</f>
        <v>Good</v>
      </c>
      <c r="Y79" t="str">
        <f ca="1">IFERROR(__xludf.DUMMYFUNCTION("""COMPUTED_VALUE"""),"Good")</f>
        <v>Good</v>
      </c>
      <c r="Z79" t="str">
        <f ca="1">IFERROR(__xludf.DUMMYFUNCTION("""COMPUTED_VALUE"""),"Good")</f>
        <v>Good</v>
      </c>
      <c r="AA79" t="str">
        <f ca="1">IFERROR(__xludf.DUMMYFUNCTION("""COMPUTED_VALUE"""),"Good")</f>
        <v>Good</v>
      </c>
      <c r="AB79" t="str">
        <f ca="1">IFERROR(__xludf.DUMMYFUNCTION("""COMPUTED_VALUE"""),"Good")</f>
        <v>Good</v>
      </c>
      <c r="AC79" t="str">
        <f ca="1">IFERROR(__xludf.DUMMYFUNCTION("""COMPUTED_VALUE"""),"Good")</f>
        <v>Good</v>
      </c>
      <c r="AD79" t="str">
        <f ca="1">IFERROR(__xludf.DUMMYFUNCTION("""COMPUTED_VALUE"""),"87F; 34%; 10 mph ESE (scattered thunderstorms and partly cloudy)")</f>
        <v>87F; 34%; 10 mph ESE (scattered thunderstorms and partly cloudy)</v>
      </c>
      <c r="AE79" s="11" t="str">
        <f ca="1">IFERROR(__xludf.DUMMYFUNCTION("""COMPUTED_VALUE"""),"H (3:18 a.m. | 3.36ft), L (9:46 a.m. | -0.27ft), H (4:02 p.m. | 3.32ft), L (10:08 p.m. | 0.08ft)")</f>
        <v>H (3:18 a.m. | 3.36ft), L (9:46 a.m. | -0.27ft), H (4:02 p.m. | 3.32ft), L (10:08 p.m. | 0.08ft)</v>
      </c>
      <c r="AF79" t="str">
        <v>Kenneth.Rainer@floridadep.gov</v>
      </c>
      <c r="AG79" s="17" t="s">
        <v>7</v>
      </c>
      <c r="AH79" s="12"/>
      <c r="AI79" s="12" t="s">
        <v>173</v>
      </c>
      <c r="AJ79" s="19" t="s">
        <v>174</v>
      </c>
      <c r="AK79" s="20" t="str">
        <f>HYPERLINK("https://docs.google.com/document/d/1omI7AifJyv7VBder7xWpamlAqbP_DccSbkNyJKL1wJk/edit?usp=drivesdk","Silas Tanner - 6/7/2018 9:30 AM")</f>
        <v>Silas Tanner - 6/7/2018 9:30 AM</v>
      </c>
      <c r="AL79" s="12" t="s">
        <v>175</v>
      </c>
    </row>
    <row r="80" spans="1:38" ht="12.75">
      <c r="A80" s="10">
        <f ca="1">IFERROR(__xludf.DUMMYFUNCTION("""COMPUTED_VALUE"""),43262.3614742708)</f>
        <v>43262.361474270801</v>
      </c>
      <c r="B80" s="11" t="str">
        <f ca="1">IFERROR(__xludf.DUMMYFUNCTION("""COMPUTED_VALUE"""),"James Tomazinis")</f>
        <v>James Tomazinis</v>
      </c>
      <c r="C80" t="str">
        <f ca="1">IFERROR(__xludf.DUMMYFUNCTION("""COMPUTED_VALUE"""),"james.tomazinis@floridadep.gov")</f>
        <v>james.tomazinis@floridadep.gov</v>
      </c>
      <c r="D80" t="str">
        <f ca="1">IFERROR(__xludf.DUMMYFUNCTION("""COMPUTED_VALUE"""),"Stewardship (Aquatic)")</f>
        <v>Stewardship (Aquatic)</v>
      </c>
      <c r="E80" t="str">
        <f ca="1">IFERROR(__xludf.DUMMYFUNCTION("""COMPUTED_VALUE"""),"Guana Dam")</f>
        <v>Guana Dam</v>
      </c>
      <c r="F80" s="13">
        <f ca="1">IFERROR(__xludf.DUMMYFUNCTION("""COMPUTED_VALUE"""),0.354166666667879)</f>
        <v>0.35416666666787899</v>
      </c>
      <c r="G80" s="14">
        <f ca="1">IFERROR(__xludf.DUMMYFUNCTION("""COMPUTED_VALUE"""),43262)</f>
        <v>43262</v>
      </c>
      <c r="H80" t="str">
        <f ca="1">IFERROR(__xludf.DUMMYFUNCTION("""COMPUTED_VALUE"""),"Guana WQ sites")</f>
        <v>Guana WQ sites</v>
      </c>
      <c r="I80" s="15">
        <f ca="1">IFERROR(__xludf.DUMMYFUNCTION("""COMPUTED_VALUE"""),0.5)</f>
        <v>0.5</v>
      </c>
      <c r="J80" s="16"/>
      <c r="K80" t="str">
        <f ca="1">IFERROR(__xludf.DUMMYFUNCTION("""COMPUTED_VALUE"""),"Jon Boat FL0484NP DEP06819")</f>
        <v>Jon Boat FL0484NP DEP06819</v>
      </c>
      <c r="M80" t="str">
        <f ca="1">IFERROR(__xludf.DUMMYFUNCTION("""COMPUTED_VALUE"""),"Ford Explorer 2002 - DEP05465 (AP)")</f>
        <v>Ford Explorer 2002 - DEP05465 (AP)</v>
      </c>
      <c r="N80" t="str">
        <f ca="1">IFERROR(__xludf.DUMMYFUNCTION("""COMPUTED_VALUE"""),"Jimmy Tomazinis, (904) 547-0094")</f>
        <v>Jimmy Tomazinis, (904) 547-0094</v>
      </c>
      <c r="O80" t="str">
        <f ca="1">IFERROR(__xludf.DUMMYFUNCTION("""COMPUTED_VALUE"""),"Hunter Mathews")</f>
        <v>Hunter Mathews</v>
      </c>
      <c r="P80" t="str">
        <f ca="1">IFERROR(__xludf.DUMMYFUNCTION("""COMPUTED_VALUE"""),"Jimmy")</f>
        <v>Jimmy</v>
      </c>
      <c r="Q80" t="str">
        <f ca="1">IFERROR(__xludf.DUMMYFUNCTION("""COMPUTED_VALUE"""),"Good")</f>
        <v>Good</v>
      </c>
      <c r="R80" t="str">
        <f ca="1">IFERROR(__xludf.DUMMYFUNCTION("""COMPUTED_VALUE"""),"Good")</f>
        <v>Good</v>
      </c>
      <c r="S80" t="str">
        <f ca="1">IFERROR(__xludf.DUMMYFUNCTION("""COMPUTED_VALUE"""),"Good")</f>
        <v>Good</v>
      </c>
      <c r="T80" t="str">
        <f ca="1">IFERROR(__xludf.DUMMYFUNCTION("""COMPUTED_VALUE"""),"Good")</f>
        <v>Good</v>
      </c>
      <c r="U80" t="str">
        <f ca="1">IFERROR(__xludf.DUMMYFUNCTION("""COMPUTED_VALUE"""),"Good")</f>
        <v>Good</v>
      </c>
      <c r="V80" t="str">
        <f ca="1">IFERROR(__xludf.DUMMYFUNCTION("""COMPUTED_VALUE"""),"Good")</f>
        <v>Good</v>
      </c>
      <c r="W80" t="str">
        <f ca="1">IFERROR(__xludf.DUMMYFUNCTION("""COMPUTED_VALUE"""),"Good")</f>
        <v>Good</v>
      </c>
      <c r="X80" t="str">
        <f ca="1">IFERROR(__xludf.DUMMYFUNCTION("""COMPUTED_VALUE"""),"Good")</f>
        <v>Good</v>
      </c>
      <c r="Y80" t="str">
        <f ca="1">IFERROR(__xludf.DUMMYFUNCTION("""COMPUTED_VALUE"""),"Good")</f>
        <v>Good</v>
      </c>
      <c r="Z80" t="str">
        <f ca="1">IFERROR(__xludf.DUMMYFUNCTION("""COMPUTED_VALUE"""),"Good")</f>
        <v>Good</v>
      </c>
      <c r="AA80" t="str">
        <f ca="1">IFERROR(__xludf.DUMMYFUNCTION("""COMPUTED_VALUE"""),"Good")</f>
        <v>Good</v>
      </c>
      <c r="AB80" t="str">
        <f ca="1">IFERROR(__xludf.DUMMYFUNCTION("""COMPUTED_VALUE"""),"Good")</f>
        <v>Good</v>
      </c>
      <c r="AC80" t="str">
        <f ca="1">IFERROR(__xludf.DUMMYFUNCTION("""COMPUTED_VALUE"""),"Good")</f>
        <v>Good</v>
      </c>
      <c r="AE80" s="11"/>
      <c r="AF80" t="str">
        <v>Scott.Eastman@floridadep.gov</v>
      </c>
      <c r="AG80" s="17" t="s">
        <v>17</v>
      </c>
      <c r="AH80" s="12"/>
      <c r="AI80" s="12" t="s">
        <v>176</v>
      </c>
      <c r="AJ80" s="19" t="s">
        <v>177</v>
      </c>
      <c r="AK80" s="20" t="str">
        <f>HYPERLINK("https://docs.google.com/document/d/1nhihx7WUJyq9xrne-IuE8z6M1bOCmJPhlEGshsFWGQU/edit?usp=drivesdk","James Tomazinis - 6/11/2018 8:30 AM")</f>
        <v>James Tomazinis - 6/11/2018 8:30 AM</v>
      </c>
      <c r="AL80" s="12" t="s">
        <v>178</v>
      </c>
    </row>
    <row r="81" spans="1:38" ht="12.75">
      <c r="A81" s="10">
        <f ca="1">IFERROR(__xludf.DUMMYFUNCTION("""COMPUTED_VALUE"""),43263.2958326851)</f>
        <v>43263.2958326851</v>
      </c>
      <c r="B81" s="11" t="str">
        <f ca="1">IFERROR(__xludf.DUMMYFUNCTION("""COMPUTED_VALUE"""),"Silas Tanner")</f>
        <v>Silas Tanner</v>
      </c>
      <c r="C81" t="str">
        <f ca="1">IFERROR(__xludf.DUMMYFUNCTION("""COMPUTED_VALUE"""),"silas.tanner@dep.state.fl.us")</f>
        <v>silas.tanner@dep.state.fl.us</v>
      </c>
      <c r="D81" t="str">
        <f ca="1">IFERROR(__xludf.DUMMYFUNCTION("""COMPUTED_VALUE"""),"Research")</f>
        <v>Research</v>
      </c>
      <c r="E81" t="str">
        <f ca="1">IFERROR(__xludf.DUMMYFUNCTION("""COMPUTED_VALUE"""),"Vilano County ramp")</f>
        <v>Vilano County ramp</v>
      </c>
      <c r="F81" s="13">
        <f ca="1">IFERROR(__xludf.DUMMYFUNCTION("""COMPUTED_VALUE"""),0.36458333333212)</f>
        <v>0.36458333333212001</v>
      </c>
      <c r="G81" s="14">
        <f ca="1">IFERROR(__xludf.DUMMYFUNCTION("""COMPUTED_VALUE"""),43263)</f>
        <v>43263</v>
      </c>
      <c r="H81" t="str">
        <f ca="1">IFERROR(__xludf.DUMMYFUNCTION("""COMPUTED_VALUE"""),"ICW SWMP sites")</f>
        <v>ICW SWMP sites</v>
      </c>
      <c r="I81" s="15">
        <f ca="1">IFERROR(__xludf.DUMMYFUNCTION("""COMPUTED_VALUE"""),0.58333333333212)</f>
        <v>0.58333333333212001</v>
      </c>
      <c r="J81" s="16">
        <f ca="1">IFERROR(__xludf.DUMMYFUNCTION("""COMPUTED_VALUE"""),43263.6041666666)</f>
        <v>43263.604166666599</v>
      </c>
      <c r="K81" t="str">
        <f ca="1">IFERROR(__xludf.DUMMYFUNCTION("""COMPUTED_VALUE"""),"23ft Skiff (Bertha) FL7972LJ DEP07613")</f>
        <v>23ft Skiff (Bertha) FL7972LJ DEP07613</v>
      </c>
      <c r="M81" t="str">
        <f ca="1">IFERROR(__xludf.DUMMYFUNCTION("""COMPUTED_VALUE"""),"Ford F150 2008 - DEP18041 (SWMP Thing)")</f>
        <v>Ford F150 2008 - DEP18041 (SWMP Thing)</v>
      </c>
      <c r="N81" t="str">
        <f ca="1">IFERROR(__xludf.DUMMYFUNCTION("""COMPUTED_VALUE"""),"Silas Tanner, (904) 483-8423, Jimmy Tomazinis, (904) 547-0094")</f>
        <v>Silas Tanner, (904) 483-8423, Jimmy Tomazinis, (904) 547-0094</v>
      </c>
      <c r="O81" t="str">
        <f ca="1">IFERROR(__xludf.DUMMYFUNCTION("""COMPUTED_VALUE"""),"Sam Shaw, Terri Calleson")</f>
        <v>Sam Shaw, Terri Calleson</v>
      </c>
      <c r="P81" t="str">
        <f ca="1">IFERROR(__xludf.DUMMYFUNCTION("""COMPUTED_VALUE"""),"Tomazinis")</f>
        <v>Tomazinis</v>
      </c>
      <c r="Q81" t="str">
        <f ca="1">IFERROR(__xludf.DUMMYFUNCTION("""COMPUTED_VALUE"""),"Good")</f>
        <v>Good</v>
      </c>
      <c r="R81" t="str">
        <f ca="1">IFERROR(__xludf.DUMMYFUNCTION("""COMPUTED_VALUE"""),"Good")</f>
        <v>Good</v>
      </c>
      <c r="S81" t="str">
        <f ca="1">IFERROR(__xludf.DUMMYFUNCTION("""COMPUTED_VALUE"""),"Good")</f>
        <v>Good</v>
      </c>
      <c r="T81" t="str">
        <f ca="1">IFERROR(__xludf.DUMMYFUNCTION("""COMPUTED_VALUE"""),"Good")</f>
        <v>Good</v>
      </c>
      <c r="U81" t="str">
        <f ca="1">IFERROR(__xludf.DUMMYFUNCTION("""COMPUTED_VALUE"""),"Good")</f>
        <v>Good</v>
      </c>
      <c r="V81" t="str">
        <f ca="1">IFERROR(__xludf.DUMMYFUNCTION("""COMPUTED_VALUE"""),"Good")</f>
        <v>Good</v>
      </c>
      <c r="W81" t="str">
        <f ca="1">IFERROR(__xludf.DUMMYFUNCTION("""COMPUTED_VALUE"""),"Good")</f>
        <v>Good</v>
      </c>
      <c r="X81" t="str">
        <f ca="1">IFERROR(__xludf.DUMMYFUNCTION("""COMPUTED_VALUE"""),"Good")</f>
        <v>Good</v>
      </c>
      <c r="Y81" t="str">
        <f ca="1">IFERROR(__xludf.DUMMYFUNCTION("""COMPUTED_VALUE"""),"Good")</f>
        <v>Good</v>
      </c>
      <c r="Z81" t="str">
        <f ca="1">IFERROR(__xludf.DUMMYFUNCTION("""COMPUTED_VALUE"""),"Good")</f>
        <v>Good</v>
      </c>
      <c r="AA81" t="str">
        <f ca="1">IFERROR(__xludf.DUMMYFUNCTION("""COMPUTED_VALUE"""),"Good")</f>
        <v>Good</v>
      </c>
      <c r="AB81" t="str">
        <f ca="1">IFERROR(__xludf.DUMMYFUNCTION("""COMPUTED_VALUE"""),"Good")</f>
        <v>Good</v>
      </c>
      <c r="AC81" t="str">
        <f ca="1">IFERROR(__xludf.DUMMYFUNCTION("""COMPUTED_VALUE"""),"Good")</f>
        <v>Good</v>
      </c>
      <c r="AE81" s="11"/>
      <c r="AF81" t="str">
        <v>Nikki.Dix@floridadep.gov</v>
      </c>
      <c r="AG81" s="17" t="s">
        <v>17</v>
      </c>
      <c r="AH81" s="12"/>
      <c r="AI81" s="12" t="s">
        <v>179</v>
      </c>
      <c r="AJ81" s="19" t="s">
        <v>180</v>
      </c>
      <c r="AK81" s="20" t="str">
        <f>HYPERLINK("https://docs.google.com/document/d/14xL-FgR87Xdn5S8WoYx0_em_jRQvOEXqyE9kNUhAwZs/edit?usp=drivesdk","Silas Tanner - 6/12/2018 8:45 AM")</f>
        <v>Silas Tanner - 6/12/2018 8:45 AM</v>
      </c>
      <c r="AL81" s="12" t="s">
        <v>181</v>
      </c>
    </row>
    <row r="82" spans="1:38" ht="12.75">
      <c r="A82" s="10">
        <f ca="1">IFERROR(__xludf.DUMMYFUNCTION("""COMPUTED_VALUE"""),43263.5454811805)</f>
        <v>43263.545481180503</v>
      </c>
      <c r="B82" s="11" t="str">
        <f ca="1">IFERROR(__xludf.DUMMYFUNCTION("""COMPUTED_VALUE"""),"Kenneth Rainer")</f>
        <v>Kenneth Rainer</v>
      </c>
      <c r="C82" t="str">
        <f ca="1">IFERROR(__xludf.DUMMYFUNCTION("""COMPUTED_VALUE"""),"Kenneth.Rainer@floridadep.gov")</f>
        <v>Kenneth.Rainer@floridadep.gov</v>
      </c>
      <c r="D82" t="str">
        <f ca="1">IFERROR(__xludf.DUMMYFUNCTION("""COMPUTED_VALUE"""),"Education")</f>
        <v>Education</v>
      </c>
      <c r="E82" t="str">
        <f ca="1">IFERROR(__xludf.DUMMYFUNCTION("""COMPUTED_VALUE"""),"Vilano Boat Ramp")</f>
        <v>Vilano Boat Ramp</v>
      </c>
      <c r="F82" s="13">
        <f ca="1">IFERROR(__xludf.DUMMYFUNCTION("""COMPUTED_VALUE"""),0.52083333333212)</f>
        <v>0.52083333333212001</v>
      </c>
      <c r="G82" s="14">
        <f ca="1">IFERROR(__xludf.DUMMYFUNCTION("""COMPUTED_VALUE"""),43265)</f>
        <v>43265</v>
      </c>
      <c r="H82" t="str">
        <f ca="1">IFERROR(__xludf.DUMMYFUNCTION("""COMPUTED_VALUE"""),"GTM NERR Northern Component")</f>
        <v>GTM NERR Northern Component</v>
      </c>
      <c r="I82" s="15">
        <f ca="1">IFERROR(__xludf.DUMMYFUNCTION("""COMPUTED_VALUE"""),0.6875)</f>
        <v>0.6875</v>
      </c>
      <c r="J82" s="16">
        <f ca="1">IFERROR(__xludf.DUMMYFUNCTION("""COMPUTED_VALUE"""),43265.7083333333)</f>
        <v>43265.708333333299</v>
      </c>
      <c r="K82" t="str">
        <f ca="1">IFERROR(__xludf.DUMMYFUNCTION("""COMPUTED_VALUE"""),"23ft Skiff (Bertha) FL7972LJ DEP07613")</f>
        <v>23ft Skiff (Bertha) FL7972LJ DEP07613</v>
      </c>
      <c r="M82" t="str">
        <f ca="1">IFERROR(__xludf.DUMMYFUNCTION("""COMPUTED_VALUE"""),"Ford F250 2017 (Moby Dix) - DEP0021578")</f>
        <v>Ford F250 2017 (Moby Dix) - DEP0021578</v>
      </c>
      <c r="N82" t="str">
        <f ca="1">IFERROR(__xludf.DUMMYFUNCTION("""COMPUTED_VALUE"""),"Nikki Dix, (352) 219-4079, Kenneth Rainer, (936) 499-1853")</f>
        <v>Nikki Dix, (352) 219-4079, Kenneth Rainer, (936) 499-1853</v>
      </c>
      <c r="O82" t="str">
        <f ca="1">IFERROR(__xludf.DUMMYFUNCTION("""COMPUTED_VALUE"""),"UF Professor and Students (with completed Release Waivers)")</f>
        <v>UF Professor and Students (with completed Release Waivers)</v>
      </c>
      <c r="P82" t="str">
        <f ca="1">IFERROR(__xludf.DUMMYFUNCTION("""COMPUTED_VALUE"""),"Kenneth Rainer")</f>
        <v>Kenneth Rainer</v>
      </c>
      <c r="Q82" t="str">
        <f ca="1">IFERROR(__xludf.DUMMYFUNCTION("""COMPUTED_VALUE"""),"Good")</f>
        <v>Good</v>
      </c>
      <c r="R82" t="str">
        <f ca="1">IFERROR(__xludf.DUMMYFUNCTION("""COMPUTED_VALUE"""),"Good")</f>
        <v>Good</v>
      </c>
      <c r="S82" t="str">
        <f ca="1">IFERROR(__xludf.DUMMYFUNCTION("""COMPUTED_VALUE"""),"Good")</f>
        <v>Good</v>
      </c>
      <c r="T82" t="str">
        <f ca="1">IFERROR(__xludf.DUMMYFUNCTION("""COMPUTED_VALUE"""),"Good")</f>
        <v>Good</v>
      </c>
      <c r="U82" t="str">
        <f ca="1">IFERROR(__xludf.DUMMYFUNCTION("""COMPUTED_VALUE"""),"Good")</f>
        <v>Good</v>
      </c>
      <c r="V82" t="str">
        <f ca="1">IFERROR(__xludf.DUMMYFUNCTION("""COMPUTED_VALUE"""),"Good")</f>
        <v>Good</v>
      </c>
      <c r="W82" t="str">
        <f ca="1">IFERROR(__xludf.DUMMYFUNCTION("""COMPUTED_VALUE"""),"Good")</f>
        <v>Good</v>
      </c>
      <c r="X82" t="str">
        <f ca="1">IFERROR(__xludf.DUMMYFUNCTION("""COMPUTED_VALUE"""),"Good")</f>
        <v>Good</v>
      </c>
      <c r="Y82" t="str">
        <f ca="1">IFERROR(__xludf.DUMMYFUNCTION("""COMPUTED_VALUE"""),"Good")</f>
        <v>Good</v>
      </c>
      <c r="Z82" t="str">
        <f ca="1">IFERROR(__xludf.DUMMYFUNCTION("""COMPUTED_VALUE"""),"Good")</f>
        <v>Good</v>
      </c>
      <c r="AA82" t="str">
        <f ca="1">IFERROR(__xludf.DUMMYFUNCTION("""COMPUTED_VALUE"""),"Good")</f>
        <v>Good</v>
      </c>
      <c r="AB82" t="str">
        <f ca="1">IFERROR(__xludf.DUMMYFUNCTION("""COMPUTED_VALUE"""),"Good")</f>
        <v>Good</v>
      </c>
      <c r="AC82" t="str">
        <f ca="1">IFERROR(__xludf.DUMMYFUNCTION("""COMPUTED_VALUE"""),"Good")</f>
        <v>Good</v>
      </c>
      <c r="AD82" t="str">
        <f ca="1">IFERROR(__xludf.DUMMYFUNCTION("""COMPUTED_VALUE"""),"Partly cloudy. A stray shower or thunderstorm is possible. High 89F. Winds WSW at 5 to 10 mph.")</f>
        <v>Partly cloudy. A stray shower or thunderstorm is possible. High 89F. Winds WSW at 5 to 10 mph.</v>
      </c>
      <c r="AE82" s="11" t="str">
        <f ca="1">IFERROR(__xludf.DUMMYFUNCTION("""COMPUTED_VALUE"""),"High 09:43AM (3.82ft); Low 03:37PM (-1.22ft)")</f>
        <v>High 09:43AM (3.82ft); Low 03:37PM (-1.22ft)</v>
      </c>
      <c r="AF82" t="str">
        <v>Kenneth.Rainer@floridadep.gov</v>
      </c>
      <c r="AG82" s="7" t="s">
        <v>17</v>
      </c>
      <c r="AH82" s="12"/>
      <c r="AI82" s="12" t="s">
        <v>182</v>
      </c>
      <c r="AJ82" s="19" t="s">
        <v>183</v>
      </c>
      <c r="AK82" s="20" t="str">
        <f>HYPERLINK("https://docs.google.com/document/d/1Ad-FJGyHWoa6R8teeyJx_5DdPsF8CvyTVaG0dnm6hzA/edit?usp=drivesdk","Kenneth Rainer - 6/14/2018 12:30 PM")</f>
        <v>Kenneth Rainer - 6/14/2018 12:30 PM</v>
      </c>
      <c r="AL82" s="12" t="s">
        <v>184</v>
      </c>
    </row>
    <row r="83" spans="1:38" ht="12.75">
      <c r="A83" s="10">
        <f ca="1">IFERROR(__xludf.DUMMYFUNCTION("""COMPUTED_VALUE"""),43264.6850550347)</f>
        <v>43264.685055034701</v>
      </c>
      <c r="B83" s="11" t="str">
        <f ca="1">IFERROR(__xludf.DUMMYFUNCTION("""COMPUTED_VALUE"""),"Silas Tanner")</f>
        <v>Silas Tanner</v>
      </c>
      <c r="C83" t="str">
        <f ca="1">IFERROR(__xludf.DUMMYFUNCTION("""COMPUTED_VALUE"""),"silas.tanner@floridadep.gov")</f>
        <v>silas.tanner@floridadep.gov</v>
      </c>
      <c r="D83" t="str">
        <f ca="1">IFERROR(__xludf.DUMMYFUNCTION("""COMPUTED_VALUE"""),"Research")</f>
        <v>Research</v>
      </c>
      <c r="E83" t="str">
        <f ca="1">IFERROR(__xludf.DUMMYFUNCTION("""COMPUTED_VALUE"""),"Bing's")</f>
        <v>Bing's</v>
      </c>
      <c r="F83" s="13">
        <f ca="1">IFERROR(__xludf.DUMMYFUNCTION("""COMPUTED_VALUE"""),0.5)</f>
        <v>0.5</v>
      </c>
      <c r="G83" s="14">
        <f ca="1">IFERROR(__xludf.DUMMYFUNCTION("""COMPUTED_VALUE"""),43265)</f>
        <v>43265</v>
      </c>
      <c r="H83" t="str">
        <f ca="1">IFERROR(__xludf.DUMMYFUNCTION("""COMPUTED_VALUE"""),"ICW - Rattlesnake Island to Bing's")</f>
        <v>ICW - Rattlesnake Island to Bing's</v>
      </c>
      <c r="I83" s="15">
        <f ca="1">IFERROR(__xludf.DUMMYFUNCTION("""COMPUTED_VALUE"""),0.666666666667879)</f>
        <v>0.66666666666787899</v>
      </c>
      <c r="J83" s="16">
        <f ca="1">IFERROR(__xludf.DUMMYFUNCTION("""COMPUTED_VALUE"""),43265.6979166666)</f>
        <v>43265.697916666599</v>
      </c>
      <c r="K83" t="str">
        <f ca="1">IFERROR(__xludf.DUMMYFUNCTION("""COMPUTED_VALUE"""),"F 20ft Sea Ark (Easy 200) FL8534PY DEP21451")</f>
        <v>F 20ft Sea Ark (Easy 200) FL8534PY DEP21451</v>
      </c>
      <c r="M83" t="str">
        <f ca="1">IFERROR(__xludf.DUMMYFUNCTION("""COMPUTED_VALUE"""),"Ford F150 2008 - DEP18041 (SWMP Thing)")</f>
        <v>Ford F150 2008 - DEP18041 (SWMP Thing)</v>
      </c>
      <c r="N83" t="str">
        <f ca="1">IFERROR(__xludf.DUMMYFUNCTION("""COMPUTED_VALUE"""),"Silas Tanner, (904) 483-8423")</f>
        <v>Silas Tanner, (904) 483-8423</v>
      </c>
      <c r="O83" t="str">
        <f ca="1">IFERROR(__xludf.DUMMYFUNCTION("""COMPUTED_VALUE"""),"Hunter Mathews, Matt Brown, Westly Woodward")</f>
        <v>Hunter Mathews, Matt Brown, Westly Woodward</v>
      </c>
      <c r="P83" t="str">
        <f ca="1">IFERROR(__xludf.DUMMYFUNCTION("""COMPUTED_VALUE"""),"Tanner")</f>
        <v>Tanner</v>
      </c>
      <c r="Q83" t="str">
        <f ca="1">IFERROR(__xludf.DUMMYFUNCTION("""COMPUTED_VALUE"""),"Good")</f>
        <v>Good</v>
      </c>
      <c r="R83" t="str">
        <f ca="1">IFERROR(__xludf.DUMMYFUNCTION("""COMPUTED_VALUE"""),"Good")</f>
        <v>Good</v>
      </c>
      <c r="S83" t="str">
        <f ca="1">IFERROR(__xludf.DUMMYFUNCTION("""COMPUTED_VALUE"""),"Good")</f>
        <v>Good</v>
      </c>
      <c r="T83" t="str">
        <f ca="1">IFERROR(__xludf.DUMMYFUNCTION("""COMPUTED_VALUE"""),"Good")</f>
        <v>Good</v>
      </c>
      <c r="U83" t="str">
        <f ca="1">IFERROR(__xludf.DUMMYFUNCTION("""COMPUTED_VALUE"""),"Good")</f>
        <v>Good</v>
      </c>
      <c r="V83" t="str">
        <f ca="1">IFERROR(__xludf.DUMMYFUNCTION("""COMPUTED_VALUE"""),"Good")</f>
        <v>Good</v>
      </c>
      <c r="W83" t="str">
        <f ca="1">IFERROR(__xludf.DUMMYFUNCTION("""COMPUTED_VALUE"""),"Good")</f>
        <v>Good</v>
      </c>
      <c r="X83" t="str">
        <f ca="1">IFERROR(__xludf.DUMMYFUNCTION("""COMPUTED_VALUE"""),"Good")</f>
        <v>Good</v>
      </c>
      <c r="Y83" t="str">
        <f ca="1">IFERROR(__xludf.DUMMYFUNCTION("""COMPUTED_VALUE"""),"Good")</f>
        <v>Good</v>
      </c>
      <c r="Z83" t="str">
        <f ca="1">IFERROR(__xludf.DUMMYFUNCTION("""COMPUTED_VALUE"""),"Good")</f>
        <v>Good</v>
      </c>
      <c r="AA83" t="str">
        <f ca="1">IFERROR(__xludf.DUMMYFUNCTION("""COMPUTED_VALUE"""),"Good")</f>
        <v>Good</v>
      </c>
      <c r="AB83" t="str">
        <f ca="1">IFERROR(__xludf.DUMMYFUNCTION("""COMPUTED_VALUE"""),"Good")</f>
        <v>Good</v>
      </c>
      <c r="AC83" t="str">
        <f ca="1">IFERROR(__xludf.DUMMYFUNCTION("""COMPUTED_VALUE"""),"Good")</f>
        <v>Good</v>
      </c>
      <c r="AE83" s="11"/>
      <c r="AF83" t="str">
        <v>Nikki.Dix@floridadep.gov</v>
      </c>
      <c r="AG83" s="17" t="s">
        <v>54</v>
      </c>
      <c r="AH83" s="12"/>
      <c r="AI83" s="12" t="s">
        <v>185</v>
      </c>
      <c r="AJ83" s="19" t="s">
        <v>186</v>
      </c>
      <c r="AK83" s="20" t="str">
        <f>HYPERLINK("https://docs.google.com/document/d/1ZVWr_QqAdt-Iz7q9i3GNK8i0lyZgwCCfyxmlR1hJwkw/edit?usp=drivesdk","Silas Tanner - 6/14/2018 12:00 PM")</f>
        <v>Silas Tanner - 6/14/2018 12:00 PM</v>
      </c>
      <c r="AL83" s="12" t="s">
        <v>187</v>
      </c>
    </row>
    <row r="84" spans="1:38" ht="12.75">
      <c r="A84" s="10">
        <f ca="1">IFERROR(__xludf.DUMMYFUNCTION("""COMPUTED_VALUE"""),43266.3927766435)</f>
        <v>43266.392776643501</v>
      </c>
      <c r="B84" s="11" t="str">
        <f ca="1">IFERROR(__xludf.DUMMYFUNCTION("""COMPUTED_VALUE"""),"James Tomazinis")</f>
        <v>James Tomazinis</v>
      </c>
      <c r="C84" t="str">
        <f ca="1">IFERROR(__xludf.DUMMYFUNCTION("""COMPUTED_VALUE"""),"james.tomazinis@floridadep.gov")</f>
        <v>james.tomazinis@floridadep.gov</v>
      </c>
      <c r="D84" t="str">
        <f ca="1">IFERROR(__xludf.DUMMYFUNCTION("""COMPUTED_VALUE"""),"Stewardship (Aquatic)")</f>
        <v>Stewardship (Aquatic)</v>
      </c>
      <c r="E84" t="str">
        <f ca="1">IFERROR(__xludf.DUMMYFUNCTION("""COMPUTED_VALUE"""),"Lighthouse park")</f>
        <v>Lighthouse park</v>
      </c>
      <c r="F84" s="13">
        <f ca="1">IFERROR(__xludf.DUMMYFUNCTION("""COMPUTED_VALUE"""),0.416666666667879)</f>
        <v>0.41666666666787899</v>
      </c>
      <c r="G84" s="14">
        <f ca="1">IFERROR(__xludf.DUMMYFUNCTION("""COMPUTED_VALUE"""),43266)</f>
        <v>43266</v>
      </c>
      <c r="H84" t="str">
        <f ca="1">IFERROR(__xludf.DUMMYFUNCTION("""COMPUTED_VALUE"""),"Greater St. Augustine area")</f>
        <v>Greater St. Augustine area</v>
      </c>
      <c r="I84" s="15">
        <f ca="1">IFERROR(__xludf.DUMMYFUNCTION("""COMPUTED_VALUE"""),0.70833333333212)</f>
        <v>0.70833333333212001</v>
      </c>
      <c r="J84" s="16"/>
      <c r="K84" t="str">
        <f ca="1">IFERROR(__xludf.DUMMYFUNCTION("""COMPUTED_VALUE"""),"23ft Skiff (Bertha) FL7972LJ DEP07613")</f>
        <v>23ft Skiff (Bertha) FL7972LJ DEP07613</v>
      </c>
      <c r="M84" t="str">
        <f ca="1">IFERROR(__xludf.DUMMYFUNCTION("""COMPUTED_VALUE"""),"Ford F150 2015 (White) - DEP21448")</f>
        <v>Ford F150 2015 (White) - DEP21448</v>
      </c>
      <c r="N84" t="str">
        <f ca="1">IFERROR(__xludf.DUMMYFUNCTION("""COMPUTED_VALUE"""),"Scott Eastman, (904) 501-9267, Pam Marcum, (480) 332-5414, Jimmy Tomazinis, (904) 547-0094")</f>
        <v>Scott Eastman, (904) 501-9267, Pam Marcum, (480) 332-5414, Jimmy Tomazinis, (904) 547-0094</v>
      </c>
      <c r="O84" t="str">
        <f ca="1">IFERROR(__xludf.DUMMYFUNCTION("""COMPUTED_VALUE"""),"Jeff Loflin")</f>
        <v>Jeff Loflin</v>
      </c>
      <c r="P84" t="str">
        <f ca="1">IFERROR(__xludf.DUMMYFUNCTION("""COMPUTED_VALUE"""),"James Tomazinis")</f>
        <v>James Tomazinis</v>
      </c>
      <c r="Q84" t="str">
        <f ca="1">IFERROR(__xludf.DUMMYFUNCTION("""COMPUTED_VALUE"""),"Good")</f>
        <v>Good</v>
      </c>
      <c r="R84" t="str">
        <f ca="1">IFERROR(__xludf.DUMMYFUNCTION("""COMPUTED_VALUE"""),"Good")</f>
        <v>Good</v>
      </c>
      <c r="S84" t="str">
        <f ca="1">IFERROR(__xludf.DUMMYFUNCTION("""COMPUTED_VALUE"""),"Good")</f>
        <v>Good</v>
      </c>
      <c r="T84" t="str">
        <f ca="1">IFERROR(__xludf.DUMMYFUNCTION("""COMPUTED_VALUE"""),"Good")</f>
        <v>Good</v>
      </c>
      <c r="U84" t="str">
        <f ca="1">IFERROR(__xludf.DUMMYFUNCTION("""COMPUTED_VALUE"""),"Good")</f>
        <v>Good</v>
      </c>
      <c r="V84" t="str">
        <f ca="1">IFERROR(__xludf.DUMMYFUNCTION("""COMPUTED_VALUE"""),"Good")</f>
        <v>Good</v>
      </c>
      <c r="W84" t="str">
        <f ca="1">IFERROR(__xludf.DUMMYFUNCTION("""COMPUTED_VALUE"""),"Good")</f>
        <v>Good</v>
      </c>
      <c r="X84" t="str">
        <f ca="1">IFERROR(__xludf.DUMMYFUNCTION("""COMPUTED_VALUE"""),"Good")</f>
        <v>Good</v>
      </c>
      <c r="Y84" t="str">
        <f ca="1">IFERROR(__xludf.DUMMYFUNCTION("""COMPUTED_VALUE"""),"Good")</f>
        <v>Good</v>
      </c>
      <c r="Z84" t="str">
        <f ca="1">IFERROR(__xludf.DUMMYFUNCTION("""COMPUTED_VALUE"""),"Good")</f>
        <v>Good</v>
      </c>
      <c r="AA84" t="str">
        <f ca="1">IFERROR(__xludf.DUMMYFUNCTION("""COMPUTED_VALUE"""),"Good")</f>
        <v>Good</v>
      </c>
      <c r="AB84" t="str">
        <f ca="1">IFERROR(__xludf.DUMMYFUNCTION("""COMPUTED_VALUE"""),"Good")</f>
        <v>Good</v>
      </c>
      <c r="AC84" t="str">
        <f ca="1">IFERROR(__xludf.DUMMYFUNCTION("""COMPUTED_VALUE"""),"Good")</f>
        <v>Good</v>
      </c>
      <c r="AE84" s="11"/>
      <c r="AF84" t="str">
        <v>Scott.Eastman@floridadep.gov</v>
      </c>
      <c r="AG84" s="17" t="s">
        <v>113</v>
      </c>
      <c r="AH84" s="12"/>
      <c r="AI84" s="12" t="s">
        <v>188</v>
      </c>
      <c r="AJ84" s="19" t="s">
        <v>189</v>
      </c>
      <c r="AK84" s="20" t="str">
        <f>HYPERLINK("https://docs.google.com/document/d/1segsGRdC7iRishkJwC9X3suCxEE9-PDWq8OEnJz3WW4/edit?usp=drivesdk","James Tomazinis - 6/15/2018 10:00 AM")</f>
        <v>James Tomazinis - 6/15/2018 10:00 AM</v>
      </c>
      <c r="AL84" s="12" t="s">
        <v>190</v>
      </c>
    </row>
    <row r="85" spans="1:38" ht="12.75">
      <c r="A85" s="10">
        <f ca="1">IFERROR(__xludf.DUMMYFUNCTION("""COMPUTED_VALUE"""),43266.4659460995)</f>
        <v>43266.465946099503</v>
      </c>
      <c r="B85" s="11" t="str">
        <f ca="1">IFERROR(__xludf.DUMMYFUNCTION("""COMPUTED_VALUE"""),"Silas Tanner")</f>
        <v>Silas Tanner</v>
      </c>
      <c r="C85" t="str">
        <f ca="1">IFERROR(__xludf.DUMMYFUNCTION("""COMPUTED_VALUE"""),"silas.tanner@floridadep.gov")</f>
        <v>silas.tanner@floridadep.gov</v>
      </c>
      <c r="D85" t="str">
        <f ca="1">IFERROR(__xludf.DUMMYFUNCTION("""COMPUTED_VALUE"""),"Research")</f>
        <v>Research</v>
      </c>
      <c r="E85" t="str">
        <f ca="1">IFERROR(__xludf.DUMMYFUNCTION("""COMPUTED_VALUE"""),"Bing's")</f>
        <v>Bing's</v>
      </c>
      <c r="F85" s="13">
        <f ca="1">IFERROR(__xludf.DUMMYFUNCTION("""COMPUTED_VALUE"""),0.541666666667879)</f>
        <v>0.54166666666787899</v>
      </c>
      <c r="G85" s="14">
        <f ca="1">IFERROR(__xludf.DUMMYFUNCTION("""COMPUTED_VALUE"""),43266)</f>
        <v>43266</v>
      </c>
      <c r="H85" t="str">
        <f ca="1">IFERROR(__xludf.DUMMYFUNCTION("""COMPUTED_VALUE"""),"ICW Summerhaven area")</f>
        <v>ICW Summerhaven area</v>
      </c>
      <c r="I85" s="15">
        <f ca="1">IFERROR(__xludf.DUMMYFUNCTION("""COMPUTED_VALUE"""),0.666666666667879)</f>
        <v>0.66666666666787899</v>
      </c>
      <c r="J85" s="16">
        <f ca="1">IFERROR(__xludf.DUMMYFUNCTION("""COMPUTED_VALUE"""),43266.7083333333)</f>
        <v>43266.708333333299</v>
      </c>
      <c r="K85" t="str">
        <f ca="1">IFERROR(__xludf.DUMMYFUNCTION("""COMPUTED_VALUE"""),"F 20ft Sea Ark (Easy 200) FL8534PY DEP21451")</f>
        <v>F 20ft Sea Ark (Easy 200) FL8534PY DEP21451</v>
      </c>
      <c r="M85" t="str">
        <f ca="1">IFERROR(__xludf.DUMMYFUNCTION("""COMPUTED_VALUE"""),"Ford F150 2008 - DEP18041 (SWMP Thing)")</f>
        <v>Ford F150 2008 - DEP18041 (SWMP Thing)</v>
      </c>
      <c r="N85" t="str">
        <f ca="1">IFERROR(__xludf.DUMMYFUNCTION("""COMPUTED_VALUE"""),"Silas Tanner, (904) 483-8423")</f>
        <v>Silas Tanner, (904) 483-8423</v>
      </c>
      <c r="O85" t="str">
        <f ca="1">IFERROR(__xludf.DUMMYFUNCTION("""COMPUTED_VALUE"""),"Matt Brown")</f>
        <v>Matt Brown</v>
      </c>
      <c r="P85" t="str">
        <f ca="1">IFERROR(__xludf.DUMMYFUNCTION("""COMPUTED_VALUE"""),"Silas Tanner")</f>
        <v>Silas Tanner</v>
      </c>
      <c r="Q85" t="str">
        <f ca="1">IFERROR(__xludf.DUMMYFUNCTION("""COMPUTED_VALUE"""),"Good")</f>
        <v>Good</v>
      </c>
      <c r="R85" t="str">
        <f ca="1">IFERROR(__xludf.DUMMYFUNCTION("""COMPUTED_VALUE"""),"Good")</f>
        <v>Good</v>
      </c>
      <c r="S85" t="str">
        <f ca="1">IFERROR(__xludf.DUMMYFUNCTION("""COMPUTED_VALUE"""),"Good")</f>
        <v>Good</v>
      </c>
      <c r="T85" t="str">
        <f ca="1">IFERROR(__xludf.DUMMYFUNCTION("""COMPUTED_VALUE"""),"Good")</f>
        <v>Good</v>
      </c>
      <c r="U85" t="str">
        <f ca="1">IFERROR(__xludf.DUMMYFUNCTION("""COMPUTED_VALUE"""),"Good")</f>
        <v>Good</v>
      </c>
      <c r="V85" t="str">
        <f ca="1">IFERROR(__xludf.DUMMYFUNCTION("""COMPUTED_VALUE"""),"Good")</f>
        <v>Good</v>
      </c>
      <c r="W85" t="str">
        <f ca="1">IFERROR(__xludf.DUMMYFUNCTION("""COMPUTED_VALUE"""),"Good")</f>
        <v>Good</v>
      </c>
      <c r="X85" t="str">
        <f ca="1">IFERROR(__xludf.DUMMYFUNCTION("""COMPUTED_VALUE"""),"Good")</f>
        <v>Good</v>
      </c>
      <c r="Y85" t="str">
        <f ca="1">IFERROR(__xludf.DUMMYFUNCTION("""COMPUTED_VALUE"""),"Good")</f>
        <v>Good</v>
      </c>
      <c r="Z85" t="str">
        <f ca="1">IFERROR(__xludf.DUMMYFUNCTION("""COMPUTED_VALUE"""),"Good")</f>
        <v>Good</v>
      </c>
      <c r="AA85" t="str">
        <f ca="1">IFERROR(__xludf.DUMMYFUNCTION("""COMPUTED_VALUE"""),"Good")</f>
        <v>Good</v>
      </c>
      <c r="AB85" t="str">
        <f ca="1">IFERROR(__xludf.DUMMYFUNCTION("""COMPUTED_VALUE"""),"Good")</f>
        <v>Good</v>
      </c>
      <c r="AC85" t="str">
        <f ca="1">IFERROR(__xludf.DUMMYFUNCTION("""COMPUTED_VALUE"""),"Good")</f>
        <v>Good</v>
      </c>
      <c r="AE85" s="11"/>
      <c r="AF85" t="str">
        <v>Nikki.Dix@floridadep.gov</v>
      </c>
      <c r="AG85" s="17" t="s">
        <v>17</v>
      </c>
      <c r="AH85" s="12"/>
      <c r="AI85" s="12" t="s">
        <v>191</v>
      </c>
      <c r="AJ85" s="19" t="s">
        <v>192</v>
      </c>
      <c r="AK85" s="20" t="str">
        <f>HYPERLINK("https://docs.google.com/document/d/1YErNHz-z5auJhRmMWf7quuIOf99gflm67GG5yE4XHtw/edit?usp=drivesdk","Silas Tanner - 6/15/2018 1:00 PM")</f>
        <v>Silas Tanner - 6/15/2018 1:00 PM</v>
      </c>
      <c r="AL85" s="12" t="s">
        <v>193</v>
      </c>
    </row>
    <row r="86" spans="1:38" ht="12.75">
      <c r="A86" s="10">
        <f ca="1">IFERROR(__xludf.DUMMYFUNCTION("""COMPUTED_VALUE"""),43267.4142713773)</f>
        <v>43267.414271377304</v>
      </c>
      <c r="B86" s="11" t="str">
        <f ca="1">IFERROR(__xludf.DUMMYFUNCTION("""COMPUTED_VALUE"""),"Gabriela Canas")</f>
        <v>Gabriela Canas</v>
      </c>
      <c r="C86" t="str">
        <f ca="1">IFERROR(__xludf.DUMMYFUNCTION("""COMPUTED_VALUE"""),"gabriela.canas@dep.state.fl.us")</f>
        <v>gabriela.canas@dep.state.fl.us</v>
      </c>
      <c r="D86" t="str">
        <f ca="1">IFERROR(__xludf.DUMMYFUNCTION("""COMPUTED_VALUE"""),"Research")</f>
        <v>Research</v>
      </c>
      <c r="E86" t="str">
        <f ca="1">IFERROR(__xludf.DUMMYFUNCTION("""COMPUTED_VALUE"""),"Shore drive boat ramp")</f>
        <v>Shore drive boat ramp</v>
      </c>
      <c r="F86" s="13">
        <f ca="1">IFERROR(__xludf.DUMMYFUNCTION("""COMPUTED_VALUE"""),0.4375)</f>
        <v>0.4375</v>
      </c>
      <c r="G86" s="14">
        <f ca="1">IFERROR(__xludf.DUMMYFUNCTION("""COMPUTED_VALUE"""),43267)</f>
        <v>43267</v>
      </c>
      <c r="H86" t="str">
        <f ca="1">IFERROR(__xludf.DUMMYFUNCTION("""COMPUTED_VALUE"""),"Gabby’s creek ")</f>
        <v xml:space="preserve">Gabby’s creek </v>
      </c>
      <c r="I86" s="15">
        <f ca="1">IFERROR(__xludf.DUMMYFUNCTION("""COMPUTED_VALUE"""),0.625)</f>
        <v>0.625</v>
      </c>
      <c r="J86" s="16">
        <f ca="1">IFERROR(__xludf.DUMMYFUNCTION("""COMPUTED_VALUE"""),43267.6666666666)</f>
        <v>43267.666666666599</v>
      </c>
      <c r="K86" t="str">
        <f ca="1">IFERROR(__xludf.DUMMYFUNCTION("""COMPUTED_VALUE"""),"F 20ft Sea Ark (Easy 200) FL8534PY DEP21451")</f>
        <v>F 20ft Sea Ark (Easy 200) FL8534PY DEP21451</v>
      </c>
      <c r="M86" t="str">
        <f ca="1">IFERROR(__xludf.DUMMYFUNCTION("""COMPUTED_VALUE"""),"Ford F250 2017 (Moby Dix) - DEP0021578")</f>
        <v>Ford F250 2017 (Moby Dix) - DEP0021578</v>
      </c>
      <c r="N86" t="str">
        <f ca="1">IFERROR(__xludf.DUMMYFUNCTION("""COMPUTED_VALUE"""),"Ben Mowbray, (407) 962-8782")</f>
        <v>Ben Mowbray, (407) 962-8782</v>
      </c>
      <c r="O86" t="str">
        <f ca="1">IFERROR(__xludf.DUMMYFUNCTION("""COMPUTED_VALUE"""),"Gabriela Canas, (904) 891-9743, 2 volunteers Alee knowell, Charles Huber ")</f>
        <v xml:space="preserve">Gabriela Canas, (904) 891-9743, 2 volunteers Alee knowell, Charles Huber </v>
      </c>
      <c r="P86" t="str">
        <f ca="1">IFERROR(__xludf.DUMMYFUNCTION("""COMPUTED_VALUE"""),"Ben Mowbray ")</f>
        <v xml:space="preserve">Ben Mowbray </v>
      </c>
      <c r="Q86" t="str">
        <f ca="1">IFERROR(__xludf.DUMMYFUNCTION("""COMPUTED_VALUE"""),"Good")</f>
        <v>Good</v>
      </c>
      <c r="R86" t="str">
        <f ca="1">IFERROR(__xludf.DUMMYFUNCTION("""COMPUTED_VALUE"""),"Good")</f>
        <v>Good</v>
      </c>
      <c r="S86" t="str">
        <f ca="1">IFERROR(__xludf.DUMMYFUNCTION("""COMPUTED_VALUE"""),"Good")</f>
        <v>Good</v>
      </c>
      <c r="T86" t="str">
        <f ca="1">IFERROR(__xludf.DUMMYFUNCTION("""COMPUTED_VALUE"""),"Good")</f>
        <v>Good</v>
      </c>
      <c r="U86" t="str">
        <f ca="1">IFERROR(__xludf.DUMMYFUNCTION("""COMPUTED_VALUE"""),"Good")</f>
        <v>Good</v>
      </c>
      <c r="V86" t="str">
        <f ca="1">IFERROR(__xludf.DUMMYFUNCTION("""COMPUTED_VALUE"""),"Good")</f>
        <v>Good</v>
      </c>
      <c r="W86" t="str">
        <f ca="1">IFERROR(__xludf.DUMMYFUNCTION("""COMPUTED_VALUE"""),"Good")</f>
        <v>Good</v>
      </c>
      <c r="X86" t="str">
        <f ca="1">IFERROR(__xludf.DUMMYFUNCTION("""COMPUTED_VALUE"""),"Good")</f>
        <v>Good</v>
      </c>
      <c r="Y86" t="str">
        <f ca="1">IFERROR(__xludf.DUMMYFUNCTION("""COMPUTED_VALUE"""),"Good")</f>
        <v>Good</v>
      </c>
      <c r="Z86" t="str">
        <f ca="1">IFERROR(__xludf.DUMMYFUNCTION("""COMPUTED_VALUE"""),"Good")</f>
        <v>Good</v>
      </c>
      <c r="AA86" t="str">
        <f ca="1">IFERROR(__xludf.DUMMYFUNCTION("""COMPUTED_VALUE"""),"Good")</f>
        <v>Good</v>
      </c>
      <c r="AB86" t="str">
        <f ca="1">IFERROR(__xludf.DUMMYFUNCTION("""COMPUTED_VALUE"""),"Good")</f>
        <v>Good</v>
      </c>
      <c r="AC86" t="str">
        <f ca="1">IFERROR(__xludf.DUMMYFUNCTION("""COMPUTED_VALUE"""),"Good")</f>
        <v>Good</v>
      </c>
      <c r="AD86" t="str">
        <f ca="1">IFERROR(__xludf.DUMMYFUNCTION("""COMPUTED_VALUE"""),"Afternoon storms")</f>
        <v>Afternoon storms</v>
      </c>
      <c r="AE86" s="11" t="str">
        <f ca="1">IFERROR(__xludf.DUMMYFUNCTION("""COMPUTED_VALUE"""),"11:30 high tide")</f>
        <v>11:30 high tide</v>
      </c>
      <c r="AF86" t="str">
        <v>Nikki.Dix@floridadep.gov</v>
      </c>
      <c r="AG86" s="17" t="s">
        <v>7</v>
      </c>
      <c r="AH86" s="12"/>
      <c r="AI86" s="12" t="s">
        <v>194</v>
      </c>
      <c r="AJ86" s="19" t="s">
        <v>195</v>
      </c>
      <c r="AK86" s="20" t="str">
        <f>HYPERLINK("https://docs.google.com/document/d/1zx2ToY0GcjujicDXZiUTnvQUpIp0-oiJuQlUByUuEXk/edit?usp=drivesdk","Gabriela Canas - 6/16/2018 10:30 AM")</f>
        <v>Gabriela Canas - 6/16/2018 10:30 AM</v>
      </c>
      <c r="AL86" s="12" t="s">
        <v>196</v>
      </c>
    </row>
    <row r="87" spans="1:38" ht="12.75">
      <c r="A87" s="10">
        <f ca="1">IFERROR(__xludf.DUMMYFUNCTION("""COMPUTED_VALUE"""),43269.2553564814)</f>
        <v>43269.255356481401</v>
      </c>
      <c r="B87" s="11" t="str">
        <f ca="1">IFERROR(__xludf.DUMMYFUNCTION("""COMPUTED_VALUE"""),"Pamela Marcum")</f>
        <v>Pamela Marcum</v>
      </c>
      <c r="C87" t="str">
        <f ca="1">IFERROR(__xludf.DUMMYFUNCTION("""COMPUTED_VALUE"""),"Pamela.Marcum@dep.state.fl.us")</f>
        <v>Pamela.Marcum@dep.state.fl.us</v>
      </c>
      <c r="D87" t="str">
        <f ca="1">IFERROR(__xludf.DUMMYFUNCTION("""COMPUTED_VALUE"""),"Research")</f>
        <v>Research</v>
      </c>
      <c r="E87" t="str">
        <f ca="1">IFERROR(__xludf.DUMMYFUNCTION("""COMPUTED_VALUE"""),"Whitney &amp; Green Rd")</f>
        <v>Whitney &amp; Green Rd</v>
      </c>
      <c r="F87" s="13">
        <f ca="1">IFERROR(__xludf.DUMMYFUNCTION("""COMPUTED_VALUE"""),0.291666666667879)</f>
        <v>0.29166666666787899</v>
      </c>
      <c r="G87" s="14">
        <f ca="1">IFERROR(__xludf.DUMMYFUNCTION("""COMPUTED_VALUE"""),43269)</f>
        <v>43269</v>
      </c>
      <c r="H87" t="str">
        <f ca="1">IFERROR(__xludf.DUMMYFUNCTION("""COMPUTED_VALUE"""),"Kimbro Sites- Pellicer &amp; Moses")</f>
        <v>Kimbro Sites- Pellicer &amp; Moses</v>
      </c>
      <c r="I87" s="15">
        <f ca="1">IFERROR(__xludf.DUMMYFUNCTION("""COMPUTED_VALUE"""),0.625)</f>
        <v>0.625</v>
      </c>
      <c r="J87" s="16">
        <f ca="1">IFERROR(__xludf.DUMMYFUNCTION("""COMPUTED_VALUE"""),43269.7083333333)</f>
        <v>43269.708333333299</v>
      </c>
      <c r="K87" t="str">
        <f ca="1">IFERROR(__xludf.DUMMYFUNCTION("""COMPUTED_VALUE"""),"23ft Skiff (Bertha) FL7972LJ DEP07613")</f>
        <v>23ft Skiff (Bertha) FL7972LJ DEP07613</v>
      </c>
      <c r="M87" t="str">
        <f ca="1">IFERROR(__xludf.DUMMYFUNCTION("""COMPUTED_VALUE"""),"Ford F150 2008 - DEP18041 (SWMP Thing)")</f>
        <v>Ford F150 2008 - DEP18041 (SWMP Thing)</v>
      </c>
      <c r="N87" t="str">
        <f ca="1">IFERROR(__xludf.DUMMYFUNCTION("""COMPUTED_VALUE"""),"Pam Marcum, (480) 332-5414, Ben Mowbray, (407) 962-8782")</f>
        <v>Pam Marcum, (480) 332-5414, Ben Mowbray, (407) 962-8782</v>
      </c>
      <c r="O87" t="str">
        <f ca="1">IFERROR(__xludf.DUMMYFUNCTION("""COMPUTED_VALUE"""),"David Kimbro, Nicole Peckham, Rodrigo")</f>
        <v>David Kimbro, Nicole Peckham, Rodrigo</v>
      </c>
      <c r="P87" t="str">
        <f ca="1">IFERROR(__xludf.DUMMYFUNCTION("""COMPUTED_VALUE"""),"Pam Marcum")</f>
        <v>Pam Marcum</v>
      </c>
      <c r="Q87" t="str">
        <f ca="1">IFERROR(__xludf.DUMMYFUNCTION("""COMPUTED_VALUE"""),"Good")</f>
        <v>Good</v>
      </c>
      <c r="R87" t="str">
        <f ca="1">IFERROR(__xludf.DUMMYFUNCTION("""COMPUTED_VALUE"""),"Good")</f>
        <v>Good</v>
      </c>
      <c r="S87" t="str">
        <f ca="1">IFERROR(__xludf.DUMMYFUNCTION("""COMPUTED_VALUE"""),"Good")</f>
        <v>Good</v>
      </c>
      <c r="T87" t="str">
        <f ca="1">IFERROR(__xludf.DUMMYFUNCTION("""COMPUTED_VALUE"""),"Good")</f>
        <v>Good</v>
      </c>
      <c r="U87" t="str">
        <f ca="1">IFERROR(__xludf.DUMMYFUNCTION("""COMPUTED_VALUE"""),"Good")</f>
        <v>Good</v>
      </c>
      <c r="V87" t="str">
        <f ca="1">IFERROR(__xludf.DUMMYFUNCTION("""COMPUTED_VALUE"""),"Good")</f>
        <v>Good</v>
      </c>
      <c r="W87" t="str">
        <f ca="1">IFERROR(__xludf.DUMMYFUNCTION("""COMPUTED_VALUE"""),"Good")</f>
        <v>Good</v>
      </c>
      <c r="X87" t="str">
        <f ca="1">IFERROR(__xludf.DUMMYFUNCTION("""COMPUTED_VALUE"""),"Good")</f>
        <v>Good</v>
      </c>
      <c r="Y87" t="str">
        <f ca="1">IFERROR(__xludf.DUMMYFUNCTION("""COMPUTED_VALUE"""),"Good")</f>
        <v>Good</v>
      </c>
      <c r="Z87" t="str">
        <f ca="1">IFERROR(__xludf.DUMMYFUNCTION("""COMPUTED_VALUE"""),"Good")</f>
        <v>Good</v>
      </c>
      <c r="AA87" t="str">
        <f ca="1">IFERROR(__xludf.DUMMYFUNCTION("""COMPUTED_VALUE"""),"Good")</f>
        <v>Good</v>
      </c>
      <c r="AB87" t="str">
        <f ca="1">IFERROR(__xludf.DUMMYFUNCTION("""COMPUTED_VALUE"""),"Good")</f>
        <v>Good</v>
      </c>
      <c r="AC87" t="str">
        <f ca="1">IFERROR(__xludf.DUMMYFUNCTION("""COMPUTED_VALUE"""),"Good")</f>
        <v>Good</v>
      </c>
      <c r="AE87" s="11"/>
      <c r="AF87" t="str">
        <v>Nikki.Dix@floridadep.gov</v>
      </c>
      <c r="AG87" s="17" t="s">
        <v>17</v>
      </c>
      <c r="AH87" s="12"/>
      <c r="AI87" s="12" t="s">
        <v>197</v>
      </c>
      <c r="AJ87" s="19" t="s">
        <v>198</v>
      </c>
      <c r="AK87" s="20" t="str">
        <f>HYPERLINK("https://docs.google.com/document/d/1KwWbRZ0rfVkD6cgG4sahSuTzc2waIBHIwhs9aelaYeM/edit?usp=drivesdk","Pamela Marcum - 6/18/2018 7:00 AM")</f>
        <v>Pamela Marcum - 6/18/2018 7:00 AM</v>
      </c>
      <c r="AL87" s="12" t="s">
        <v>199</v>
      </c>
    </row>
    <row r="88" spans="1:38" ht="12.75">
      <c r="A88" s="10">
        <f ca="1">IFERROR(__xludf.DUMMYFUNCTION("""COMPUTED_VALUE"""),43270.2303647106)</f>
        <v>43270.230364710602</v>
      </c>
      <c r="B88" s="11" t="str">
        <f ca="1">IFERROR(__xludf.DUMMYFUNCTION("""COMPUTED_VALUE"""),"Ben Mowbray")</f>
        <v>Ben Mowbray</v>
      </c>
      <c r="C88" t="str">
        <f ca="1">IFERROR(__xludf.DUMMYFUNCTION("""COMPUTED_VALUE"""),"ben.mowbray@dep.state.fl.us")</f>
        <v>ben.mowbray@dep.state.fl.us</v>
      </c>
      <c r="D88" t="str">
        <f ca="1">IFERROR(__xludf.DUMMYFUNCTION("""COMPUTED_VALUE"""),"Research")</f>
        <v>Research</v>
      </c>
      <c r="E88" t="str">
        <f ca="1">IFERROR(__xludf.DUMMYFUNCTION("""COMPUTED_VALUE"""),"Green Rd. Boat Ramp")</f>
        <v>Green Rd. Boat Ramp</v>
      </c>
      <c r="F88" s="13">
        <f ca="1">IFERROR(__xludf.DUMMYFUNCTION("""COMPUTED_VALUE"""),0.375)</f>
        <v>0.375</v>
      </c>
      <c r="G88" s="14">
        <f ca="1">IFERROR(__xludf.DUMMYFUNCTION("""COMPUTED_VALUE"""),43270)</f>
        <v>43270</v>
      </c>
      <c r="H88" t="str">
        <f ca="1">IFERROR(__xludf.DUMMYFUNCTION("""COMPUTED_VALUE"""),"Moses Kimbro Site")</f>
        <v>Moses Kimbro Site</v>
      </c>
      <c r="I88" s="15">
        <f ca="1">IFERROR(__xludf.DUMMYFUNCTION("""COMPUTED_VALUE"""),0.5625)</f>
        <v>0.5625</v>
      </c>
      <c r="J88" s="16">
        <f ca="1">IFERROR(__xludf.DUMMYFUNCTION("""COMPUTED_VALUE"""),43270.625)</f>
        <v>43270.625</v>
      </c>
      <c r="K88" t="str">
        <f ca="1">IFERROR(__xludf.DUMMYFUNCTION("""COMPUTED_VALUE"""),"23ft Skiff (Bertha) FL7972LJ DEP07613, Kayak(s)")</f>
        <v>23ft Skiff (Bertha) FL7972LJ DEP07613, Kayak(s)</v>
      </c>
      <c r="L88">
        <f ca="1">IFERROR(__xludf.DUMMYFUNCTION("""COMPUTED_VALUE"""),1)</f>
        <v>1</v>
      </c>
      <c r="M88" t="str">
        <f ca="1">IFERROR(__xludf.DUMMYFUNCTION("""COMPUTED_VALUE"""),"Ford F150 2015 (White) - DEP21448")</f>
        <v>Ford F150 2015 (White) - DEP21448</v>
      </c>
      <c r="N88" t="str">
        <f ca="1">IFERROR(__xludf.DUMMYFUNCTION("""COMPUTED_VALUE"""),"Ben Mowbray, (407) 962-8782")</f>
        <v>Ben Mowbray, (407) 962-8782</v>
      </c>
      <c r="O88" t="str">
        <f ca="1">IFERROR(__xludf.DUMMYFUNCTION("""COMPUTED_VALUE"""),"Nicole Peckham, Adrienne, Rodrigo")</f>
        <v>Nicole Peckham, Adrienne, Rodrigo</v>
      </c>
      <c r="P88" t="str">
        <f ca="1">IFERROR(__xludf.DUMMYFUNCTION("""COMPUTED_VALUE"""),"Ben")</f>
        <v>Ben</v>
      </c>
      <c r="Q88" t="str">
        <f ca="1">IFERROR(__xludf.DUMMYFUNCTION("""COMPUTED_VALUE"""),"Good")</f>
        <v>Good</v>
      </c>
      <c r="R88" t="str">
        <f ca="1">IFERROR(__xludf.DUMMYFUNCTION("""COMPUTED_VALUE"""),"Good")</f>
        <v>Good</v>
      </c>
      <c r="S88" t="str">
        <f ca="1">IFERROR(__xludf.DUMMYFUNCTION("""COMPUTED_VALUE"""),"Good")</f>
        <v>Good</v>
      </c>
      <c r="T88" t="str">
        <f ca="1">IFERROR(__xludf.DUMMYFUNCTION("""COMPUTED_VALUE"""),"Good")</f>
        <v>Good</v>
      </c>
      <c r="U88" t="str">
        <f ca="1">IFERROR(__xludf.DUMMYFUNCTION("""COMPUTED_VALUE"""),"Good")</f>
        <v>Good</v>
      </c>
      <c r="V88" t="str">
        <f ca="1">IFERROR(__xludf.DUMMYFUNCTION("""COMPUTED_VALUE"""),"Good")</f>
        <v>Good</v>
      </c>
      <c r="W88" t="str">
        <f ca="1">IFERROR(__xludf.DUMMYFUNCTION("""COMPUTED_VALUE"""),"Good")</f>
        <v>Good</v>
      </c>
      <c r="X88" t="str">
        <f ca="1">IFERROR(__xludf.DUMMYFUNCTION("""COMPUTED_VALUE"""),"Good")</f>
        <v>Good</v>
      </c>
      <c r="Y88" t="str">
        <f ca="1">IFERROR(__xludf.DUMMYFUNCTION("""COMPUTED_VALUE"""),"Good")</f>
        <v>Good</v>
      </c>
      <c r="Z88" t="str">
        <f ca="1">IFERROR(__xludf.DUMMYFUNCTION("""COMPUTED_VALUE"""),"Good")</f>
        <v>Good</v>
      </c>
      <c r="AA88" t="str">
        <f ca="1">IFERROR(__xludf.DUMMYFUNCTION("""COMPUTED_VALUE"""),"Good")</f>
        <v>Good</v>
      </c>
      <c r="AB88" t="str">
        <f ca="1">IFERROR(__xludf.DUMMYFUNCTION("""COMPUTED_VALUE"""),"Good")</f>
        <v>Good</v>
      </c>
      <c r="AC88" t="str">
        <f ca="1">IFERROR(__xludf.DUMMYFUNCTION("""COMPUTED_VALUE"""),"Good")</f>
        <v>Good</v>
      </c>
      <c r="AE88" s="11"/>
      <c r="AF88" t="str">
        <v>Nikki.Dix@floridadep.gov</v>
      </c>
      <c r="AG88" s="17" t="s">
        <v>17</v>
      </c>
      <c r="AH88" s="12"/>
      <c r="AI88" s="12" t="s">
        <v>200</v>
      </c>
      <c r="AJ88" s="19" t="s">
        <v>201</v>
      </c>
      <c r="AK88" s="20" t="str">
        <f>HYPERLINK("https://docs.google.com/document/d/18sH7tpcvRVPrnvu5INSV_e-yIKj2uGcQozGVLnx_pZU/edit?usp=drivesdk","Ben Mowbray - 6/19/2018 9:00 AM")</f>
        <v>Ben Mowbray - 6/19/2018 9:00 AM</v>
      </c>
      <c r="AL88" s="12" t="s">
        <v>202</v>
      </c>
    </row>
    <row r="89" spans="1:38" ht="12.75">
      <c r="A89" s="10">
        <f ca="1">IFERROR(__xludf.DUMMYFUNCTION("""COMPUTED_VALUE"""),43272.3591758796)</f>
        <v>43272.359175879603</v>
      </c>
      <c r="B89" s="11" t="str">
        <f ca="1">IFERROR(__xludf.DUMMYFUNCTION("""COMPUTED_VALUE"""),"James Tomazinis")</f>
        <v>James Tomazinis</v>
      </c>
      <c r="C89" t="str">
        <f ca="1">IFERROR(__xludf.DUMMYFUNCTION("""COMPUTED_VALUE"""),"james.tomazinis@floridadep.gov")</f>
        <v>james.tomazinis@floridadep.gov</v>
      </c>
      <c r="D89" t="str">
        <f ca="1">IFERROR(__xludf.DUMMYFUNCTION("""COMPUTED_VALUE"""),"Stewardship (Aquatic)")</f>
        <v>Stewardship (Aquatic)</v>
      </c>
      <c r="E89" t="str">
        <f ca="1">IFERROR(__xludf.DUMMYFUNCTION("""COMPUTED_VALUE"""),"Sawpit creek")</f>
        <v>Sawpit creek</v>
      </c>
      <c r="F89" s="13">
        <f ca="1">IFERROR(__xludf.DUMMYFUNCTION("""COMPUTED_VALUE"""),0.40625)</f>
        <v>0.40625</v>
      </c>
      <c r="G89" s="14">
        <f ca="1">IFERROR(__xludf.DUMMYFUNCTION("""COMPUTED_VALUE"""),43272)</f>
        <v>43272</v>
      </c>
      <c r="H89" t="str">
        <f ca="1">IFERROR(__xludf.DUMMYFUNCTION("""COMPUTED_VALUE"""),"Nassauville restoration site and mangroves")</f>
        <v>Nassauville restoration site and mangroves</v>
      </c>
      <c r="I89" s="15">
        <f ca="1">IFERROR(__xludf.DUMMYFUNCTION("""COMPUTED_VALUE"""),0.70833333333212)</f>
        <v>0.70833333333212001</v>
      </c>
      <c r="J89" s="16"/>
      <c r="K89" t="str">
        <f ca="1">IFERROR(__xludf.DUMMYFUNCTION("""COMPUTED_VALUE"""),"F 20ft Sea Ark (Easy 200) FL8534PY DEP21451")</f>
        <v>F 20ft Sea Ark (Easy 200) FL8534PY DEP21451</v>
      </c>
      <c r="M89" t="str">
        <f ca="1">IFERROR(__xludf.DUMMYFUNCTION("""COMPUTED_VALUE"""),"Ford F250 2017 (Moby Dix) - DEP0021578")</f>
        <v>Ford F250 2017 (Moby Dix) - DEP0021578</v>
      </c>
      <c r="N89" t="str">
        <f ca="1">IFERROR(__xludf.DUMMYFUNCTION("""COMPUTED_VALUE"""),"Scott Eastman, (904) 501-9267, Jimmy Tomazinis, (904) 547-0094")</f>
        <v>Scott Eastman, (904) 501-9267, Jimmy Tomazinis, (904) 547-0094</v>
      </c>
      <c r="O89" t="str">
        <f ca="1">IFERROR(__xludf.DUMMYFUNCTION("""COMPUTED_VALUE"""),"Mike Dickson")</f>
        <v>Mike Dickson</v>
      </c>
      <c r="P89" t="str">
        <f ca="1">IFERROR(__xludf.DUMMYFUNCTION("""COMPUTED_VALUE"""),"Jimmy")</f>
        <v>Jimmy</v>
      </c>
      <c r="Q89" t="str">
        <f ca="1">IFERROR(__xludf.DUMMYFUNCTION("""COMPUTED_VALUE"""),"Good")</f>
        <v>Good</v>
      </c>
      <c r="R89" t="str">
        <f ca="1">IFERROR(__xludf.DUMMYFUNCTION("""COMPUTED_VALUE"""),"Good")</f>
        <v>Good</v>
      </c>
      <c r="S89" t="str">
        <f ca="1">IFERROR(__xludf.DUMMYFUNCTION("""COMPUTED_VALUE"""),"Good")</f>
        <v>Good</v>
      </c>
      <c r="T89" t="str">
        <f ca="1">IFERROR(__xludf.DUMMYFUNCTION("""COMPUTED_VALUE"""),"Good")</f>
        <v>Good</v>
      </c>
      <c r="U89" t="str">
        <f ca="1">IFERROR(__xludf.DUMMYFUNCTION("""COMPUTED_VALUE"""),"Good")</f>
        <v>Good</v>
      </c>
      <c r="V89" t="str">
        <f ca="1">IFERROR(__xludf.DUMMYFUNCTION("""COMPUTED_VALUE"""),"Good")</f>
        <v>Good</v>
      </c>
      <c r="W89" t="str">
        <f ca="1">IFERROR(__xludf.DUMMYFUNCTION("""COMPUTED_VALUE"""),"Good")</f>
        <v>Good</v>
      </c>
      <c r="X89" t="str">
        <f ca="1">IFERROR(__xludf.DUMMYFUNCTION("""COMPUTED_VALUE"""),"Good")</f>
        <v>Good</v>
      </c>
      <c r="Y89" t="str">
        <f ca="1">IFERROR(__xludf.DUMMYFUNCTION("""COMPUTED_VALUE"""),"Good")</f>
        <v>Good</v>
      </c>
      <c r="Z89" t="str">
        <f ca="1">IFERROR(__xludf.DUMMYFUNCTION("""COMPUTED_VALUE"""),"Good")</f>
        <v>Good</v>
      </c>
      <c r="AA89" t="str">
        <f ca="1">IFERROR(__xludf.DUMMYFUNCTION("""COMPUTED_VALUE"""),"Good")</f>
        <v>Good</v>
      </c>
      <c r="AB89" t="str">
        <f ca="1">IFERROR(__xludf.DUMMYFUNCTION("""COMPUTED_VALUE"""),"Good")</f>
        <v>Good</v>
      </c>
      <c r="AC89" t="str">
        <f ca="1">IFERROR(__xludf.DUMMYFUNCTION("""COMPUTED_VALUE"""),"Good")</f>
        <v>Good</v>
      </c>
      <c r="AE89" s="11"/>
      <c r="AF89" t="str">
        <v>Scott.Eastman@floridadep.gov</v>
      </c>
      <c r="AG89" s="17" t="s">
        <v>17</v>
      </c>
      <c r="AH89" s="12"/>
      <c r="AI89" s="12" t="s">
        <v>203</v>
      </c>
      <c r="AJ89" s="19" t="s">
        <v>204</v>
      </c>
      <c r="AK89" s="20" t="str">
        <f>HYPERLINK("https://docs.google.com/document/d/1v7q-IULNLh2s7jlsl-iuhE7Fi_UIkWYnjOZQaPhKCSs/edit?usp=drivesdk","James Tomazinis - 6/21/2018 9:45 AM")</f>
        <v>James Tomazinis - 6/21/2018 9:45 AM</v>
      </c>
      <c r="AL89" s="12" t="s">
        <v>205</v>
      </c>
    </row>
    <row r="90" spans="1:38" ht="12.75">
      <c r="A90" s="10">
        <f ca="1">IFERROR(__xludf.DUMMYFUNCTION("""COMPUTED_VALUE"""),43276.375861493)</f>
        <v>43276.375861492998</v>
      </c>
      <c r="B90" s="11" t="str">
        <f ca="1">IFERROR(__xludf.DUMMYFUNCTION("""COMPUTED_VALUE"""),"Pamela Marcum")</f>
        <v>Pamela Marcum</v>
      </c>
      <c r="C90" t="str">
        <f ca="1">IFERROR(__xludf.DUMMYFUNCTION("""COMPUTED_VALUE"""),"Pamela.Marcum@dep.state.fl.us")</f>
        <v>Pamela.Marcum@dep.state.fl.us</v>
      </c>
      <c r="D90" t="str">
        <f ca="1">IFERROR(__xludf.DUMMYFUNCTION("""COMPUTED_VALUE"""),"Research")</f>
        <v>Research</v>
      </c>
      <c r="E90" t="str">
        <f ca="1">IFERROR(__xludf.DUMMYFUNCTION("""COMPUTED_VALUE"""),"Bing's Landing")</f>
        <v>Bing's Landing</v>
      </c>
      <c r="F90" s="13">
        <f ca="1">IFERROR(__xludf.DUMMYFUNCTION("""COMPUTED_VALUE"""),0.5)</f>
        <v>0.5</v>
      </c>
      <c r="G90" s="14">
        <f ca="1">IFERROR(__xludf.DUMMYFUNCTION("""COMPUTED_VALUE"""),43276)</f>
        <v>43276</v>
      </c>
      <c r="H90" t="str">
        <f ca="1">IFERROR(__xludf.DUMMYFUNCTION("""COMPUTED_VALUE"""),"Mantanzas River")</f>
        <v>Mantanzas River</v>
      </c>
      <c r="I90" s="15">
        <f ca="1">IFERROR(__xludf.DUMMYFUNCTION("""COMPUTED_VALUE"""),0.625)</f>
        <v>0.625</v>
      </c>
      <c r="J90" s="16">
        <f ca="1">IFERROR(__xludf.DUMMYFUNCTION("""COMPUTED_VALUE"""),43276.6666666666)</f>
        <v>43276.666666666599</v>
      </c>
      <c r="K90" t="str">
        <f ca="1">IFERROR(__xludf.DUMMYFUNCTION("""COMPUTED_VALUE"""),"23ft Skiff (Bertha) FL7972LJ DEP07613")</f>
        <v>23ft Skiff (Bertha) FL7972LJ DEP07613</v>
      </c>
      <c r="M90" t="str">
        <f ca="1">IFERROR(__xludf.DUMMYFUNCTION("""COMPUTED_VALUE"""),"Ford F150 2008 - DEP18041 (SWMP Thing)")</f>
        <v>Ford F150 2008 - DEP18041 (SWMP Thing)</v>
      </c>
      <c r="N90" t="str">
        <f ca="1">IFERROR(__xludf.DUMMYFUNCTION("""COMPUTED_VALUE"""),"Pam Marcum, (480) 332-5414")</f>
        <v>Pam Marcum, (480) 332-5414</v>
      </c>
      <c r="O90" t="str">
        <f ca="1">IFERROR(__xludf.DUMMYFUNCTION("""COMPUTED_VALUE"""),"Benjamin Mowbray, (407) 962-8782, Remo Mondazzi")</f>
        <v>Benjamin Mowbray, (407) 962-8782, Remo Mondazzi</v>
      </c>
      <c r="P90" t="str">
        <f ca="1">IFERROR(__xludf.DUMMYFUNCTION("""COMPUTED_VALUE"""),"Pamela Marcum")</f>
        <v>Pamela Marcum</v>
      </c>
      <c r="Q90" t="str">
        <f ca="1">IFERROR(__xludf.DUMMYFUNCTION("""COMPUTED_VALUE"""),"Good")</f>
        <v>Good</v>
      </c>
      <c r="R90" t="str">
        <f ca="1">IFERROR(__xludf.DUMMYFUNCTION("""COMPUTED_VALUE"""),"Good")</f>
        <v>Good</v>
      </c>
      <c r="S90" t="str">
        <f ca="1">IFERROR(__xludf.DUMMYFUNCTION("""COMPUTED_VALUE"""),"Good")</f>
        <v>Good</v>
      </c>
      <c r="T90" t="str">
        <f ca="1">IFERROR(__xludf.DUMMYFUNCTION("""COMPUTED_VALUE"""),"Good")</f>
        <v>Good</v>
      </c>
      <c r="U90" t="str">
        <f ca="1">IFERROR(__xludf.DUMMYFUNCTION("""COMPUTED_VALUE"""),"Good")</f>
        <v>Good</v>
      </c>
      <c r="V90" t="str">
        <f ca="1">IFERROR(__xludf.DUMMYFUNCTION("""COMPUTED_VALUE"""),"Good")</f>
        <v>Good</v>
      </c>
      <c r="W90" t="str">
        <f ca="1">IFERROR(__xludf.DUMMYFUNCTION("""COMPUTED_VALUE"""),"Good")</f>
        <v>Good</v>
      </c>
      <c r="X90" t="str">
        <f ca="1">IFERROR(__xludf.DUMMYFUNCTION("""COMPUTED_VALUE"""),"Good")</f>
        <v>Good</v>
      </c>
      <c r="Y90" t="str">
        <f ca="1">IFERROR(__xludf.DUMMYFUNCTION("""COMPUTED_VALUE"""),"Good")</f>
        <v>Good</v>
      </c>
      <c r="Z90" t="str">
        <f ca="1">IFERROR(__xludf.DUMMYFUNCTION("""COMPUTED_VALUE"""),"Good")</f>
        <v>Good</v>
      </c>
      <c r="AA90" t="str">
        <f ca="1">IFERROR(__xludf.DUMMYFUNCTION("""COMPUTED_VALUE"""),"Good")</f>
        <v>Good</v>
      </c>
      <c r="AB90" t="str">
        <f ca="1">IFERROR(__xludf.DUMMYFUNCTION("""COMPUTED_VALUE"""),"Good")</f>
        <v>Good</v>
      </c>
      <c r="AC90" t="str">
        <f ca="1">IFERROR(__xludf.DUMMYFUNCTION("""COMPUTED_VALUE"""),"Good")</f>
        <v>Good</v>
      </c>
      <c r="AE90" s="11"/>
      <c r="AF90" t="str">
        <v>Nikki.Dix@floridadep.gov</v>
      </c>
      <c r="AG90" s="17" t="s">
        <v>206</v>
      </c>
      <c r="AH90" s="12"/>
      <c r="AI90" s="12" t="s">
        <v>207</v>
      </c>
      <c r="AJ90" s="19" t="s">
        <v>208</v>
      </c>
      <c r="AK90" s="20" t="str">
        <f>HYPERLINK("https://docs.google.com/document/d/1L0kzkzO3R_dAJCQe55pzE_QXkWNAsyj-X0rnm0gVaQY/edit?usp=drivesdk","Pamela Marcum - 6/25/2018 12:00 PM")</f>
        <v>Pamela Marcum - 6/25/2018 12:00 PM</v>
      </c>
      <c r="AL90" s="12" t="s">
        <v>209</v>
      </c>
    </row>
    <row r="91" spans="1:38" ht="12.75">
      <c r="A91" s="10">
        <f ca="1">IFERROR(__xludf.DUMMYFUNCTION("""COMPUTED_VALUE"""),43276.4305722916)</f>
        <v>43276.430572291603</v>
      </c>
      <c r="B91" s="11" t="str">
        <f ca="1">IFERROR(__xludf.DUMMYFUNCTION("""COMPUTED_VALUE"""),"Kenneth Rainer")</f>
        <v>Kenneth Rainer</v>
      </c>
      <c r="C91" t="str">
        <f ca="1">IFERROR(__xludf.DUMMYFUNCTION("""COMPUTED_VALUE"""),"Kenneth.Rainer@dep.state.fl.us")</f>
        <v>Kenneth.Rainer@dep.state.fl.us</v>
      </c>
      <c r="D91" t="str">
        <f ca="1">IFERROR(__xludf.DUMMYFUNCTION("""COMPUTED_VALUE"""),"Education")</f>
        <v>Education</v>
      </c>
      <c r="E91" t="str">
        <f ca="1">IFERROR(__xludf.DUMMYFUNCTION("""COMPUTED_VALUE"""),"Usina Boat Ramp")</f>
        <v>Usina Boat Ramp</v>
      </c>
      <c r="F91" s="13">
        <f ca="1">IFERROR(__xludf.DUMMYFUNCTION("""COMPUTED_VALUE"""),0.375)</f>
        <v>0.375</v>
      </c>
      <c r="G91" s="14">
        <f ca="1">IFERROR(__xludf.DUMMYFUNCTION("""COMPUTED_VALUE"""),43277)</f>
        <v>43277</v>
      </c>
      <c r="H91" t="str">
        <f ca="1">IFERROR(__xludf.DUMMYFUNCTION("""COMPUTED_VALUE"""),"Northern Component - Shell Bluff")</f>
        <v>Northern Component - Shell Bluff</v>
      </c>
      <c r="I91" s="15">
        <f ca="1">IFERROR(__xludf.DUMMYFUNCTION("""COMPUTED_VALUE"""),0.541666666667879)</f>
        <v>0.54166666666787899</v>
      </c>
      <c r="J91" s="16">
        <f ca="1">IFERROR(__xludf.DUMMYFUNCTION("""COMPUTED_VALUE"""),43277.5833333333)</f>
        <v>43277.583333333299</v>
      </c>
      <c r="K91" t="str">
        <f ca="1">IFERROR(__xludf.DUMMYFUNCTION("""COMPUTED_VALUE"""),"23ft Skiff (Bertha) FL7972LJ DEP07613")</f>
        <v>23ft Skiff (Bertha) FL7972LJ DEP07613</v>
      </c>
      <c r="M91" t="str">
        <f ca="1">IFERROR(__xludf.DUMMYFUNCTION("""COMPUTED_VALUE"""),"Ford F250 2017 (Moby Dix) - DEP0021578")</f>
        <v>Ford F250 2017 (Moby Dix) - DEP0021578</v>
      </c>
      <c r="N91" t="str">
        <f ca="1">IFERROR(__xludf.DUMMYFUNCTION("""COMPUTED_VALUE"""),"Kenneth Rainer, (936) 499-1853")</f>
        <v>Kenneth Rainer, (936) 499-1853</v>
      </c>
      <c r="O91" t="str">
        <f ca="1">IFERROR(__xludf.DUMMYFUNCTION("""COMPUTED_VALUE"""),"Gabriela Canas, (904) 891-9743, Emma Hanson, Josie Spearman, (386) 627-0816")</f>
        <v>Gabriela Canas, (904) 891-9743, Emma Hanson, Josie Spearman, (386) 627-0816</v>
      </c>
      <c r="P91" t="str">
        <f ca="1">IFERROR(__xludf.DUMMYFUNCTION("""COMPUTED_VALUE"""),"Kenneth Rainer")</f>
        <v>Kenneth Rainer</v>
      </c>
      <c r="Q91" t="str">
        <f ca="1">IFERROR(__xludf.DUMMYFUNCTION("""COMPUTED_VALUE"""),"Good")</f>
        <v>Good</v>
      </c>
      <c r="R91" t="str">
        <f ca="1">IFERROR(__xludf.DUMMYFUNCTION("""COMPUTED_VALUE"""),"Good")</f>
        <v>Good</v>
      </c>
      <c r="S91" t="str">
        <f ca="1">IFERROR(__xludf.DUMMYFUNCTION("""COMPUTED_VALUE"""),"Good")</f>
        <v>Good</v>
      </c>
      <c r="T91" t="str">
        <f ca="1">IFERROR(__xludf.DUMMYFUNCTION("""COMPUTED_VALUE"""),"Good")</f>
        <v>Good</v>
      </c>
      <c r="U91" t="str">
        <f ca="1">IFERROR(__xludf.DUMMYFUNCTION("""COMPUTED_VALUE"""),"Good")</f>
        <v>Good</v>
      </c>
      <c r="V91" t="str">
        <f ca="1">IFERROR(__xludf.DUMMYFUNCTION("""COMPUTED_VALUE"""),"Good")</f>
        <v>Good</v>
      </c>
      <c r="W91" t="str">
        <f ca="1">IFERROR(__xludf.DUMMYFUNCTION("""COMPUTED_VALUE"""),"Good")</f>
        <v>Good</v>
      </c>
      <c r="X91" t="str">
        <f ca="1">IFERROR(__xludf.DUMMYFUNCTION("""COMPUTED_VALUE"""),"Good")</f>
        <v>Good</v>
      </c>
      <c r="Y91" t="str">
        <f ca="1">IFERROR(__xludf.DUMMYFUNCTION("""COMPUTED_VALUE"""),"Good")</f>
        <v>Good</v>
      </c>
      <c r="Z91" t="str">
        <f ca="1">IFERROR(__xludf.DUMMYFUNCTION("""COMPUTED_VALUE"""),"Good")</f>
        <v>Good</v>
      </c>
      <c r="AA91" t="str">
        <f ca="1">IFERROR(__xludf.DUMMYFUNCTION("""COMPUTED_VALUE"""),"Good")</f>
        <v>Good</v>
      </c>
      <c r="AB91" t="str">
        <f ca="1">IFERROR(__xludf.DUMMYFUNCTION("""COMPUTED_VALUE"""),"Good")</f>
        <v>Good</v>
      </c>
      <c r="AC91" t="str">
        <f ca="1">IFERROR(__xludf.DUMMYFUNCTION("""COMPUTED_VALUE"""),"Good")</f>
        <v>Good</v>
      </c>
      <c r="AD91" t="str">
        <f ca="1">IFERROR(__xludf.DUMMYFUNCTION("""COMPUTED_VALUE"""),"Partly cloudy. A stray shower or thunderstorm is possible. High 89F. Winds SSE at 10 to 15 mph.")</f>
        <v>Partly cloudy. A stray shower or thunderstorm is possible. High 89F. Winds SSE at 10 to 15 mph.</v>
      </c>
      <c r="AE91" s="11" t="str">
        <f ca="1">IFERROR(__xludf.DUMMYFUNCTION("""COMPUTED_VALUE"""),"2:07 AM (-0.02); 7:59 AM (3.53); 1:56 PM (-0.26); 8:26 PM (4.52)")</f>
        <v>2:07 AM (-0.02); 7:59 AM (3.53); 1:56 PM (-0.26); 8:26 PM (4.52)</v>
      </c>
      <c r="AF91" t="str">
        <v>Kenneth.Rainer@floridadep.gov</v>
      </c>
      <c r="AG91" s="17" t="s">
        <v>126</v>
      </c>
      <c r="AH91" s="12"/>
      <c r="AI91" s="12" t="s">
        <v>210</v>
      </c>
      <c r="AJ91" s="19" t="s">
        <v>211</v>
      </c>
      <c r="AK91" s="20" t="str">
        <f>HYPERLINK("https://docs.google.com/document/d/1ntrs6YFpK78CyX3JOrufebLGk1XUDopFAGN4tHmjzSY/edit?usp=drivesdk","Kenneth Rainer - 6/26/2018 9:00 AM")</f>
        <v>Kenneth Rainer - 6/26/2018 9:00 AM</v>
      </c>
      <c r="AL91" s="12" t="s">
        <v>212</v>
      </c>
    </row>
    <row r="92" spans="1:38" ht="12.75">
      <c r="A92" s="10">
        <f ca="1">IFERROR(__xludf.DUMMYFUNCTION("""COMPUTED_VALUE"""),43278.3046192476)</f>
        <v>43278.304619247603</v>
      </c>
      <c r="B92" s="11" t="str">
        <f ca="1">IFERROR(__xludf.DUMMYFUNCTION("""COMPUTED_VALUE"""),"James Tomazinis")</f>
        <v>James Tomazinis</v>
      </c>
      <c r="C92" t="str">
        <f ca="1">IFERROR(__xludf.DUMMYFUNCTION("""COMPUTED_VALUE"""),"james.tomazinis@floridadep.gov")</f>
        <v>james.tomazinis@floridadep.gov</v>
      </c>
      <c r="D92" t="str">
        <f ca="1">IFERROR(__xludf.DUMMYFUNCTION("""COMPUTED_VALUE"""),"Stewardship (Aquatic)")</f>
        <v>Stewardship (Aquatic)</v>
      </c>
      <c r="E92" t="str">
        <f ca="1">IFERROR(__xludf.DUMMYFUNCTION("""COMPUTED_VALUE"""),"Guana Dam")</f>
        <v>Guana Dam</v>
      </c>
      <c r="F92" s="13">
        <f ca="1">IFERROR(__xludf.DUMMYFUNCTION("""COMPUTED_VALUE"""),0.3125)</f>
        <v>0.3125</v>
      </c>
      <c r="G92" s="14">
        <f ca="1">IFERROR(__xludf.DUMMYFUNCTION("""COMPUTED_VALUE"""),43278)</f>
        <v>43278</v>
      </c>
      <c r="H92" t="str">
        <f ca="1">IFERROR(__xludf.DUMMYFUNCTION("""COMPUTED_VALUE"""),"Guana lake")</f>
        <v>Guana lake</v>
      </c>
      <c r="I92" s="15">
        <f ca="1">IFERROR(__xludf.DUMMYFUNCTION("""COMPUTED_VALUE"""),0.541666666667879)</f>
        <v>0.54166666666787899</v>
      </c>
      <c r="J92" s="16"/>
      <c r="K92" t="str">
        <f ca="1">IFERROR(__xludf.DUMMYFUNCTION("""COMPUTED_VALUE"""),"Jon Boat FL0484NP DEP06819")</f>
        <v>Jon Boat FL0484NP DEP06819</v>
      </c>
      <c r="M92" t="str">
        <f ca="1">IFERROR(__xludf.DUMMYFUNCTION("""COMPUTED_VALUE"""),"Ford F150 2015 (White) - DEP21448")</f>
        <v>Ford F150 2015 (White) - DEP21448</v>
      </c>
      <c r="N92" t="str">
        <f ca="1">IFERROR(__xludf.DUMMYFUNCTION("""COMPUTED_VALUE"""),"Jimmy Tomazinis, (904) 547-0094")</f>
        <v>Jimmy Tomazinis, (904) 547-0094</v>
      </c>
      <c r="O92" t="str">
        <f ca="1">IFERROR(__xludf.DUMMYFUNCTION("""COMPUTED_VALUE"""),"Kelly Smith")</f>
        <v>Kelly Smith</v>
      </c>
      <c r="P92" t="str">
        <f ca="1">IFERROR(__xludf.DUMMYFUNCTION("""COMPUTED_VALUE"""),"Jimmy")</f>
        <v>Jimmy</v>
      </c>
      <c r="Q92" t="str">
        <f ca="1">IFERROR(__xludf.DUMMYFUNCTION("""COMPUTED_VALUE"""),"Good")</f>
        <v>Good</v>
      </c>
      <c r="R92" t="str">
        <f ca="1">IFERROR(__xludf.DUMMYFUNCTION("""COMPUTED_VALUE"""),"Good")</f>
        <v>Good</v>
      </c>
      <c r="S92" t="str">
        <f ca="1">IFERROR(__xludf.DUMMYFUNCTION("""COMPUTED_VALUE"""),"Good")</f>
        <v>Good</v>
      </c>
      <c r="T92" t="str">
        <f ca="1">IFERROR(__xludf.DUMMYFUNCTION("""COMPUTED_VALUE"""),"Good")</f>
        <v>Good</v>
      </c>
      <c r="U92" t="str">
        <f ca="1">IFERROR(__xludf.DUMMYFUNCTION("""COMPUTED_VALUE"""),"Good")</f>
        <v>Good</v>
      </c>
      <c r="V92" t="str">
        <f ca="1">IFERROR(__xludf.DUMMYFUNCTION("""COMPUTED_VALUE"""),"Good")</f>
        <v>Good</v>
      </c>
      <c r="W92" t="str">
        <f ca="1">IFERROR(__xludf.DUMMYFUNCTION("""COMPUTED_VALUE"""),"Good")</f>
        <v>Good</v>
      </c>
      <c r="X92" t="str">
        <f ca="1">IFERROR(__xludf.DUMMYFUNCTION("""COMPUTED_VALUE"""),"Good")</f>
        <v>Good</v>
      </c>
      <c r="Y92" t="str">
        <f ca="1">IFERROR(__xludf.DUMMYFUNCTION("""COMPUTED_VALUE"""),"Good")</f>
        <v>Good</v>
      </c>
      <c r="Z92" t="str">
        <f ca="1">IFERROR(__xludf.DUMMYFUNCTION("""COMPUTED_VALUE"""),"Good")</f>
        <v>Good</v>
      </c>
      <c r="AA92" t="str">
        <f ca="1">IFERROR(__xludf.DUMMYFUNCTION("""COMPUTED_VALUE"""),"Good")</f>
        <v>Good</v>
      </c>
      <c r="AB92" t="str">
        <f ca="1">IFERROR(__xludf.DUMMYFUNCTION("""COMPUTED_VALUE"""),"Good")</f>
        <v>Good</v>
      </c>
      <c r="AC92" t="str">
        <f ca="1">IFERROR(__xludf.DUMMYFUNCTION("""COMPUTED_VALUE"""),"Good")</f>
        <v>Good</v>
      </c>
      <c r="AE92" s="11"/>
      <c r="AF92" t="str">
        <v>Scott.Eastman@floridadep.gov</v>
      </c>
      <c r="AG92" s="17" t="s">
        <v>17</v>
      </c>
      <c r="AH92" s="12"/>
      <c r="AI92" s="12" t="s">
        <v>213</v>
      </c>
      <c r="AJ92" s="19" t="s">
        <v>214</v>
      </c>
      <c r="AK92" s="20" t="str">
        <f>HYPERLINK("https://docs.google.com/document/d/1FpILXcPLEtzulcfVT6SGTL70ibQT75O0hb2ZfXmGgmI/edit?usp=drivesdk","James Tomazinis - 6/27/2018 7:30 AM")</f>
        <v>James Tomazinis - 6/27/2018 7:30 AM</v>
      </c>
      <c r="AL92" s="12" t="s">
        <v>215</v>
      </c>
    </row>
    <row r="93" spans="1:38" ht="12.75">
      <c r="A93" s="10">
        <f ca="1">IFERROR(__xludf.DUMMYFUNCTION("""COMPUTED_VALUE"""),43278.4080618634)</f>
        <v>43278.408061863403</v>
      </c>
      <c r="B93" s="11" t="str">
        <f ca="1">IFERROR(__xludf.DUMMYFUNCTION("""COMPUTED_VALUE"""),"Silas Tanner")</f>
        <v>Silas Tanner</v>
      </c>
      <c r="C93" t="str">
        <f ca="1">IFERROR(__xludf.DUMMYFUNCTION("""COMPUTED_VALUE"""),"silas.tanner@floridadep.gov")</f>
        <v>silas.tanner@floridadep.gov</v>
      </c>
      <c r="D93" t="str">
        <f ca="1">IFERROR(__xludf.DUMMYFUNCTION("""COMPUTED_VALUE"""),"Research/Nikki")</f>
        <v>Research/Nikki</v>
      </c>
      <c r="E93" t="str">
        <f ca="1">IFERROR(__xludf.DUMMYFUNCTION("""COMPUTED_VALUE"""),"Bing's")</f>
        <v>Bing's</v>
      </c>
      <c r="F93" s="13">
        <f ca="1">IFERROR(__xludf.DUMMYFUNCTION("""COMPUTED_VALUE"""),0.45833333333212)</f>
        <v>0.45833333333212001</v>
      </c>
      <c r="G93" s="14">
        <f ca="1">IFERROR(__xludf.DUMMYFUNCTION("""COMPUTED_VALUE"""),43278)</f>
        <v>43278</v>
      </c>
      <c r="H93" t="str">
        <f ca="1">IFERROR(__xludf.DUMMYFUNCTION("""COMPUTED_VALUE"""),"ICW - Summerhaven")</f>
        <v>ICW - Summerhaven</v>
      </c>
      <c r="I93" s="15">
        <f ca="1">IFERROR(__xludf.DUMMYFUNCTION("""COMPUTED_VALUE"""),0.604166666667879)</f>
        <v>0.60416666666787899</v>
      </c>
      <c r="J93" s="16">
        <f ca="1">IFERROR(__xludf.DUMMYFUNCTION("""COMPUTED_VALUE"""),43278.6458333333)</f>
        <v>43278.645833333299</v>
      </c>
      <c r="K93" t="str">
        <f ca="1">IFERROR(__xludf.DUMMYFUNCTION("""COMPUTED_VALUE"""),"23ft Skiff (Bertha) FL7972LJ DEP07613")</f>
        <v>23ft Skiff (Bertha) FL7972LJ DEP07613</v>
      </c>
      <c r="M93" t="str">
        <f ca="1">IFERROR(__xludf.DUMMYFUNCTION("""COMPUTED_VALUE"""),"Ford F250 2017 (Moby Dix) - DEP0021578")</f>
        <v>Ford F250 2017 (Moby Dix) - DEP0021578</v>
      </c>
      <c r="N93" t="str">
        <f ca="1">IFERROR(__xludf.DUMMYFUNCTION("""COMPUTED_VALUE"""),"Shannon Dunnigan, (803) 727-5734, Silas Tanner, (904) 483-8423")</f>
        <v>Shannon Dunnigan, (803) 727-5734, Silas Tanner, (904) 483-8423</v>
      </c>
      <c r="O93" t="str">
        <f ca="1">IFERROR(__xludf.DUMMYFUNCTION("""COMPUTED_VALUE"""),"Hunter Mathews, Matt Brown, Westly Woodward")</f>
        <v>Hunter Mathews, Matt Brown, Westly Woodward</v>
      </c>
      <c r="P93" t="str">
        <f ca="1">IFERROR(__xludf.DUMMYFUNCTION("""COMPUTED_VALUE"""),"Silas Tanner")</f>
        <v>Silas Tanner</v>
      </c>
      <c r="Q93" t="str">
        <f ca="1">IFERROR(__xludf.DUMMYFUNCTION("""COMPUTED_VALUE"""),"Good")</f>
        <v>Good</v>
      </c>
      <c r="R93" t="str">
        <f ca="1">IFERROR(__xludf.DUMMYFUNCTION("""COMPUTED_VALUE"""),"Good")</f>
        <v>Good</v>
      </c>
      <c r="S93" t="str">
        <f ca="1">IFERROR(__xludf.DUMMYFUNCTION("""COMPUTED_VALUE"""),"Good")</f>
        <v>Good</v>
      </c>
      <c r="T93" t="str">
        <f ca="1">IFERROR(__xludf.DUMMYFUNCTION("""COMPUTED_VALUE"""),"Good")</f>
        <v>Good</v>
      </c>
      <c r="U93" t="str">
        <f ca="1">IFERROR(__xludf.DUMMYFUNCTION("""COMPUTED_VALUE"""),"Good")</f>
        <v>Good</v>
      </c>
      <c r="V93" t="str">
        <f ca="1">IFERROR(__xludf.DUMMYFUNCTION("""COMPUTED_VALUE"""),"Good")</f>
        <v>Good</v>
      </c>
      <c r="W93" t="str">
        <f ca="1">IFERROR(__xludf.DUMMYFUNCTION("""COMPUTED_VALUE"""),"Good")</f>
        <v>Good</v>
      </c>
      <c r="X93" t="str">
        <f ca="1">IFERROR(__xludf.DUMMYFUNCTION("""COMPUTED_VALUE"""),"Good")</f>
        <v>Good</v>
      </c>
      <c r="Y93" t="str">
        <f ca="1">IFERROR(__xludf.DUMMYFUNCTION("""COMPUTED_VALUE"""),"Good")</f>
        <v>Good</v>
      </c>
      <c r="Z93" t="str">
        <f ca="1">IFERROR(__xludf.DUMMYFUNCTION("""COMPUTED_VALUE"""),"Good")</f>
        <v>Good</v>
      </c>
      <c r="AA93" t="str">
        <f ca="1">IFERROR(__xludf.DUMMYFUNCTION("""COMPUTED_VALUE"""),"Good")</f>
        <v>Good</v>
      </c>
      <c r="AB93" t="str">
        <f ca="1">IFERROR(__xludf.DUMMYFUNCTION("""COMPUTED_VALUE"""),"Good")</f>
        <v>Good</v>
      </c>
      <c r="AC93" t="str">
        <f ca="1">IFERROR(__xludf.DUMMYFUNCTION("""COMPUTED_VALUE"""),"Good")</f>
        <v>Good</v>
      </c>
      <c r="AE93" s="11"/>
      <c r="AF93" t="str">
        <v>Nikki.Dix@floridadep.gov</v>
      </c>
      <c r="AG93" s="17" t="s">
        <v>17</v>
      </c>
      <c r="AH93" s="12"/>
      <c r="AI93" s="12" t="s">
        <v>216</v>
      </c>
      <c r="AJ93" s="19" t="s">
        <v>217</v>
      </c>
      <c r="AK93" s="20" t="str">
        <f>HYPERLINK("https://docs.google.com/document/d/1XauK_Lwrv1Qt95jY2ZpwtpyOvOLtQrABuSS55AExW6U/edit?usp=drivesdk","Silas Tanner - 6/27/2018 11:00 AM")</f>
        <v>Silas Tanner - 6/27/2018 11:00 AM</v>
      </c>
      <c r="AL93" s="12" t="s">
        <v>218</v>
      </c>
    </row>
    <row r="94" spans="1:38" ht="12.75">
      <c r="A94" s="10">
        <f ca="1">IFERROR(__xludf.DUMMYFUNCTION("""COMPUTED_VALUE"""),43280.5404842939)</f>
        <v>43280.540484293902</v>
      </c>
      <c r="B94" s="11" t="str">
        <f ca="1">IFERROR(__xludf.DUMMYFUNCTION("""COMPUTED_VALUE"""),"Ben Mowbray")</f>
        <v>Ben Mowbray</v>
      </c>
      <c r="C94" t="str">
        <f ca="1">IFERROR(__xludf.DUMMYFUNCTION("""COMPUTED_VALUE"""),"ben.mowbray@dep.state.fl.us")</f>
        <v>ben.mowbray@dep.state.fl.us</v>
      </c>
      <c r="D94" t="str">
        <f ca="1">IFERROR(__xludf.DUMMYFUNCTION("""COMPUTED_VALUE"""),"Research/Nikki")</f>
        <v>Research/Nikki</v>
      </c>
      <c r="E94" t="str">
        <f ca="1">IFERROR(__xludf.DUMMYFUNCTION("""COMPUTED_VALUE"""),"Aunt Kate's")</f>
        <v>Aunt Kate's</v>
      </c>
      <c r="F94" s="13">
        <f ca="1">IFERROR(__xludf.DUMMYFUNCTION("""COMPUTED_VALUE"""),0.201388888890505)</f>
        <v>0.20138888889050499</v>
      </c>
      <c r="G94" s="14">
        <f ca="1">IFERROR(__xludf.DUMMYFUNCTION("""COMPUTED_VALUE"""),43281)</f>
        <v>43281</v>
      </c>
      <c r="H94" t="str">
        <f ca="1">IFERROR(__xludf.DUMMYFUNCTION("""COMPUTED_VALUE"""),"Oyster Reefs in Tolomato and Guana River")</f>
        <v>Oyster Reefs in Tolomato and Guana River</v>
      </c>
      <c r="I94" s="15">
        <f ca="1">IFERROR(__xludf.DUMMYFUNCTION("""COMPUTED_VALUE"""),0.541666666667879)</f>
        <v>0.54166666666787899</v>
      </c>
      <c r="J94" s="16">
        <f ca="1">IFERROR(__xludf.DUMMYFUNCTION("""COMPUTED_VALUE"""),43281.5625)</f>
        <v>43281.5625</v>
      </c>
      <c r="K94" t="str">
        <f ca="1">IFERROR(__xludf.DUMMYFUNCTION("""COMPUTED_VALUE"""),"23ft Skiff (Bertha) FL7972LJ DEP07613")</f>
        <v>23ft Skiff (Bertha) FL7972LJ DEP07613</v>
      </c>
      <c r="M94" t="str">
        <f ca="1">IFERROR(__xludf.DUMMYFUNCTION("""COMPUTED_VALUE"""),"Ford F150 2008 - DEP18041 (SWMP Thing)")</f>
        <v>Ford F150 2008 - DEP18041 (SWMP Thing)</v>
      </c>
      <c r="N94" t="str">
        <f ca="1">IFERROR(__xludf.DUMMYFUNCTION("""COMPUTED_VALUE"""),"Ben Mowbray, (407) 962-8782")</f>
        <v>Ben Mowbray, (407) 962-8782</v>
      </c>
      <c r="O94" t="str">
        <f ca="1">IFERROR(__xludf.DUMMYFUNCTION("""COMPUTED_VALUE"""),"Benjamin Mowbray, (407) 962-8782, Nicole Peckham, Rodrigo Pavani, Adrienne Breef-Pilz")</f>
        <v>Benjamin Mowbray, (407) 962-8782, Nicole Peckham, Rodrigo Pavani, Adrienne Breef-Pilz</v>
      </c>
      <c r="P94" t="str">
        <f ca="1">IFERROR(__xludf.DUMMYFUNCTION("""COMPUTED_VALUE"""),"Ben")</f>
        <v>Ben</v>
      </c>
      <c r="Q94" t="str">
        <f ca="1">IFERROR(__xludf.DUMMYFUNCTION("""COMPUTED_VALUE"""),"Good")</f>
        <v>Good</v>
      </c>
      <c r="R94" t="str">
        <f ca="1">IFERROR(__xludf.DUMMYFUNCTION("""COMPUTED_VALUE"""),"Good")</f>
        <v>Good</v>
      </c>
      <c r="S94" t="str">
        <f ca="1">IFERROR(__xludf.DUMMYFUNCTION("""COMPUTED_VALUE"""),"Good")</f>
        <v>Good</v>
      </c>
      <c r="T94" t="str">
        <f ca="1">IFERROR(__xludf.DUMMYFUNCTION("""COMPUTED_VALUE"""),"Good")</f>
        <v>Good</v>
      </c>
      <c r="U94" t="str">
        <f ca="1">IFERROR(__xludf.DUMMYFUNCTION("""COMPUTED_VALUE"""),"Good")</f>
        <v>Good</v>
      </c>
      <c r="V94" t="str">
        <f ca="1">IFERROR(__xludf.DUMMYFUNCTION("""COMPUTED_VALUE"""),"Good")</f>
        <v>Good</v>
      </c>
      <c r="W94" t="str">
        <f ca="1">IFERROR(__xludf.DUMMYFUNCTION("""COMPUTED_VALUE"""),"Good")</f>
        <v>Good</v>
      </c>
      <c r="X94" t="str">
        <f ca="1">IFERROR(__xludf.DUMMYFUNCTION("""COMPUTED_VALUE"""),"Good")</f>
        <v>Good</v>
      </c>
      <c r="Y94" t="str">
        <f ca="1">IFERROR(__xludf.DUMMYFUNCTION("""COMPUTED_VALUE"""),"Good")</f>
        <v>Good</v>
      </c>
      <c r="Z94" t="str">
        <f ca="1">IFERROR(__xludf.DUMMYFUNCTION("""COMPUTED_VALUE"""),"Good")</f>
        <v>Good</v>
      </c>
      <c r="AA94" t="str">
        <f ca="1">IFERROR(__xludf.DUMMYFUNCTION("""COMPUTED_VALUE"""),"Good")</f>
        <v>Good</v>
      </c>
      <c r="AB94" t="str">
        <f ca="1">IFERROR(__xludf.DUMMYFUNCTION("""COMPUTED_VALUE"""),"Good")</f>
        <v>Good</v>
      </c>
      <c r="AC94" t="str">
        <f ca="1">IFERROR(__xludf.DUMMYFUNCTION("""COMPUTED_VALUE"""),"Good")</f>
        <v>Good</v>
      </c>
      <c r="AE94" s="11"/>
      <c r="AF94" t="str">
        <v>Nikki.Dix@floridadep.gov</v>
      </c>
      <c r="AG94" s="17" t="s">
        <v>41</v>
      </c>
      <c r="AH94" s="12"/>
      <c r="AI94" s="12" t="s">
        <v>219</v>
      </c>
      <c r="AJ94" s="19" t="s">
        <v>220</v>
      </c>
      <c r="AK94" s="20" t="str">
        <f>HYPERLINK("https://docs.google.com/document/d/1jQ1Oq7IYAKkafOHydGGQLYmkCHw1ud0uqub5wzV9okc/edit?usp=drivesdk","Ben Mowbray - 6/30/2018 4:50 AM")</f>
        <v>Ben Mowbray - 6/30/2018 4:50 AM</v>
      </c>
      <c r="AL94" s="12" t="s">
        <v>221</v>
      </c>
    </row>
    <row r="95" spans="1:38" ht="12.75">
      <c r="A95" s="10">
        <f ca="1">IFERROR(__xludf.DUMMYFUNCTION("""COMPUTED_VALUE"""),43282.1436383449)</f>
        <v>43282.143638344904</v>
      </c>
      <c r="B95" s="11" t="str">
        <f ca="1">IFERROR(__xludf.DUMMYFUNCTION("""COMPUTED_VALUE"""),"Ben Mowbray")</f>
        <v>Ben Mowbray</v>
      </c>
      <c r="C95" t="str">
        <f ca="1">IFERROR(__xludf.DUMMYFUNCTION("""COMPUTED_VALUE"""),"ben.mowbray@dep.state.fl.us")</f>
        <v>ben.mowbray@dep.state.fl.us</v>
      </c>
      <c r="D95" t="str">
        <f ca="1">IFERROR(__xludf.DUMMYFUNCTION("""COMPUTED_VALUE"""),"Research/Nikki")</f>
        <v>Research/Nikki</v>
      </c>
      <c r="E95" t="str">
        <f ca="1">IFERROR(__xludf.DUMMYFUNCTION("""COMPUTED_VALUE"""),"Aunt Kate's")</f>
        <v>Aunt Kate's</v>
      </c>
      <c r="F95" s="13">
        <f ca="1">IFERROR(__xludf.DUMMYFUNCTION("""COMPUTED_VALUE"""),0.1875)</f>
        <v>0.1875</v>
      </c>
      <c r="G95" s="14">
        <f ca="1">IFERROR(__xludf.DUMMYFUNCTION("""COMPUTED_VALUE"""),43282)</f>
        <v>43282</v>
      </c>
      <c r="H95" t="str">
        <f ca="1">IFERROR(__xludf.DUMMYFUNCTION("""COMPUTED_VALUE"""),"Reefs in Tolomato")</f>
        <v>Reefs in Tolomato</v>
      </c>
      <c r="I95" s="15">
        <f ca="1">IFERROR(__xludf.DUMMYFUNCTION("""COMPUTED_VALUE"""),0.33333333333212)</f>
        <v>0.33333333333212001</v>
      </c>
      <c r="J95" s="16">
        <f ca="1">IFERROR(__xludf.DUMMYFUNCTION("""COMPUTED_VALUE"""),43282.34375)</f>
        <v>43282.34375</v>
      </c>
      <c r="K95" t="str">
        <f ca="1">IFERROR(__xludf.DUMMYFUNCTION("""COMPUTED_VALUE"""),"23ft Skiff (Bertha) FL7972LJ DEP07613")</f>
        <v>23ft Skiff (Bertha) FL7972LJ DEP07613</v>
      </c>
      <c r="M95" t="str">
        <f ca="1">IFERROR(__xludf.DUMMYFUNCTION("""COMPUTED_VALUE"""),"Ford F150 2008 - DEP18041 (SWMP Thing)")</f>
        <v>Ford F150 2008 - DEP18041 (SWMP Thing)</v>
      </c>
      <c r="N95" t="str">
        <f ca="1">IFERROR(__xludf.DUMMYFUNCTION("""COMPUTED_VALUE"""),"Ben Mowbray, (407) 962-8782")</f>
        <v>Ben Mowbray, (407) 962-8782</v>
      </c>
      <c r="O95" t="str">
        <f ca="1">IFERROR(__xludf.DUMMYFUNCTION("""COMPUTED_VALUE"""),"Nicole Peckham, Rodrigo Pavani, Adrienne Breef-Pilz")</f>
        <v>Nicole Peckham, Rodrigo Pavani, Adrienne Breef-Pilz</v>
      </c>
      <c r="P95" t="str">
        <f ca="1">IFERROR(__xludf.DUMMYFUNCTION("""COMPUTED_VALUE"""),"Ben")</f>
        <v>Ben</v>
      </c>
      <c r="Q95" t="str">
        <f ca="1">IFERROR(__xludf.DUMMYFUNCTION("""COMPUTED_VALUE"""),"Good")</f>
        <v>Good</v>
      </c>
      <c r="R95" t="str">
        <f ca="1">IFERROR(__xludf.DUMMYFUNCTION("""COMPUTED_VALUE"""),"Good")</f>
        <v>Good</v>
      </c>
      <c r="T95" t="str">
        <f ca="1">IFERROR(__xludf.DUMMYFUNCTION("""COMPUTED_VALUE"""),"Good")</f>
        <v>Good</v>
      </c>
      <c r="U95" t="str">
        <f ca="1">IFERROR(__xludf.DUMMYFUNCTION("""COMPUTED_VALUE"""),"Good")</f>
        <v>Good</v>
      </c>
      <c r="V95" t="str">
        <f ca="1">IFERROR(__xludf.DUMMYFUNCTION("""COMPUTED_VALUE"""),"Good")</f>
        <v>Good</v>
      </c>
      <c r="W95" t="str">
        <f ca="1">IFERROR(__xludf.DUMMYFUNCTION("""COMPUTED_VALUE"""),"Good")</f>
        <v>Good</v>
      </c>
      <c r="X95" t="str">
        <f ca="1">IFERROR(__xludf.DUMMYFUNCTION("""COMPUTED_VALUE"""),"Good")</f>
        <v>Good</v>
      </c>
      <c r="Y95" t="str">
        <f ca="1">IFERROR(__xludf.DUMMYFUNCTION("""COMPUTED_VALUE"""),"Good")</f>
        <v>Good</v>
      </c>
      <c r="Z95" t="str">
        <f ca="1">IFERROR(__xludf.DUMMYFUNCTION("""COMPUTED_VALUE"""),"Good")</f>
        <v>Good</v>
      </c>
      <c r="AA95" t="str">
        <f ca="1">IFERROR(__xludf.DUMMYFUNCTION("""COMPUTED_VALUE"""),"Good")</f>
        <v>Good</v>
      </c>
      <c r="AB95" t="str">
        <f ca="1">IFERROR(__xludf.DUMMYFUNCTION("""COMPUTED_VALUE"""),"Good")</f>
        <v>Good</v>
      </c>
      <c r="AC95" t="str">
        <f ca="1">IFERROR(__xludf.DUMMYFUNCTION("""COMPUTED_VALUE"""),"Good")</f>
        <v>Good</v>
      </c>
      <c r="AE95" s="11"/>
      <c r="AF95" t="str">
        <v>Nikki.Dix@floridadep.gov</v>
      </c>
      <c r="AG95" s="17" t="s">
        <v>222</v>
      </c>
      <c r="AH95" s="12"/>
      <c r="AI95" s="12" t="s">
        <v>223</v>
      </c>
      <c r="AJ95" s="19" t="s">
        <v>224</v>
      </c>
      <c r="AK95" s="20" t="str">
        <f>HYPERLINK("https://docs.google.com/document/d/1XiMLRnysfffxhmnRhmieWEnwz45lXHcfCtEJfVr3uy4/edit?usp=drivesdk","Ben Mowbray - 7/1/2018 4:30 AM")</f>
        <v>Ben Mowbray - 7/1/2018 4:30 AM</v>
      </c>
      <c r="AL95" s="12" t="s">
        <v>225</v>
      </c>
    </row>
    <row r="96" spans="1:38" ht="12.75">
      <c r="A96" s="10">
        <f ca="1">IFERROR(__xludf.DUMMYFUNCTION("""COMPUTED_VALUE"""),43283.1937951273)</f>
        <v>43283.193795127299</v>
      </c>
      <c r="B96" s="11" t="str">
        <f ca="1">IFERROR(__xludf.DUMMYFUNCTION("""COMPUTED_VALUE"""),"Ben Mowbray")</f>
        <v>Ben Mowbray</v>
      </c>
      <c r="C96" t="str">
        <f ca="1">IFERROR(__xludf.DUMMYFUNCTION("""COMPUTED_VALUE"""),"ben.mowbray@dep.state.fl.us")</f>
        <v>ben.mowbray@dep.state.fl.us</v>
      </c>
      <c r="D96" t="str">
        <f ca="1">IFERROR(__xludf.DUMMYFUNCTION("""COMPUTED_VALUE"""),"Research/Nikki")</f>
        <v>Research/Nikki</v>
      </c>
      <c r="E96" t="str">
        <f ca="1">IFERROR(__xludf.DUMMYFUNCTION("""COMPUTED_VALUE"""),"Aunt Kate's")</f>
        <v>Aunt Kate's</v>
      </c>
      <c r="F96" s="13">
        <f ca="1">IFERROR(__xludf.DUMMYFUNCTION("""COMPUTED_VALUE"""),0.20833333333212)</f>
        <v>0.20833333333212001</v>
      </c>
      <c r="G96" s="14">
        <f ca="1">IFERROR(__xludf.DUMMYFUNCTION("""COMPUTED_VALUE"""),43283)</f>
        <v>43283</v>
      </c>
      <c r="H96" t="str">
        <f ca="1">IFERROR(__xludf.DUMMYFUNCTION("""COMPUTED_VALUE"""),"Spat Tree Reefs")</f>
        <v>Spat Tree Reefs</v>
      </c>
      <c r="I96" s="15">
        <f ca="1">IFERROR(__xludf.DUMMYFUNCTION("""COMPUTED_VALUE"""),0.354166666667879)</f>
        <v>0.35416666666787899</v>
      </c>
      <c r="J96" s="16">
        <f ca="1">IFERROR(__xludf.DUMMYFUNCTION("""COMPUTED_VALUE"""),43283.375)</f>
        <v>43283.375</v>
      </c>
      <c r="K96" t="str">
        <f ca="1">IFERROR(__xludf.DUMMYFUNCTION("""COMPUTED_VALUE"""),"23ft Skiff (Bertha) FL7972LJ DEP07613")</f>
        <v>23ft Skiff (Bertha) FL7972LJ DEP07613</v>
      </c>
      <c r="M96" t="str">
        <f ca="1">IFERROR(__xludf.DUMMYFUNCTION("""COMPUTED_VALUE"""),"Ford F150 2008 - DEP18041 (SWMP Thing)")</f>
        <v>Ford F150 2008 - DEP18041 (SWMP Thing)</v>
      </c>
      <c r="N96" t="str">
        <f ca="1">IFERROR(__xludf.DUMMYFUNCTION("""COMPUTED_VALUE"""),"Pam Marcum, (480) 332-5414, Ben Mowbray, (407) 962-8782")</f>
        <v>Pam Marcum, (480) 332-5414, Ben Mowbray, (407) 962-8782</v>
      </c>
      <c r="P96" t="str">
        <f ca="1">IFERROR(__xludf.DUMMYFUNCTION("""COMPUTED_VALUE"""),"Ben")</f>
        <v>Ben</v>
      </c>
      <c r="Q96" t="str">
        <f ca="1">IFERROR(__xludf.DUMMYFUNCTION("""COMPUTED_VALUE"""),"Good")</f>
        <v>Good</v>
      </c>
      <c r="R96" t="str">
        <f ca="1">IFERROR(__xludf.DUMMYFUNCTION("""COMPUTED_VALUE"""),"Good")</f>
        <v>Good</v>
      </c>
      <c r="S96" t="str">
        <f ca="1">IFERROR(__xludf.DUMMYFUNCTION("""COMPUTED_VALUE"""),"Good")</f>
        <v>Good</v>
      </c>
      <c r="T96" t="str">
        <f ca="1">IFERROR(__xludf.DUMMYFUNCTION("""COMPUTED_VALUE"""),"Good")</f>
        <v>Good</v>
      </c>
      <c r="U96" t="str">
        <f ca="1">IFERROR(__xludf.DUMMYFUNCTION("""COMPUTED_VALUE"""),"Good")</f>
        <v>Good</v>
      </c>
      <c r="V96" t="str">
        <f ca="1">IFERROR(__xludf.DUMMYFUNCTION("""COMPUTED_VALUE"""),"Good")</f>
        <v>Good</v>
      </c>
      <c r="W96" t="str">
        <f ca="1">IFERROR(__xludf.DUMMYFUNCTION("""COMPUTED_VALUE"""),"Good")</f>
        <v>Good</v>
      </c>
      <c r="X96" t="str">
        <f ca="1">IFERROR(__xludf.DUMMYFUNCTION("""COMPUTED_VALUE"""),"Good")</f>
        <v>Good</v>
      </c>
      <c r="Y96" t="str">
        <f ca="1">IFERROR(__xludf.DUMMYFUNCTION("""COMPUTED_VALUE"""),"Good")</f>
        <v>Good</v>
      </c>
      <c r="Z96" t="str">
        <f ca="1">IFERROR(__xludf.DUMMYFUNCTION("""COMPUTED_VALUE"""),"Good")</f>
        <v>Good</v>
      </c>
      <c r="AA96" t="str">
        <f ca="1">IFERROR(__xludf.DUMMYFUNCTION("""COMPUTED_VALUE"""),"Good")</f>
        <v>Good</v>
      </c>
      <c r="AB96" t="str">
        <f ca="1">IFERROR(__xludf.DUMMYFUNCTION("""COMPUTED_VALUE"""),"Good")</f>
        <v>Good</v>
      </c>
      <c r="AC96" t="str">
        <f ca="1">IFERROR(__xludf.DUMMYFUNCTION("""COMPUTED_VALUE"""),"Good")</f>
        <v>Good</v>
      </c>
      <c r="AE96" s="11"/>
      <c r="AF96" t="str">
        <v>Nikki.Dix@floridadep.gov</v>
      </c>
      <c r="AG96" s="17" t="s">
        <v>58</v>
      </c>
      <c r="AH96" s="12"/>
      <c r="AI96" s="12" t="s">
        <v>226</v>
      </c>
      <c r="AJ96" s="19" t="s">
        <v>227</v>
      </c>
      <c r="AK96" s="20" t="str">
        <f>HYPERLINK("https://docs.google.com/document/d/1qsBp188AIvYYa7bWDNtbtdNGEWYhVYQXnzAKQ6cwFU4/edit?usp=drivesdk","Ben Mowbray - 7/2/2018 5:00 AM")</f>
        <v>Ben Mowbray - 7/2/2018 5:00 AM</v>
      </c>
      <c r="AL96" s="12" t="s">
        <v>228</v>
      </c>
    </row>
    <row r="97" spans="1:38" ht="12.75">
      <c r="A97" s="10">
        <f ca="1">IFERROR(__xludf.DUMMYFUNCTION("""COMPUTED_VALUE"""),43283.5335505902)</f>
        <v>43283.533550590197</v>
      </c>
      <c r="B97" s="11" t="str">
        <f ca="1">IFERROR(__xludf.DUMMYFUNCTION("""COMPUTED_VALUE"""),"Silas Tanner")</f>
        <v>Silas Tanner</v>
      </c>
      <c r="C97" t="str">
        <f ca="1">IFERROR(__xludf.DUMMYFUNCTION("""COMPUTED_VALUE"""),"silas.tanner@floridadep.gov")</f>
        <v>silas.tanner@floridadep.gov</v>
      </c>
      <c r="D97" t="str">
        <f ca="1">IFERROR(__xludf.DUMMYFUNCTION("""COMPUTED_VALUE"""),"Research/Nikki")</f>
        <v>Research/Nikki</v>
      </c>
      <c r="E97" t="str">
        <f ca="1">IFERROR(__xludf.DUMMYFUNCTION("""COMPUTED_VALUE"""),"Vilano county ramp")</f>
        <v>Vilano county ramp</v>
      </c>
      <c r="F97" s="13">
        <f ca="1">IFERROR(__xludf.DUMMYFUNCTION("""COMPUTED_VALUE"""),0.5)</f>
        <v>0.5</v>
      </c>
      <c r="G97" s="14">
        <f ca="1">IFERROR(__xludf.DUMMYFUNCTION("""COMPUTED_VALUE"""),43284)</f>
        <v>43284</v>
      </c>
      <c r="H97" t="str">
        <f ca="1">IFERROR(__xludf.DUMMYFUNCTION("""COMPUTED_VALUE"""),"ICW - SWMP sites")</f>
        <v>ICW - SWMP sites</v>
      </c>
      <c r="I97" s="15">
        <f ca="1">IFERROR(__xludf.DUMMYFUNCTION("""COMPUTED_VALUE"""),0.6875)</f>
        <v>0.6875</v>
      </c>
      <c r="J97" s="16">
        <f ca="1">IFERROR(__xludf.DUMMYFUNCTION("""COMPUTED_VALUE"""),43284.6979166666)</f>
        <v>43284.697916666599</v>
      </c>
      <c r="K97" t="str">
        <f ca="1">IFERROR(__xludf.DUMMYFUNCTION("""COMPUTED_VALUE"""),"23ft Skiff (Bertha) FL7972LJ DEP07613")</f>
        <v>23ft Skiff (Bertha) FL7972LJ DEP07613</v>
      </c>
      <c r="M97" t="str">
        <f ca="1">IFERROR(__xludf.DUMMYFUNCTION("""COMPUTED_VALUE"""),"Ford F250 2017 (Moby Dix) - DEP0021578")</f>
        <v>Ford F250 2017 (Moby Dix) - DEP0021578</v>
      </c>
      <c r="N97" t="str">
        <f ca="1">IFERROR(__xludf.DUMMYFUNCTION("""COMPUTED_VALUE"""),"Silas Tanner, (904) 483-8423")</f>
        <v>Silas Tanner, (904) 483-8423</v>
      </c>
      <c r="O97" t="str">
        <f ca="1">IFERROR(__xludf.DUMMYFUNCTION("""COMPUTED_VALUE"""),"Tatum Theodore, Hunter Mathews")</f>
        <v>Tatum Theodore, Hunter Mathews</v>
      </c>
      <c r="P97" t="str">
        <f ca="1">IFERROR(__xludf.DUMMYFUNCTION("""COMPUTED_VALUE"""),"Silas Tanner")</f>
        <v>Silas Tanner</v>
      </c>
      <c r="Q97" t="str">
        <f ca="1">IFERROR(__xludf.DUMMYFUNCTION("""COMPUTED_VALUE"""),"Good")</f>
        <v>Good</v>
      </c>
      <c r="R97" t="str">
        <f ca="1">IFERROR(__xludf.DUMMYFUNCTION("""COMPUTED_VALUE"""),"Good")</f>
        <v>Good</v>
      </c>
      <c r="S97" t="str">
        <f ca="1">IFERROR(__xludf.DUMMYFUNCTION("""COMPUTED_VALUE"""),"Good")</f>
        <v>Good</v>
      </c>
      <c r="T97" t="str">
        <f ca="1">IFERROR(__xludf.DUMMYFUNCTION("""COMPUTED_VALUE"""),"Good")</f>
        <v>Good</v>
      </c>
      <c r="U97" t="str">
        <f ca="1">IFERROR(__xludf.DUMMYFUNCTION("""COMPUTED_VALUE"""),"Good")</f>
        <v>Good</v>
      </c>
      <c r="V97" t="str">
        <f ca="1">IFERROR(__xludf.DUMMYFUNCTION("""COMPUTED_VALUE"""),"Good")</f>
        <v>Good</v>
      </c>
      <c r="W97" t="str">
        <f ca="1">IFERROR(__xludf.DUMMYFUNCTION("""COMPUTED_VALUE"""),"Good")</f>
        <v>Good</v>
      </c>
      <c r="X97" t="str">
        <f ca="1">IFERROR(__xludf.DUMMYFUNCTION("""COMPUTED_VALUE"""),"Good")</f>
        <v>Good</v>
      </c>
      <c r="Y97" t="str">
        <f ca="1">IFERROR(__xludf.DUMMYFUNCTION("""COMPUTED_VALUE"""),"Good")</f>
        <v>Good</v>
      </c>
      <c r="Z97" t="str">
        <f ca="1">IFERROR(__xludf.DUMMYFUNCTION("""COMPUTED_VALUE"""),"Good")</f>
        <v>Good</v>
      </c>
      <c r="AA97" t="str">
        <f ca="1">IFERROR(__xludf.DUMMYFUNCTION("""COMPUTED_VALUE"""),"Good")</f>
        <v>Good</v>
      </c>
      <c r="AB97" t="str">
        <f ca="1">IFERROR(__xludf.DUMMYFUNCTION("""COMPUTED_VALUE"""),"Good")</f>
        <v>Good</v>
      </c>
      <c r="AC97" t="str">
        <f ca="1">IFERROR(__xludf.DUMMYFUNCTION("""COMPUTED_VALUE"""),"Good")</f>
        <v>Good</v>
      </c>
      <c r="AE97" s="11"/>
      <c r="AF97" t="str">
        <v>Nikki.Dix@floridadep.gov</v>
      </c>
      <c r="AG97" s="17" t="s">
        <v>41</v>
      </c>
      <c r="AH97" s="12"/>
      <c r="AI97" s="12" t="s">
        <v>229</v>
      </c>
      <c r="AJ97" s="19" t="s">
        <v>230</v>
      </c>
      <c r="AK97" s="20" t="str">
        <f>HYPERLINK("https://docs.google.com/document/d/1StEQUgg0DdG61MF8-4mfq09rrv9NLcT7qfqHE2eQsnQ/edit?usp=drivesdk","Silas Tanner - 7/3/2018 12:00 PM")</f>
        <v>Silas Tanner - 7/3/2018 12:00 PM</v>
      </c>
      <c r="AL97" s="12" t="s">
        <v>231</v>
      </c>
    </row>
    <row r="98" spans="1:38" ht="12.75">
      <c r="A98" s="10">
        <f ca="1">IFERROR(__xludf.DUMMYFUNCTION("""COMPUTED_VALUE"""),43284.1966922685)</f>
        <v>43284.196692268502</v>
      </c>
      <c r="B98" s="11" t="str">
        <f ca="1">IFERROR(__xludf.DUMMYFUNCTION("""COMPUTED_VALUE"""),"Pamela Marcum")</f>
        <v>Pamela Marcum</v>
      </c>
      <c r="C98" t="str">
        <f ca="1">IFERROR(__xludf.DUMMYFUNCTION("""COMPUTED_VALUE"""),"Pamela.Marcum@dep.state.fl.us")</f>
        <v>Pamela.Marcum@dep.state.fl.us</v>
      </c>
      <c r="D98" t="str">
        <f ca="1">IFERROR(__xludf.DUMMYFUNCTION("""COMPUTED_VALUE"""),"Research/Nikki")</f>
        <v>Research/Nikki</v>
      </c>
      <c r="E98" t="str">
        <f ca="1">IFERROR(__xludf.DUMMYFUNCTION("""COMPUTED_VALUE"""),"Green Rd")</f>
        <v>Green Rd</v>
      </c>
      <c r="F98" s="13">
        <f ca="1">IFERROR(__xludf.DUMMYFUNCTION("""COMPUTED_VALUE"""),0.25)</f>
        <v>0.25</v>
      </c>
      <c r="G98" s="14">
        <f ca="1">IFERROR(__xludf.DUMMYFUNCTION("""COMPUTED_VALUE"""),43283)</f>
        <v>43283</v>
      </c>
      <c r="H98" t="str">
        <f ca="1">IFERROR(__xludf.DUMMYFUNCTION("""COMPUTED_VALUE"""),"Matanzas River Spat Sites")</f>
        <v>Matanzas River Spat Sites</v>
      </c>
      <c r="I98" s="15">
        <f ca="1">IFERROR(__xludf.DUMMYFUNCTION("""COMPUTED_VALUE"""),0.5)</f>
        <v>0.5</v>
      </c>
      <c r="J98" s="16">
        <f ca="1">IFERROR(__xludf.DUMMYFUNCTION("""COMPUTED_VALUE"""),43283.5416666666)</f>
        <v>43283.541666666599</v>
      </c>
      <c r="K98" t="str">
        <f ca="1">IFERROR(__xludf.DUMMYFUNCTION("""COMPUTED_VALUE"""),"20ft Sea Ark FL5351SJ UNF 2015")</f>
        <v>20ft Sea Ark FL5351SJ UNF 2015</v>
      </c>
      <c r="M98" t="str">
        <f ca="1">IFERROR(__xludf.DUMMYFUNCTION("""COMPUTED_VALUE"""),"Ford F150 2015 (White) - DEP21448")</f>
        <v>Ford F150 2015 (White) - DEP21448</v>
      </c>
      <c r="N98" t="str">
        <f ca="1">IFERROR(__xludf.DUMMYFUNCTION("""COMPUTED_VALUE"""),"Pam Marcum, (480) 332-5414, Remo Mondazzi")</f>
        <v>Pam Marcum, (480) 332-5414, Remo Mondazzi</v>
      </c>
      <c r="O98" t="str">
        <f ca="1">IFERROR(__xludf.DUMMYFUNCTION("""COMPUTED_VALUE"""),"Adrienne Breef-Pilz, Nicole Peckham, Rodrigo Pavani")</f>
        <v>Adrienne Breef-Pilz, Nicole Peckham, Rodrigo Pavani</v>
      </c>
      <c r="P98" t="str">
        <f ca="1">IFERROR(__xludf.DUMMYFUNCTION("""COMPUTED_VALUE"""),"Pamela Marcum")</f>
        <v>Pamela Marcum</v>
      </c>
      <c r="Q98" t="str">
        <f ca="1">IFERROR(__xludf.DUMMYFUNCTION("""COMPUTED_VALUE"""),"Good")</f>
        <v>Good</v>
      </c>
      <c r="R98" t="str">
        <f ca="1">IFERROR(__xludf.DUMMYFUNCTION("""COMPUTED_VALUE"""),"Good")</f>
        <v>Good</v>
      </c>
      <c r="S98" t="str">
        <f ca="1">IFERROR(__xludf.DUMMYFUNCTION("""COMPUTED_VALUE"""),"Good")</f>
        <v>Good</v>
      </c>
      <c r="T98" t="str">
        <f ca="1">IFERROR(__xludf.DUMMYFUNCTION("""COMPUTED_VALUE"""),"Good")</f>
        <v>Good</v>
      </c>
      <c r="U98" t="str">
        <f ca="1">IFERROR(__xludf.DUMMYFUNCTION("""COMPUTED_VALUE"""),"Good")</f>
        <v>Good</v>
      </c>
      <c r="V98" t="str">
        <f ca="1">IFERROR(__xludf.DUMMYFUNCTION("""COMPUTED_VALUE"""),"Good")</f>
        <v>Good</v>
      </c>
      <c r="W98" t="str">
        <f ca="1">IFERROR(__xludf.DUMMYFUNCTION("""COMPUTED_VALUE"""),"Good")</f>
        <v>Good</v>
      </c>
      <c r="X98" t="str">
        <f ca="1">IFERROR(__xludf.DUMMYFUNCTION("""COMPUTED_VALUE"""),"Good")</f>
        <v>Good</v>
      </c>
      <c r="Y98" t="str">
        <f ca="1">IFERROR(__xludf.DUMMYFUNCTION("""COMPUTED_VALUE"""),"Good")</f>
        <v>Good</v>
      </c>
      <c r="Z98" t="str">
        <f ca="1">IFERROR(__xludf.DUMMYFUNCTION("""COMPUTED_VALUE"""),"Good")</f>
        <v>Good</v>
      </c>
      <c r="AA98" t="str">
        <f ca="1">IFERROR(__xludf.DUMMYFUNCTION("""COMPUTED_VALUE"""),"Good")</f>
        <v>Good</v>
      </c>
      <c r="AB98" t="str">
        <f ca="1">IFERROR(__xludf.DUMMYFUNCTION("""COMPUTED_VALUE"""),"Good")</f>
        <v>Good</v>
      </c>
      <c r="AC98" t="str">
        <f ca="1">IFERROR(__xludf.DUMMYFUNCTION("""COMPUTED_VALUE"""),"Good")</f>
        <v>Good</v>
      </c>
      <c r="AE98" s="11"/>
      <c r="AF98" t="str">
        <v>Nikki.Dix@floridadep.gov</v>
      </c>
      <c r="AG98" s="17" t="s">
        <v>17</v>
      </c>
      <c r="AH98" s="12"/>
      <c r="AI98" s="12" t="s">
        <v>232</v>
      </c>
      <c r="AJ98" s="19" t="s">
        <v>233</v>
      </c>
      <c r="AK98" s="20" t="str">
        <f>HYPERLINK("https://docs.google.com/document/d/1fdR1XrqTv5cgCvbuRnVbbi9FDd6k8Mk-S0hm8LSStSE/edit?usp=drivesdk","Pamela Marcum - 7/2/2018 6:00 AM")</f>
        <v>Pamela Marcum - 7/2/2018 6:00 AM</v>
      </c>
      <c r="AL98" s="12" t="s">
        <v>234</v>
      </c>
    </row>
    <row r="99" spans="1:38" ht="12.75">
      <c r="A99" s="10">
        <f ca="1">IFERROR(__xludf.DUMMYFUNCTION("""COMPUTED_VALUE"""),43286.222711331)</f>
        <v>43286.222711331</v>
      </c>
      <c r="B99" s="11" t="str">
        <f ca="1">IFERROR(__xludf.DUMMYFUNCTION("""COMPUTED_VALUE"""),"Ben Mowbray")</f>
        <v>Ben Mowbray</v>
      </c>
      <c r="C99" t="str">
        <f ca="1">IFERROR(__xludf.DUMMYFUNCTION("""COMPUTED_VALUE"""),"ben.mowbray@dep.state.fl.us")</f>
        <v>ben.mowbray@dep.state.fl.us</v>
      </c>
      <c r="D99" t="str">
        <f ca="1">IFERROR(__xludf.DUMMYFUNCTION("""COMPUTED_VALUE"""),"Research/Nikki")</f>
        <v>Research/Nikki</v>
      </c>
      <c r="E99" t="str">
        <f ca="1">IFERROR(__xludf.DUMMYFUNCTION("""COMPUTED_VALUE"""),"Aunt Kate's")</f>
        <v>Aunt Kate's</v>
      </c>
      <c r="F99" s="13">
        <f ca="1">IFERROR(__xludf.DUMMYFUNCTION("""COMPUTED_VALUE"""),0.25)</f>
        <v>0.25</v>
      </c>
      <c r="G99" s="14">
        <f ca="1">IFERROR(__xludf.DUMMYFUNCTION("""COMPUTED_VALUE"""),43286)</f>
        <v>43286</v>
      </c>
      <c r="H99" t="str">
        <f ca="1">IFERROR(__xludf.DUMMYFUNCTION("""COMPUTED_VALUE"""),"Guana + Tolomato Reefs")</f>
        <v>Guana + Tolomato Reefs</v>
      </c>
      <c r="I99" s="15">
        <f ca="1">IFERROR(__xludf.DUMMYFUNCTION("""COMPUTED_VALUE"""),0.416666666667879)</f>
        <v>0.41666666666787899</v>
      </c>
      <c r="J99" s="16">
        <f ca="1">IFERROR(__xludf.DUMMYFUNCTION("""COMPUTED_VALUE"""),43286.4375)</f>
        <v>43286.4375</v>
      </c>
      <c r="K99" t="str">
        <f ca="1">IFERROR(__xludf.DUMMYFUNCTION("""COMPUTED_VALUE"""),"23ft Skiff (Bertha) FL7972LJ DEP07613")</f>
        <v>23ft Skiff (Bertha) FL7972LJ DEP07613</v>
      </c>
      <c r="M99" t="str">
        <f ca="1">IFERROR(__xludf.DUMMYFUNCTION("""COMPUTED_VALUE"""),"Ford F150 2015 (White) - DEP21448")</f>
        <v>Ford F150 2015 (White) - DEP21448</v>
      </c>
      <c r="N99" t="str">
        <f ca="1">IFERROR(__xludf.DUMMYFUNCTION("""COMPUTED_VALUE"""),"Ben Mowbray, (407) 962-8782")</f>
        <v>Ben Mowbray, (407) 962-8782</v>
      </c>
      <c r="O99" t="str">
        <f ca="1">IFERROR(__xludf.DUMMYFUNCTION("""COMPUTED_VALUE"""),"Rodrigo and Adrienne")</f>
        <v>Rodrigo and Adrienne</v>
      </c>
      <c r="P99" t="str">
        <f ca="1">IFERROR(__xludf.DUMMYFUNCTION("""COMPUTED_VALUE"""),"Ben")</f>
        <v>Ben</v>
      </c>
      <c r="Q99" t="str">
        <f ca="1">IFERROR(__xludf.DUMMYFUNCTION("""COMPUTED_VALUE"""),"Good")</f>
        <v>Good</v>
      </c>
      <c r="R99" t="str">
        <f ca="1">IFERROR(__xludf.DUMMYFUNCTION("""COMPUTED_VALUE"""),"Good")</f>
        <v>Good</v>
      </c>
      <c r="S99" t="str">
        <f ca="1">IFERROR(__xludf.DUMMYFUNCTION("""COMPUTED_VALUE"""),"Good")</f>
        <v>Good</v>
      </c>
      <c r="T99" t="str">
        <f ca="1">IFERROR(__xludf.DUMMYFUNCTION("""COMPUTED_VALUE"""),"Good")</f>
        <v>Good</v>
      </c>
      <c r="U99" t="str">
        <f ca="1">IFERROR(__xludf.DUMMYFUNCTION("""COMPUTED_VALUE"""),"Good")</f>
        <v>Good</v>
      </c>
      <c r="V99" t="str">
        <f ca="1">IFERROR(__xludf.DUMMYFUNCTION("""COMPUTED_VALUE"""),"Good")</f>
        <v>Good</v>
      </c>
      <c r="W99" t="str">
        <f ca="1">IFERROR(__xludf.DUMMYFUNCTION("""COMPUTED_VALUE"""),"Good")</f>
        <v>Good</v>
      </c>
      <c r="X99" t="str">
        <f ca="1">IFERROR(__xludf.DUMMYFUNCTION("""COMPUTED_VALUE"""),"Good")</f>
        <v>Good</v>
      </c>
      <c r="Y99" t="str">
        <f ca="1">IFERROR(__xludf.DUMMYFUNCTION("""COMPUTED_VALUE"""),"Good")</f>
        <v>Good</v>
      </c>
      <c r="Z99" t="str">
        <f ca="1">IFERROR(__xludf.DUMMYFUNCTION("""COMPUTED_VALUE"""),"Good")</f>
        <v>Good</v>
      </c>
      <c r="AA99" t="str">
        <f ca="1">IFERROR(__xludf.DUMMYFUNCTION("""COMPUTED_VALUE"""),"Good")</f>
        <v>Good</v>
      </c>
      <c r="AB99" t="str">
        <f ca="1">IFERROR(__xludf.DUMMYFUNCTION("""COMPUTED_VALUE"""),"Good")</f>
        <v>Good</v>
      </c>
      <c r="AC99" t="str">
        <f ca="1">IFERROR(__xludf.DUMMYFUNCTION("""COMPUTED_VALUE"""),"Good")</f>
        <v>Good</v>
      </c>
      <c r="AE99" s="11"/>
      <c r="AF99" t="str">
        <v>Nikki.Dix@floridadep.gov</v>
      </c>
      <c r="AG99" s="17" t="s">
        <v>17</v>
      </c>
      <c r="AH99" s="12"/>
      <c r="AI99" s="12" t="s">
        <v>235</v>
      </c>
      <c r="AJ99" s="19" t="s">
        <v>236</v>
      </c>
      <c r="AK99" s="20" t="str">
        <f>HYPERLINK("https://docs.google.com/document/d/1B6fzv88D5-nJ8bnEEW7BlQPXBFnv4G5EWzrYGS9Jm9w/edit?usp=drivesdk","Ben Mowbray - 7/5/2018 6:00 AM")</f>
        <v>Ben Mowbray - 7/5/2018 6:00 AM</v>
      </c>
      <c r="AL99" s="12" t="s">
        <v>237</v>
      </c>
    </row>
    <row r="100" spans="1:38" ht="12.75">
      <c r="A100" s="10">
        <f ca="1">IFERROR(__xludf.DUMMYFUNCTION("""COMPUTED_VALUE"""),43286.4023423032)</f>
        <v>43286.402342303198</v>
      </c>
      <c r="B100" s="11" t="str">
        <f ca="1">IFERROR(__xludf.DUMMYFUNCTION("""COMPUTED_VALUE"""),"Silas Tanner")</f>
        <v>Silas Tanner</v>
      </c>
      <c r="C100" t="str">
        <f ca="1">IFERROR(__xludf.DUMMYFUNCTION("""COMPUTED_VALUE"""),"silas.tanner@floridadep.gov")</f>
        <v>silas.tanner@floridadep.gov</v>
      </c>
      <c r="D100" t="str">
        <f ca="1">IFERROR(__xludf.DUMMYFUNCTION("""COMPUTED_VALUE"""),"Research/Nikki")</f>
        <v>Research/Nikki</v>
      </c>
      <c r="E100" t="str">
        <f ca="1">IFERROR(__xludf.DUMMYFUNCTION("""COMPUTED_VALUE"""),"Doug Crane Boat Ramp")</f>
        <v>Doug Crane Boat Ramp</v>
      </c>
      <c r="F100" s="13">
        <f ca="1">IFERROR(__xludf.DUMMYFUNCTION("""COMPUTED_VALUE"""),0.5)</f>
        <v>0.5</v>
      </c>
      <c r="G100" s="14">
        <f ca="1">IFERROR(__xludf.DUMMYFUNCTION("""COMPUTED_VALUE"""),43286)</f>
        <v>43286</v>
      </c>
      <c r="H100" t="str">
        <f ca="1">IFERROR(__xludf.DUMMYFUNCTION("""COMPUTED_VALUE"""),"ICW - near East Creek / Moultrie Creek")</f>
        <v>ICW - near East Creek / Moultrie Creek</v>
      </c>
      <c r="I100" s="15">
        <f ca="1">IFERROR(__xludf.DUMMYFUNCTION("""COMPUTED_VALUE"""),0.666666666667879)</f>
        <v>0.66666666666787899</v>
      </c>
      <c r="J100" s="16">
        <f ca="1">IFERROR(__xludf.DUMMYFUNCTION("""COMPUTED_VALUE"""),43286.6875)</f>
        <v>43286.6875</v>
      </c>
      <c r="K100" t="str">
        <f ca="1">IFERROR(__xludf.DUMMYFUNCTION("""COMPUTED_VALUE"""),"20ft Sea Ark FL5351SJ UNF 2015")</f>
        <v>20ft Sea Ark FL5351SJ UNF 2015</v>
      </c>
      <c r="M100" t="str">
        <f ca="1">IFERROR(__xludf.DUMMYFUNCTION("""COMPUTED_VALUE"""),"Ford F250 2017 (Moby Dix) - DEP0021578")</f>
        <v>Ford F250 2017 (Moby Dix) - DEP0021578</v>
      </c>
      <c r="N100" t="str">
        <f ca="1">IFERROR(__xludf.DUMMYFUNCTION("""COMPUTED_VALUE"""),"Silas Tanner, (904) 483-8423, Gabriela Canas, (904) 891-9743, Remo Mondazi")</f>
        <v>Silas Tanner, (904) 483-8423, Gabriela Canas, (904) 891-9743, Remo Mondazi</v>
      </c>
      <c r="O100" t="str">
        <f ca="1">IFERROR(__xludf.DUMMYFUNCTION("""COMPUTED_VALUE"""),"Hunter Mathews, Sam Shaw")</f>
        <v>Hunter Mathews, Sam Shaw</v>
      </c>
      <c r="P100" t="str">
        <f ca="1">IFERROR(__xludf.DUMMYFUNCTION("""COMPUTED_VALUE"""),"Silas Tanner")</f>
        <v>Silas Tanner</v>
      </c>
      <c r="Q100" t="str">
        <f ca="1">IFERROR(__xludf.DUMMYFUNCTION("""COMPUTED_VALUE"""),"Good")</f>
        <v>Good</v>
      </c>
      <c r="R100" t="str">
        <f ca="1">IFERROR(__xludf.DUMMYFUNCTION("""COMPUTED_VALUE"""),"Good")</f>
        <v>Good</v>
      </c>
      <c r="S100" t="str">
        <f ca="1">IFERROR(__xludf.DUMMYFUNCTION("""COMPUTED_VALUE"""),"Good")</f>
        <v>Good</v>
      </c>
      <c r="T100" t="str">
        <f ca="1">IFERROR(__xludf.DUMMYFUNCTION("""COMPUTED_VALUE"""),"Good")</f>
        <v>Good</v>
      </c>
      <c r="U100" t="str">
        <f ca="1">IFERROR(__xludf.DUMMYFUNCTION("""COMPUTED_VALUE"""),"Good")</f>
        <v>Good</v>
      </c>
      <c r="V100" t="str">
        <f ca="1">IFERROR(__xludf.DUMMYFUNCTION("""COMPUTED_VALUE"""),"Good")</f>
        <v>Good</v>
      </c>
      <c r="W100" t="str">
        <f ca="1">IFERROR(__xludf.DUMMYFUNCTION("""COMPUTED_VALUE"""),"Good")</f>
        <v>Good</v>
      </c>
      <c r="X100" t="str">
        <f ca="1">IFERROR(__xludf.DUMMYFUNCTION("""COMPUTED_VALUE"""),"Good")</f>
        <v>Good</v>
      </c>
      <c r="Y100" t="str">
        <f ca="1">IFERROR(__xludf.DUMMYFUNCTION("""COMPUTED_VALUE"""),"Good")</f>
        <v>Good</v>
      </c>
      <c r="Z100" t="str">
        <f ca="1">IFERROR(__xludf.DUMMYFUNCTION("""COMPUTED_VALUE"""),"Good")</f>
        <v>Good</v>
      </c>
      <c r="AA100" t="str">
        <f ca="1">IFERROR(__xludf.DUMMYFUNCTION("""COMPUTED_VALUE"""),"Good")</f>
        <v>Good</v>
      </c>
      <c r="AB100" t="str">
        <f ca="1">IFERROR(__xludf.DUMMYFUNCTION("""COMPUTED_VALUE"""),"Good")</f>
        <v>Good</v>
      </c>
      <c r="AC100" t="str">
        <f ca="1">IFERROR(__xludf.DUMMYFUNCTION("""COMPUTED_VALUE"""),"Good")</f>
        <v>Good</v>
      </c>
      <c r="AE100" s="11"/>
      <c r="AF100" t="str">
        <v>Nikki.Dix@floridadep.gov</v>
      </c>
      <c r="AG100" s="17" t="s">
        <v>17</v>
      </c>
      <c r="AH100" s="12"/>
      <c r="AI100" s="12" t="s">
        <v>238</v>
      </c>
      <c r="AJ100" s="19" t="s">
        <v>239</v>
      </c>
      <c r="AK100" s="20" t="str">
        <f>HYPERLINK("https://docs.google.com/document/d/1g5f9yPdc6uaO_l9y9K3YLZPe5ak-o0BxRUX5eZ2dmP0/edit?usp=drivesdk","Silas Tanner - 7/5/2018 12:00 PM")</f>
        <v>Silas Tanner - 7/5/2018 12:00 PM</v>
      </c>
      <c r="AL100" s="12" t="s">
        <v>240</v>
      </c>
    </row>
    <row r="101" spans="1:38" ht="12.75">
      <c r="A101" s="10">
        <f ca="1">IFERROR(__xludf.DUMMYFUNCTION("""COMPUTED_VALUE"""),43287.4800817476)</f>
        <v>43287.480081747599</v>
      </c>
      <c r="B101" s="11" t="str">
        <f ca="1">IFERROR(__xludf.DUMMYFUNCTION("""COMPUTED_VALUE"""),"Ben Mowbray")</f>
        <v>Ben Mowbray</v>
      </c>
      <c r="C101" t="str">
        <f ca="1">IFERROR(__xludf.DUMMYFUNCTION("""COMPUTED_VALUE"""),"ben.mowbray@state.dep.fl.us")</f>
        <v>ben.mowbray@state.dep.fl.us</v>
      </c>
      <c r="D101" t="str">
        <f ca="1">IFERROR(__xludf.DUMMYFUNCTION("""COMPUTED_VALUE"""),"Research/Nikki")</f>
        <v>Research/Nikki</v>
      </c>
      <c r="E101" t="str">
        <f ca="1">IFERROR(__xludf.DUMMYFUNCTION("""COMPUTED_VALUE"""),"Shore Dr. Boat Ramp")</f>
        <v>Shore Dr. Boat Ramp</v>
      </c>
      <c r="F101" s="13">
        <f ca="1">IFERROR(__xludf.DUMMYFUNCTION("""COMPUTED_VALUE"""),0.451388888890505)</f>
        <v>0.45138888889050499</v>
      </c>
      <c r="G101" s="14">
        <f ca="1">IFERROR(__xludf.DUMMYFUNCTION("""COMPUTED_VALUE"""),43290)</f>
        <v>43290</v>
      </c>
      <c r="H101" t="str">
        <f ca="1">IFERROR(__xludf.DUMMYFUNCTION("""COMPUTED_VALUE"""),"FM and SA Reefs")</f>
        <v>FM and SA Reefs</v>
      </c>
      <c r="I101" s="15">
        <f ca="1">IFERROR(__xludf.DUMMYFUNCTION("""COMPUTED_VALUE"""),0.5625)</f>
        <v>0.5625</v>
      </c>
      <c r="J101" s="16">
        <f ca="1">IFERROR(__xludf.DUMMYFUNCTION("""COMPUTED_VALUE"""),43290.0902777777)</f>
        <v>43290.090277777701</v>
      </c>
      <c r="K101" t="str">
        <f ca="1">IFERROR(__xludf.DUMMYFUNCTION("""COMPUTED_VALUE"""),"23ft Skiff (Bertha) FL7972LJ DEP07613")</f>
        <v>23ft Skiff (Bertha) FL7972LJ DEP07613</v>
      </c>
      <c r="M101" t="str">
        <f ca="1">IFERROR(__xludf.DUMMYFUNCTION("""COMPUTED_VALUE"""),"will email later")</f>
        <v>will email later</v>
      </c>
      <c r="N101" t="str">
        <f ca="1">IFERROR(__xludf.DUMMYFUNCTION("""COMPUTED_VALUE"""),"Ben Mowbray, (407) 962-8782")</f>
        <v>Ben Mowbray, (407) 962-8782</v>
      </c>
      <c r="O101" t="str">
        <f ca="1">IFERROR(__xludf.DUMMYFUNCTION("""COMPUTED_VALUE"""),"Jamie L.")</f>
        <v>Jamie L.</v>
      </c>
      <c r="P101" t="str">
        <f ca="1">IFERROR(__xludf.DUMMYFUNCTION("""COMPUTED_VALUE"""),"Ben")</f>
        <v>Ben</v>
      </c>
      <c r="Q101" t="str">
        <f ca="1">IFERROR(__xludf.DUMMYFUNCTION("""COMPUTED_VALUE"""),"Good")</f>
        <v>Good</v>
      </c>
      <c r="R101" t="str">
        <f ca="1">IFERROR(__xludf.DUMMYFUNCTION("""COMPUTED_VALUE"""),"Good")</f>
        <v>Good</v>
      </c>
      <c r="S101" t="str">
        <f ca="1">IFERROR(__xludf.DUMMYFUNCTION("""COMPUTED_VALUE"""),"Good")</f>
        <v>Good</v>
      </c>
      <c r="T101" t="str">
        <f ca="1">IFERROR(__xludf.DUMMYFUNCTION("""COMPUTED_VALUE"""),"Good")</f>
        <v>Good</v>
      </c>
      <c r="U101" t="str">
        <f ca="1">IFERROR(__xludf.DUMMYFUNCTION("""COMPUTED_VALUE"""),"Good")</f>
        <v>Good</v>
      </c>
      <c r="V101" t="str">
        <f ca="1">IFERROR(__xludf.DUMMYFUNCTION("""COMPUTED_VALUE"""),"Good")</f>
        <v>Good</v>
      </c>
      <c r="W101" t="str">
        <f ca="1">IFERROR(__xludf.DUMMYFUNCTION("""COMPUTED_VALUE"""),"Good")</f>
        <v>Good</v>
      </c>
      <c r="X101" t="str">
        <f ca="1">IFERROR(__xludf.DUMMYFUNCTION("""COMPUTED_VALUE"""),"Good")</f>
        <v>Good</v>
      </c>
      <c r="Y101" t="str">
        <f ca="1">IFERROR(__xludf.DUMMYFUNCTION("""COMPUTED_VALUE"""),"Good")</f>
        <v>Good</v>
      </c>
      <c r="Z101" t="str">
        <f ca="1">IFERROR(__xludf.DUMMYFUNCTION("""COMPUTED_VALUE"""),"Good")</f>
        <v>Good</v>
      </c>
      <c r="AA101" t="str">
        <f ca="1">IFERROR(__xludf.DUMMYFUNCTION("""COMPUTED_VALUE"""),"Good")</f>
        <v>Good</v>
      </c>
      <c r="AB101" t="str">
        <f ca="1">IFERROR(__xludf.DUMMYFUNCTION("""COMPUTED_VALUE"""),"Good")</f>
        <v>Good</v>
      </c>
      <c r="AC101" t="str">
        <f ca="1">IFERROR(__xludf.DUMMYFUNCTION("""COMPUTED_VALUE"""),"Good")</f>
        <v>Good</v>
      </c>
      <c r="AE101" s="11"/>
      <c r="AF101" t="str">
        <v>Nikki.Dix@floridadep.gov</v>
      </c>
      <c r="AG101" s="17" t="s">
        <v>17</v>
      </c>
      <c r="AH101" s="12"/>
      <c r="AI101" s="12" t="s">
        <v>241</v>
      </c>
      <c r="AJ101" s="19" t="s">
        <v>242</v>
      </c>
      <c r="AK101" s="20" t="str">
        <f>HYPERLINK("https://docs.google.com/document/d/1FGSJu50WpKVPQMMjfQsJgZFm6YVlPd9AmbZ7l5n8PbY/edit?usp=drivesdk","Ben Mowbray - 7/9/2018 10:50 AM")</f>
        <v>Ben Mowbray - 7/9/2018 10:50 AM</v>
      </c>
      <c r="AL101" s="12" t="s">
        <v>243</v>
      </c>
    </row>
    <row r="102" spans="1:38" ht="12.75">
      <c r="A102" s="10">
        <f ca="1">IFERROR(__xludf.DUMMYFUNCTION("""COMPUTED_VALUE"""),43291.3778199189)</f>
        <v>43291.377819918896</v>
      </c>
      <c r="B102" s="11" t="str">
        <f ca="1">IFERROR(__xludf.DUMMYFUNCTION("""COMPUTED_VALUE"""),"James Tomazinis")</f>
        <v>James Tomazinis</v>
      </c>
      <c r="C102" t="str">
        <f ca="1">IFERROR(__xludf.DUMMYFUNCTION("""COMPUTED_VALUE"""),"james.tomazinis@floridadep.gov")</f>
        <v>james.tomazinis@floridadep.gov</v>
      </c>
      <c r="D102" t="str">
        <f ca="1">IFERROR(__xludf.DUMMYFUNCTION("""COMPUTED_VALUE"""),"Stewardship (Aquatic)")</f>
        <v>Stewardship (Aquatic)</v>
      </c>
      <c r="E102" t="str">
        <f ca="1">IFERROR(__xludf.DUMMYFUNCTION("""COMPUTED_VALUE"""),"Aunt Kates")</f>
        <v>Aunt Kates</v>
      </c>
      <c r="F102" s="13">
        <f ca="1">IFERROR(__xludf.DUMMYFUNCTION("""COMPUTED_VALUE"""),0.39583333333212)</f>
        <v>0.39583333333212001</v>
      </c>
      <c r="G102" s="14">
        <f ca="1">IFERROR(__xludf.DUMMYFUNCTION("""COMPUTED_VALUE"""),43291)</f>
        <v>43291</v>
      </c>
      <c r="H102" t="str">
        <f ca="1">IFERROR(__xludf.DUMMYFUNCTION("""COMPUTED_VALUE"""),"Angelini Sites")</f>
        <v>Angelini Sites</v>
      </c>
      <c r="I102" s="15">
        <f ca="1">IFERROR(__xludf.DUMMYFUNCTION("""COMPUTED_VALUE"""),0.541666666667879)</f>
        <v>0.54166666666787899</v>
      </c>
      <c r="J102" s="16"/>
      <c r="K102" t="str">
        <f ca="1">IFERROR(__xludf.DUMMYFUNCTION("""COMPUTED_VALUE"""),"F 20ft Sea Ark (Easy 200) FL8534PY DEP21451")</f>
        <v>F 20ft Sea Ark (Easy 200) FL8534PY DEP21451</v>
      </c>
      <c r="M102" t="str">
        <f ca="1">IFERROR(__xludf.DUMMYFUNCTION("""COMPUTED_VALUE"""),"Ford F250 2017 (Moby Dix) - DEP0021578")</f>
        <v>Ford F250 2017 (Moby Dix) - DEP0021578</v>
      </c>
      <c r="N102" t="str">
        <f ca="1">IFERROR(__xludf.DUMMYFUNCTION("""COMPUTED_VALUE"""),"Nikki Dix, (352) 219-4079, Jimmy Tomazinis, (904) 547-0094")</f>
        <v>Nikki Dix, (352) 219-4079, Jimmy Tomazinis, (904) 547-0094</v>
      </c>
      <c r="O102" t="str">
        <f ca="1">IFERROR(__xludf.DUMMYFUNCTION("""COMPUTED_VALUE"""),"5 LMR people")</f>
        <v>5 LMR people</v>
      </c>
      <c r="P102" t="str">
        <f ca="1">IFERROR(__xludf.DUMMYFUNCTION("""COMPUTED_VALUE"""),"Jimmy")</f>
        <v>Jimmy</v>
      </c>
      <c r="Q102" t="str">
        <f ca="1">IFERROR(__xludf.DUMMYFUNCTION("""COMPUTED_VALUE"""),"Good")</f>
        <v>Good</v>
      </c>
      <c r="R102" t="str">
        <f ca="1">IFERROR(__xludf.DUMMYFUNCTION("""COMPUTED_VALUE"""),"Good")</f>
        <v>Good</v>
      </c>
      <c r="S102" t="str">
        <f ca="1">IFERROR(__xludf.DUMMYFUNCTION("""COMPUTED_VALUE"""),"Good")</f>
        <v>Good</v>
      </c>
      <c r="T102" t="str">
        <f ca="1">IFERROR(__xludf.DUMMYFUNCTION("""COMPUTED_VALUE"""),"Good")</f>
        <v>Good</v>
      </c>
      <c r="U102" t="str">
        <f ca="1">IFERROR(__xludf.DUMMYFUNCTION("""COMPUTED_VALUE"""),"Good")</f>
        <v>Good</v>
      </c>
      <c r="V102" t="str">
        <f ca="1">IFERROR(__xludf.DUMMYFUNCTION("""COMPUTED_VALUE"""),"Good")</f>
        <v>Good</v>
      </c>
      <c r="W102" t="str">
        <f ca="1">IFERROR(__xludf.DUMMYFUNCTION("""COMPUTED_VALUE"""),"Good")</f>
        <v>Good</v>
      </c>
      <c r="X102" t="str">
        <f ca="1">IFERROR(__xludf.DUMMYFUNCTION("""COMPUTED_VALUE"""),"Good")</f>
        <v>Good</v>
      </c>
      <c r="Y102" t="str">
        <f ca="1">IFERROR(__xludf.DUMMYFUNCTION("""COMPUTED_VALUE"""),"Good")</f>
        <v>Good</v>
      </c>
      <c r="Z102" t="str">
        <f ca="1">IFERROR(__xludf.DUMMYFUNCTION("""COMPUTED_VALUE"""),"Good")</f>
        <v>Good</v>
      </c>
      <c r="AA102" t="str">
        <f ca="1">IFERROR(__xludf.DUMMYFUNCTION("""COMPUTED_VALUE"""),"Good")</f>
        <v>Good</v>
      </c>
      <c r="AB102" t="str">
        <f ca="1">IFERROR(__xludf.DUMMYFUNCTION("""COMPUTED_VALUE"""),"Good")</f>
        <v>Good</v>
      </c>
      <c r="AC102" t="str">
        <f ca="1">IFERROR(__xludf.DUMMYFUNCTION("""COMPUTED_VALUE"""),"Good")</f>
        <v>Good</v>
      </c>
      <c r="AE102" s="11"/>
      <c r="AF102" t="str">
        <v>Scott.Eastman@floridadep.gov</v>
      </c>
      <c r="AG102" s="17" t="s">
        <v>58</v>
      </c>
      <c r="AH102" s="12"/>
      <c r="AI102" s="12" t="s">
        <v>244</v>
      </c>
      <c r="AJ102" s="19" t="s">
        <v>245</v>
      </c>
      <c r="AK102" s="20" t="str">
        <f>HYPERLINK("https://docs.google.com/document/d/1acVIuNRHP6o9EhpjLyK7BPUBmQo2wAa7dSOlClJFeIA/edit?usp=drivesdk","James Tomazinis - 7/10/2018 9:30 AM")</f>
        <v>James Tomazinis - 7/10/2018 9:30 AM</v>
      </c>
      <c r="AL102" s="12" t="s">
        <v>246</v>
      </c>
    </row>
    <row r="103" spans="1:38" ht="12.75">
      <c r="A103" s="10">
        <f ca="1">IFERROR(__xludf.DUMMYFUNCTION("""COMPUTED_VALUE"""),43291.3779981828)</f>
        <v>43291.377998182797</v>
      </c>
      <c r="B103" s="11" t="str">
        <f ca="1">IFERROR(__xludf.DUMMYFUNCTION("""COMPUTED_VALUE"""),"Pamela Marcum")</f>
        <v>Pamela Marcum</v>
      </c>
      <c r="C103" t="str">
        <f ca="1">IFERROR(__xludf.DUMMYFUNCTION("""COMPUTED_VALUE"""),"Pamela.Marcum@dep.state.fl.us")</f>
        <v>Pamela.Marcum@dep.state.fl.us</v>
      </c>
      <c r="D103" t="str">
        <f ca="1">IFERROR(__xludf.DUMMYFUNCTION("""COMPUTED_VALUE"""),"Research/Nikki")</f>
        <v>Research/Nikki</v>
      </c>
      <c r="E103" t="str">
        <f ca="1">IFERROR(__xludf.DUMMYFUNCTION("""COMPUTED_VALUE"""),"Aunt Kate's Usina Ramp")</f>
        <v>Aunt Kate's Usina Ramp</v>
      </c>
      <c r="F103" s="13">
        <f ca="1">IFERROR(__xludf.DUMMYFUNCTION("""COMPUTED_VALUE"""),0.375)</f>
        <v>0.375</v>
      </c>
      <c r="G103" s="14">
        <f ca="1">IFERROR(__xludf.DUMMYFUNCTION("""COMPUTED_VALUE"""),43291)</f>
        <v>43291</v>
      </c>
      <c r="H103" t="str">
        <f ca="1">IFERROR(__xludf.DUMMYFUNCTION("""COMPUTED_VALUE"""),"Tolomato River Pine Island")</f>
        <v>Tolomato River Pine Island</v>
      </c>
      <c r="I103" s="15">
        <f ca="1">IFERROR(__xludf.DUMMYFUNCTION("""COMPUTED_VALUE"""),0.625)</f>
        <v>0.625</v>
      </c>
      <c r="J103" s="16">
        <f ca="1">IFERROR(__xludf.DUMMYFUNCTION("""COMPUTED_VALUE"""),43291.6458333333)</f>
        <v>43291.645833333299</v>
      </c>
      <c r="K103" t="str">
        <f ca="1">IFERROR(__xludf.DUMMYFUNCTION("""COMPUTED_VALUE"""),"23ft Skiff (Bertha) FL7972LJ DEP07613")</f>
        <v>23ft Skiff (Bertha) FL7972LJ DEP07613</v>
      </c>
      <c r="M103" t="str">
        <f ca="1">IFERROR(__xludf.DUMMYFUNCTION("""COMPUTED_VALUE"""),"Ford F150 2015 (White) - DEP21448")</f>
        <v>Ford F150 2015 (White) - DEP21448</v>
      </c>
      <c r="N103" t="str">
        <f ca="1">IFERROR(__xludf.DUMMYFUNCTION("""COMPUTED_VALUE"""),"Pam Marcum, (480) 332-5414")</f>
        <v>Pam Marcum, (480) 332-5414</v>
      </c>
      <c r="O103" t="str">
        <f ca="1">IFERROR(__xludf.DUMMYFUNCTION("""COMPUTED_VALUE"""),"Michael Shirley, Shannon Rininger, +5 LMR Reviewers")</f>
        <v>Michael Shirley, Shannon Rininger, +5 LMR Reviewers</v>
      </c>
      <c r="P103" t="str">
        <f ca="1">IFERROR(__xludf.DUMMYFUNCTION("""COMPUTED_VALUE"""),"Pamela Marcum")</f>
        <v>Pamela Marcum</v>
      </c>
      <c r="Q103" t="str">
        <f ca="1">IFERROR(__xludf.DUMMYFUNCTION("""COMPUTED_VALUE"""),"Good")</f>
        <v>Good</v>
      </c>
      <c r="R103" t="str">
        <f ca="1">IFERROR(__xludf.DUMMYFUNCTION("""COMPUTED_VALUE"""),"Good")</f>
        <v>Good</v>
      </c>
      <c r="S103" t="str">
        <f ca="1">IFERROR(__xludf.DUMMYFUNCTION("""COMPUTED_VALUE"""),"Good")</f>
        <v>Good</v>
      </c>
      <c r="T103" t="str">
        <f ca="1">IFERROR(__xludf.DUMMYFUNCTION("""COMPUTED_VALUE"""),"Good")</f>
        <v>Good</v>
      </c>
      <c r="U103" t="str">
        <f ca="1">IFERROR(__xludf.DUMMYFUNCTION("""COMPUTED_VALUE"""),"Good")</f>
        <v>Good</v>
      </c>
      <c r="V103" t="str">
        <f ca="1">IFERROR(__xludf.DUMMYFUNCTION("""COMPUTED_VALUE"""),"Good")</f>
        <v>Good</v>
      </c>
      <c r="W103" t="str">
        <f ca="1">IFERROR(__xludf.DUMMYFUNCTION("""COMPUTED_VALUE"""),"Good")</f>
        <v>Good</v>
      </c>
      <c r="X103" t="str">
        <f ca="1">IFERROR(__xludf.DUMMYFUNCTION("""COMPUTED_VALUE"""),"Good")</f>
        <v>Good</v>
      </c>
      <c r="Y103" t="str">
        <f ca="1">IFERROR(__xludf.DUMMYFUNCTION("""COMPUTED_VALUE"""),"Good")</f>
        <v>Good</v>
      </c>
      <c r="Z103" t="str">
        <f ca="1">IFERROR(__xludf.DUMMYFUNCTION("""COMPUTED_VALUE"""),"Good")</f>
        <v>Good</v>
      </c>
      <c r="AA103" t="str">
        <f ca="1">IFERROR(__xludf.DUMMYFUNCTION("""COMPUTED_VALUE"""),"Good")</f>
        <v>Good</v>
      </c>
      <c r="AB103" t="str">
        <f ca="1">IFERROR(__xludf.DUMMYFUNCTION("""COMPUTED_VALUE"""),"Good")</f>
        <v>Good</v>
      </c>
      <c r="AC103" t="str">
        <f ca="1">IFERROR(__xludf.DUMMYFUNCTION("""COMPUTED_VALUE"""),"Good")</f>
        <v>Good</v>
      </c>
      <c r="AE103" s="11"/>
      <c r="AF103" t="str">
        <v>Nikki.Dix@floridadep.gov</v>
      </c>
      <c r="AG103" s="17" t="s">
        <v>58</v>
      </c>
      <c r="AH103" s="12"/>
      <c r="AI103" s="12" t="s">
        <v>247</v>
      </c>
      <c r="AJ103" s="19" t="s">
        <v>248</v>
      </c>
      <c r="AK103" s="20" t="str">
        <f>HYPERLINK("https://docs.google.com/document/d/1wU-ztvrplHNJ3Wq6k-7vP1L8aMRqh_hvA2p-U5wWUF0/edit?usp=drivesdk","Pamela Marcum - 7/10/2018 9:00 AM")</f>
        <v>Pamela Marcum - 7/10/2018 9:00 AM</v>
      </c>
      <c r="AL103" s="12" t="s">
        <v>249</v>
      </c>
    </row>
    <row r="104" spans="1:38" ht="12.75">
      <c r="A104" s="10">
        <f ca="1">IFERROR(__xludf.DUMMYFUNCTION("""COMPUTED_VALUE"""),43291.8079199189)</f>
        <v>43291.807919918901</v>
      </c>
      <c r="B104" s="11" t="str">
        <f ca="1">IFERROR(__xludf.DUMMYFUNCTION("""COMPUTED_VALUE"""),"James Tomazinis")</f>
        <v>James Tomazinis</v>
      </c>
      <c r="C104" t="str">
        <f ca="1">IFERROR(__xludf.DUMMYFUNCTION("""COMPUTED_VALUE"""),"james.tomazinis@floridadep.gov")</f>
        <v>james.tomazinis@floridadep.gov</v>
      </c>
      <c r="D104" t="str">
        <f ca="1">IFERROR(__xludf.DUMMYFUNCTION("""COMPUTED_VALUE"""),"Stewardship (Aquatic)")</f>
        <v>Stewardship (Aquatic)</v>
      </c>
      <c r="E104" t="str">
        <f ca="1">IFERROR(__xludf.DUMMYFUNCTION("""COMPUTED_VALUE"""),"Dam")</f>
        <v>Dam</v>
      </c>
      <c r="F104" s="13">
        <f ca="1">IFERROR(__xludf.DUMMYFUNCTION("""COMPUTED_VALUE"""),0.347222222222626)</f>
        <v>0.347222222222626</v>
      </c>
      <c r="G104" s="14">
        <f ca="1">IFERROR(__xludf.DUMMYFUNCTION("""COMPUTED_VALUE"""),43292)</f>
        <v>43292</v>
      </c>
      <c r="H104" t="str">
        <f ca="1">IFERROR(__xludf.DUMMYFUNCTION("""COMPUTED_VALUE"""),"Guana River")</f>
        <v>Guana River</v>
      </c>
      <c r="I104" s="15">
        <f ca="1">IFERROR(__xludf.DUMMYFUNCTION("""COMPUTED_VALUE"""),0.416666666667879)</f>
        <v>0.41666666666787899</v>
      </c>
      <c r="J104" s="16"/>
      <c r="K104" t="str">
        <f ca="1">IFERROR(__xludf.DUMMYFUNCTION("""COMPUTED_VALUE"""),"Jon Boat FL0484NP DEP06819")</f>
        <v>Jon Boat FL0484NP DEP06819</v>
      </c>
      <c r="M104" t="str">
        <f ca="1">IFERROR(__xludf.DUMMYFUNCTION("""COMPUTED_VALUE"""),"Ford F250 2017 (Moby Dix) - DEP0021578")</f>
        <v>Ford F250 2017 (Moby Dix) - DEP0021578</v>
      </c>
      <c r="N104" t="str">
        <f ca="1">IFERROR(__xludf.DUMMYFUNCTION("""COMPUTED_VALUE"""),"Nikki Dix, (352) 219-4079, Jimmy Tomazinis, (904) 547-0094")</f>
        <v>Nikki Dix, (352) 219-4079, Jimmy Tomazinis, (904) 547-0094</v>
      </c>
      <c r="O104" t="str">
        <f ca="1">IFERROR(__xludf.DUMMYFUNCTION("""COMPUTED_VALUE"""),"Hunter Mathews")</f>
        <v>Hunter Mathews</v>
      </c>
      <c r="P104" t="str">
        <f ca="1">IFERROR(__xludf.DUMMYFUNCTION("""COMPUTED_VALUE"""),"Jimmy")</f>
        <v>Jimmy</v>
      </c>
      <c r="Q104" t="str">
        <f ca="1">IFERROR(__xludf.DUMMYFUNCTION("""COMPUTED_VALUE"""),"Good")</f>
        <v>Good</v>
      </c>
      <c r="R104" t="str">
        <f ca="1">IFERROR(__xludf.DUMMYFUNCTION("""COMPUTED_VALUE"""),"Good")</f>
        <v>Good</v>
      </c>
      <c r="AE104" s="11"/>
      <c r="AF104" t="str">
        <v>Scott.Eastman@floridadep.gov</v>
      </c>
      <c r="AG104" s="17" t="s">
        <v>17</v>
      </c>
      <c r="AH104" s="12"/>
      <c r="AI104" s="12" t="s">
        <v>250</v>
      </c>
      <c r="AJ104" s="19" t="s">
        <v>251</v>
      </c>
      <c r="AK104" s="20" t="str">
        <f>HYPERLINK("https://docs.google.com/document/d/1cWHC30uCG8clysPvFjcXE45CuDzXqmgLp_YEJ8TY14o/edit?usp=drivesdk","James Tomazinis - 7/11/2018 8:20 AM")</f>
        <v>James Tomazinis - 7/11/2018 8:20 AM</v>
      </c>
      <c r="AL104" s="12" t="s">
        <v>252</v>
      </c>
    </row>
    <row r="105" spans="1:38" ht="12.75">
      <c r="A105" s="10">
        <f ca="1">IFERROR(__xludf.DUMMYFUNCTION("""COMPUTED_VALUE"""),43292.61180375)</f>
        <v>43292.611803749998</v>
      </c>
      <c r="B105" s="11" t="str">
        <f ca="1">IFERROR(__xludf.DUMMYFUNCTION("""COMPUTED_VALUE"""),"Kenneth Rainer")</f>
        <v>Kenneth Rainer</v>
      </c>
      <c r="C105" t="str">
        <f ca="1">IFERROR(__xludf.DUMMYFUNCTION("""COMPUTED_VALUE"""),"Kenneth.Rainer@dep.state.fl.us")</f>
        <v>Kenneth.Rainer@dep.state.fl.us</v>
      </c>
      <c r="D105" t="str">
        <f ca="1">IFERROR(__xludf.DUMMYFUNCTION("""COMPUTED_VALUE"""),"Education")</f>
        <v>Education</v>
      </c>
      <c r="E105" t="str">
        <f ca="1">IFERROR(__xludf.DUMMYFUNCTION("""COMPUTED_VALUE"""),"Usina Boat Ramp (Aunt Kates)")</f>
        <v>Usina Boat Ramp (Aunt Kates)</v>
      </c>
      <c r="F105" s="13">
        <f ca="1">IFERROR(__xludf.DUMMYFUNCTION("""COMPUTED_VALUE"""),0.39583333333212)</f>
        <v>0.39583333333212001</v>
      </c>
      <c r="G105" s="14">
        <f ca="1">IFERROR(__xludf.DUMMYFUNCTION("""COMPUTED_VALUE"""),43293)</f>
        <v>43293</v>
      </c>
      <c r="H105" t="str">
        <f ca="1">IFERROR(__xludf.DUMMYFUNCTION("""COMPUTED_VALUE"""),"Northern component (Shell Bluff)")</f>
        <v>Northern component (Shell Bluff)</v>
      </c>
      <c r="I105" s="15">
        <f ca="1">IFERROR(__xludf.DUMMYFUNCTION("""COMPUTED_VALUE"""),0.541666666667879)</f>
        <v>0.54166666666787899</v>
      </c>
      <c r="J105" s="16">
        <f ca="1">IFERROR(__xludf.DUMMYFUNCTION("""COMPUTED_VALUE"""),43293.5625)</f>
        <v>43293.5625</v>
      </c>
      <c r="K105" t="str">
        <f ca="1">IFERROR(__xludf.DUMMYFUNCTION("""COMPUTED_VALUE"""),"23ft Skiff (Bertha) FL7972LJ DEP07613")</f>
        <v>23ft Skiff (Bertha) FL7972LJ DEP07613</v>
      </c>
      <c r="M105" t="str">
        <f ca="1">IFERROR(__xludf.DUMMYFUNCTION("""COMPUTED_VALUE"""),"Ford F150 2015 (White) - DEP21448")</f>
        <v>Ford F150 2015 (White) - DEP21448</v>
      </c>
      <c r="N105" t="str">
        <f ca="1">IFERROR(__xludf.DUMMYFUNCTION("""COMPUTED_VALUE"""),"Kenneth Rainer, (936) 499-1853")</f>
        <v>Kenneth Rainer, (936) 499-1853</v>
      </c>
      <c r="O105" t="str">
        <f ca="1">IFERROR(__xludf.DUMMYFUNCTION("""COMPUTED_VALUE"""),"Summer Campers (7-9yr &amp; 10-12yr campers)")</f>
        <v>Summer Campers (7-9yr &amp; 10-12yr campers)</v>
      </c>
      <c r="P105" t="str">
        <f ca="1">IFERROR(__xludf.DUMMYFUNCTION("""COMPUTED_VALUE"""),"Kenneth Rainer")</f>
        <v>Kenneth Rainer</v>
      </c>
      <c r="Q105" t="str">
        <f ca="1">IFERROR(__xludf.DUMMYFUNCTION("""COMPUTED_VALUE"""),"Good")</f>
        <v>Good</v>
      </c>
      <c r="R105" t="str">
        <f ca="1">IFERROR(__xludf.DUMMYFUNCTION("""COMPUTED_VALUE"""),"Good")</f>
        <v>Good</v>
      </c>
      <c r="S105" t="str">
        <f ca="1">IFERROR(__xludf.DUMMYFUNCTION("""COMPUTED_VALUE"""),"Good")</f>
        <v>Good</v>
      </c>
      <c r="T105" t="str">
        <f ca="1">IFERROR(__xludf.DUMMYFUNCTION("""COMPUTED_VALUE"""),"Good")</f>
        <v>Good</v>
      </c>
      <c r="U105" t="str">
        <f ca="1">IFERROR(__xludf.DUMMYFUNCTION("""COMPUTED_VALUE"""),"Good")</f>
        <v>Good</v>
      </c>
      <c r="V105" t="str">
        <f ca="1">IFERROR(__xludf.DUMMYFUNCTION("""COMPUTED_VALUE"""),"Good")</f>
        <v>Good</v>
      </c>
      <c r="W105" t="str">
        <f ca="1">IFERROR(__xludf.DUMMYFUNCTION("""COMPUTED_VALUE"""),"Good")</f>
        <v>Good</v>
      </c>
      <c r="X105" t="str">
        <f ca="1">IFERROR(__xludf.DUMMYFUNCTION("""COMPUTED_VALUE"""),"Good")</f>
        <v>Good</v>
      </c>
      <c r="Y105" t="str">
        <f ca="1">IFERROR(__xludf.DUMMYFUNCTION("""COMPUTED_VALUE"""),"Good")</f>
        <v>Good</v>
      </c>
      <c r="Z105" t="str">
        <f ca="1">IFERROR(__xludf.DUMMYFUNCTION("""COMPUTED_VALUE"""),"Good")</f>
        <v>Good</v>
      </c>
      <c r="AA105" t="str">
        <f ca="1">IFERROR(__xludf.DUMMYFUNCTION("""COMPUTED_VALUE"""),"Good")</f>
        <v>Good</v>
      </c>
      <c r="AB105" t="str">
        <f ca="1">IFERROR(__xludf.DUMMYFUNCTION("""COMPUTED_VALUE"""),"Good")</f>
        <v>Good</v>
      </c>
      <c r="AC105" t="str">
        <f ca="1">IFERROR(__xludf.DUMMYFUNCTION("""COMPUTED_VALUE"""),"Good")</f>
        <v>Good</v>
      </c>
      <c r="AD105" t="str">
        <f ca="1">IFERROR(__xludf.DUMMYFUNCTION("""COMPUTED_VALUE"""),"Mainly sunny. A stray shower or thunderstorm is possible. High near 90F. SW winds shifting to ESE at 10 to 15 mph.")</f>
        <v>Mainly sunny. A stray shower or thunderstorm is possible. High near 90F. SW winds shifting to ESE at 10 to 15 mph.</v>
      </c>
      <c r="AE105" s="11" t="str">
        <f ca="1">IFERROR(__xludf.DUMMYFUNCTION("""COMPUTED_VALUE"""),"08:26 AM, 3.96 ft, H --- 2:24 PM, -1.12 ft, L")</f>
        <v>08:26 AM, 3.96 ft, H --- 2:24 PM, -1.12 ft, L</v>
      </c>
      <c r="AF105" t="str">
        <v>Kenneth.Rainer@floridadep.gov</v>
      </c>
      <c r="AG105" s="17" t="s">
        <v>17</v>
      </c>
      <c r="AH105" s="12"/>
      <c r="AI105" s="12" t="s">
        <v>253</v>
      </c>
      <c r="AJ105" s="19" t="s">
        <v>254</v>
      </c>
      <c r="AK105" s="20" t="str">
        <f>HYPERLINK("https://docs.google.com/document/d/15JSaSCbxrJwu6kwkLTnDA9-lYy2XQUHFjS2JiRUKLGM/edit?usp=drivesdk","Kenneth Rainer - 7/12/2018 9:30 AM")</f>
        <v>Kenneth Rainer - 7/12/2018 9:30 AM</v>
      </c>
      <c r="AL105" s="12" t="s">
        <v>255</v>
      </c>
    </row>
    <row r="106" spans="1:38" ht="12.75">
      <c r="A106" s="10">
        <f ca="1">IFERROR(__xludf.DUMMYFUNCTION("""COMPUTED_VALUE"""),43293.3781090625)</f>
        <v>43293.378109062498</v>
      </c>
      <c r="B106" s="11" t="str">
        <f ca="1">IFERROR(__xludf.DUMMYFUNCTION("""COMPUTED_VALUE"""),"Shannon Dunnigan")</f>
        <v>Shannon Dunnigan</v>
      </c>
      <c r="C106" t="str">
        <f ca="1">IFERROR(__xludf.DUMMYFUNCTION("""COMPUTED_VALUE"""),"Shannon.Dunnigan@dep.state.fl.us")</f>
        <v>Shannon.Dunnigan@dep.state.fl.us</v>
      </c>
      <c r="D106" t="str">
        <f ca="1">IFERROR(__xludf.DUMMYFUNCTION("""COMPUTED_VALUE"""),"Research/Nikki")</f>
        <v>Research/Nikki</v>
      </c>
      <c r="E106" t="str">
        <f ca="1">IFERROR(__xludf.DUMMYFUNCTION("""COMPUTED_VALUE"""),"Bings Landing")</f>
        <v>Bings Landing</v>
      </c>
      <c r="F106" s="13">
        <f ca="1">IFERROR(__xludf.DUMMYFUNCTION("""COMPUTED_VALUE"""),0.45833333333212)</f>
        <v>0.45833333333212001</v>
      </c>
      <c r="G106" s="14">
        <f ca="1">IFERROR(__xludf.DUMMYFUNCTION("""COMPUTED_VALUE"""),43293)</f>
        <v>43293</v>
      </c>
      <c r="H106" t="str">
        <f ca="1">IFERROR(__xludf.DUMMYFUNCTION("""COMPUTED_VALUE"""),"ICW around Summerhaven")</f>
        <v>ICW around Summerhaven</v>
      </c>
      <c r="I106" s="15">
        <f ca="1">IFERROR(__xludf.DUMMYFUNCTION("""COMPUTED_VALUE"""),0.5625)</f>
        <v>0.5625</v>
      </c>
      <c r="J106" s="16">
        <f ca="1">IFERROR(__xludf.DUMMYFUNCTION("""COMPUTED_VALUE"""),43293.625)</f>
        <v>43293.625</v>
      </c>
      <c r="K106" t="str">
        <f ca="1">IFERROR(__xludf.DUMMYFUNCTION("""COMPUTED_VALUE"""),"20ft Sea Ark FL5351SJ UNF 2015")</f>
        <v>20ft Sea Ark FL5351SJ UNF 2015</v>
      </c>
      <c r="M106" t="str">
        <f ca="1">IFERROR(__xludf.DUMMYFUNCTION("""COMPUTED_VALUE"""),"Ford F250 2017 (Moby Dix) - DEP0021578")</f>
        <v>Ford F250 2017 (Moby Dix) - DEP0021578</v>
      </c>
      <c r="N106" t="str">
        <f ca="1">IFERROR(__xludf.DUMMYFUNCTION("""COMPUTED_VALUE"""),"Shannon Dunnigan, (803) 727-5734, Ben Mowbray, (407) 962-8782")</f>
        <v>Shannon Dunnigan, (803) 727-5734, Ben Mowbray, (407) 962-8782</v>
      </c>
      <c r="O106" t="str">
        <f ca="1">IFERROR(__xludf.DUMMYFUNCTION("""COMPUTED_VALUE"""),"Matt Brown, Trinity Hopkins, Hunter Mathews")</f>
        <v>Matt Brown, Trinity Hopkins, Hunter Mathews</v>
      </c>
      <c r="P106" t="str">
        <f ca="1">IFERROR(__xludf.DUMMYFUNCTION("""COMPUTED_VALUE"""),"Shannon Dunnigan")</f>
        <v>Shannon Dunnigan</v>
      </c>
      <c r="Q106" t="str">
        <f ca="1">IFERROR(__xludf.DUMMYFUNCTION("""COMPUTED_VALUE"""),"Good")</f>
        <v>Good</v>
      </c>
      <c r="R106" t="str">
        <f ca="1">IFERROR(__xludf.DUMMYFUNCTION("""COMPUTED_VALUE"""),"Good")</f>
        <v>Good</v>
      </c>
      <c r="S106" t="str">
        <f ca="1">IFERROR(__xludf.DUMMYFUNCTION("""COMPUTED_VALUE"""),"Good")</f>
        <v>Good</v>
      </c>
      <c r="T106" t="str">
        <f ca="1">IFERROR(__xludf.DUMMYFUNCTION("""COMPUTED_VALUE"""),"Good")</f>
        <v>Good</v>
      </c>
      <c r="U106" t="str">
        <f ca="1">IFERROR(__xludf.DUMMYFUNCTION("""COMPUTED_VALUE"""),"Good")</f>
        <v>Good</v>
      </c>
      <c r="V106" t="str">
        <f ca="1">IFERROR(__xludf.DUMMYFUNCTION("""COMPUTED_VALUE"""),"Good")</f>
        <v>Good</v>
      </c>
      <c r="W106" t="str">
        <f ca="1">IFERROR(__xludf.DUMMYFUNCTION("""COMPUTED_VALUE"""),"Good")</f>
        <v>Good</v>
      </c>
      <c r="X106" t="str">
        <f ca="1">IFERROR(__xludf.DUMMYFUNCTION("""COMPUTED_VALUE"""),"Good")</f>
        <v>Good</v>
      </c>
      <c r="Y106" t="str">
        <f ca="1">IFERROR(__xludf.DUMMYFUNCTION("""COMPUTED_VALUE"""),"Good")</f>
        <v>Good</v>
      </c>
      <c r="Z106" t="str">
        <f ca="1">IFERROR(__xludf.DUMMYFUNCTION("""COMPUTED_VALUE"""),"Good")</f>
        <v>Good</v>
      </c>
      <c r="AA106" t="str">
        <f ca="1">IFERROR(__xludf.DUMMYFUNCTION("""COMPUTED_VALUE"""),"Good")</f>
        <v>Good</v>
      </c>
      <c r="AB106" t="str">
        <f ca="1">IFERROR(__xludf.DUMMYFUNCTION("""COMPUTED_VALUE"""),"Good")</f>
        <v>Good</v>
      </c>
      <c r="AC106" t="str">
        <f ca="1">IFERROR(__xludf.DUMMYFUNCTION("""COMPUTED_VALUE"""),"Good")</f>
        <v>Good</v>
      </c>
      <c r="AE106" s="11"/>
      <c r="AF106" t="str">
        <v>Nikki.Dix@floridadep.gov</v>
      </c>
      <c r="AG106" s="17" t="s">
        <v>41</v>
      </c>
      <c r="AH106" s="12"/>
      <c r="AI106" s="12" t="s">
        <v>256</v>
      </c>
      <c r="AJ106" s="19" t="s">
        <v>257</v>
      </c>
      <c r="AK106" s="20" t="str">
        <f>HYPERLINK("https://docs.google.com/document/d/1Gyx9ROaTKWuy-76rkui4kE2dTnRUDtMTJAqKpXUVmj4/edit?usp=drivesdk","Shannon Dunnigan - 7/12/2018 11:00 AM")</f>
        <v>Shannon Dunnigan - 7/12/2018 11:00 AM</v>
      </c>
      <c r="AL106" s="12" t="s">
        <v>258</v>
      </c>
    </row>
    <row r="107" spans="1:38" ht="12.75">
      <c r="A107" s="10">
        <f ca="1">IFERROR(__xludf.DUMMYFUNCTION("""COMPUTED_VALUE"""),43298.6036786226)</f>
        <v>43298.603678622603</v>
      </c>
      <c r="B107" s="11" t="str">
        <f ca="1">IFERROR(__xludf.DUMMYFUNCTION("""COMPUTED_VALUE"""),"Ben Mowbray")</f>
        <v>Ben Mowbray</v>
      </c>
      <c r="C107" t="str">
        <f ca="1">IFERROR(__xludf.DUMMYFUNCTION("""COMPUTED_VALUE"""),"ben.mowbray@dep.state.fl.us")</f>
        <v>ben.mowbray@dep.state.fl.us</v>
      </c>
      <c r="D107" t="str">
        <f ca="1">IFERROR(__xludf.DUMMYFUNCTION("""COMPUTED_VALUE"""),"Research/Pam")</f>
        <v>Research/Pam</v>
      </c>
      <c r="E107" t="str">
        <f ca="1">IFERROR(__xludf.DUMMYFUNCTION("""COMPUTED_VALUE"""),"Aunt Kate's")</f>
        <v>Aunt Kate's</v>
      </c>
      <c r="F107" s="13">
        <f ca="1">IFERROR(__xludf.DUMMYFUNCTION("""COMPUTED_VALUE"""),0.260416666667879)</f>
        <v>0.26041666666787899</v>
      </c>
      <c r="G107" s="14">
        <f ca="1">IFERROR(__xludf.DUMMYFUNCTION("""COMPUTED_VALUE"""),43299)</f>
        <v>43299</v>
      </c>
      <c r="H107" t="str">
        <f ca="1">IFERROR(__xludf.DUMMYFUNCTION("""COMPUTED_VALUE"""),"GR and TR Reefs")</f>
        <v>GR and TR Reefs</v>
      </c>
      <c r="I107" s="15">
        <f ca="1">IFERROR(__xludf.DUMMYFUNCTION("""COMPUTED_VALUE"""),0.479166666667879)</f>
        <v>0.47916666666787899</v>
      </c>
      <c r="J107" s="16">
        <f ca="1">IFERROR(__xludf.DUMMYFUNCTION("""COMPUTED_VALUE"""),43299.5)</f>
        <v>43299.5</v>
      </c>
      <c r="K107" t="str">
        <f ca="1">IFERROR(__xludf.DUMMYFUNCTION("""COMPUTED_VALUE"""),"23ft Skiff (Bertha) FL7972LJ DEP07613")</f>
        <v>23ft Skiff (Bertha) FL7972LJ DEP07613</v>
      </c>
      <c r="M107" t="str">
        <f ca="1">IFERROR(__xludf.DUMMYFUNCTION("""COMPUTED_VALUE"""),"Ford F250 2017 (Moby Dix) - DEP0021578")</f>
        <v>Ford F250 2017 (Moby Dix) - DEP0021578</v>
      </c>
      <c r="N107" t="str">
        <f ca="1">IFERROR(__xludf.DUMMYFUNCTION("""COMPUTED_VALUE"""),"Ben Mowbray, (407) 962-8782")</f>
        <v>Ben Mowbray, (407) 962-8782</v>
      </c>
      <c r="O107" t="str">
        <f ca="1">IFERROR(__xludf.DUMMYFUNCTION("""COMPUTED_VALUE"""),"Nicole, Rodrigo, Adrienne, David")</f>
        <v>Nicole, Rodrigo, Adrienne, David</v>
      </c>
      <c r="P107" t="str">
        <f ca="1">IFERROR(__xludf.DUMMYFUNCTION("""COMPUTED_VALUE"""),"Ben")</f>
        <v>Ben</v>
      </c>
      <c r="Q107" t="str">
        <f ca="1">IFERROR(__xludf.DUMMYFUNCTION("""COMPUTED_VALUE"""),"Good")</f>
        <v>Good</v>
      </c>
      <c r="R107" t="str">
        <f ca="1">IFERROR(__xludf.DUMMYFUNCTION("""COMPUTED_VALUE"""),"Good")</f>
        <v>Good</v>
      </c>
      <c r="S107" t="str">
        <f ca="1">IFERROR(__xludf.DUMMYFUNCTION("""COMPUTED_VALUE"""),"Good")</f>
        <v>Good</v>
      </c>
      <c r="T107" t="str">
        <f ca="1">IFERROR(__xludf.DUMMYFUNCTION("""COMPUTED_VALUE"""),"Good")</f>
        <v>Good</v>
      </c>
      <c r="U107" t="str">
        <f ca="1">IFERROR(__xludf.DUMMYFUNCTION("""COMPUTED_VALUE"""),"Good")</f>
        <v>Good</v>
      </c>
      <c r="V107" t="str">
        <f ca="1">IFERROR(__xludf.DUMMYFUNCTION("""COMPUTED_VALUE"""),"Good")</f>
        <v>Good</v>
      </c>
      <c r="W107" t="str">
        <f ca="1">IFERROR(__xludf.DUMMYFUNCTION("""COMPUTED_VALUE"""),"Good")</f>
        <v>Good</v>
      </c>
      <c r="X107" t="str">
        <f ca="1">IFERROR(__xludf.DUMMYFUNCTION("""COMPUTED_VALUE"""),"Good")</f>
        <v>Good</v>
      </c>
      <c r="Y107" t="str">
        <f ca="1">IFERROR(__xludf.DUMMYFUNCTION("""COMPUTED_VALUE"""),"Good")</f>
        <v>Good</v>
      </c>
      <c r="Z107" t="str">
        <f ca="1">IFERROR(__xludf.DUMMYFUNCTION("""COMPUTED_VALUE"""),"Good")</f>
        <v>Good</v>
      </c>
      <c r="AA107" t="str">
        <f ca="1">IFERROR(__xludf.DUMMYFUNCTION("""COMPUTED_VALUE"""),"Good")</f>
        <v>Good</v>
      </c>
      <c r="AB107" t="str">
        <f ca="1">IFERROR(__xludf.DUMMYFUNCTION("""COMPUTED_VALUE"""),"Good")</f>
        <v>Good</v>
      </c>
      <c r="AC107" t="str">
        <f ca="1">IFERROR(__xludf.DUMMYFUNCTION("""COMPUTED_VALUE"""),"Good")</f>
        <v>Good</v>
      </c>
      <c r="AE107" s="11"/>
      <c r="AF107" t="str">
        <v>Pamela.Marcum@floridadep.gov</v>
      </c>
      <c r="AG107" s="17" t="s">
        <v>17</v>
      </c>
      <c r="AH107" s="23">
        <v>0.48958333333333331</v>
      </c>
      <c r="AI107" s="12" t="s">
        <v>260</v>
      </c>
      <c r="AJ107" s="19" t="s">
        <v>261</v>
      </c>
      <c r="AK107" s="20" t="str">
        <f>HYPERLINK("https://docs.google.com/document/d/1B2B_zzU6VYd5JQ-56maF2bnECN2oN8ZVlQhWEyzl5pg/edit?usp=drivesdk","Ben Mowbray - 7/18/2018 6:15 AM")</f>
        <v>Ben Mowbray - 7/18/2018 6:15 AM</v>
      </c>
      <c r="AL107" s="12" t="s">
        <v>262</v>
      </c>
    </row>
    <row r="108" spans="1:38" ht="12.75">
      <c r="A108" s="10">
        <f ca="1">IFERROR(__xludf.DUMMYFUNCTION("""COMPUTED_VALUE"""),43300.2295448958)</f>
        <v>43300.229544895803</v>
      </c>
      <c r="B108" s="11" t="str">
        <f ca="1">IFERROR(__xludf.DUMMYFUNCTION("""COMPUTED_VALUE"""),"Ben Mowbray")</f>
        <v>Ben Mowbray</v>
      </c>
      <c r="C108" t="str">
        <f ca="1">IFERROR(__xludf.DUMMYFUNCTION("""COMPUTED_VALUE"""),"ben.mowbray@dep.state.fl.us")</f>
        <v>ben.mowbray@dep.state.fl.us</v>
      </c>
      <c r="D108" t="str">
        <f ca="1">IFERROR(__xludf.DUMMYFUNCTION("""COMPUTED_VALUE"""),"Research/Nikki")</f>
        <v>Research/Nikki</v>
      </c>
      <c r="E108" t="str">
        <f ca="1">IFERROR(__xludf.DUMMYFUNCTION("""COMPUTED_VALUE"""),"Aunt Kate's")</f>
        <v>Aunt Kate's</v>
      </c>
      <c r="F108" s="13">
        <f ca="1">IFERROR(__xludf.DUMMYFUNCTION("""COMPUTED_VALUE"""),0.25)</f>
        <v>0.25</v>
      </c>
      <c r="G108" s="14">
        <f ca="1">IFERROR(__xludf.DUMMYFUNCTION("""COMPUTED_VALUE"""),43300)</f>
        <v>43300</v>
      </c>
      <c r="H108" t="str">
        <f ca="1">IFERROR(__xludf.DUMMYFUNCTION("""COMPUTED_VALUE"""),"TR SA and Butler Reefs")</f>
        <v>TR SA and Butler Reefs</v>
      </c>
      <c r="I108" s="15">
        <f ca="1">IFERROR(__xludf.DUMMYFUNCTION("""COMPUTED_VALUE"""),0.5)</f>
        <v>0.5</v>
      </c>
      <c r="J108" s="16">
        <f ca="1">IFERROR(__xludf.DUMMYFUNCTION("""COMPUTED_VALUE"""),43300.5243055555)</f>
        <v>43300.524305555497</v>
      </c>
      <c r="K108" t="str">
        <f ca="1">IFERROR(__xludf.DUMMYFUNCTION("""COMPUTED_VALUE"""),"23ft Skiff (Bertha) FL7972LJ DEP07613")</f>
        <v>23ft Skiff (Bertha) FL7972LJ DEP07613</v>
      </c>
      <c r="M108" t="str">
        <f ca="1">IFERROR(__xludf.DUMMYFUNCTION("""COMPUTED_VALUE"""),"Ford F250 2017 (Moby Dix) - DEP0021578")</f>
        <v>Ford F250 2017 (Moby Dix) - DEP0021578</v>
      </c>
      <c r="N108" t="str">
        <f ca="1">IFERROR(__xludf.DUMMYFUNCTION("""COMPUTED_VALUE"""),"Ben Mowbray, (407) 962-8782")</f>
        <v>Ben Mowbray, (407) 962-8782</v>
      </c>
      <c r="O108" t="str">
        <f ca="1">IFERROR(__xludf.DUMMYFUNCTION("""COMPUTED_VALUE"""),"Nicole, Rodrigo, David, Adrienne")</f>
        <v>Nicole, Rodrigo, David, Adrienne</v>
      </c>
      <c r="P108" t="str">
        <f ca="1">IFERROR(__xludf.DUMMYFUNCTION("""COMPUTED_VALUE"""),"Ben")</f>
        <v>Ben</v>
      </c>
      <c r="Q108" t="str">
        <f ca="1">IFERROR(__xludf.DUMMYFUNCTION("""COMPUTED_VALUE"""),"Good")</f>
        <v>Good</v>
      </c>
      <c r="R108" t="str">
        <f ca="1">IFERROR(__xludf.DUMMYFUNCTION("""COMPUTED_VALUE"""),"Good")</f>
        <v>Good</v>
      </c>
      <c r="S108" t="str">
        <f ca="1">IFERROR(__xludf.DUMMYFUNCTION("""COMPUTED_VALUE"""),"Good")</f>
        <v>Good</v>
      </c>
      <c r="T108" t="str">
        <f ca="1">IFERROR(__xludf.DUMMYFUNCTION("""COMPUTED_VALUE"""),"Good")</f>
        <v>Good</v>
      </c>
      <c r="U108" t="str">
        <f ca="1">IFERROR(__xludf.DUMMYFUNCTION("""COMPUTED_VALUE"""),"Good")</f>
        <v>Good</v>
      </c>
      <c r="V108" t="str">
        <f ca="1">IFERROR(__xludf.DUMMYFUNCTION("""COMPUTED_VALUE"""),"Good")</f>
        <v>Good</v>
      </c>
      <c r="W108" t="str">
        <f ca="1">IFERROR(__xludf.DUMMYFUNCTION("""COMPUTED_VALUE"""),"Good")</f>
        <v>Good</v>
      </c>
      <c r="X108" t="str">
        <f ca="1">IFERROR(__xludf.DUMMYFUNCTION("""COMPUTED_VALUE"""),"Good")</f>
        <v>Good</v>
      </c>
      <c r="Y108" t="str">
        <f ca="1">IFERROR(__xludf.DUMMYFUNCTION("""COMPUTED_VALUE"""),"Good")</f>
        <v>Good</v>
      </c>
      <c r="Z108" t="str">
        <f ca="1">IFERROR(__xludf.DUMMYFUNCTION("""COMPUTED_VALUE"""),"Good")</f>
        <v>Good</v>
      </c>
      <c r="AA108" t="str">
        <f ca="1">IFERROR(__xludf.DUMMYFUNCTION("""COMPUTED_VALUE"""),"Good")</f>
        <v>Good</v>
      </c>
      <c r="AB108" t="str">
        <f ca="1">IFERROR(__xludf.DUMMYFUNCTION("""COMPUTED_VALUE"""),"Good")</f>
        <v>Good</v>
      </c>
      <c r="AC108" t="str">
        <f ca="1">IFERROR(__xludf.DUMMYFUNCTION("""COMPUTED_VALUE"""),"Good")</f>
        <v>Good</v>
      </c>
      <c r="AE108" s="11"/>
      <c r="AF108" t="str">
        <v>Nikki.Dix@floridadep.gov</v>
      </c>
      <c r="AG108" s="17" t="s">
        <v>58</v>
      </c>
      <c r="AI108" s="12" t="s">
        <v>263</v>
      </c>
      <c r="AJ108" s="19" t="s">
        <v>264</v>
      </c>
      <c r="AK108" s="20" t="str">
        <f>HYPERLINK("https://docs.google.com/document/d/1_Jz1cLc_0eyZ6COebIUYyR_BuSj6Ej0LPmwxx-PUG2s/edit?usp=drivesdk","Ben Mowbray - 7/19/2018 6:00 AM")</f>
        <v>Ben Mowbray - 7/19/2018 6:00 AM</v>
      </c>
      <c r="AL108" s="12" t="s">
        <v>265</v>
      </c>
    </row>
    <row r="109" spans="1:38" ht="12.75">
      <c r="A109" s="10">
        <f ca="1">IFERROR(__xludf.DUMMYFUNCTION("""COMPUTED_VALUE"""),43305.3411443518)</f>
        <v>43305.341144351798</v>
      </c>
      <c r="B109" s="11" t="str">
        <f ca="1">IFERROR(__xludf.DUMMYFUNCTION("""COMPUTED_VALUE"""),"Silas Tanner")</f>
        <v>Silas Tanner</v>
      </c>
      <c r="C109" t="str">
        <f ca="1">IFERROR(__xludf.DUMMYFUNCTION("""COMPUTED_VALUE"""),"silas.tanner@floridadep.gov")</f>
        <v>silas.tanner@floridadep.gov</v>
      </c>
      <c r="D109" t="str">
        <f ca="1">IFERROR(__xludf.DUMMYFUNCTION("""COMPUTED_VALUE"""),"Research/Shannon")</f>
        <v>Research/Shannon</v>
      </c>
      <c r="E109" t="str">
        <f ca="1">IFERROR(__xludf.DUMMYFUNCTION("""COMPUTED_VALUE"""),"Vilano County ramp")</f>
        <v>Vilano County ramp</v>
      </c>
      <c r="F109" s="13">
        <f ca="1">IFERROR(__xludf.DUMMYFUNCTION("""COMPUTED_VALUE"""),0.354166666667879)</f>
        <v>0.35416666666787899</v>
      </c>
      <c r="G109" s="14">
        <f ca="1">IFERROR(__xludf.DUMMYFUNCTION("""COMPUTED_VALUE"""),43305)</f>
        <v>43305</v>
      </c>
      <c r="H109" t="str">
        <f ca="1">IFERROR(__xludf.DUMMYFUNCTION("""COMPUTED_VALUE"""),"ICW SWMP sites")</f>
        <v>ICW SWMP sites</v>
      </c>
      <c r="I109" s="15">
        <f ca="1">IFERROR(__xludf.DUMMYFUNCTION("""COMPUTED_VALUE"""),0.58333333333212)</f>
        <v>0.58333333333212001</v>
      </c>
      <c r="J109" s="16">
        <f ca="1">IFERROR(__xludf.DUMMYFUNCTION("""COMPUTED_VALUE"""),43305.6041666666)</f>
        <v>43305.604166666599</v>
      </c>
      <c r="K109" t="str">
        <f ca="1">IFERROR(__xludf.DUMMYFUNCTION("""COMPUTED_VALUE"""),"23ft Skiff (Bertha) FL7972LJ DEP07613")</f>
        <v>23ft Skiff (Bertha) FL7972LJ DEP07613</v>
      </c>
      <c r="M109" t="str">
        <f ca="1">IFERROR(__xludf.DUMMYFUNCTION("""COMPUTED_VALUE"""),"Ford F250 2017 (Moby Dix) - DEP0021578")</f>
        <v>Ford F250 2017 (Moby Dix) - DEP0021578</v>
      </c>
      <c r="N109" t="str">
        <f ca="1">IFERROR(__xludf.DUMMYFUNCTION("""COMPUTED_VALUE"""),"Silas Tanner, (904) 483-8423, Jimmy Tomazinis, (904) 547-0094, Remo Mondazi")</f>
        <v>Silas Tanner, (904) 483-8423, Jimmy Tomazinis, (904) 547-0094, Remo Mondazi</v>
      </c>
      <c r="O109" t="str">
        <f ca="1">IFERROR(__xludf.DUMMYFUNCTION("""COMPUTED_VALUE"""),"Jessica Lee, Suzi Porterfield")</f>
        <v>Jessica Lee, Suzi Porterfield</v>
      </c>
      <c r="P109" t="str">
        <f ca="1">IFERROR(__xludf.DUMMYFUNCTION("""COMPUTED_VALUE"""),"Silas Tanner")</f>
        <v>Silas Tanner</v>
      </c>
      <c r="Q109" t="str">
        <f ca="1">IFERROR(__xludf.DUMMYFUNCTION("""COMPUTED_VALUE"""),"Good")</f>
        <v>Good</v>
      </c>
      <c r="R109" t="str">
        <f ca="1">IFERROR(__xludf.DUMMYFUNCTION("""COMPUTED_VALUE"""),"Good")</f>
        <v>Good</v>
      </c>
      <c r="S109" t="str">
        <f ca="1">IFERROR(__xludf.DUMMYFUNCTION("""COMPUTED_VALUE"""),"Good")</f>
        <v>Good</v>
      </c>
      <c r="T109" t="str">
        <f ca="1">IFERROR(__xludf.DUMMYFUNCTION("""COMPUTED_VALUE"""),"Good")</f>
        <v>Good</v>
      </c>
      <c r="U109" t="str">
        <f ca="1">IFERROR(__xludf.DUMMYFUNCTION("""COMPUTED_VALUE"""),"Good")</f>
        <v>Good</v>
      </c>
      <c r="V109" t="str">
        <f ca="1">IFERROR(__xludf.DUMMYFUNCTION("""COMPUTED_VALUE"""),"Good")</f>
        <v>Good</v>
      </c>
      <c r="W109" t="str">
        <f ca="1">IFERROR(__xludf.DUMMYFUNCTION("""COMPUTED_VALUE"""),"Good")</f>
        <v>Good</v>
      </c>
      <c r="X109" t="str">
        <f ca="1">IFERROR(__xludf.DUMMYFUNCTION("""COMPUTED_VALUE"""),"Good")</f>
        <v>Good</v>
      </c>
      <c r="Y109" t="str">
        <f ca="1">IFERROR(__xludf.DUMMYFUNCTION("""COMPUTED_VALUE"""),"Good")</f>
        <v>Good</v>
      </c>
      <c r="Z109" t="str">
        <f ca="1">IFERROR(__xludf.DUMMYFUNCTION("""COMPUTED_VALUE"""),"Good")</f>
        <v>Good</v>
      </c>
      <c r="AA109" t="str">
        <f ca="1">IFERROR(__xludf.DUMMYFUNCTION("""COMPUTED_VALUE"""),"Good")</f>
        <v>Good</v>
      </c>
      <c r="AB109" t="str">
        <f ca="1">IFERROR(__xludf.DUMMYFUNCTION("""COMPUTED_VALUE"""),"Good")</f>
        <v>Good</v>
      </c>
      <c r="AC109" t="str">
        <f ca="1">IFERROR(__xludf.DUMMYFUNCTION("""COMPUTED_VALUE"""),"Good")</f>
        <v>Good</v>
      </c>
      <c r="AE109" s="11"/>
      <c r="AF109" t="str">
        <v>Shannon.Dunnigan@floridadep.gov</v>
      </c>
      <c r="AG109" s="17" t="s">
        <v>17</v>
      </c>
      <c r="AH109" s="23">
        <v>0.55000000000000004</v>
      </c>
      <c r="AI109" s="12" t="s">
        <v>266</v>
      </c>
      <c r="AJ109" s="19" t="s">
        <v>267</v>
      </c>
      <c r="AK109" s="20" t="str">
        <f>HYPERLINK("https://docs.google.com/document/d/1hYRN2pBVHw4Yusqyy9lepzKzhEppwr8z0-qaMhE2DYQ/edit?usp=drivesdk","Silas Tanner - 7/24/2018 8:30 AM")</f>
        <v>Silas Tanner - 7/24/2018 8:30 AM</v>
      </c>
      <c r="AL109" s="12" t="s">
        <v>268</v>
      </c>
    </row>
    <row r="110" spans="1:38" ht="12.75">
      <c r="A110" s="10">
        <f ca="1">IFERROR(__xludf.DUMMYFUNCTION("""COMPUTED_VALUE"""),43306.4394006597)</f>
        <v>43306.439400659699</v>
      </c>
      <c r="B110" s="11" t="str">
        <f ca="1">IFERROR(__xludf.DUMMYFUNCTION("""COMPUTED_VALUE"""),"Pamela Marcum")</f>
        <v>Pamela Marcum</v>
      </c>
      <c r="C110" t="str">
        <f ca="1">IFERROR(__xludf.DUMMYFUNCTION("""COMPUTED_VALUE"""),"Pamela.Marcum@dep.state.fl.us")</f>
        <v>Pamela.Marcum@dep.state.fl.us</v>
      </c>
      <c r="D110" t="str">
        <f ca="1">IFERROR(__xludf.DUMMYFUNCTION("""COMPUTED_VALUE"""),"Research/Nikki")</f>
        <v>Research/Nikki</v>
      </c>
      <c r="E110" t="str">
        <f ca="1">IFERROR(__xludf.DUMMYFUNCTION("""COMPUTED_VALUE"""),"Palm Valley")</f>
        <v>Palm Valley</v>
      </c>
      <c r="F110" s="13">
        <f ca="1">IFERROR(__xludf.DUMMYFUNCTION("""COMPUTED_VALUE"""),0.45833333333212)</f>
        <v>0.45833333333212001</v>
      </c>
      <c r="G110" s="14">
        <f ca="1">IFERROR(__xludf.DUMMYFUNCTION("""COMPUTED_VALUE"""),43306)</f>
        <v>43306</v>
      </c>
      <c r="H110" t="str">
        <f ca="1">IFERROR(__xludf.DUMMYFUNCTION("""COMPUTED_VALUE"""),"Pine Island Marsh Site")</f>
        <v>Pine Island Marsh Site</v>
      </c>
      <c r="I110" s="15">
        <f ca="1">IFERROR(__xludf.DUMMYFUNCTION("""COMPUTED_VALUE"""),0.541666666667879)</f>
        <v>0.54166666666787899</v>
      </c>
      <c r="J110" s="16">
        <f ca="1">IFERROR(__xludf.DUMMYFUNCTION("""COMPUTED_VALUE"""),43306.5625)</f>
        <v>43306.5625</v>
      </c>
      <c r="K110" t="str">
        <f ca="1">IFERROR(__xludf.DUMMYFUNCTION("""COMPUTED_VALUE"""),"20ft Sea Ark FL5351SJ UNF 2015")</f>
        <v>20ft Sea Ark FL5351SJ UNF 2015</v>
      </c>
      <c r="M110" t="str">
        <f ca="1">IFERROR(__xludf.DUMMYFUNCTION("""COMPUTED_VALUE"""),"Ford F150 2015 (White) - DEP21448")</f>
        <v>Ford F150 2015 (White) - DEP21448</v>
      </c>
      <c r="N110" t="str">
        <f ca="1">IFERROR(__xludf.DUMMYFUNCTION("""COMPUTED_VALUE"""),"Pam Marcum, (480) 332-5414, Ben Mowbray, (407) 962-8782")</f>
        <v>Pam Marcum, (480) 332-5414, Ben Mowbray, (407) 962-8782</v>
      </c>
      <c r="P110" t="str">
        <f ca="1">IFERROR(__xludf.DUMMYFUNCTION("""COMPUTED_VALUE"""),"Pamela Marcum")</f>
        <v>Pamela Marcum</v>
      </c>
      <c r="Q110" t="str">
        <f ca="1">IFERROR(__xludf.DUMMYFUNCTION("""COMPUTED_VALUE"""),"Good")</f>
        <v>Good</v>
      </c>
      <c r="R110" t="str">
        <f ca="1">IFERROR(__xludf.DUMMYFUNCTION("""COMPUTED_VALUE"""),"Good")</f>
        <v>Good</v>
      </c>
      <c r="S110" t="str">
        <f ca="1">IFERROR(__xludf.DUMMYFUNCTION("""COMPUTED_VALUE"""),"Good")</f>
        <v>Good</v>
      </c>
      <c r="T110" t="str">
        <f ca="1">IFERROR(__xludf.DUMMYFUNCTION("""COMPUTED_VALUE"""),"Good")</f>
        <v>Good</v>
      </c>
      <c r="U110" t="str">
        <f ca="1">IFERROR(__xludf.DUMMYFUNCTION("""COMPUTED_VALUE"""),"Good")</f>
        <v>Good</v>
      </c>
      <c r="V110" t="str">
        <f ca="1">IFERROR(__xludf.DUMMYFUNCTION("""COMPUTED_VALUE"""),"Good")</f>
        <v>Good</v>
      </c>
      <c r="W110" t="str">
        <f ca="1">IFERROR(__xludf.DUMMYFUNCTION("""COMPUTED_VALUE"""),"Good")</f>
        <v>Good</v>
      </c>
      <c r="X110" t="str">
        <f ca="1">IFERROR(__xludf.DUMMYFUNCTION("""COMPUTED_VALUE"""),"Good")</f>
        <v>Good</v>
      </c>
      <c r="Y110" t="str">
        <f ca="1">IFERROR(__xludf.DUMMYFUNCTION("""COMPUTED_VALUE"""),"Good")</f>
        <v>Good</v>
      </c>
      <c r="Z110" t="str">
        <f ca="1">IFERROR(__xludf.DUMMYFUNCTION("""COMPUTED_VALUE"""),"Good")</f>
        <v>Good</v>
      </c>
      <c r="AA110" t="str">
        <f ca="1">IFERROR(__xludf.DUMMYFUNCTION("""COMPUTED_VALUE"""),"Good")</f>
        <v>Good</v>
      </c>
      <c r="AB110" t="str">
        <f ca="1">IFERROR(__xludf.DUMMYFUNCTION("""COMPUTED_VALUE"""),"Good")</f>
        <v>Good</v>
      </c>
      <c r="AC110" t="str">
        <f ca="1">IFERROR(__xludf.DUMMYFUNCTION("""COMPUTED_VALUE"""),"Good")</f>
        <v>Good</v>
      </c>
      <c r="AE110" s="11"/>
      <c r="AF110" t="str">
        <v>Nikki.Dix@floridadep.gov</v>
      </c>
      <c r="AG110" s="17" t="s">
        <v>17</v>
      </c>
      <c r="AH110" s="23">
        <v>0.54236111111111107</v>
      </c>
      <c r="AI110" s="12" t="s">
        <v>269</v>
      </c>
      <c r="AJ110" s="19" t="s">
        <v>270</v>
      </c>
      <c r="AK110" s="20" t="str">
        <f>HYPERLINK("https://docs.google.com/document/d/1Yf58Vo3igrV_L3FTGJfaglDeuNiDkG2mScsf6Af2oGg/edit?usp=drivesdk","Pamela Marcum - 7/25/2018 11:00 AM")</f>
        <v>Pamela Marcum - 7/25/2018 11:00 AM</v>
      </c>
      <c r="AL110" s="12" t="s">
        <v>271</v>
      </c>
    </row>
    <row r="111" spans="1:38" ht="12.75">
      <c r="A111" s="10">
        <f ca="1">IFERROR(__xludf.DUMMYFUNCTION("""COMPUTED_VALUE"""),43306.5817455324)</f>
        <v>43306.5817455324</v>
      </c>
      <c r="B111" s="11" t="str">
        <f ca="1">IFERROR(__xludf.DUMMYFUNCTION("""COMPUTED_VALUE"""),"Silas Tanner")</f>
        <v>Silas Tanner</v>
      </c>
      <c r="C111" t="str">
        <f ca="1">IFERROR(__xludf.DUMMYFUNCTION("""COMPUTED_VALUE"""),"silas.tanner@floridadep.gov")</f>
        <v>silas.tanner@floridadep.gov</v>
      </c>
      <c r="D111" t="str">
        <f ca="1">IFERROR(__xludf.DUMMYFUNCTION("""COMPUTED_VALUE"""),"Research/Shannon")</f>
        <v>Research/Shannon</v>
      </c>
      <c r="E111" t="str">
        <f ca="1">IFERROR(__xludf.DUMMYFUNCTION("""COMPUTED_VALUE"""),"Bing's")</f>
        <v>Bing's</v>
      </c>
      <c r="F111" s="13">
        <f ca="1">IFERROR(__xludf.DUMMYFUNCTION("""COMPUTED_VALUE"""),0.479166666667879)</f>
        <v>0.47916666666787899</v>
      </c>
      <c r="G111" s="14">
        <f ca="1">IFERROR(__xludf.DUMMYFUNCTION("""COMPUTED_VALUE"""),43308)</f>
        <v>43308</v>
      </c>
      <c r="H111" t="str">
        <f ca="1">IFERROR(__xludf.DUMMYFUNCTION("""COMPUTED_VALUE"""),"ICW - Rattlesnake Island to Bing's")</f>
        <v>ICW - Rattlesnake Island to Bing's</v>
      </c>
      <c r="I111" s="15">
        <f ca="1">IFERROR(__xludf.DUMMYFUNCTION("""COMPUTED_VALUE"""),0.64583333333212)</f>
        <v>0.64583333333212001</v>
      </c>
      <c r="J111" s="16">
        <f ca="1">IFERROR(__xludf.DUMMYFUNCTION("""COMPUTED_VALUE"""),43308.6875)</f>
        <v>43308.6875</v>
      </c>
      <c r="K111" t="str">
        <f ca="1">IFERROR(__xludf.DUMMYFUNCTION("""COMPUTED_VALUE"""),"23ft Skiff (Bertha) FL7972LJ DEP07613")</f>
        <v>23ft Skiff (Bertha) FL7972LJ DEP07613</v>
      </c>
      <c r="M111" t="str">
        <f ca="1">IFERROR(__xludf.DUMMYFUNCTION("""COMPUTED_VALUE"""),"Ford F250 2017 (Moby Dix) - DEP0021578")</f>
        <v>Ford F250 2017 (Moby Dix) - DEP0021578</v>
      </c>
      <c r="N111" t="str">
        <f ca="1">IFERROR(__xludf.DUMMYFUNCTION("""COMPUTED_VALUE"""),"Shannon Dunnigan, (803) 727-5734, Silas Tanner, (904) 483-8423")</f>
        <v>Shannon Dunnigan, (803) 727-5734, Silas Tanner, (904) 483-8423</v>
      </c>
      <c r="O111" t="str">
        <f ca="1">IFERROR(__xludf.DUMMYFUNCTION("""COMPUTED_VALUE"""),"Matt Brown, Megan Wright, Taryn Chaya, Savannah Fann")</f>
        <v>Matt Brown, Megan Wright, Taryn Chaya, Savannah Fann</v>
      </c>
      <c r="P111" t="str">
        <f ca="1">IFERROR(__xludf.DUMMYFUNCTION("""COMPUTED_VALUE"""),"Silas Tanner")</f>
        <v>Silas Tanner</v>
      </c>
      <c r="Q111" t="str">
        <f ca="1">IFERROR(__xludf.DUMMYFUNCTION("""COMPUTED_VALUE"""),"Good")</f>
        <v>Good</v>
      </c>
      <c r="R111" t="str">
        <f ca="1">IFERROR(__xludf.DUMMYFUNCTION("""COMPUTED_VALUE"""),"Good")</f>
        <v>Good</v>
      </c>
      <c r="S111" t="str">
        <f ca="1">IFERROR(__xludf.DUMMYFUNCTION("""COMPUTED_VALUE"""),"Good")</f>
        <v>Good</v>
      </c>
      <c r="T111" t="str">
        <f ca="1">IFERROR(__xludf.DUMMYFUNCTION("""COMPUTED_VALUE"""),"Good")</f>
        <v>Good</v>
      </c>
      <c r="U111" t="str">
        <f ca="1">IFERROR(__xludf.DUMMYFUNCTION("""COMPUTED_VALUE"""),"Good")</f>
        <v>Good</v>
      </c>
      <c r="V111" t="str">
        <f ca="1">IFERROR(__xludf.DUMMYFUNCTION("""COMPUTED_VALUE"""),"Good")</f>
        <v>Good</v>
      </c>
      <c r="W111" t="str">
        <f ca="1">IFERROR(__xludf.DUMMYFUNCTION("""COMPUTED_VALUE"""),"Good")</f>
        <v>Good</v>
      </c>
      <c r="X111" t="str">
        <f ca="1">IFERROR(__xludf.DUMMYFUNCTION("""COMPUTED_VALUE"""),"Good")</f>
        <v>Good</v>
      </c>
      <c r="Y111" t="str">
        <f ca="1">IFERROR(__xludf.DUMMYFUNCTION("""COMPUTED_VALUE"""),"Good")</f>
        <v>Good</v>
      </c>
      <c r="Z111" t="str">
        <f ca="1">IFERROR(__xludf.DUMMYFUNCTION("""COMPUTED_VALUE"""),"Good")</f>
        <v>Good</v>
      </c>
      <c r="AA111" t="str">
        <f ca="1">IFERROR(__xludf.DUMMYFUNCTION("""COMPUTED_VALUE"""),"Good")</f>
        <v>Good</v>
      </c>
      <c r="AB111" t="str">
        <f ca="1">IFERROR(__xludf.DUMMYFUNCTION("""COMPUTED_VALUE"""),"Good")</f>
        <v>Good</v>
      </c>
      <c r="AC111" t="str">
        <f ca="1">IFERROR(__xludf.DUMMYFUNCTION("""COMPUTED_VALUE"""),"Good")</f>
        <v>Good</v>
      </c>
      <c r="AE111" s="11"/>
      <c r="AF111" t="str">
        <v>Shannon.Dunnigan@floridadep.gov</v>
      </c>
      <c r="AG111" s="17" t="s">
        <v>17</v>
      </c>
      <c r="AH111" s="23">
        <v>0.59166666666666667</v>
      </c>
      <c r="AI111" s="12" t="s">
        <v>272</v>
      </c>
      <c r="AJ111" s="19" t="s">
        <v>273</v>
      </c>
      <c r="AK111" s="20" t="str">
        <f>HYPERLINK("https://docs.google.com/document/d/1BaYGUmqVMqP7K6yogEN7JA9Puier9G8taRo2F6LjQ64/edit?usp=drivesdk","Silas Tanner - 7/27/2018 11:30 AM")</f>
        <v>Silas Tanner - 7/27/2018 11:30 AM</v>
      </c>
      <c r="AL111" s="12" t="s">
        <v>274</v>
      </c>
    </row>
    <row r="112" spans="1:38" ht="12.75">
      <c r="A112" s="10">
        <f ca="1">IFERROR(__xludf.DUMMYFUNCTION("""COMPUTED_VALUE"""),43307.3769906481)</f>
        <v>43307.376990648103</v>
      </c>
      <c r="B112" s="11" t="str">
        <f ca="1">IFERROR(__xludf.DUMMYFUNCTION("""COMPUTED_VALUE"""),"Pamela Marcum")</f>
        <v>Pamela Marcum</v>
      </c>
      <c r="C112" t="str">
        <f ca="1">IFERROR(__xludf.DUMMYFUNCTION("""COMPUTED_VALUE"""),"Pamela.Marcum@dep.state.fl.us")</f>
        <v>Pamela.Marcum@dep.state.fl.us</v>
      </c>
      <c r="D112" t="str">
        <f ca="1">IFERROR(__xludf.DUMMYFUNCTION("""COMPUTED_VALUE"""),"Research/Nikki")</f>
        <v>Research/Nikki</v>
      </c>
      <c r="E112" t="str">
        <f ca="1">IFERROR(__xludf.DUMMYFUNCTION("""COMPUTED_VALUE"""),"Aunt Kate's")</f>
        <v>Aunt Kate's</v>
      </c>
      <c r="F112" s="13">
        <f ca="1">IFERROR(__xludf.DUMMYFUNCTION("""COMPUTED_VALUE"""),0.39583333333212)</f>
        <v>0.39583333333212001</v>
      </c>
      <c r="G112" s="14">
        <f ca="1">IFERROR(__xludf.DUMMYFUNCTION("""COMPUTED_VALUE"""),43307)</f>
        <v>43307</v>
      </c>
      <c r="H112" t="str">
        <f ca="1">IFERROR(__xludf.DUMMYFUNCTION("""COMPUTED_VALUE"""),"Hat Island marsh site")</f>
        <v>Hat Island marsh site</v>
      </c>
      <c r="I112" s="15">
        <f ca="1">IFERROR(__xludf.DUMMYFUNCTION("""COMPUTED_VALUE"""),0.5)</f>
        <v>0.5</v>
      </c>
      <c r="J112" s="16">
        <f ca="1">IFERROR(__xludf.DUMMYFUNCTION("""COMPUTED_VALUE"""),43307.5208333333)</f>
        <v>43307.520833333299</v>
      </c>
      <c r="K112" t="str">
        <f ca="1">IFERROR(__xludf.DUMMYFUNCTION("""COMPUTED_VALUE"""),"20ft Sea Ark FL5351SJ UNF 2015")</f>
        <v>20ft Sea Ark FL5351SJ UNF 2015</v>
      </c>
      <c r="M112" t="str">
        <f ca="1">IFERROR(__xludf.DUMMYFUNCTION("""COMPUTED_VALUE"""),"Ford F150 2015 (White) - DEP21448")</f>
        <v>Ford F150 2015 (White) - DEP21448</v>
      </c>
      <c r="N112" t="str">
        <f ca="1">IFERROR(__xludf.DUMMYFUNCTION("""COMPUTED_VALUE"""),"Pam Marcum, (480) 332-5414")</f>
        <v>Pam Marcum, (480) 332-5414</v>
      </c>
      <c r="O112" t="str">
        <f ca="1">IFERROR(__xludf.DUMMYFUNCTION("""COMPUTED_VALUE"""),"Sam Shaw")</f>
        <v>Sam Shaw</v>
      </c>
      <c r="P112" t="str">
        <f ca="1">IFERROR(__xludf.DUMMYFUNCTION("""COMPUTED_VALUE"""),"Pamela Marcum")</f>
        <v>Pamela Marcum</v>
      </c>
      <c r="Q112" t="str">
        <f ca="1">IFERROR(__xludf.DUMMYFUNCTION("""COMPUTED_VALUE"""),"Good")</f>
        <v>Good</v>
      </c>
      <c r="R112" t="str">
        <f ca="1">IFERROR(__xludf.DUMMYFUNCTION("""COMPUTED_VALUE"""),"Good")</f>
        <v>Good</v>
      </c>
      <c r="S112" t="str">
        <f ca="1">IFERROR(__xludf.DUMMYFUNCTION("""COMPUTED_VALUE"""),"Good")</f>
        <v>Good</v>
      </c>
      <c r="T112" t="str">
        <f ca="1">IFERROR(__xludf.DUMMYFUNCTION("""COMPUTED_VALUE"""),"Good")</f>
        <v>Good</v>
      </c>
      <c r="U112" t="str">
        <f ca="1">IFERROR(__xludf.DUMMYFUNCTION("""COMPUTED_VALUE"""),"Good")</f>
        <v>Good</v>
      </c>
      <c r="V112" t="str">
        <f ca="1">IFERROR(__xludf.DUMMYFUNCTION("""COMPUTED_VALUE"""),"Good")</f>
        <v>Good</v>
      </c>
      <c r="W112" t="str">
        <f ca="1">IFERROR(__xludf.DUMMYFUNCTION("""COMPUTED_VALUE"""),"Good")</f>
        <v>Good</v>
      </c>
      <c r="X112" t="str">
        <f ca="1">IFERROR(__xludf.DUMMYFUNCTION("""COMPUTED_VALUE"""),"Good")</f>
        <v>Good</v>
      </c>
      <c r="Y112" t="str">
        <f ca="1">IFERROR(__xludf.DUMMYFUNCTION("""COMPUTED_VALUE"""),"Good")</f>
        <v>Good</v>
      </c>
      <c r="Z112" t="str">
        <f ca="1">IFERROR(__xludf.DUMMYFUNCTION("""COMPUTED_VALUE"""),"Good")</f>
        <v>Good</v>
      </c>
      <c r="AA112" t="str">
        <f ca="1">IFERROR(__xludf.DUMMYFUNCTION("""COMPUTED_VALUE"""),"Good")</f>
        <v>Good</v>
      </c>
      <c r="AB112" t="str">
        <f ca="1">IFERROR(__xludf.DUMMYFUNCTION("""COMPUTED_VALUE"""),"Good")</f>
        <v>Good</v>
      </c>
      <c r="AC112" t="str">
        <f ca="1">IFERROR(__xludf.DUMMYFUNCTION("""COMPUTED_VALUE"""),"Good")</f>
        <v>Good</v>
      </c>
      <c r="AE112" s="11"/>
      <c r="AF112" t="str">
        <v>Nikki.Dix@floridadep.gov</v>
      </c>
      <c r="AG112" s="17" t="s">
        <v>17</v>
      </c>
      <c r="AH112" s="23">
        <v>0.45</v>
      </c>
      <c r="AI112" s="12" t="s">
        <v>275</v>
      </c>
      <c r="AJ112" s="19" t="s">
        <v>276</v>
      </c>
      <c r="AK112" s="20" t="str">
        <f>HYPERLINK("https://docs.google.com/document/d/1tlC1SwEUPLpFXpij-oCM2rMilZlFExtd_0xZd7qUeZM/edit?usp=drivesdk","Pamela Marcum - 7/26/2018 9:30 AM")</f>
        <v>Pamela Marcum - 7/26/2018 9:30 AM</v>
      </c>
      <c r="AL112" s="12" t="s">
        <v>277</v>
      </c>
    </row>
    <row r="113" spans="1:38" ht="12.75">
      <c r="A113" s="10">
        <f ca="1">IFERROR(__xludf.DUMMYFUNCTION("""COMPUTED_VALUE"""),43307.4982485416)</f>
        <v>43307.498248541597</v>
      </c>
      <c r="B113" s="11" t="str">
        <f ca="1">IFERROR(__xludf.DUMMYFUNCTION("""COMPUTED_VALUE"""),"Pamela Marcum")</f>
        <v>Pamela Marcum</v>
      </c>
      <c r="C113" t="str">
        <f ca="1">IFERROR(__xludf.DUMMYFUNCTION("""COMPUTED_VALUE"""),"Pamela.Marcum@Dep.state.fl.us")</f>
        <v>Pamela.Marcum@Dep.state.fl.us</v>
      </c>
      <c r="D113" t="str">
        <f ca="1">IFERROR(__xludf.DUMMYFUNCTION("""COMPUTED_VALUE"""),"Research/Nikki")</f>
        <v>Research/Nikki</v>
      </c>
      <c r="E113" t="str">
        <f ca="1">IFERROR(__xludf.DUMMYFUNCTION("""COMPUTED_VALUE"""),"Shore Drive")</f>
        <v>Shore Drive</v>
      </c>
      <c r="F113" s="13">
        <f ca="1">IFERROR(__xludf.DUMMYFUNCTION("""COMPUTED_VALUE"""),0.541666666667879)</f>
        <v>0.54166666666787899</v>
      </c>
      <c r="G113" s="14">
        <f ca="1">IFERROR(__xludf.DUMMYFUNCTION("""COMPUTED_VALUE"""),43306)</f>
        <v>43306</v>
      </c>
      <c r="H113" t="str">
        <f ca="1">IFERROR(__xludf.DUMMYFUNCTION("""COMPUTED_VALUE"""),"Marsh Site 22/Jason's Creek")</f>
        <v>Marsh Site 22/Jason's Creek</v>
      </c>
      <c r="I113" s="15">
        <f ca="1">IFERROR(__xludf.DUMMYFUNCTION("""COMPUTED_VALUE"""),0.625)</f>
        <v>0.625</v>
      </c>
      <c r="J113" s="16">
        <f ca="1">IFERROR(__xludf.DUMMYFUNCTION("""COMPUTED_VALUE"""),43306.75)</f>
        <v>43306.75</v>
      </c>
      <c r="K113" t="str">
        <f ca="1">IFERROR(__xludf.DUMMYFUNCTION("""COMPUTED_VALUE"""),"20ft Sea Ark FL5351SJ UNF 2015")</f>
        <v>20ft Sea Ark FL5351SJ UNF 2015</v>
      </c>
      <c r="M113" t="str">
        <f ca="1">IFERROR(__xludf.DUMMYFUNCTION("""COMPUTED_VALUE"""),"Ford F150 2015 (White) - DEP21448")</f>
        <v>Ford F150 2015 (White) - DEP21448</v>
      </c>
      <c r="N113" t="str">
        <f ca="1">IFERROR(__xludf.DUMMYFUNCTION("""COMPUTED_VALUE"""),"Pam Marcum, (480) 332-5414, Ben Mowbray, (407) 962-8782")</f>
        <v>Pam Marcum, (480) 332-5414, Ben Mowbray, (407) 962-8782</v>
      </c>
      <c r="P113" t="str">
        <f ca="1">IFERROR(__xludf.DUMMYFUNCTION("""COMPUTED_VALUE"""),"Pamela Marcum")</f>
        <v>Pamela Marcum</v>
      </c>
      <c r="Q113" t="str">
        <f ca="1">IFERROR(__xludf.DUMMYFUNCTION("""COMPUTED_VALUE"""),"Good")</f>
        <v>Good</v>
      </c>
      <c r="R113" t="str">
        <f ca="1">IFERROR(__xludf.DUMMYFUNCTION("""COMPUTED_VALUE"""),"Good")</f>
        <v>Good</v>
      </c>
      <c r="S113" t="str">
        <f ca="1">IFERROR(__xludf.DUMMYFUNCTION("""COMPUTED_VALUE"""),"Good")</f>
        <v>Good</v>
      </c>
      <c r="T113" t="str">
        <f ca="1">IFERROR(__xludf.DUMMYFUNCTION("""COMPUTED_VALUE"""),"Good")</f>
        <v>Good</v>
      </c>
      <c r="U113" t="str">
        <f ca="1">IFERROR(__xludf.DUMMYFUNCTION("""COMPUTED_VALUE"""),"Good")</f>
        <v>Good</v>
      </c>
      <c r="V113" t="str">
        <f ca="1">IFERROR(__xludf.DUMMYFUNCTION("""COMPUTED_VALUE"""),"Good")</f>
        <v>Good</v>
      </c>
      <c r="W113" t="str">
        <f ca="1">IFERROR(__xludf.DUMMYFUNCTION("""COMPUTED_VALUE"""),"Good")</f>
        <v>Good</v>
      </c>
      <c r="X113" t="str">
        <f ca="1">IFERROR(__xludf.DUMMYFUNCTION("""COMPUTED_VALUE"""),"Good")</f>
        <v>Good</v>
      </c>
      <c r="Y113" t="str">
        <f ca="1">IFERROR(__xludf.DUMMYFUNCTION("""COMPUTED_VALUE"""),"Good")</f>
        <v>Good</v>
      </c>
      <c r="Z113" t="str">
        <f ca="1">IFERROR(__xludf.DUMMYFUNCTION("""COMPUTED_VALUE"""),"Good")</f>
        <v>Good</v>
      </c>
      <c r="AA113" t="str">
        <f ca="1">IFERROR(__xludf.DUMMYFUNCTION("""COMPUTED_VALUE"""),"Good")</f>
        <v>Good</v>
      </c>
      <c r="AB113" t="str">
        <f ca="1">IFERROR(__xludf.DUMMYFUNCTION("""COMPUTED_VALUE"""),"Good")</f>
        <v>Good</v>
      </c>
      <c r="AC113" t="str">
        <f ca="1">IFERROR(__xludf.DUMMYFUNCTION("""COMPUTED_VALUE"""),"Good")</f>
        <v>Good</v>
      </c>
      <c r="AE113" s="11"/>
      <c r="AF113" t="str">
        <v>Nikki.Dix@floridadep.gov</v>
      </c>
      <c r="AG113" s="17" t="s">
        <v>54</v>
      </c>
      <c r="AH113" s="12" t="s">
        <v>278</v>
      </c>
      <c r="AI113" s="12" t="s">
        <v>279</v>
      </c>
      <c r="AJ113" s="19" t="s">
        <v>280</v>
      </c>
      <c r="AK113" s="20" t="str">
        <f>HYPERLINK("https://docs.google.com/document/d/1cg_61x0Prb1H5bL7SShihaJ8nyb-k-Re1xSmZMw8yHQ/edit?usp=drivesdk","Pamela Marcum - 7/25/2018 1:00 PM")</f>
        <v>Pamela Marcum - 7/25/2018 1:00 PM</v>
      </c>
      <c r="AL113" s="12" t="s">
        <v>281</v>
      </c>
    </row>
    <row r="114" spans="1:38" ht="12.75">
      <c r="A114" s="10">
        <f ca="1">IFERROR(__xludf.DUMMYFUNCTION("""COMPUTED_VALUE"""),43312.3012094791)</f>
        <v>43312.301209479097</v>
      </c>
      <c r="B114" s="11" t="str">
        <f ca="1">IFERROR(__xludf.DUMMYFUNCTION("""COMPUTED_VALUE"""),"Pamela Marcum")</f>
        <v>Pamela Marcum</v>
      </c>
      <c r="C114" t="str">
        <f ca="1">IFERROR(__xludf.DUMMYFUNCTION("""COMPUTED_VALUE"""),"pamela.marcum@dep.state.fl.us")</f>
        <v>pamela.marcum@dep.state.fl.us</v>
      </c>
      <c r="D114" t="str">
        <f ca="1">IFERROR(__xludf.DUMMYFUNCTION("""COMPUTED_VALUE"""),"Research/Nikki")</f>
        <v>Research/Nikki</v>
      </c>
      <c r="E114" t="str">
        <f ca="1">IFERROR(__xludf.DUMMYFUNCTION("""COMPUTED_VALUE"""),"Shore Drive")</f>
        <v>Shore Drive</v>
      </c>
      <c r="F114" s="13">
        <f ca="1">IFERROR(__xludf.DUMMYFUNCTION("""COMPUTED_VALUE"""),0.30208333333212)</f>
        <v>0.30208333333212001</v>
      </c>
      <c r="G114" s="14">
        <f ca="1">IFERROR(__xludf.DUMMYFUNCTION("""COMPUTED_VALUE"""),43312)</f>
        <v>43312</v>
      </c>
      <c r="H114" t="str">
        <f ca="1">IFERROR(__xludf.DUMMYFUNCTION("""COMPUTED_VALUE"""),"Gabbys Creek")</f>
        <v>Gabbys Creek</v>
      </c>
      <c r="I114" s="15">
        <f ca="1">IFERROR(__xludf.DUMMYFUNCTION("""COMPUTED_VALUE"""),0.625)</f>
        <v>0.625</v>
      </c>
      <c r="J114" s="16">
        <f ca="1">IFERROR(__xludf.DUMMYFUNCTION("""COMPUTED_VALUE"""),43312.6666666666)</f>
        <v>43312.666666666599</v>
      </c>
      <c r="K114" t="str">
        <f ca="1">IFERROR(__xludf.DUMMYFUNCTION("""COMPUTED_VALUE"""),"20ft Sea Ark FL5351SJ UNF 2015")</f>
        <v>20ft Sea Ark FL5351SJ UNF 2015</v>
      </c>
      <c r="M114" t="str">
        <f ca="1">IFERROR(__xludf.DUMMYFUNCTION("""COMPUTED_VALUE"""),"Ford F250 2017 (Moby Dix) - DEP0021578")</f>
        <v>Ford F250 2017 (Moby Dix) - DEP0021578</v>
      </c>
      <c r="N114" t="str">
        <f ca="1">IFERROR(__xludf.DUMMYFUNCTION("""COMPUTED_VALUE"""),"Pam Marcum, (480) 332-5414, Ben Mowbray, (407) 962-8782")</f>
        <v>Pam Marcum, (480) 332-5414, Ben Mowbray, (407) 962-8782</v>
      </c>
      <c r="O114" t="str">
        <f ca="1">IFERROR(__xludf.DUMMYFUNCTION("""COMPUTED_VALUE"""),"Mark Hester, harris stephens, ches vervaeke")</f>
        <v>Mark Hester, harris stephens, ches vervaeke</v>
      </c>
      <c r="P114" t="str">
        <f ca="1">IFERROR(__xludf.DUMMYFUNCTION("""COMPUTED_VALUE"""),"Pamela Marcum")</f>
        <v>Pamela Marcum</v>
      </c>
      <c r="Q114" t="str">
        <f ca="1">IFERROR(__xludf.DUMMYFUNCTION("""COMPUTED_VALUE"""),"Good")</f>
        <v>Good</v>
      </c>
      <c r="R114" t="str">
        <f ca="1">IFERROR(__xludf.DUMMYFUNCTION("""COMPUTED_VALUE"""),"Good")</f>
        <v>Good</v>
      </c>
      <c r="S114" t="str">
        <f ca="1">IFERROR(__xludf.DUMMYFUNCTION("""COMPUTED_VALUE"""),"Good")</f>
        <v>Good</v>
      </c>
      <c r="T114" t="str">
        <f ca="1">IFERROR(__xludf.DUMMYFUNCTION("""COMPUTED_VALUE"""),"Good")</f>
        <v>Good</v>
      </c>
      <c r="U114" t="str">
        <f ca="1">IFERROR(__xludf.DUMMYFUNCTION("""COMPUTED_VALUE"""),"Good")</f>
        <v>Good</v>
      </c>
      <c r="V114" t="str">
        <f ca="1">IFERROR(__xludf.DUMMYFUNCTION("""COMPUTED_VALUE"""),"Good")</f>
        <v>Good</v>
      </c>
      <c r="W114" t="str">
        <f ca="1">IFERROR(__xludf.DUMMYFUNCTION("""COMPUTED_VALUE"""),"Good")</f>
        <v>Good</v>
      </c>
      <c r="X114" t="str">
        <f ca="1">IFERROR(__xludf.DUMMYFUNCTION("""COMPUTED_VALUE"""),"Good")</f>
        <v>Good</v>
      </c>
      <c r="Y114" t="str">
        <f ca="1">IFERROR(__xludf.DUMMYFUNCTION("""COMPUTED_VALUE"""),"Good")</f>
        <v>Good</v>
      </c>
      <c r="Z114" t="str">
        <f ca="1">IFERROR(__xludf.DUMMYFUNCTION("""COMPUTED_VALUE"""),"Good")</f>
        <v>Good</v>
      </c>
      <c r="AA114" t="str">
        <f ca="1">IFERROR(__xludf.DUMMYFUNCTION("""COMPUTED_VALUE"""),"Good")</f>
        <v>Good</v>
      </c>
      <c r="AB114" t="str">
        <f ca="1">IFERROR(__xludf.DUMMYFUNCTION("""COMPUTED_VALUE"""),"Good")</f>
        <v>Good</v>
      </c>
      <c r="AC114" t="str">
        <f ca="1">IFERROR(__xludf.DUMMYFUNCTION("""COMPUTED_VALUE"""),"Good")</f>
        <v>Good</v>
      </c>
      <c r="AE114" s="11"/>
      <c r="AF114" t="str">
        <v>Nikki.Dix@floridadep.gov</v>
      </c>
      <c r="AG114" s="17" t="s">
        <v>126</v>
      </c>
      <c r="AH114" s="23">
        <v>0.61458333333333337</v>
      </c>
      <c r="AI114" s="12" t="s">
        <v>282</v>
      </c>
      <c r="AJ114" s="19" t="s">
        <v>283</v>
      </c>
      <c r="AK114" s="20" t="str">
        <f>HYPERLINK("https://docs.google.com/document/d/1g6-SDWzTDxEaT_6esAFl7Ag0FmdmW2RSeVn4yz_-SWI/edit?usp=drivesdk","&lt;&lt;Your First and Last Name&gt;&gt; - 7/31/2018 7:15 AM")</f>
        <v>&lt;&lt;Your First and Last Name&gt;&gt; - 7/31/2018 7:15 AM</v>
      </c>
      <c r="AL114" s="12" t="s">
        <v>284</v>
      </c>
    </row>
    <row r="115" spans="1:38" ht="12.75">
      <c r="A115" s="10">
        <f ca="1">IFERROR(__xludf.DUMMYFUNCTION("""COMPUTED_VALUE"""),43312.5373955208)</f>
        <v>43312.537395520798</v>
      </c>
      <c r="B115" s="11" t="str">
        <f ca="1">IFERROR(__xludf.DUMMYFUNCTION("""COMPUTED_VALUE"""),"Kenneth Rainer")</f>
        <v>Kenneth Rainer</v>
      </c>
      <c r="C115" t="str">
        <f ca="1">IFERROR(__xludf.DUMMYFUNCTION("""COMPUTED_VALUE"""),"Kenneth.Rainer@floridadep.gov")</f>
        <v>Kenneth.Rainer@floridadep.gov</v>
      </c>
      <c r="D115" t="str">
        <f ca="1">IFERROR(__xludf.DUMMYFUNCTION("""COMPUTED_VALUE"""),"Education")</f>
        <v>Education</v>
      </c>
      <c r="E115" t="str">
        <f ca="1">IFERROR(__xludf.DUMMYFUNCTION("""COMPUTED_VALUE"""),"Usina Boat Ramp")</f>
        <v>Usina Boat Ramp</v>
      </c>
      <c r="F115" s="13">
        <f ca="1">IFERROR(__xludf.DUMMYFUNCTION("""COMPUTED_VALUE"""),0.33333333333212)</f>
        <v>0.33333333333212001</v>
      </c>
      <c r="G115" s="14">
        <f ca="1">IFERROR(__xludf.DUMMYFUNCTION("""COMPUTED_VALUE"""),43313)</f>
        <v>43313</v>
      </c>
      <c r="H115" t="str">
        <f ca="1">IFERROR(__xludf.DUMMYFUNCTION("""COMPUTED_VALUE"""),"Northern Component")</f>
        <v>Northern Component</v>
      </c>
      <c r="I115" s="15">
        <f ca="1">IFERROR(__xludf.DUMMYFUNCTION("""COMPUTED_VALUE"""),0.541666666667879)</f>
        <v>0.54166666666787899</v>
      </c>
      <c r="J115" s="16">
        <f ca="1">IFERROR(__xludf.DUMMYFUNCTION("""COMPUTED_VALUE"""),43313.6666666666)</f>
        <v>43313.666666666599</v>
      </c>
      <c r="K115" t="str">
        <f ca="1">IFERROR(__xludf.DUMMYFUNCTION("""COMPUTED_VALUE"""),"F 20ft Sea Ark (Easy 200) FL8534PY DEP21451, 23ft Skiff (Bertha) FL7972LJ DEP07613")</f>
        <v>F 20ft Sea Ark (Easy 200) FL8534PY DEP21451, 23ft Skiff (Bertha) FL7972LJ DEP07613</v>
      </c>
      <c r="M115" t="str">
        <f ca="1">IFERROR(__xludf.DUMMYFUNCTION("""COMPUTED_VALUE"""),"Ford F150 2015 (White) - DEP21448")</f>
        <v>Ford F150 2015 (White) - DEP21448</v>
      </c>
      <c r="N115" t="str">
        <f ca="1">IFERROR(__xludf.DUMMYFUNCTION("""COMPUTED_VALUE"""),"Kenneth Rainer, (936) 499-1853, Shannon Dunnigan, (803) 727-5734")</f>
        <v>Kenneth Rainer, (936) 499-1853, Shannon Dunnigan, (803) 727-5734</v>
      </c>
      <c r="O115" t="str">
        <f ca="1">IFERROR(__xludf.DUMMYFUNCTION("""COMPUTED_VALUE"""),"Gabriela Canas, (904) 891-9743, Emma Hanson, Josie Spearman, (386) 627-0816, Summer Camp Inters (5); TOTE Facilitators (3); NERR Employees (4)")</f>
        <v>Gabriela Canas, (904) 891-9743, Emma Hanson, Josie Spearman, (386) 627-0816, Summer Camp Inters (5); TOTE Facilitators (3); NERR Employees (4)</v>
      </c>
      <c r="P115" t="str">
        <f ca="1">IFERROR(__xludf.DUMMYFUNCTION("""COMPUTED_VALUE"""),"Kenneth Rainer; Shannon Dunnigan")</f>
        <v>Kenneth Rainer; Shannon Dunnigan</v>
      </c>
      <c r="Q115" t="str">
        <f ca="1">IFERROR(__xludf.DUMMYFUNCTION("""COMPUTED_VALUE"""),"Good")</f>
        <v>Good</v>
      </c>
      <c r="R115" t="str">
        <f ca="1">IFERROR(__xludf.DUMMYFUNCTION("""COMPUTED_VALUE"""),"Good")</f>
        <v>Good</v>
      </c>
      <c r="S115" t="str">
        <f ca="1">IFERROR(__xludf.DUMMYFUNCTION("""COMPUTED_VALUE"""),"Good")</f>
        <v>Good</v>
      </c>
      <c r="T115" t="str">
        <f ca="1">IFERROR(__xludf.DUMMYFUNCTION("""COMPUTED_VALUE"""),"Good")</f>
        <v>Good</v>
      </c>
      <c r="U115" t="str">
        <f ca="1">IFERROR(__xludf.DUMMYFUNCTION("""COMPUTED_VALUE"""),"Good")</f>
        <v>Good</v>
      </c>
      <c r="V115" t="str">
        <f ca="1">IFERROR(__xludf.DUMMYFUNCTION("""COMPUTED_VALUE"""),"Good")</f>
        <v>Good</v>
      </c>
      <c r="W115" t="str">
        <f ca="1">IFERROR(__xludf.DUMMYFUNCTION("""COMPUTED_VALUE"""),"Good")</f>
        <v>Good</v>
      </c>
      <c r="X115" t="str">
        <f ca="1">IFERROR(__xludf.DUMMYFUNCTION("""COMPUTED_VALUE"""),"Good")</f>
        <v>Good</v>
      </c>
      <c r="Y115" t="str">
        <f ca="1">IFERROR(__xludf.DUMMYFUNCTION("""COMPUTED_VALUE"""),"Good")</f>
        <v>Good</v>
      </c>
      <c r="Z115" t="str">
        <f ca="1">IFERROR(__xludf.DUMMYFUNCTION("""COMPUTED_VALUE"""),"Good")</f>
        <v>Good</v>
      </c>
      <c r="AA115" t="str">
        <f ca="1">IFERROR(__xludf.DUMMYFUNCTION("""COMPUTED_VALUE"""),"Good")</f>
        <v>Good</v>
      </c>
      <c r="AB115" t="str">
        <f ca="1">IFERROR(__xludf.DUMMYFUNCTION("""COMPUTED_VALUE"""),"Good")</f>
        <v>Good</v>
      </c>
      <c r="AC115" t="str">
        <f ca="1">IFERROR(__xludf.DUMMYFUNCTION("""COMPUTED_VALUE"""),"Good")</f>
        <v>Good</v>
      </c>
      <c r="AD115" t="str">
        <f ca="1">IFERROR(__xludf.DUMMYFUNCTION("""COMPUTED_VALUE"""),"Thunderstorms with locally heavy downpours. High 87F. Winds S at 10 to 15 mph. Chance of rain 90%. Rainfall possibly over one inch.")</f>
        <v>Thunderstorms with locally heavy downpours. High 87F. Winds S at 10 to 15 mph. Chance of rain 90%. Rainfall possibly over one inch.</v>
      </c>
      <c r="AE115" s="11" t="str">
        <f ca="1">IFERROR(__xludf.DUMMYFUNCTION("""COMPUTED_VALUE""")," 12:25 PM 4.03ft H")</f>
        <v xml:space="preserve"> 12:25 PM 4.03ft H</v>
      </c>
      <c r="AF115" t="str">
        <v>Kenneth.Rainer@floridadep.gov</v>
      </c>
      <c r="AG115" s="17" t="s">
        <v>17</v>
      </c>
      <c r="AH115" s="23">
        <v>0.50694444444444442</v>
      </c>
      <c r="AI115" s="12" t="s">
        <v>285</v>
      </c>
      <c r="AJ115" s="19" t="s">
        <v>286</v>
      </c>
      <c r="AK115" s="20" t="str">
        <f>HYPERLINK("https://docs.google.com/document/d/1DymsQ1HeGPgIcWUJTZNcP4_6Zo3y4_qnZSDka3MTvQk/edit?usp=drivesdk","Kenneth Rainer - 8/1/2018 8:00 AM")</f>
        <v>Kenneth Rainer - 8/1/2018 8:00 AM</v>
      </c>
      <c r="AL115" s="12" t="s">
        <v>287</v>
      </c>
    </row>
    <row r="116" spans="1:38" ht="12.75">
      <c r="A116" s="10">
        <f ca="1">IFERROR(__xludf.DUMMYFUNCTION("""COMPUTED_VALUE"""),43313.3998444213)</f>
        <v>43313.399844421299</v>
      </c>
      <c r="B116" s="11" t="str">
        <f ca="1">IFERROR(__xludf.DUMMYFUNCTION("""COMPUTED_VALUE"""),"Pamela Marcum")</f>
        <v>Pamela Marcum</v>
      </c>
      <c r="C116" t="str">
        <f ca="1">IFERROR(__xludf.DUMMYFUNCTION("""COMPUTED_VALUE"""),"Pamela.Marcum@dep.state.fl.us")</f>
        <v>Pamela.Marcum@dep.state.fl.us</v>
      </c>
      <c r="D116" t="str">
        <f ca="1">IFERROR(__xludf.DUMMYFUNCTION("""COMPUTED_VALUE"""),"Research/Nikki")</f>
        <v>Research/Nikki</v>
      </c>
      <c r="E116" t="str">
        <f ca="1">IFERROR(__xludf.DUMMYFUNCTION("""COMPUTED_VALUE"""),"Shore Drive")</f>
        <v>Shore Drive</v>
      </c>
      <c r="F116" s="13">
        <f ca="1">IFERROR(__xludf.DUMMYFUNCTION("""COMPUTED_VALUE"""),0.30208333333212)</f>
        <v>0.30208333333212001</v>
      </c>
      <c r="G116" s="14">
        <f ca="1">IFERROR(__xludf.DUMMYFUNCTION("""COMPUTED_VALUE"""),43312)</f>
        <v>43312</v>
      </c>
      <c r="H116" t="str">
        <f ca="1">IFERROR(__xludf.DUMMYFUNCTION("""COMPUTED_VALUE"""),"Gabby's Creek")</f>
        <v>Gabby's Creek</v>
      </c>
      <c r="I116" s="15">
        <f ca="1">IFERROR(__xludf.DUMMYFUNCTION("""COMPUTED_VALUE"""),0.625)</f>
        <v>0.625</v>
      </c>
      <c r="J116" s="16">
        <f ca="1">IFERROR(__xludf.DUMMYFUNCTION("""COMPUTED_VALUE"""),43312.6666666666)</f>
        <v>43312.666666666599</v>
      </c>
      <c r="K116" t="str">
        <f ca="1">IFERROR(__xludf.DUMMYFUNCTION("""COMPUTED_VALUE"""),"20ft Sea Ark FL5351SJ UNF 2015")</f>
        <v>20ft Sea Ark FL5351SJ UNF 2015</v>
      </c>
      <c r="M116" t="str">
        <f ca="1">IFERROR(__xludf.DUMMYFUNCTION("""COMPUTED_VALUE"""),"Ford F250 2017 (Moby Dix) - DEP0021578")</f>
        <v>Ford F250 2017 (Moby Dix) - DEP0021578</v>
      </c>
      <c r="N116" t="str">
        <f ca="1">IFERROR(__xludf.DUMMYFUNCTION("""COMPUTED_VALUE"""),"Pam Marcum, (480) 332-5414, Ben Mowbray, (407) 962-8782")</f>
        <v>Pam Marcum, (480) 332-5414, Ben Mowbray, (407) 962-8782</v>
      </c>
      <c r="O116" t="str">
        <f ca="1">IFERROR(__xludf.DUMMYFUNCTION("""COMPUTED_VALUE"""),"Remo Mondazzi, Chuck, Emily, Matt Hayes, Ches Vervaeke, Mark Hester, Harris Stevens")</f>
        <v>Remo Mondazzi, Chuck, Emily, Matt Hayes, Ches Vervaeke, Mark Hester, Harris Stevens</v>
      </c>
      <c r="P116" t="str">
        <f ca="1">IFERROR(__xludf.DUMMYFUNCTION("""COMPUTED_VALUE"""),"Pamela Marcum")</f>
        <v>Pamela Marcum</v>
      </c>
      <c r="Q116" t="str">
        <f ca="1">IFERROR(__xludf.DUMMYFUNCTION("""COMPUTED_VALUE"""),"Good")</f>
        <v>Good</v>
      </c>
      <c r="R116" t="str">
        <f ca="1">IFERROR(__xludf.DUMMYFUNCTION("""COMPUTED_VALUE"""),"Good")</f>
        <v>Good</v>
      </c>
      <c r="S116" t="str">
        <f ca="1">IFERROR(__xludf.DUMMYFUNCTION("""COMPUTED_VALUE"""),"Good")</f>
        <v>Good</v>
      </c>
      <c r="T116" t="str">
        <f ca="1">IFERROR(__xludf.DUMMYFUNCTION("""COMPUTED_VALUE"""),"Good")</f>
        <v>Good</v>
      </c>
      <c r="U116" t="str">
        <f ca="1">IFERROR(__xludf.DUMMYFUNCTION("""COMPUTED_VALUE"""),"Good")</f>
        <v>Good</v>
      </c>
      <c r="V116" t="str">
        <f ca="1">IFERROR(__xludf.DUMMYFUNCTION("""COMPUTED_VALUE"""),"Good")</f>
        <v>Good</v>
      </c>
      <c r="W116" t="str">
        <f ca="1">IFERROR(__xludf.DUMMYFUNCTION("""COMPUTED_VALUE"""),"Good")</f>
        <v>Good</v>
      </c>
      <c r="X116" t="str">
        <f ca="1">IFERROR(__xludf.DUMMYFUNCTION("""COMPUTED_VALUE"""),"Good")</f>
        <v>Good</v>
      </c>
      <c r="Y116" t="str">
        <f ca="1">IFERROR(__xludf.DUMMYFUNCTION("""COMPUTED_VALUE"""),"Good")</f>
        <v>Good</v>
      </c>
      <c r="Z116" t="str">
        <f ca="1">IFERROR(__xludf.DUMMYFUNCTION("""COMPUTED_VALUE"""),"Good")</f>
        <v>Good</v>
      </c>
      <c r="AA116" t="str">
        <f ca="1">IFERROR(__xludf.DUMMYFUNCTION("""COMPUTED_VALUE"""),"Good")</f>
        <v>Good</v>
      </c>
      <c r="AB116" t="str">
        <f ca="1">IFERROR(__xludf.DUMMYFUNCTION("""COMPUTED_VALUE"""),"Good")</f>
        <v>Good</v>
      </c>
      <c r="AC116" t="str">
        <f ca="1">IFERROR(__xludf.DUMMYFUNCTION("""COMPUTED_VALUE"""),"Good")</f>
        <v>Good</v>
      </c>
      <c r="AE116" s="11"/>
      <c r="AF116" t="str">
        <v>Nikki.Dix@floridadep.gov</v>
      </c>
      <c r="AG116" s="17" t="s">
        <v>58</v>
      </c>
      <c r="AH116" s="12">
        <v>1445</v>
      </c>
      <c r="AI116" s="12" t="s">
        <v>288</v>
      </c>
      <c r="AJ116" s="19" t="s">
        <v>289</v>
      </c>
      <c r="AK116" s="20" t="str">
        <f>HYPERLINK("https://docs.google.com/document/d/1M1nSKDRh8KbBXalT-n5-pUJ-LMgc4RpRlvCNRApVBRo/edit?usp=drivesdk","Pamela Marcum - 7/31/2018 7:15 AM")</f>
        <v>Pamela Marcum - 7/31/2018 7:15 AM</v>
      </c>
      <c r="AL116" s="12" t="s">
        <v>290</v>
      </c>
    </row>
    <row r="117" spans="1:38" ht="12.75">
      <c r="A117" s="10">
        <f ca="1">IFERROR(__xludf.DUMMYFUNCTION("""COMPUTED_VALUE"""),43314.2270933217)</f>
        <v>43314.227093321701</v>
      </c>
      <c r="B117" s="11" t="str">
        <f ca="1">IFERROR(__xludf.DUMMYFUNCTION("""COMPUTED_VALUE"""),"Ben Mowbray")</f>
        <v>Ben Mowbray</v>
      </c>
      <c r="C117" t="str">
        <f ca="1">IFERROR(__xludf.DUMMYFUNCTION("""COMPUTED_VALUE"""),"ben.mowbray@dep.state.fl.us")</f>
        <v>ben.mowbray@dep.state.fl.us</v>
      </c>
      <c r="D117" t="str">
        <f ca="1">IFERROR(__xludf.DUMMYFUNCTION("""COMPUTED_VALUE"""),"Research/Pam")</f>
        <v>Research/Pam</v>
      </c>
      <c r="E117" t="str">
        <f ca="1">IFERROR(__xludf.DUMMYFUNCTION("""COMPUTED_VALUE"""),"Aunt Kate's")</f>
        <v>Aunt Kate's</v>
      </c>
      <c r="F117" s="13">
        <f ca="1">IFERROR(__xludf.DUMMYFUNCTION("""COMPUTED_VALUE"""),0.23958333333212)</f>
        <v>0.23958333333212001</v>
      </c>
      <c r="G117" s="14">
        <f ca="1">IFERROR(__xludf.DUMMYFUNCTION("""COMPUTED_VALUE"""),43314)</f>
        <v>43314</v>
      </c>
      <c r="H117" t="str">
        <f ca="1">IFERROR(__xludf.DUMMYFUNCTION("""COMPUTED_VALUE"""),"GR TR reefs")</f>
        <v>GR TR reefs</v>
      </c>
      <c r="I117" s="15">
        <f ca="1">IFERROR(__xludf.DUMMYFUNCTION("""COMPUTED_VALUE"""),0.541666666667879)</f>
        <v>0.54166666666787899</v>
      </c>
      <c r="J117" s="16">
        <f ca="1">IFERROR(__xludf.DUMMYFUNCTION("""COMPUTED_VALUE"""),43314.0555555555)</f>
        <v>43314.055555555497</v>
      </c>
      <c r="K117" t="str">
        <f ca="1">IFERROR(__xludf.DUMMYFUNCTION("""COMPUTED_VALUE"""),"F 20ft Sea Ark (Easy 200) FL8534PY DEP21451")</f>
        <v>F 20ft Sea Ark (Easy 200) FL8534PY DEP21451</v>
      </c>
      <c r="M117" t="str">
        <f ca="1">IFERROR(__xludf.DUMMYFUNCTION("""COMPUTED_VALUE"""),"Ford F250 2017 (Moby Dix) - DEP0021578")</f>
        <v>Ford F250 2017 (Moby Dix) - DEP0021578</v>
      </c>
      <c r="N117" t="str">
        <f ca="1">IFERROR(__xludf.DUMMYFUNCTION("""COMPUTED_VALUE"""),"Ben Mowbray, (407) 962-8782")</f>
        <v>Ben Mowbray, (407) 962-8782</v>
      </c>
      <c r="O117" t="str">
        <f ca="1">IFERROR(__xludf.DUMMYFUNCTION("""COMPUTED_VALUE"""),"Nicole, Rodrigo, Adrienne, David")</f>
        <v>Nicole, Rodrigo, Adrienne, David</v>
      </c>
      <c r="P117" t="str">
        <f ca="1">IFERROR(__xludf.DUMMYFUNCTION("""COMPUTED_VALUE"""),"Ben")</f>
        <v>Ben</v>
      </c>
      <c r="Q117" t="str">
        <f ca="1">IFERROR(__xludf.DUMMYFUNCTION("""COMPUTED_VALUE"""),"Good")</f>
        <v>Good</v>
      </c>
      <c r="R117" t="str">
        <f ca="1">IFERROR(__xludf.DUMMYFUNCTION("""COMPUTED_VALUE"""),"Good")</f>
        <v>Good</v>
      </c>
      <c r="S117" t="str">
        <f ca="1">IFERROR(__xludf.DUMMYFUNCTION("""COMPUTED_VALUE"""),"Good")</f>
        <v>Good</v>
      </c>
      <c r="T117" t="str">
        <f ca="1">IFERROR(__xludf.DUMMYFUNCTION("""COMPUTED_VALUE"""),"Good")</f>
        <v>Good</v>
      </c>
      <c r="U117" t="str">
        <f ca="1">IFERROR(__xludf.DUMMYFUNCTION("""COMPUTED_VALUE"""),"Good")</f>
        <v>Good</v>
      </c>
      <c r="V117" t="str">
        <f ca="1">IFERROR(__xludf.DUMMYFUNCTION("""COMPUTED_VALUE"""),"Good")</f>
        <v>Good</v>
      </c>
      <c r="W117" t="str">
        <f ca="1">IFERROR(__xludf.DUMMYFUNCTION("""COMPUTED_VALUE"""),"Good")</f>
        <v>Good</v>
      </c>
      <c r="X117" t="str">
        <f ca="1">IFERROR(__xludf.DUMMYFUNCTION("""COMPUTED_VALUE"""),"Good")</f>
        <v>Good</v>
      </c>
      <c r="Y117" t="str">
        <f ca="1">IFERROR(__xludf.DUMMYFUNCTION("""COMPUTED_VALUE"""),"Good")</f>
        <v>Good</v>
      </c>
      <c r="Z117" t="str">
        <f ca="1">IFERROR(__xludf.DUMMYFUNCTION("""COMPUTED_VALUE"""),"Good")</f>
        <v>Good</v>
      </c>
      <c r="AA117" t="str">
        <f ca="1">IFERROR(__xludf.DUMMYFUNCTION("""COMPUTED_VALUE"""),"Good")</f>
        <v>Good</v>
      </c>
      <c r="AB117" t="str">
        <f ca="1">IFERROR(__xludf.DUMMYFUNCTION("""COMPUTED_VALUE"""),"Good")</f>
        <v>Good</v>
      </c>
      <c r="AC117" t="str">
        <f ca="1">IFERROR(__xludf.DUMMYFUNCTION("""COMPUTED_VALUE"""),"Good")</f>
        <v>Good</v>
      </c>
      <c r="AE117" s="11"/>
      <c r="AF117" t="str">
        <v>Pamela.Marcum@floridadep.gov</v>
      </c>
      <c r="AG117" s="17" t="s">
        <v>17</v>
      </c>
      <c r="AH117" s="23">
        <v>0.48958333333333331</v>
      </c>
      <c r="AI117" s="12" t="s">
        <v>291</v>
      </c>
      <c r="AJ117" s="19" t="s">
        <v>292</v>
      </c>
      <c r="AK117" s="20" t="str">
        <f>HYPERLINK("https://docs.google.com/document/d/18ANL2EAsbj-9X5mz0tRj4YzFgnSMdKPwDfVJotzLaHQ/edit?usp=drivesdk","Ben Mowbray - 8/2/2018 5:45 AM")</f>
        <v>Ben Mowbray - 8/2/2018 5:45 AM</v>
      </c>
      <c r="AL117" s="12" t="s">
        <v>293</v>
      </c>
    </row>
    <row r="118" spans="1:38" ht="12.75">
      <c r="A118" s="10">
        <f ca="1">IFERROR(__xludf.DUMMYFUNCTION("""COMPUTED_VALUE"""),43314.3575548958)</f>
        <v>43314.357554895803</v>
      </c>
      <c r="B118" s="11" t="str">
        <f ca="1">IFERROR(__xludf.DUMMYFUNCTION("""COMPUTED_VALUE"""),"Pamela Marcum")</f>
        <v>Pamela Marcum</v>
      </c>
      <c r="C118" t="str">
        <f ca="1">IFERROR(__xludf.DUMMYFUNCTION("""COMPUTED_VALUE"""),"Pamela.Marcum@dep.state.fl.us")</f>
        <v>Pamela.Marcum@dep.state.fl.us</v>
      </c>
      <c r="D118" t="str">
        <f ca="1">IFERROR(__xludf.DUMMYFUNCTION("""COMPUTED_VALUE"""),"Research/Nikki")</f>
        <v>Research/Nikki</v>
      </c>
      <c r="E118" t="str">
        <f ca="1">IFERROR(__xludf.DUMMYFUNCTION("""COMPUTED_VALUE"""),"Shore Drive")</f>
        <v>Shore Drive</v>
      </c>
      <c r="F118" s="13">
        <f ca="1">IFERROR(__xludf.DUMMYFUNCTION("""COMPUTED_VALUE"""),0.39583333333212)</f>
        <v>0.39583333333212001</v>
      </c>
      <c r="G118" s="14">
        <f ca="1">IFERROR(__xludf.DUMMYFUNCTION("""COMPUTED_VALUE"""),43314)</f>
        <v>43314</v>
      </c>
      <c r="H118" t="str">
        <f ca="1">IFERROR(__xludf.DUMMYFUNCTION("""COMPUTED_VALUE"""),"Gabby's Creek")</f>
        <v>Gabby's Creek</v>
      </c>
      <c r="I118" s="15">
        <f ca="1">IFERROR(__xludf.DUMMYFUNCTION("""COMPUTED_VALUE"""),0.625)</f>
        <v>0.625</v>
      </c>
      <c r="J118" s="16">
        <f ca="1">IFERROR(__xludf.DUMMYFUNCTION("""COMPUTED_VALUE"""),43314.6666666666)</f>
        <v>43314.666666666599</v>
      </c>
      <c r="K118" t="str">
        <f ca="1">IFERROR(__xludf.DUMMYFUNCTION("""COMPUTED_VALUE"""),"23ft Skiff (Bertha) FL7972LJ DEP07613")</f>
        <v>23ft Skiff (Bertha) FL7972LJ DEP07613</v>
      </c>
      <c r="M118" t="str">
        <f ca="1">IFERROR(__xludf.DUMMYFUNCTION("""COMPUTED_VALUE"""),"Ford F150 2015 (White) - DEP21448")</f>
        <v>Ford F150 2015 (White) - DEP21448</v>
      </c>
      <c r="N118" t="str">
        <f ca="1">IFERROR(__xludf.DUMMYFUNCTION("""COMPUTED_VALUE"""),"Pam Marcum, (480) 332-5414")</f>
        <v>Pam Marcum, (480) 332-5414</v>
      </c>
      <c r="O118" t="str">
        <f ca="1">IFERROR(__xludf.DUMMYFUNCTION("""COMPUTED_VALUE"""),"Gabby Canas, Matt Hayes, Emily, Chuck")</f>
        <v>Gabby Canas, Matt Hayes, Emily, Chuck</v>
      </c>
      <c r="P118" t="str">
        <f ca="1">IFERROR(__xludf.DUMMYFUNCTION("""COMPUTED_VALUE"""),"Pamela Marcum")</f>
        <v>Pamela Marcum</v>
      </c>
      <c r="Q118" t="str">
        <f ca="1">IFERROR(__xludf.DUMMYFUNCTION("""COMPUTED_VALUE"""),"Good")</f>
        <v>Good</v>
      </c>
      <c r="R118" t="str">
        <f ca="1">IFERROR(__xludf.DUMMYFUNCTION("""COMPUTED_VALUE"""),"Good")</f>
        <v>Good</v>
      </c>
      <c r="S118" t="str">
        <f ca="1">IFERROR(__xludf.DUMMYFUNCTION("""COMPUTED_VALUE"""),"Good")</f>
        <v>Good</v>
      </c>
      <c r="T118" t="str">
        <f ca="1">IFERROR(__xludf.DUMMYFUNCTION("""COMPUTED_VALUE"""),"Good")</f>
        <v>Good</v>
      </c>
      <c r="U118" t="str">
        <f ca="1">IFERROR(__xludf.DUMMYFUNCTION("""COMPUTED_VALUE"""),"Good")</f>
        <v>Good</v>
      </c>
      <c r="V118" t="str">
        <f ca="1">IFERROR(__xludf.DUMMYFUNCTION("""COMPUTED_VALUE"""),"Good")</f>
        <v>Good</v>
      </c>
      <c r="W118" t="str">
        <f ca="1">IFERROR(__xludf.DUMMYFUNCTION("""COMPUTED_VALUE"""),"Good")</f>
        <v>Good</v>
      </c>
      <c r="X118" t="str">
        <f ca="1">IFERROR(__xludf.DUMMYFUNCTION("""COMPUTED_VALUE"""),"Good")</f>
        <v>Good</v>
      </c>
      <c r="Y118" t="str">
        <f ca="1">IFERROR(__xludf.DUMMYFUNCTION("""COMPUTED_VALUE"""),"Good")</f>
        <v>Good</v>
      </c>
      <c r="Z118" t="str">
        <f ca="1">IFERROR(__xludf.DUMMYFUNCTION("""COMPUTED_VALUE"""),"Good")</f>
        <v>Good</v>
      </c>
      <c r="AA118" t="str">
        <f ca="1">IFERROR(__xludf.DUMMYFUNCTION("""COMPUTED_VALUE"""),"Good")</f>
        <v>Good</v>
      </c>
      <c r="AB118" t="str">
        <f ca="1">IFERROR(__xludf.DUMMYFUNCTION("""COMPUTED_VALUE"""),"Good")</f>
        <v>Good</v>
      </c>
      <c r="AC118" t="str">
        <f ca="1">IFERROR(__xludf.DUMMYFUNCTION("""COMPUTED_VALUE"""),"Good")</f>
        <v>Good</v>
      </c>
      <c r="AE118" s="11"/>
      <c r="AF118" t="str">
        <v>Nikki.Dix@floridadep.gov</v>
      </c>
      <c r="AG118" s="17" t="s">
        <v>17</v>
      </c>
      <c r="AH118" s="23">
        <v>0.56180555555555556</v>
      </c>
      <c r="AI118" s="12" t="s">
        <v>294</v>
      </c>
      <c r="AJ118" s="19" t="s">
        <v>295</v>
      </c>
      <c r="AK118" s="20" t="str">
        <f>HYPERLINK("https://docs.google.com/document/d/1_xpbSdAQxiV952g8DEviihzsJ9JvdoIja7XikkzE2jM/edit?usp=drivesdk","Pamela Marcum - 8/2/2018 9:30 AM")</f>
        <v>Pamela Marcum - 8/2/2018 9:30 AM</v>
      </c>
      <c r="AL118" s="12" t="s">
        <v>296</v>
      </c>
    </row>
    <row r="119" spans="1:38" ht="12.75">
      <c r="A119" s="10">
        <f ca="1">IFERROR(__xludf.DUMMYFUNCTION("""COMPUTED_VALUE"""),43314.6034672338)</f>
        <v>43314.603467233799</v>
      </c>
      <c r="B119" s="11" t="str">
        <f ca="1">IFERROR(__xludf.DUMMYFUNCTION("""COMPUTED_VALUE"""),"Ben Mowbray")</f>
        <v>Ben Mowbray</v>
      </c>
      <c r="C119" t="str">
        <f ca="1">IFERROR(__xludf.DUMMYFUNCTION("""COMPUTED_VALUE"""),"Ben.mowbray@dep.state.fl.us")</f>
        <v>Ben.mowbray@dep.state.fl.us</v>
      </c>
      <c r="D119" t="str">
        <f ca="1">IFERROR(__xludf.DUMMYFUNCTION("""COMPUTED_VALUE"""),"Research/Pam")</f>
        <v>Research/Pam</v>
      </c>
      <c r="E119" t="str">
        <f ca="1">IFERROR(__xludf.DUMMYFUNCTION("""COMPUTED_VALUE"""),"Aunt Kate's")</f>
        <v>Aunt Kate's</v>
      </c>
      <c r="F119" s="13">
        <f ca="1">IFERROR(__xludf.DUMMYFUNCTION("""COMPUTED_VALUE"""),0.28125)</f>
        <v>0.28125</v>
      </c>
      <c r="G119" s="14">
        <f ca="1">IFERROR(__xludf.DUMMYFUNCTION("""COMPUTED_VALUE"""),43315)</f>
        <v>43315</v>
      </c>
      <c r="H119" t="str">
        <f ca="1">IFERROR(__xludf.DUMMYFUNCTION("""COMPUTED_VALUE"""),"TR reefs")</f>
        <v>TR reefs</v>
      </c>
      <c r="I119" s="15">
        <f ca="1">IFERROR(__xludf.DUMMYFUNCTION("""COMPUTED_VALUE"""),0.5)</f>
        <v>0.5</v>
      </c>
      <c r="J119" s="16">
        <f ca="1">IFERROR(__xludf.DUMMYFUNCTION("""COMPUTED_VALUE"""),43315.5138888888)</f>
        <v>43315.513888888803</v>
      </c>
      <c r="K119" t="str">
        <f ca="1">IFERROR(__xludf.DUMMYFUNCTION("""COMPUTED_VALUE"""),"20ft Sea Ark FL5351SJ UNF 2015")</f>
        <v>20ft Sea Ark FL5351SJ UNF 2015</v>
      </c>
      <c r="M119" t="str">
        <f ca="1">IFERROR(__xludf.DUMMYFUNCTION("""COMPUTED_VALUE"""),"Ford F250 2017 (Moby Dix) - DEP0021578")</f>
        <v>Ford F250 2017 (Moby Dix) - DEP0021578</v>
      </c>
      <c r="N119" t="str">
        <f ca="1">IFERROR(__xludf.DUMMYFUNCTION("""COMPUTED_VALUE"""),"Ben Mowbray, (407) 962-8782")</f>
        <v>Ben Mowbray, (407) 962-8782</v>
      </c>
      <c r="O119" t="str">
        <f ca="1">IFERROR(__xludf.DUMMYFUNCTION("""COMPUTED_VALUE"""),"Nicole, Rodrigo, Adrienne")</f>
        <v>Nicole, Rodrigo, Adrienne</v>
      </c>
      <c r="P119" t="str">
        <f ca="1">IFERROR(__xludf.DUMMYFUNCTION("""COMPUTED_VALUE"""),"Ben")</f>
        <v>Ben</v>
      </c>
      <c r="Q119" t="str">
        <f ca="1">IFERROR(__xludf.DUMMYFUNCTION("""COMPUTED_VALUE"""),"Good")</f>
        <v>Good</v>
      </c>
      <c r="R119" t="str">
        <f ca="1">IFERROR(__xludf.DUMMYFUNCTION("""COMPUTED_VALUE"""),"Good")</f>
        <v>Good</v>
      </c>
      <c r="S119" t="str">
        <f ca="1">IFERROR(__xludf.DUMMYFUNCTION("""COMPUTED_VALUE"""),"Good")</f>
        <v>Good</v>
      </c>
      <c r="T119" t="str">
        <f ca="1">IFERROR(__xludf.DUMMYFUNCTION("""COMPUTED_VALUE"""),"Good")</f>
        <v>Good</v>
      </c>
      <c r="U119" t="str">
        <f ca="1">IFERROR(__xludf.DUMMYFUNCTION("""COMPUTED_VALUE"""),"Good")</f>
        <v>Good</v>
      </c>
      <c r="V119" t="str">
        <f ca="1">IFERROR(__xludf.DUMMYFUNCTION("""COMPUTED_VALUE"""),"Good")</f>
        <v>Good</v>
      </c>
      <c r="W119" t="str">
        <f ca="1">IFERROR(__xludf.DUMMYFUNCTION("""COMPUTED_VALUE"""),"Good")</f>
        <v>Good</v>
      </c>
      <c r="X119" t="str">
        <f ca="1">IFERROR(__xludf.DUMMYFUNCTION("""COMPUTED_VALUE"""),"Good")</f>
        <v>Good</v>
      </c>
      <c r="Y119" t="str">
        <f ca="1">IFERROR(__xludf.DUMMYFUNCTION("""COMPUTED_VALUE"""),"Good")</f>
        <v>Good</v>
      </c>
      <c r="Z119" t="str">
        <f ca="1">IFERROR(__xludf.DUMMYFUNCTION("""COMPUTED_VALUE"""),"Good")</f>
        <v>Good</v>
      </c>
      <c r="AA119" t="str">
        <f ca="1">IFERROR(__xludf.DUMMYFUNCTION("""COMPUTED_VALUE"""),"Good")</f>
        <v>Good</v>
      </c>
      <c r="AB119" t="str">
        <f ca="1">IFERROR(__xludf.DUMMYFUNCTION("""COMPUTED_VALUE"""),"Good")</f>
        <v>Good</v>
      </c>
      <c r="AC119" t="str">
        <f ca="1">IFERROR(__xludf.DUMMYFUNCTION("""COMPUTED_VALUE"""),"Good")</f>
        <v>Good</v>
      </c>
      <c r="AE119" s="11"/>
      <c r="AF119" t="str">
        <v>Pamela.Marcum@floridadep.gov</v>
      </c>
      <c r="AG119" s="17" t="s">
        <v>17</v>
      </c>
      <c r="AH119" s="12">
        <v>1123</v>
      </c>
      <c r="AI119" s="12" t="s">
        <v>297</v>
      </c>
      <c r="AJ119" s="19" t="s">
        <v>298</v>
      </c>
      <c r="AK119" s="20" t="str">
        <f>HYPERLINK("https://docs.google.com/document/d/1CEf7cA2GIPp1xy65JDmnWfxQvW39taVTsOsaX1Ue6ho/edit?usp=drivesdk","Ben Mowbray - 8/3/2018 6:45 AM")</f>
        <v>Ben Mowbray - 8/3/2018 6:45 AM</v>
      </c>
      <c r="AL119" s="12" t="s">
        <v>299</v>
      </c>
    </row>
    <row r="120" spans="1:38" ht="12.75">
      <c r="A120" s="10">
        <f ca="1">IFERROR(__xludf.DUMMYFUNCTION("""COMPUTED_VALUE"""),43315.280441574)</f>
        <v>43315.280441574003</v>
      </c>
      <c r="B120" s="11" t="str">
        <f ca="1">IFERROR(__xludf.DUMMYFUNCTION("""COMPUTED_VALUE"""),"Pamela Marcum")</f>
        <v>Pamela Marcum</v>
      </c>
      <c r="C120" t="str">
        <f ca="1">IFERROR(__xludf.DUMMYFUNCTION("""COMPUTED_VALUE"""),"Pamela.Marcum@dep.state.fl.us")</f>
        <v>Pamela.Marcum@dep.state.fl.us</v>
      </c>
      <c r="D120" t="str">
        <f ca="1">IFERROR(__xludf.DUMMYFUNCTION("""COMPUTED_VALUE"""),"Research/Nikki")</f>
        <v>Research/Nikki</v>
      </c>
      <c r="E120" t="str">
        <f ca="1">IFERROR(__xludf.DUMMYFUNCTION("""COMPUTED_VALUE"""),"Aunt Kates")</f>
        <v>Aunt Kates</v>
      </c>
      <c r="F120" s="13">
        <f ca="1">IFERROR(__xludf.DUMMYFUNCTION("""COMPUTED_VALUE"""),0.3125)</f>
        <v>0.3125</v>
      </c>
      <c r="G120" s="14">
        <f ca="1">IFERROR(__xludf.DUMMYFUNCTION("""COMPUTED_VALUE"""),43315)</f>
        <v>43315</v>
      </c>
      <c r="H120" t="str">
        <f ca="1">IFERROR(__xludf.DUMMYFUNCTION("""COMPUTED_VALUE"""),"Spat Run")</f>
        <v>Spat Run</v>
      </c>
      <c r="I120" s="15">
        <f ca="1">IFERROR(__xludf.DUMMYFUNCTION("""COMPUTED_VALUE"""),0.5)</f>
        <v>0.5</v>
      </c>
      <c r="J120" s="16">
        <f ca="1">IFERROR(__xludf.DUMMYFUNCTION("""COMPUTED_VALUE"""),43315.5208333333)</f>
        <v>43315.520833333299</v>
      </c>
      <c r="K120" t="str">
        <f ca="1">IFERROR(__xludf.DUMMYFUNCTION("""COMPUTED_VALUE"""),"23ft Skiff (Bertha) FL7972LJ DEP07613")</f>
        <v>23ft Skiff (Bertha) FL7972LJ DEP07613</v>
      </c>
      <c r="M120" t="str">
        <f ca="1">IFERROR(__xludf.DUMMYFUNCTION("""COMPUTED_VALUE"""),"Ford F150 2015 (White) - DEP21448")</f>
        <v>Ford F150 2015 (White) - DEP21448</v>
      </c>
      <c r="N120" t="str">
        <f ca="1">IFERROR(__xludf.DUMMYFUNCTION("""COMPUTED_VALUE"""),"Pam Marcum, (480) 332-5414")</f>
        <v>Pam Marcum, (480) 332-5414</v>
      </c>
      <c r="O120" t="str">
        <f ca="1">IFERROR(__xludf.DUMMYFUNCTION("""COMPUTED_VALUE"""),"Kendall Doody, Chris Kurtz")</f>
        <v>Kendall Doody, Chris Kurtz</v>
      </c>
      <c r="P120" t="str">
        <f ca="1">IFERROR(__xludf.DUMMYFUNCTION("""COMPUTED_VALUE"""),"Pamela Marcum")</f>
        <v>Pamela Marcum</v>
      </c>
      <c r="Q120" t="str">
        <f ca="1">IFERROR(__xludf.DUMMYFUNCTION("""COMPUTED_VALUE"""),"Good")</f>
        <v>Good</v>
      </c>
      <c r="R120" t="str">
        <f ca="1">IFERROR(__xludf.DUMMYFUNCTION("""COMPUTED_VALUE"""),"Good")</f>
        <v>Good</v>
      </c>
      <c r="S120" t="str">
        <f ca="1">IFERROR(__xludf.DUMMYFUNCTION("""COMPUTED_VALUE"""),"Good")</f>
        <v>Good</v>
      </c>
      <c r="T120" t="str">
        <f ca="1">IFERROR(__xludf.DUMMYFUNCTION("""COMPUTED_VALUE"""),"Good")</f>
        <v>Good</v>
      </c>
      <c r="U120" t="str">
        <f ca="1">IFERROR(__xludf.DUMMYFUNCTION("""COMPUTED_VALUE"""),"Good")</f>
        <v>Good</v>
      </c>
      <c r="V120" t="str">
        <f ca="1">IFERROR(__xludf.DUMMYFUNCTION("""COMPUTED_VALUE"""),"Good")</f>
        <v>Good</v>
      </c>
      <c r="W120" t="str">
        <f ca="1">IFERROR(__xludf.DUMMYFUNCTION("""COMPUTED_VALUE"""),"Good")</f>
        <v>Good</v>
      </c>
      <c r="X120" t="str">
        <f ca="1">IFERROR(__xludf.DUMMYFUNCTION("""COMPUTED_VALUE"""),"Good")</f>
        <v>Good</v>
      </c>
      <c r="Y120" t="str">
        <f ca="1">IFERROR(__xludf.DUMMYFUNCTION("""COMPUTED_VALUE"""),"Good")</f>
        <v>Good</v>
      </c>
      <c r="Z120" t="str">
        <f ca="1">IFERROR(__xludf.DUMMYFUNCTION("""COMPUTED_VALUE"""),"Good")</f>
        <v>Good</v>
      </c>
      <c r="AA120" t="str">
        <f ca="1">IFERROR(__xludf.DUMMYFUNCTION("""COMPUTED_VALUE"""),"Good")</f>
        <v>Good</v>
      </c>
      <c r="AB120" t="str">
        <f ca="1">IFERROR(__xludf.DUMMYFUNCTION("""COMPUTED_VALUE"""),"Good")</f>
        <v>Good</v>
      </c>
      <c r="AC120" t="str">
        <f ca="1">IFERROR(__xludf.DUMMYFUNCTION("""COMPUTED_VALUE"""),"Good")</f>
        <v>Good</v>
      </c>
      <c r="AE120" s="11"/>
      <c r="AF120" t="str">
        <v>Nikki.Dix@floridadep.gov</v>
      </c>
      <c r="AG120" s="17" t="s">
        <v>17</v>
      </c>
      <c r="AH120" s="12">
        <v>1055</v>
      </c>
      <c r="AI120" s="12" t="s">
        <v>300</v>
      </c>
      <c r="AJ120" s="19" t="s">
        <v>301</v>
      </c>
      <c r="AK120" s="20" t="str">
        <f>HYPERLINK("https://docs.google.com/document/d/1_f4X9tN9ILtz5QvdB_rIlrFD1AFhQW601asBRe7AfEg/edit?usp=drivesdk","Pamela Marcum - 8/3/2018 7:30 AM")</f>
        <v>Pamela Marcum - 8/3/2018 7:30 AM</v>
      </c>
      <c r="AL120" s="12" t="s">
        <v>302</v>
      </c>
    </row>
    <row r="121" spans="1:38" ht="12.75">
      <c r="A121" s="10">
        <f ca="1">IFERROR(__xludf.DUMMYFUNCTION("""COMPUTED_VALUE"""),43319.2433835532)</f>
        <v>43319.243383553199</v>
      </c>
      <c r="B121" s="11" t="str">
        <f ca="1">IFERROR(__xludf.DUMMYFUNCTION("""COMPUTED_VALUE"""),"Silas Tanner")</f>
        <v>Silas Tanner</v>
      </c>
      <c r="C121" t="str">
        <f ca="1">IFERROR(__xludf.DUMMYFUNCTION("""COMPUTED_VALUE"""),"Silas.Tanner@floridadep.gov")</f>
        <v>Silas.Tanner@floridadep.gov</v>
      </c>
      <c r="D121" t="str">
        <f ca="1">IFERROR(__xludf.DUMMYFUNCTION("""COMPUTED_VALUE"""),"Research/Nikki")</f>
        <v>Research/Nikki</v>
      </c>
      <c r="E121" t="str">
        <f ca="1">IFERROR(__xludf.DUMMYFUNCTION("""COMPUTED_VALUE"""),"Vilano county ramp")</f>
        <v>Vilano county ramp</v>
      </c>
      <c r="F121" s="13">
        <f ca="1">IFERROR(__xludf.DUMMYFUNCTION("""COMPUTED_VALUE"""),0.27083333333212)</f>
        <v>0.27083333333212001</v>
      </c>
      <c r="G121" s="14">
        <f ca="1">IFERROR(__xludf.DUMMYFUNCTION("""COMPUTED_VALUE"""),43319)</f>
        <v>43319</v>
      </c>
      <c r="H121" t="str">
        <f ca="1">IFERROR(__xludf.DUMMYFUNCTION("""COMPUTED_VALUE"""),"ICW SWMP sites")</f>
        <v>ICW SWMP sites</v>
      </c>
      <c r="I121" s="15">
        <f ca="1">IFERROR(__xludf.DUMMYFUNCTION("""COMPUTED_VALUE"""),0.52083333333212)</f>
        <v>0.52083333333212001</v>
      </c>
      <c r="J121" s="16">
        <f ca="1">IFERROR(__xludf.DUMMYFUNCTION("""COMPUTED_VALUE"""),43319.0416666666)</f>
        <v>43319.041666666599</v>
      </c>
      <c r="K121" t="str">
        <f ca="1">IFERROR(__xludf.DUMMYFUNCTION("""COMPUTED_VALUE"""),"23ft Skiff (Bertha) FL7972LJ DEP07613")</f>
        <v>23ft Skiff (Bertha) FL7972LJ DEP07613</v>
      </c>
      <c r="M121" t="str">
        <f ca="1">IFERROR(__xludf.DUMMYFUNCTION("""COMPUTED_VALUE"""),"Ford F250 2017 (Moby Dix) - DEP0021578")</f>
        <v>Ford F250 2017 (Moby Dix) - DEP0021578</v>
      </c>
      <c r="N121" t="str">
        <f ca="1">IFERROR(__xludf.DUMMYFUNCTION("""COMPUTED_VALUE"""),"Silas Tanner, (904) 483-8423, Jimmy Tomazinis, (904) 547-0094")</f>
        <v>Silas Tanner, (904) 483-8423, Jimmy Tomazinis, (904) 547-0094</v>
      </c>
      <c r="O121" t="str">
        <f ca="1">IFERROR(__xludf.DUMMYFUNCTION("""COMPUTED_VALUE"""),"Emma Hanson, Jessica Lee")</f>
        <v>Emma Hanson, Jessica Lee</v>
      </c>
      <c r="P121" t="str">
        <f ca="1">IFERROR(__xludf.DUMMYFUNCTION("""COMPUTED_VALUE"""),"Tomazinis")</f>
        <v>Tomazinis</v>
      </c>
      <c r="Q121" t="str">
        <f ca="1">IFERROR(__xludf.DUMMYFUNCTION("""COMPUTED_VALUE"""),"Good")</f>
        <v>Good</v>
      </c>
      <c r="R121" t="str">
        <f ca="1">IFERROR(__xludf.DUMMYFUNCTION("""COMPUTED_VALUE"""),"Good")</f>
        <v>Good</v>
      </c>
      <c r="S121" t="str">
        <f ca="1">IFERROR(__xludf.DUMMYFUNCTION("""COMPUTED_VALUE"""),"Good")</f>
        <v>Good</v>
      </c>
      <c r="T121" t="str">
        <f ca="1">IFERROR(__xludf.DUMMYFUNCTION("""COMPUTED_VALUE"""),"Good")</f>
        <v>Good</v>
      </c>
      <c r="U121" t="str">
        <f ca="1">IFERROR(__xludf.DUMMYFUNCTION("""COMPUTED_VALUE"""),"Good")</f>
        <v>Good</v>
      </c>
      <c r="V121" t="str">
        <f ca="1">IFERROR(__xludf.DUMMYFUNCTION("""COMPUTED_VALUE"""),"Good")</f>
        <v>Good</v>
      </c>
      <c r="W121" t="str">
        <f ca="1">IFERROR(__xludf.DUMMYFUNCTION("""COMPUTED_VALUE"""),"Good")</f>
        <v>Good</v>
      </c>
      <c r="X121" t="str">
        <f ca="1">IFERROR(__xludf.DUMMYFUNCTION("""COMPUTED_VALUE"""),"Good")</f>
        <v>Good</v>
      </c>
      <c r="Y121" t="str">
        <f ca="1">IFERROR(__xludf.DUMMYFUNCTION("""COMPUTED_VALUE"""),"Good")</f>
        <v>Good</v>
      </c>
      <c r="Z121" t="str">
        <f ca="1">IFERROR(__xludf.DUMMYFUNCTION("""COMPUTED_VALUE"""),"Good")</f>
        <v>Good</v>
      </c>
      <c r="AA121" t="str">
        <f ca="1">IFERROR(__xludf.DUMMYFUNCTION("""COMPUTED_VALUE"""),"Good")</f>
        <v>Good</v>
      </c>
      <c r="AB121" t="str">
        <f ca="1">IFERROR(__xludf.DUMMYFUNCTION("""COMPUTED_VALUE"""),"Good")</f>
        <v>Good</v>
      </c>
      <c r="AC121" t="str">
        <f ca="1">IFERROR(__xludf.DUMMYFUNCTION("""COMPUTED_VALUE"""),"Good")</f>
        <v>Good</v>
      </c>
      <c r="AE121" s="11"/>
      <c r="AF121" t="str">
        <v>Nikki.Dix@floridadep.gov</v>
      </c>
      <c r="AG121" s="17" t="s">
        <v>17</v>
      </c>
      <c r="AH121" s="12">
        <v>1132</v>
      </c>
      <c r="AI121" s="12" t="s">
        <v>303</v>
      </c>
      <c r="AJ121" s="19" t="s">
        <v>304</v>
      </c>
      <c r="AK121" s="20" t="str">
        <f>HYPERLINK("https://docs.google.com/document/d/1gFmRMe2zpH3j4wfW__4Oo9qMajLX3jmZ0kcbMSYh65A/edit?usp=drivesdk","Silas Tanner - 8/7/2018 6:30 AM")</f>
        <v>Silas Tanner - 8/7/2018 6:30 AM</v>
      </c>
      <c r="AL121" s="12" t="s">
        <v>305</v>
      </c>
    </row>
    <row r="122" spans="1:38" ht="12.75">
      <c r="A122" s="10">
        <f ca="1">IFERROR(__xludf.DUMMYFUNCTION("""COMPUTED_VALUE"""),43319.7366134722)</f>
        <v>43319.736613472203</v>
      </c>
      <c r="B122" s="11" t="str">
        <f ca="1">IFERROR(__xludf.DUMMYFUNCTION("""COMPUTED_VALUE"""),"James Tomazinis")</f>
        <v>James Tomazinis</v>
      </c>
      <c r="C122" t="str">
        <f ca="1">IFERROR(__xludf.DUMMYFUNCTION("""COMPUTED_VALUE"""),"james.tomazinis@floridadep.gov")</f>
        <v>james.tomazinis@floridadep.gov</v>
      </c>
      <c r="D122" t="str">
        <f ca="1">IFERROR(__xludf.DUMMYFUNCTION("""COMPUTED_VALUE"""),"Stewardship (Aquatic)")</f>
        <v>Stewardship (Aquatic)</v>
      </c>
      <c r="E122" t="str">
        <f ca="1">IFERROR(__xludf.DUMMYFUNCTION("""COMPUTED_VALUE"""),"Guana Dam")</f>
        <v>Guana Dam</v>
      </c>
      <c r="F122" s="13">
        <f ca="1">IFERROR(__xludf.DUMMYFUNCTION("""COMPUTED_VALUE"""),0.30208333333212)</f>
        <v>0.30208333333212001</v>
      </c>
      <c r="G122" s="14">
        <f ca="1">IFERROR(__xludf.DUMMYFUNCTION("""COMPUTED_VALUE"""),43320)</f>
        <v>43320</v>
      </c>
      <c r="H122" t="str">
        <f ca="1">IFERROR(__xludf.DUMMYFUNCTION("""COMPUTED_VALUE"""),"Guana River WQ sites")</f>
        <v>Guana River WQ sites</v>
      </c>
      <c r="I122" s="15">
        <f ca="1">IFERROR(__xludf.DUMMYFUNCTION("""COMPUTED_VALUE"""),0.375)</f>
        <v>0.375</v>
      </c>
      <c r="J122" s="16"/>
      <c r="K122" t="str">
        <f ca="1">IFERROR(__xludf.DUMMYFUNCTION("""COMPUTED_VALUE"""),"Jon Boat FL0484NP DEP06819")</f>
        <v>Jon Boat FL0484NP DEP06819</v>
      </c>
      <c r="M122" t="str">
        <f ca="1">IFERROR(__xludf.DUMMYFUNCTION("""COMPUTED_VALUE"""),"Ford F150 2015 (White) - DEP21448")</f>
        <v>Ford F150 2015 (White) - DEP21448</v>
      </c>
      <c r="N122" t="str">
        <f ca="1">IFERROR(__xludf.DUMMYFUNCTION("""COMPUTED_VALUE"""),"Jimmy Tomazinis, (904) 547-0094")</f>
        <v>Jimmy Tomazinis, (904) 547-0094</v>
      </c>
      <c r="O122" t="str">
        <f ca="1">IFERROR(__xludf.DUMMYFUNCTION("""COMPUTED_VALUE"""),"Silas Tanner, (904) 483-8423, Scott Eastman, (904) 501-9267")</f>
        <v>Silas Tanner, (904) 483-8423, Scott Eastman, (904) 501-9267</v>
      </c>
      <c r="P122" t="str">
        <f ca="1">IFERROR(__xludf.DUMMYFUNCTION("""COMPUTED_VALUE"""),"Jimmy")</f>
        <v>Jimmy</v>
      </c>
      <c r="Q122" t="str">
        <f ca="1">IFERROR(__xludf.DUMMYFUNCTION("""COMPUTED_VALUE"""),"Good")</f>
        <v>Good</v>
      </c>
      <c r="R122" t="str">
        <f ca="1">IFERROR(__xludf.DUMMYFUNCTION("""COMPUTED_VALUE"""),"Good")</f>
        <v>Good</v>
      </c>
      <c r="S122" t="str">
        <f ca="1">IFERROR(__xludf.DUMMYFUNCTION("""COMPUTED_VALUE"""),"Good")</f>
        <v>Good</v>
      </c>
      <c r="T122" t="str">
        <f ca="1">IFERROR(__xludf.DUMMYFUNCTION("""COMPUTED_VALUE"""),"Good")</f>
        <v>Good</v>
      </c>
      <c r="U122" t="str">
        <f ca="1">IFERROR(__xludf.DUMMYFUNCTION("""COMPUTED_VALUE"""),"Good")</f>
        <v>Good</v>
      </c>
      <c r="V122" t="str">
        <f ca="1">IFERROR(__xludf.DUMMYFUNCTION("""COMPUTED_VALUE"""),"Good")</f>
        <v>Good</v>
      </c>
      <c r="W122" t="str">
        <f ca="1">IFERROR(__xludf.DUMMYFUNCTION("""COMPUTED_VALUE"""),"Good")</f>
        <v>Good</v>
      </c>
      <c r="X122" t="str">
        <f ca="1">IFERROR(__xludf.DUMMYFUNCTION("""COMPUTED_VALUE"""),"Good")</f>
        <v>Good</v>
      </c>
      <c r="Y122" t="str">
        <f ca="1">IFERROR(__xludf.DUMMYFUNCTION("""COMPUTED_VALUE"""),"Good")</f>
        <v>Good</v>
      </c>
      <c r="Z122" t="str">
        <f ca="1">IFERROR(__xludf.DUMMYFUNCTION("""COMPUTED_VALUE"""),"Good")</f>
        <v>Good</v>
      </c>
      <c r="AA122" t="str">
        <f ca="1">IFERROR(__xludf.DUMMYFUNCTION("""COMPUTED_VALUE"""),"Good")</f>
        <v>Good</v>
      </c>
      <c r="AB122" t="str">
        <f ca="1">IFERROR(__xludf.DUMMYFUNCTION("""COMPUTED_VALUE"""),"Good")</f>
        <v>Good</v>
      </c>
      <c r="AC122" t="str">
        <f ca="1">IFERROR(__xludf.DUMMYFUNCTION("""COMPUTED_VALUE"""),"Good")</f>
        <v>Good</v>
      </c>
      <c r="AE122" s="11"/>
      <c r="AF122" t="str">
        <v>Scott.Eastman@floridadep.gov</v>
      </c>
      <c r="AG122" s="17" t="s">
        <v>17</v>
      </c>
      <c r="AH122" s="12">
        <v>830</v>
      </c>
      <c r="AI122" s="12" t="s">
        <v>306</v>
      </c>
      <c r="AJ122" s="19" t="s">
        <v>307</v>
      </c>
      <c r="AK122" s="20" t="str">
        <f>HYPERLINK("https://docs.google.com/document/d/1WiDFrx4D7wDtTG7xhG56FExYdRv-4DwwdP-wvUsnRMc/edit?usp=drivesdk","James Tomazinis - 8/8/2018 7:15 AM")</f>
        <v>James Tomazinis - 8/8/2018 7:15 AM</v>
      </c>
      <c r="AL122" s="12" t="s">
        <v>308</v>
      </c>
    </row>
    <row r="123" spans="1:38" ht="12.75">
      <c r="A123" s="10">
        <f ca="1">IFERROR(__xludf.DUMMYFUNCTION("""COMPUTED_VALUE"""),43320.3548946759)</f>
        <v>43320.354894675897</v>
      </c>
      <c r="B123" s="11" t="str">
        <f ca="1">IFERROR(__xludf.DUMMYFUNCTION("""COMPUTED_VALUE"""),"Pamela Marcum")</f>
        <v>Pamela Marcum</v>
      </c>
      <c r="C123" t="str">
        <f ca="1">IFERROR(__xludf.DUMMYFUNCTION("""COMPUTED_VALUE"""),"Pamela.Marcum@dep.state.fl.us")</f>
        <v>Pamela.Marcum@dep.state.fl.us</v>
      </c>
      <c r="D123" t="str">
        <f ca="1">IFERROR(__xludf.DUMMYFUNCTION("""COMPUTED_VALUE"""),"Research/Nikki")</f>
        <v>Research/Nikki</v>
      </c>
      <c r="E123" t="str">
        <f ca="1">IFERROR(__xludf.DUMMYFUNCTION("""COMPUTED_VALUE"""),"Shore Drive")</f>
        <v>Shore Drive</v>
      </c>
      <c r="F123" s="13">
        <f ca="1">IFERROR(__xludf.DUMMYFUNCTION("""COMPUTED_VALUE"""),0.375)</f>
        <v>0.375</v>
      </c>
      <c r="G123" s="14">
        <f ca="1">IFERROR(__xludf.DUMMYFUNCTION("""COMPUTED_VALUE"""),43320)</f>
        <v>43320</v>
      </c>
      <c r="H123" t="str">
        <f ca="1">IFERROR(__xludf.DUMMYFUNCTION("""COMPUTED_VALUE"""),"Gabby's Creek")</f>
        <v>Gabby's Creek</v>
      </c>
      <c r="I123" s="15">
        <f ca="1">IFERROR(__xludf.DUMMYFUNCTION("""COMPUTED_VALUE"""),0.625)</f>
        <v>0.625</v>
      </c>
      <c r="J123" s="16">
        <f ca="1">IFERROR(__xludf.DUMMYFUNCTION("""COMPUTED_VALUE"""),43321.6666666666)</f>
        <v>43321.666666666599</v>
      </c>
      <c r="K123" t="str">
        <f ca="1">IFERROR(__xludf.DUMMYFUNCTION("""COMPUTED_VALUE"""),"23ft Skiff (Bertha) FL7972LJ DEP07613")</f>
        <v>23ft Skiff (Bertha) FL7972LJ DEP07613</v>
      </c>
      <c r="M123" t="str">
        <f ca="1">IFERROR(__xludf.DUMMYFUNCTION("""COMPUTED_VALUE"""),"Ford F250 2017 (Moby Dix) - DEP0021578")</f>
        <v>Ford F250 2017 (Moby Dix) - DEP0021578</v>
      </c>
      <c r="N123" t="str">
        <f ca="1">IFERROR(__xludf.DUMMYFUNCTION("""COMPUTED_VALUE"""),"Pam Marcum, (480) 332-5414")</f>
        <v>Pam Marcum, (480) 332-5414</v>
      </c>
      <c r="O123" t="str">
        <f ca="1">IFERROR(__xludf.DUMMYFUNCTION("""COMPUTED_VALUE"""),"Gabriela Canas, (904) 891-9743, Matt Hayes, Lorae, Emily, Adam, Sam Chapman")</f>
        <v>Gabriela Canas, (904) 891-9743, Matt Hayes, Lorae, Emily, Adam, Sam Chapman</v>
      </c>
      <c r="P123" t="str">
        <f ca="1">IFERROR(__xludf.DUMMYFUNCTION("""COMPUTED_VALUE"""),"Pamela Marcum")</f>
        <v>Pamela Marcum</v>
      </c>
      <c r="Q123" t="str">
        <f ca="1">IFERROR(__xludf.DUMMYFUNCTION("""COMPUTED_VALUE"""),"Good")</f>
        <v>Good</v>
      </c>
      <c r="R123" t="str">
        <f ca="1">IFERROR(__xludf.DUMMYFUNCTION("""COMPUTED_VALUE"""),"Good")</f>
        <v>Good</v>
      </c>
      <c r="S123" t="str">
        <f ca="1">IFERROR(__xludf.DUMMYFUNCTION("""COMPUTED_VALUE"""),"Good")</f>
        <v>Good</v>
      </c>
      <c r="T123" t="str">
        <f ca="1">IFERROR(__xludf.DUMMYFUNCTION("""COMPUTED_VALUE"""),"Good")</f>
        <v>Good</v>
      </c>
      <c r="U123" t="str">
        <f ca="1">IFERROR(__xludf.DUMMYFUNCTION("""COMPUTED_VALUE"""),"Good")</f>
        <v>Good</v>
      </c>
      <c r="V123" t="str">
        <f ca="1">IFERROR(__xludf.DUMMYFUNCTION("""COMPUTED_VALUE"""),"Good")</f>
        <v>Good</v>
      </c>
      <c r="W123" t="str">
        <f ca="1">IFERROR(__xludf.DUMMYFUNCTION("""COMPUTED_VALUE"""),"Good")</f>
        <v>Good</v>
      </c>
      <c r="X123" t="str">
        <f ca="1">IFERROR(__xludf.DUMMYFUNCTION("""COMPUTED_VALUE"""),"Good")</f>
        <v>Good</v>
      </c>
      <c r="Y123" t="str">
        <f ca="1">IFERROR(__xludf.DUMMYFUNCTION("""COMPUTED_VALUE"""),"Good")</f>
        <v>Good</v>
      </c>
      <c r="Z123" t="str">
        <f ca="1">IFERROR(__xludf.DUMMYFUNCTION("""COMPUTED_VALUE"""),"Good")</f>
        <v>Good</v>
      </c>
      <c r="AA123" t="str">
        <f ca="1">IFERROR(__xludf.DUMMYFUNCTION("""COMPUTED_VALUE"""),"Good")</f>
        <v>Good</v>
      </c>
      <c r="AB123" t="str">
        <f ca="1">IFERROR(__xludf.DUMMYFUNCTION("""COMPUTED_VALUE"""),"Good")</f>
        <v>Good</v>
      </c>
      <c r="AC123" t="str">
        <f ca="1">IFERROR(__xludf.DUMMYFUNCTION("""COMPUTED_VALUE"""),"Good")</f>
        <v>Good</v>
      </c>
      <c r="AE123" s="11"/>
      <c r="AF123" t="str">
        <v>Nikki.Dix@floridadep.gov</v>
      </c>
      <c r="AG123" s="17" t="s">
        <v>17</v>
      </c>
      <c r="AH123" s="12">
        <v>1449</v>
      </c>
      <c r="AI123" s="12" t="s">
        <v>309</v>
      </c>
      <c r="AJ123" s="19" t="s">
        <v>310</v>
      </c>
      <c r="AK123" s="20" t="str">
        <f>HYPERLINK("https://docs.google.com/document/d/1c5DkI6jJ5VBQm3EWgcA563cNGIBizGgTtaIKGIJ2dE8/edit?usp=drivesdk","Pamela Marcum - 8/8/2018 9:00 AM")</f>
        <v>Pamela Marcum - 8/8/2018 9:00 AM</v>
      </c>
      <c r="AL123" s="12" t="s">
        <v>311</v>
      </c>
    </row>
    <row r="124" spans="1:38" ht="12.75">
      <c r="A124" s="10">
        <f ca="1">IFERROR(__xludf.DUMMYFUNCTION("""COMPUTED_VALUE"""),43322.3543146527)</f>
        <v>43322.354314652701</v>
      </c>
      <c r="B124" s="11" t="str">
        <f ca="1">IFERROR(__xludf.DUMMYFUNCTION("""COMPUTED_VALUE"""),"Silas Tanner")</f>
        <v>Silas Tanner</v>
      </c>
      <c r="C124" t="str">
        <f ca="1">IFERROR(__xludf.DUMMYFUNCTION("""COMPUTED_VALUE"""),"Silas.tanner@floridadep.gov")</f>
        <v>Silas.tanner@floridadep.gov</v>
      </c>
      <c r="D124" t="str">
        <f ca="1">IFERROR(__xludf.DUMMYFUNCTION("""COMPUTED_VALUE"""),"Research/Nikki")</f>
        <v>Research/Nikki</v>
      </c>
      <c r="E124" t="str">
        <f ca="1">IFERROR(__xludf.DUMMYFUNCTION("""COMPUTED_VALUE"""),"Bing's")</f>
        <v>Bing's</v>
      </c>
      <c r="F124" s="13">
        <f ca="1">IFERROR(__xludf.DUMMYFUNCTION("""COMPUTED_VALUE"""),0.4375)</f>
        <v>0.4375</v>
      </c>
      <c r="G124" s="14">
        <f ca="1">IFERROR(__xludf.DUMMYFUNCTION("""COMPUTED_VALUE"""),43322)</f>
        <v>43322</v>
      </c>
      <c r="H124" t="str">
        <f ca="1">IFERROR(__xludf.DUMMYFUNCTION("""COMPUTED_VALUE"""),"ICW - Rattlesnake Is. to Bing's")</f>
        <v>ICW - Rattlesnake Is. to Bing's</v>
      </c>
      <c r="I124" s="15">
        <f ca="1">IFERROR(__xludf.DUMMYFUNCTION("""COMPUTED_VALUE"""),0.541666666667879)</f>
        <v>0.54166666666787899</v>
      </c>
      <c r="J124" s="16">
        <f ca="1">IFERROR(__xludf.DUMMYFUNCTION("""COMPUTED_VALUE"""),43322.625)</f>
        <v>43322.625</v>
      </c>
      <c r="K124" t="str">
        <f ca="1">IFERROR(__xludf.DUMMYFUNCTION("""COMPUTED_VALUE"""),"23ft Skiff (Bertha) FL7972LJ DEP07613")</f>
        <v>23ft Skiff (Bertha) FL7972LJ DEP07613</v>
      </c>
      <c r="M124" t="str">
        <f ca="1">IFERROR(__xludf.DUMMYFUNCTION("""COMPUTED_VALUE"""),"Ford F250 2017 (Moby Dix) - DEP0021578")</f>
        <v>Ford F250 2017 (Moby Dix) - DEP0021578</v>
      </c>
      <c r="N124" t="str">
        <f ca="1">IFERROR(__xludf.DUMMYFUNCTION("""COMPUTED_VALUE"""),"Shannon Dunnigan, (803) 727-5734, Silas Tanner, (904) 483-8423")</f>
        <v>Shannon Dunnigan, (803) 727-5734, Silas Tanner, (904) 483-8423</v>
      </c>
      <c r="O124" t="str">
        <f ca="1">IFERROR(__xludf.DUMMYFUNCTION("""COMPUTED_VALUE"""),"Suzi Porterfield, Matt Brown, Westly Woodward")</f>
        <v>Suzi Porterfield, Matt Brown, Westly Woodward</v>
      </c>
      <c r="P124" t="str">
        <f ca="1">IFERROR(__xludf.DUMMYFUNCTION("""COMPUTED_VALUE"""),"Shannon Dunnigan")</f>
        <v>Shannon Dunnigan</v>
      </c>
      <c r="Q124" t="str">
        <f ca="1">IFERROR(__xludf.DUMMYFUNCTION("""COMPUTED_VALUE"""),"Good")</f>
        <v>Good</v>
      </c>
      <c r="R124" t="str">
        <f ca="1">IFERROR(__xludf.DUMMYFUNCTION("""COMPUTED_VALUE"""),"Good")</f>
        <v>Good</v>
      </c>
      <c r="S124" t="str">
        <f ca="1">IFERROR(__xludf.DUMMYFUNCTION("""COMPUTED_VALUE"""),"Good")</f>
        <v>Good</v>
      </c>
      <c r="T124" t="str">
        <f ca="1">IFERROR(__xludf.DUMMYFUNCTION("""COMPUTED_VALUE"""),"Good")</f>
        <v>Good</v>
      </c>
      <c r="U124" t="str">
        <f ca="1">IFERROR(__xludf.DUMMYFUNCTION("""COMPUTED_VALUE"""),"Good")</f>
        <v>Good</v>
      </c>
      <c r="V124" t="str">
        <f ca="1">IFERROR(__xludf.DUMMYFUNCTION("""COMPUTED_VALUE"""),"Good")</f>
        <v>Good</v>
      </c>
      <c r="W124" t="str">
        <f ca="1">IFERROR(__xludf.DUMMYFUNCTION("""COMPUTED_VALUE"""),"Good")</f>
        <v>Good</v>
      </c>
      <c r="X124" t="str">
        <f ca="1">IFERROR(__xludf.DUMMYFUNCTION("""COMPUTED_VALUE"""),"Good")</f>
        <v>Good</v>
      </c>
      <c r="Y124" t="str">
        <f ca="1">IFERROR(__xludf.DUMMYFUNCTION("""COMPUTED_VALUE"""),"Good")</f>
        <v>Good</v>
      </c>
      <c r="Z124" t="str">
        <f ca="1">IFERROR(__xludf.DUMMYFUNCTION("""COMPUTED_VALUE"""),"Good")</f>
        <v>Good</v>
      </c>
      <c r="AA124" t="str">
        <f ca="1">IFERROR(__xludf.DUMMYFUNCTION("""COMPUTED_VALUE"""),"Good")</f>
        <v>Good</v>
      </c>
      <c r="AB124" t="str">
        <f ca="1">IFERROR(__xludf.DUMMYFUNCTION("""COMPUTED_VALUE"""),"Good")</f>
        <v>Good</v>
      </c>
      <c r="AC124" t="str">
        <f ca="1">IFERROR(__xludf.DUMMYFUNCTION("""COMPUTED_VALUE"""),"Good")</f>
        <v>Good</v>
      </c>
      <c r="AE124" s="11"/>
      <c r="AF124" t="str">
        <v>Nikki.Dix@floridadep.gov</v>
      </c>
      <c r="AG124" s="17" t="s">
        <v>41</v>
      </c>
      <c r="AH124" s="12">
        <v>1250</v>
      </c>
      <c r="AI124" s="12" t="s">
        <v>312</v>
      </c>
      <c r="AJ124" s="19" t="s">
        <v>313</v>
      </c>
      <c r="AK124" s="20" t="str">
        <f>HYPERLINK("https://docs.google.com/document/d/17sdCynz09IpAwVH5o8CprezXdWWPeoNhVJw4691Iw8A/edit?usp=drivesdk","Silas Tanner - 8/10/2018 10:30 AM")</f>
        <v>Silas Tanner - 8/10/2018 10:30 AM</v>
      </c>
      <c r="AL124" s="12" t="s">
        <v>314</v>
      </c>
    </row>
    <row r="125" spans="1:38" ht="12.75">
      <c r="A125" s="10">
        <f ca="1">IFERROR(__xludf.DUMMYFUNCTION("""COMPUTED_VALUE"""),43323.5403290856)</f>
        <v>43323.540329085597</v>
      </c>
      <c r="B125" s="11" t="str">
        <f ca="1">IFERROR(__xludf.DUMMYFUNCTION("""COMPUTED_VALUE"""),"James Tomazinis ")</f>
        <v xml:space="preserve">James Tomazinis </v>
      </c>
      <c r="C125" t="str">
        <f ca="1">IFERROR(__xludf.DUMMYFUNCTION("""COMPUTED_VALUE"""),"james.tomazinis@floridadep.gov")</f>
        <v>james.tomazinis@floridadep.gov</v>
      </c>
      <c r="D125" t="str">
        <f ca="1">IFERROR(__xludf.DUMMYFUNCTION("""COMPUTED_VALUE"""),"Stewardship (Aquatic)")</f>
        <v>Stewardship (Aquatic)</v>
      </c>
      <c r="E125" t="str">
        <f ca="1">IFERROR(__xludf.DUMMYFUNCTION("""COMPUTED_VALUE"""),"Palatka City Ramp")</f>
        <v>Palatka City Ramp</v>
      </c>
      <c r="F125" s="13">
        <f ca="1">IFERROR(__xludf.DUMMYFUNCTION("""COMPUTED_VALUE"""),0.541666666667879)</f>
        <v>0.54166666666787899</v>
      </c>
      <c r="G125" s="14">
        <f ca="1">IFERROR(__xludf.DUMMYFUNCTION("""COMPUTED_VALUE"""),43323)</f>
        <v>43323</v>
      </c>
      <c r="H125" t="str">
        <f ca="1">IFERROR(__xludf.DUMMYFUNCTION("""COMPUTED_VALUE"""),"St. John's River near Palatka")</f>
        <v>St. John's River near Palatka</v>
      </c>
      <c r="I125" s="15">
        <f ca="1">IFERROR(__xludf.DUMMYFUNCTION("""COMPUTED_VALUE"""),0.70833333333212)</f>
        <v>0.70833333333212001</v>
      </c>
      <c r="J125" s="16"/>
      <c r="K125" t="str">
        <f ca="1">IFERROR(__xludf.DUMMYFUNCTION("""COMPUTED_VALUE"""),"17ft Skill FL0642GW DEP07239")</f>
        <v>17ft Skill FL0642GW DEP07239</v>
      </c>
      <c r="M125" t="str">
        <f ca="1">IFERROR(__xludf.DUMMYFUNCTION("""COMPUTED_VALUE"""),"Ford F150 2015 (White) - DEP21448")</f>
        <v>Ford F150 2015 (White) - DEP21448</v>
      </c>
      <c r="N125" t="str">
        <f ca="1">IFERROR(__xludf.DUMMYFUNCTION("""COMPUTED_VALUE"""),"Jimmy Tomazinis, (904) 547-0094")</f>
        <v>Jimmy Tomazinis, (904) 547-0094</v>
      </c>
      <c r="P125" t="str">
        <f ca="1">IFERROR(__xludf.DUMMYFUNCTION("""COMPUTED_VALUE"""),"Jimmy")</f>
        <v>Jimmy</v>
      </c>
      <c r="Q125" t="str">
        <f ca="1">IFERROR(__xludf.DUMMYFUNCTION("""COMPUTED_VALUE"""),"Good")</f>
        <v>Good</v>
      </c>
      <c r="R125" t="str">
        <f ca="1">IFERROR(__xludf.DUMMYFUNCTION("""COMPUTED_VALUE"""),"Good")</f>
        <v>Good</v>
      </c>
      <c r="S125" t="str">
        <f ca="1">IFERROR(__xludf.DUMMYFUNCTION("""COMPUTED_VALUE"""),"Good")</f>
        <v>Good</v>
      </c>
      <c r="T125" t="str">
        <f ca="1">IFERROR(__xludf.DUMMYFUNCTION("""COMPUTED_VALUE"""),"Good")</f>
        <v>Good</v>
      </c>
      <c r="U125" t="str">
        <f ca="1">IFERROR(__xludf.DUMMYFUNCTION("""COMPUTED_VALUE"""),"Good")</f>
        <v>Good</v>
      </c>
      <c r="V125" t="str">
        <f ca="1">IFERROR(__xludf.DUMMYFUNCTION("""COMPUTED_VALUE"""),"Good")</f>
        <v>Good</v>
      </c>
      <c r="W125" t="str">
        <f ca="1">IFERROR(__xludf.DUMMYFUNCTION("""COMPUTED_VALUE"""),"Good")</f>
        <v>Good</v>
      </c>
      <c r="X125" t="str">
        <f ca="1">IFERROR(__xludf.DUMMYFUNCTION("""COMPUTED_VALUE"""),"Good")</f>
        <v>Good</v>
      </c>
      <c r="Y125" t="str">
        <f ca="1">IFERROR(__xludf.DUMMYFUNCTION("""COMPUTED_VALUE"""),"Good")</f>
        <v>Good</v>
      </c>
      <c r="Z125" t="str">
        <f ca="1">IFERROR(__xludf.DUMMYFUNCTION("""COMPUTED_VALUE"""),"Good")</f>
        <v>Good</v>
      </c>
      <c r="AA125" t="str">
        <f ca="1">IFERROR(__xludf.DUMMYFUNCTION("""COMPUTED_VALUE"""),"Good")</f>
        <v>Good</v>
      </c>
      <c r="AB125" t="str">
        <f ca="1">IFERROR(__xludf.DUMMYFUNCTION("""COMPUTED_VALUE"""),"Good")</f>
        <v>Good</v>
      </c>
      <c r="AC125" t="str">
        <f ca="1">IFERROR(__xludf.DUMMYFUNCTION("""COMPUTED_VALUE"""),"Good")</f>
        <v>Good</v>
      </c>
      <c r="AE125" s="11"/>
      <c r="AF125" t="str">
        <v>Scott.Eastman@floridadep.gov</v>
      </c>
      <c r="AG125" s="17" t="s">
        <v>21</v>
      </c>
      <c r="AH125" s="12">
        <v>1531</v>
      </c>
      <c r="AI125" s="12" t="s">
        <v>315</v>
      </c>
      <c r="AJ125" s="19" t="s">
        <v>316</v>
      </c>
      <c r="AK125" s="20" t="str">
        <f>HYPERLINK("https://docs.google.com/document/d/1ewslJEYMYiLWpQVfKwKUIdB5aER5uzJ2SHLwyC5bnho/edit?usp=drivesdk","James Tomazinis  - 8/11/2018 1:00 PM")</f>
        <v>James Tomazinis  - 8/11/2018 1:00 PM</v>
      </c>
      <c r="AL125" s="12" t="s">
        <v>317</v>
      </c>
    </row>
    <row r="126" spans="1:38" ht="12.75">
      <c r="A126" s="10">
        <f ca="1">IFERROR(__xludf.DUMMYFUNCTION("""COMPUTED_VALUE"""),43326.4509353355)</f>
        <v>43326.450935335597</v>
      </c>
      <c r="B126" s="11" t="str">
        <f ca="1">IFERROR(__xludf.DUMMYFUNCTION("""COMPUTED_VALUE"""),"Kenneth Rainer")</f>
        <v>Kenneth Rainer</v>
      </c>
      <c r="C126" t="str">
        <f ca="1">IFERROR(__xludf.DUMMYFUNCTION("""COMPUTED_VALUE"""),"Kenneth.Rainer@dep.state.fl.us")</f>
        <v>Kenneth.Rainer@dep.state.fl.us</v>
      </c>
      <c r="D126" t="str">
        <f ca="1">IFERROR(__xludf.DUMMYFUNCTION("""COMPUTED_VALUE"""),"Education")</f>
        <v>Education</v>
      </c>
      <c r="E126" t="str">
        <f ca="1">IFERROR(__xludf.DUMMYFUNCTION("""COMPUTED_VALUE"""),"Usina Boat Ramp")</f>
        <v>Usina Boat Ramp</v>
      </c>
      <c r="F126" s="13">
        <f ca="1">IFERROR(__xludf.DUMMYFUNCTION("""COMPUTED_VALUE"""),0.541666666667879)</f>
        <v>0.54166666666787899</v>
      </c>
      <c r="G126" s="14">
        <f ca="1">IFERROR(__xludf.DUMMYFUNCTION("""COMPUTED_VALUE"""),43326)</f>
        <v>43326</v>
      </c>
      <c r="H126" t="str">
        <f ca="1">IFERROR(__xludf.DUMMYFUNCTION("""COMPUTED_VALUE"""),"Northern Component")</f>
        <v>Northern Component</v>
      </c>
      <c r="I126" s="15">
        <f ca="1">IFERROR(__xludf.DUMMYFUNCTION("""COMPUTED_VALUE"""),0.666666666667879)</f>
        <v>0.66666666666787899</v>
      </c>
      <c r="J126" s="16">
        <f ca="1">IFERROR(__xludf.DUMMYFUNCTION("""COMPUTED_VALUE"""),43326.6875)</f>
        <v>43326.6875</v>
      </c>
      <c r="K126" t="str">
        <f ca="1">IFERROR(__xludf.DUMMYFUNCTION("""COMPUTED_VALUE"""),"23ft Skiff (Bertha) FL7972LJ DEP07613")</f>
        <v>23ft Skiff (Bertha) FL7972LJ DEP07613</v>
      </c>
      <c r="M126" t="str">
        <f ca="1">IFERROR(__xludf.DUMMYFUNCTION("""COMPUTED_VALUE"""),"Ford F250 2017 (Moby Dix) - DEP0021578")</f>
        <v>Ford F250 2017 (Moby Dix) - DEP0021578</v>
      </c>
      <c r="N126" t="str">
        <f ca="1">IFERROR(__xludf.DUMMYFUNCTION("""COMPUTED_VALUE"""),"Kenneth Rainer, (936) 499-1853")</f>
        <v>Kenneth Rainer, (936) 499-1853</v>
      </c>
      <c r="O126" t="str">
        <f ca="1">IFERROR(__xludf.DUMMYFUNCTION("""COMPUTED_VALUE"""),"Master Naturalist Coastal Restoration Class")</f>
        <v>Master Naturalist Coastal Restoration Class</v>
      </c>
      <c r="P126" t="str">
        <f ca="1">IFERROR(__xludf.DUMMYFUNCTION("""COMPUTED_VALUE"""),"Kenneth Rainer")</f>
        <v>Kenneth Rainer</v>
      </c>
      <c r="Q126" t="str">
        <f ca="1">IFERROR(__xludf.DUMMYFUNCTION("""COMPUTED_VALUE"""),"Good")</f>
        <v>Good</v>
      </c>
      <c r="R126" t="str">
        <f ca="1">IFERROR(__xludf.DUMMYFUNCTION("""COMPUTED_VALUE"""),"Good")</f>
        <v>Good</v>
      </c>
      <c r="S126" t="str">
        <f ca="1">IFERROR(__xludf.DUMMYFUNCTION("""COMPUTED_VALUE"""),"Good")</f>
        <v>Good</v>
      </c>
      <c r="T126" t="str">
        <f ca="1">IFERROR(__xludf.DUMMYFUNCTION("""COMPUTED_VALUE"""),"Good")</f>
        <v>Good</v>
      </c>
      <c r="U126" t="str">
        <f ca="1">IFERROR(__xludf.DUMMYFUNCTION("""COMPUTED_VALUE"""),"Good")</f>
        <v>Good</v>
      </c>
      <c r="V126" t="str">
        <f ca="1">IFERROR(__xludf.DUMMYFUNCTION("""COMPUTED_VALUE"""),"Good")</f>
        <v>Good</v>
      </c>
      <c r="W126" t="str">
        <f ca="1">IFERROR(__xludf.DUMMYFUNCTION("""COMPUTED_VALUE"""),"Good")</f>
        <v>Good</v>
      </c>
      <c r="X126" t="str">
        <f ca="1">IFERROR(__xludf.DUMMYFUNCTION("""COMPUTED_VALUE"""),"Good")</f>
        <v>Good</v>
      </c>
      <c r="Y126" t="str">
        <f ca="1">IFERROR(__xludf.DUMMYFUNCTION("""COMPUTED_VALUE"""),"Good")</f>
        <v>Good</v>
      </c>
      <c r="Z126" t="str">
        <f ca="1">IFERROR(__xludf.DUMMYFUNCTION("""COMPUTED_VALUE"""),"Good")</f>
        <v>Good</v>
      </c>
      <c r="AA126" t="str">
        <f ca="1">IFERROR(__xludf.DUMMYFUNCTION("""COMPUTED_VALUE"""),"Good")</f>
        <v>Good</v>
      </c>
      <c r="AB126" t="str">
        <f ca="1">IFERROR(__xludf.DUMMYFUNCTION("""COMPUTED_VALUE"""),"Good")</f>
        <v>Good</v>
      </c>
      <c r="AC126" t="str">
        <f ca="1">IFERROR(__xludf.DUMMYFUNCTION("""COMPUTED_VALUE"""),"Good")</f>
        <v>Good</v>
      </c>
      <c r="AD126" t="str">
        <f ca="1">IFERROR(__xludf.DUMMYFUNCTION("""COMPUTED_VALUE"""),"Partly cloudy with afternoon showers or thunderstorms. High 87F. Winds SSE at 10 to 15 mph. Chance of rain 40%.")</f>
        <v>Partly cloudy with afternoon showers or thunderstorms. High 87F. Winds SSE at 10 to 15 mph. Chance of rain 40%.</v>
      </c>
      <c r="AE126" s="11" t="str">
        <f ca="1">IFERROR(__xludf.DUMMYFUNCTION("""COMPUTED_VALUE"""),"11:46 AM, 5.39ft, H; 5:50 PM, 0.11ft, L")</f>
        <v>11:46 AM, 5.39ft, H; 5:50 PM, 0.11ft, L</v>
      </c>
      <c r="AF126" t="str">
        <v>Kenneth.Rainer@floridadep.gov</v>
      </c>
      <c r="AG126" s="17" t="s">
        <v>17</v>
      </c>
      <c r="AH126" s="12">
        <v>1440</v>
      </c>
      <c r="AI126" s="12" t="s">
        <v>318</v>
      </c>
      <c r="AJ126" s="19" t="s">
        <v>319</v>
      </c>
      <c r="AK126" s="20" t="str">
        <f>HYPERLINK("https://docs.google.com/document/d/1UoUokpEmpx5df0h6r4uANvSRcZZUW8I676NwUPCYPfg/edit?usp=drivesdk","Kenneth Rainer - 8/14/2018 1:00 PM")</f>
        <v>Kenneth Rainer - 8/14/2018 1:00 PM</v>
      </c>
      <c r="AL126" s="12" t="s">
        <v>320</v>
      </c>
    </row>
    <row r="127" spans="1:38" ht="12.75">
      <c r="A127" s="10">
        <f ca="1">IFERROR(__xludf.DUMMYFUNCTION("""COMPUTED_VALUE"""),43326.4989598726)</f>
        <v>43326.498959872602</v>
      </c>
      <c r="B127" s="11" t="str">
        <f ca="1">IFERROR(__xludf.DUMMYFUNCTION("""COMPUTED_VALUE"""),"Jimmy Tomazinis")</f>
        <v>Jimmy Tomazinis</v>
      </c>
      <c r="C127" t="str">
        <f ca="1">IFERROR(__xludf.DUMMYFUNCTION("""COMPUTED_VALUE"""),"James.Tomazinis@floridadep.gov")</f>
        <v>James.Tomazinis@floridadep.gov</v>
      </c>
      <c r="D127" t="str">
        <f ca="1">IFERROR(__xludf.DUMMYFUNCTION("""COMPUTED_VALUE"""),"Stewardship (Aquatic)")</f>
        <v>Stewardship (Aquatic)</v>
      </c>
      <c r="E127" t="str">
        <f ca="1">IFERROR(__xludf.DUMMYFUNCTION("""COMPUTED_VALUE"""),"Aunt Kates")</f>
        <v>Aunt Kates</v>
      </c>
      <c r="F127" s="13">
        <f ca="1">IFERROR(__xludf.DUMMYFUNCTION("""COMPUTED_VALUE"""),0.541666666667879)</f>
        <v>0.54166666666787899</v>
      </c>
      <c r="G127" s="14">
        <f ca="1">IFERROR(__xludf.DUMMYFUNCTION("""COMPUTED_VALUE"""),43326)</f>
        <v>43326</v>
      </c>
      <c r="H127" t="str">
        <f ca="1">IFERROR(__xludf.DUMMYFUNCTION("""COMPUTED_VALUE"""),"ICW (with Kenneth)")</f>
        <v>ICW (with Kenneth)</v>
      </c>
      <c r="I127" s="15">
        <f ca="1">IFERROR(__xludf.DUMMYFUNCTION("""COMPUTED_VALUE"""),0.6875)</f>
        <v>0.6875</v>
      </c>
      <c r="J127" s="16">
        <f ca="1">IFERROR(__xludf.DUMMYFUNCTION("""COMPUTED_VALUE"""),43326.7083333333)</f>
        <v>43326.708333333299</v>
      </c>
      <c r="K127" t="str">
        <f ca="1">IFERROR(__xludf.DUMMYFUNCTION("""COMPUTED_VALUE"""),"F 20ft Sea Ark (Easy 200) FL8534PY DEP21451")</f>
        <v>F 20ft Sea Ark (Easy 200) FL8534PY DEP21451</v>
      </c>
      <c r="M127" t="str">
        <f ca="1">IFERROR(__xludf.DUMMYFUNCTION("""COMPUTED_VALUE"""),"Ford F150 2015 (White) - DEP21448")</f>
        <v>Ford F150 2015 (White) - DEP21448</v>
      </c>
      <c r="N127" t="str">
        <f ca="1">IFERROR(__xludf.DUMMYFUNCTION("""COMPUTED_VALUE"""),"Jimmy Tomazinis, (904) 547-0094")</f>
        <v>Jimmy Tomazinis, (904) 547-0094</v>
      </c>
      <c r="O127" t="str">
        <f ca="1">IFERROR(__xludf.DUMMYFUNCTION("""COMPUTED_VALUE"""),"Florida Master Naturalist Course")</f>
        <v>Florida Master Naturalist Course</v>
      </c>
      <c r="P127" t="str">
        <f ca="1">IFERROR(__xludf.DUMMYFUNCTION("""COMPUTED_VALUE"""),"Jimmy Tomazinis")</f>
        <v>Jimmy Tomazinis</v>
      </c>
      <c r="Q127" t="str">
        <f ca="1">IFERROR(__xludf.DUMMYFUNCTION("""COMPUTED_VALUE"""),"Good")</f>
        <v>Good</v>
      </c>
      <c r="R127" t="str">
        <f ca="1">IFERROR(__xludf.DUMMYFUNCTION("""COMPUTED_VALUE"""),"Good")</f>
        <v>Good</v>
      </c>
      <c r="S127" t="str">
        <f ca="1">IFERROR(__xludf.DUMMYFUNCTION("""COMPUTED_VALUE"""),"Good")</f>
        <v>Good</v>
      </c>
      <c r="T127" t="str">
        <f ca="1">IFERROR(__xludf.DUMMYFUNCTION("""COMPUTED_VALUE"""),"Good")</f>
        <v>Good</v>
      </c>
      <c r="U127" t="str">
        <f ca="1">IFERROR(__xludf.DUMMYFUNCTION("""COMPUTED_VALUE"""),"Good")</f>
        <v>Good</v>
      </c>
      <c r="V127" t="str">
        <f ca="1">IFERROR(__xludf.DUMMYFUNCTION("""COMPUTED_VALUE"""),"Good")</f>
        <v>Good</v>
      </c>
      <c r="W127" t="str">
        <f ca="1">IFERROR(__xludf.DUMMYFUNCTION("""COMPUTED_VALUE"""),"Good")</f>
        <v>Good</v>
      </c>
      <c r="X127" t="str">
        <f ca="1">IFERROR(__xludf.DUMMYFUNCTION("""COMPUTED_VALUE"""),"Good")</f>
        <v>Good</v>
      </c>
      <c r="Y127" t="str">
        <f ca="1">IFERROR(__xludf.DUMMYFUNCTION("""COMPUTED_VALUE"""),"Good")</f>
        <v>Good</v>
      </c>
      <c r="Z127" t="str">
        <f ca="1">IFERROR(__xludf.DUMMYFUNCTION("""COMPUTED_VALUE"""),"Good")</f>
        <v>Good</v>
      </c>
      <c r="AA127" t="str">
        <f ca="1">IFERROR(__xludf.DUMMYFUNCTION("""COMPUTED_VALUE"""),"Good")</f>
        <v>Good</v>
      </c>
      <c r="AB127" t="str">
        <f ca="1">IFERROR(__xludf.DUMMYFUNCTION("""COMPUTED_VALUE"""),"Good")</f>
        <v>Good</v>
      </c>
      <c r="AC127" t="str">
        <f ca="1">IFERROR(__xludf.DUMMYFUNCTION("""COMPUTED_VALUE"""),"Good")</f>
        <v>Good</v>
      </c>
      <c r="AE127" s="11"/>
      <c r="AF127" t="str">
        <v>Scott.Eastman@floridadep.gov</v>
      </c>
      <c r="AG127" s="17" t="s">
        <v>17</v>
      </c>
      <c r="AH127" s="12">
        <v>1440</v>
      </c>
      <c r="AI127" s="12" t="s">
        <v>321</v>
      </c>
      <c r="AJ127" s="19" t="s">
        <v>322</v>
      </c>
      <c r="AK127" s="20" t="str">
        <f>HYPERLINK("https://docs.google.com/document/d/1Zr-dHoYFPh8hWNtbTV1mMdu01l2o95lPBKDPC730sdw/edit?usp=drivesdk","Jimmy Tomazinis - 8/14/2018 1:00 PM")</f>
        <v>Jimmy Tomazinis - 8/14/2018 1:00 PM</v>
      </c>
      <c r="AL127" s="12" t="s">
        <v>323</v>
      </c>
    </row>
    <row r="128" spans="1:38" ht="12.75">
      <c r="A128" s="10">
        <f ca="1">IFERROR(__xludf.DUMMYFUNCTION("""COMPUTED_VALUE"""),43327.4147866319)</f>
        <v>43327.414786631904</v>
      </c>
      <c r="B128" s="11" t="str">
        <f ca="1">IFERROR(__xludf.DUMMYFUNCTION("""COMPUTED_VALUE"""),"Ben Mowbray")</f>
        <v>Ben Mowbray</v>
      </c>
      <c r="C128" t="str">
        <f ca="1">IFERROR(__xludf.DUMMYFUNCTION("""COMPUTED_VALUE"""),"ben.mowbray@dep.state.fl.us")</f>
        <v>ben.mowbray@dep.state.fl.us</v>
      </c>
      <c r="D128" t="str">
        <f ca="1">IFERROR(__xludf.DUMMYFUNCTION("""COMPUTED_VALUE"""),"Research/Nikki")</f>
        <v>Research/Nikki</v>
      </c>
      <c r="E128" t="str">
        <f ca="1">IFERROR(__xludf.DUMMYFUNCTION("""COMPUTED_VALUE"""),"Bing's")</f>
        <v>Bing's</v>
      </c>
      <c r="F128" s="13">
        <f ca="1">IFERROR(__xludf.DUMMYFUNCTION("""COMPUTED_VALUE"""),0.541666666667879)</f>
        <v>0.54166666666787899</v>
      </c>
      <c r="G128" s="14">
        <f ca="1">IFERROR(__xludf.DUMMYFUNCTION("""COMPUTED_VALUE"""),43327)</f>
        <v>43327</v>
      </c>
      <c r="H128" t="str">
        <f ca="1">IFERROR(__xludf.DUMMYFUNCTION("""COMPUTED_VALUE"""),"Training exercises")</f>
        <v>Training exercises</v>
      </c>
      <c r="I128" s="15">
        <f ca="1">IFERROR(__xludf.DUMMYFUNCTION("""COMPUTED_VALUE"""),0.625)</f>
        <v>0.625</v>
      </c>
      <c r="J128" s="16">
        <f ca="1">IFERROR(__xludf.DUMMYFUNCTION("""COMPUTED_VALUE"""),43327.6666666666)</f>
        <v>43327.666666666599</v>
      </c>
      <c r="K128" t="str">
        <f ca="1">IFERROR(__xludf.DUMMYFUNCTION("""COMPUTED_VALUE"""),"23ft Skiff (Bertha) FL7972LJ DEP07613")</f>
        <v>23ft Skiff (Bertha) FL7972LJ DEP07613</v>
      </c>
      <c r="M128" t="str">
        <f ca="1">IFERROR(__xludf.DUMMYFUNCTION("""COMPUTED_VALUE"""),"Ford F250 2017 (Moby Dix) - DEP0021578")</f>
        <v>Ford F250 2017 (Moby Dix) - DEP0021578</v>
      </c>
      <c r="N128" t="str">
        <f ca="1">IFERROR(__xludf.DUMMYFUNCTION("""COMPUTED_VALUE"""),"Pam Marcum, (480) 332-5414, Ben Mowbray, (407) 962-8782")</f>
        <v>Pam Marcum, (480) 332-5414, Ben Mowbray, (407) 962-8782</v>
      </c>
      <c r="P128" t="str">
        <f ca="1">IFERROR(__xludf.DUMMYFUNCTION("""COMPUTED_VALUE"""),"Ben")</f>
        <v>Ben</v>
      </c>
      <c r="Q128" t="str">
        <f ca="1">IFERROR(__xludf.DUMMYFUNCTION("""COMPUTED_VALUE"""),"Good")</f>
        <v>Good</v>
      </c>
      <c r="R128" t="str">
        <f ca="1">IFERROR(__xludf.DUMMYFUNCTION("""COMPUTED_VALUE"""),"Good")</f>
        <v>Good</v>
      </c>
      <c r="S128" t="str">
        <f ca="1">IFERROR(__xludf.DUMMYFUNCTION("""COMPUTED_VALUE"""),"Good")</f>
        <v>Good</v>
      </c>
      <c r="T128" t="str">
        <f ca="1">IFERROR(__xludf.DUMMYFUNCTION("""COMPUTED_VALUE"""),"Good")</f>
        <v>Good</v>
      </c>
      <c r="U128" t="str">
        <f ca="1">IFERROR(__xludf.DUMMYFUNCTION("""COMPUTED_VALUE"""),"Good")</f>
        <v>Good</v>
      </c>
      <c r="V128" t="str">
        <f ca="1">IFERROR(__xludf.DUMMYFUNCTION("""COMPUTED_VALUE"""),"Good")</f>
        <v>Good</v>
      </c>
      <c r="W128" t="str">
        <f ca="1">IFERROR(__xludf.DUMMYFUNCTION("""COMPUTED_VALUE"""),"Good")</f>
        <v>Good</v>
      </c>
      <c r="X128" t="str">
        <f ca="1">IFERROR(__xludf.DUMMYFUNCTION("""COMPUTED_VALUE"""),"Good")</f>
        <v>Good</v>
      </c>
      <c r="Y128" t="str">
        <f ca="1">IFERROR(__xludf.DUMMYFUNCTION("""COMPUTED_VALUE"""),"Good")</f>
        <v>Good</v>
      </c>
      <c r="Z128" t="str">
        <f ca="1">IFERROR(__xludf.DUMMYFUNCTION("""COMPUTED_VALUE"""),"Good")</f>
        <v>Good</v>
      </c>
      <c r="AA128" t="str">
        <f ca="1">IFERROR(__xludf.DUMMYFUNCTION("""COMPUTED_VALUE"""),"Good")</f>
        <v>Good</v>
      </c>
      <c r="AB128" t="str">
        <f ca="1">IFERROR(__xludf.DUMMYFUNCTION("""COMPUTED_VALUE"""),"Good")</f>
        <v>Good</v>
      </c>
      <c r="AC128" t="str">
        <f ca="1">IFERROR(__xludf.DUMMYFUNCTION("""COMPUTED_VALUE"""),"Good")</f>
        <v>Good</v>
      </c>
      <c r="AE128" s="11"/>
      <c r="AF128" t="str">
        <v>Nikki.Dix@floridadep.gov</v>
      </c>
      <c r="AG128" s="17" t="s">
        <v>41</v>
      </c>
      <c r="AH128" s="12">
        <v>1756</v>
      </c>
      <c r="AI128" s="12" t="s">
        <v>324</v>
      </c>
      <c r="AJ128" s="19" t="s">
        <v>325</v>
      </c>
      <c r="AK128" s="20" t="str">
        <f>HYPERLINK("https://docs.google.com/document/d/1ERbNqlmZ7cO96gpNW3hInnDf7lFEo276aaUSKUXyTaw/edit?usp=drivesdk","Ben Mowbray - 8/15/2018 1:00 PM")</f>
        <v>Ben Mowbray - 8/15/2018 1:00 PM</v>
      </c>
      <c r="AL128" s="12" t="s">
        <v>326</v>
      </c>
    </row>
    <row r="129" spans="1:38" ht="12.75">
      <c r="A129" s="10">
        <f ca="1">IFERROR(__xludf.DUMMYFUNCTION("""COMPUTED_VALUE"""),43329.4765654513)</f>
        <v>43329.476565451303</v>
      </c>
      <c r="B129" s="11" t="str">
        <f ca="1">IFERROR(__xludf.DUMMYFUNCTION("""COMPUTED_VALUE"""),"Ben Mowbray")</f>
        <v>Ben Mowbray</v>
      </c>
      <c r="C129" t="str">
        <f ca="1">IFERROR(__xludf.DUMMYFUNCTION("""COMPUTED_VALUE"""),"ben.mowbray@dep.state.fl.us")</f>
        <v>ben.mowbray@dep.state.fl.us</v>
      </c>
      <c r="D129" t="str">
        <f ca="1">IFERROR(__xludf.DUMMYFUNCTION("""COMPUTED_VALUE"""),"Research/Nikki")</f>
        <v>Research/Nikki</v>
      </c>
      <c r="E129" t="str">
        <f ca="1">IFERROR(__xludf.DUMMYFUNCTION("""COMPUTED_VALUE"""),"Aunt Kate's")</f>
        <v>Aunt Kate's</v>
      </c>
      <c r="F129" s="13">
        <f ca="1">IFERROR(__xludf.DUMMYFUNCTION("""COMPUTED_VALUE"""),0.347222222222626)</f>
        <v>0.347222222222626</v>
      </c>
      <c r="G129" s="14">
        <f ca="1">IFERROR(__xludf.DUMMYFUNCTION("""COMPUTED_VALUE"""),43332)</f>
        <v>43332</v>
      </c>
      <c r="H129" t="str">
        <f ca="1">IFERROR(__xludf.DUMMYFUNCTION("""COMPUTED_VALUE"""),"Robinson Creek oyster reefs")</f>
        <v>Robinson Creek oyster reefs</v>
      </c>
      <c r="I129" s="15">
        <f ca="1">IFERROR(__xludf.DUMMYFUNCTION("""COMPUTED_VALUE"""),0.638888888890505)</f>
        <v>0.63888888889050499</v>
      </c>
      <c r="J129" s="16">
        <f ca="1">IFERROR(__xludf.DUMMYFUNCTION("""COMPUTED_VALUE"""),43332.6527777777)</f>
        <v>43332.652777777701</v>
      </c>
      <c r="K129" t="str">
        <f ca="1">IFERROR(__xludf.DUMMYFUNCTION("""COMPUTED_VALUE"""),"20ft Sea Ark FL5351SJ UNF 2015")</f>
        <v>20ft Sea Ark FL5351SJ UNF 2015</v>
      </c>
      <c r="M129" t="str">
        <f ca="1">IFERROR(__xludf.DUMMYFUNCTION("""COMPUTED_VALUE"""),"Ford F250 2017 (Moby Dix) - DEP0021578")</f>
        <v>Ford F250 2017 (Moby Dix) - DEP0021578</v>
      </c>
      <c r="N129" t="str">
        <f ca="1">IFERROR(__xludf.DUMMYFUNCTION("""COMPUTED_VALUE"""),"Pam Marcum, (480) 332-5414, Ben Mowbray, (407) 962-8782")</f>
        <v>Pam Marcum, (480) 332-5414, Ben Mowbray, (407) 962-8782</v>
      </c>
      <c r="O129" t="str">
        <f ca="1">IFERROR(__xludf.DUMMYFUNCTION("""COMPUTED_VALUE"""),"four volunteers")</f>
        <v>four volunteers</v>
      </c>
      <c r="P129" t="str">
        <f ca="1">IFERROR(__xludf.DUMMYFUNCTION("""COMPUTED_VALUE"""),"Ben")</f>
        <v>Ben</v>
      </c>
      <c r="Q129" t="str">
        <f ca="1">IFERROR(__xludf.DUMMYFUNCTION("""COMPUTED_VALUE"""),"Good")</f>
        <v>Good</v>
      </c>
      <c r="R129" t="str">
        <f ca="1">IFERROR(__xludf.DUMMYFUNCTION("""COMPUTED_VALUE"""),"Good")</f>
        <v>Good</v>
      </c>
      <c r="S129" t="str">
        <f ca="1">IFERROR(__xludf.DUMMYFUNCTION("""COMPUTED_VALUE"""),"Good")</f>
        <v>Good</v>
      </c>
      <c r="T129" t="str">
        <f ca="1">IFERROR(__xludf.DUMMYFUNCTION("""COMPUTED_VALUE"""),"Good")</f>
        <v>Good</v>
      </c>
      <c r="U129" t="str">
        <f ca="1">IFERROR(__xludf.DUMMYFUNCTION("""COMPUTED_VALUE"""),"Good")</f>
        <v>Good</v>
      </c>
      <c r="V129" t="str">
        <f ca="1">IFERROR(__xludf.DUMMYFUNCTION("""COMPUTED_VALUE"""),"Good")</f>
        <v>Good</v>
      </c>
      <c r="W129" t="str">
        <f ca="1">IFERROR(__xludf.DUMMYFUNCTION("""COMPUTED_VALUE"""),"Good")</f>
        <v>Good</v>
      </c>
      <c r="X129" t="str">
        <f ca="1">IFERROR(__xludf.DUMMYFUNCTION("""COMPUTED_VALUE"""),"Good")</f>
        <v>Good</v>
      </c>
      <c r="Y129" t="str">
        <f ca="1">IFERROR(__xludf.DUMMYFUNCTION("""COMPUTED_VALUE"""),"Good")</f>
        <v>Good</v>
      </c>
      <c r="Z129" t="str">
        <f ca="1">IFERROR(__xludf.DUMMYFUNCTION("""COMPUTED_VALUE"""),"Good")</f>
        <v>Good</v>
      </c>
      <c r="AA129" t="str">
        <f ca="1">IFERROR(__xludf.DUMMYFUNCTION("""COMPUTED_VALUE"""),"Good")</f>
        <v>Good</v>
      </c>
      <c r="AB129" t="str">
        <f ca="1">IFERROR(__xludf.DUMMYFUNCTION("""COMPUTED_VALUE"""),"Good")</f>
        <v>Good</v>
      </c>
      <c r="AC129" t="str">
        <f ca="1">IFERROR(__xludf.DUMMYFUNCTION("""COMPUTED_VALUE"""),"Good")</f>
        <v>Good</v>
      </c>
      <c r="AE129" s="11"/>
      <c r="AF129" t="str">
        <v>Nikki.Dix@floridadep.gov</v>
      </c>
      <c r="AG129" s="17" t="s">
        <v>17</v>
      </c>
      <c r="AH129" s="12">
        <v>1325</v>
      </c>
      <c r="AI129" s="12" t="s">
        <v>327</v>
      </c>
      <c r="AJ129" s="19" t="s">
        <v>328</v>
      </c>
      <c r="AK129" s="20" t="str">
        <f>HYPERLINK("https://docs.google.com/document/d/1Xqh3FggsY2bltRwZowLuBS6_e56PQHzyI4rVU95A2Zg/edit?usp=drivesdk","Ben Mowbray - 8/20/2018 8:20 AM")</f>
        <v>Ben Mowbray - 8/20/2018 8:20 AM</v>
      </c>
      <c r="AL129" s="12" t="s">
        <v>329</v>
      </c>
    </row>
    <row r="130" spans="1:38" ht="12.75">
      <c r="A130" s="10">
        <f ca="1">IFERROR(__xludf.DUMMYFUNCTION("""COMPUTED_VALUE"""),43332.3560241203)</f>
        <v>43332.356024120301</v>
      </c>
      <c r="B130" s="11" t="str">
        <f ca="1">IFERROR(__xludf.DUMMYFUNCTION("""COMPUTED_VALUE"""),"James Tomazinis")</f>
        <v>James Tomazinis</v>
      </c>
      <c r="C130" t="str">
        <f ca="1">IFERROR(__xludf.DUMMYFUNCTION("""COMPUTED_VALUE"""),"james.tomazinis@floridadep.gov")</f>
        <v>james.tomazinis@floridadep.gov</v>
      </c>
      <c r="D130" t="str">
        <f ca="1">IFERROR(__xludf.DUMMYFUNCTION("""COMPUTED_VALUE"""),"Stewardship (Aquatic)")</f>
        <v>Stewardship (Aquatic)</v>
      </c>
      <c r="E130" t="str">
        <f ca="1">IFERROR(__xludf.DUMMYFUNCTION("""COMPUTED_VALUE"""),"Aunt Kates")</f>
        <v>Aunt Kates</v>
      </c>
      <c r="F130" s="13">
        <f ca="1">IFERROR(__xludf.DUMMYFUNCTION("""COMPUTED_VALUE"""),0.39583333333212)</f>
        <v>0.39583333333212001</v>
      </c>
      <c r="G130" s="14">
        <f ca="1">IFERROR(__xludf.DUMMYFUNCTION("""COMPUTED_VALUE"""),43332)</f>
        <v>43332</v>
      </c>
      <c r="H130" t="str">
        <f ca="1">IFERROR(__xludf.DUMMYFUNCTION("""COMPUTED_VALUE"""),"Tolomato and Guana Rivers")</f>
        <v>Tolomato and Guana Rivers</v>
      </c>
      <c r="I130" s="15">
        <f ca="1">IFERROR(__xludf.DUMMYFUNCTION("""COMPUTED_VALUE"""),0.70833333333212)</f>
        <v>0.70833333333212001</v>
      </c>
      <c r="J130" s="16"/>
      <c r="K130" t="str">
        <f ca="1">IFERROR(__xludf.DUMMYFUNCTION("""COMPUTED_VALUE"""),"23ft Skiff (Bertha) FL7972LJ DEP07613")</f>
        <v>23ft Skiff (Bertha) FL7972LJ DEP07613</v>
      </c>
      <c r="M130" t="str">
        <f ca="1">IFERROR(__xludf.DUMMYFUNCTION("""COMPUTED_VALUE"""),"Ford F150 2015 (White) - DEP21448")</f>
        <v>Ford F150 2015 (White) - DEP21448</v>
      </c>
      <c r="N130" t="str">
        <f ca="1">IFERROR(__xludf.DUMMYFUNCTION("""COMPUTED_VALUE"""),"Silas Tanner, (904) 483-8423, Jimmy Tomazinis, (904) 547-0094")</f>
        <v>Silas Tanner, (904) 483-8423, Jimmy Tomazinis, (904) 547-0094</v>
      </c>
      <c r="O130" t="str">
        <f ca="1">IFERROR(__xludf.DUMMYFUNCTION("""COMPUTED_VALUE"""),"Hunter Mathews")</f>
        <v>Hunter Mathews</v>
      </c>
      <c r="P130" t="str">
        <f ca="1">IFERROR(__xludf.DUMMYFUNCTION("""COMPUTED_VALUE"""),"Jimmy")</f>
        <v>Jimmy</v>
      </c>
      <c r="Q130" t="str">
        <f ca="1">IFERROR(__xludf.DUMMYFUNCTION("""COMPUTED_VALUE"""),"Good")</f>
        <v>Good</v>
      </c>
      <c r="R130" t="str">
        <f ca="1">IFERROR(__xludf.DUMMYFUNCTION("""COMPUTED_VALUE"""),"Good")</f>
        <v>Good</v>
      </c>
      <c r="S130" t="str">
        <f ca="1">IFERROR(__xludf.DUMMYFUNCTION("""COMPUTED_VALUE"""),"Good")</f>
        <v>Good</v>
      </c>
      <c r="T130" t="str">
        <f ca="1">IFERROR(__xludf.DUMMYFUNCTION("""COMPUTED_VALUE"""),"Good")</f>
        <v>Good</v>
      </c>
      <c r="U130" t="str">
        <f ca="1">IFERROR(__xludf.DUMMYFUNCTION("""COMPUTED_VALUE"""),"Good")</f>
        <v>Good</v>
      </c>
      <c r="V130" t="str">
        <f ca="1">IFERROR(__xludf.DUMMYFUNCTION("""COMPUTED_VALUE"""),"Good")</f>
        <v>Good</v>
      </c>
      <c r="W130" t="str">
        <f ca="1">IFERROR(__xludf.DUMMYFUNCTION("""COMPUTED_VALUE"""),"Good")</f>
        <v>Good</v>
      </c>
      <c r="X130" t="str">
        <f ca="1">IFERROR(__xludf.DUMMYFUNCTION("""COMPUTED_VALUE"""),"Good")</f>
        <v>Good</v>
      </c>
      <c r="Y130" t="str">
        <f ca="1">IFERROR(__xludf.DUMMYFUNCTION("""COMPUTED_VALUE"""),"Good")</f>
        <v>Good</v>
      </c>
      <c r="Z130" t="str">
        <f ca="1">IFERROR(__xludf.DUMMYFUNCTION("""COMPUTED_VALUE"""),"Good")</f>
        <v>Good</v>
      </c>
      <c r="AA130" t="str">
        <f ca="1">IFERROR(__xludf.DUMMYFUNCTION("""COMPUTED_VALUE"""),"Good")</f>
        <v>Good</v>
      </c>
      <c r="AB130" t="str">
        <f ca="1">IFERROR(__xludf.DUMMYFUNCTION("""COMPUTED_VALUE"""),"Good")</f>
        <v>Good</v>
      </c>
      <c r="AC130" t="str">
        <f ca="1">IFERROR(__xludf.DUMMYFUNCTION("""COMPUTED_VALUE"""),"Good")</f>
        <v>Good</v>
      </c>
      <c r="AE130" s="11"/>
      <c r="AF130" t="str">
        <v>Scott.Eastman@floridadep.gov</v>
      </c>
      <c r="AG130" s="17" t="s">
        <v>21</v>
      </c>
      <c r="AH130" s="12">
        <v>1652</v>
      </c>
      <c r="AI130" s="12" t="s">
        <v>330</v>
      </c>
      <c r="AJ130" s="19" t="s">
        <v>331</v>
      </c>
      <c r="AK130" s="20" t="str">
        <f>HYPERLINK("https://docs.google.com/document/d/1LabdHmssr2wUehcOV54gssrkT8MfwEnxZTasLs1gtgo/edit?usp=drivesdk","James Tomazinis - 8/20/2018 9:30 AM")</f>
        <v>James Tomazinis - 8/20/2018 9:30 AM</v>
      </c>
      <c r="AL130" s="12" t="s">
        <v>332</v>
      </c>
    </row>
    <row r="131" spans="1:38" ht="12.75">
      <c r="A131" s="10">
        <f ca="1">IFERROR(__xludf.DUMMYFUNCTION("""COMPUTED_VALUE"""),43333.3564624884)</f>
        <v>43333.356462488402</v>
      </c>
      <c r="B131" s="11" t="str">
        <f ca="1">IFERROR(__xludf.DUMMYFUNCTION("""COMPUTED_VALUE"""),"James Tomazinis")</f>
        <v>James Tomazinis</v>
      </c>
      <c r="C131" t="str">
        <f ca="1">IFERROR(__xludf.DUMMYFUNCTION("""COMPUTED_VALUE"""),"james.tomazinis@floridadep.gov")</f>
        <v>james.tomazinis@floridadep.gov</v>
      </c>
      <c r="D131" t="str">
        <f ca="1">IFERROR(__xludf.DUMMYFUNCTION("""COMPUTED_VALUE"""),"Stewardship (Aquatic)")</f>
        <v>Stewardship (Aquatic)</v>
      </c>
      <c r="E131" t="str">
        <f ca="1">IFERROR(__xludf.DUMMYFUNCTION("""COMPUTED_VALUE"""),"Aunt Kates")</f>
        <v>Aunt Kates</v>
      </c>
      <c r="F131" s="13">
        <f ca="1">IFERROR(__xludf.DUMMYFUNCTION("""COMPUTED_VALUE"""),0.39583333333212)</f>
        <v>0.39583333333212001</v>
      </c>
      <c r="G131" s="14">
        <f ca="1">IFERROR(__xludf.DUMMYFUNCTION("""COMPUTED_VALUE"""),43333)</f>
        <v>43333</v>
      </c>
      <c r="H131" t="str">
        <f ca="1">IFERROR(__xludf.DUMMYFUNCTION("""COMPUTED_VALUE"""),"Tolomato and Guana Rivers")</f>
        <v>Tolomato and Guana Rivers</v>
      </c>
      <c r="I131" s="15">
        <f ca="1">IFERROR(__xludf.DUMMYFUNCTION("""COMPUTED_VALUE"""),0.70833333333212)</f>
        <v>0.70833333333212001</v>
      </c>
      <c r="J131" s="16"/>
      <c r="K131" t="str">
        <f ca="1">IFERROR(__xludf.DUMMYFUNCTION("""COMPUTED_VALUE"""),"23ft Skiff (Bertha) FL7972LJ DEP07613")</f>
        <v>23ft Skiff (Bertha) FL7972LJ DEP07613</v>
      </c>
      <c r="M131" t="str">
        <f ca="1">IFERROR(__xludf.DUMMYFUNCTION("""COMPUTED_VALUE"""),"Ford F150 2015 (White) - DEP21448")</f>
        <v>Ford F150 2015 (White) - DEP21448</v>
      </c>
      <c r="N131" t="str">
        <f ca="1">IFERROR(__xludf.DUMMYFUNCTION("""COMPUTED_VALUE"""),"Silas Tanner, (904) 483-8423, Jimmy Tomazinis, (904) 547-0094")</f>
        <v>Silas Tanner, (904) 483-8423, Jimmy Tomazinis, (904) 547-0094</v>
      </c>
      <c r="O131" t="str">
        <f ca="1">IFERROR(__xludf.DUMMYFUNCTION("""COMPUTED_VALUE"""),"Hunter Mathews and Mike Dickson")</f>
        <v>Hunter Mathews and Mike Dickson</v>
      </c>
      <c r="P131" t="str">
        <f ca="1">IFERROR(__xludf.DUMMYFUNCTION("""COMPUTED_VALUE"""),"Jimmy")</f>
        <v>Jimmy</v>
      </c>
      <c r="Q131" t="str">
        <f ca="1">IFERROR(__xludf.DUMMYFUNCTION("""COMPUTED_VALUE"""),"Good")</f>
        <v>Good</v>
      </c>
      <c r="R131" t="str">
        <f ca="1">IFERROR(__xludf.DUMMYFUNCTION("""COMPUTED_VALUE"""),"Good")</f>
        <v>Good</v>
      </c>
      <c r="S131" t="str">
        <f ca="1">IFERROR(__xludf.DUMMYFUNCTION("""COMPUTED_VALUE"""),"Good")</f>
        <v>Good</v>
      </c>
      <c r="T131" t="str">
        <f ca="1">IFERROR(__xludf.DUMMYFUNCTION("""COMPUTED_VALUE"""),"Good")</f>
        <v>Good</v>
      </c>
      <c r="U131" t="str">
        <f ca="1">IFERROR(__xludf.DUMMYFUNCTION("""COMPUTED_VALUE"""),"Good")</f>
        <v>Good</v>
      </c>
      <c r="V131" t="str">
        <f ca="1">IFERROR(__xludf.DUMMYFUNCTION("""COMPUTED_VALUE"""),"Good")</f>
        <v>Good</v>
      </c>
      <c r="W131" t="str">
        <f ca="1">IFERROR(__xludf.DUMMYFUNCTION("""COMPUTED_VALUE"""),"Good")</f>
        <v>Good</v>
      </c>
      <c r="X131" t="str">
        <f ca="1">IFERROR(__xludf.DUMMYFUNCTION("""COMPUTED_VALUE"""),"Good")</f>
        <v>Good</v>
      </c>
      <c r="Y131" t="str">
        <f ca="1">IFERROR(__xludf.DUMMYFUNCTION("""COMPUTED_VALUE"""),"Good")</f>
        <v>Good</v>
      </c>
      <c r="Z131" t="str">
        <f ca="1">IFERROR(__xludf.DUMMYFUNCTION("""COMPUTED_VALUE"""),"Good")</f>
        <v>Good</v>
      </c>
      <c r="AA131" t="str">
        <f ca="1">IFERROR(__xludf.DUMMYFUNCTION("""COMPUTED_VALUE"""),"Good")</f>
        <v>Good</v>
      </c>
      <c r="AB131" t="str">
        <f ca="1">IFERROR(__xludf.DUMMYFUNCTION("""COMPUTED_VALUE"""),"Good")</f>
        <v>Good</v>
      </c>
      <c r="AC131" t="str">
        <f ca="1">IFERROR(__xludf.DUMMYFUNCTION("""COMPUTED_VALUE"""),"Good")</f>
        <v>Good</v>
      </c>
      <c r="AE131" s="11"/>
      <c r="AF131" t="str">
        <v>Scott.Eastman@floridadep.gov</v>
      </c>
      <c r="AG131" s="17" t="s">
        <v>17</v>
      </c>
      <c r="AH131" s="12">
        <v>1535</v>
      </c>
      <c r="AI131" s="12" t="s">
        <v>333</v>
      </c>
      <c r="AJ131" s="19" t="s">
        <v>334</v>
      </c>
      <c r="AK131" s="20" t="str">
        <f>HYPERLINK("https://docs.google.com/document/d/1q53uSpEdchRnj-Rtxaj4hDDzRXe32da2SRUUmKfdEYs/edit?usp=drivesdk","James Tomazinis - 8/21/2018 9:30 AM")</f>
        <v>James Tomazinis - 8/21/2018 9:30 AM</v>
      </c>
      <c r="AL131" s="12" t="s">
        <v>335</v>
      </c>
    </row>
    <row r="132" spans="1:38" ht="12.75">
      <c r="A132" s="10">
        <f ca="1">IFERROR(__xludf.DUMMYFUNCTION("""COMPUTED_VALUE"""),43333.3805854976)</f>
        <v>43333.380585497602</v>
      </c>
      <c r="B132" s="11" t="str">
        <f ca="1">IFERROR(__xludf.DUMMYFUNCTION("""COMPUTED_VALUE"""),"Ben Mowbray")</f>
        <v>Ben Mowbray</v>
      </c>
      <c r="C132" t="str">
        <f ca="1">IFERROR(__xludf.DUMMYFUNCTION("""COMPUTED_VALUE"""),"ben.mowbray@dep.state.fl.us")</f>
        <v>ben.mowbray@dep.state.fl.us</v>
      </c>
      <c r="D132" t="str">
        <f ca="1">IFERROR(__xludf.DUMMYFUNCTION("""COMPUTED_VALUE"""),"Research/Nikki")</f>
        <v>Research/Nikki</v>
      </c>
      <c r="E132" t="str">
        <f ca="1">IFERROR(__xludf.DUMMYFUNCTION("""COMPUTED_VALUE"""),"Aunt Kate's")</f>
        <v>Aunt Kate's</v>
      </c>
      <c r="F132" s="13">
        <f ca="1">IFERROR(__xludf.DUMMYFUNCTION("""COMPUTED_VALUE"""),0.402777777777373)</f>
        <v>0.402777777777373</v>
      </c>
      <c r="G132" s="14">
        <f ca="1">IFERROR(__xludf.DUMMYFUNCTION("""COMPUTED_VALUE"""),43333)</f>
        <v>43333</v>
      </c>
      <c r="H132" t="str">
        <f ca="1">IFERROR(__xludf.DUMMYFUNCTION("""COMPUTED_VALUE"""),"Guana River Reefs")</f>
        <v>Guana River Reefs</v>
      </c>
      <c r="I132" s="15">
        <f ca="1">IFERROR(__xludf.DUMMYFUNCTION("""COMPUTED_VALUE"""),0.5625)</f>
        <v>0.5625</v>
      </c>
      <c r="J132" s="16">
        <f ca="1">IFERROR(__xludf.DUMMYFUNCTION("""COMPUTED_VALUE"""),43333.5833333333)</f>
        <v>43333.583333333299</v>
      </c>
      <c r="K132" t="str">
        <f ca="1">IFERROR(__xludf.DUMMYFUNCTION("""COMPUTED_VALUE"""),"20ft Sea Ark FL5351SJ UNF 2015")</f>
        <v>20ft Sea Ark FL5351SJ UNF 2015</v>
      </c>
      <c r="M132" t="str">
        <f ca="1">IFERROR(__xludf.DUMMYFUNCTION("""COMPUTED_VALUE"""),"Ford F250 2017 (Moby Dix) - DEP0021578")</f>
        <v>Ford F250 2017 (Moby Dix) - DEP0021578</v>
      </c>
      <c r="N132" t="str">
        <f ca="1">IFERROR(__xludf.DUMMYFUNCTION("""COMPUTED_VALUE"""),"Pam Marcum, (480) 332-5414, Ben Mowbray, (407) 962-8782, Remo")</f>
        <v>Pam Marcum, (480) 332-5414, Ben Mowbray, (407) 962-8782, Remo</v>
      </c>
      <c r="O132" t="str">
        <f ca="1">IFERROR(__xludf.DUMMYFUNCTION("""COMPUTED_VALUE"""),"Amy Brownfield, Sooz, Mike Darragh ")</f>
        <v xml:space="preserve">Amy Brownfield, Sooz, Mike Darragh </v>
      </c>
      <c r="P132" t="str">
        <f ca="1">IFERROR(__xludf.DUMMYFUNCTION("""COMPUTED_VALUE"""),"Pam")</f>
        <v>Pam</v>
      </c>
      <c r="Q132" t="str">
        <f ca="1">IFERROR(__xludf.DUMMYFUNCTION("""COMPUTED_VALUE"""),"Good")</f>
        <v>Good</v>
      </c>
      <c r="R132" t="str">
        <f ca="1">IFERROR(__xludf.DUMMYFUNCTION("""COMPUTED_VALUE"""),"Good")</f>
        <v>Good</v>
      </c>
      <c r="S132" t="str">
        <f ca="1">IFERROR(__xludf.DUMMYFUNCTION("""COMPUTED_VALUE"""),"Good")</f>
        <v>Good</v>
      </c>
      <c r="T132" t="str">
        <f ca="1">IFERROR(__xludf.DUMMYFUNCTION("""COMPUTED_VALUE"""),"Good")</f>
        <v>Good</v>
      </c>
      <c r="U132" t="str">
        <f ca="1">IFERROR(__xludf.DUMMYFUNCTION("""COMPUTED_VALUE"""),"Good")</f>
        <v>Good</v>
      </c>
      <c r="V132" t="str">
        <f ca="1">IFERROR(__xludf.DUMMYFUNCTION("""COMPUTED_VALUE"""),"Good")</f>
        <v>Good</v>
      </c>
      <c r="W132" t="str">
        <f ca="1">IFERROR(__xludf.DUMMYFUNCTION("""COMPUTED_VALUE"""),"Good")</f>
        <v>Good</v>
      </c>
      <c r="X132" t="str">
        <f ca="1">IFERROR(__xludf.DUMMYFUNCTION("""COMPUTED_VALUE"""),"Good")</f>
        <v>Good</v>
      </c>
      <c r="Y132" t="str">
        <f ca="1">IFERROR(__xludf.DUMMYFUNCTION("""COMPUTED_VALUE"""),"Good")</f>
        <v>Good</v>
      </c>
      <c r="Z132" t="str">
        <f ca="1">IFERROR(__xludf.DUMMYFUNCTION("""COMPUTED_VALUE"""),"Good")</f>
        <v>Good</v>
      </c>
      <c r="AA132" t="str">
        <f ca="1">IFERROR(__xludf.DUMMYFUNCTION("""COMPUTED_VALUE"""),"Good")</f>
        <v>Good</v>
      </c>
      <c r="AB132" t="str">
        <f ca="1">IFERROR(__xludf.DUMMYFUNCTION("""COMPUTED_VALUE"""),"Good")</f>
        <v>Good</v>
      </c>
      <c r="AC132" t="str">
        <f ca="1">IFERROR(__xludf.DUMMYFUNCTION("""COMPUTED_VALUE"""),"Good")</f>
        <v>Good</v>
      </c>
      <c r="AE132" s="11"/>
      <c r="AF132" t="str">
        <v>Nikki.Dix@floridadep.gov</v>
      </c>
      <c r="AG132" s="17" t="s">
        <v>17</v>
      </c>
      <c r="AH132" s="12">
        <v>1320</v>
      </c>
      <c r="AI132" s="12" t="s">
        <v>336</v>
      </c>
      <c r="AJ132" s="19" t="s">
        <v>337</v>
      </c>
      <c r="AK132" s="20" t="str">
        <f>HYPERLINK("https://docs.google.com/document/d/1-b6Gewks7v19ieHsXcoC8h0jDEWW_u_gOcnr1iFkHVU/edit?usp=drivesdk","Ben Mowbray - 8/21/2018 9:40 AM")</f>
        <v>Ben Mowbray - 8/21/2018 9:40 AM</v>
      </c>
      <c r="AL132" s="12" t="s">
        <v>338</v>
      </c>
    </row>
    <row r="133" spans="1:38" ht="12.75">
      <c r="A133" s="10">
        <f ca="1">IFERROR(__xludf.DUMMYFUNCTION("""COMPUTED_VALUE"""),43334.3862479166)</f>
        <v>43334.386247916598</v>
      </c>
      <c r="B133" s="11" t="str">
        <f ca="1">IFERROR(__xludf.DUMMYFUNCTION("""COMPUTED_VALUE"""),"James Tomazinis")</f>
        <v>James Tomazinis</v>
      </c>
      <c r="C133" t="str">
        <f ca="1">IFERROR(__xludf.DUMMYFUNCTION("""COMPUTED_VALUE"""),"james.tomazinis@floridadep.gov")</f>
        <v>james.tomazinis@floridadep.gov</v>
      </c>
      <c r="D133" t="str">
        <f ca="1">IFERROR(__xludf.DUMMYFUNCTION("""COMPUTED_VALUE"""),"Stewardship (Aquatic)")</f>
        <v>Stewardship (Aquatic)</v>
      </c>
      <c r="E133" t="str">
        <f ca="1">IFERROR(__xludf.DUMMYFUNCTION("""COMPUTED_VALUE"""),"Vilano")</f>
        <v>Vilano</v>
      </c>
      <c r="F133" s="13">
        <f ca="1">IFERROR(__xludf.DUMMYFUNCTION("""COMPUTED_VALUE"""),0.39583333333212)</f>
        <v>0.39583333333212001</v>
      </c>
      <c r="G133" s="14">
        <f ca="1">IFERROR(__xludf.DUMMYFUNCTION("""COMPUTED_VALUE"""),43334)</f>
        <v>43334</v>
      </c>
      <c r="H133" t="str">
        <f ca="1">IFERROR(__xludf.DUMMYFUNCTION("""COMPUTED_VALUE"""),"Matanzas River south of 312")</f>
        <v>Matanzas River south of 312</v>
      </c>
      <c r="I133" s="15">
        <f ca="1">IFERROR(__xludf.DUMMYFUNCTION("""COMPUTED_VALUE"""),0.70833333333212)</f>
        <v>0.70833333333212001</v>
      </c>
      <c r="J133" s="16"/>
      <c r="K133" t="str">
        <f ca="1">IFERROR(__xludf.DUMMYFUNCTION("""COMPUTED_VALUE"""),"23ft Skiff (Bertha) FL7972LJ DEP07613")</f>
        <v>23ft Skiff (Bertha) FL7972LJ DEP07613</v>
      </c>
      <c r="M133" t="str">
        <f ca="1">IFERROR(__xludf.DUMMYFUNCTION("""COMPUTED_VALUE"""),"Ford F150 2015 (White) - DEP21448")</f>
        <v>Ford F150 2015 (White) - DEP21448</v>
      </c>
      <c r="N133" t="str">
        <f ca="1">IFERROR(__xludf.DUMMYFUNCTION("""COMPUTED_VALUE"""),"Scott Eastman, (904) 501-9267, Jimmy Tomazinis, (904) 547-0094")</f>
        <v>Scott Eastman, (904) 501-9267, Jimmy Tomazinis, (904) 547-0094</v>
      </c>
      <c r="O133" t="str">
        <f ca="1">IFERROR(__xludf.DUMMYFUNCTION("""COMPUTED_VALUE"""),"Suzi Porterfield")</f>
        <v>Suzi Porterfield</v>
      </c>
      <c r="P133" t="str">
        <f ca="1">IFERROR(__xludf.DUMMYFUNCTION("""COMPUTED_VALUE"""),"Jimmy")</f>
        <v>Jimmy</v>
      </c>
      <c r="Q133" t="str">
        <f ca="1">IFERROR(__xludf.DUMMYFUNCTION("""COMPUTED_VALUE"""),"Good")</f>
        <v>Good</v>
      </c>
      <c r="R133" t="str">
        <f ca="1">IFERROR(__xludf.DUMMYFUNCTION("""COMPUTED_VALUE"""),"Good")</f>
        <v>Good</v>
      </c>
      <c r="S133" t="str">
        <f ca="1">IFERROR(__xludf.DUMMYFUNCTION("""COMPUTED_VALUE"""),"Good")</f>
        <v>Good</v>
      </c>
      <c r="T133" t="str">
        <f ca="1">IFERROR(__xludf.DUMMYFUNCTION("""COMPUTED_VALUE"""),"Good")</f>
        <v>Good</v>
      </c>
      <c r="U133" t="str">
        <f ca="1">IFERROR(__xludf.DUMMYFUNCTION("""COMPUTED_VALUE"""),"Good")</f>
        <v>Good</v>
      </c>
      <c r="V133" t="str">
        <f ca="1">IFERROR(__xludf.DUMMYFUNCTION("""COMPUTED_VALUE"""),"Good")</f>
        <v>Good</v>
      </c>
      <c r="W133" t="str">
        <f ca="1">IFERROR(__xludf.DUMMYFUNCTION("""COMPUTED_VALUE"""),"Good")</f>
        <v>Good</v>
      </c>
      <c r="X133" t="str">
        <f ca="1">IFERROR(__xludf.DUMMYFUNCTION("""COMPUTED_VALUE"""),"Good")</f>
        <v>Good</v>
      </c>
      <c r="Y133" t="str">
        <f ca="1">IFERROR(__xludf.DUMMYFUNCTION("""COMPUTED_VALUE"""),"Good")</f>
        <v>Good</v>
      </c>
      <c r="Z133" t="str">
        <f ca="1">IFERROR(__xludf.DUMMYFUNCTION("""COMPUTED_VALUE"""),"Good")</f>
        <v>Good</v>
      </c>
      <c r="AA133" t="str">
        <f ca="1">IFERROR(__xludf.DUMMYFUNCTION("""COMPUTED_VALUE"""),"Good")</f>
        <v>Good</v>
      </c>
      <c r="AB133" t="str">
        <f ca="1">IFERROR(__xludf.DUMMYFUNCTION("""COMPUTED_VALUE"""),"Good")</f>
        <v>Good</v>
      </c>
      <c r="AC133" t="str">
        <f ca="1">IFERROR(__xludf.DUMMYFUNCTION("""COMPUTED_VALUE"""),"Good")</f>
        <v>Good</v>
      </c>
      <c r="AE133" s="11"/>
      <c r="AF133" t="str">
        <v>Scott.Eastman@floridadep.gov</v>
      </c>
      <c r="AG133" s="17" t="s">
        <v>17</v>
      </c>
      <c r="AH133" s="12">
        <v>1537</v>
      </c>
      <c r="AI133" s="12" t="s">
        <v>339</v>
      </c>
      <c r="AJ133" s="19" t="s">
        <v>340</v>
      </c>
      <c r="AK133" s="20" t="str">
        <f>HYPERLINK("https://docs.google.com/document/d/1FbfrpXrmysodX8qvntPP4u8abx1oSvLdYgvdnAhlqV4/edit?usp=drivesdk","James Tomazinis - 8/22/2018 9:30 AM")</f>
        <v>James Tomazinis - 8/22/2018 9:30 AM</v>
      </c>
      <c r="AL133" s="12" t="s">
        <v>341</v>
      </c>
    </row>
    <row r="134" spans="1:38" ht="12.75">
      <c r="A134" s="10">
        <f ca="1">IFERROR(__xludf.DUMMYFUNCTION("""COMPUTED_VALUE"""),43334.654585405)</f>
        <v>43334.654585404998</v>
      </c>
      <c r="B134" s="11" t="str">
        <f ca="1">IFERROR(__xludf.DUMMYFUNCTION("""COMPUTED_VALUE"""),"Silas Tanner")</f>
        <v>Silas Tanner</v>
      </c>
      <c r="C134" t="str">
        <f ca="1">IFERROR(__xludf.DUMMYFUNCTION("""COMPUTED_VALUE"""),"silas.tanner@floridadep.gov")</f>
        <v>silas.tanner@floridadep.gov</v>
      </c>
      <c r="D134" t="str">
        <f ca="1">IFERROR(__xludf.DUMMYFUNCTION("""COMPUTED_VALUE"""),"Research/Nikki")</f>
        <v>Research/Nikki</v>
      </c>
      <c r="E134" t="str">
        <f ca="1">IFERROR(__xludf.DUMMYFUNCTION("""COMPUTED_VALUE"""),"Vilano County Ramp")</f>
        <v>Vilano County Ramp</v>
      </c>
      <c r="F134" s="13">
        <f ca="1">IFERROR(__xludf.DUMMYFUNCTION("""COMPUTED_VALUE"""),0.30208333333212)</f>
        <v>0.30208333333212001</v>
      </c>
      <c r="G134" s="14">
        <f ca="1">IFERROR(__xludf.DUMMYFUNCTION("""COMPUTED_VALUE"""),43335)</f>
        <v>43335</v>
      </c>
      <c r="H134" t="str">
        <f ca="1">IFERROR(__xludf.DUMMYFUNCTION("""COMPUTED_VALUE"""),"ICW - SWMP sites")</f>
        <v>ICW - SWMP sites</v>
      </c>
      <c r="I134" s="15">
        <f ca="1">IFERROR(__xludf.DUMMYFUNCTION("""COMPUTED_VALUE"""),0.625)</f>
        <v>0.625</v>
      </c>
      <c r="J134" s="16">
        <f ca="1">IFERROR(__xludf.DUMMYFUNCTION("""COMPUTED_VALUE"""),43335.6458333333)</f>
        <v>43335.645833333299</v>
      </c>
      <c r="K134" t="str">
        <f ca="1">IFERROR(__xludf.DUMMYFUNCTION("""COMPUTED_VALUE"""),"20ft Sea Ark FL5351SJ UNF 2015")</f>
        <v>20ft Sea Ark FL5351SJ UNF 2015</v>
      </c>
      <c r="M134" t="str">
        <f ca="1">IFERROR(__xludf.DUMMYFUNCTION("""COMPUTED_VALUE"""),"Ford F250 2017 (Moby Dix) - DEP0021578")</f>
        <v>Ford F250 2017 (Moby Dix) - DEP0021578</v>
      </c>
      <c r="N134" t="str">
        <f ca="1">IFERROR(__xludf.DUMMYFUNCTION("""COMPUTED_VALUE"""),"Shannon Dunnigan, (803) 727-5734, Silas Tanner, (904) 483-8423")</f>
        <v>Shannon Dunnigan, (803) 727-5734, Silas Tanner, (904) 483-8423</v>
      </c>
      <c r="O134" t="str">
        <f ca="1">IFERROR(__xludf.DUMMYFUNCTION("""COMPUTED_VALUE"""),"Mike Darragh")</f>
        <v>Mike Darragh</v>
      </c>
      <c r="P134" t="str">
        <f ca="1">IFERROR(__xludf.DUMMYFUNCTION("""COMPUTED_VALUE"""),"Shannon Dunnigan")</f>
        <v>Shannon Dunnigan</v>
      </c>
      <c r="Q134" t="str">
        <f ca="1">IFERROR(__xludf.DUMMYFUNCTION("""COMPUTED_VALUE"""),"Good")</f>
        <v>Good</v>
      </c>
      <c r="R134" t="str">
        <f ca="1">IFERROR(__xludf.DUMMYFUNCTION("""COMPUTED_VALUE"""),"Good")</f>
        <v>Good</v>
      </c>
      <c r="S134" t="str">
        <f ca="1">IFERROR(__xludf.DUMMYFUNCTION("""COMPUTED_VALUE"""),"Good")</f>
        <v>Good</v>
      </c>
      <c r="T134" t="str">
        <f ca="1">IFERROR(__xludf.DUMMYFUNCTION("""COMPUTED_VALUE"""),"Good")</f>
        <v>Good</v>
      </c>
      <c r="U134" t="str">
        <f ca="1">IFERROR(__xludf.DUMMYFUNCTION("""COMPUTED_VALUE"""),"Good")</f>
        <v>Good</v>
      </c>
      <c r="V134" t="str">
        <f ca="1">IFERROR(__xludf.DUMMYFUNCTION("""COMPUTED_VALUE"""),"Good")</f>
        <v>Good</v>
      </c>
      <c r="W134" t="str">
        <f ca="1">IFERROR(__xludf.DUMMYFUNCTION("""COMPUTED_VALUE"""),"Good")</f>
        <v>Good</v>
      </c>
      <c r="X134" t="str">
        <f ca="1">IFERROR(__xludf.DUMMYFUNCTION("""COMPUTED_VALUE"""),"Good")</f>
        <v>Good</v>
      </c>
      <c r="Y134" t="str">
        <f ca="1">IFERROR(__xludf.DUMMYFUNCTION("""COMPUTED_VALUE"""),"Good")</f>
        <v>Good</v>
      </c>
      <c r="Z134" t="str">
        <f ca="1">IFERROR(__xludf.DUMMYFUNCTION("""COMPUTED_VALUE"""),"Good")</f>
        <v>Good</v>
      </c>
      <c r="AA134" t="str">
        <f ca="1">IFERROR(__xludf.DUMMYFUNCTION("""COMPUTED_VALUE"""),"Good")</f>
        <v>Good</v>
      </c>
      <c r="AB134" t="str">
        <f ca="1">IFERROR(__xludf.DUMMYFUNCTION("""COMPUTED_VALUE"""),"Good")</f>
        <v>Good</v>
      </c>
      <c r="AC134" t="str">
        <f ca="1">IFERROR(__xludf.DUMMYFUNCTION("""COMPUTED_VALUE"""),"Good")</f>
        <v>Good</v>
      </c>
      <c r="AE134" s="11"/>
      <c r="AF134" t="str">
        <v>Nikki.Dix@floridadep.gov</v>
      </c>
      <c r="AG134" s="17" t="s">
        <v>58</v>
      </c>
      <c r="AH134" s="12">
        <v>1140</v>
      </c>
      <c r="AI134" s="12" t="s">
        <v>342</v>
      </c>
      <c r="AJ134" s="19" t="s">
        <v>343</v>
      </c>
      <c r="AK134" s="20" t="str">
        <f>HYPERLINK("https://docs.google.com/document/d/1V_UjvbS_4beIAIbGI2rknHAZN_bkiraEkuj6Ua6mwWE/edit?usp=drivesdk","Silas Tanner - 8/23/2018 7:15 AM")</f>
        <v>Silas Tanner - 8/23/2018 7:15 AM</v>
      </c>
      <c r="AL134" s="12" t="s">
        <v>344</v>
      </c>
    </row>
    <row r="135" spans="1:38" ht="12.75">
      <c r="A135" s="10">
        <f ca="1">IFERROR(__xludf.DUMMYFUNCTION("""COMPUTED_VALUE"""),43335.3897706597)</f>
        <v>43335.389770659698</v>
      </c>
      <c r="B135" s="11" t="str">
        <f ca="1">IFERROR(__xludf.DUMMYFUNCTION("""COMPUTED_VALUE"""),"Pam Marcum")</f>
        <v>Pam Marcum</v>
      </c>
      <c r="C135" t="str">
        <f ca="1">IFERROR(__xludf.DUMMYFUNCTION("""COMPUTED_VALUE"""),"Pamela.Marcum@dep.state.fl.us")</f>
        <v>Pamela.Marcum@dep.state.fl.us</v>
      </c>
      <c r="D135" t="str">
        <f ca="1">IFERROR(__xludf.DUMMYFUNCTION("""COMPUTED_VALUE"""),"Research/Nikki")</f>
        <v>Research/Nikki</v>
      </c>
      <c r="E135" t="str">
        <f ca="1">IFERROR(__xludf.DUMMYFUNCTION("""COMPUTED_VALUE"""),"Aunt Kate's")</f>
        <v>Aunt Kate's</v>
      </c>
      <c r="F135" s="13">
        <f ca="1">IFERROR(__xludf.DUMMYFUNCTION("""COMPUTED_VALUE"""),0.45833333333212)</f>
        <v>0.45833333333212001</v>
      </c>
      <c r="G135" s="14">
        <f ca="1">IFERROR(__xludf.DUMMYFUNCTION("""COMPUTED_VALUE"""),43335)</f>
        <v>43335</v>
      </c>
      <c r="H135" t="str">
        <f ca="1">IFERROR(__xludf.DUMMYFUNCTION("""COMPUTED_VALUE"""),"Robinson's Creek &amp; Guana River")</f>
        <v>Robinson's Creek &amp; Guana River</v>
      </c>
      <c r="I135" s="15">
        <f ca="1">IFERROR(__xludf.DUMMYFUNCTION("""COMPUTED_VALUE"""),0.625)</f>
        <v>0.625</v>
      </c>
      <c r="J135" s="16">
        <f ca="1">IFERROR(__xludf.DUMMYFUNCTION("""COMPUTED_VALUE"""),43335.6666666666)</f>
        <v>43335.666666666599</v>
      </c>
      <c r="K135" t="str">
        <f ca="1">IFERROR(__xludf.DUMMYFUNCTION("""COMPUTED_VALUE"""),"F 20ft Sea Ark (Easy 200) FL8534PY DEP21451")</f>
        <v>F 20ft Sea Ark (Easy 200) FL8534PY DEP21451</v>
      </c>
      <c r="M135" t="str">
        <f ca="1">IFERROR(__xludf.DUMMYFUNCTION("""COMPUTED_VALUE"""),"Ford F150 4-door DEP07668")</f>
        <v>Ford F150 4-door DEP07668</v>
      </c>
      <c r="N135" t="str">
        <f ca="1">IFERROR(__xludf.DUMMYFUNCTION("""COMPUTED_VALUE"""),"Pam Marcum, (480) 332-5414, Ben Mowbray, (407) 962-8782")</f>
        <v>Pam Marcum, (480) 332-5414, Ben Mowbray, (407) 962-8782</v>
      </c>
      <c r="P135" t="str">
        <f ca="1">IFERROR(__xludf.DUMMYFUNCTION("""COMPUTED_VALUE"""),"Pam Marcum")</f>
        <v>Pam Marcum</v>
      </c>
      <c r="Q135" t="str">
        <f ca="1">IFERROR(__xludf.DUMMYFUNCTION("""COMPUTED_VALUE"""),"Good")</f>
        <v>Good</v>
      </c>
      <c r="R135" t="str">
        <f ca="1">IFERROR(__xludf.DUMMYFUNCTION("""COMPUTED_VALUE"""),"Good")</f>
        <v>Good</v>
      </c>
      <c r="S135" t="str">
        <f ca="1">IFERROR(__xludf.DUMMYFUNCTION("""COMPUTED_VALUE"""),"Good")</f>
        <v>Good</v>
      </c>
      <c r="T135" t="str">
        <f ca="1">IFERROR(__xludf.DUMMYFUNCTION("""COMPUTED_VALUE"""),"Good")</f>
        <v>Good</v>
      </c>
      <c r="U135" t="str">
        <f ca="1">IFERROR(__xludf.DUMMYFUNCTION("""COMPUTED_VALUE"""),"Good")</f>
        <v>Good</v>
      </c>
      <c r="V135" t="str">
        <f ca="1">IFERROR(__xludf.DUMMYFUNCTION("""COMPUTED_VALUE"""),"Good")</f>
        <v>Good</v>
      </c>
      <c r="W135" t="str">
        <f ca="1">IFERROR(__xludf.DUMMYFUNCTION("""COMPUTED_VALUE"""),"Good")</f>
        <v>Good</v>
      </c>
      <c r="X135" t="str">
        <f ca="1">IFERROR(__xludf.DUMMYFUNCTION("""COMPUTED_VALUE"""),"Good")</f>
        <v>Good</v>
      </c>
      <c r="Y135" t="str">
        <f ca="1">IFERROR(__xludf.DUMMYFUNCTION("""COMPUTED_VALUE"""),"Good")</f>
        <v>Good</v>
      </c>
      <c r="Z135" t="str">
        <f ca="1">IFERROR(__xludf.DUMMYFUNCTION("""COMPUTED_VALUE"""),"Good")</f>
        <v>Good</v>
      </c>
      <c r="AA135" t="str">
        <f ca="1">IFERROR(__xludf.DUMMYFUNCTION("""COMPUTED_VALUE"""),"Good")</f>
        <v>Good</v>
      </c>
      <c r="AB135" t="str">
        <f ca="1">IFERROR(__xludf.DUMMYFUNCTION("""COMPUTED_VALUE"""),"Good")</f>
        <v>Good</v>
      </c>
      <c r="AC135" t="str">
        <f ca="1">IFERROR(__xludf.DUMMYFUNCTION("""COMPUTED_VALUE"""),"Good")</f>
        <v>Good</v>
      </c>
      <c r="AE135" s="11"/>
      <c r="AF135" t="str">
        <v>Nikki.Dix@floridadep.gov</v>
      </c>
      <c r="AG135" s="17" t="s">
        <v>58</v>
      </c>
      <c r="AH135" s="12">
        <v>1324</v>
      </c>
      <c r="AI135" s="12" t="s">
        <v>345</v>
      </c>
      <c r="AJ135" s="19" t="s">
        <v>346</v>
      </c>
      <c r="AK135" s="20" t="str">
        <f>HYPERLINK("https://docs.google.com/document/d/1FoCPEaVaT4-aS9Qr0r4nW6zlRTuDNZoJ3QoyHDTqm4A/edit?usp=drivesdk","Pam Marcum - 8/23/2018 11:00 AM")</f>
        <v>Pam Marcum - 8/23/2018 11:00 AM</v>
      </c>
      <c r="AL135" s="12" t="s">
        <v>347</v>
      </c>
    </row>
    <row r="136" spans="1:38" ht="12.75">
      <c r="A136" s="10">
        <f ca="1">IFERROR(__xludf.DUMMYFUNCTION("""COMPUTED_VALUE"""),43335.9217036805)</f>
        <v>43335.921703680498</v>
      </c>
      <c r="B136" s="11" t="str">
        <f ca="1">IFERROR(__xludf.DUMMYFUNCTION("""COMPUTED_VALUE"""),"Shannon Dunnigan")</f>
        <v>Shannon Dunnigan</v>
      </c>
      <c r="C136" t="str">
        <f ca="1">IFERROR(__xludf.DUMMYFUNCTION("""COMPUTED_VALUE"""),"shannon.dunnigan@dep.state.fl.us")</f>
        <v>shannon.dunnigan@dep.state.fl.us</v>
      </c>
      <c r="D136" t="str">
        <f ca="1">IFERROR(__xludf.DUMMYFUNCTION("""COMPUTED_VALUE"""),"Research/Nikki")</f>
        <v>Research/Nikki</v>
      </c>
      <c r="E136" t="str">
        <f ca="1">IFERROR(__xludf.DUMMYFUNCTION("""COMPUTED_VALUE"""),"Bings Landing")</f>
        <v>Bings Landing</v>
      </c>
      <c r="F136" s="13">
        <f ca="1">IFERROR(__xludf.DUMMYFUNCTION("""COMPUTED_VALUE"""),0.4375)</f>
        <v>0.4375</v>
      </c>
      <c r="G136" s="14">
        <f ca="1">IFERROR(__xludf.DUMMYFUNCTION("""COMPUTED_VALUE"""),43336)</f>
        <v>43336</v>
      </c>
      <c r="H136" t="str">
        <f ca="1">IFERROR(__xludf.DUMMYFUNCTION("""COMPUTED_VALUE"""),"Summerhaven River area")</f>
        <v>Summerhaven River area</v>
      </c>
      <c r="I136" s="15">
        <f ca="1">IFERROR(__xludf.DUMMYFUNCTION("""COMPUTED_VALUE"""),0.541666666667879)</f>
        <v>0.54166666666787899</v>
      </c>
      <c r="J136" s="16">
        <f ca="1">IFERROR(__xludf.DUMMYFUNCTION("""COMPUTED_VALUE"""),43336.6458333333)</f>
        <v>43336.645833333299</v>
      </c>
      <c r="K136" t="str">
        <f ca="1">IFERROR(__xludf.DUMMYFUNCTION("""COMPUTED_VALUE"""),"20ft Sea Ark FL5351SJ UNF 2015")</f>
        <v>20ft Sea Ark FL5351SJ UNF 2015</v>
      </c>
      <c r="M136" t="str">
        <f ca="1">IFERROR(__xludf.DUMMYFUNCTION("""COMPUTED_VALUE"""),"Ford F250 2017 (Moby Dix) - DEP0021578")</f>
        <v>Ford F250 2017 (Moby Dix) - DEP0021578</v>
      </c>
      <c r="N136" t="str">
        <f ca="1">IFERROR(__xludf.DUMMYFUNCTION("""COMPUTED_VALUE"""),"Shannon Dunnigan, (803) 727-5734, Silas Tanner, (904) 483-8423")</f>
        <v>Shannon Dunnigan, (803) 727-5734, Silas Tanner, (904) 483-8423</v>
      </c>
      <c r="O136" t="str">
        <f ca="1">IFERROR(__xludf.DUMMYFUNCTION("""COMPUTED_VALUE"""),"Shannon Dunnigan, (803) 727-5734, Silas Tanner, (904) 483-8423, Gabriela Canas, (904) 891-9743, Jessica Lee, Matt Brown")</f>
        <v>Shannon Dunnigan, (803) 727-5734, Silas Tanner, (904) 483-8423, Gabriela Canas, (904) 891-9743, Jessica Lee, Matt Brown</v>
      </c>
      <c r="P136" t="str">
        <f ca="1">IFERROR(__xludf.DUMMYFUNCTION("""COMPUTED_VALUE"""),"Shannon Dunnigan")</f>
        <v>Shannon Dunnigan</v>
      </c>
      <c r="Q136" t="str">
        <f ca="1">IFERROR(__xludf.DUMMYFUNCTION("""COMPUTED_VALUE"""),"Good")</f>
        <v>Good</v>
      </c>
      <c r="R136" t="str">
        <f ca="1">IFERROR(__xludf.DUMMYFUNCTION("""COMPUTED_VALUE"""),"Good")</f>
        <v>Good</v>
      </c>
      <c r="S136" t="str">
        <f ca="1">IFERROR(__xludf.DUMMYFUNCTION("""COMPUTED_VALUE"""),"Good")</f>
        <v>Good</v>
      </c>
      <c r="T136" t="str">
        <f ca="1">IFERROR(__xludf.DUMMYFUNCTION("""COMPUTED_VALUE"""),"Good")</f>
        <v>Good</v>
      </c>
      <c r="U136" t="str">
        <f ca="1">IFERROR(__xludf.DUMMYFUNCTION("""COMPUTED_VALUE"""),"Good")</f>
        <v>Good</v>
      </c>
      <c r="V136" t="str">
        <f ca="1">IFERROR(__xludf.DUMMYFUNCTION("""COMPUTED_VALUE"""),"Good")</f>
        <v>Good</v>
      </c>
      <c r="W136" t="str">
        <f ca="1">IFERROR(__xludf.DUMMYFUNCTION("""COMPUTED_VALUE"""),"Good")</f>
        <v>Good</v>
      </c>
      <c r="X136" t="str">
        <f ca="1">IFERROR(__xludf.DUMMYFUNCTION("""COMPUTED_VALUE"""),"Good")</f>
        <v>Good</v>
      </c>
      <c r="Y136" t="str">
        <f ca="1">IFERROR(__xludf.DUMMYFUNCTION("""COMPUTED_VALUE"""),"Good")</f>
        <v>Good</v>
      </c>
      <c r="Z136" t="str">
        <f ca="1">IFERROR(__xludf.DUMMYFUNCTION("""COMPUTED_VALUE"""),"Good")</f>
        <v>Good</v>
      </c>
      <c r="AA136" t="str">
        <f ca="1">IFERROR(__xludf.DUMMYFUNCTION("""COMPUTED_VALUE"""),"Good")</f>
        <v>Good</v>
      </c>
      <c r="AB136" t="str">
        <f ca="1">IFERROR(__xludf.DUMMYFUNCTION("""COMPUTED_VALUE"""),"Good")</f>
        <v>Good</v>
      </c>
      <c r="AC136" t="str">
        <f ca="1">IFERROR(__xludf.DUMMYFUNCTION("""COMPUTED_VALUE"""),"Good")</f>
        <v>Good</v>
      </c>
      <c r="AE136" s="11"/>
      <c r="AF136" t="str">
        <v>Nikki.Dix@floridadep.gov</v>
      </c>
      <c r="AG136" s="17" t="s">
        <v>17</v>
      </c>
      <c r="AH136" s="12">
        <v>1200</v>
      </c>
      <c r="AI136" s="12" t="s">
        <v>348</v>
      </c>
      <c r="AJ136" s="19" t="s">
        <v>349</v>
      </c>
      <c r="AK136" s="20" t="str">
        <f>HYPERLINK("https://docs.google.com/document/d/1XqXDCS49mMlYjyDJhRRyb2rd--vYYMQZl9cTt1SyJXY/edit?usp=drivesdk","Shannon Dunnigan - 8/24/2018 10:30 AM")</f>
        <v>Shannon Dunnigan - 8/24/2018 10:30 AM</v>
      </c>
      <c r="AL136" s="12" t="s">
        <v>350</v>
      </c>
    </row>
    <row r="137" spans="1:38" ht="12.75">
      <c r="A137" s="10">
        <f ca="1">IFERROR(__xludf.DUMMYFUNCTION("""COMPUTED_VALUE"""),43340.6848342708)</f>
        <v>43340.684834270804</v>
      </c>
      <c r="B137" s="11" t="str">
        <f ca="1">IFERROR(__xludf.DUMMYFUNCTION("""COMPUTED_VALUE"""),"Ben Mowbray")</f>
        <v>Ben Mowbray</v>
      </c>
      <c r="C137" t="str">
        <f ca="1">IFERROR(__xludf.DUMMYFUNCTION("""COMPUTED_VALUE"""),"ben.mowbray@dep.state.fl.us")</f>
        <v>ben.mowbray@dep.state.fl.us</v>
      </c>
      <c r="D137" t="str">
        <f ca="1">IFERROR(__xludf.DUMMYFUNCTION("""COMPUTED_VALUE"""),"Research/Pam")</f>
        <v>Research/Pam</v>
      </c>
      <c r="E137" t="str">
        <f ca="1">IFERROR(__xludf.DUMMYFUNCTION("""COMPUTED_VALUE"""),"Shore Dr.")</f>
        <v>Shore Dr.</v>
      </c>
      <c r="F137" s="13">
        <f ca="1">IFERROR(__xludf.DUMMYFUNCTION("""COMPUTED_VALUE"""),0.42708333333212)</f>
        <v>0.42708333333212001</v>
      </c>
      <c r="G137" s="14">
        <f ca="1">IFERROR(__xludf.DUMMYFUNCTION("""COMPUTED_VALUE"""),43341)</f>
        <v>43341</v>
      </c>
      <c r="H137" t="str">
        <f ca="1">IFERROR(__xludf.DUMMYFUNCTION("""COMPUTED_VALUE"""),"Gabby's Creek Chapman Site")</f>
        <v>Gabby's Creek Chapman Site</v>
      </c>
      <c r="I137" s="15">
        <f ca="1">IFERROR(__xludf.DUMMYFUNCTION("""COMPUTED_VALUE"""),0.625)</f>
        <v>0.625</v>
      </c>
      <c r="J137" s="16">
        <f ca="1">IFERROR(__xludf.DUMMYFUNCTION("""COMPUTED_VALUE"""),43341.6527777777)</f>
        <v>43341.652777777701</v>
      </c>
      <c r="K137" t="str">
        <f ca="1">IFERROR(__xludf.DUMMYFUNCTION("""COMPUTED_VALUE"""),"20ft Sea Ark FL5351SJ UNF 2015")</f>
        <v>20ft Sea Ark FL5351SJ UNF 2015</v>
      </c>
      <c r="M137" t="str">
        <f ca="1">IFERROR(__xludf.DUMMYFUNCTION("""COMPUTED_VALUE"""),"Ford F250 2017 (Moby Dix) - DEP0021578")</f>
        <v>Ford F250 2017 (Moby Dix) - DEP0021578</v>
      </c>
      <c r="N137" t="str">
        <f ca="1">IFERROR(__xludf.DUMMYFUNCTION("""COMPUTED_VALUE"""),"Ben Mowbray, (407) 962-8782")</f>
        <v>Ben Mowbray, (407) 962-8782</v>
      </c>
      <c r="O137" t="str">
        <f ca="1">IFERROR(__xludf.DUMMYFUNCTION("""COMPUTED_VALUE"""),"Gabriela Canas, (904) 891-9743")</f>
        <v>Gabriela Canas, (904) 891-9743</v>
      </c>
      <c r="P137" t="str">
        <f ca="1">IFERROR(__xludf.DUMMYFUNCTION("""COMPUTED_VALUE"""),"Ben")</f>
        <v>Ben</v>
      </c>
      <c r="Q137" t="str">
        <f ca="1">IFERROR(__xludf.DUMMYFUNCTION("""COMPUTED_VALUE"""),"Good")</f>
        <v>Good</v>
      </c>
      <c r="R137" t="str">
        <f ca="1">IFERROR(__xludf.DUMMYFUNCTION("""COMPUTED_VALUE"""),"Good")</f>
        <v>Good</v>
      </c>
      <c r="S137" t="str">
        <f ca="1">IFERROR(__xludf.DUMMYFUNCTION("""COMPUTED_VALUE"""),"Good")</f>
        <v>Good</v>
      </c>
      <c r="T137" t="str">
        <f ca="1">IFERROR(__xludf.DUMMYFUNCTION("""COMPUTED_VALUE"""),"Good")</f>
        <v>Good</v>
      </c>
      <c r="U137" t="str">
        <f ca="1">IFERROR(__xludf.DUMMYFUNCTION("""COMPUTED_VALUE"""),"Good")</f>
        <v>Good</v>
      </c>
      <c r="V137" t="str">
        <f ca="1">IFERROR(__xludf.DUMMYFUNCTION("""COMPUTED_VALUE"""),"Good")</f>
        <v>Good</v>
      </c>
      <c r="W137" t="str">
        <f ca="1">IFERROR(__xludf.DUMMYFUNCTION("""COMPUTED_VALUE"""),"Good")</f>
        <v>Good</v>
      </c>
      <c r="X137" t="str">
        <f ca="1">IFERROR(__xludf.DUMMYFUNCTION("""COMPUTED_VALUE"""),"Good")</f>
        <v>Good</v>
      </c>
      <c r="Y137" t="str">
        <f ca="1">IFERROR(__xludf.DUMMYFUNCTION("""COMPUTED_VALUE"""),"Good")</f>
        <v>Good</v>
      </c>
      <c r="Z137" t="str">
        <f ca="1">IFERROR(__xludf.DUMMYFUNCTION("""COMPUTED_VALUE"""),"Good")</f>
        <v>Good</v>
      </c>
      <c r="AA137" t="str">
        <f ca="1">IFERROR(__xludf.DUMMYFUNCTION("""COMPUTED_VALUE"""),"Good")</f>
        <v>Good</v>
      </c>
      <c r="AB137" t="str">
        <f ca="1">IFERROR(__xludf.DUMMYFUNCTION("""COMPUTED_VALUE"""),"Good")</f>
        <v>Good</v>
      </c>
      <c r="AC137" t="str">
        <f ca="1">IFERROR(__xludf.DUMMYFUNCTION("""COMPUTED_VALUE"""),"Good")</f>
        <v>Good</v>
      </c>
      <c r="AE137" s="11"/>
      <c r="AF137" t="str">
        <v>Pamela.Marcum@floridadep.gov</v>
      </c>
      <c r="AG137" s="17" t="s">
        <v>58</v>
      </c>
      <c r="AH137" s="12">
        <v>1316</v>
      </c>
      <c r="AI137" s="12" t="s">
        <v>351</v>
      </c>
      <c r="AJ137" s="19" t="s">
        <v>352</v>
      </c>
      <c r="AK137" s="20" t="str">
        <f>HYPERLINK("https://docs.google.com/document/d/12qKaqDTA40f8qxQAUU_wtTRdEwjpjOsa3wmJ7Cm-CR0/edit?usp=drivesdk","Ben Mowbray - 8/29/2018 10:15 AM")</f>
        <v>Ben Mowbray - 8/29/2018 10:15 AM</v>
      </c>
      <c r="AL137" s="12" t="s">
        <v>353</v>
      </c>
    </row>
    <row r="138" spans="1:38" ht="12.75">
      <c r="A138" s="10">
        <f ca="1">IFERROR(__xludf.DUMMYFUNCTION("""COMPUTED_VALUE"""),43342.4056272106)</f>
        <v>43342.405627210603</v>
      </c>
      <c r="B138" s="11" t="str">
        <f ca="1">IFERROR(__xludf.DUMMYFUNCTION("""COMPUTED_VALUE"""),"James Tomazinis")</f>
        <v>James Tomazinis</v>
      </c>
      <c r="C138" t="str">
        <f ca="1">IFERROR(__xludf.DUMMYFUNCTION("""COMPUTED_VALUE"""),"james.tomazinis@floridadep.gov")</f>
        <v>james.tomazinis@floridadep.gov</v>
      </c>
      <c r="D138" t="str">
        <f ca="1">IFERROR(__xludf.DUMMYFUNCTION("""COMPUTED_VALUE"""),"Stewardship (Aquatic)")</f>
        <v>Stewardship (Aquatic)</v>
      </c>
      <c r="E138" t="str">
        <f ca="1">IFERROR(__xludf.DUMMYFUNCTION("""COMPUTED_VALUE"""),"Bings")</f>
        <v>Bings</v>
      </c>
      <c r="F138" s="13">
        <f ca="1">IFERROR(__xludf.DUMMYFUNCTION("""COMPUTED_VALUE"""),0.416666666667879)</f>
        <v>0.41666666666787899</v>
      </c>
      <c r="G138" s="14">
        <f ca="1">IFERROR(__xludf.DUMMYFUNCTION("""COMPUTED_VALUE"""),43342)</f>
        <v>43342</v>
      </c>
      <c r="H138" t="str">
        <f ca="1">IFERROR(__xludf.DUMMYFUNCTION("""COMPUTED_VALUE"""),"Matanzas River")</f>
        <v>Matanzas River</v>
      </c>
      <c r="I138" s="15">
        <f ca="1">IFERROR(__xludf.DUMMYFUNCTION("""COMPUTED_VALUE"""),0.666666666667879)</f>
        <v>0.66666666666787899</v>
      </c>
      <c r="J138" s="16"/>
      <c r="K138" t="str">
        <f ca="1">IFERROR(__xludf.DUMMYFUNCTION("""COMPUTED_VALUE"""),"23ft Skiff (Bertha) FL7972LJ DEP07613")</f>
        <v>23ft Skiff (Bertha) FL7972LJ DEP07613</v>
      </c>
      <c r="M138" t="str">
        <f ca="1">IFERROR(__xludf.DUMMYFUNCTION("""COMPUTED_VALUE"""),"Ford F150 2015 (White) - DEP21448")</f>
        <v>Ford F150 2015 (White) - DEP21448</v>
      </c>
      <c r="N138" t="str">
        <f ca="1">IFERROR(__xludf.DUMMYFUNCTION("""COMPUTED_VALUE"""),"Jimmy Tomazinis, (904) 547-0094")</f>
        <v>Jimmy Tomazinis, (904) 547-0094</v>
      </c>
      <c r="O138" t="str">
        <f ca="1">IFERROR(__xludf.DUMMYFUNCTION("""COMPUTED_VALUE"""),"Annie Otto, Mike Dickson")</f>
        <v>Annie Otto, Mike Dickson</v>
      </c>
      <c r="P138" t="str">
        <f ca="1">IFERROR(__xludf.DUMMYFUNCTION("""COMPUTED_VALUE"""),"Jimmy")</f>
        <v>Jimmy</v>
      </c>
      <c r="Q138" t="str">
        <f ca="1">IFERROR(__xludf.DUMMYFUNCTION("""COMPUTED_VALUE"""),"Good")</f>
        <v>Good</v>
      </c>
      <c r="R138" t="str">
        <f ca="1">IFERROR(__xludf.DUMMYFUNCTION("""COMPUTED_VALUE"""),"Good")</f>
        <v>Good</v>
      </c>
      <c r="S138" t="str">
        <f ca="1">IFERROR(__xludf.DUMMYFUNCTION("""COMPUTED_VALUE"""),"Good")</f>
        <v>Good</v>
      </c>
      <c r="T138" t="str">
        <f ca="1">IFERROR(__xludf.DUMMYFUNCTION("""COMPUTED_VALUE"""),"Good")</f>
        <v>Good</v>
      </c>
      <c r="U138" t="str">
        <f ca="1">IFERROR(__xludf.DUMMYFUNCTION("""COMPUTED_VALUE"""),"Good")</f>
        <v>Good</v>
      </c>
      <c r="V138" t="str">
        <f ca="1">IFERROR(__xludf.DUMMYFUNCTION("""COMPUTED_VALUE"""),"Good")</f>
        <v>Good</v>
      </c>
      <c r="W138" t="str">
        <f ca="1">IFERROR(__xludf.DUMMYFUNCTION("""COMPUTED_VALUE"""),"Good")</f>
        <v>Good</v>
      </c>
      <c r="X138" t="str">
        <f ca="1">IFERROR(__xludf.DUMMYFUNCTION("""COMPUTED_VALUE"""),"Good")</f>
        <v>Good</v>
      </c>
      <c r="Y138" t="str">
        <f ca="1">IFERROR(__xludf.DUMMYFUNCTION("""COMPUTED_VALUE"""),"Good")</f>
        <v>Good</v>
      </c>
      <c r="Z138" t="str">
        <f ca="1">IFERROR(__xludf.DUMMYFUNCTION("""COMPUTED_VALUE"""),"Good")</f>
        <v>Good</v>
      </c>
      <c r="AA138" t="str">
        <f ca="1">IFERROR(__xludf.DUMMYFUNCTION("""COMPUTED_VALUE"""),"Good")</f>
        <v>Good</v>
      </c>
      <c r="AB138" t="str">
        <f ca="1">IFERROR(__xludf.DUMMYFUNCTION("""COMPUTED_VALUE"""),"Good")</f>
        <v>Good</v>
      </c>
      <c r="AC138" t="str">
        <f ca="1">IFERROR(__xludf.DUMMYFUNCTION("""COMPUTED_VALUE"""),"Good")</f>
        <v>Good</v>
      </c>
      <c r="AE138" s="11"/>
      <c r="AF138" t="str">
        <v>Scott.Eastman@floridadep.gov</v>
      </c>
      <c r="AG138" s="17" t="s">
        <v>21</v>
      </c>
      <c r="AH138" s="12">
        <v>1530</v>
      </c>
      <c r="AI138" s="12" t="s">
        <v>354</v>
      </c>
      <c r="AJ138" s="19" t="s">
        <v>355</v>
      </c>
      <c r="AK138" s="20" t="str">
        <f>HYPERLINK("https://docs.google.com/document/d/1n6ckOJjtT5Kbqv-5GwvO7IK8Y_xs2-jWe9dPvarxoEo/edit?usp=drivesdk","James Tomazinis - 8/30/2018 10:00 AM")</f>
        <v>James Tomazinis - 8/30/2018 10:00 AM</v>
      </c>
      <c r="AL138" s="12" t="s">
        <v>356</v>
      </c>
    </row>
    <row r="139" spans="1:38" ht="12.75">
      <c r="A139" s="10">
        <f ca="1">IFERROR(__xludf.DUMMYFUNCTION("""COMPUTED_VALUE"""),43347.3448249884)</f>
        <v>43347.344824988402</v>
      </c>
      <c r="B139" s="11" t="str">
        <f ca="1">IFERROR(__xludf.DUMMYFUNCTION("""COMPUTED_VALUE"""),"Ben Mowbray")</f>
        <v>Ben Mowbray</v>
      </c>
      <c r="C139" t="str">
        <f ca="1">IFERROR(__xludf.DUMMYFUNCTION("""COMPUTED_VALUE"""),"ben.mowbray@dep.state.fl.us")</f>
        <v>ben.mowbray@dep.state.fl.us</v>
      </c>
      <c r="D139" t="str">
        <f ca="1">IFERROR(__xludf.DUMMYFUNCTION("""COMPUTED_VALUE"""),"Research/Pam")</f>
        <v>Research/Pam</v>
      </c>
      <c r="E139" t="str">
        <f ca="1">IFERROR(__xludf.DUMMYFUNCTION("""COMPUTED_VALUE"""),"Palm Valley")</f>
        <v>Palm Valley</v>
      </c>
      <c r="F139" s="13">
        <f ca="1">IFERROR(__xludf.DUMMYFUNCTION("""COMPUTED_VALUE"""),0.402777777777373)</f>
        <v>0.402777777777373</v>
      </c>
      <c r="G139" s="14">
        <f ca="1">IFERROR(__xludf.DUMMYFUNCTION("""COMPUTED_VALUE"""),43347)</f>
        <v>43347</v>
      </c>
      <c r="H139" t="str">
        <f ca="1">IFERROR(__xludf.DUMMYFUNCTION("""COMPUTED_VALUE"""),"Spat Run")</f>
        <v>Spat Run</v>
      </c>
      <c r="I139" s="15">
        <f ca="1">IFERROR(__xludf.DUMMYFUNCTION("""COMPUTED_VALUE"""),0.64583333333212)</f>
        <v>0.64583333333212001</v>
      </c>
      <c r="J139" s="16">
        <f ca="1">IFERROR(__xludf.DUMMYFUNCTION("""COMPUTED_VALUE"""),43347.6875)</f>
        <v>43347.6875</v>
      </c>
      <c r="K139" t="str">
        <f ca="1">IFERROR(__xludf.DUMMYFUNCTION("""COMPUTED_VALUE"""),"20ft Sea Ark FL5351SJ UNF 2015")</f>
        <v>20ft Sea Ark FL5351SJ UNF 2015</v>
      </c>
      <c r="M139" t="str">
        <f ca="1">IFERROR(__xludf.DUMMYFUNCTION("""COMPUTED_VALUE"""),"DEP07668 Ford F150 2010")</f>
        <v>DEP07668 Ford F150 2010</v>
      </c>
      <c r="N139" t="str">
        <f ca="1">IFERROR(__xludf.DUMMYFUNCTION("""COMPUTED_VALUE"""),"Ben Mowbray, (407) 962-8782")</f>
        <v>Ben Mowbray, (407) 962-8782</v>
      </c>
      <c r="O139" t="str">
        <f ca="1">IFERROR(__xludf.DUMMYFUNCTION("""COMPUTED_VALUE"""),"Alicia Bishop, Marissa Raymond")</f>
        <v>Alicia Bishop, Marissa Raymond</v>
      </c>
      <c r="P139" t="str">
        <f ca="1">IFERROR(__xludf.DUMMYFUNCTION("""COMPUTED_VALUE"""),"Ben")</f>
        <v>Ben</v>
      </c>
      <c r="Q139" t="str">
        <f ca="1">IFERROR(__xludf.DUMMYFUNCTION("""COMPUTED_VALUE"""),"Good")</f>
        <v>Good</v>
      </c>
      <c r="R139" t="str">
        <f ca="1">IFERROR(__xludf.DUMMYFUNCTION("""COMPUTED_VALUE"""),"Good")</f>
        <v>Good</v>
      </c>
      <c r="S139" t="str">
        <f ca="1">IFERROR(__xludf.DUMMYFUNCTION("""COMPUTED_VALUE"""),"Good")</f>
        <v>Good</v>
      </c>
      <c r="T139" t="str">
        <f ca="1">IFERROR(__xludf.DUMMYFUNCTION("""COMPUTED_VALUE"""),"Good")</f>
        <v>Good</v>
      </c>
      <c r="U139" t="str">
        <f ca="1">IFERROR(__xludf.DUMMYFUNCTION("""COMPUTED_VALUE"""),"Good")</f>
        <v>Good</v>
      </c>
      <c r="V139" t="str">
        <f ca="1">IFERROR(__xludf.DUMMYFUNCTION("""COMPUTED_VALUE"""),"Good")</f>
        <v>Good</v>
      </c>
      <c r="W139" t="str">
        <f ca="1">IFERROR(__xludf.DUMMYFUNCTION("""COMPUTED_VALUE"""),"Good")</f>
        <v>Good</v>
      </c>
      <c r="X139" t="str">
        <f ca="1">IFERROR(__xludf.DUMMYFUNCTION("""COMPUTED_VALUE"""),"Good")</f>
        <v>Good</v>
      </c>
      <c r="Y139" t="str">
        <f ca="1">IFERROR(__xludf.DUMMYFUNCTION("""COMPUTED_VALUE"""),"Good")</f>
        <v>Good</v>
      </c>
      <c r="Z139" t="str">
        <f ca="1">IFERROR(__xludf.DUMMYFUNCTION("""COMPUTED_VALUE"""),"Good")</f>
        <v>Good</v>
      </c>
      <c r="AA139" t="str">
        <f ca="1">IFERROR(__xludf.DUMMYFUNCTION("""COMPUTED_VALUE"""),"Good")</f>
        <v>Good</v>
      </c>
      <c r="AB139" t="str">
        <f ca="1">IFERROR(__xludf.DUMMYFUNCTION("""COMPUTED_VALUE"""),"Good")</f>
        <v>Good</v>
      </c>
      <c r="AC139" t="str">
        <f ca="1">IFERROR(__xludf.DUMMYFUNCTION("""COMPUTED_VALUE"""),"Good")</f>
        <v>Good</v>
      </c>
      <c r="AE139" s="11"/>
      <c r="AF139" t="str">
        <v>Pamela.Marcum@floridadep.gov</v>
      </c>
      <c r="AG139" s="17" t="s">
        <v>17</v>
      </c>
      <c r="AH139" s="12">
        <v>1517</v>
      </c>
      <c r="AI139" s="12" t="s">
        <v>357</v>
      </c>
      <c r="AJ139" s="19" t="s">
        <v>358</v>
      </c>
      <c r="AK139" s="20" t="str">
        <f>HYPERLINK("https://docs.google.com/document/d/1Lmr6ukcytK5A4BRLAWOczZ0_erfF7eQyrndmyQl55_4/edit?usp=drivesdk","Ben Mowbray - 9/4/2018 9:40 AM")</f>
        <v>Ben Mowbray - 9/4/2018 9:40 AM</v>
      </c>
      <c r="AL139" s="12" t="s">
        <v>359</v>
      </c>
    </row>
    <row r="140" spans="1:38" ht="12.75">
      <c r="A140" s="10">
        <f ca="1">IFERROR(__xludf.DUMMYFUNCTION("""COMPUTED_VALUE"""),43347.660692743)</f>
        <v>43347.660692742997</v>
      </c>
      <c r="B140" s="11" t="str">
        <f ca="1">IFERROR(__xludf.DUMMYFUNCTION("""COMPUTED_VALUE"""),"James Tomazinis")</f>
        <v>James Tomazinis</v>
      </c>
      <c r="C140" t="str">
        <f ca="1">IFERROR(__xludf.DUMMYFUNCTION("""COMPUTED_VALUE"""),"james.tomazinis@floridadep.gov")</f>
        <v>james.tomazinis@floridadep.gov</v>
      </c>
      <c r="D140" t="str">
        <f ca="1">IFERROR(__xludf.DUMMYFUNCTION("""COMPUTED_VALUE"""),"Stewardship (Aquatic)")</f>
        <v>Stewardship (Aquatic)</v>
      </c>
      <c r="E140" t="str">
        <f ca="1">IFERROR(__xludf.DUMMYFUNCTION("""COMPUTED_VALUE"""),"Vilano")</f>
        <v>Vilano</v>
      </c>
      <c r="F140" s="13">
        <f ca="1">IFERROR(__xludf.DUMMYFUNCTION("""COMPUTED_VALUE"""),0.27083333333212)</f>
        <v>0.27083333333212001</v>
      </c>
      <c r="G140" s="14">
        <f ca="1">IFERROR(__xludf.DUMMYFUNCTION("""COMPUTED_VALUE"""),43348)</f>
        <v>43348</v>
      </c>
      <c r="H140" t="str">
        <f ca="1">IFERROR(__xludf.DUMMYFUNCTION("""COMPUTED_VALUE"""),"SWMP Sites")</f>
        <v>SWMP Sites</v>
      </c>
      <c r="I140" s="15">
        <f ca="1">IFERROR(__xludf.DUMMYFUNCTION("""COMPUTED_VALUE"""),0.541666666667879)</f>
        <v>0.54166666666787899</v>
      </c>
      <c r="J140" s="16"/>
      <c r="K140" t="str">
        <f ca="1">IFERROR(__xludf.DUMMYFUNCTION("""COMPUTED_VALUE"""),"23ft Skiff (Bertha) FL7972LJ DEP07613")</f>
        <v>23ft Skiff (Bertha) FL7972LJ DEP07613</v>
      </c>
      <c r="M140" t="str">
        <f ca="1">IFERROR(__xludf.DUMMYFUNCTION("""COMPUTED_VALUE"""),"Ford F250 2017 (Moby Dix) - DEP0021578")</f>
        <v>Ford F250 2017 (Moby Dix) - DEP0021578</v>
      </c>
      <c r="N140" t="str">
        <f ca="1">IFERROR(__xludf.DUMMYFUNCTION("""COMPUTED_VALUE"""),"Nikki Dix, (352) 219-4079, Jimmy Tomazinis, (904) 547-0094")</f>
        <v>Nikki Dix, (352) 219-4079, Jimmy Tomazinis, (904) 547-0094</v>
      </c>
      <c r="O140" t="str">
        <f ca="1">IFERROR(__xludf.DUMMYFUNCTION("""COMPUTED_VALUE"""),"Jeff Finnan")</f>
        <v>Jeff Finnan</v>
      </c>
      <c r="P140" t="str">
        <f ca="1">IFERROR(__xludf.DUMMYFUNCTION("""COMPUTED_VALUE"""),"Jimmy")</f>
        <v>Jimmy</v>
      </c>
      <c r="Q140" t="str">
        <f ca="1">IFERROR(__xludf.DUMMYFUNCTION("""COMPUTED_VALUE"""),"Good")</f>
        <v>Good</v>
      </c>
      <c r="R140" t="str">
        <f ca="1">IFERROR(__xludf.DUMMYFUNCTION("""COMPUTED_VALUE"""),"Good")</f>
        <v>Good</v>
      </c>
      <c r="S140" t="str">
        <f ca="1">IFERROR(__xludf.DUMMYFUNCTION("""COMPUTED_VALUE"""),"Good")</f>
        <v>Good</v>
      </c>
      <c r="T140" t="str">
        <f ca="1">IFERROR(__xludf.DUMMYFUNCTION("""COMPUTED_VALUE"""),"Good")</f>
        <v>Good</v>
      </c>
      <c r="U140" t="str">
        <f ca="1">IFERROR(__xludf.DUMMYFUNCTION("""COMPUTED_VALUE"""),"Good")</f>
        <v>Good</v>
      </c>
      <c r="V140" t="str">
        <f ca="1">IFERROR(__xludf.DUMMYFUNCTION("""COMPUTED_VALUE"""),"Good")</f>
        <v>Good</v>
      </c>
      <c r="W140" t="str">
        <f ca="1">IFERROR(__xludf.DUMMYFUNCTION("""COMPUTED_VALUE"""),"Good")</f>
        <v>Good</v>
      </c>
      <c r="X140" t="str">
        <f ca="1">IFERROR(__xludf.DUMMYFUNCTION("""COMPUTED_VALUE"""),"Good")</f>
        <v>Good</v>
      </c>
      <c r="Y140" t="str">
        <f ca="1">IFERROR(__xludf.DUMMYFUNCTION("""COMPUTED_VALUE"""),"Good")</f>
        <v>Good</v>
      </c>
      <c r="Z140" t="str">
        <f ca="1">IFERROR(__xludf.DUMMYFUNCTION("""COMPUTED_VALUE"""),"Good")</f>
        <v>Good</v>
      </c>
      <c r="AA140" t="str">
        <f ca="1">IFERROR(__xludf.DUMMYFUNCTION("""COMPUTED_VALUE"""),"Good")</f>
        <v>Good</v>
      </c>
      <c r="AB140" t="str">
        <f ca="1">IFERROR(__xludf.DUMMYFUNCTION("""COMPUTED_VALUE"""),"Good")</f>
        <v>Good</v>
      </c>
      <c r="AC140" t="str">
        <f ca="1">IFERROR(__xludf.DUMMYFUNCTION("""COMPUTED_VALUE"""),"Good")</f>
        <v>Good</v>
      </c>
      <c r="AE140" s="11"/>
      <c r="AF140" t="str">
        <v>Scott.Eastman@floridadep.gov</v>
      </c>
      <c r="AG140" s="17" t="s">
        <v>17</v>
      </c>
      <c r="AH140" s="12">
        <v>1045</v>
      </c>
      <c r="AI140" s="12" t="s">
        <v>360</v>
      </c>
      <c r="AJ140" s="19" t="s">
        <v>361</v>
      </c>
      <c r="AK140" s="20" t="str">
        <f>HYPERLINK("https://docs.google.com/document/d/1O7zNwJ7tD7cHfDAv1vY8YMgIs28bfzrPCLqAZVh0D54/edit?usp=drivesdk","James Tomazinis - 9/5/2018 6:30 AM")</f>
        <v>James Tomazinis - 9/5/2018 6:30 AM</v>
      </c>
      <c r="AL140" s="12" t="s">
        <v>362</v>
      </c>
    </row>
    <row r="141" spans="1:38" ht="12.75">
      <c r="A141" s="10">
        <f ca="1">IFERROR(__xludf.DUMMYFUNCTION("""COMPUTED_VALUE"""),43348.3159510763)</f>
        <v>43348.3159510763</v>
      </c>
      <c r="B141" s="11" t="str">
        <f ca="1">IFERROR(__xludf.DUMMYFUNCTION("""COMPUTED_VALUE"""),"Pamela Marcum")</f>
        <v>Pamela Marcum</v>
      </c>
      <c r="C141" t="str">
        <f ca="1">IFERROR(__xludf.DUMMYFUNCTION("""COMPUTED_VALUE"""),"Pamela.Marcum@dep.state.fl.us")</f>
        <v>Pamela.Marcum@dep.state.fl.us</v>
      </c>
      <c r="D141" t="str">
        <f ca="1">IFERROR(__xludf.DUMMYFUNCTION("""COMPUTED_VALUE"""),"Research/Nikki")</f>
        <v>Research/Nikki</v>
      </c>
      <c r="E141" t="str">
        <f ca="1">IFERROR(__xludf.DUMMYFUNCTION("""COMPUTED_VALUE"""),"Whitney Lab")</f>
        <v>Whitney Lab</v>
      </c>
      <c r="F141" s="13">
        <f ca="1">IFERROR(__xludf.DUMMYFUNCTION("""COMPUTED_VALUE"""),0.39583333333212)</f>
        <v>0.39583333333212001</v>
      </c>
      <c r="G141" s="14">
        <f ca="1">IFERROR(__xludf.DUMMYFUNCTION("""COMPUTED_VALUE"""),43348)</f>
        <v>43348</v>
      </c>
      <c r="H141" t="str">
        <f ca="1">IFERROR(__xludf.DUMMYFUNCTION("""COMPUTED_VALUE"""),"Dolphin Creek")</f>
        <v>Dolphin Creek</v>
      </c>
      <c r="I141" s="15">
        <f ca="1">IFERROR(__xludf.DUMMYFUNCTION("""COMPUTED_VALUE"""),0.625)</f>
        <v>0.625</v>
      </c>
      <c r="J141" s="16">
        <f ca="1">IFERROR(__xludf.DUMMYFUNCTION("""COMPUTED_VALUE"""),43348.6666666666)</f>
        <v>43348.666666666599</v>
      </c>
      <c r="K141" t="str">
        <f ca="1">IFERROR(__xludf.DUMMYFUNCTION("""COMPUTED_VALUE"""),"F 20ft Sea Ark (Easy 200) FL8534PY DEP21451")</f>
        <v>F 20ft Sea Ark (Easy 200) FL8534PY DEP21451</v>
      </c>
      <c r="M141" t="str">
        <f ca="1">IFERROR(__xludf.DUMMYFUNCTION("""COMPUTED_VALUE"""),"Ford F150 2015 (White) - DEP21448")</f>
        <v>Ford F150 2015 (White) - DEP21448</v>
      </c>
      <c r="N141" t="str">
        <f ca="1">IFERROR(__xludf.DUMMYFUNCTION("""COMPUTED_VALUE"""),"Pam Marcum, (480) 332-5414")</f>
        <v>Pam Marcum, (480) 332-5414</v>
      </c>
      <c r="O141" t="str">
        <f ca="1">IFERROR(__xludf.DUMMYFUNCTION("""COMPUTED_VALUE"""),"Tatum Theodore, Morgan Langley, Tim Coons, Chuck Snavely")</f>
        <v>Tatum Theodore, Morgan Langley, Tim Coons, Chuck Snavely</v>
      </c>
      <c r="P141" t="str">
        <f ca="1">IFERROR(__xludf.DUMMYFUNCTION("""COMPUTED_VALUE"""),"Pamela Marcum")</f>
        <v>Pamela Marcum</v>
      </c>
      <c r="Q141" t="str">
        <f ca="1">IFERROR(__xludf.DUMMYFUNCTION("""COMPUTED_VALUE"""),"Good")</f>
        <v>Good</v>
      </c>
      <c r="R141" t="str">
        <f ca="1">IFERROR(__xludf.DUMMYFUNCTION("""COMPUTED_VALUE"""),"Good")</f>
        <v>Good</v>
      </c>
      <c r="S141" t="str">
        <f ca="1">IFERROR(__xludf.DUMMYFUNCTION("""COMPUTED_VALUE"""),"Good")</f>
        <v>Good</v>
      </c>
      <c r="T141" t="str">
        <f ca="1">IFERROR(__xludf.DUMMYFUNCTION("""COMPUTED_VALUE"""),"Good")</f>
        <v>Good</v>
      </c>
      <c r="U141" t="str">
        <f ca="1">IFERROR(__xludf.DUMMYFUNCTION("""COMPUTED_VALUE"""),"Good")</f>
        <v>Good</v>
      </c>
      <c r="V141" t="str">
        <f ca="1">IFERROR(__xludf.DUMMYFUNCTION("""COMPUTED_VALUE"""),"Good")</f>
        <v>Good</v>
      </c>
      <c r="W141" t="str">
        <f ca="1">IFERROR(__xludf.DUMMYFUNCTION("""COMPUTED_VALUE"""),"Good")</f>
        <v>Good</v>
      </c>
      <c r="X141" t="str">
        <f ca="1">IFERROR(__xludf.DUMMYFUNCTION("""COMPUTED_VALUE"""),"Good")</f>
        <v>Good</v>
      </c>
      <c r="Y141" t="str">
        <f ca="1">IFERROR(__xludf.DUMMYFUNCTION("""COMPUTED_VALUE"""),"Good")</f>
        <v>Good</v>
      </c>
      <c r="Z141" t="str">
        <f ca="1">IFERROR(__xludf.DUMMYFUNCTION("""COMPUTED_VALUE"""),"Good")</f>
        <v>Good</v>
      </c>
      <c r="AA141" t="str">
        <f ca="1">IFERROR(__xludf.DUMMYFUNCTION("""COMPUTED_VALUE"""),"Good")</f>
        <v>Good</v>
      </c>
      <c r="AB141" t="str">
        <f ca="1">IFERROR(__xludf.DUMMYFUNCTION("""COMPUTED_VALUE"""),"Good")</f>
        <v>Good</v>
      </c>
      <c r="AC141" t="str">
        <f ca="1">IFERROR(__xludf.DUMMYFUNCTION("""COMPUTED_VALUE"""),"Good")</f>
        <v>Good</v>
      </c>
      <c r="AE141" s="11"/>
      <c r="AF141" t="str">
        <v>Nikki.Dix@floridadep.gov</v>
      </c>
      <c r="AG141" s="17" t="s">
        <v>17</v>
      </c>
      <c r="AH141" s="12">
        <v>1450</v>
      </c>
      <c r="AI141" s="12" t="s">
        <v>363</v>
      </c>
      <c r="AJ141" s="19" t="s">
        <v>364</v>
      </c>
      <c r="AK141" s="20" t="str">
        <f>HYPERLINK("https://docs.google.com/document/d/1kJHcvyhgyIpKw8P9mBqauadO_E-MGaX1yx9HngVDcEU/edit?usp=drivesdk","Pamela Marcum - 9/5/2018 9:30 AM")</f>
        <v>Pamela Marcum - 9/5/2018 9:30 AM</v>
      </c>
      <c r="AL141" s="12" t="s">
        <v>365</v>
      </c>
    </row>
    <row r="142" spans="1:38" ht="12.75">
      <c r="A142" s="10">
        <f ca="1">IFERROR(__xludf.DUMMYFUNCTION("""COMPUTED_VALUE"""),43348.3376472222)</f>
        <v>43348.337647222201</v>
      </c>
      <c r="B142" s="11" t="str">
        <f ca="1">IFERROR(__xludf.DUMMYFUNCTION("""COMPUTED_VALUE"""),"Ben Mowbray")</f>
        <v>Ben Mowbray</v>
      </c>
      <c r="C142" t="str">
        <f ca="1">IFERROR(__xludf.DUMMYFUNCTION("""COMPUTED_VALUE"""),"ben.mowbray@dep.state.fl.us")</f>
        <v>ben.mowbray@dep.state.fl.us</v>
      </c>
      <c r="D142" t="str">
        <f ca="1">IFERROR(__xludf.DUMMYFUNCTION("""COMPUTED_VALUE"""),"Research/Pam")</f>
        <v>Research/Pam</v>
      </c>
      <c r="E142" t="str">
        <f ca="1">IFERROR(__xludf.DUMMYFUNCTION("""COMPUTED_VALUE"""),"Aunt Kate's")</f>
        <v>Aunt Kate's</v>
      </c>
      <c r="F142" s="13">
        <f ca="1">IFERROR(__xludf.DUMMYFUNCTION("""COMPUTED_VALUE"""),0.388888888890505)</f>
        <v>0.38888888889050499</v>
      </c>
      <c r="G142" s="14">
        <f ca="1">IFERROR(__xludf.DUMMYFUNCTION("""COMPUTED_VALUE"""),43348)</f>
        <v>43348</v>
      </c>
      <c r="H142" t="str">
        <f ca="1">IFERROR(__xludf.DUMMYFUNCTION("""COMPUTED_VALUE"""),"Kimbro Reefs in TR, GR")</f>
        <v>Kimbro Reefs in TR, GR</v>
      </c>
      <c r="I142" s="15">
        <f ca="1">IFERROR(__xludf.DUMMYFUNCTION("""COMPUTED_VALUE"""),0.5625)</f>
        <v>0.5625</v>
      </c>
      <c r="J142" s="16">
        <f ca="1">IFERROR(__xludf.DUMMYFUNCTION("""COMPUTED_VALUE"""),43348.5902777777)</f>
        <v>43348.590277777701</v>
      </c>
      <c r="K142" t="str">
        <f ca="1">IFERROR(__xludf.DUMMYFUNCTION("""COMPUTED_VALUE"""),"20ft Sea Ark FL5351SJ UNF 2015")</f>
        <v>20ft Sea Ark FL5351SJ UNF 2015</v>
      </c>
      <c r="M142" t="str">
        <f ca="1">IFERROR(__xludf.DUMMYFUNCTION("""COMPUTED_VALUE"""),"DEP07668 Ford F150 2010")</f>
        <v>DEP07668 Ford F150 2010</v>
      </c>
      <c r="N142" t="str">
        <f ca="1">IFERROR(__xludf.DUMMYFUNCTION("""COMPUTED_VALUE"""),"Ben Mowbray, (407) 962-8782")</f>
        <v>Ben Mowbray, (407) 962-8782</v>
      </c>
      <c r="O142" t="str">
        <f ca="1">IFERROR(__xludf.DUMMYFUNCTION("""COMPUTED_VALUE"""),"Craig Tinus, Nicole, Adrienne, Rodrigo")</f>
        <v>Craig Tinus, Nicole, Adrienne, Rodrigo</v>
      </c>
      <c r="P142" t="str">
        <f ca="1">IFERROR(__xludf.DUMMYFUNCTION("""COMPUTED_VALUE"""),"Ben")</f>
        <v>Ben</v>
      </c>
      <c r="Q142" t="str">
        <f ca="1">IFERROR(__xludf.DUMMYFUNCTION("""COMPUTED_VALUE"""),"Good")</f>
        <v>Good</v>
      </c>
      <c r="R142" t="str">
        <f ca="1">IFERROR(__xludf.DUMMYFUNCTION("""COMPUTED_VALUE"""),"Good")</f>
        <v>Good</v>
      </c>
      <c r="S142" t="str">
        <f ca="1">IFERROR(__xludf.DUMMYFUNCTION("""COMPUTED_VALUE"""),"Good")</f>
        <v>Good</v>
      </c>
      <c r="T142" t="str">
        <f ca="1">IFERROR(__xludf.DUMMYFUNCTION("""COMPUTED_VALUE"""),"Good")</f>
        <v>Good</v>
      </c>
      <c r="U142" t="str">
        <f ca="1">IFERROR(__xludf.DUMMYFUNCTION("""COMPUTED_VALUE"""),"Good")</f>
        <v>Good</v>
      </c>
      <c r="V142" t="str">
        <f ca="1">IFERROR(__xludf.DUMMYFUNCTION("""COMPUTED_VALUE"""),"Good")</f>
        <v>Good</v>
      </c>
      <c r="W142" t="str">
        <f ca="1">IFERROR(__xludf.DUMMYFUNCTION("""COMPUTED_VALUE"""),"Good")</f>
        <v>Good</v>
      </c>
      <c r="X142" t="str">
        <f ca="1">IFERROR(__xludf.DUMMYFUNCTION("""COMPUTED_VALUE"""),"Good")</f>
        <v>Good</v>
      </c>
      <c r="Y142" t="str">
        <f ca="1">IFERROR(__xludf.DUMMYFUNCTION("""COMPUTED_VALUE"""),"Good")</f>
        <v>Good</v>
      </c>
      <c r="Z142" t="str">
        <f ca="1">IFERROR(__xludf.DUMMYFUNCTION("""COMPUTED_VALUE"""),"Good")</f>
        <v>Good</v>
      </c>
      <c r="AA142" t="str">
        <f ca="1">IFERROR(__xludf.DUMMYFUNCTION("""COMPUTED_VALUE"""),"Good")</f>
        <v>Good</v>
      </c>
      <c r="AB142" t="str">
        <f ca="1">IFERROR(__xludf.DUMMYFUNCTION("""COMPUTED_VALUE"""),"Good")</f>
        <v>Good</v>
      </c>
      <c r="AC142" t="str">
        <f ca="1">IFERROR(__xludf.DUMMYFUNCTION("""COMPUTED_VALUE"""),"Good")</f>
        <v>Good</v>
      </c>
      <c r="AE142" s="11"/>
      <c r="AF142" t="str">
        <v>Pamela.Marcum@floridadep.gov</v>
      </c>
      <c r="AG142" s="17" t="s">
        <v>17</v>
      </c>
      <c r="AH142" s="12">
        <v>1307</v>
      </c>
      <c r="AI142" s="12" t="s">
        <v>366</v>
      </c>
      <c r="AJ142" s="19" t="s">
        <v>367</v>
      </c>
      <c r="AK142" s="20" t="str">
        <f>HYPERLINK("https://docs.google.com/document/d/1hlaZ7sS4mysE6nV8d7dJ53WrBvYx2rjjVBaLtrkEUXE/edit?usp=drivesdk","Ben Mowbray - 9/5/2018 9:20 AM")</f>
        <v>Ben Mowbray - 9/5/2018 9:20 AM</v>
      </c>
      <c r="AL142" s="12" t="s">
        <v>368</v>
      </c>
    </row>
    <row r="143" spans="1:38" ht="12.75">
      <c r="A143" s="10">
        <f ca="1">IFERROR(__xludf.DUMMYFUNCTION("""COMPUTED_VALUE"""),43348.6089136226)</f>
        <v>43348.6089136226</v>
      </c>
      <c r="B143" s="11" t="str">
        <f ca="1">IFERROR(__xludf.DUMMYFUNCTION("""COMPUTED_VALUE"""),"Jimmy Tomazinis")</f>
        <v>Jimmy Tomazinis</v>
      </c>
      <c r="C143" t="str">
        <f ca="1">IFERROR(__xludf.DUMMYFUNCTION("""COMPUTED_VALUE"""),"james.tomazinis@floridadep.gov")</f>
        <v>james.tomazinis@floridadep.gov</v>
      </c>
      <c r="D143" t="str">
        <f ca="1">IFERROR(__xludf.DUMMYFUNCTION("""COMPUTED_VALUE"""),"Stewardship (Aquatic)")</f>
        <v>Stewardship (Aquatic)</v>
      </c>
      <c r="E143" t="str">
        <f ca="1">IFERROR(__xludf.DUMMYFUNCTION("""COMPUTED_VALUE"""),"Guana Dam")</f>
        <v>Guana Dam</v>
      </c>
      <c r="F143" s="13">
        <f ca="1">IFERROR(__xludf.DUMMYFUNCTION("""COMPUTED_VALUE"""),0.30208333333212)</f>
        <v>0.30208333333212001</v>
      </c>
      <c r="G143" s="14">
        <f ca="1">IFERROR(__xludf.DUMMYFUNCTION("""COMPUTED_VALUE"""),43349)</f>
        <v>43349</v>
      </c>
      <c r="H143" t="str">
        <f ca="1">IFERROR(__xludf.DUMMYFUNCTION("""COMPUTED_VALUE"""),"Guana River WQ Sampling sites")</f>
        <v>Guana River WQ Sampling sites</v>
      </c>
      <c r="I143" s="15">
        <f ca="1">IFERROR(__xludf.DUMMYFUNCTION("""COMPUTED_VALUE"""),0.375)</f>
        <v>0.375</v>
      </c>
      <c r="J143" s="16"/>
      <c r="K143" t="str">
        <f ca="1">IFERROR(__xludf.DUMMYFUNCTION("""COMPUTED_VALUE"""),"Jon Boat FL0484NP DEP06819")</f>
        <v>Jon Boat FL0484NP DEP06819</v>
      </c>
      <c r="M143" t="str">
        <f ca="1">IFERROR(__xludf.DUMMYFUNCTION("""COMPUTED_VALUE"""),"Ford F150 2008 - DEP18041 (SWMP Thing)")</f>
        <v>Ford F150 2008 - DEP18041 (SWMP Thing)</v>
      </c>
      <c r="N143" t="str">
        <f ca="1">IFERROR(__xludf.DUMMYFUNCTION("""COMPUTED_VALUE"""),"Jimmy Tomazinis, (904) 547-0094")</f>
        <v>Jimmy Tomazinis, (904) 547-0094</v>
      </c>
      <c r="O143" t="str">
        <f ca="1">IFERROR(__xludf.DUMMYFUNCTION("""COMPUTED_VALUE"""),"Hunter Mathews")</f>
        <v>Hunter Mathews</v>
      </c>
      <c r="P143" t="str">
        <f ca="1">IFERROR(__xludf.DUMMYFUNCTION("""COMPUTED_VALUE"""),"Jimmy")</f>
        <v>Jimmy</v>
      </c>
      <c r="Q143" t="str">
        <f ca="1">IFERROR(__xludf.DUMMYFUNCTION("""COMPUTED_VALUE"""),"Good")</f>
        <v>Good</v>
      </c>
      <c r="R143" t="str">
        <f ca="1">IFERROR(__xludf.DUMMYFUNCTION("""COMPUTED_VALUE"""),"Good")</f>
        <v>Good</v>
      </c>
      <c r="S143" t="str">
        <f ca="1">IFERROR(__xludf.DUMMYFUNCTION("""COMPUTED_VALUE"""),"Good")</f>
        <v>Good</v>
      </c>
      <c r="T143" t="str">
        <f ca="1">IFERROR(__xludf.DUMMYFUNCTION("""COMPUTED_VALUE"""),"Good")</f>
        <v>Good</v>
      </c>
      <c r="U143" t="str">
        <f ca="1">IFERROR(__xludf.DUMMYFUNCTION("""COMPUTED_VALUE"""),"Good")</f>
        <v>Good</v>
      </c>
      <c r="V143" t="str">
        <f ca="1">IFERROR(__xludf.DUMMYFUNCTION("""COMPUTED_VALUE"""),"Good")</f>
        <v>Good</v>
      </c>
      <c r="W143" t="str">
        <f ca="1">IFERROR(__xludf.DUMMYFUNCTION("""COMPUTED_VALUE"""),"Good")</f>
        <v>Good</v>
      </c>
      <c r="X143" t="str">
        <f ca="1">IFERROR(__xludf.DUMMYFUNCTION("""COMPUTED_VALUE"""),"Good")</f>
        <v>Good</v>
      </c>
      <c r="Y143" t="str">
        <f ca="1">IFERROR(__xludf.DUMMYFUNCTION("""COMPUTED_VALUE"""),"Good")</f>
        <v>Good</v>
      </c>
      <c r="Z143" t="str">
        <f ca="1">IFERROR(__xludf.DUMMYFUNCTION("""COMPUTED_VALUE"""),"Good")</f>
        <v>Good</v>
      </c>
      <c r="AA143" t="str">
        <f ca="1">IFERROR(__xludf.DUMMYFUNCTION("""COMPUTED_VALUE"""),"Good")</f>
        <v>Good</v>
      </c>
      <c r="AB143" t="str">
        <f ca="1">IFERROR(__xludf.DUMMYFUNCTION("""COMPUTED_VALUE"""),"Good")</f>
        <v>Good</v>
      </c>
      <c r="AC143" t="str">
        <f ca="1">IFERROR(__xludf.DUMMYFUNCTION("""COMPUTED_VALUE"""),"Good")</f>
        <v>Good</v>
      </c>
      <c r="AE143" s="11"/>
      <c r="AF143" t="str">
        <v>Scott.Eastman@floridadep.gov</v>
      </c>
      <c r="AG143" s="17" t="s">
        <v>17</v>
      </c>
      <c r="AH143" s="12">
        <v>1050</v>
      </c>
      <c r="AI143" s="12" t="s">
        <v>369</v>
      </c>
      <c r="AJ143" s="19" t="s">
        <v>370</v>
      </c>
      <c r="AK143" s="20" t="str">
        <f>HYPERLINK("https://docs.google.com/document/d/1uWaH_X62R2Liuv1Udb-7AgjTcZgYdkQkjrG1FW0qql4/edit?usp=drivesdk","Jimmy Tomazinis - 9/6/2018 7:15 AM")</f>
        <v>Jimmy Tomazinis - 9/6/2018 7:15 AM</v>
      </c>
      <c r="AL143" s="12" t="s">
        <v>371</v>
      </c>
    </row>
    <row r="144" spans="1:38" ht="12.75">
      <c r="A144" s="10">
        <f ca="1">IFERROR(__xludf.DUMMYFUNCTION("""COMPUTED_VALUE"""),43349.3368338425)</f>
        <v>43349.336833842499</v>
      </c>
      <c r="B144" s="11" t="str">
        <f ca="1">IFERROR(__xludf.DUMMYFUNCTION("""COMPUTED_VALUE"""),"Ben Mowbray")</f>
        <v>Ben Mowbray</v>
      </c>
      <c r="C144" t="str">
        <f ca="1">IFERROR(__xludf.DUMMYFUNCTION("""COMPUTED_VALUE"""),"Ben.mowbray@dep.state.fl.us")</f>
        <v>Ben.mowbray@dep.state.fl.us</v>
      </c>
      <c r="D144" t="str">
        <f ca="1">IFERROR(__xludf.DUMMYFUNCTION("""COMPUTED_VALUE"""),"Research/Pam")</f>
        <v>Research/Pam</v>
      </c>
      <c r="E144" t="str">
        <f ca="1">IFERROR(__xludf.DUMMYFUNCTION("""COMPUTED_VALUE"""),"Shore Dr. =&gt; Aunt Kate's")</f>
        <v>Shore Dr. =&gt; Aunt Kate's</v>
      </c>
      <c r="F144" s="13">
        <f ca="1">IFERROR(__xludf.DUMMYFUNCTION("""COMPUTED_VALUE"""),0.388888888890505)</f>
        <v>0.38888888889050499</v>
      </c>
      <c r="G144" s="14">
        <f ca="1">IFERROR(__xludf.DUMMYFUNCTION("""COMPUTED_VALUE"""),43349)</f>
        <v>43349</v>
      </c>
      <c r="H144" t="str">
        <f ca="1">IFERROR(__xludf.DUMMYFUNCTION("""COMPUTED_VALUE"""),"Kimbro Reefs SA, RC, GR, PI")</f>
        <v>Kimbro Reefs SA, RC, GR, PI</v>
      </c>
      <c r="I144" s="15">
        <f ca="1">IFERROR(__xludf.DUMMYFUNCTION("""COMPUTED_VALUE"""),0.58333333333212)</f>
        <v>0.58333333333212001</v>
      </c>
      <c r="J144" s="16">
        <f ca="1">IFERROR(__xludf.DUMMYFUNCTION("""COMPUTED_VALUE"""),43349.625)</f>
        <v>43349.625</v>
      </c>
      <c r="K144" t="str">
        <f ca="1">IFERROR(__xludf.DUMMYFUNCTION("""COMPUTED_VALUE"""),"23ft Skiff (Bertha) FL7972LJ DEP07613")</f>
        <v>23ft Skiff (Bertha) FL7972LJ DEP07613</v>
      </c>
      <c r="M144" t="str">
        <f ca="1">IFERROR(__xludf.DUMMYFUNCTION("""COMPUTED_VALUE"""),"Ford F250 2017 (Moby Dix) - DEP0021578")</f>
        <v>Ford F250 2017 (Moby Dix) - DEP0021578</v>
      </c>
      <c r="N144" t="str">
        <f ca="1">IFERROR(__xludf.DUMMYFUNCTION("""COMPUTED_VALUE"""),"Ben Mowbray, (407) 962-8782")</f>
        <v>Ben Mowbray, (407) 962-8782</v>
      </c>
      <c r="O144" t="str">
        <f ca="1">IFERROR(__xludf.DUMMYFUNCTION("""COMPUTED_VALUE"""),"Nicole, Rodrigo, Adrienne")</f>
        <v>Nicole, Rodrigo, Adrienne</v>
      </c>
      <c r="P144" t="str">
        <f ca="1">IFERROR(__xludf.DUMMYFUNCTION("""COMPUTED_VALUE"""),"Ben")</f>
        <v>Ben</v>
      </c>
      <c r="Q144" t="str">
        <f ca="1">IFERROR(__xludf.DUMMYFUNCTION("""COMPUTED_VALUE"""),"Good")</f>
        <v>Good</v>
      </c>
      <c r="R144" t="str">
        <f ca="1">IFERROR(__xludf.DUMMYFUNCTION("""COMPUTED_VALUE"""),"Good")</f>
        <v>Good</v>
      </c>
      <c r="S144" t="str">
        <f ca="1">IFERROR(__xludf.DUMMYFUNCTION("""COMPUTED_VALUE"""),"Good")</f>
        <v>Good</v>
      </c>
      <c r="T144" t="str">
        <f ca="1">IFERROR(__xludf.DUMMYFUNCTION("""COMPUTED_VALUE"""),"Good")</f>
        <v>Good</v>
      </c>
      <c r="U144" t="str">
        <f ca="1">IFERROR(__xludf.DUMMYFUNCTION("""COMPUTED_VALUE"""),"Good")</f>
        <v>Good</v>
      </c>
      <c r="V144" t="str">
        <f ca="1">IFERROR(__xludf.DUMMYFUNCTION("""COMPUTED_VALUE"""),"Good")</f>
        <v>Good</v>
      </c>
      <c r="W144" t="str">
        <f ca="1">IFERROR(__xludf.DUMMYFUNCTION("""COMPUTED_VALUE"""),"Good")</f>
        <v>Good</v>
      </c>
      <c r="X144" t="str">
        <f ca="1">IFERROR(__xludf.DUMMYFUNCTION("""COMPUTED_VALUE"""),"Good")</f>
        <v>Good</v>
      </c>
      <c r="Y144" t="str">
        <f ca="1">IFERROR(__xludf.DUMMYFUNCTION("""COMPUTED_VALUE"""),"Good")</f>
        <v>Good</v>
      </c>
      <c r="Z144" t="str">
        <f ca="1">IFERROR(__xludf.DUMMYFUNCTION("""COMPUTED_VALUE"""),"Good")</f>
        <v>Good</v>
      </c>
      <c r="AA144" t="str">
        <f ca="1">IFERROR(__xludf.DUMMYFUNCTION("""COMPUTED_VALUE"""),"Good")</f>
        <v>Good</v>
      </c>
      <c r="AB144" t="str">
        <f ca="1">IFERROR(__xludf.DUMMYFUNCTION("""COMPUTED_VALUE"""),"Good")</f>
        <v>Good</v>
      </c>
      <c r="AC144" t="str">
        <f ca="1">IFERROR(__xludf.DUMMYFUNCTION("""COMPUTED_VALUE"""),"Good")</f>
        <v>Good</v>
      </c>
      <c r="AE144" s="11"/>
      <c r="AF144" t="str">
        <v>Pamela.Marcum@floridadep.gov</v>
      </c>
      <c r="AG144" s="17" t="s">
        <v>17</v>
      </c>
      <c r="AH144" s="12">
        <v>1420</v>
      </c>
      <c r="AI144" s="12" t="s">
        <v>372</v>
      </c>
      <c r="AJ144" s="19" t="s">
        <v>373</v>
      </c>
      <c r="AK144" s="20" t="str">
        <f>HYPERLINK("https://docs.google.com/document/d/1yedKFixA69V0VtSDY7-I0SVCLPtcIuBrNsPWlFA5t0Q/edit?usp=drivesdk","Ben Mowbray - 9/6/2018 9:20 AM")</f>
        <v>Ben Mowbray - 9/6/2018 9:20 AM</v>
      </c>
      <c r="AL144" s="12" t="s">
        <v>374</v>
      </c>
    </row>
    <row r="145" spans="1:38" ht="12.75">
      <c r="A145" s="10">
        <f ca="1">IFERROR(__xludf.DUMMYFUNCTION("""COMPUTED_VALUE"""),43349.379244537)</f>
        <v>43349.379244536998</v>
      </c>
      <c r="B145" s="11" t="str">
        <f ca="1">IFERROR(__xludf.DUMMYFUNCTION("""COMPUTED_VALUE"""),"Pamela Marcum")</f>
        <v>Pamela Marcum</v>
      </c>
      <c r="C145" t="str">
        <f ca="1">IFERROR(__xludf.DUMMYFUNCTION("""COMPUTED_VALUE"""),"Pamela.Marcum@Dep.state.fl.us")</f>
        <v>Pamela.Marcum@Dep.state.fl.us</v>
      </c>
      <c r="D145" t="str">
        <f ca="1">IFERROR(__xludf.DUMMYFUNCTION("""COMPUTED_VALUE"""),"Research/Nikki")</f>
        <v>Research/Nikki</v>
      </c>
      <c r="E145" t="str">
        <f ca="1">IFERROR(__xludf.DUMMYFUNCTION("""COMPUTED_VALUE"""),"Whitney Lab")</f>
        <v>Whitney Lab</v>
      </c>
      <c r="F145" s="13">
        <f ca="1">IFERROR(__xludf.DUMMYFUNCTION("""COMPUTED_VALUE"""),0.4375)</f>
        <v>0.4375</v>
      </c>
      <c r="G145" s="14">
        <f ca="1">IFERROR(__xludf.DUMMYFUNCTION("""COMPUTED_VALUE"""),43349)</f>
        <v>43349</v>
      </c>
      <c r="H145" t="str">
        <f ca="1">IFERROR(__xludf.DUMMYFUNCTION("""COMPUTED_VALUE"""),"Summerhaven Bridge/Whitney Reefs")</f>
        <v>Summerhaven Bridge/Whitney Reefs</v>
      </c>
      <c r="I145" s="15">
        <f ca="1">IFERROR(__xludf.DUMMYFUNCTION("""COMPUTED_VALUE"""),0.625)</f>
        <v>0.625</v>
      </c>
      <c r="J145" s="16">
        <f ca="1">IFERROR(__xludf.DUMMYFUNCTION("""COMPUTED_VALUE"""),43348.6666666666)</f>
        <v>43348.666666666599</v>
      </c>
      <c r="K145" t="str">
        <f ca="1">IFERROR(__xludf.DUMMYFUNCTION("""COMPUTED_VALUE"""),"F 20ft Sea Ark (Easy 200) FL8534PY DEP21451")</f>
        <v>F 20ft Sea Ark (Easy 200) FL8534PY DEP21451</v>
      </c>
      <c r="M145" t="str">
        <f ca="1">IFERROR(__xludf.DUMMYFUNCTION("""COMPUTED_VALUE"""),"Ford F150 2015 (White) - DEP21448")</f>
        <v>Ford F150 2015 (White) - DEP21448</v>
      </c>
      <c r="N145" t="str">
        <f ca="1">IFERROR(__xludf.DUMMYFUNCTION("""COMPUTED_VALUE"""),"Pam Marcum, (480) 332-5414")</f>
        <v>Pam Marcum, (480) 332-5414</v>
      </c>
      <c r="O145" t="str">
        <f ca="1">IFERROR(__xludf.DUMMYFUNCTION("""COMPUTED_VALUE"""),"Tim Coons, Alle Knoell, Jeff Stephenson, George Morgan, Ron Coyne")</f>
        <v>Tim Coons, Alle Knoell, Jeff Stephenson, George Morgan, Ron Coyne</v>
      </c>
      <c r="P145" t="str">
        <f ca="1">IFERROR(__xludf.DUMMYFUNCTION("""COMPUTED_VALUE"""),"Pamela Marcum")</f>
        <v>Pamela Marcum</v>
      </c>
      <c r="Q145" t="str">
        <f ca="1">IFERROR(__xludf.DUMMYFUNCTION("""COMPUTED_VALUE"""),"Good")</f>
        <v>Good</v>
      </c>
      <c r="R145" t="str">
        <f ca="1">IFERROR(__xludf.DUMMYFUNCTION("""COMPUTED_VALUE"""),"Good")</f>
        <v>Good</v>
      </c>
      <c r="S145" t="str">
        <f ca="1">IFERROR(__xludf.DUMMYFUNCTION("""COMPUTED_VALUE"""),"Good")</f>
        <v>Good</v>
      </c>
      <c r="T145" t="str">
        <f ca="1">IFERROR(__xludf.DUMMYFUNCTION("""COMPUTED_VALUE"""),"Good")</f>
        <v>Good</v>
      </c>
      <c r="U145" t="str">
        <f ca="1">IFERROR(__xludf.DUMMYFUNCTION("""COMPUTED_VALUE"""),"Good")</f>
        <v>Good</v>
      </c>
      <c r="V145" t="str">
        <f ca="1">IFERROR(__xludf.DUMMYFUNCTION("""COMPUTED_VALUE"""),"Good")</f>
        <v>Good</v>
      </c>
      <c r="W145" t="str">
        <f ca="1">IFERROR(__xludf.DUMMYFUNCTION("""COMPUTED_VALUE"""),"Good")</f>
        <v>Good</v>
      </c>
      <c r="X145" t="str">
        <f ca="1">IFERROR(__xludf.DUMMYFUNCTION("""COMPUTED_VALUE"""),"Good")</f>
        <v>Good</v>
      </c>
      <c r="Y145" t="str">
        <f ca="1">IFERROR(__xludf.DUMMYFUNCTION("""COMPUTED_VALUE"""),"Good")</f>
        <v>Good</v>
      </c>
      <c r="Z145" t="str">
        <f ca="1">IFERROR(__xludf.DUMMYFUNCTION("""COMPUTED_VALUE"""),"Good")</f>
        <v>Good</v>
      </c>
      <c r="AA145" t="str">
        <f ca="1">IFERROR(__xludf.DUMMYFUNCTION("""COMPUTED_VALUE"""),"Good")</f>
        <v>Good</v>
      </c>
      <c r="AB145" t="str">
        <f ca="1">IFERROR(__xludf.DUMMYFUNCTION("""COMPUTED_VALUE"""),"Good")</f>
        <v>Good</v>
      </c>
      <c r="AC145" t="str">
        <f ca="1">IFERROR(__xludf.DUMMYFUNCTION("""COMPUTED_VALUE"""),"Good")</f>
        <v>Good</v>
      </c>
      <c r="AE145" s="11"/>
      <c r="AF145" t="str">
        <v>Nikki.Dix@floridadep.gov</v>
      </c>
      <c r="AG145" s="17" t="s">
        <v>17</v>
      </c>
      <c r="AH145" s="12">
        <v>1505</v>
      </c>
      <c r="AI145" s="12" t="s">
        <v>375</v>
      </c>
      <c r="AJ145" s="19" t="s">
        <v>376</v>
      </c>
      <c r="AK145" s="20" t="str">
        <f>HYPERLINK("https://docs.google.com/document/d/17DVNObsevh1PglvOtUWG2_f9xR1DhwO97Kb9C_lXeyg/edit?usp=drivesdk","Pamela Marcum - 9/6/2018 10:30 AM")</f>
        <v>Pamela Marcum - 9/6/2018 10:30 AM</v>
      </c>
      <c r="AL145" s="12" t="s">
        <v>377</v>
      </c>
    </row>
    <row r="146" spans="1:38" ht="12.75">
      <c r="A146" s="10">
        <f ca="1">IFERROR(__xludf.DUMMYFUNCTION("""COMPUTED_VALUE"""),43350.37360603)</f>
        <v>43350.37360603</v>
      </c>
      <c r="B146" s="11" t="str">
        <f ca="1">IFERROR(__xludf.DUMMYFUNCTION("""COMPUTED_VALUE"""),"Ben Mowbray")</f>
        <v>Ben Mowbray</v>
      </c>
      <c r="C146" t="str">
        <f ca="1">IFERROR(__xludf.DUMMYFUNCTION("""COMPUTED_VALUE"""),"ben.mowbray@dep.state.fl.us")</f>
        <v>ben.mowbray@dep.state.fl.us</v>
      </c>
      <c r="D146" t="str">
        <f ca="1">IFERROR(__xludf.DUMMYFUNCTION("""COMPUTED_VALUE"""),"Research/Pam")</f>
        <v>Research/Pam</v>
      </c>
      <c r="E146" t="str">
        <f ca="1">IFERROR(__xludf.DUMMYFUNCTION("""COMPUTED_VALUE"""),"Green Rd. =&gt; Anastasia Lighthouse")</f>
        <v>Green Rd. =&gt; Anastasia Lighthouse</v>
      </c>
      <c r="F146" s="13">
        <f ca="1">IFERROR(__xludf.DUMMYFUNCTION("""COMPUTED_VALUE"""),0.4375)</f>
        <v>0.4375</v>
      </c>
      <c r="G146" s="14">
        <f ca="1">IFERROR(__xludf.DUMMYFUNCTION("""COMPUTED_VALUE"""),43350)</f>
        <v>43350</v>
      </c>
      <c r="H146" t="str">
        <f ca="1">IFERROR(__xludf.DUMMYFUNCTION("""COMPUTED_VALUE"""),"FM, SR Reefs")</f>
        <v>FM, SR Reefs</v>
      </c>
      <c r="I146" s="15">
        <f ca="1">IFERROR(__xludf.DUMMYFUNCTION("""COMPUTED_VALUE"""),0.541666666667879)</f>
        <v>0.54166666666787899</v>
      </c>
      <c r="J146" s="16">
        <f ca="1">IFERROR(__xludf.DUMMYFUNCTION("""COMPUTED_VALUE"""),43350.5694444444)</f>
        <v>43350.569444444402</v>
      </c>
      <c r="K146" t="str">
        <f ca="1">IFERROR(__xludf.DUMMYFUNCTION("""COMPUTED_VALUE"""),"23ft Skiff (Bertha) FL7972LJ DEP07613")</f>
        <v>23ft Skiff (Bertha) FL7972LJ DEP07613</v>
      </c>
      <c r="M146" t="str">
        <f ca="1">IFERROR(__xludf.DUMMYFUNCTION("""COMPUTED_VALUE"""),"Ford F250 2017 (Moby Dix) - DEP0021578")</f>
        <v>Ford F250 2017 (Moby Dix) - DEP0021578</v>
      </c>
      <c r="N146" t="str">
        <f ca="1">IFERROR(__xludf.DUMMYFUNCTION("""COMPUTED_VALUE"""),"Ben Mowbray, (407) 962-8782")</f>
        <v>Ben Mowbray, (407) 962-8782</v>
      </c>
      <c r="O146" t="str">
        <f ca="1">IFERROR(__xludf.DUMMYFUNCTION("""COMPUTED_VALUE"""),"Alicia")</f>
        <v>Alicia</v>
      </c>
      <c r="P146" t="str">
        <f ca="1">IFERROR(__xludf.DUMMYFUNCTION("""COMPUTED_VALUE"""),"Ben")</f>
        <v>Ben</v>
      </c>
      <c r="Q146" t="str">
        <f ca="1">IFERROR(__xludf.DUMMYFUNCTION("""COMPUTED_VALUE"""),"Good")</f>
        <v>Good</v>
      </c>
      <c r="R146" t="str">
        <f ca="1">IFERROR(__xludf.DUMMYFUNCTION("""COMPUTED_VALUE"""),"Good")</f>
        <v>Good</v>
      </c>
      <c r="S146" t="str">
        <f ca="1">IFERROR(__xludf.DUMMYFUNCTION("""COMPUTED_VALUE"""),"Good")</f>
        <v>Good</v>
      </c>
      <c r="T146" t="str">
        <f ca="1">IFERROR(__xludf.DUMMYFUNCTION("""COMPUTED_VALUE"""),"Good")</f>
        <v>Good</v>
      </c>
      <c r="U146" t="str">
        <f ca="1">IFERROR(__xludf.DUMMYFUNCTION("""COMPUTED_VALUE"""),"Good")</f>
        <v>Good</v>
      </c>
      <c r="V146" t="str">
        <f ca="1">IFERROR(__xludf.DUMMYFUNCTION("""COMPUTED_VALUE"""),"Good")</f>
        <v>Good</v>
      </c>
      <c r="W146" t="str">
        <f ca="1">IFERROR(__xludf.DUMMYFUNCTION("""COMPUTED_VALUE"""),"Good")</f>
        <v>Good</v>
      </c>
      <c r="X146" t="str">
        <f ca="1">IFERROR(__xludf.DUMMYFUNCTION("""COMPUTED_VALUE"""),"Good")</f>
        <v>Good</v>
      </c>
      <c r="Y146" t="str">
        <f ca="1">IFERROR(__xludf.DUMMYFUNCTION("""COMPUTED_VALUE"""),"Good")</f>
        <v>Good</v>
      </c>
      <c r="Z146" t="str">
        <f ca="1">IFERROR(__xludf.DUMMYFUNCTION("""COMPUTED_VALUE"""),"Good")</f>
        <v>Good</v>
      </c>
      <c r="AA146" t="str">
        <f ca="1">IFERROR(__xludf.DUMMYFUNCTION("""COMPUTED_VALUE"""),"Good")</f>
        <v>Good</v>
      </c>
      <c r="AB146" t="str">
        <f ca="1">IFERROR(__xludf.DUMMYFUNCTION("""COMPUTED_VALUE"""),"Good")</f>
        <v>Good</v>
      </c>
      <c r="AC146" t="str">
        <f ca="1">IFERROR(__xludf.DUMMYFUNCTION("""COMPUTED_VALUE"""),"Good")</f>
        <v>Good</v>
      </c>
      <c r="AE146" s="11"/>
      <c r="AF146" t="str">
        <v>Pamela.Marcum@floridadep.gov</v>
      </c>
      <c r="AG146" s="17" t="s">
        <v>41</v>
      </c>
      <c r="AH146" s="12">
        <v>1255</v>
      </c>
      <c r="AI146" s="12" t="s">
        <v>378</v>
      </c>
      <c r="AJ146" s="19" t="s">
        <v>379</v>
      </c>
      <c r="AK146" s="20" t="str">
        <f>HYPERLINK("https://docs.google.com/document/d/1vK2OVKgBHmbnDyydJiI28-r72XA9d-1diz04IeBEKo4/edit?usp=drivesdk","Ben Mowbray - 9/7/2018 10:30 AM")</f>
        <v>Ben Mowbray - 9/7/2018 10:30 AM</v>
      </c>
      <c r="AL146" s="12" t="s">
        <v>380</v>
      </c>
    </row>
    <row r="147" spans="1:38" ht="12.75">
      <c r="A147" s="10">
        <f ca="1">IFERROR(__xludf.DUMMYFUNCTION("""COMPUTED_VALUE"""),43350.4847730671)</f>
        <v>43350.484773067103</v>
      </c>
      <c r="B147" s="11" t="str">
        <f ca="1">IFERROR(__xludf.DUMMYFUNCTION("""COMPUTED_VALUE"""),"Pam Marcum")</f>
        <v>Pam Marcum</v>
      </c>
      <c r="C147" t="str">
        <f ca="1">IFERROR(__xludf.DUMMYFUNCTION("""COMPUTED_VALUE"""),"pamela.marcum@dep.state.fl.us")</f>
        <v>pamela.marcum@dep.state.fl.us</v>
      </c>
      <c r="D147" t="str">
        <f ca="1">IFERROR(__xludf.DUMMYFUNCTION("""COMPUTED_VALUE"""),"Research/Nikki")</f>
        <v>Research/Nikki</v>
      </c>
      <c r="E147" t="str">
        <f ca="1">IFERROR(__xludf.DUMMYFUNCTION("""COMPUTED_VALUE"""),"Whitney lab")</f>
        <v>Whitney lab</v>
      </c>
      <c r="F147" s="13">
        <f ca="1">IFERROR(__xludf.DUMMYFUNCTION("""COMPUTED_VALUE"""),0.479166666667879)</f>
        <v>0.47916666666787899</v>
      </c>
      <c r="G147" s="14">
        <f ca="1">IFERROR(__xludf.DUMMYFUNCTION("""COMPUTED_VALUE"""),43350)</f>
        <v>43350</v>
      </c>
      <c r="H147" t="str">
        <f ca="1">IFERROR(__xludf.DUMMYFUNCTION("""COMPUTED_VALUE"""),"Whitney reefs and pellicer spat")</f>
        <v>Whitney reefs and pellicer spat</v>
      </c>
      <c r="I147" s="15">
        <f ca="1">IFERROR(__xludf.DUMMYFUNCTION("""COMPUTED_VALUE"""),0.625)</f>
        <v>0.625</v>
      </c>
      <c r="J147" s="16">
        <f ca="1">IFERROR(__xludf.DUMMYFUNCTION("""COMPUTED_VALUE"""),43350.6666666666)</f>
        <v>43350.666666666599</v>
      </c>
      <c r="K147" t="str">
        <f ca="1">IFERROR(__xludf.DUMMYFUNCTION("""COMPUTED_VALUE"""),"F 20ft Sea Ark (Easy 200) FL8534PY DEP21451")</f>
        <v>F 20ft Sea Ark (Easy 200) FL8534PY DEP21451</v>
      </c>
      <c r="M147" t="str">
        <f ca="1">IFERROR(__xludf.DUMMYFUNCTION("""COMPUTED_VALUE"""),"Ford F150 2015 (White) - DEP21448")</f>
        <v>Ford F150 2015 (White) - DEP21448</v>
      </c>
      <c r="N147" t="str">
        <f ca="1">IFERROR(__xludf.DUMMYFUNCTION("""COMPUTED_VALUE"""),"Pam Marcum, (480) 332-5414")</f>
        <v>Pam Marcum, (480) 332-5414</v>
      </c>
      <c r="O147" t="str">
        <f ca="1">IFERROR(__xludf.DUMMYFUNCTION("""COMPUTED_VALUE"""),"Chris Kurtz, Julie Edwards, Diane ")</f>
        <v xml:space="preserve">Chris Kurtz, Julie Edwards, Diane </v>
      </c>
      <c r="P147" t="str">
        <f ca="1">IFERROR(__xludf.DUMMYFUNCTION("""COMPUTED_VALUE"""),"Pam")</f>
        <v>Pam</v>
      </c>
      <c r="Q147" t="str">
        <f ca="1">IFERROR(__xludf.DUMMYFUNCTION("""COMPUTED_VALUE"""),"Good")</f>
        <v>Good</v>
      </c>
      <c r="R147" t="str">
        <f ca="1">IFERROR(__xludf.DUMMYFUNCTION("""COMPUTED_VALUE"""),"Good")</f>
        <v>Good</v>
      </c>
      <c r="S147" t="str">
        <f ca="1">IFERROR(__xludf.DUMMYFUNCTION("""COMPUTED_VALUE"""),"Good")</f>
        <v>Good</v>
      </c>
      <c r="T147" t="str">
        <f ca="1">IFERROR(__xludf.DUMMYFUNCTION("""COMPUTED_VALUE"""),"Good")</f>
        <v>Good</v>
      </c>
      <c r="U147" t="str">
        <f ca="1">IFERROR(__xludf.DUMMYFUNCTION("""COMPUTED_VALUE"""),"Good")</f>
        <v>Good</v>
      </c>
      <c r="V147" t="str">
        <f ca="1">IFERROR(__xludf.DUMMYFUNCTION("""COMPUTED_VALUE"""),"Good")</f>
        <v>Good</v>
      </c>
      <c r="W147" t="str">
        <f ca="1">IFERROR(__xludf.DUMMYFUNCTION("""COMPUTED_VALUE"""),"Good")</f>
        <v>Good</v>
      </c>
      <c r="X147" t="str">
        <f ca="1">IFERROR(__xludf.DUMMYFUNCTION("""COMPUTED_VALUE"""),"Good")</f>
        <v>Good</v>
      </c>
      <c r="Y147" t="str">
        <f ca="1">IFERROR(__xludf.DUMMYFUNCTION("""COMPUTED_VALUE"""),"Good")</f>
        <v>Good</v>
      </c>
      <c r="Z147" t="str">
        <f ca="1">IFERROR(__xludf.DUMMYFUNCTION("""COMPUTED_VALUE"""),"Good")</f>
        <v>Good</v>
      </c>
      <c r="AA147" t="str">
        <f ca="1">IFERROR(__xludf.DUMMYFUNCTION("""COMPUTED_VALUE"""),"Good")</f>
        <v>Good</v>
      </c>
      <c r="AB147" t="str">
        <f ca="1">IFERROR(__xludf.DUMMYFUNCTION("""COMPUTED_VALUE"""),"Good")</f>
        <v>Good</v>
      </c>
      <c r="AC147" t="str">
        <f ca="1">IFERROR(__xludf.DUMMYFUNCTION("""COMPUTED_VALUE"""),"Good")</f>
        <v>Good</v>
      </c>
      <c r="AE147" s="11"/>
      <c r="AF147" t="str">
        <v>Nikki.Dix@floridadep.gov</v>
      </c>
      <c r="AG147" s="17" t="s">
        <v>17</v>
      </c>
      <c r="AH147" s="12">
        <v>1520</v>
      </c>
      <c r="AI147" s="12" t="s">
        <v>381</v>
      </c>
      <c r="AJ147" s="19" t="s">
        <v>382</v>
      </c>
      <c r="AK147" s="20" t="str">
        <f>HYPERLINK("https://docs.google.com/document/d/1pOCINOcEnSuc-joWQ1QIg6quFm4xBtL_1Iljg7H-ldU/edit?usp=drivesdk","Pam Marcum - 9/7/2018 11:30 AM")</f>
        <v>Pam Marcum - 9/7/2018 11:30 AM</v>
      </c>
      <c r="AL147" s="12" t="s">
        <v>383</v>
      </c>
    </row>
    <row r="148" spans="1:38" ht="12.75">
      <c r="A148" s="10">
        <f ca="1">IFERROR(__xludf.DUMMYFUNCTION("""COMPUTED_VALUE"""),43352.4198523611)</f>
        <v>43352.419852361098</v>
      </c>
      <c r="B148" s="11" t="str">
        <f ca="1">IFERROR(__xludf.DUMMYFUNCTION("""COMPUTED_VALUE"""),"Pam Marcum")</f>
        <v>Pam Marcum</v>
      </c>
      <c r="C148" t="str">
        <f ca="1">IFERROR(__xludf.DUMMYFUNCTION("""COMPUTED_VALUE"""),"Pamela.Marcum@dep.state.fl.us")</f>
        <v>Pamela.Marcum@dep.state.fl.us</v>
      </c>
      <c r="D148" t="str">
        <f ca="1">IFERROR(__xludf.DUMMYFUNCTION("""COMPUTED_VALUE"""),"Research/Nikki")</f>
        <v>Research/Nikki</v>
      </c>
      <c r="E148" t="str">
        <f ca="1">IFERROR(__xludf.DUMMYFUNCTION("""COMPUTED_VALUE"""),"Princess Place")</f>
        <v>Princess Place</v>
      </c>
      <c r="F148" s="13">
        <f ca="1">IFERROR(__xludf.DUMMYFUNCTION("""COMPUTED_VALUE"""),0.541666666667879)</f>
        <v>0.54166666666787899</v>
      </c>
      <c r="G148" s="14">
        <f ca="1">IFERROR(__xludf.DUMMYFUNCTION("""COMPUTED_VALUE"""),43352)</f>
        <v>43352</v>
      </c>
      <c r="H148" t="str">
        <f ca="1">IFERROR(__xludf.DUMMYFUNCTION("""COMPUTED_VALUE"""),"Pellicer Flats")</f>
        <v>Pellicer Flats</v>
      </c>
      <c r="I148" s="15">
        <f ca="1">IFERROR(__xludf.DUMMYFUNCTION("""COMPUTED_VALUE"""),0.791666666667879)</f>
        <v>0.79166666666787899</v>
      </c>
      <c r="J148" s="16">
        <f ca="1">IFERROR(__xludf.DUMMYFUNCTION("""COMPUTED_VALUE"""),43352.8333333333)</f>
        <v>43352.833333333299</v>
      </c>
      <c r="K148" t="str">
        <f ca="1">IFERROR(__xludf.DUMMYFUNCTION("""COMPUTED_VALUE"""),"Jon Boat FL0484NP DEP06819")</f>
        <v>Jon Boat FL0484NP DEP06819</v>
      </c>
      <c r="M148" t="str">
        <f ca="1">IFERROR(__xludf.DUMMYFUNCTION("""COMPUTED_VALUE"""),"Ford F150 2008 - DEP18041 (SWMP Thing)")</f>
        <v>Ford F150 2008 - DEP18041 (SWMP Thing)</v>
      </c>
      <c r="N148" t="str">
        <f ca="1">IFERROR(__xludf.DUMMYFUNCTION("""COMPUTED_VALUE"""),"Pam Marcum, (480) 332-5414")</f>
        <v>Pam Marcum, (480) 332-5414</v>
      </c>
      <c r="O148" t="str">
        <f ca="1">IFERROR(__xludf.DUMMYFUNCTION("""COMPUTED_VALUE"""),"Steve Durham, Cheryl Clark")</f>
        <v>Steve Durham, Cheryl Clark</v>
      </c>
      <c r="P148" t="str">
        <f ca="1">IFERROR(__xludf.DUMMYFUNCTION("""COMPUTED_VALUE"""),"Pam")</f>
        <v>Pam</v>
      </c>
      <c r="Q148" t="str">
        <f ca="1">IFERROR(__xludf.DUMMYFUNCTION("""COMPUTED_VALUE"""),"Good")</f>
        <v>Good</v>
      </c>
      <c r="R148" t="str">
        <f ca="1">IFERROR(__xludf.DUMMYFUNCTION("""COMPUTED_VALUE"""),"Good")</f>
        <v>Good</v>
      </c>
      <c r="S148" t="str">
        <f ca="1">IFERROR(__xludf.DUMMYFUNCTION("""COMPUTED_VALUE"""),"Good")</f>
        <v>Good</v>
      </c>
      <c r="T148" t="str">
        <f ca="1">IFERROR(__xludf.DUMMYFUNCTION("""COMPUTED_VALUE"""),"Good")</f>
        <v>Good</v>
      </c>
      <c r="U148" t="str">
        <f ca="1">IFERROR(__xludf.DUMMYFUNCTION("""COMPUTED_VALUE"""),"Good")</f>
        <v>Good</v>
      </c>
      <c r="V148" t="str">
        <f ca="1">IFERROR(__xludf.DUMMYFUNCTION("""COMPUTED_VALUE"""),"Good")</f>
        <v>Good</v>
      </c>
      <c r="W148" t="str">
        <f ca="1">IFERROR(__xludf.DUMMYFUNCTION("""COMPUTED_VALUE"""),"Good")</f>
        <v>Good</v>
      </c>
      <c r="X148" t="str">
        <f ca="1">IFERROR(__xludf.DUMMYFUNCTION("""COMPUTED_VALUE"""),"Good")</f>
        <v>Good</v>
      </c>
      <c r="Y148" t="str">
        <f ca="1">IFERROR(__xludf.DUMMYFUNCTION("""COMPUTED_VALUE"""),"Good")</f>
        <v>Good</v>
      </c>
      <c r="Z148" t="str">
        <f ca="1">IFERROR(__xludf.DUMMYFUNCTION("""COMPUTED_VALUE"""),"Good")</f>
        <v>Good</v>
      </c>
      <c r="AA148" t="str">
        <f ca="1">IFERROR(__xludf.DUMMYFUNCTION("""COMPUTED_VALUE"""),"Good")</f>
        <v>Good</v>
      </c>
      <c r="AB148" t="str">
        <f ca="1">IFERROR(__xludf.DUMMYFUNCTION("""COMPUTED_VALUE"""),"Good")</f>
        <v>Good</v>
      </c>
      <c r="AC148" t="str">
        <f ca="1">IFERROR(__xludf.DUMMYFUNCTION("""COMPUTED_VALUE"""),"Good")</f>
        <v>Good</v>
      </c>
      <c r="AE148" s="11"/>
      <c r="AF148" t="str">
        <v>Nikki.Dix@floridadep.gov</v>
      </c>
      <c r="AG148" s="17" t="s">
        <v>41</v>
      </c>
      <c r="AH148" s="12">
        <v>1900</v>
      </c>
      <c r="AI148" s="12" t="s">
        <v>384</v>
      </c>
      <c r="AJ148" s="19" t="s">
        <v>385</v>
      </c>
      <c r="AK148" s="20" t="str">
        <f>HYPERLINK("https://docs.google.com/document/d/1horU_i0hM4yRqRXVdDj8o-byRvvnkNKOrgAhhkzyH94/edit?usp=drivesdk","Pam Marcum - 9/9/2018 1:00 PM")</f>
        <v>Pam Marcum - 9/9/2018 1:00 PM</v>
      </c>
      <c r="AL148" s="12" t="s">
        <v>386</v>
      </c>
    </row>
    <row r="149" spans="1:38" ht="12.75">
      <c r="A149" s="10">
        <f ca="1">IFERROR(__xludf.DUMMYFUNCTION("""COMPUTED_VALUE"""),43352.5349496875)</f>
        <v>43352.534949687499</v>
      </c>
      <c r="B149" s="11" t="str">
        <f ca="1">IFERROR(__xludf.DUMMYFUNCTION("""COMPUTED_VALUE"""),"Ben Mowbray")</f>
        <v>Ben Mowbray</v>
      </c>
      <c r="C149" t="str">
        <f ca="1">IFERROR(__xludf.DUMMYFUNCTION("""COMPUTED_VALUE"""),"ben.mowbray@dep.state.fl.us")</f>
        <v>ben.mowbray@dep.state.fl.us</v>
      </c>
      <c r="D149" t="str">
        <f ca="1">IFERROR(__xludf.DUMMYFUNCTION("""COMPUTED_VALUE"""),"Research/Nikki")</f>
        <v>Research/Nikki</v>
      </c>
      <c r="E149" t="str">
        <f ca="1">IFERROR(__xludf.DUMMYFUNCTION("""COMPUTED_VALUE"""),"Faver Dykes")</f>
        <v>Faver Dykes</v>
      </c>
      <c r="F149" s="13">
        <f ca="1">IFERROR(__xludf.DUMMYFUNCTION("""COMPUTED_VALUE"""),0.58333333333212)</f>
        <v>0.58333333333212001</v>
      </c>
      <c r="G149" s="14">
        <f ca="1">IFERROR(__xludf.DUMMYFUNCTION("""COMPUTED_VALUE"""),43352)</f>
        <v>43352</v>
      </c>
      <c r="H149" t="str">
        <f ca="1">IFERROR(__xludf.DUMMYFUNCTION("""COMPUTED_VALUE"""),"Pellicer Reefs")</f>
        <v>Pellicer Reefs</v>
      </c>
      <c r="I149" s="15">
        <f ca="1">IFERROR(__xludf.DUMMYFUNCTION("""COMPUTED_VALUE"""),0.75)</f>
        <v>0.75</v>
      </c>
      <c r="J149" s="16">
        <f ca="1">IFERROR(__xludf.DUMMYFUNCTION("""COMPUTED_VALUE"""),43352.7916666666)</f>
        <v>43352.791666666599</v>
      </c>
      <c r="K149" t="str">
        <f ca="1">IFERROR(__xludf.DUMMYFUNCTION("""COMPUTED_VALUE"""),"20ft Sea Ark FL5351SJ UNF 2015")</f>
        <v>20ft Sea Ark FL5351SJ UNF 2015</v>
      </c>
      <c r="M149" t="str">
        <f ca="1">IFERROR(__xludf.DUMMYFUNCTION("""COMPUTED_VALUE"""),"Ford F250 2017 (Moby Dix) - DEP0021578")</f>
        <v>Ford F250 2017 (Moby Dix) - DEP0021578</v>
      </c>
      <c r="N149" t="str">
        <f ca="1">IFERROR(__xludf.DUMMYFUNCTION("""COMPUTED_VALUE"""),"Ben Mowbray, (407) 962-8782")</f>
        <v>Ben Mowbray, (407) 962-8782</v>
      </c>
      <c r="O149" t="str">
        <f ca="1">IFERROR(__xludf.DUMMYFUNCTION("""COMPUTED_VALUE"""),"Marissa Raymond, Mason Schilling, Anna Thorness, Dawn Thorsness")</f>
        <v>Marissa Raymond, Mason Schilling, Anna Thorness, Dawn Thorsness</v>
      </c>
      <c r="P149" t="str">
        <f ca="1">IFERROR(__xludf.DUMMYFUNCTION("""COMPUTED_VALUE"""),"Ben")</f>
        <v>Ben</v>
      </c>
      <c r="Q149" t="str">
        <f ca="1">IFERROR(__xludf.DUMMYFUNCTION("""COMPUTED_VALUE"""),"Good")</f>
        <v>Good</v>
      </c>
      <c r="R149" t="str">
        <f ca="1">IFERROR(__xludf.DUMMYFUNCTION("""COMPUTED_VALUE"""),"Good")</f>
        <v>Good</v>
      </c>
      <c r="S149" t="str">
        <f ca="1">IFERROR(__xludf.DUMMYFUNCTION("""COMPUTED_VALUE"""),"Good")</f>
        <v>Good</v>
      </c>
      <c r="T149" t="str">
        <f ca="1">IFERROR(__xludf.DUMMYFUNCTION("""COMPUTED_VALUE"""),"Good")</f>
        <v>Good</v>
      </c>
      <c r="U149" t="str">
        <f ca="1">IFERROR(__xludf.DUMMYFUNCTION("""COMPUTED_VALUE"""),"Good")</f>
        <v>Good</v>
      </c>
      <c r="V149" t="str">
        <f ca="1">IFERROR(__xludf.DUMMYFUNCTION("""COMPUTED_VALUE"""),"Good")</f>
        <v>Good</v>
      </c>
      <c r="W149" t="str">
        <f ca="1">IFERROR(__xludf.DUMMYFUNCTION("""COMPUTED_VALUE"""),"Good")</f>
        <v>Good</v>
      </c>
      <c r="X149" t="str">
        <f ca="1">IFERROR(__xludf.DUMMYFUNCTION("""COMPUTED_VALUE"""),"Good")</f>
        <v>Good</v>
      </c>
      <c r="Y149" t="str">
        <f ca="1">IFERROR(__xludf.DUMMYFUNCTION("""COMPUTED_VALUE"""),"Good")</f>
        <v>Good</v>
      </c>
      <c r="Z149" t="str">
        <f ca="1">IFERROR(__xludf.DUMMYFUNCTION("""COMPUTED_VALUE"""),"Good")</f>
        <v>Good</v>
      </c>
      <c r="AA149" t="str">
        <f ca="1">IFERROR(__xludf.DUMMYFUNCTION("""COMPUTED_VALUE"""),"Good")</f>
        <v>Good</v>
      </c>
      <c r="AB149" t="str">
        <f ca="1">IFERROR(__xludf.DUMMYFUNCTION("""COMPUTED_VALUE"""),"Good")</f>
        <v>Good</v>
      </c>
      <c r="AC149" t="str">
        <f ca="1">IFERROR(__xludf.DUMMYFUNCTION("""COMPUTED_VALUE"""),"Good")</f>
        <v>Good</v>
      </c>
      <c r="AE149" s="11"/>
      <c r="AF149" t="str">
        <v>Nikki.Dix@floridadep.gov</v>
      </c>
      <c r="AG149" s="17" t="s">
        <v>41</v>
      </c>
      <c r="AH149" s="12">
        <v>1930</v>
      </c>
      <c r="AI149" s="12" t="s">
        <v>387</v>
      </c>
      <c r="AJ149" s="19" t="s">
        <v>388</v>
      </c>
      <c r="AK149" s="20" t="str">
        <f>HYPERLINK("https://docs.google.com/document/d/1cwuPEokQaH8ROzsr7i8PtwhzKFzoCSG6aC6VvMPnr4c/edit?usp=drivesdk","Ben Mowbray - 9/9/2018 2:00 PM")</f>
        <v>Ben Mowbray - 9/9/2018 2:00 PM</v>
      </c>
      <c r="AL149" s="12" t="s">
        <v>389</v>
      </c>
    </row>
    <row r="150" spans="1:38" ht="12.75">
      <c r="A150" s="10">
        <f ca="1">IFERROR(__xludf.DUMMYFUNCTION("""COMPUTED_VALUE"""),43353.4682547569)</f>
        <v>43353.468254756903</v>
      </c>
      <c r="B150" s="11" t="str">
        <f ca="1">IFERROR(__xludf.DUMMYFUNCTION("""COMPUTED_VALUE"""),"Ben Mowbray")</f>
        <v>Ben Mowbray</v>
      </c>
      <c r="C150" t="str">
        <f ca="1">IFERROR(__xludf.DUMMYFUNCTION("""COMPUTED_VALUE"""),"ben.mowbray@dep.state.fl.us")</f>
        <v>ben.mowbray@dep.state.fl.us</v>
      </c>
      <c r="D150" t="str">
        <f ca="1">IFERROR(__xludf.DUMMYFUNCTION("""COMPUTED_VALUE"""),"Research/Nikki")</f>
        <v>Research/Nikki</v>
      </c>
      <c r="E150" t="str">
        <f ca="1">IFERROR(__xludf.DUMMYFUNCTION("""COMPUTED_VALUE"""),"Green Rd.")</f>
        <v>Green Rd.</v>
      </c>
      <c r="F150" s="13">
        <f ca="1">IFERROR(__xludf.DUMMYFUNCTION("""COMPUTED_VALUE"""),0.555555555554747)</f>
        <v>0.555555555554747</v>
      </c>
      <c r="G150" s="14">
        <f ca="1">IFERROR(__xludf.DUMMYFUNCTION("""COMPUTED_VALUE"""),43353)</f>
        <v>43353</v>
      </c>
      <c r="H150" t="str">
        <f ca="1">IFERROR(__xludf.DUMMYFUNCTION("""COMPUTED_VALUE"""),"Durham Reef")</f>
        <v>Durham Reef</v>
      </c>
      <c r="I150" s="15">
        <f ca="1">IFERROR(__xludf.DUMMYFUNCTION("""COMPUTED_VALUE"""),0.791666666667879)</f>
        <v>0.79166666666787899</v>
      </c>
      <c r="J150" s="16">
        <f ca="1">IFERROR(__xludf.DUMMYFUNCTION("""COMPUTED_VALUE"""),43353.8333333333)</f>
        <v>43353.833333333299</v>
      </c>
      <c r="K150" t="str">
        <f ca="1">IFERROR(__xludf.DUMMYFUNCTION("""COMPUTED_VALUE"""),"23ft Skiff (Bertha) FL7972LJ DEP07613")</f>
        <v>23ft Skiff (Bertha) FL7972LJ DEP07613</v>
      </c>
      <c r="M150" t="str">
        <f ca="1">IFERROR(__xludf.DUMMYFUNCTION("""COMPUTED_VALUE"""),"Ford F250 2017 (Moby Dix) - DEP0021578")</f>
        <v>Ford F250 2017 (Moby Dix) - DEP0021578</v>
      </c>
      <c r="N150" t="str">
        <f ca="1">IFERROR(__xludf.DUMMYFUNCTION("""COMPUTED_VALUE"""),"Pam Marcum, (480) 332-5414, Ben Mowbray, (407) 962-8782")</f>
        <v>Pam Marcum, (480) 332-5414, Ben Mowbray, (407) 962-8782</v>
      </c>
      <c r="O150" t="str">
        <f ca="1">IFERROR(__xludf.DUMMYFUNCTION("""COMPUTED_VALUE"""),"Steve Durham, Cheryl, Alicia")</f>
        <v>Steve Durham, Cheryl, Alicia</v>
      </c>
      <c r="P150" t="str">
        <f ca="1">IFERROR(__xludf.DUMMYFUNCTION("""COMPUTED_VALUE"""),"Pam")</f>
        <v>Pam</v>
      </c>
      <c r="Q150" t="str">
        <f ca="1">IFERROR(__xludf.DUMMYFUNCTION("""COMPUTED_VALUE"""),"Good")</f>
        <v>Good</v>
      </c>
      <c r="R150" t="str">
        <f ca="1">IFERROR(__xludf.DUMMYFUNCTION("""COMPUTED_VALUE"""),"Good")</f>
        <v>Good</v>
      </c>
      <c r="S150" t="str">
        <f ca="1">IFERROR(__xludf.DUMMYFUNCTION("""COMPUTED_VALUE"""),"Good")</f>
        <v>Good</v>
      </c>
      <c r="T150" t="str">
        <f ca="1">IFERROR(__xludf.DUMMYFUNCTION("""COMPUTED_VALUE"""),"Good")</f>
        <v>Good</v>
      </c>
      <c r="U150" t="str">
        <f ca="1">IFERROR(__xludf.DUMMYFUNCTION("""COMPUTED_VALUE"""),"Good")</f>
        <v>Good</v>
      </c>
      <c r="V150" t="str">
        <f ca="1">IFERROR(__xludf.DUMMYFUNCTION("""COMPUTED_VALUE"""),"Good")</f>
        <v>Good</v>
      </c>
      <c r="W150" t="str">
        <f ca="1">IFERROR(__xludf.DUMMYFUNCTION("""COMPUTED_VALUE"""),"Good")</f>
        <v>Good</v>
      </c>
      <c r="X150" t="str">
        <f ca="1">IFERROR(__xludf.DUMMYFUNCTION("""COMPUTED_VALUE"""),"Good")</f>
        <v>Good</v>
      </c>
      <c r="Y150" t="str">
        <f ca="1">IFERROR(__xludf.DUMMYFUNCTION("""COMPUTED_VALUE"""),"Good")</f>
        <v>Good</v>
      </c>
      <c r="Z150" t="str">
        <f ca="1">IFERROR(__xludf.DUMMYFUNCTION("""COMPUTED_VALUE"""),"Good")</f>
        <v>Good</v>
      </c>
      <c r="AA150" t="str">
        <f ca="1">IFERROR(__xludf.DUMMYFUNCTION("""COMPUTED_VALUE"""),"Good")</f>
        <v>Good</v>
      </c>
      <c r="AB150" t="str">
        <f ca="1">IFERROR(__xludf.DUMMYFUNCTION("""COMPUTED_VALUE"""),"Good")</f>
        <v>Good</v>
      </c>
      <c r="AC150" t="str">
        <f ca="1">IFERROR(__xludf.DUMMYFUNCTION("""COMPUTED_VALUE"""),"Good")</f>
        <v>Good</v>
      </c>
      <c r="AE150" s="11"/>
      <c r="AF150" t="str">
        <v>Nikki.Dix@floridadep.gov</v>
      </c>
      <c r="AG150" s="17" t="s">
        <v>41</v>
      </c>
      <c r="AH150" s="12">
        <v>2006</v>
      </c>
      <c r="AI150" s="12" t="s">
        <v>390</v>
      </c>
      <c r="AJ150" s="19" t="s">
        <v>391</v>
      </c>
      <c r="AK150" s="20" t="str">
        <f>HYPERLINK("https://docs.google.com/document/d/18a8HUQtBa0oDSzts9fdeoJSPbEzLp3lUXgyOK0PBc3I/edit?usp=drivesdk","Ben Mowbray - 9/10/2018 1:20 PM")</f>
        <v>Ben Mowbray - 9/10/2018 1:20 PM</v>
      </c>
      <c r="AL150" s="12" t="s">
        <v>392</v>
      </c>
    </row>
    <row r="151" spans="1:38" ht="12.75">
      <c r="A151" s="10">
        <f ca="1">IFERROR(__xludf.DUMMYFUNCTION("""COMPUTED_VALUE"""),43353.5491590162)</f>
        <v>43353.549159016198</v>
      </c>
      <c r="B151" s="11" t="str">
        <f ca="1">IFERROR(__xludf.DUMMYFUNCTION("""COMPUTED_VALUE"""),"Pamela Marcum")</f>
        <v>Pamela Marcum</v>
      </c>
      <c r="C151" t="str">
        <f ca="1">IFERROR(__xludf.DUMMYFUNCTION("""COMPUTED_VALUE"""),"Pamela.Marcum@dep.state.fl.us")</f>
        <v>Pamela.Marcum@dep.state.fl.us</v>
      </c>
      <c r="D151" t="str">
        <f ca="1">IFERROR(__xludf.DUMMYFUNCTION("""COMPUTED_VALUE"""),"Research/Nikki")</f>
        <v>Research/Nikki</v>
      </c>
      <c r="E151" t="str">
        <f ca="1">IFERROR(__xludf.DUMMYFUNCTION("""COMPUTED_VALUE"""),"Green Rd")</f>
        <v>Green Rd</v>
      </c>
      <c r="F151" s="13">
        <f ca="1">IFERROR(__xludf.DUMMYFUNCTION("""COMPUTED_VALUE"""),0.58333333333212)</f>
        <v>0.58333333333212001</v>
      </c>
      <c r="G151" s="14">
        <f ca="1">IFERROR(__xludf.DUMMYFUNCTION("""COMPUTED_VALUE"""),43353)</f>
        <v>43353</v>
      </c>
      <c r="H151" t="str">
        <f ca="1">IFERROR(__xludf.DUMMYFUNCTION("""COMPUTED_VALUE"""),"Devil's Elbow")</f>
        <v>Devil's Elbow</v>
      </c>
      <c r="I151" s="15">
        <f ca="1">IFERROR(__xludf.DUMMYFUNCTION("""COMPUTED_VALUE"""),0.75)</f>
        <v>0.75</v>
      </c>
      <c r="J151" s="16">
        <f ca="1">IFERROR(__xludf.DUMMYFUNCTION("""COMPUTED_VALUE"""),43353.7916666666)</f>
        <v>43353.791666666599</v>
      </c>
      <c r="K151" t="str">
        <f ca="1">IFERROR(__xludf.DUMMYFUNCTION("""COMPUTED_VALUE"""),"23ft Skiff (Bertha) FL7972LJ DEP07613")</f>
        <v>23ft Skiff (Bertha) FL7972LJ DEP07613</v>
      </c>
      <c r="M151" t="str">
        <f ca="1">IFERROR(__xludf.DUMMYFUNCTION("""COMPUTED_VALUE"""),"Ford F250 2017 (Moby Dix) - DEP0021578")</f>
        <v>Ford F250 2017 (Moby Dix) - DEP0021578</v>
      </c>
      <c r="N151" t="str">
        <f ca="1">IFERROR(__xludf.DUMMYFUNCTION("""COMPUTED_VALUE"""),"Pam Marcum, (480) 332-5414, Ben Mowbray, (407) 962-8782")</f>
        <v>Pam Marcum, (480) 332-5414, Ben Mowbray, (407) 962-8782</v>
      </c>
      <c r="O151" t="str">
        <f ca="1">IFERROR(__xludf.DUMMYFUNCTION("""COMPUTED_VALUE"""),"Alicia Bishop, Stephen Durham, Cheryl Clark")</f>
        <v>Alicia Bishop, Stephen Durham, Cheryl Clark</v>
      </c>
      <c r="P151" t="str">
        <f ca="1">IFERROR(__xludf.DUMMYFUNCTION("""COMPUTED_VALUE"""),"Pam Marcum")</f>
        <v>Pam Marcum</v>
      </c>
      <c r="Q151" t="str">
        <f ca="1">IFERROR(__xludf.DUMMYFUNCTION("""COMPUTED_VALUE"""),"Good")</f>
        <v>Good</v>
      </c>
      <c r="R151" t="str">
        <f ca="1">IFERROR(__xludf.DUMMYFUNCTION("""COMPUTED_VALUE"""),"Good")</f>
        <v>Good</v>
      </c>
      <c r="S151" t="str">
        <f ca="1">IFERROR(__xludf.DUMMYFUNCTION("""COMPUTED_VALUE"""),"Good")</f>
        <v>Good</v>
      </c>
      <c r="T151" t="str">
        <f ca="1">IFERROR(__xludf.DUMMYFUNCTION("""COMPUTED_VALUE"""),"Good")</f>
        <v>Good</v>
      </c>
      <c r="U151" t="str">
        <f ca="1">IFERROR(__xludf.DUMMYFUNCTION("""COMPUTED_VALUE"""),"Good")</f>
        <v>Good</v>
      </c>
      <c r="V151" t="str">
        <f ca="1">IFERROR(__xludf.DUMMYFUNCTION("""COMPUTED_VALUE"""),"Good")</f>
        <v>Good</v>
      </c>
      <c r="W151" t="str">
        <f ca="1">IFERROR(__xludf.DUMMYFUNCTION("""COMPUTED_VALUE"""),"Good")</f>
        <v>Good</v>
      </c>
      <c r="X151" t="str">
        <f ca="1">IFERROR(__xludf.DUMMYFUNCTION("""COMPUTED_VALUE"""),"Good")</f>
        <v>Good</v>
      </c>
      <c r="Y151" t="str">
        <f ca="1">IFERROR(__xludf.DUMMYFUNCTION("""COMPUTED_VALUE"""),"Good")</f>
        <v>Good</v>
      </c>
      <c r="Z151" t="str">
        <f ca="1">IFERROR(__xludf.DUMMYFUNCTION("""COMPUTED_VALUE"""),"Good")</f>
        <v>Good</v>
      </c>
      <c r="AA151" t="str">
        <f ca="1">IFERROR(__xludf.DUMMYFUNCTION("""COMPUTED_VALUE"""),"Good")</f>
        <v>Good</v>
      </c>
      <c r="AB151" t="str">
        <f ca="1">IFERROR(__xludf.DUMMYFUNCTION("""COMPUTED_VALUE"""),"Good")</f>
        <v>Good</v>
      </c>
      <c r="AC151" t="str">
        <f ca="1">IFERROR(__xludf.DUMMYFUNCTION("""COMPUTED_VALUE"""),"Good")</f>
        <v>Good</v>
      </c>
      <c r="AE151" s="11"/>
      <c r="AF151" t="str">
        <v>Nikki.Dix@floridadep.gov</v>
      </c>
      <c r="AG151" s="17" t="s">
        <v>41</v>
      </c>
      <c r="AH151" s="12">
        <v>1930</v>
      </c>
      <c r="AI151" s="12" t="s">
        <v>393</v>
      </c>
      <c r="AJ151" s="19" t="s">
        <v>394</v>
      </c>
      <c r="AK151" s="20" t="str">
        <f>HYPERLINK("https://docs.google.com/document/d/1o5u6URG4eEL0bZO7Pcc_tA0H2uas6Y_qmD-HJgPbqg4/edit?usp=drivesdk","Pamela Marcum - 9/10/2018 2:00 PM")</f>
        <v>Pamela Marcum - 9/10/2018 2:00 PM</v>
      </c>
      <c r="AL151" s="12" t="s">
        <v>395</v>
      </c>
    </row>
    <row r="152" spans="1:38" ht="12.75">
      <c r="A152" s="10">
        <f ca="1">IFERROR(__xludf.DUMMYFUNCTION("""COMPUTED_VALUE"""),43354.2696505439)</f>
        <v>43354.269650543902</v>
      </c>
      <c r="B152" s="11" t="str">
        <f ca="1">IFERROR(__xludf.DUMMYFUNCTION("""COMPUTED_VALUE"""),"Pam Marcum")</f>
        <v>Pam Marcum</v>
      </c>
      <c r="C152" t="str">
        <f ca="1">IFERROR(__xludf.DUMMYFUNCTION("""COMPUTED_VALUE"""),"Pamela.Marcum@de.state.fl.us")</f>
        <v>Pamela.Marcum@de.state.fl.us</v>
      </c>
      <c r="D152" t="str">
        <f ca="1">IFERROR(__xludf.DUMMYFUNCTION("""COMPUTED_VALUE"""),"Research/Nikki")</f>
        <v>Research/Nikki</v>
      </c>
      <c r="E152" t="str">
        <f ca="1">IFERROR(__xludf.DUMMYFUNCTION("""COMPUTED_VALUE"""),"Faver-Dykes")</f>
        <v>Faver-Dykes</v>
      </c>
      <c r="F152" s="13">
        <f ca="1">IFERROR(__xludf.DUMMYFUNCTION("""COMPUTED_VALUE"""),0.28125)</f>
        <v>0.28125</v>
      </c>
      <c r="G152" s="14">
        <f ca="1">IFERROR(__xludf.DUMMYFUNCTION("""COMPUTED_VALUE"""),43354)</f>
        <v>43354</v>
      </c>
      <c r="H152" t="str">
        <f ca="1">IFERROR(__xludf.DUMMYFUNCTION("""COMPUTED_VALUE"""),"Pellicer Flats")</f>
        <v>Pellicer Flats</v>
      </c>
      <c r="I152" s="15">
        <f ca="1">IFERROR(__xludf.DUMMYFUNCTION("""COMPUTED_VALUE"""),0.354166666667879)</f>
        <v>0.35416666666787899</v>
      </c>
      <c r="J152" s="16">
        <f ca="1">IFERROR(__xludf.DUMMYFUNCTION("""COMPUTED_VALUE"""),43354.4166666666)</f>
        <v>43354.416666666599</v>
      </c>
      <c r="K152" t="str">
        <f ca="1">IFERROR(__xludf.DUMMYFUNCTION("""COMPUTED_VALUE"""),"23ft Skiff (Bertha) FL7972LJ DEP07613")</f>
        <v>23ft Skiff (Bertha) FL7972LJ DEP07613</v>
      </c>
      <c r="M152" t="str">
        <f ca="1">IFERROR(__xludf.DUMMYFUNCTION("""COMPUTED_VALUE"""),"Ford F250 2017 (Moby Dix) - DEP0021578")</f>
        <v>Ford F250 2017 (Moby Dix) - DEP0021578</v>
      </c>
      <c r="N152" t="str">
        <f ca="1">IFERROR(__xludf.DUMMYFUNCTION("""COMPUTED_VALUE"""),"Pam Marcum, (480) 332-5414")</f>
        <v>Pam Marcum, (480) 332-5414</v>
      </c>
      <c r="O152" t="str">
        <f ca="1">IFERROR(__xludf.DUMMYFUNCTION("""COMPUTED_VALUE"""),"Cheryl Clark, Steve Durham")</f>
        <v>Cheryl Clark, Steve Durham</v>
      </c>
      <c r="P152" t="str">
        <f ca="1">IFERROR(__xludf.DUMMYFUNCTION("""COMPUTED_VALUE"""),"Pam")</f>
        <v>Pam</v>
      </c>
      <c r="Q152" t="str">
        <f ca="1">IFERROR(__xludf.DUMMYFUNCTION("""COMPUTED_VALUE"""),"Good")</f>
        <v>Good</v>
      </c>
      <c r="R152" t="str">
        <f ca="1">IFERROR(__xludf.DUMMYFUNCTION("""COMPUTED_VALUE"""),"Good")</f>
        <v>Good</v>
      </c>
      <c r="S152" t="str">
        <f ca="1">IFERROR(__xludf.DUMMYFUNCTION("""COMPUTED_VALUE"""),"Good")</f>
        <v>Good</v>
      </c>
      <c r="T152" t="str">
        <f ca="1">IFERROR(__xludf.DUMMYFUNCTION("""COMPUTED_VALUE"""),"Good")</f>
        <v>Good</v>
      </c>
      <c r="U152" t="str">
        <f ca="1">IFERROR(__xludf.DUMMYFUNCTION("""COMPUTED_VALUE"""),"Good")</f>
        <v>Good</v>
      </c>
      <c r="V152" t="str">
        <f ca="1">IFERROR(__xludf.DUMMYFUNCTION("""COMPUTED_VALUE"""),"Good")</f>
        <v>Good</v>
      </c>
      <c r="W152" t="str">
        <f ca="1">IFERROR(__xludf.DUMMYFUNCTION("""COMPUTED_VALUE"""),"Good")</f>
        <v>Good</v>
      </c>
      <c r="X152" t="str">
        <f ca="1">IFERROR(__xludf.DUMMYFUNCTION("""COMPUTED_VALUE"""),"Good")</f>
        <v>Good</v>
      </c>
      <c r="Y152" t="str">
        <f ca="1">IFERROR(__xludf.DUMMYFUNCTION("""COMPUTED_VALUE"""),"Good")</f>
        <v>Good</v>
      </c>
      <c r="Z152" t="str">
        <f ca="1">IFERROR(__xludf.DUMMYFUNCTION("""COMPUTED_VALUE"""),"Good")</f>
        <v>Good</v>
      </c>
      <c r="AA152" t="str">
        <f ca="1">IFERROR(__xludf.DUMMYFUNCTION("""COMPUTED_VALUE"""),"Good")</f>
        <v>Good</v>
      </c>
      <c r="AB152" t="str">
        <f ca="1">IFERROR(__xludf.DUMMYFUNCTION("""COMPUTED_VALUE"""),"Good")</f>
        <v>Good</v>
      </c>
      <c r="AC152" t="str">
        <f ca="1">IFERROR(__xludf.DUMMYFUNCTION("""COMPUTED_VALUE"""),"Good")</f>
        <v>Good</v>
      </c>
      <c r="AE152" s="11"/>
      <c r="AF152" t="str">
        <v>Nikki.Dix@floridadep.gov</v>
      </c>
      <c r="AG152" s="17" t="s">
        <v>17</v>
      </c>
      <c r="AH152" s="12">
        <v>850</v>
      </c>
      <c r="AI152" s="12" t="s">
        <v>396</v>
      </c>
      <c r="AJ152" s="19" t="s">
        <v>397</v>
      </c>
      <c r="AK152" s="20" t="str">
        <f>HYPERLINK("https://docs.google.com/document/d/13cBA5zcD8QJszQ_sgnLYt3r_hQFmNxCM9ctlDrF2yaI/edit?usp=drivesdk","Pam Marcum - 9/11/2018 6:45 AM")</f>
        <v>Pam Marcum - 9/11/2018 6:45 AM</v>
      </c>
      <c r="AL152" s="12" t="s">
        <v>398</v>
      </c>
    </row>
    <row r="153" spans="1:38" ht="12.75">
      <c r="A153" s="10">
        <f ca="1">IFERROR(__xludf.DUMMYFUNCTION("""COMPUTED_VALUE"""),43354.4597662615)</f>
        <v>43354.459766261498</v>
      </c>
      <c r="B153" s="11" t="str">
        <f ca="1">IFERROR(__xludf.DUMMYFUNCTION("""COMPUTED_VALUE"""),"Shannon Dunnigan")</f>
        <v>Shannon Dunnigan</v>
      </c>
      <c r="C153" t="str">
        <f ca="1">IFERROR(__xludf.DUMMYFUNCTION("""COMPUTED_VALUE"""),"shannon.dunnigan@floridadep.gov")</f>
        <v>shannon.dunnigan@floridadep.gov</v>
      </c>
      <c r="D153" t="str">
        <f ca="1">IFERROR(__xludf.DUMMYFUNCTION("""COMPUTED_VALUE"""),"Research/Nikki")</f>
        <v>Research/Nikki</v>
      </c>
      <c r="E153" t="str">
        <f ca="1">IFERROR(__xludf.DUMMYFUNCTION("""COMPUTED_VALUE"""),"Bings")</f>
        <v>Bings</v>
      </c>
      <c r="F153" s="13">
        <f ca="1">IFERROR(__xludf.DUMMYFUNCTION("""COMPUTED_VALUE"""),0.48958333333212)</f>
        <v>0.48958333333212001</v>
      </c>
      <c r="G153" s="14">
        <f ca="1">IFERROR(__xludf.DUMMYFUNCTION("""COMPUTED_VALUE"""),43355)</f>
        <v>43355</v>
      </c>
      <c r="H153" t="str">
        <f ca="1">IFERROR(__xludf.DUMMYFUNCTION("""COMPUTED_VALUE"""),"ICW FM")</f>
        <v>ICW FM</v>
      </c>
      <c r="I153" s="15">
        <f ca="1">IFERROR(__xludf.DUMMYFUNCTION("""COMPUTED_VALUE"""),0.625)</f>
        <v>0.625</v>
      </c>
      <c r="J153" s="16">
        <f ca="1">IFERROR(__xludf.DUMMYFUNCTION("""COMPUTED_VALUE"""),43355.6875)</f>
        <v>43355.6875</v>
      </c>
      <c r="K153" t="str">
        <f ca="1">IFERROR(__xludf.DUMMYFUNCTION("""COMPUTED_VALUE"""),"20ft Sea Ark FL5351SJ UNF 2015")</f>
        <v>20ft Sea Ark FL5351SJ UNF 2015</v>
      </c>
      <c r="M153" t="str">
        <f ca="1">IFERROR(__xludf.DUMMYFUNCTION("""COMPUTED_VALUE"""),"Ford F150 2015 (White) - DEP21448")</f>
        <v>Ford F150 2015 (White) - DEP21448</v>
      </c>
      <c r="N153" t="str">
        <f ca="1">IFERROR(__xludf.DUMMYFUNCTION("""COMPUTED_VALUE"""),"Shannon Dunnigan, (803) 727-5734")</f>
        <v>Shannon Dunnigan, (803) 727-5734</v>
      </c>
      <c r="O153" t="str">
        <f ca="1">IFERROR(__xludf.DUMMYFUNCTION("""COMPUTED_VALUE"""),"Jessica Lee, Hunter Mathews, Westly Woodward")</f>
        <v>Jessica Lee, Hunter Mathews, Westly Woodward</v>
      </c>
      <c r="P153" t="str">
        <f ca="1">IFERROR(__xludf.DUMMYFUNCTION("""COMPUTED_VALUE"""),"shannon")</f>
        <v>shannon</v>
      </c>
      <c r="Q153" t="str">
        <f ca="1">IFERROR(__xludf.DUMMYFUNCTION("""COMPUTED_VALUE"""),"Good")</f>
        <v>Good</v>
      </c>
      <c r="R153" t="str">
        <f ca="1">IFERROR(__xludf.DUMMYFUNCTION("""COMPUTED_VALUE"""),"Good")</f>
        <v>Good</v>
      </c>
      <c r="S153" t="str">
        <f ca="1">IFERROR(__xludf.DUMMYFUNCTION("""COMPUTED_VALUE"""),"Good")</f>
        <v>Good</v>
      </c>
      <c r="T153" t="str">
        <f ca="1">IFERROR(__xludf.DUMMYFUNCTION("""COMPUTED_VALUE"""),"Good")</f>
        <v>Good</v>
      </c>
      <c r="U153" t="str">
        <f ca="1">IFERROR(__xludf.DUMMYFUNCTION("""COMPUTED_VALUE"""),"Good")</f>
        <v>Good</v>
      </c>
      <c r="V153" t="str">
        <f ca="1">IFERROR(__xludf.DUMMYFUNCTION("""COMPUTED_VALUE"""),"Good")</f>
        <v>Good</v>
      </c>
      <c r="W153" t="str">
        <f ca="1">IFERROR(__xludf.DUMMYFUNCTION("""COMPUTED_VALUE"""),"Good")</f>
        <v>Good</v>
      </c>
      <c r="X153" t="str">
        <f ca="1">IFERROR(__xludf.DUMMYFUNCTION("""COMPUTED_VALUE"""),"Good")</f>
        <v>Good</v>
      </c>
      <c r="Y153" t="str">
        <f ca="1">IFERROR(__xludf.DUMMYFUNCTION("""COMPUTED_VALUE"""),"Good")</f>
        <v>Good</v>
      </c>
      <c r="Z153" t="str">
        <f ca="1">IFERROR(__xludf.DUMMYFUNCTION("""COMPUTED_VALUE"""),"Good")</f>
        <v>Good</v>
      </c>
      <c r="AA153" t="str">
        <f ca="1">IFERROR(__xludf.DUMMYFUNCTION("""COMPUTED_VALUE"""),"Good")</f>
        <v>Good</v>
      </c>
      <c r="AB153" t="str">
        <f ca="1">IFERROR(__xludf.DUMMYFUNCTION("""COMPUTED_VALUE"""),"Good")</f>
        <v>Good</v>
      </c>
      <c r="AC153" t="str">
        <f ca="1">IFERROR(__xludf.DUMMYFUNCTION("""COMPUTED_VALUE"""),"Good")</f>
        <v>Good</v>
      </c>
      <c r="AE153" s="11"/>
      <c r="AF153" t="str">
        <v>Nikki.Dix@floridadep.gov</v>
      </c>
      <c r="AG153" s="17" t="s">
        <v>17</v>
      </c>
      <c r="AH153" s="12">
        <v>1504</v>
      </c>
      <c r="AI153" s="12" t="s">
        <v>399</v>
      </c>
      <c r="AJ153" s="19" t="s">
        <v>400</v>
      </c>
      <c r="AK153" s="20" t="str">
        <f>HYPERLINK("https://docs.google.com/document/d/1LQqlIwHGCF52aRRtJim0ILCgeeS8U4NH2xgD9iHPfTc/edit?usp=drivesdk","Shannon Dunnigan - 9/12/2018 11:45 AM")</f>
        <v>Shannon Dunnigan - 9/12/2018 11:45 AM</v>
      </c>
      <c r="AL153" s="12" t="s">
        <v>401</v>
      </c>
    </row>
    <row r="154" spans="1:38" ht="12.75">
      <c r="A154" s="10">
        <f ca="1">IFERROR(__xludf.DUMMYFUNCTION("""COMPUTED_VALUE"""),43354.4946999768)</f>
        <v>43354.4946999768</v>
      </c>
      <c r="B154" s="11" t="str">
        <f ca="1">IFERROR(__xludf.DUMMYFUNCTION("""COMPUTED_VALUE"""),"Ben Mowbray")</f>
        <v>Ben Mowbray</v>
      </c>
      <c r="C154" t="str">
        <f ca="1">IFERROR(__xludf.DUMMYFUNCTION("""COMPUTED_VALUE"""),"ben.mowbray@dep.state.fl.us")</f>
        <v>ben.mowbray@dep.state.fl.us</v>
      </c>
      <c r="D154" t="str">
        <f ca="1">IFERROR(__xludf.DUMMYFUNCTION("""COMPUTED_VALUE"""),"Research/Pam")</f>
        <v>Research/Pam</v>
      </c>
      <c r="E154" t="str">
        <f ca="1">IFERROR(__xludf.DUMMYFUNCTION("""COMPUTED_VALUE"""),"Shore Dr.")</f>
        <v>Shore Dr.</v>
      </c>
      <c r="F154" s="13">
        <f ca="1">IFERROR(__xludf.DUMMYFUNCTION("""COMPUTED_VALUE"""),0.39583333333212)</f>
        <v>0.39583333333212001</v>
      </c>
      <c r="G154" s="14">
        <f ca="1">IFERROR(__xludf.DUMMYFUNCTION("""COMPUTED_VALUE"""),43354)</f>
        <v>43354</v>
      </c>
      <c r="H154" t="str">
        <f ca="1">IFERROR(__xludf.DUMMYFUNCTION("""COMPUTED_VALUE"""),"Gabby's Creek")</f>
        <v>Gabby's Creek</v>
      </c>
      <c r="I154" s="15">
        <f ca="1">IFERROR(__xludf.DUMMYFUNCTION("""COMPUTED_VALUE"""),0.604166666667879)</f>
        <v>0.60416666666787899</v>
      </c>
      <c r="J154" s="16">
        <f ca="1">IFERROR(__xludf.DUMMYFUNCTION("""COMPUTED_VALUE"""),43354.6458333333)</f>
        <v>43354.645833333299</v>
      </c>
      <c r="K154" t="str">
        <f ca="1">IFERROR(__xludf.DUMMYFUNCTION("""COMPUTED_VALUE"""),"20ft Sea Ark FL5351SJ UNF 2015")</f>
        <v>20ft Sea Ark FL5351SJ UNF 2015</v>
      </c>
      <c r="M154" t="str">
        <f ca="1">IFERROR(__xludf.DUMMYFUNCTION("""COMPUTED_VALUE"""),"Ford F150 2015 (White) - DEP21448")</f>
        <v>Ford F150 2015 (White) - DEP21448</v>
      </c>
      <c r="N154" t="str">
        <f ca="1">IFERROR(__xludf.DUMMYFUNCTION("""COMPUTED_VALUE"""),"Ben Mowbray, (407) 962-8782")</f>
        <v>Ben Mowbray, (407) 962-8782</v>
      </c>
      <c r="O154" t="str">
        <f ca="1">IFERROR(__xludf.DUMMYFUNCTION("""COMPUTED_VALUE"""),"Gabriela Canas, (904) 891-9743, Mike Dickson")</f>
        <v>Gabriela Canas, (904) 891-9743, Mike Dickson</v>
      </c>
      <c r="P154" t="str">
        <f ca="1">IFERROR(__xludf.DUMMYFUNCTION("""COMPUTED_VALUE"""),"Ben")</f>
        <v>Ben</v>
      </c>
      <c r="Q154" t="str">
        <f ca="1">IFERROR(__xludf.DUMMYFUNCTION("""COMPUTED_VALUE"""),"Good")</f>
        <v>Good</v>
      </c>
      <c r="R154" t="str">
        <f ca="1">IFERROR(__xludf.DUMMYFUNCTION("""COMPUTED_VALUE"""),"Good")</f>
        <v>Good</v>
      </c>
      <c r="S154" t="str">
        <f ca="1">IFERROR(__xludf.DUMMYFUNCTION("""COMPUTED_VALUE"""),"Good")</f>
        <v>Good</v>
      </c>
      <c r="T154" t="str">
        <f ca="1">IFERROR(__xludf.DUMMYFUNCTION("""COMPUTED_VALUE"""),"Good")</f>
        <v>Good</v>
      </c>
      <c r="U154" t="str">
        <f ca="1">IFERROR(__xludf.DUMMYFUNCTION("""COMPUTED_VALUE"""),"Good")</f>
        <v>Good</v>
      </c>
      <c r="V154" t="str">
        <f ca="1">IFERROR(__xludf.DUMMYFUNCTION("""COMPUTED_VALUE"""),"Good")</f>
        <v>Good</v>
      </c>
      <c r="W154" t="str">
        <f ca="1">IFERROR(__xludf.DUMMYFUNCTION("""COMPUTED_VALUE"""),"Good")</f>
        <v>Good</v>
      </c>
      <c r="X154" t="str">
        <f ca="1">IFERROR(__xludf.DUMMYFUNCTION("""COMPUTED_VALUE"""),"Good")</f>
        <v>Good</v>
      </c>
      <c r="Y154" t="str">
        <f ca="1">IFERROR(__xludf.DUMMYFUNCTION("""COMPUTED_VALUE"""),"Good")</f>
        <v>Good</v>
      </c>
      <c r="Z154" t="str">
        <f ca="1">IFERROR(__xludf.DUMMYFUNCTION("""COMPUTED_VALUE"""),"Good")</f>
        <v>Good</v>
      </c>
      <c r="AA154" t="str">
        <f ca="1">IFERROR(__xludf.DUMMYFUNCTION("""COMPUTED_VALUE"""),"Good")</f>
        <v>Good</v>
      </c>
      <c r="AB154" t="str">
        <f ca="1">IFERROR(__xludf.DUMMYFUNCTION("""COMPUTED_VALUE"""),"Good")</f>
        <v>Good</v>
      </c>
      <c r="AC154" t="str">
        <f ca="1">IFERROR(__xludf.DUMMYFUNCTION("""COMPUTED_VALUE"""),"Good")</f>
        <v>Good</v>
      </c>
      <c r="AE154" s="11"/>
      <c r="AF154" t="str">
        <v>Pamela.Marcum@floridadep.gov</v>
      </c>
      <c r="AG154" s="17" t="s">
        <v>17</v>
      </c>
      <c r="AH154" s="12">
        <v>1400</v>
      </c>
      <c r="AI154" s="12" t="s">
        <v>402</v>
      </c>
      <c r="AJ154" s="19" t="s">
        <v>403</v>
      </c>
      <c r="AK154" s="20" t="str">
        <f>HYPERLINK("https://docs.google.com/document/d/19gtAry6vLFmaQvsDWVMoI53O_6Z53p6xfjK01wQTQ_Y/edit?usp=drivesdk","Ben Mowbray - 9/11/2018 9:30 AM")</f>
        <v>Ben Mowbray - 9/11/2018 9:30 AM</v>
      </c>
      <c r="AL154" s="12" t="s">
        <v>404</v>
      </c>
    </row>
    <row r="155" spans="1:38" ht="12.75">
      <c r="A155" s="10">
        <f ca="1">IFERROR(__xludf.DUMMYFUNCTION("""COMPUTED_VALUE"""),43354.503103831)</f>
        <v>43354.503103830997</v>
      </c>
      <c r="B155" s="11" t="str">
        <f ca="1">IFERROR(__xludf.DUMMYFUNCTION("""COMPUTED_VALUE"""),"Pam Marcum")</f>
        <v>Pam Marcum</v>
      </c>
      <c r="C155" t="str">
        <f ca="1">IFERROR(__xludf.DUMMYFUNCTION("""COMPUTED_VALUE"""),"Pamela.Marcum@dep.state.fl.us")</f>
        <v>Pamela.Marcum@dep.state.fl.us</v>
      </c>
      <c r="D155" t="str">
        <f ca="1">IFERROR(__xludf.DUMMYFUNCTION("""COMPUTED_VALUE"""),"Research/Nikki")</f>
        <v>Research/Nikki</v>
      </c>
      <c r="E155" t="str">
        <f ca="1">IFERROR(__xludf.DUMMYFUNCTION("""COMPUTED_VALUE"""),"Aunt Kate's")</f>
        <v>Aunt Kate's</v>
      </c>
      <c r="F155" s="13">
        <f ca="1">IFERROR(__xludf.DUMMYFUNCTION("""COMPUTED_VALUE"""),0.58333333333212)</f>
        <v>0.58333333333212001</v>
      </c>
      <c r="G155" s="14">
        <f ca="1">IFERROR(__xludf.DUMMYFUNCTION("""COMPUTED_VALUE"""),43354)</f>
        <v>43354</v>
      </c>
      <c r="H155" t="str">
        <f ca="1">IFERROR(__xludf.DUMMYFUNCTION("""COMPUTED_VALUE"""),"Guana River")</f>
        <v>Guana River</v>
      </c>
      <c r="I155" s="15">
        <f ca="1">IFERROR(__xludf.DUMMYFUNCTION("""COMPUTED_VALUE"""),0.83333333333212)</f>
        <v>0.83333333333212001</v>
      </c>
      <c r="J155" s="16">
        <f ca="1">IFERROR(__xludf.DUMMYFUNCTION("""COMPUTED_VALUE"""),43354.8541666666)</f>
        <v>43354.854166666599</v>
      </c>
      <c r="K155" t="str">
        <f ca="1">IFERROR(__xludf.DUMMYFUNCTION("""COMPUTED_VALUE"""),"23ft Skiff (Bertha) FL7972LJ DEP07613")</f>
        <v>23ft Skiff (Bertha) FL7972LJ DEP07613</v>
      </c>
      <c r="M155" t="str">
        <f ca="1">IFERROR(__xludf.DUMMYFUNCTION("""COMPUTED_VALUE"""),"Ford F250 2017 (Moby Dix) - DEP0021578")</f>
        <v>Ford F250 2017 (Moby Dix) - DEP0021578</v>
      </c>
      <c r="N155" t="str">
        <f ca="1">IFERROR(__xludf.DUMMYFUNCTION("""COMPUTED_VALUE"""),"Nikki Dix, (352) 219-4079, Pam Marcum, (480) 332-5414, Cheryl Clark, Remo Mondazzi")</f>
        <v>Nikki Dix, (352) 219-4079, Pam Marcum, (480) 332-5414, Cheryl Clark, Remo Mondazzi</v>
      </c>
      <c r="O155" t="str">
        <f ca="1">IFERROR(__xludf.DUMMYFUNCTION("""COMPUTED_VALUE"""),"Steve Durham, Greg Dietl")</f>
        <v>Steve Durham, Greg Dietl</v>
      </c>
      <c r="P155" t="str">
        <f ca="1">IFERROR(__xludf.DUMMYFUNCTION("""COMPUTED_VALUE"""),"Pam")</f>
        <v>Pam</v>
      </c>
      <c r="Q155" t="str">
        <f ca="1">IFERROR(__xludf.DUMMYFUNCTION("""COMPUTED_VALUE"""),"Good")</f>
        <v>Good</v>
      </c>
      <c r="R155" t="str">
        <f ca="1">IFERROR(__xludf.DUMMYFUNCTION("""COMPUTED_VALUE"""),"Good")</f>
        <v>Good</v>
      </c>
      <c r="S155" t="str">
        <f ca="1">IFERROR(__xludf.DUMMYFUNCTION("""COMPUTED_VALUE"""),"Good")</f>
        <v>Good</v>
      </c>
      <c r="T155" t="str">
        <f ca="1">IFERROR(__xludf.DUMMYFUNCTION("""COMPUTED_VALUE"""),"Good")</f>
        <v>Good</v>
      </c>
      <c r="U155" t="str">
        <f ca="1">IFERROR(__xludf.DUMMYFUNCTION("""COMPUTED_VALUE"""),"Good")</f>
        <v>Good</v>
      </c>
      <c r="V155" t="str">
        <f ca="1">IFERROR(__xludf.DUMMYFUNCTION("""COMPUTED_VALUE"""),"Good")</f>
        <v>Good</v>
      </c>
      <c r="W155" t="str">
        <f ca="1">IFERROR(__xludf.DUMMYFUNCTION("""COMPUTED_VALUE"""),"Good")</f>
        <v>Good</v>
      </c>
      <c r="X155" t="str">
        <f ca="1">IFERROR(__xludf.DUMMYFUNCTION("""COMPUTED_VALUE"""),"Good")</f>
        <v>Good</v>
      </c>
      <c r="Y155" t="str">
        <f ca="1">IFERROR(__xludf.DUMMYFUNCTION("""COMPUTED_VALUE"""),"Good")</f>
        <v>Good</v>
      </c>
      <c r="Z155" t="str">
        <f ca="1">IFERROR(__xludf.DUMMYFUNCTION("""COMPUTED_VALUE"""),"Good")</f>
        <v>Good</v>
      </c>
      <c r="AA155" t="str">
        <f ca="1">IFERROR(__xludf.DUMMYFUNCTION("""COMPUTED_VALUE"""),"Good")</f>
        <v>Good</v>
      </c>
      <c r="AB155" t="str">
        <f ca="1">IFERROR(__xludf.DUMMYFUNCTION("""COMPUTED_VALUE"""),"Good")</f>
        <v>Good</v>
      </c>
      <c r="AC155" t="str">
        <f ca="1">IFERROR(__xludf.DUMMYFUNCTION("""COMPUTED_VALUE"""),"Good")</f>
        <v>Good</v>
      </c>
      <c r="AE155" s="11"/>
      <c r="AF155" t="str">
        <v>Nikki.Dix@floridadep.gov</v>
      </c>
      <c r="AG155" s="17" t="s">
        <v>41</v>
      </c>
      <c r="AH155" s="12">
        <v>1940</v>
      </c>
      <c r="AI155" s="12" t="s">
        <v>405</v>
      </c>
      <c r="AJ155" s="19" t="s">
        <v>406</v>
      </c>
      <c r="AK155" s="20" t="str">
        <f>HYPERLINK("https://docs.google.com/document/d/1cwjqEBUaX4TZ2uiNweLlEFnrIqkIxDij-KCrl3jgdSs/edit?usp=drivesdk","Pam Marcum - 9/11/2018 2:00 PM")</f>
        <v>Pam Marcum - 9/11/2018 2:00 PM</v>
      </c>
      <c r="AL155" s="12" t="s">
        <v>407</v>
      </c>
    </row>
    <row r="156" spans="1:38" ht="12.75">
      <c r="A156" s="10">
        <f ca="1">IFERROR(__xludf.DUMMYFUNCTION("""COMPUTED_VALUE"""),43355.3420630555)</f>
        <v>43355.342063055497</v>
      </c>
      <c r="B156" s="11" t="str">
        <f ca="1">IFERROR(__xludf.DUMMYFUNCTION("""COMPUTED_VALUE"""),"Silas Tanner")</f>
        <v>Silas Tanner</v>
      </c>
      <c r="C156" t="str">
        <f ca="1">IFERROR(__xludf.DUMMYFUNCTION("""COMPUTED_VALUE"""),"silas.tanner@floridadep.gov")</f>
        <v>silas.tanner@floridadep.gov</v>
      </c>
      <c r="D156" t="str">
        <f ca="1">IFERROR(__xludf.DUMMYFUNCTION("""COMPUTED_VALUE"""),"Research/Nikki")</f>
        <v>Research/Nikki</v>
      </c>
      <c r="E156" t="str">
        <f ca="1">IFERROR(__xludf.DUMMYFUNCTION("""COMPUTED_VALUE"""),"Vilano County ramp")</f>
        <v>Vilano County ramp</v>
      </c>
      <c r="F156" s="13">
        <f ca="1">IFERROR(__xludf.DUMMYFUNCTION("""COMPUTED_VALUE"""),0.42708333333212)</f>
        <v>0.42708333333212001</v>
      </c>
      <c r="G156" s="14">
        <f ca="1">IFERROR(__xludf.DUMMYFUNCTION("""COMPUTED_VALUE"""),43355)</f>
        <v>43355</v>
      </c>
      <c r="H156" t="str">
        <f ca="1">IFERROR(__xludf.DUMMYFUNCTION("""COMPUTED_VALUE"""),"ICW SWMP sites - Pine Island and San Sebastian")</f>
        <v>ICW SWMP sites - Pine Island and San Sebastian</v>
      </c>
      <c r="I156" s="15">
        <f ca="1">IFERROR(__xludf.DUMMYFUNCTION("""COMPUTED_VALUE"""),0.572916666667879)</f>
        <v>0.57291666666787899</v>
      </c>
      <c r="J156" s="16">
        <f ca="1">IFERROR(__xludf.DUMMYFUNCTION("""COMPUTED_VALUE"""),43355.59375)</f>
        <v>43355.59375</v>
      </c>
      <c r="K156" t="str">
        <f ca="1">IFERROR(__xludf.DUMMYFUNCTION("""COMPUTED_VALUE"""),"23ft Skiff (Bertha) FL7972LJ DEP07613")</f>
        <v>23ft Skiff (Bertha) FL7972LJ DEP07613</v>
      </c>
      <c r="M156" t="str">
        <f ca="1">IFERROR(__xludf.DUMMYFUNCTION("""COMPUTED_VALUE"""),"Ford F250 2017 (Moby Dix) - DEP0021578")</f>
        <v>Ford F250 2017 (Moby Dix) - DEP0021578</v>
      </c>
      <c r="N156" t="str">
        <f ca="1">IFERROR(__xludf.DUMMYFUNCTION("""COMPUTED_VALUE"""),"Silas Tanner, (904) 483-8423")</f>
        <v>Silas Tanner, (904) 483-8423</v>
      </c>
      <c r="O156" t="str">
        <f ca="1">IFERROR(__xludf.DUMMYFUNCTION("""COMPUTED_VALUE"""),"Hunter Mathews")</f>
        <v>Hunter Mathews</v>
      </c>
      <c r="P156" t="str">
        <f ca="1">IFERROR(__xludf.DUMMYFUNCTION("""COMPUTED_VALUE"""),"Silas Tanner")</f>
        <v>Silas Tanner</v>
      </c>
      <c r="Q156" t="str">
        <f ca="1">IFERROR(__xludf.DUMMYFUNCTION("""COMPUTED_VALUE"""),"Good")</f>
        <v>Good</v>
      </c>
      <c r="R156" t="str">
        <f ca="1">IFERROR(__xludf.DUMMYFUNCTION("""COMPUTED_VALUE"""),"Good")</f>
        <v>Good</v>
      </c>
      <c r="S156" t="str">
        <f ca="1">IFERROR(__xludf.DUMMYFUNCTION("""COMPUTED_VALUE"""),"Good")</f>
        <v>Good</v>
      </c>
      <c r="T156" t="str">
        <f ca="1">IFERROR(__xludf.DUMMYFUNCTION("""COMPUTED_VALUE"""),"Good")</f>
        <v>Good</v>
      </c>
      <c r="U156" t="str">
        <f ca="1">IFERROR(__xludf.DUMMYFUNCTION("""COMPUTED_VALUE"""),"Good")</f>
        <v>Good</v>
      </c>
      <c r="V156" t="str">
        <f ca="1">IFERROR(__xludf.DUMMYFUNCTION("""COMPUTED_VALUE"""),"Good")</f>
        <v>Good</v>
      </c>
      <c r="W156" t="str">
        <f ca="1">IFERROR(__xludf.DUMMYFUNCTION("""COMPUTED_VALUE"""),"Good")</f>
        <v>Good</v>
      </c>
      <c r="X156" t="str">
        <f ca="1">IFERROR(__xludf.DUMMYFUNCTION("""COMPUTED_VALUE"""),"Good")</f>
        <v>Good</v>
      </c>
      <c r="Y156" t="str">
        <f ca="1">IFERROR(__xludf.DUMMYFUNCTION("""COMPUTED_VALUE"""),"Good")</f>
        <v>Good</v>
      </c>
      <c r="Z156" t="str">
        <f ca="1">IFERROR(__xludf.DUMMYFUNCTION("""COMPUTED_VALUE"""),"Good")</f>
        <v>Good</v>
      </c>
      <c r="AA156" t="str">
        <f ca="1">IFERROR(__xludf.DUMMYFUNCTION("""COMPUTED_VALUE"""),"Good")</f>
        <v>Good</v>
      </c>
      <c r="AB156" t="str">
        <f ca="1">IFERROR(__xludf.DUMMYFUNCTION("""COMPUTED_VALUE"""),"Good")</f>
        <v>Good</v>
      </c>
      <c r="AC156" t="str">
        <f ca="1">IFERROR(__xludf.DUMMYFUNCTION("""COMPUTED_VALUE"""),"Good")</f>
        <v>Good</v>
      </c>
      <c r="AE156" s="11"/>
      <c r="AF156" t="str">
        <v>Nikki.Dix@floridadep.gov</v>
      </c>
      <c r="AG156" s="17" t="s">
        <v>17</v>
      </c>
      <c r="AH156" s="12">
        <v>1155</v>
      </c>
      <c r="AI156" s="12" t="s">
        <v>408</v>
      </c>
      <c r="AJ156" s="19" t="s">
        <v>409</v>
      </c>
      <c r="AK156" s="20" t="str">
        <f>HYPERLINK("https://docs.google.com/document/d/1dbUQc-0YRcUCWv4ZLuAiuh-szs2P71qMm4cR0NVclQw/edit?usp=drivesdk","Silas Tanner - 9/12/2018 10:15 AM")</f>
        <v>Silas Tanner - 9/12/2018 10:15 AM</v>
      </c>
      <c r="AL156" s="12" t="s">
        <v>410</v>
      </c>
    </row>
    <row r="157" spans="1:38" ht="12.75">
      <c r="A157" s="10">
        <f ca="1">IFERROR(__xludf.DUMMYFUNCTION("""COMPUTED_VALUE"""),43356.7011095717)</f>
        <v>43356.701109571703</v>
      </c>
      <c r="B157" s="11" t="str">
        <f ca="1">IFERROR(__xludf.DUMMYFUNCTION("""COMPUTED_VALUE"""),"James Tomazinis")</f>
        <v>James Tomazinis</v>
      </c>
      <c r="C157" t="str">
        <f ca="1">IFERROR(__xludf.DUMMYFUNCTION("""COMPUTED_VALUE"""),"james.tomazinis@dep.state.fl.us")</f>
        <v>james.tomazinis@dep.state.fl.us</v>
      </c>
      <c r="D157" t="str">
        <f ca="1">IFERROR(__xludf.DUMMYFUNCTION("""COMPUTED_VALUE"""),"Stewardship (Aquatic)")</f>
        <v>Stewardship (Aquatic)</v>
      </c>
      <c r="E157" t="str">
        <f ca="1">IFERROR(__xludf.DUMMYFUNCTION("""COMPUTED_VALUE"""),"Gamble Rogers")</f>
        <v>Gamble Rogers</v>
      </c>
      <c r="F157" s="13">
        <f ca="1">IFERROR(__xludf.DUMMYFUNCTION("""COMPUTED_VALUE"""),0.402777777777373)</f>
        <v>0.402777777777373</v>
      </c>
      <c r="G157" s="14">
        <f ca="1">IFERROR(__xludf.DUMMYFUNCTION("""COMPUTED_VALUE"""),43357)</f>
        <v>43357</v>
      </c>
      <c r="H157" t="str">
        <f ca="1">IFERROR(__xludf.DUMMYFUNCTION("""COMPUTED_VALUE"""),"Misquito Ditching in Tomoka")</f>
        <v>Misquito Ditching in Tomoka</v>
      </c>
      <c r="I157" s="15">
        <f ca="1">IFERROR(__xludf.DUMMYFUNCTION("""COMPUTED_VALUE"""),0.541666666667879)</f>
        <v>0.54166666666787899</v>
      </c>
      <c r="J157" s="16"/>
      <c r="K157" t="str">
        <f ca="1">IFERROR(__xludf.DUMMYFUNCTION("""COMPUTED_VALUE"""),"F 20ft Sea Ark (Easy 200) FL8534PY DEP21451")</f>
        <v>F 20ft Sea Ark (Easy 200) FL8534PY DEP21451</v>
      </c>
      <c r="M157" t="str">
        <f ca="1">IFERROR(__xludf.DUMMYFUNCTION("""COMPUTED_VALUE"""),"Ford F150 2015 (White) - DEP21448")</f>
        <v>Ford F150 2015 (White) - DEP21448</v>
      </c>
      <c r="N157" t="str">
        <f ca="1">IFERROR(__xludf.DUMMYFUNCTION("""COMPUTED_VALUE"""),"Jimmy Tomazinis, (904) 547-0094")</f>
        <v>Jimmy Tomazinis, (904) 547-0094</v>
      </c>
      <c r="O157" t="str">
        <f ca="1">IFERROR(__xludf.DUMMYFUNCTION("""COMPUTED_VALUE"""),"Scott Eastman, (904) 501-9267, Kevin Claridge, Annie Otto, Mike Shirley")</f>
        <v>Scott Eastman, (904) 501-9267, Kevin Claridge, Annie Otto, Mike Shirley</v>
      </c>
      <c r="P157" t="str">
        <f ca="1">IFERROR(__xludf.DUMMYFUNCTION("""COMPUTED_VALUE"""),"Jimmy")</f>
        <v>Jimmy</v>
      </c>
      <c r="Q157" t="str">
        <f ca="1">IFERROR(__xludf.DUMMYFUNCTION("""COMPUTED_VALUE"""),"Good")</f>
        <v>Good</v>
      </c>
      <c r="R157" t="str">
        <f ca="1">IFERROR(__xludf.DUMMYFUNCTION("""COMPUTED_VALUE"""),"Good")</f>
        <v>Good</v>
      </c>
      <c r="S157" t="str">
        <f ca="1">IFERROR(__xludf.DUMMYFUNCTION("""COMPUTED_VALUE"""),"Good")</f>
        <v>Good</v>
      </c>
      <c r="T157" t="str">
        <f ca="1">IFERROR(__xludf.DUMMYFUNCTION("""COMPUTED_VALUE"""),"Good")</f>
        <v>Good</v>
      </c>
      <c r="U157" t="str">
        <f ca="1">IFERROR(__xludf.DUMMYFUNCTION("""COMPUTED_VALUE"""),"Good")</f>
        <v>Good</v>
      </c>
      <c r="V157" t="str">
        <f ca="1">IFERROR(__xludf.DUMMYFUNCTION("""COMPUTED_VALUE"""),"Good")</f>
        <v>Good</v>
      </c>
      <c r="W157" t="str">
        <f ca="1">IFERROR(__xludf.DUMMYFUNCTION("""COMPUTED_VALUE"""),"Good")</f>
        <v>Good</v>
      </c>
      <c r="X157" t="str">
        <f ca="1">IFERROR(__xludf.DUMMYFUNCTION("""COMPUTED_VALUE"""),"Good")</f>
        <v>Good</v>
      </c>
      <c r="Y157" t="str">
        <f ca="1">IFERROR(__xludf.DUMMYFUNCTION("""COMPUTED_VALUE"""),"Good")</f>
        <v>Good</v>
      </c>
      <c r="Z157" t="str">
        <f ca="1">IFERROR(__xludf.DUMMYFUNCTION("""COMPUTED_VALUE"""),"Good")</f>
        <v>Good</v>
      </c>
      <c r="AA157" t="str">
        <f ca="1">IFERROR(__xludf.DUMMYFUNCTION("""COMPUTED_VALUE"""),"Good")</f>
        <v>Good</v>
      </c>
      <c r="AB157" t="str">
        <f ca="1">IFERROR(__xludf.DUMMYFUNCTION("""COMPUTED_VALUE"""),"Good")</f>
        <v>Good</v>
      </c>
      <c r="AC157" t="str">
        <f ca="1">IFERROR(__xludf.DUMMYFUNCTION("""COMPUTED_VALUE"""),"Good")</f>
        <v>Good</v>
      </c>
      <c r="AE157" s="11"/>
      <c r="AF157" t="str">
        <v>Scott.Eastman@floridadep.gov</v>
      </c>
      <c r="AG157" s="17" t="s">
        <v>21</v>
      </c>
      <c r="AH157" s="12">
        <v>1130</v>
      </c>
      <c r="AI157" s="12" t="s">
        <v>411</v>
      </c>
      <c r="AJ157" s="19" t="s">
        <v>412</v>
      </c>
      <c r="AK157" s="20" t="str">
        <f>HYPERLINK("https://docs.google.com/document/d/1vSRqTWP7CmpWxXBMw2pni-Z1VXWQUibiRPAhtbpU00M/edit?usp=drivesdk","James Tomazinis - 9/14/2018 9:40 AM")</f>
        <v>James Tomazinis - 9/14/2018 9:40 AM</v>
      </c>
      <c r="AL157" s="12" t="s">
        <v>413</v>
      </c>
    </row>
    <row r="158" spans="1:38" ht="12.75">
      <c r="A158" s="10">
        <f ca="1">IFERROR(__xludf.DUMMYFUNCTION("""COMPUTED_VALUE"""),43360.4976233449)</f>
        <v>43360.497623344898</v>
      </c>
      <c r="B158" s="11" t="str">
        <f ca="1">IFERROR(__xludf.DUMMYFUNCTION("""COMPUTED_VALUE"""),"Gabriela Canas")</f>
        <v>Gabriela Canas</v>
      </c>
      <c r="C158" t="str">
        <f ca="1">IFERROR(__xludf.DUMMYFUNCTION("""COMPUTED_VALUE"""),"gabriela.canas@dep.state.fl.us")</f>
        <v>gabriela.canas@dep.state.fl.us</v>
      </c>
      <c r="D158" t="str">
        <f ca="1">IFERROR(__xludf.DUMMYFUNCTION("""COMPUTED_VALUE"""),"Research/Nikki")</f>
        <v>Research/Nikki</v>
      </c>
      <c r="E158" t="str">
        <f ca="1">IFERROR(__xludf.DUMMYFUNCTION("""COMPUTED_VALUE"""),"Douglas crane")</f>
        <v>Douglas crane</v>
      </c>
      <c r="F158" s="13">
        <f ca="1">IFERROR(__xludf.DUMMYFUNCTION("""COMPUTED_VALUE"""),0.52083333333212)</f>
        <v>0.52083333333212001</v>
      </c>
      <c r="G158" s="14">
        <f ca="1">IFERROR(__xludf.DUMMYFUNCTION("""COMPUTED_VALUE"""),43360)</f>
        <v>43360</v>
      </c>
      <c r="H158" t="str">
        <f ca="1">IFERROR(__xludf.DUMMYFUNCTION("""COMPUTED_VALUE"""),"Gabby’s creek")</f>
        <v>Gabby’s creek</v>
      </c>
      <c r="I158" s="15">
        <f ca="1">IFERROR(__xludf.DUMMYFUNCTION("""COMPUTED_VALUE"""),0.604166666667879)</f>
        <v>0.60416666666787899</v>
      </c>
      <c r="J158" s="16">
        <f ca="1">IFERROR(__xludf.DUMMYFUNCTION("""COMPUTED_VALUE"""),43360.125)</f>
        <v>43360.125</v>
      </c>
      <c r="K158" t="str">
        <f ca="1">IFERROR(__xludf.DUMMYFUNCTION("""COMPUTED_VALUE"""),"20ft Sea Ark FL5351SJ UNF 2015")</f>
        <v>20ft Sea Ark FL5351SJ UNF 2015</v>
      </c>
      <c r="M158" t="str">
        <f ca="1">IFERROR(__xludf.DUMMYFUNCTION("""COMPUTED_VALUE"""),"Ford F250 2017 (Moby Dix) - DEP0021578")</f>
        <v>Ford F250 2017 (Moby Dix) - DEP0021578</v>
      </c>
      <c r="N158" t="str">
        <f ca="1">IFERROR(__xludf.DUMMYFUNCTION("""COMPUTED_VALUE"""),"Mike Dickson")</f>
        <v>Mike Dickson</v>
      </c>
      <c r="O158" t="str">
        <f ca="1">IFERROR(__xludf.DUMMYFUNCTION("""COMPUTED_VALUE"""),"Gabriela Canas, (904) 891-9743")</f>
        <v>Gabriela Canas, (904) 891-9743</v>
      </c>
      <c r="P158" t="str">
        <f ca="1">IFERROR(__xludf.DUMMYFUNCTION("""COMPUTED_VALUE"""),"Mike dickson")</f>
        <v>Mike dickson</v>
      </c>
      <c r="Q158" t="str">
        <f ca="1">IFERROR(__xludf.DUMMYFUNCTION("""COMPUTED_VALUE"""),"Good")</f>
        <v>Good</v>
      </c>
      <c r="R158" t="str">
        <f ca="1">IFERROR(__xludf.DUMMYFUNCTION("""COMPUTED_VALUE"""),"Good")</f>
        <v>Good</v>
      </c>
      <c r="S158" t="str">
        <f ca="1">IFERROR(__xludf.DUMMYFUNCTION("""COMPUTED_VALUE"""),"Good")</f>
        <v>Good</v>
      </c>
      <c r="T158" t="str">
        <f ca="1">IFERROR(__xludf.DUMMYFUNCTION("""COMPUTED_VALUE"""),"Good")</f>
        <v>Good</v>
      </c>
      <c r="U158" t="str">
        <f ca="1">IFERROR(__xludf.DUMMYFUNCTION("""COMPUTED_VALUE"""),"Good")</f>
        <v>Good</v>
      </c>
      <c r="V158" t="str">
        <f ca="1">IFERROR(__xludf.DUMMYFUNCTION("""COMPUTED_VALUE"""),"Good")</f>
        <v>Good</v>
      </c>
      <c r="W158" t="str">
        <f ca="1">IFERROR(__xludf.DUMMYFUNCTION("""COMPUTED_VALUE"""),"Good")</f>
        <v>Good</v>
      </c>
      <c r="X158" t="str">
        <f ca="1">IFERROR(__xludf.DUMMYFUNCTION("""COMPUTED_VALUE"""),"Good")</f>
        <v>Good</v>
      </c>
      <c r="Y158" t="str">
        <f ca="1">IFERROR(__xludf.DUMMYFUNCTION("""COMPUTED_VALUE"""),"Good")</f>
        <v>Good</v>
      </c>
      <c r="Z158" t="str">
        <f ca="1">IFERROR(__xludf.DUMMYFUNCTION("""COMPUTED_VALUE"""),"Good")</f>
        <v>Good</v>
      </c>
      <c r="AA158" t="str">
        <f ca="1">IFERROR(__xludf.DUMMYFUNCTION("""COMPUTED_VALUE"""),"Good")</f>
        <v>Good</v>
      </c>
      <c r="AB158" t="str">
        <f ca="1">IFERROR(__xludf.DUMMYFUNCTION("""COMPUTED_VALUE"""),"Good")</f>
        <v>Good</v>
      </c>
      <c r="AC158" t="str">
        <f ca="1">IFERROR(__xludf.DUMMYFUNCTION("""COMPUTED_VALUE"""),"Good")</f>
        <v>Good</v>
      </c>
      <c r="AE158" s="11"/>
      <c r="AF158" t="str">
        <v>Nikki.Dix@floridadep.gov</v>
      </c>
      <c r="AG158" s="17" t="s">
        <v>17</v>
      </c>
      <c r="AH158" s="12">
        <v>1410</v>
      </c>
      <c r="AI158" s="12" t="s">
        <v>414</v>
      </c>
      <c r="AJ158" s="19" t="s">
        <v>415</v>
      </c>
      <c r="AK158" s="20" t="str">
        <f>HYPERLINK("https://docs.google.com/document/d/1L1Qa-gJZob4LNqDWn65q46mBvDTDwlLwU3zjXy1ncsw/edit?usp=drivesdk","Gabriela Canas - 9/17/2018 12:30 PM")</f>
        <v>Gabriela Canas - 9/17/2018 12:30 PM</v>
      </c>
      <c r="AL158" s="12" t="s">
        <v>416</v>
      </c>
    </row>
    <row r="159" spans="1:38" ht="12.75">
      <c r="A159" s="10">
        <f ca="1">IFERROR(__xludf.DUMMYFUNCTION("""COMPUTED_VALUE"""),43362.308713125)</f>
        <v>43362.308713124999</v>
      </c>
      <c r="B159" s="11" t="str">
        <f ca="1">IFERROR(__xludf.DUMMYFUNCTION("""COMPUTED_VALUE"""),"James Tomazinis")</f>
        <v>James Tomazinis</v>
      </c>
      <c r="C159" t="str">
        <f ca="1">IFERROR(__xludf.DUMMYFUNCTION("""COMPUTED_VALUE"""),"james.tomazinis@floridadep.gov")</f>
        <v>james.tomazinis@floridadep.gov</v>
      </c>
      <c r="D159" t="str">
        <f ca="1">IFERROR(__xludf.DUMMYFUNCTION("""COMPUTED_VALUE"""),"Stewardship (Aquatic)")</f>
        <v>Stewardship (Aquatic)</v>
      </c>
      <c r="E159" t="str">
        <f ca="1">IFERROR(__xludf.DUMMYFUNCTION("""COMPUTED_VALUE"""),"Faver Dykes")</f>
        <v>Faver Dykes</v>
      </c>
      <c r="F159" s="13">
        <f ca="1">IFERROR(__xludf.DUMMYFUNCTION("""COMPUTED_VALUE"""),0.375)</f>
        <v>0.375</v>
      </c>
      <c r="G159" s="14">
        <f ca="1">IFERROR(__xludf.DUMMYFUNCTION("""COMPUTED_VALUE"""),43362)</f>
        <v>43362</v>
      </c>
      <c r="H159" t="str">
        <f ca="1">IFERROR(__xludf.DUMMYFUNCTION("""COMPUTED_VALUE"""),"Pellicer Creek WQ sites")</f>
        <v>Pellicer Creek WQ sites</v>
      </c>
      <c r="I159" s="15">
        <f ca="1">IFERROR(__xludf.DUMMYFUNCTION("""COMPUTED_VALUE"""),0.5625)</f>
        <v>0.5625</v>
      </c>
      <c r="J159" s="16"/>
      <c r="K159" t="str">
        <f ca="1">IFERROR(__xludf.DUMMYFUNCTION("""COMPUTED_VALUE"""),"Jon Boat FL0484NP DEP06819")</f>
        <v>Jon Boat FL0484NP DEP06819</v>
      </c>
      <c r="M159" t="str">
        <f ca="1">IFERROR(__xludf.DUMMYFUNCTION("""COMPUTED_VALUE"""),"NEAP F150")</f>
        <v>NEAP F150</v>
      </c>
      <c r="N159" t="str">
        <f ca="1">IFERROR(__xludf.DUMMYFUNCTION("""COMPUTED_VALUE"""),"Jimmy Tomazinis, (904) 547-0094")</f>
        <v>Jimmy Tomazinis, (904) 547-0094</v>
      </c>
      <c r="O159" t="str">
        <f ca="1">IFERROR(__xludf.DUMMYFUNCTION("""COMPUTED_VALUE"""),"Scott Eastman, (904) 501-9267")</f>
        <v>Scott Eastman, (904) 501-9267</v>
      </c>
      <c r="P159" t="str">
        <f ca="1">IFERROR(__xludf.DUMMYFUNCTION("""COMPUTED_VALUE"""),"Jimmy")</f>
        <v>Jimmy</v>
      </c>
      <c r="Q159" t="str">
        <f ca="1">IFERROR(__xludf.DUMMYFUNCTION("""COMPUTED_VALUE"""),"Good")</f>
        <v>Good</v>
      </c>
      <c r="R159" t="str">
        <f ca="1">IFERROR(__xludf.DUMMYFUNCTION("""COMPUTED_VALUE"""),"Good")</f>
        <v>Good</v>
      </c>
      <c r="S159" t="str">
        <f ca="1">IFERROR(__xludf.DUMMYFUNCTION("""COMPUTED_VALUE"""),"Good")</f>
        <v>Good</v>
      </c>
      <c r="T159" t="str">
        <f ca="1">IFERROR(__xludf.DUMMYFUNCTION("""COMPUTED_VALUE"""),"Good")</f>
        <v>Good</v>
      </c>
      <c r="U159" t="str">
        <f ca="1">IFERROR(__xludf.DUMMYFUNCTION("""COMPUTED_VALUE"""),"Good")</f>
        <v>Good</v>
      </c>
      <c r="V159" t="str">
        <f ca="1">IFERROR(__xludf.DUMMYFUNCTION("""COMPUTED_VALUE"""),"Good")</f>
        <v>Good</v>
      </c>
      <c r="W159" t="str">
        <f ca="1">IFERROR(__xludf.DUMMYFUNCTION("""COMPUTED_VALUE"""),"Good")</f>
        <v>Good</v>
      </c>
      <c r="X159" t="str">
        <f ca="1">IFERROR(__xludf.DUMMYFUNCTION("""COMPUTED_VALUE"""),"Good")</f>
        <v>Good</v>
      </c>
      <c r="Y159" t="str">
        <f ca="1">IFERROR(__xludf.DUMMYFUNCTION("""COMPUTED_VALUE"""),"Good")</f>
        <v>Good</v>
      </c>
      <c r="Z159" t="str">
        <f ca="1">IFERROR(__xludf.DUMMYFUNCTION("""COMPUTED_VALUE"""),"Good")</f>
        <v>Good</v>
      </c>
      <c r="AA159" t="str">
        <f ca="1">IFERROR(__xludf.DUMMYFUNCTION("""COMPUTED_VALUE"""),"Good")</f>
        <v>Good</v>
      </c>
      <c r="AB159" t="str">
        <f ca="1">IFERROR(__xludf.DUMMYFUNCTION("""COMPUTED_VALUE"""),"Good")</f>
        <v>Good</v>
      </c>
      <c r="AC159" t="str">
        <f ca="1">IFERROR(__xludf.DUMMYFUNCTION("""COMPUTED_VALUE"""),"Good")</f>
        <v>Good</v>
      </c>
      <c r="AE159" s="11"/>
      <c r="AF159" t="str">
        <v>Scott.Eastman@floridadep.gov</v>
      </c>
      <c r="AG159" s="17" t="s">
        <v>17</v>
      </c>
      <c r="AH159" s="12">
        <v>1400</v>
      </c>
      <c r="AI159" s="12" t="s">
        <v>417</v>
      </c>
      <c r="AJ159" s="19" t="s">
        <v>418</v>
      </c>
      <c r="AK159" s="20" t="str">
        <f>HYPERLINK("https://docs.google.com/document/d/1BEemg3yUgKS4kZmHueWdHy0Eq3TwI6BuvwXCR9oCHpE/edit?usp=drivesdk","James Tomazinis - 9/19/2018 9:00 AM")</f>
        <v>James Tomazinis - 9/19/2018 9:00 AM</v>
      </c>
      <c r="AL159" s="12" t="s">
        <v>419</v>
      </c>
    </row>
    <row r="160" spans="1:38" ht="12.75">
      <c r="A160" s="10">
        <f ca="1">IFERROR(__xludf.DUMMYFUNCTION("""COMPUTED_VALUE"""),43362.3912069097)</f>
        <v>43362.391206909699</v>
      </c>
      <c r="B160" s="11" t="str">
        <f ca="1">IFERROR(__xludf.DUMMYFUNCTION("""COMPUTED_VALUE"""),"Ben Mowbray")</f>
        <v>Ben Mowbray</v>
      </c>
      <c r="C160" t="str">
        <f ca="1">IFERROR(__xludf.DUMMYFUNCTION("""COMPUTED_VALUE"""),"ben.mowbray@dep.state.fl.us")</f>
        <v>ben.mowbray@dep.state.fl.us</v>
      </c>
      <c r="D160" t="str">
        <f ca="1">IFERROR(__xludf.DUMMYFUNCTION("""COMPUTED_VALUE"""),"Research/Pam")</f>
        <v>Research/Pam</v>
      </c>
      <c r="E160" t="str">
        <f ca="1">IFERROR(__xludf.DUMMYFUNCTION("""COMPUTED_VALUE"""),"Whitney")</f>
        <v>Whitney</v>
      </c>
      <c r="F160" s="13">
        <f ca="1">IFERROR(__xludf.DUMMYFUNCTION("""COMPUTED_VALUE"""),0.409722222222626)</f>
        <v>0.409722222222626</v>
      </c>
      <c r="G160" s="14">
        <f ca="1">IFERROR(__xludf.DUMMYFUNCTION("""COMPUTED_VALUE"""),43362)</f>
        <v>43362</v>
      </c>
      <c r="H160" t="str">
        <f ca="1">IFERROR(__xludf.DUMMYFUNCTION("""COMPUTED_VALUE"""),"Kimbro reefs in Pellicer Flats and near Whitney")</f>
        <v>Kimbro reefs in Pellicer Flats and near Whitney</v>
      </c>
      <c r="I160" s="15">
        <f ca="1">IFERROR(__xludf.DUMMYFUNCTION("""COMPUTED_VALUE"""),0.625)</f>
        <v>0.625</v>
      </c>
      <c r="J160" s="16">
        <f ca="1">IFERROR(__xludf.DUMMYFUNCTION("""COMPUTED_VALUE"""),43362.6666666666)</f>
        <v>43362.666666666599</v>
      </c>
      <c r="K160" t="str">
        <f ca="1">IFERROR(__xludf.DUMMYFUNCTION("""COMPUTED_VALUE"""),"20ft Sea Ark FL5351SJ UNF 2015")</f>
        <v>20ft Sea Ark FL5351SJ UNF 2015</v>
      </c>
      <c r="M160" t="str">
        <f ca="1">IFERROR(__xludf.DUMMYFUNCTION("""COMPUTED_VALUE"""),"Ford F150 2015 (White) - DEP21448")</f>
        <v>Ford F150 2015 (White) - DEP21448</v>
      </c>
      <c r="N160" t="str">
        <f ca="1">IFERROR(__xludf.DUMMYFUNCTION("""COMPUTED_VALUE"""),"Ben Mowbray, (407) 962-8782")</f>
        <v>Ben Mowbray, (407) 962-8782</v>
      </c>
      <c r="O160" t="str">
        <f ca="1">IFERROR(__xludf.DUMMYFUNCTION("""COMPUTED_VALUE"""),"Nicole, Rodrigo, Adrienne")</f>
        <v>Nicole, Rodrigo, Adrienne</v>
      </c>
      <c r="P160" t="str">
        <f ca="1">IFERROR(__xludf.DUMMYFUNCTION("""COMPUTED_VALUE"""),"Ben")</f>
        <v>Ben</v>
      </c>
      <c r="Q160" t="str">
        <f ca="1">IFERROR(__xludf.DUMMYFUNCTION("""COMPUTED_VALUE"""),"Good")</f>
        <v>Good</v>
      </c>
      <c r="R160" t="str">
        <f ca="1">IFERROR(__xludf.DUMMYFUNCTION("""COMPUTED_VALUE"""),"Good")</f>
        <v>Good</v>
      </c>
      <c r="S160" t="str">
        <f ca="1">IFERROR(__xludf.DUMMYFUNCTION("""COMPUTED_VALUE"""),"Good")</f>
        <v>Good</v>
      </c>
      <c r="T160" t="str">
        <f ca="1">IFERROR(__xludf.DUMMYFUNCTION("""COMPUTED_VALUE"""),"Good")</f>
        <v>Good</v>
      </c>
      <c r="U160" t="str">
        <f ca="1">IFERROR(__xludf.DUMMYFUNCTION("""COMPUTED_VALUE"""),"Good")</f>
        <v>Good</v>
      </c>
      <c r="V160" t="str">
        <f ca="1">IFERROR(__xludf.DUMMYFUNCTION("""COMPUTED_VALUE"""),"Good")</f>
        <v>Good</v>
      </c>
      <c r="W160" t="str">
        <f ca="1">IFERROR(__xludf.DUMMYFUNCTION("""COMPUTED_VALUE"""),"Good")</f>
        <v>Good</v>
      </c>
      <c r="X160" t="str">
        <f ca="1">IFERROR(__xludf.DUMMYFUNCTION("""COMPUTED_VALUE"""),"Good")</f>
        <v>Good</v>
      </c>
      <c r="Y160" t="str">
        <f ca="1">IFERROR(__xludf.DUMMYFUNCTION("""COMPUTED_VALUE"""),"Good")</f>
        <v>Good</v>
      </c>
      <c r="Z160" t="str">
        <f ca="1">IFERROR(__xludf.DUMMYFUNCTION("""COMPUTED_VALUE"""),"Good")</f>
        <v>Good</v>
      </c>
      <c r="AA160" t="str">
        <f ca="1">IFERROR(__xludf.DUMMYFUNCTION("""COMPUTED_VALUE"""),"Good")</f>
        <v>Good</v>
      </c>
      <c r="AB160" t="str">
        <f ca="1">IFERROR(__xludf.DUMMYFUNCTION("""COMPUTED_VALUE"""),"Good")</f>
        <v>Good</v>
      </c>
      <c r="AC160" t="str">
        <f ca="1">IFERROR(__xludf.DUMMYFUNCTION("""COMPUTED_VALUE"""),"Good")</f>
        <v>Good</v>
      </c>
      <c r="AE160" s="11"/>
      <c r="AF160" t="str">
        <v>Pamela.Marcum@floridadep.gov</v>
      </c>
      <c r="AG160" s="17" t="s">
        <v>17</v>
      </c>
      <c r="AH160" s="12">
        <v>1457</v>
      </c>
      <c r="AI160" s="12" t="s">
        <v>420</v>
      </c>
      <c r="AJ160" s="19" t="s">
        <v>421</v>
      </c>
      <c r="AK160" s="20" t="str">
        <f>HYPERLINK("https://docs.google.com/document/d/13L1BLRxELDJtkWSeTmCGPwxwpJo_bGihEn16D1Ndh94/edit?usp=drivesdk","Ben Mowbray - 9/19/2018 9:50 AM")</f>
        <v>Ben Mowbray - 9/19/2018 9:50 AM</v>
      </c>
      <c r="AL160" s="12" t="s">
        <v>422</v>
      </c>
    </row>
    <row r="161" spans="1:38" ht="12.75">
      <c r="A161" s="10">
        <f ca="1">IFERROR(__xludf.DUMMYFUNCTION("""COMPUTED_VALUE"""),43362.8456943287)</f>
        <v>43362.845694328702</v>
      </c>
      <c r="B161" s="11" t="str">
        <f ca="1">IFERROR(__xludf.DUMMYFUNCTION("""COMPUTED_VALUE"""),"Shannon Dunnigan")</f>
        <v>Shannon Dunnigan</v>
      </c>
      <c r="C161" t="str">
        <f ca="1">IFERROR(__xludf.DUMMYFUNCTION("""COMPUTED_VALUE"""),"shannon.dunnigan@floridadep.gov")</f>
        <v>shannon.dunnigan@floridadep.gov</v>
      </c>
      <c r="D161" t="str">
        <f ca="1">IFERROR(__xludf.DUMMYFUNCTION("""COMPUTED_VALUE"""),"Research/Nikki")</f>
        <v>Research/Nikki</v>
      </c>
      <c r="E161" t="str">
        <f ca="1">IFERROR(__xludf.DUMMYFUNCTION("""COMPUTED_VALUE"""),"Bings")</f>
        <v>Bings</v>
      </c>
      <c r="F161" s="13">
        <f ca="1">IFERROR(__xludf.DUMMYFUNCTION("""COMPUTED_VALUE"""),0.354166666667879)</f>
        <v>0.35416666666787899</v>
      </c>
      <c r="G161" s="14">
        <f ca="1">IFERROR(__xludf.DUMMYFUNCTION("""COMPUTED_VALUE"""),43363)</f>
        <v>43363</v>
      </c>
      <c r="H161" t="str">
        <f ca="1">IFERROR(__xludf.DUMMYFUNCTION("""COMPUTED_VALUE"""),"Summerhaven River")</f>
        <v>Summerhaven River</v>
      </c>
      <c r="I161" s="15">
        <f ca="1">IFERROR(__xludf.DUMMYFUNCTION("""COMPUTED_VALUE"""),0.45833333333212)</f>
        <v>0.45833333333212001</v>
      </c>
      <c r="J161" s="16">
        <f ca="1">IFERROR(__xludf.DUMMYFUNCTION("""COMPUTED_VALUE"""),43363.5625)</f>
        <v>43363.5625</v>
      </c>
      <c r="K161" t="str">
        <f ca="1">IFERROR(__xludf.DUMMYFUNCTION("""COMPUTED_VALUE"""),"20ft Sea Ark FL5351SJ UNF 2015")</f>
        <v>20ft Sea Ark FL5351SJ UNF 2015</v>
      </c>
      <c r="M161" t="str">
        <f ca="1">IFERROR(__xludf.DUMMYFUNCTION("""COMPUTED_VALUE"""),"Ford F150 2015 (White) - DEP21448")</f>
        <v>Ford F150 2015 (White) - DEP21448</v>
      </c>
      <c r="N161" t="str">
        <f ca="1">IFERROR(__xludf.DUMMYFUNCTION("""COMPUTED_VALUE"""),"Shannon Dunnigan, (803) 727-5734, Silas Tanner, (904) 483-8423")</f>
        <v>Shannon Dunnigan, (803) 727-5734, Silas Tanner, (904) 483-8423</v>
      </c>
      <c r="O161" t="str">
        <f ca="1">IFERROR(__xludf.DUMMYFUNCTION("""COMPUTED_VALUE"""),"Hunter Mathews and Westly Woodward")</f>
        <v>Hunter Mathews and Westly Woodward</v>
      </c>
      <c r="P161" t="str">
        <f ca="1">IFERROR(__xludf.DUMMYFUNCTION("""COMPUTED_VALUE"""),"Shannon Dunnigan")</f>
        <v>Shannon Dunnigan</v>
      </c>
      <c r="Q161" t="str">
        <f ca="1">IFERROR(__xludf.DUMMYFUNCTION("""COMPUTED_VALUE"""),"Good")</f>
        <v>Good</v>
      </c>
      <c r="R161" t="str">
        <f ca="1">IFERROR(__xludf.DUMMYFUNCTION("""COMPUTED_VALUE"""),"Good")</f>
        <v>Good</v>
      </c>
      <c r="S161" t="str">
        <f ca="1">IFERROR(__xludf.DUMMYFUNCTION("""COMPUTED_VALUE"""),"Good")</f>
        <v>Good</v>
      </c>
      <c r="T161" t="str">
        <f ca="1">IFERROR(__xludf.DUMMYFUNCTION("""COMPUTED_VALUE"""),"Good")</f>
        <v>Good</v>
      </c>
      <c r="U161" t="str">
        <f ca="1">IFERROR(__xludf.DUMMYFUNCTION("""COMPUTED_VALUE"""),"Good")</f>
        <v>Good</v>
      </c>
      <c r="V161" t="str">
        <f ca="1">IFERROR(__xludf.DUMMYFUNCTION("""COMPUTED_VALUE"""),"Good")</f>
        <v>Good</v>
      </c>
      <c r="W161" t="str">
        <f ca="1">IFERROR(__xludf.DUMMYFUNCTION("""COMPUTED_VALUE"""),"Good")</f>
        <v>Good</v>
      </c>
      <c r="X161" t="str">
        <f ca="1">IFERROR(__xludf.DUMMYFUNCTION("""COMPUTED_VALUE"""),"Good")</f>
        <v>Good</v>
      </c>
      <c r="Y161" t="str">
        <f ca="1">IFERROR(__xludf.DUMMYFUNCTION("""COMPUTED_VALUE"""),"Good")</f>
        <v>Good</v>
      </c>
      <c r="Z161" t="str">
        <f ca="1">IFERROR(__xludf.DUMMYFUNCTION("""COMPUTED_VALUE"""),"Good")</f>
        <v>Good</v>
      </c>
      <c r="AA161" t="str">
        <f ca="1">IFERROR(__xludf.DUMMYFUNCTION("""COMPUTED_VALUE"""),"Good")</f>
        <v>Good</v>
      </c>
      <c r="AB161" t="str">
        <f ca="1">IFERROR(__xludf.DUMMYFUNCTION("""COMPUTED_VALUE"""),"Good")</f>
        <v>Good</v>
      </c>
      <c r="AC161" t="str">
        <f ca="1">IFERROR(__xludf.DUMMYFUNCTION("""COMPUTED_VALUE"""),"Good")</f>
        <v>Good</v>
      </c>
      <c r="AE161" s="11"/>
      <c r="AF161" t="str">
        <v>Nikki.Dix@floridadep.gov</v>
      </c>
      <c r="AG161" s="17" t="s">
        <v>17</v>
      </c>
      <c r="AH161" s="12">
        <v>1010</v>
      </c>
      <c r="AI161" s="12" t="s">
        <v>423</v>
      </c>
      <c r="AJ161" s="19" t="s">
        <v>424</v>
      </c>
      <c r="AK161" s="20" t="str">
        <f>HYPERLINK("https://docs.google.com/document/d/1XgPHyLVaetsiT9yAxWjsIn05pUXXzoUT6oXrjFlL0YY/edit?usp=drivesdk","Shannon Dunnigan - 9/20/2018 8:30 AM")</f>
        <v>Shannon Dunnigan - 9/20/2018 8:30 AM</v>
      </c>
      <c r="AL161" s="12" t="s">
        <v>425</v>
      </c>
    </row>
    <row r="162" spans="1:38" ht="12.75">
      <c r="A162" s="10">
        <f ca="1">IFERROR(__xludf.DUMMYFUNCTION("""COMPUTED_VALUE"""),43366.7431908101)</f>
        <v>43366.743190810099</v>
      </c>
      <c r="B162" s="11" t="str">
        <f ca="1">IFERROR(__xludf.DUMMYFUNCTION("""COMPUTED_VALUE"""),"Silas Tanner")</f>
        <v>Silas Tanner</v>
      </c>
      <c r="C162" t="str">
        <f ca="1">IFERROR(__xludf.DUMMYFUNCTION("""COMPUTED_VALUE"""),"silas.tanner@floridadep.gov")</f>
        <v>silas.tanner@floridadep.gov</v>
      </c>
      <c r="D162" t="str">
        <f ca="1">IFERROR(__xludf.DUMMYFUNCTION("""COMPUTED_VALUE"""),"Research/Nikki")</f>
        <v>Research/Nikki</v>
      </c>
      <c r="E162" t="str">
        <f ca="1">IFERROR(__xludf.DUMMYFUNCTION("""COMPUTED_VALUE"""),"Vilano county ramp")</f>
        <v>Vilano county ramp</v>
      </c>
      <c r="F162" s="13">
        <f ca="1">IFERROR(__xludf.DUMMYFUNCTION("""COMPUTED_VALUE"""),0.36458333333212)</f>
        <v>0.36458333333212001</v>
      </c>
      <c r="G162" s="14">
        <f ca="1">IFERROR(__xludf.DUMMYFUNCTION("""COMPUTED_VALUE"""),43367)</f>
        <v>43367</v>
      </c>
      <c r="H162" t="str">
        <f ca="1">IFERROR(__xludf.DUMMYFUNCTION("""COMPUTED_VALUE"""),"ICW - SWMP sites")</f>
        <v>ICW - SWMP sites</v>
      </c>
      <c r="I162" s="15">
        <f ca="1">IFERROR(__xludf.DUMMYFUNCTION("""COMPUTED_VALUE"""),0.53125)</f>
        <v>0.53125</v>
      </c>
      <c r="J162" s="16">
        <f ca="1">IFERROR(__xludf.DUMMYFUNCTION("""COMPUTED_VALUE"""),43367.5416666666)</f>
        <v>43367.541666666599</v>
      </c>
      <c r="K162" t="str">
        <f ca="1">IFERROR(__xludf.DUMMYFUNCTION("""COMPUTED_VALUE"""),"23ft Skiff (Bertha) FL7972LJ DEP07613")</f>
        <v>23ft Skiff (Bertha) FL7972LJ DEP07613</v>
      </c>
      <c r="M162" t="str">
        <f ca="1">IFERROR(__xludf.DUMMYFUNCTION("""COMPUTED_VALUE"""),"Ford F250 2017 (Moby Dix) - DEP0021578")</f>
        <v>Ford F250 2017 (Moby Dix) - DEP0021578</v>
      </c>
      <c r="N162" t="str">
        <f ca="1">IFERROR(__xludf.DUMMYFUNCTION("""COMPUTED_VALUE"""),"Silas Tanner, (904) 483-8423")</f>
        <v>Silas Tanner, (904) 483-8423</v>
      </c>
      <c r="O162" t="str">
        <f ca="1">IFERROR(__xludf.DUMMYFUNCTION("""COMPUTED_VALUE"""),"Remo Mondazi, Terri Calleson")</f>
        <v>Remo Mondazi, Terri Calleson</v>
      </c>
      <c r="P162" t="str">
        <f ca="1">IFERROR(__xludf.DUMMYFUNCTION("""COMPUTED_VALUE"""),"Silas Tanner")</f>
        <v>Silas Tanner</v>
      </c>
      <c r="Q162" t="str">
        <f ca="1">IFERROR(__xludf.DUMMYFUNCTION("""COMPUTED_VALUE"""),"Good")</f>
        <v>Good</v>
      </c>
      <c r="R162" t="str">
        <f ca="1">IFERROR(__xludf.DUMMYFUNCTION("""COMPUTED_VALUE"""),"Good")</f>
        <v>Good</v>
      </c>
      <c r="S162" t="str">
        <f ca="1">IFERROR(__xludf.DUMMYFUNCTION("""COMPUTED_VALUE"""),"Good")</f>
        <v>Good</v>
      </c>
      <c r="T162" t="str">
        <f ca="1">IFERROR(__xludf.DUMMYFUNCTION("""COMPUTED_VALUE"""),"Good")</f>
        <v>Good</v>
      </c>
      <c r="U162" t="str">
        <f ca="1">IFERROR(__xludf.DUMMYFUNCTION("""COMPUTED_VALUE"""),"Good")</f>
        <v>Good</v>
      </c>
      <c r="V162" t="str">
        <f ca="1">IFERROR(__xludf.DUMMYFUNCTION("""COMPUTED_VALUE"""),"Good")</f>
        <v>Good</v>
      </c>
      <c r="W162" t="str">
        <f ca="1">IFERROR(__xludf.DUMMYFUNCTION("""COMPUTED_VALUE"""),"Good")</f>
        <v>Good</v>
      </c>
      <c r="X162" t="str">
        <f ca="1">IFERROR(__xludf.DUMMYFUNCTION("""COMPUTED_VALUE"""),"Good")</f>
        <v>Good</v>
      </c>
      <c r="Y162" t="str">
        <f ca="1">IFERROR(__xludf.DUMMYFUNCTION("""COMPUTED_VALUE"""),"Good")</f>
        <v>Good</v>
      </c>
      <c r="Z162" t="str">
        <f ca="1">IFERROR(__xludf.DUMMYFUNCTION("""COMPUTED_VALUE"""),"Good")</f>
        <v>Good</v>
      </c>
      <c r="AA162" t="str">
        <f ca="1">IFERROR(__xludf.DUMMYFUNCTION("""COMPUTED_VALUE"""),"Good")</f>
        <v>Good</v>
      </c>
      <c r="AB162" t="str">
        <f ca="1">IFERROR(__xludf.DUMMYFUNCTION("""COMPUTED_VALUE"""),"Good")</f>
        <v>Good</v>
      </c>
      <c r="AC162" t="str">
        <f ca="1">IFERROR(__xludf.DUMMYFUNCTION("""COMPUTED_VALUE"""),"Good")</f>
        <v>Good</v>
      </c>
      <c r="AE162" s="11"/>
      <c r="AF162" t="str">
        <v>Nikki.Dix@floridadep.gov</v>
      </c>
      <c r="AG162" s="17" t="s">
        <v>54</v>
      </c>
      <c r="AH162" s="12" t="s">
        <v>278</v>
      </c>
      <c r="AI162" s="12" t="s">
        <v>426</v>
      </c>
      <c r="AJ162" s="19" t="s">
        <v>427</v>
      </c>
      <c r="AK162" s="20" t="str">
        <f>HYPERLINK("https://docs.google.com/document/d/19y2xBdaEYRCaUdOVOFVL8R13UVTXTgDmuMIsfnSUrpc/edit?usp=drivesdk","Silas Tanner - 9/24/2018 8:45 AM")</f>
        <v>Silas Tanner - 9/24/2018 8:45 AM</v>
      </c>
      <c r="AL162" s="12" t="s">
        <v>428</v>
      </c>
    </row>
    <row r="163" spans="1:38" ht="12.75">
      <c r="A163" s="10">
        <f ca="1">IFERROR(__xludf.DUMMYFUNCTION("""COMPUTED_VALUE"""),43367.6328765393)</f>
        <v>43367.632876539297</v>
      </c>
      <c r="B163" s="11" t="str">
        <f ca="1">IFERROR(__xludf.DUMMYFUNCTION("""COMPUTED_VALUE"""),"Ben Mowbray")</f>
        <v>Ben Mowbray</v>
      </c>
      <c r="C163" t="str">
        <f ca="1">IFERROR(__xludf.DUMMYFUNCTION("""COMPUTED_VALUE"""),"ben.mowbray@dep.state.fl.us")</f>
        <v>ben.mowbray@dep.state.fl.us</v>
      </c>
      <c r="D163" t="str">
        <f ca="1">IFERROR(__xludf.DUMMYFUNCTION("""COMPUTED_VALUE"""),"Research/Nikki")</f>
        <v>Research/Nikki</v>
      </c>
      <c r="E163" t="str">
        <f ca="1">IFERROR(__xludf.DUMMYFUNCTION("""COMPUTED_VALUE"""),"Bing's")</f>
        <v>Bing's</v>
      </c>
      <c r="F163" s="13">
        <f ca="1">IFERROR(__xludf.DUMMYFUNCTION("""COMPUTED_VALUE"""),0.305555555554747)</f>
        <v>0.305555555554747</v>
      </c>
      <c r="G163" s="14">
        <f ca="1">IFERROR(__xludf.DUMMYFUNCTION("""COMPUTED_VALUE"""),43370)</f>
        <v>43370</v>
      </c>
      <c r="H163" t="str">
        <f ca="1">IFERROR(__xludf.DUMMYFUNCTION("""COMPUTED_VALUE"""),"Washington Oaks marsh platforms")</f>
        <v>Washington Oaks marsh platforms</v>
      </c>
      <c r="I163" s="15">
        <f ca="1">IFERROR(__xludf.DUMMYFUNCTION("""COMPUTED_VALUE"""),0.527777777777373)</f>
        <v>0.527777777777373</v>
      </c>
      <c r="J163" s="16">
        <f ca="1">IFERROR(__xludf.DUMMYFUNCTION("""COMPUTED_VALUE"""),43370.5833333333)</f>
        <v>43370.583333333299</v>
      </c>
      <c r="K163" t="str">
        <f ca="1">IFERROR(__xludf.DUMMYFUNCTION("""COMPUTED_VALUE"""),"20ft Sea Ark FL5351SJ UNF 2015")</f>
        <v>20ft Sea Ark FL5351SJ UNF 2015</v>
      </c>
      <c r="M163" t="str">
        <f ca="1">IFERROR(__xludf.DUMMYFUNCTION("""COMPUTED_VALUE"""),"Ford F250 2017 (Moby Dix) - DEP0021578")</f>
        <v>Ford F250 2017 (Moby Dix) - DEP0021578</v>
      </c>
      <c r="N163" t="str">
        <f ca="1">IFERROR(__xludf.DUMMYFUNCTION("""COMPUTED_VALUE"""),"Silas Tanner, (904) 483-8423, Ben Mowbray, (407) 962-8782")</f>
        <v>Silas Tanner, (904) 483-8423, Ben Mowbray, (407) 962-8782</v>
      </c>
      <c r="O163" t="str">
        <f ca="1">IFERROR(__xludf.DUMMYFUNCTION("""COMPUTED_VALUE"""),"Remo, Jessica")</f>
        <v>Remo, Jessica</v>
      </c>
      <c r="P163" t="str">
        <f ca="1">IFERROR(__xludf.DUMMYFUNCTION("""COMPUTED_VALUE"""),"Silas")</f>
        <v>Silas</v>
      </c>
      <c r="Q163" t="str">
        <f ca="1">IFERROR(__xludf.DUMMYFUNCTION("""COMPUTED_VALUE"""),"Good")</f>
        <v>Good</v>
      </c>
      <c r="R163" t="str">
        <f ca="1">IFERROR(__xludf.DUMMYFUNCTION("""COMPUTED_VALUE"""),"Good")</f>
        <v>Good</v>
      </c>
      <c r="S163" t="str">
        <f ca="1">IFERROR(__xludf.DUMMYFUNCTION("""COMPUTED_VALUE"""),"Good")</f>
        <v>Good</v>
      </c>
      <c r="T163" t="str">
        <f ca="1">IFERROR(__xludf.DUMMYFUNCTION("""COMPUTED_VALUE"""),"Good")</f>
        <v>Good</v>
      </c>
      <c r="U163" t="str">
        <f ca="1">IFERROR(__xludf.DUMMYFUNCTION("""COMPUTED_VALUE"""),"Good")</f>
        <v>Good</v>
      </c>
      <c r="V163" t="str">
        <f ca="1">IFERROR(__xludf.DUMMYFUNCTION("""COMPUTED_VALUE"""),"Good")</f>
        <v>Good</v>
      </c>
      <c r="W163" t="str">
        <f ca="1">IFERROR(__xludf.DUMMYFUNCTION("""COMPUTED_VALUE"""),"Good")</f>
        <v>Good</v>
      </c>
      <c r="X163" t="str">
        <f ca="1">IFERROR(__xludf.DUMMYFUNCTION("""COMPUTED_VALUE"""),"Good")</f>
        <v>Good</v>
      </c>
      <c r="Y163" t="str">
        <f ca="1">IFERROR(__xludf.DUMMYFUNCTION("""COMPUTED_VALUE"""),"Good")</f>
        <v>Good</v>
      </c>
      <c r="Z163" t="str">
        <f ca="1">IFERROR(__xludf.DUMMYFUNCTION("""COMPUTED_VALUE"""),"Good")</f>
        <v>Good</v>
      </c>
      <c r="AA163" t="str">
        <f ca="1">IFERROR(__xludf.DUMMYFUNCTION("""COMPUTED_VALUE"""),"Good")</f>
        <v>Good</v>
      </c>
      <c r="AB163" t="str">
        <f ca="1">IFERROR(__xludf.DUMMYFUNCTION("""COMPUTED_VALUE"""),"Good")</f>
        <v>Good</v>
      </c>
      <c r="AC163" t="str">
        <f ca="1">IFERROR(__xludf.DUMMYFUNCTION("""COMPUTED_VALUE"""),"Good")</f>
        <v>Good</v>
      </c>
      <c r="AE163" s="11"/>
      <c r="AF163" t="str">
        <v>Nikki.Dix@floridadep.gov</v>
      </c>
      <c r="AG163" s="17" t="s">
        <v>126</v>
      </c>
      <c r="AH163" s="23">
        <v>0.52777777777777779</v>
      </c>
      <c r="AI163" s="12" t="s">
        <v>429</v>
      </c>
      <c r="AJ163" s="19" t="s">
        <v>430</v>
      </c>
      <c r="AK163" s="20" t="str">
        <f>HYPERLINK("https://docs.google.com/document/d/1cZCSPnwhRfGhAyk0zgxcNQFgvBFuINflyXPMCG46zK4/edit?usp=drivesdk","Ben Mowbray - 9/27/2018 7:20 AM")</f>
        <v>Ben Mowbray - 9/27/2018 7:20 AM</v>
      </c>
      <c r="AL163" s="12" t="s">
        <v>431</v>
      </c>
    </row>
    <row r="164" spans="1:38" ht="12.75">
      <c r="A164" s="10">
        <f ca="1">IFERROR(__xludf.DUMMYFUNCTION("""COMPUTED_VALUE"""),43367.6352994212)</f>
        <v>43367.635299421199</v>
      </c>
      <c r="B164" s="11" t="str">
        <f ca="1">IFERROR(__xludf.DUMMYFUNCTION("""COMPUTED_VALUE"""),"Ben Mowbray")</f>
        <v>Ben Mowbray</v>
      </c>
      <c r="C164" t="str">
        <f ca="1">IFERROR(__xludf.DUMMYFUNCTION("""COMPUTED_VALUE"""),"ben.mowbray@dep.state.fl.us")</f>
        <v>ben.mowbray@dep.state.fl.us</v>
      </c>
      <c r="D164" t="str">
        <f ca="1">IFERROR(__xludf.DUMMYFUNCTION("""COMPUTED_VALUE"""),"Research/Nikki")</f>
        <v>Research/Nikki</v>
      </c>
      <c r="E164" t="str">
        <f ca="1">IFERROR(__xludf.DUMMYFUNCTION("""COMPUTED_VALUE"""),"Faver Dykes")</f>
        <v>Faver Dykes</v>
      </c>
      <c r="F164" s="13">
        <f ca="1">IFERROR(__xludf.DUMMYFUNCTION("""COMPUTED_VALUE"""),0.326388888890505)</f>
        <v>0.32638888889050499</v>
      </c>
      <c r="G164" s="14">
        <f ca="1">IFERROR(__xludf.DUMMYFUNCTION("""COMPUTED_VALUE"""),43371)</f>
        <v>43371</v>
      </c>
      <c r="H164" t="str">
        <f ca="1">IFERROR(__xludf.DUMMYFUNCTION("""COMPUTED_VALUE"""),"Pellicer marsh platforms")</f>
        <v>Pellicer marsh platforms</v>
      </c>
      <c r="I164" s="15">
        <f ca="1">IFERROR(__xludf.DUMMYFUNCTION("""COMPUTED_VALUE"""),0.527777777777373)</f>
        <v>0.527777777777373</v>
      </c>
      <c r="J164" s="16">
        <f ca="1">IFERROR(__xludf.DUMMYFUNCTION("""COMPUTED_VALUE"""),43371.5833333333)</f>
        <v>43371.583333333299</v>
      </c>
      <c r="K164" t="str">
        <f ca="1">IFERROR(__xludf.DUMMYFUNCTION("""COMPUTED_VALUE"""),"20ft Sea Ark FL5351SJ UNF 2015")</f>
        <v>20ft Sea Ark FL5351SJ UNF 2015</v>
      </c>
      <c r="M164" t="str">
        <f ca="1">IFERROR(__xludf.DUMMYFUNCTION("""COMPUTED_VALUE"""),"Ford F250 2017 (Moby Dix) - DEP0021578")</f>
        <v>Ford F250 2017 (Moby Dix) - DEP0021578</v>
      </c>
      <c r="N164" t="str">
        <f ca="1">IFERROR(__xludf.DUMMYFUNCTION("""COMPUTED_VALUE"""),"Silas Tanner, (904) 483-8423, Ben Mowbray, (407) 962-8782")</f>
        <v>Silas Tanner, (904) 483-8423, Ben Mowbray, (407) 962-8782</v>
      </c>
      <c r="O164" t="str">
        <f ca="1">IFERROR(__xludf.DUMMYFUNCTION("""COMPUTED_VALUE"""),"Joan")</f>
        <v>Joan</v>
      </c>
      <c r="P164" t="str">
        <f ca="1">IFERROR(__xludf.DUMMYFUNCTION("""COMPUTED_VALUE"""),"Silas")</f>
        <v>Silas</v>
      </c>
      <c r="Q164" t="str">
        <f ca="1">IFERROR(__xludf.DUMMYFUNCTION("""COMPUTED_VALUE"""),"Good")</f>
        <v>Good</v>
      </c>
      <c r="R164" t="str">
        <f ca="1">IFERROR(__xludf.DUMMYFUNCTION("""COMPUTED_VALUE"""),"Good")</f>
        <v>Good</v>
      </c>
      <c r="S164" t="str">
        <f ca="1">IFERROR(__xludf.DUMMYFUNCTION("""COMPUTED_VALUE"""),"Good")</f>
        <v>Good</v>
      </c>
      <c r="T164" t="str">
        <f ca="1">IFERROR(__xludf.DUMMYFUNCTION("""COMPUTED_VALUE"""),"Good")</f>
        <v>Good</v>
      </c>
      <c r="U164" t="str">
        <f ca="1">IFERROR(__xludf.DUMMYFUNCTION("""COMPUTED_VALUE"""),"Good")</f>
        <v>Good</v>
      </c>
      <c r="V164" t="str">
        <f ca="1">IFERROR(__xludf.DUMMYFUNCTION("""COMPUTED_VALUE"""),"Good")</f>
        <v>Good</v>
      </c>
      <c r="W164" t="str">
        <f ca="1">IFERROR(__xludf.DUMMYFUNCTION("""COMPUTED_VALUE"""),"Good")</f>
        <v>Good</v>
      </c>
      <c r="X164" t="str">
        <f ca="1">IFERROR(__xludf.DUMMYFUNCTION("""COMPUTED_VALUE"""),"Good")</f>
        <v>Good</v>
      </c>
      <c r="Y164" t="str">
        <f ca="1">IFERROR(__xludf.DUMMYFUNCTION("""COMPUTED_VALUE"""),"Good")</f>
        <v>Good</v>
      </c>
      <c r="Z164" t="str">
        <f ca="1">IFERROR(__xludf.DUMMYFUNCTION("""COMPUTED_VALUE"""),"Good")</f>
        <v>Good</v>
      </c>
      <c r="AA164" t="str">
        <f ca="1">IFERROR(__xludf.DUMMYFUNCTION("""COMPUTED_VALUE"""),"Good")</f>
        <v>Good</v>
      </c>
      <c r="AB164" t="str">
        <f ca="1">IFERROR(__xludf.DUMMYFUNCTION("""COMPUTED_VALUE"""),"Good")</f>
        <v>Good</v>
      </c>
      <c r="AC164" t="str">
        <f ca="1">IFERROR(__xludf.DUMMYFUNCTION("""COMPUTED_VALUE"""),"Good")</f>
        <v>Good</v>
      </c>
      <c r="AE164" s="11"/>
      <c r="AF164" t="str">
        <v>Nikki.Dix@floridadep.gov</v>
      </c>
      <c r="AG164" s="17" t="s">
        <v>17</v>
      </c>
      <c r="AH164" s="23">
        <v>0.52083333333333337</v>
      </c>
      <c r="AI164" s="12" t="s">
        <v>432</v>
      </c>
      <c r="AJ164" s="19" t="s">
        <v>433</v>
      </c>
      <c r="AK164" s="20" t="str">
        <f>HYPERLINK("https://docs.google.com/document/d/10rU4XDlqfzQWaY9r_oxgwKKaIF7s4-1zNcxL46nYc7c/edit?usp=drivesdk","Ben Mowbray - 9/28/2018 7:50 AM")</f>
        <v>Ben Mowbray - 9/28/2018 7:50 AM</v>
      </c>
      <c r="AL164" s="12" t="s">
        <v>434</v>
      </c>
    </row>
    <row r="165" spans="1:38" ht="12.75">
      <c r="A165" s="10">
        <f ca="1">IFERROR(__xludf.DUMMYFUNCTION("""COMPUTED_VALUE"""),43368.3005748611)</f>
        <v>43368.300574861103</v>
      </c>
      <c r="B165" s="11" t="str">
        <f ca="1">IFERROR(__xludf.DUMMYFUNCTION("""COMPUTED_VALUE"""),"Silas Tanner")</f>
        <v>Silas Tanner</v>
      </c>
      <c r="C165" t="str">
        <f ca="1">IFERROR(__xludf.DUMMYFUNCTION("""COMPUTED_VALUE"""),"Silas.Tanner@floridadep.gov")</f>
        <v>Silas.Tanner@floridadep.gov</v>
      </c>
      <c r="D165" t="str">
        <f ca="1">IFERROR(__xludf.DUMMYFUNCTION("""COMPUTED_VALUE"""),"Research/Nikki")</f>
        <v>Research/Nikki</v>
      </c>
      <c r="E165" t="str">
        <f ca="1">IFERROR(__xludf.DUMMYFUNCTION("""COMPUTED_VALUE"""),"Vilano county ramp")</f>
        <v>Vilano county ramp</v>
      </c>
      <c r="F165" s="13">
        <f ca="1">IFERROR(__xludf.DUMMYFUNCTION("""COMPUTED_VALUE"""),0.34375)</f>
        <v>0.34375</v>
      </c>
      <c r="G165" s="14">
        <f ca="1">IFERROR(__xludf.DUMMYFUNCTION("""COMPUTED_VALUE"""),43368)</f>
        <v>43368</v>
      </c>
      <c r="H165" t="str">
        <f ca="1">IFERROR(__xludf.DUMMYFUNCTION("""COMPUTED_VALUE"""),"ICW SWMP sites ")</f>
        <v xml:space="preserve">ICW SWMP sites </v>
      </c>
      <c r="I165" s="15">
        <f ca="1">IFERROR(__xludf.DUMMYFUNCTION("""COMPUTED_VALUE"""),0.510416666667879)</f>
        <v>0.51041666666787899</v>
      </c>
      <c r="J165" s="16">
        <f ca="1">IFERROR(__xludf.DUMMYFUNCTION("""COMPUTED_VALUE"""),43368.5208333333)</f>
        <v>43368.520833333299</v>
      </c>
      <c r="K165" t="str">
        <f ca="1">IFERROR(__xludf.DUMMYFUNCTION("""COMPUTED_VALUE"""),"23ft Skiff (Bertha) FL7972LJ DEP07613")</f>
        <v>23ft Skiff (Bertha) FL7972LJ DEP07613</v>
      </c>
      <c r="M165" t="str">
        <f ca="1">IFERROR(__xludf.DUMMYFUNCTION("""COMPUTED_VALUE"""),"Ford F250 2017 (Moby Dix) - DEP0021578")</f>
        <v>Ford F250 2017 (Moby Dix) - DEP0021578</v>
      </c>
      <c r="N165" t="str">
        <f ca="1">IFERROR(__xludf.DUMMYFUNCTION("""COMPUTED_VALUE"""),"Silas Tanner, (904) 483-8423, Remo Mondazi")</f>
        <v>Silas Tanner, (904) 483-8423, Remo Mondazi</v>
      </c>
      <c r="P165" t="str">
        <f ca="1">IFERROR(__xludf.DUMMYFUNCTION("""COMPUTED_VALUE"""),"Silas Tanner")</f>
        <v>Silas Tanner</v>
      </c>
      <c r="Q165" t="str">
        <f ca="1">IFERROR(__xludf.DUMMYFUNCTION("""COMPUTED_VALUE"""),"Good")</f>
        <v>Good</v>
      </c>
      <c r="R165" t="str">
        <f ca="1">IFERROR(__xludf.DUMMYFUNCTION("""COMPUTED_VALUE"""),"Good")</f>
        <v>Good</v>
      </c>
      <c r="S165" t="str">
        <f ca="1">IFERROR(__xludf.DUMMYFUNCTION("""COMPUTED_VALUE"""),"Good")</f>
        <v>Good</v>
      </c>
      <c r="T165" t="str">
        <f ca="1">IFERROR(__xludf.DUMMYFUNCTION("""COMPUTED_VALUE"""),"Good")</f>
        <v>Good</v>
      </c>
      <c r="U165" t="str">
        <f ca="1">IFERROR(__xludf.DUMMYFUNCTION("""COMPUTED_VALUE"""),"Good")</f>
        <v>Good</v>
      </c>
      <c r="V165" t="str">
        <f ca="1">IFERROR(__xludf.DUMMYFUNCTION("""COMPUTED_VALUE"""),"Good")</f>
        <v>Good</v>
      </c>
      <c r="W165" t="str">
        <f ca="1">IFERROR(__xludf.DUMMYFUNCTION("""COMPUTED_VALUE"""),"Good")</f>
        <v>Good</v>
      </c>
      <c r="X165" t="str">
        <f ca="1">IFERROR(__xludf.DUMMYFUNCTION("""COMPUTED_VALUE"""),"Good")</f>
        <v>Good</v>
      </c>
      <c r="Y165" t="str">
        <f ca="1">IFERROR(__xludf.DUMMYFUNCTION("""COMPUTED_VALUE"""),"Good")</f>
        <v>Good</v>
      </c>
      <c r="Z165" t="str">
        <f ca="1">IFERROR(__xludf.DUMMYFUNCTION("""COMPUTED_VALUE"""),"Good")</f>
        <v>Good</v>
      </c>
      <c r="AA165" t="str">
        <f ca="1">IFERROR(__xludf.DUMMYFUNCTION("""COMPUTED_VALUE"""),"Good")</f>
        <v>Good</v>
      </c>
      <c r="AB165" t="str">
        <f ca="1">IFERROR(__xludf.DUMMYFUNCTION("""COMPUTED_VALUE"""),"Good")</f>
        <v>Good</v>
      </c>
      <c r="AC165" t="str">
        <f ca="1">IFERROR(__xludf.DUMMYFUNCTION("""COMPUTED_VALUE"""),"Good")</f>
        <v>Good</v>
      </c>
      <c r="AE165" s="11"/>
      <c r="AF165" t="str">
        <v>Nikki.Dix@floridadep.gov</v>
      </c>
      <c r="AG165" s="17" t="s">
        <v>126</v>
      </c>
      <c r="AH165" s="12">
        <v>1125</v>
      </c>
      <c r="AI165" s="12" t="s">
        <v>435</v>
      </c>
      <c r="AJ165" s="19" t="s">
        <v>436</v>
      </c>
      <c r="AK165" s="20" t="str">
        <f>HYPERLINK("https://docs.google.com/document/d/1KDK2Lyv_0BANy_IEzxkUFIoBnnXj9uvp7TxHIpYvUyk/edit?usp=drivesdk","Silas Tanner - 9/25/2018 8:15 AM")</f>
        <v>Silas Tanner - 9/25/2018 8:15 AM</v>
      </c>
      <c r="AL165" s="12" t="s">
        <v>437</v>
      </c>
    </row>
    <row r="166" spans="1:38" ht="12.75">
      <c r="A166" s="10">
        <f ca="1">IFERROR(__xludf.DUMMYFUNCTION("""COMPUTED_VALUE"""),43369.3821318287)</f>
        <v>43369.382131828701</v>
      </c>
      <c r="B166" s="11" t="str">
        <f ca="1">IFERROR(__xludf.DUMMYFUNCTION("""COMPUTED_VALUE"""),"Pamela Marcum")</f>
        <v>Pamela Marcum</v>
      </c>
      <c r="C166" t="str">
        <f ca="1">IFERROR(__xludf.DUMMYFUNCTION("""COMPUTED_VALUE"""),"Pamela.Marcum@Dep.state.fl.us")</f>
        <v>Pamela.Marcum@Dep.state.fl.us</v>
      </c>
      <c r="D166" t="str">
        <f ca="1">IFERROR(__xludf.DUMMYFUNCTION("""COMPUTED_VALUE"""),"Research/Nikki")</f>
        <v>Research/Nikki</v>
      </c>
      <c r="E166" t="str">
        <f ca="1">IFERROR(__xludf.DUMMYFUNCTION("""COMPUTED_VALUE"""),"Faver-Dykes")</f>
        <v>Faver-Dykes</v>
      </c>
      <c r="F166" s="13">
        <f ca="1">IFERROR(__xludf.DUMMYFUNCTION("""COMPUTED_VALUE"""),0.4375)</f>
        <v>0.4375</v>
      </c>
      <c r="G166" s="14">
        <f ca="1">IFERROR(__xludf.DUMMYFUNCTION("""COMPUTED_VALUE"""),43369)</f>
        <v>43369</v>
      </c>
      <c r="H166" t="str">
        <f ca="1">IFERROR(__xludf.DUMMYFUNCTION("""COMPUTED_VALUE"""),"Pellicer Creek Middle Platform")</f>
        <v>Pellicer Creek Middle Platform</v>
      </c>
      <c r="I166" s="15">
        <f ca="1">IFERROR(__xludf.DUMMYFUNCTION("""COMPUTED_VALUE"""),0.625)</f>
        <v>0.625</v>
      </c>
      <c r="J166" s="16">
        <f ca="1">IFERROR(__xludf.DUMMYFUNCTION("""COMPUTED_VALUE"""),43369.6666666666)</f>
        <v>43369.666666666599</v>
      </c>
      <c r="K166" t="str">
        <f ca="1">IFERROR(__xludf.DUMMYFUNCTION("""COMPUTED_VALUE"""),"23ft Skiff (Bertha) FL7972LJ DEP07613")</f>
        <v>23ft Skiff (Bertha) FL7972LJ DEP07613</v>
      </c>
      <c r="M166" t="str">
        <f ca="1">IFERROR(__xludf.DUMMYFUNCTION("""COMPUTED_VALUE"""),"Ford F250 2017 (Moby Dix) - DEP0021578")</f>
        <v>Ford F250 2017 (Moby Dix) - DEP0021578</v>
      </c>
      <c r="N166" t="str">
        <f ca="1">IFERROR(__xludf.DUMMYFUNCTION("""COMPUTED_VALUE"""),"Pam Marcum, (480) 332-5414, Ben Mowbray, (407) 962-8782")</f>
        <v>Pam Marcum, (480) 332-5414, Ben Mowbray, (407) 962-8782</v>
      </c>
      <c r="O166" t="str">
        <f ca="1">IFERROR(__xludf.DUMMYFUNCTION("""COMPUTED_VALUE"""),"Stephen Cabanillas")</f>
        <v>Stephen Cabanillas</v>
      </c>
      <c r="P166" t="str">
        <f ca="1">IFERROR(__xludf.DUMMYFUNCTION("""COMPUTED_VALUE"""),"Pam Marcum")</f>
        <v>Pam Marcum</v>
      </c>
      <c r="Q166" t="str">
        <f ca="1">IFERROR(__xludf.DUMMYFUNCTION("""COMPUTED_VALUE"""),"Good")</f>
        <v>Good</v>
      </c>
      <c r="R166" t="str">
        <f ca="1">IFERROR(__xludf.DUMMYFUNCTION("""COMPUTED_VALUE"""),"Good")</f>
        <v>Good</v>
      </c>
      <c r="S166" t="str">
        <f ca="1">IFERROR(__xludf.DUMMYFUNCTION("""COMPUTED_VALUE"""),"Good")</f>
        <v>Good</v>
      </c>
      <c r="T166" t="str">
        <f ca="1">IFERROR(__xludf.DUMMYFUNCTION("""COMPUTED_VALUE"""),"Good")</f>
        <v>Good</v>
      </c>
      <c r="U166" t="str">
        <f ca="1">IFERROR(__xludf.DUMMYFUNCTION("""COMPUTED_VALUE"""),"Good")</f>
        <v>Good</v>
      </c>
      <c r="V166" t="str">
        <f ca="1">IFERROR(__xludf.DUMMYFUNCTION("""COMPUTED_VALUE"""),"Good")</f>
        <v>Good</v>
      </c>
      <c r="W166" t="str">
        <f ca="1">IFERROR(__xludf.DUMMYFUNCTION("""COMPUTED_VALUE"""),"Good")</f>
        <v>Good</v>
      </c>
      <c r="X166" t="str">
        <f ca="1">IFERROR(__xludf.DUMMYFUNCTION("""COMPUTED_VALUE"""),"Good")</f>
        <v>Good</v>
      </c>
      <c r="Y166" t="str">
        <f ca="1">IFERROR(__xludf.DUMMYFUNCTION("""COMPUTED_VALUE"""),"Good")</f>
        <v>Good</v>
      </c>
      <c r="Z166" t="str">
        <f ca="1">IFERROR(__xludf.DUMMYFUNCTION("""COMPUTED_VALUE"""),"Good")</f>
        <v>Good</v>
      </c>
      <c r="AA166" t="str">
        <f ca="1">IFERROR(__xludf.DUMMYFUNCTION("""COMPUTED_VALUE"""),"Good")</f>
        <v>Good</v>
      </c>
      <c r="AB166" t="str">
        <f ca="1">IFERROR(__xludf.DUMMYFUNCTION("""COMPUTED_VALUE"""),"Good")</f>
        <v>Good</v>
      </c>
      <c r="AC166" t="str">
        <f ca="1">IFERROR(__xludf.DUMMYFUNCTION("""COMPUTED_VALUE"""),"Good")</f>
        <v>Good</v>
      </c>
      <c r="AE166" s="11"/>
      <c r="AF166" t="str">
        <v>Nikki.Dix@floridadep.gov</v>
      </c>
      <c r="AG166" s="17" t="s">
        <v>41</v>
      </c>
      <c r="AH166" s="12">
        <v>1330</v>
      </c>
      <c r="AI166" s="12" t="s">
        <v>438</v>
      </c>
      <c r="AJ166" s="19" t="s">
        <v>439</v>
      </c>
      <c r="AK166" s="20" t="str">
        <f>HYPERLINK("https://docs.google.com/document/d/1YbcgZerdP1LVsxnkBb1fZoOvlgu2Id6KK0LNMU632hw/edit?usp=drivesdk","Pamela Marcum - 9/26/2018 10:30 AM")</f>
        <v>Pamela Marcum - 9/26/2018 10:30 AM</v>
      </c>
      <c r="AL166" s="12" t="s">
        <v>440</v>
      </c>
    </row>
    <row r="167" spans="1:38" ht="12.75">
      <c r="A167" s="10">
        <f ca="1">IFERROR(__xludf.DUMMYFUNCTION("""COMPUTED_VALUE"""),43374.3126099652)</f>
        <v>43374.3126099652</v>
      </c>
      <c r="B167" s="11" t="str">
        <f ca="1">IFERROR(__xludf.DUMMYFUNCTION("""COMPUTED_VALUE"""),"Ben Mowbray")</f>
        <v>Ben Mowbray</v>
      </c>
      <c r="C167" t="str">
        <f ca="1">IFERROR(__xludf.DUMMYFUNCTION("""COMPUTED_VALUE"""),"ben.mowbray@dep.state.fl.us")</f>
        <v>ben.mowbray@dep.state.fl.us</v>
      </c>
      <c r="D167" t="str">
        <f ca="1">IFERROR(__xludf.DUMMYFUNCTION("""COMPUTED_VALUE"""),"Research/Pam")</f>
        <v>Research/Pam</v>
      </c>
      <c r="E167" t="str">
        <f ca="1">IFERROR(__xludf.DUMMYFUNCTION("""COMPUTED_VALUE"""),"Palm Valley")</f>
        <v>Palm Valley</v>
      </c>
      <c r="F167" s="13">
        <f ca="1">IFERROR(__xludf.DUMMYFUNCTION("""COMPUTED_VALUE"""),0.354166666667879)</f>
        <v>0.35416666666787899</v>
      </c>
      <c r="G167" s="14">
        <f ca="1">IFERROR(__xludf.DUMMYFUNCTION("""COMPUTED_VALUE"""),43374)</f>
        <v>43374</v>
      </c>
      <c r="H167" t="str">
        <f ca="1">IFERROR(__xludf.DUMMYFUNCTION("""COMPUTED_VALUE"""),"Pine Island Marsh Platforms")</f>
        <v>Pine Island Marsh Platforms</v>
      </c>
      <c r="I167" s="15">
        <f ca="1">IFERROR(__xludf.DUMMYFUNCTION("""COMPUTED_VALUE"""),0.5625)</f>
        <v>0.5625</v>
      </c>
      <c r="J167" s="16">
        <f ca="1">IFERROR(__xludf.DUMMYFUNCTION("""COMPUTED_VALUE"""),43374.5833333333)</f>
        <v>43374.583333333299</v>
      </c>
      <c r="K167" t="str">
        <f ca="1">IFERROR(__xludf.DUMMYFUNCTION("""COMPUTED_VALUE"""),"20ft Sea Ark FL5351SJ UNF 2015")</f>
        <v>20ft Sea Ark FL5351SJ UNF 2015</v>
      </c>
      <c r="M167" t="str">
        <f ca="1">IFERROR(__xludf.DUMMYFUNCTION("""COMPUTED_VALUE"""),"Ford F250 2017 (Moby Dix) - DEP0021578")</f>
        <v>Ford F250 2017 (Moby Dix) - DEP0021578</v>
      </c>
      <c r="N167" t="str">
        <f ca="1">IFERROR(__xludf.DUMMYFUNCTION("""COMPUTED_VALUE"""),"Silas Tanner, (904) 483-8423, Ben Mowbray, (407) 962-8782")</f>
        <v>Silas Tanner, (904) 483-8423, Ben Mowbray, (407) 962-8782</v>
      </c>
      <c r="O167" t="str">
        <f ca="1">IFERROR(__xludf.DUMMYFUNCTION("""COMPUTED_VALUE"""),"Remo")</f>
        <v>Remo</v>
      </c>
      <c r="P167" t="str">
        <f ca="1">IFERROR(__xludf.DUMMYFUNCTION("""COMPUTED_VALUE"""),"Silas")</f>
        <v>Silas</v>
      </c>
      <c r="Q167" t="str">
        <f ca="1">IFERROR(__xludf.DUMMYFUNCTION("""COMPUTED_VALUE"""),"Good")</f>
        <v>Good</v>
      </c>
      <c r="R167" t="str">
        <f ca="1">IFERROR(__xludf.DUMMYFUNCTION("""COMPUTED_VALUE"""),"Good")</f>
        <v>Good</v>
      </c>
      <c r="S167" t="str">
        <f ca="1">IFERROR(__xludf.DUMMYFUNCTION("""COMPUTED_VALUE"""),"Good")</f>
        <v>Good</v>
      </c>
      <c r="T167" t="str">
        <f ca="1">IFERROR(__xludf.DUMMYFUNCTION("""COMPUTED_VALUE"""),"Good")</f>
        <v>Good</v>
      </c>
      <c r="U167" t="str">
        <f ca="1">IFERROR(__xludf.DUMMYFUNCTION("""COMPUTED_VALUE"""),"Good")</f>
        <v>Good</v>
      </c>
      <c r="V167" t="str">
        <f ca="1">IFERROR(__xludf.DUMMYFUNCTION("""COMPUTED_VALUE"""),"Good")</f>
        <v>Good</v>
      </c>
      <c r="W167" t="str">
        <f ca="1">IFERROR(__xludf.DUMMYFUNCTION("""COMPUTED_VALUE"""),"Good")</f>
        <v>Good</v>
      </c>
      <c r="X167" t="str">
        <f ca="1">IFERROR(__xludf.DUMMYFUNCTION("""COMPUTED_VALUE"""),"Good")</f>
        <v>Good</v>
      </c>
      <c r="Y167" t="str">
        <f ca="1">IFERROR(__xludf.DUMMYFUNCTION("""COMPUTED_VALUE"""),"Good")</f>
        <v>Good</v>
      </c>
      <c r="Z167" t="str">
        <f ca="1">IFERROR(__xludf.DUMMYFUNCTION("""COMPUTED_VALUE"""),"Good")</f>
        <v>Good</v>
      </c>
      <c r="AA167" t="str">
        <f ca="1">IFERROR(__xludf.DUMMYFUNCTION("""COMPUTED_VALUE"""),"Good")</f>
        <v>Good</v>
      </c>
      <c r="AB167" t="str">
        <f ca="1">IFERROR(__xludf.DUMMYFUNCTION("""COMPUTED_VALUE"""),"Good")</f>
        <v>Good</v>
      </c>
      <c r="AC167" t="str">
        <f ca="1">IFERROR(__xludf.DUMMYFUNCTION("""COMPUTED_VALUE"""),"Good")</f>
        <v>Good</v>
      </c>
      <c r="AE167" s="11"/>
      <c r="AF167" t="str">
        <v>Pamela.Marcum@floridadep.gov</v>
      </c>
      <c r="AG167" s="17" t="s">
        <v>17</v>
      </c>
      <c r="AH167" s="12">
        <v>1215</v>
      </c>
      <c r="AI167" s="12" t="s">
        <v>441</v>
      </c>
      <c r="AJ167" s="19" t="s">
        <v>442</v>
      </c>
      <c r="AK167" s="20" t="str">
        <f>HYPERLINK("https://docs.google.com/document/d/10B-Y9mtzPJLK-Vl1R2A-xzT2AB0jOcgS4S3pnj8j_Ks/edit?usp=drivesdk","Ben Mowbray - 10/1/2018 8:30 AM")</f>
        <v>Ben Mowbray - 10/1/2018 8:30 AM</v>
      </c>
      <c r="AL167" s="12" t="s">
        <v>443</v>
      </c>
    </row>
    <row r="168" spans="1:38" ht="12.75">
      <c r="A168" s="10">
        <f ca="1">IFERROR(__xludf.DUMMYFUNCTION("""COMPUTED_VALUE"""),43375.2321794444)</f>
        <v>43375.2321794444</v>
      </c>
      <c r="B168" s="11" t="str">
        <f ca="1">IFERROR(__xludf.DUMMYFUNCTION("""COMPUTED_VALUE"""),"Pamela Marcum")</f>
        <v>Pamela Marcum</v>
      </c>
      <c r="C168" t="str">
        <f ca="1">IFERROR(__xludf.DUMMYFUNCTION("""COMPUTED_VALUE"""),"Pamela.Marcum@dep.state.fl.us")</f>
        <v>Pamela.Marcum@dep.state.fl.us</v>
      </c>
      <c r="D168" t="str">
        <f ca="1">IFERROR(__xludf.DUMMYFUNCTION("""COMPUTED_VALUE"""),"Research/Nikki")</f>
        <v>Research/Nikki</v>
      </c>
      <c r="E168" t="str">
        <f ca="1">IFERROR(__xludf.DUMMYFUNCTION("""COMPUTED_VALUE"""),"Vilano")</f>
        <v>Vilano</v>
      </c>
      <c r="F168" s="13">
        <f ca="1">IFERROR(__xludf.DUMMYFUNCTION("""COMPUTED_VALUE"""),0.27083333333212)</f>
        <v>0.27083333333212001</v>
      </c>
      <c r="G168" s="14">
        <f ca="1">IFERROR(__xludf.DUMMYFUNCTION("""COMPUTED_VALUE"""),43375)</f>
        <v>43375</v>
      </c>
      <c r="H168" t="str">
        <f ca="1">IFERROR(__xludf.DUMMYFUNCTION("""COMPUTED_VALUE"""),"Salt Run, St. Augustine spat sites")</f>
        <v>Salt Run, St. Augustine spat sites</v>
      </c>
      <c r="I168" s="15">
        <f ca="1">IFERROR(__xludf.DUMMYFUNCTION("""COMPUTED_VALUE"""),0.45833333333212)</f>
        <v>0.45833333333212001</v>
      </c>
      <c r="J168" s="16">
        <f ca="1">IFERROR(__xludf.DUMMYFUNCTION("""COMPUTED_VALUE"""),43375.5)</f>
        <v>43375.5</v>
      </c>
      <c r="K168" t="str">
        <f ca="1">IFERROR(__xludf.DUMMYFUNCTION("""COMPUTED_VALUE"""),"23ft Skiff (Bertha) FL7972LJ DEP07613")</f>
        <v>23ft Skiff (Bertha) FL7972LJ DEP07613</v>
      </c>
      <c r="M168" t="str">
        <f ca="1">IFERROR(__xludf.DUMMYFUNCTION("""COMPUTED_VALUE"""),"Ford F150 2008 - DEP18041 (SWMP Thing)")</f>
        <v>Ford F150 2008 - DEP18041 (SWMP Thing)</v>
      </c>
      <c r="N168" t="str">
        <f ca="1">IFERROR(__xludf.DUMMYFUNCTION("""COMPUTED_VALUE"""),"Pam Marcum, (480) 332-5414")</f>
        <v>Pam Marcum, (480) 332-5414</v>
      </c>
      <c r="O168" t="str">
        <f ca="1">IFERROR(__xludf.DUMMYFUNCTION("""COMPUTED_VALUE"""),"Rodrigo Pavani, Nicole Peckham, Adrienne Breef-Pilz")</f>
        <v>Rodrigo Pavani, Nicole Peckham, Adrienne Breef-Pilz</v>
      </c>
      <c r="P168" t="str">
        <f ca="1">IFERROR(__xludf.DUMMYFUNCTION("""COMPUTED_VALUE"""),"Pam")</f>
        <v>Pam</v>
      </c>
      <c r="Q168" t="str">
        <f ca="1">IFERROR(__xludf.DUMMYFUNCTION("""COMPUTED_VALUE"""),"Good")</f>
        <v>Good</v>
      </c>
      <c r="R168" t="str">
        <f ca="1">IFERROR(__xludf.DUMMYFUNCTION("""COMPUTED_VALUE"""),"Good")</f>
        <v>Good</v>
      </c>
      <c r="S168" t="str">
        <f ca="1">IFERROR(__xludf.DUMMYFUNCTION("""COMPUTED_VALUE"""),"Good")</f>
        <v>Good</v>
      </c>
      <c r="T168" t="str">
        <f ca="1">IFERROR(__xludf.DUMMYFUNCTION("""COMPUTED_VALUE"""),"Good")</f>
        <v>Good</v>
      </c>
      <c r="U168" t="str">
        <f ca="1">IFERROR(__xludf.DUMMYFUNCTION("""COMPUTED_VALUE"""),"Good")</f>
        <v>Good</v>
      </c>
      <c r="V168" t="str">
        <f ca="1">IFERROR(__xludf.DUMMYFUNCTION("""COMPUTED_VALUE"""),"Good")</f>
        <v>Good</v>
      </c>
      <c r="W168" t="str">
        <f ca="1">IFERROR(__xludf.DUMMYFUNCTION("""COMPUTED_VALUE"""),"Good")</f>
        <v>Good</v>
      </c>
      <c r="X168" t="str">
        <f ca="1">IFERROR(__xludf.DUMMYFUNCTION("""COMPUTED_VALUE"""),"Good")</f>
        <v>Good</v>
      </c>
      <c r="Y168" t="str">
        <f ca="1">IFERROR(__xludf.DUMMYFUNCTION("""COMPUTED_VALUE"""),"Good")</f>
        <v>Good</v>
      </c>
      <c r="Z168" t="str">
        <f ca="1">IFERROR(__xludf.DUMMYFUNCTION("""COMPUTED_VALUE"""),"Good")</f>
        <v>Good</v>
      </c>
      <c r="AA168" t="str">
        <f ca="1">IFERROR(__xludf.DUMMYFUNCTION("""COMPUTED_VALUE"""),"Good")</f>
        <v>Good</v>
      </c>
      <c r="AB168" t="str">
        <f ca="1">IFERROR(__xludf.DUMMYFUNCTION("""COMPUTED_VALUE"""),"Good")</f>
        <v>Good</v>
      </c>
      <c r="AC168" t="str">
        <f ca="1">IFERROR(__xludf.DUMMYFUNCTION("""COMPUTED_VALUE"""),"Good")</f>
        <v>Good</v>
      </c>
      <c r="AE168" s="11"/>
      <c r="AF168" t="str">
        <v>Nikki.Dix@floridadep.gov</v>
      </c>
      <c r="AG168" s="17" t="s">
        <v>444</v>
      </c>
      <c r="AH168" s="12">
        <v>1130</v>
      </c>
      <c r="AI168" s="12" t="s">
        <v>445</v>
      </c>
      <c r="AJ168" s="19" t="s">
        <v>446</v>
      </c>
      <c r="AK168" s="20" t="str">
        <f>HYPERLINK("https://docs.google.com/document/d/1JqTnJCbGjhbLNmpNm8MVKYBsWfwqFc2Spby_NHY6YBU/edit?usp=drivesdk","Pamela Marcum - 10/2/2018 6:30 AM")</f>
        <v>Pamela Marcum - 10/2/2018 6:30 AM</v>
      </c>
      <c r="AL168" s="12" t="s">
        <v>447</v>
      </c>
    </row>
    <row r="169" spans="1:38" ht="12.75">
      <c r="A169" s="10">
        <f ca="1">IFERROR(__xludf.DUMMYFUNCTION("""COMPUTED_VALUE"""),43375.3281146064)</f>
        <v>43375.328114606396</v>
      </c>
      <c r="B169" s="11" t="str">
        <f ca="1">IFERROR(__xludf.DUMMYFUNCTION("""COMPUTED_VALUE"""),"Ben")</f>
        <v>Ben</v>
      </c>
      <c r="C169" t="str">
        <f ca="1">IFERROR(__xludf.DUMMYFUNCTION("""COMPUTED_VALUE"""),"ben.mowbray@dep.state.fl.us")</f>
        <v>ben.mowbray@dep.state.fl.us</v>
      </c>
      <c r="D169" t="str">
        <f ca="1">IFERROR(__xludf.DUMMYFUNCTION("""COMPUTED_VALUE"""),"Research/Pam")</f>
        <v>Research/Pam</v>
      </c>
      <c r="E169" t="str">
        <f ca="1">IFERROR(__xludf.DUMMYFUNCTION("""COMPUTED_VALUE"""),"Douglas Crane")</f>
        <v>Douglas Crane</v>
      </c>
      <c r="F169" s="13">
        <f ca="1">IFERROR(__xludf.DUMMYFUNCTION("""COMPUTED_VALUE"""),0.354166666667879)</f>
        <v>0.35416666666787899</v>
      </c>
      <c r="G169" s="14">
        <f ca="1">IFERROR(__xludf.DUMMYFUNCTION("""COMPUTED_VALUE"""),43375)</f>
        <v>43375</v>
      </c>
      <c r="H169" t="str">
        <f ca="1">IFERROR(__xludf.DUMMYFUNCTION("""COMPUTED_VALUE"""),"Jason's Creek Platforms")</f>
        <v>Jason's Creek Platforms</v>
      </c>
      <c r="I169" s="15">
        <f ca="1">IFERROR(__xludf.DUMMYFUNCTION("""COMPUTED_VALUE"""),0.541666666667879)</f>
        <v>0.54166666666787899</v>
      </c>
      <c r="J169" s="16">
        <f ca="1">IFERROR(__xludf.DUMMYFUNCTION("""COMPUTED_VALUE"""),43375.5694444444)</f>
        <v>43375.569444444402</v>
      </c>
      <c r="K169" t="str">
        <f ca="1">IFERROR(__xludf.DUMMYFUNCTION("""COMPUTED_VALUE"""),"20ft Sea Ark FL5351SJ UNF 2015")</f>
        <v>20ft Sea Ark FL5351SJ UNF 2015</v>
      </c>
      <c r="M169" t="str">
        <f ca="1">IFERROR(__xludf.DUMMYFUNCTION("""COMPUTED_VALUE"""),"Ford F250 2017 (Moby Dix) - DEP0021578")</f>
        <v>Ford F250 2017 (Moby Dix) - DEP0021578</v>
      </c>
      <c r="N169" t="str">
        <f ca="1">IFERROR(__xludf.DUMMYFUNCTION("""COMPUTED_VALUE"""),"Silas Tanner, (904) 483-8423, Ben Mowbray, (407) 962-8782")</f>
        <v>Silas Tanner, (904) 483-8423, Ben Mowbray, (407) 962-8782</v>
      </c>
      <c r="O169" t="str">
        <f ca="1">IFERROR(__xludf.DUMMYFUNCTION("""COMPUTED_VALUE"""),"Jess, Remo")</f>
        <v>Jess, Remo</v>
      </c>
      <c r="P169" t="str">
        <f ca="1">IFERROR(__xludf.DUMMYFUNCTION("""COMPUTED_VALUE"""),"Ben")</f>
        <v>Ben</v>
      </c>
      <c r="Q169" t="str">
        <f ca="1">IFERROR(__xludf.DUMMYFUNCTION("""COMPUTED_VALUE"""),"Good")</f>
        <v>Good</v>
      </c>
      <c r="R169" t="str">
        <f ca="1">IFERROR(__xludf.DUMMYFUNCTION("""COMPUTED_VALUE"""),"Good")</f>
        <v>Good</v>
      </c>
      <c r="S169" t="str">
        <f ca="1">IFERROR(__xludf.DUMMYFUNCTION("""COMPUTED_VALUE"""),"Good")</f>
        <v>Good</v>
      </c>
      <c r="T169" t="str">
        <f ca="1">IFERROR(__xludf.DUMMYFUNCTION("""COMPUTED_VALUE"""),"Good")</f>
        <v>Good</v>
      </c>
      <c r="U169" t="str">
        <f ca="1">IFERROR(__xludf.DUMMYFUNCTION("""COMPUTED_VALUE"""),"Good")</f>
        <v>Good</v>
      </c>
      <c r="V169" t="str">
        <f ca="1">IFERROR(__xludf.DUMMYFUNCTION("""COMPUTED_VALUE"""),"Good")</f>
        <v>Good</v>
      </c>
      <c r="W169" t="str">
        <f ca="1">IFERROR(__xludf.DUMMYFUNCTION("""COMPUTED_VALUE"""),"Good")</f>
        <v>Good</v>
      </c>
      <c r="X169" t="str">
        <f ca="1">IFERROR(__xludf.DUMMYFUNCTION("""COMPUTED_VALUE"""),"Good")</f>
        <v>Good</v>
      </c>
      <c r="Y169" t="str">
        <f ca="1">IFERROR(__xludf.DUMMYFUNCTION("""COMPUTED_VALUE"""),"Good")</f>
        <v>Good</v>
      </c>
      <c r="Z169" t="str">
        <f ca="1">IFERROR(__xludf.DUMMYFUNCTION("""COMPUTED_VALUE"""),"Good")</f>
        <v>Good</v>
      </c>
      <c r="AA169" t="str">
        <f ca="1">IFERROR(__xludf.DUMMYFUNCTION("""COMPUTED_VALUE"""),"Good")</f>
        <v>Good</v>
      </c>
      <c r="AB169" t="str">
        <f ca="1">IFERROR(__xludf.DUMMYFUNCTION("""COMPUTED_VALUE"""),"Good")</f>
        <v>Good</v>
      </c>
      <c r="AC169" t="str">
        <f ca="1">IFERROR(__xludf.DUMMYFUNCTION("""COMPUTED_VALUE"""),"Good")</f>
        <v>Good</v>
      </c>
      <c r="AE169" s="11"/>
      <c r="AF169" t="str">
        <v>Pamela.Marcum@floridadep.gov</v>
      </c>
      <c r="AG169" s="17" t="s">
        <v>41</v>
      </c>
      <c r="AH169" s="12">
        <v>1215</v>
      </c>
      <c r="AI169" s="12" t="s">
        <v>448</v>
      </c>
      <c r="AJ169" s="19" t="s">
        <v>449</v>
      </c>
      <c r="AK169" s="20" t="str">
        <f>HYPERLINK("https://docs.google.com/document/d/1OeQTHLSFGSAT31agDkq7pmB0XfjKbGB3H-0rpdiqzEk/edit?usp=drivesdk","Ben - 10/2/2018 8:30 AM")</f>
        <v>Ben - 10/2/2018 8:30 AM</v>
      </c>
      <c r="AL169" s="12" t="s">
        <v>450</v>
      </c>
    </row>
    <row r="170" spans="1:38" ht="12.75">
      <c r="A170" s="10">
        <f ca="1">IFERROR(__xludf.DUMMYFUNCTION("""COMPUTED_VALUE"""),43376.2596190972)</f>
        <v>43376.259619097204</v>
      </c>
      <c r="B170" s="11" t="str">
        <f ca="1">IFERROR(__xludf.DUMMYFUNCTION("""COMPUTED_VALUE"""),"Pam Marcum")</f>
        <v>Pam Marcum</v>
      </c>
      <c r="C170" t="str">
        <f ca="1">IFERROR(__xludf.DUMMYFUNCTION("""COMPUTED_VALUE"""),"Pamela.Marcum@dep.state.fl.us")</f>
        <v>Pamela.Marcum@dep.state.fl.us</v>
      </c>
      <c r="D170" t="str">
        <f ca="1">IFERROR(__xludf.DUMMYFUNCTION("""COMPUTED_VALUE"""),"Research/Nikki")</f>
        <v>Research/Nikki</v>
      </c>
      <c r="E170" t="str">
        <f ca="1">IFERROR(__xludf.DUMMYFUNCTION("""COMPUTED_VALUE"""),"Aunt Kate's")</f>
        <v>Aunt Kate's</v>
      </c>
      <c r="F170" s="13">
        <f ca="1">IFERROR(__xludf.DUMMYFUNCTION("""COMPUTED_VALUE"""),0.291666666667879)</f>
        <v>0.29166666666787899</v>
      </c>
      <c r="G170" s="14">
        <f ca="1">IFERROR(__xludf.DUMMYFUNCTION("""COMPUTED_VALUE"""),43376)</f>
        <v>43376</v>
      </c>
      <c r="H170" t="str">
        <f ca="1">IFERROR(__xludf.DUMMYFUNCTION("""COMPUTED_VALUE"""),"Robinson Creek, Guana River, Tolomato River")</f>
        <v>Robinson Creek, Guana River, Tolomato River</v>
      </c>
      <c r="I170" s="15">
        <f ca="1">IFERROR(__xludf.DUMMYFUNCTION("""COMPUTED_VALUE"""),0.541666666667879)</f>
        <v>0.54166666666787899</v>
      </c>
      <c r="J170" s="16">
        <f ca="1">IFERROR(__xludf.DUMMYFUNCTION("""COMPUTED_VALUE"""),43376.5625)</f>
        <v>43376.5625</v>
      </c>
      <c r="K170" t="str">
        <f ca="1">IFERROR(__xludf.DUMMYFUNCTION("""COMPUTED_VALUE"""),"23ft Skiff (Bertha) FL7972LJ DEP07613")</f>
        <v>23ft Skiff (Bertha) FL7972LJ DEP07613</v>
      </c>
      <c r="M170" t="str">
        <f ca="1">IFERROR(__xludf.DUMMYFUNCTION("""COMPUTED_VALUE"""),"Ford F150 2008 - DEP18041 (SWMP Thing)")</f>
        <v>Ford F150 2008 - DEP18041 (SWMP Thing)</v>
      </c>
      <c r="N170" t="str">
        <f ca="1">IFERROR(__xludf.DUMMYFUNCTION("""COMPUTED_VALUE"""),"Pam Marcum, (480) 332-5414")</f>
        <v>Pam Marcum, (480) 332-5414</v>
      </c>
      <c r="O170" t="str">
        <f ca="1">IFERROR(__xludf.DUMMYFUNCTION("""COMPUTED_VALUE"""),"Rodrigo Pavani, Adrienne Breef-Pilz, Nicole Peckham, Craig Tinus")</f>
        <v>Rodrigo Pavani, Adrienne Breef-Pilz, Nicole Peckham, Craig Tinus</v>
      </c>
      <c r="P170" t="str">
        <f ca="1">IFERROR(__xludf.DUMMYFUNCTION("""COMPUTED_VALUE"""),"Pam")</f>
        <v>Pam</v>
      </c>
      <c r="Q170" t="str">
        <f ca="1">IFERROR(__xludf.DUMMYFUNCTION("""COMPUTED_VALUE"""),"Good")</f>
        <v>Good</v>
      </c>
      <c r="R170" t="str">
        <f ca="1">IFERROR(__xludf.DUMMYFUNCTION("""COMPUTED_VALUE"""),"Good")</f>
        <v>Good</v>
      </c>
      <c r="S170" t="str">
        <f ca="1">IFERROR(__xludf.DUMMYFUNCTION("""COMPUTED_VALUE"""),"Good")</f>
        <v>Good</v>
      </c>
      <c r="T170" t="str">
        <f ca="1">IFERROR(__xludf.DUMMYFUNCTION("""COMPUTED_VALUE"""),"Good")</f>
        <v>Good</v>
      </c>
      <c r="U170" t="str">
        <f ca="1">IFERROR(__xludf.DUMMYFUNCTION("""COMPUTED_VALUE"""),"Good")</f>
        <v>Good</v>
      </c>
      <c r="V170" t="str">
        <f ca="1">IFERROR(__xludf.DUMMYFUNCTION("""COMPUTED_VALUE"""),"Good")</f>
        <v>Good</v>
      </c>
      <c r="W170" t="str">
        <f ca="1">IFERROR(__xludf.DUMMYFUNCTION("""COMPUTED_VALUE"""),"Good")</f>
        <v>Good</v>
      </c>
      <c r="X170" t="str">
        <f ca="1">IFERROR(__xludf.DUMMYFUNCTION("""COMPUTED_VALUE"""),"Good")</f>
        <v>Good</v>
      </c>
      <c r="Y170" t="str">
        <f ca="1">IFERROR(__xludf.DUMMYFUNCTION("""COMPUTED_VALUE"""),"Good")</f>
        <v>Good</v>
      </c>
      <c r="Z170" t="str">
        <f ca="1">IFERROR(__xludf.DUMMYFUNCTION("""COMPUTED_VALUE"""),"Good")</f>
        <v>Good</v>
      </c>
      <c r="AA170" t="str">
        <f ca="1">IFERROR(__xludf.DUMMYFUNCTION("""COMPUTED_VALUE"""),"Good")</f>
        <v>Good</v>
      </c>
      <c r="AB170" t="str">
        <f ca="1">IFERROR(__xludf.DUMMYFUNCTION("""COMPUTED_VALUE"""),"Good")</f>
        <v>Good</v>
      </c>
      <c r="AC170" t="str">
        <f ca="1">IFERROR(__xludf.DUMMYFUNCTION("""COMPUTED_VALUE"""),"Good")</f>
        <v>Good</v>
      </c>
      <c r="AE170" s="11"/>
      <c r="AF170" t="str">
        <v>Nikki.Dix@floridadep.gov</v>
      </c>
      <c r="AG170" s="17" t="s">
        <v>58</v>
      </c>
      <c r="AH170" s="12">
        <v>1350</v>
      </c>
      <c r="AI170" s="12" t="s">
        <v>451</v>
      </c>
      <c r="AJ170" s="19" t="s">
        <v>452</v>
      </c>
      <c r="AK170" s="20" t="str">
        <f>HYPERLINK("https://docs.google.com/document/d/1h91QH6PngBZUaCNZ-MO08urM96IecrjSB_niSTukIOo/edit?usp=drivesdk","Pam Marcum - 10/3/2018 7:00 AM")</f>
        <v>Pam Marcum - 10/3/2018 7:00 AM</v>
      </c>
      <c r="AL170" s="12" t="s">
        <v>453</v>
      </c>
    </row>
    <row r="171" spans="1:38" ht="12.75">
      <c r="A171" s="10">
        <f ca="1">IFERROR(__xludf.DUMMYFUNCTION("""COMPUTED_VALUE"""),43376.3000109374)</f>
        <v>43376.300010937499</v>
      </c>
      <c r="B171" s="11" t="str">
        <f ca="1">IFERROR(__xludf.DUMMYFUNCTION("""COMPUTED_VALUE"""),"Ben")</f>
        <v>Ben</v>
      </c>
      <c r="C171" t="str">
        <f ca="1">IFERROR(__xludf.DUMMYFUNCTION("""COMPUTED_VALUE"""),"ben.mowbray@dep.state.fl")</f>
        <v>ben.mowbray@dep.state.fl</v>
      </c>
      <c r="D171" t="str">
        <f ca="1">IFERROR(__xludf.DUMMYFUNCTION("""COMPUTED_VALUE"""),"Research/Pam")</f>
        <v>Research/Pam</v>
      </c>
      <c r="E171" t="str">
        <f ca="1">IFERROR(__xludf.DUMMYFUNCTION("""COMPUTED_VALUE"""),"Aunt Kate's")</f>
        <v>Aunt Kate's</v>
      </c>
      <c r="F171" s="13">
        <f ca="1">IFERROR(__xludf.DUMMYFUNCTION("""COMPUTED_VALUE"""),0.319444444445252)</f>
        <v>0.319444444445252</v>
      </c>
      <c r="G171" s="14">
        <f ca="1">IFERROR(__xludf.DUMMYFUNCTION("""COMPUTED_VALUE"""),43376)</f>
        <v>43376</v>
      </c>
      <c r="H171" t="str">
        <f ca="1">IFERROR(__xludf.DUMMYFUNCTION("""COMPUTED_VALUE"""),"Hat Island Platforms")</f>
        <v>Hat Island Platforms</v>
      </c>
      <c r="I171" s="15">
        <f ca="1">IFERROR(__xludf.DUMMYFUNCTION("""COMPUTED_VALUE"""),0.52083333333212)</f>
        <v>0.52083333333212001</v>
      </c>
      <c r="J171" s="16">
        <f ca="1">IFERROR(__xludf.DUMMYFUNCTION("""COMPUTED_VALUE"""),43376.5416666666)</f>
        <v>43376.541666666599</v>
      </c>
      <c r="K171" t="str">
        <f ca="1">IFERROR(__xludf.DUMMYFUNCTION("""COMPUTED_VALUE"""),"20ft Sea Ark FL5351SJ UNF 2015")</f>
        <v>20ft Sea Ark FL5351SJ UNF 2015</v>
      </c>
      <c r="M171" t="str">
        <f ca="1">IFERROR(__xludf.DUMMYFUNCTION("""COMPUTED_VALUE"""),"Ford F250 2017 (Moby Dix) - DEP0021578")</f>
        <v>Ford F250 2017 (Moby Dix) - DEP0021578</v>
      </c>
      <c r="N171" t="str">
        <f ca="1">IFERROR(__xludf.DUMMYFUNCTION("""COMPUTED_VALUE"""),"Silas Tanner, (904) 483-8423, Ben Mowbray, (407) 962-8782")</f>
        <v>Silas Tanner, (904) 483-8423, Ben Mowbray, (407) 962-8782</v>
      </c>
      <c r="O171" t="str">
        <f ca="1">IFERROR(__xludf.DUMMYFUNCTION("""COMPUTED_VALUE"""),"Jessica Lee")</f>
        <v>Jessica Lee</v>
      </c>
      <c r="P171" t="str">
        <f ca="1">IFERROR(__xludf.DUMMYFUNCTION("""COMPUTED_VALUE"""),"Ben")</f>
        <v>Ben</v>
      </c>
      <c r="Q171" t="str">
        <f ca="1">IFERROR(__xludf.DUMMYFUNCTION("""COMPUTED_VALUE"""),"Good")</f>
        <v>Good</v>
      </c>
      <c r="R171" t="str">
        <f ca="1">IFERROR(__xludf.DUMMYFUNCTION("""COMPUTED_VALUE"""),"Good")</f>
        <v>Good</v>
      </c>
      <c r="S171" t="str">
        <f ca="1">IFERROR(__xludf.DUMMYFUNCTION("""COMPUTED_VALUE"""),"Good")</f>
        <v>Good</v>
      </c>
      <c r="T171" t="str">
        <f ca="1">IFERROR(__xludf.DUMMYFUNCTION("""COMPUTED_VALUE"""),"Good")</f>
        <v>Good</v>
      </c>
      <c r="U171" t="str">
        <f ca="1">IFERROR(__xludf.DUMMYFUNCTION("""COMPUTED_VALUE"""),"Good")</f>
        <v>Good</v>
      </c>
      <c r="V171" t="str">
        <f ca="1">IFERROR(__xludf.DUMMYFUNCTION("""COMPUTED_VALUE"""),"Good")</f>
        <v>Good</v>
      </c>
      <c r="W171" t="str">
        <f ca="1">IFERROR(__xludf.DUMMYFUNCTION("""COMPUTED_VALUE"""),"Good")</f>
        <v>Good</v>
      </c>
      <c r="X171" t="str">
        <f ca="1">IFERROR(__xludf.DUMMYFUNCTION("""COMPUTED_VALUE"""),"Good")</f>
        <v>Good</v>
      </c>
      <c r="Y171" t="str">
        <f ca="1">IFERROR(__xludf.DUMMYFUNCTION("""COMPUTED_VALUE"""),"Good")</f>
        <v>Good</v>
      </c>
      <c r="Z171" t="str">
        <f ca="1">IFERROR(__xludf.DUMMYFUNCTION("""COMPUTED_VALUE"""),"Good")</f>
        <v>Good</v>
      </c>
      <c r="AA171" t="str">
        <f ca="1">IFERROR(__xludf.DUMMYFUNCTION("""COMPUTED_VALUE"""),"Good")</f>
        <v>Good</v>
      </c>
      <c r="AB171" t="str">
        <f ca="1">IFERROR(__xludf.DUMMYFUNCTION("""COMPUTED_VALUE"""),"Good")</f>
        <v>Good</v>
      </c>
      <c r="AC171" t="str">
        <f ca="1">IFERROR(__xludf.DUMMYFUNCTION("""COMPUTED_VALUE"""),"Good")</f>
        <v>Good</v>
      </c>
      <c r="AE171" s="11"/>
      <c r="AF171" t="str">
        <v>Pamela.Marcum@floridadep.gov</v>
      </c>
      <c r="AG171" s="17" t="s">
        <v>17</v>
      </c>
      <c r="AH171" s="12">
        <v>1150</v>
      </c>
      <c r="AI171" s="12" t="s">
        <v>454</v>
      </c>
      <c r="AJ171" s="19" t="s">
        <v>455</v>
      </c>
      <c r="AK171" s="20" t="str">
        <f>HYPERLINK("https://docs.google.com/document/d/1JRlYA77vV_VIb-S6I2VOgzFmlAaoJSMri79y4krYTeg/edit?usp=drivesdk","Ben - 10/3/2018 7:40 AM")</f>
        <v>Ben - 10/3/2018 7:40 AM</v>
      </c>
      <c r="AL171" s="12" t="s">
        <v>456</v>
      </c>
    </row>
    <row r="172" spans="1:38" ht="12.75">
      <c r="A172" s="10">
        <f ca="1">IFERROR(__xludf.DUMMYFUNCTION("""COMPUTED_VALUE"""),43377.2953647916)</f>
        <v>43377.2953647916</v>
      </c>
      <c r="B172" s="11" t="str">
        <f ca="1">IFERROR(__xludf.DUMMYFUNCTION("""COMPUTED_VALUE"""),"Pamela Marcum")</f>
        <v>Pamela Marcum</v>
      </c>
      <c r="C172" t="str">
        <f ca="1">IFERROR(__xludf.DUMMYFUNCTION("""COMPUTED_VALUE"""),"Pamela.Marcum@dep.state.fl.us")</f>
        <v>Pamela.Marcum@dep.state.fl.us</v>
      </c>
      <c r="D172" t="str">
        <f ca="1">IFERROR(__xludf.DUMMYFUNCTION("""COMPUTED_VALUE"""),"Research/Nikki")</f>
        <v>Research/Nikki</v>
      </c>
      <c r="E172" t="str">
        <f ca="1">IFERROR(__xludf.DUMMYFUNCTION("""COMPUTED_VALUE"""),"Aunt Kate's 7:15, Green Rd 12:30, Bings 2:00")</f>
        <v>Aunt Kate's 7:15, Green Rd 12:30, Bings 2:00</v>
      </c>
      <c r="F172" s="13">
        <f ca="1">IFERROR(__xludf.DUMMYFUNCTION("""COMPUTED_VALUE"""),0.30208333333212)</f>
        <v>0.30208333333212001</v>
      </c>
      <c r="G172" s="14">
        <f ca="1">IFERROR(__xludf.DUMMYFUNCTION("""COMPUTED_VALUE"""),43377)</f>
        <v>43377</v>
      </c>
      <c r="H172" t="str">
        <f ca="1">IFERROR(__xludf.DUMMYFUNCTION("""COMPUTED_VALUE"""),"Spat trees - north to south")</f>
        <v>Spat trees - north to south</v>
      </c>
      <c r="I172" s="15">
        <f ca="1">IFERROR(__xludf.DUMMYFUNCTION("""COMPUTED_VALUE"""),0.625)</f>
        <v>0.625</v>
      </c>
      <c r="J172" s="16">
        <f ca="1">IFERROR(__xludf.DUMMYFUNCTION("""COMPUTED_VALUE"""),43377.6666666666)</f>
        <v>43377.666666666599</v>
      </c>
      <c r="K172" t="str">
        <f ca="1">IFERROR(__xludf.DUMMYFUNCTION("""COMPUTED_VALUE"""),"20ft Sea Ark FL5351SJ UNF 2015")</f>
        <v>20ft Sea Ark FL5351SJ UNF 2015</v>
      </c>
      <c r="M172" t="str">
        <f ca="1">IFERROR(__xludf.DUMMYFUNCTION("""COMPUTED_VALUE"""),"Ford F150 2008 - DEP18041 (SWMP Thing)")</f>
        <v>Ford F150 2008 - DEP18041 (SWMP Thing)</v>
      </c>
      <c r="N172" t="str">
        <f ca="1">IFERROR(__xludf.DUMMYFUNCTION("""COMPUTED_VALUE"""),"Pam Marcum, (480) 332-5414")</f>
        <v>Pam Marcum, (480) 332-5414</v>
      </c>
      <c r="O172" t="str">
        <f ca="1">IFERROR(__xludf.DUMMYFUNCTION("""COMPUTED_VALUE"""),"Alicia Bishop, Diane Downing")</f>
        <v>Alicia Bishop, Diane Downing</v>
      </c>
      <c r="P172" t="str">
        <f ca="1">IFERROR(__xludf.DUMMYFUNCTION("""COMPUTED_VALUE"""),"Pam")</f>
        <v>Pam</v>
      </c>
      <c r="Q172" t="str">
        <f ca="1">IFERROR(__xludf.DUMMYFUNCTION("""COMPUTED_VALUE"""),"Good")</f>
        <v>Good</v>
      </c>
      <c r="R172" t="str">
        <f ca="1">IFERROR(__xludf.DUMMYFUNCTION("""COMPUTED_VALUE"""),"Good")</f>
        <v>Good</v>
      </c>
      <c r="S172" t="str">
        <f ca="1">IFERROR(__xludf.DUMMYFUNCTION("""COMPUTED_VALUE"""),"Good")</f>
        <v>Good</v>
      </c>
      <c r="T172" t="str">
        <f ca="1">IFERROR(__xludf.DUMMYFUNCTION("""COMPUTED_VALUE"""),"Good")</f>
        <v>Good</v>
      </c>
      <c r="U172" t="str">
        <f ca="1">IFERROR(__xludf.DUMMYFUNCTION("""COMPUTED_VALUE"""),"Good")</f>
        <v>Good</v>
      </c>
      <c r="V172" t="str">
        <f ca="1">IFERROR(__xludf.DUMMYFUNCTION("""COMPUTED_VALUE"""),"Good")</f>
        <v>Good</v>
      </c>
      <c r="W172" t="str">
        <f ca="1">IFERROR(__xludf.DUMMYFUNCTION("""COMPUTED_VALUE"""),"Good")</f>
        <v>Good</v>
      </c>
      <c r="X172" t="str">
        <f ca="1">IFERROR(__xludf.DUMMYFUNCTION("""COMPUTED_VALUE"""),"Good")</f>
        <v>Good</v>
      </c>
      <c r="Y172" t="str">
        <f ca="1">IFERROR(__xludf.DUMMYFUNCTION("""COMPUTED_VALUE"""),"Good")</f>
        <v>Good</v>
      </c>
      <c r="Z172" t="str">
        <f ca="1">IFERROR(__xludf.DUMMYFUNCTION("""COMPUTED_VALUE"""),"Good")</f>
        <v>Good</v>
      </c>
      <c r="AA172" t="str">
        <f ca="1">IFERROR(__xludf.DUMMYFUNCTION("""COMPUTED_VALUE"""),"Good")</f>
        <v>Good</v>
      </c>
      <c r="AB172" t="str">
        <f ca="1">IFERROR(__xludf.DUMMYFUNCTION("""COMPUTED_VALUE"""),"Good")</f>
        <v>Good</v>
      </c>
      <c r="AC172" t="str">
        <f ca="1">IFERROR(__xludf.DUMMYFUNCTION("""COMPUTED_VALUE"""),"Good")</f>
        <v>Good</v>
      </c>
      <c r="AE172" s="11"/>
      <c r="AF172" t="str">
        <v>Nikki.Dix@floridadep.gov</v>
      </c>
      <c r="AG172" s="17" t="s">
        <v>41</v>
      </c>
      <c r="AH172" s="12">
        <v>1615</v>
      </c>
      <c r="AI172" s="12" t="s">
        <v>457</v>
      </c>
      <c r="AJ172" s="19" t="s">
        <v>458</v>
      </c>
      <c r="AK172" s="20" t="str">
        <f>HYPERLINK("https://docs.google.com/document/d/1jLef7WH1ZWvUDuCPO5cYBeyKUgeRQ04zAG93ZEtwINk/edit?usp=drivesdk","Pamela Marcum - 10/4/2018 7:15 AM")</f>
        <v>Pamela Marcum - 10/4/2018 7:15 AM</v>
      </c>
      <c r="AL172" s="12" t="s">
        <v>459</v>
      </c>
    </row>
    <row r="173" spans="1:38" ht="12.75">
      <c r="A173" s="10">
        <f ca="1">IFERROR(__xludf.DUMMYFUNCTION("""COMPUTED_VALUE"""),43377.3132212384)</f>
        <v>43377.313221238401</v>
      </c>
      <c r="B173" s="11" t="str">
        <f ca="1">IFERROR(__xludf.DUMMYFUNCTION("""COMPUTED_VALUE"""),"Silas Tanner")</f>
        <v>Silas Tanner</v>
      </c>
      <c r="C173" t="str">
        <f ca="1">IFERROR(__xludf.DUMMYFUNCTION("""COMPUTED_VALUE"""),"silas.tanner@floridadep.gov")</f>
        <v>silas.tanner@floridadep.gov</v>
      </c>
      <c r="D173" t="str">
        <f ca="1">IFERROR(__xludf.DUMMYFUNCTION("""COMPUTED_VALUE"""),"Research/Nikki")</f>
        <v>Research/Nikki</v>
      </c>
      <c r="E173" t="str">
        <f ca="1">IFERROR(__xludf.DUMMYFUNCTION("""COMPUTED_VALUE"""),"Moses Creek floating dock")</f>
        <v>Moses Creek floating dock</v>
      </c>
      <c r="F173" s="13">
        <f ca="1">IFERROR(__xludf.DUMMYFUNCTION("""COMPUTED_VALUE"""),0.33333333333212)</f>
        <v>0.33333333333212001</v>
      </c>
      <c r="G173" s="14">
        <f ca="1">IFERROR(__xludf.DUMMYFUNCTION("""COMPUTED_VALUE"""),43377)</f>
        <v>43377</v>
      </c>
      <c r="H173" t="str">
        <f ca="1">IFERROR(__xludf.DUMMYFUNCTION("""COMPUTED_VALUE"""),"Moses Creek platforms")</f>
        <v>Moses Creek platforms</v>
      </c>
      <c r="I173" s="15">
        <f ca="1">IFERROR(__xludf.DUMMYFUNCTION("""COMPUTED_VALUE"""),0.58333333333212)</f>
        <v>0.58333333333212001</v>
      </c>
      <c r="J173" s="16">
        <f ca="1">IFERROR(__xludf.DUMMYFUNCTION("""COMPUTED_VALUE"""),43377.625)</f>
        <v>43377.625</v>
      </c>
      <c r="K173" t="str">
        <f ca="1">IFERROR(__xludf.DUMMYFUNCTION("""COMPUTED_VALUE"""),"Canoe(s)")</f>
        <v>Canoe(s)</v>
      </c>
      <c r="L173">
        <f ca="1">IFERROR(__xludf.DUMMYFUNCTION("""COMPUTED_VALUE"""),2)</f>
        <v>2</v>
      </c>
      <c r="M173" t="str">
        <f ca="1">IFERROR(__xludf.DUMMYFUNCTION("""COMPUTED_VALUE"""),"Ford F250 2017 (Moby Dix) - DEP0021578")</f>
        <v>Ford F250 2017 (Moby Dix) - DEP0021578</v>
      </c>
      <c r="N173" t="str">
        <f ca="1">IFERROR(__xludf.DUMMYFUNCTION("""COMPUTED_VALUE"""),"Silas Tanner, (904) 483-8423, Ben Mowbray, (407) 962-8782")</f>
        <v>Silas Tanner, (904) 483-8423, Ben Mowbray, (407) 962-8782</v>
      </c>
      <c r="O173" t="str">
        <f ca="1">IFERROR(__xludf.DUMMYFUNCTION("""COMPUTED_VALUE"""),"Hunter Mathews")</f>
        <v>Hunter Mathews</v>
      </c>
      <c r="P173" t="str">
        <f ca="1">IFERROR(__xludf.DUMMYFUNCTION("""COMPUTED_VALUE"""),"Silas Tanner")</f>
        <v>Silas Tanner</v>
      </c>
      <c r="Q173" t="str">
        <f ca="1">IFERROR(__xludf.DUMMYFUNCTION("""COMPUTED_VALUE"""),"Good")</f>
        <v>Good</v>
      </c>
      <c r="R173" t="str">
        <f ca="1">IFERROR(__xludf.DUMMYFUNCTION("""COMPUTED_VALUE"""),"Good")</f>
        <v>Good</v>
      </c>
      <c r="S173" t="str">
        <f ca="1">IFERROR(__xludf.DUMMYFUNCTION("""COMPUTED_VALUE"""),"Good")</f>
        <v>Good</v>
      </c>
      <c r="T173" t="str">
        <f ca="1">IFERROR(__xludf.DUMMYFUNCTION("""COMPUTED_VALUE"""),"Good")</f>
        <v>Good</v>
      </c>
      <c r="U173" t="str">
        <f ca="1">IFERROR(__xludf.DUMMYFUNCTION("""COMPUTED_VALUE"""),"Good")</f>
        <v>Good</v>
      </c>
      <c r="V173" t="str">
        <f ca="1">IFERROR(__xludf.DUMMYFUNCTION("""COMPUTED_VALUE"""),"Good")</f>
        <v>Good</v>
      </c>
      <c r="W173" t="str">
        <f ca="1">IFERROR(__xludf.DUMMYFUNCTION("""COMPUTED_VALUE"""),"Good")</f>
        <v>Good</v>
      </c>
      <c r="X173" t="str">
        <f ca="1">IFERROR(__xludf.DUMMYFUNCTION("""COMPUTED_VALUE"""),"Good")</f>
        <v>Good</v>
      </c>
      <c r="Y173" t="str">
        <f ca="1">IFERROR(__xludf.DUMMYFUNCTION("""COMPUTED_VALUE"""),"Good")</f>
        <v>Good</v>
      </c>
      <c r="Z173" t="str">
        <f ca="1">IFERROR(__xludf.DUMMYFUNCTION("""COMPUTED_VALUE"""),"Good")</f>
        <v>Good</v>
      </c>
      <c r="AA173" t="str">
        <f ca="1">IFERROR(__xludf.DUMMYFUNCTION("""COMPUTED_VALUE"""),"Good")</f>
        <v>Good</v>
      </c>
      <c r="AB173" t="str">
        <f ca="1">IFERROR(__xludf.DUMMYFUNCTION("""COMPUTED_VALUE"""),"Good")</f>
        <v>Good</v>
      </c>
      <c r="AC173" t="str">
        <f ca="1">IFERROR(__xludf.DUMMYFUNCTION("""COMPUTED_VALUE"""),"Good")</f>
        <v>Good</v>
      </c>
      <c r="AE173" s="11"/>
      <c r="AF173" t="str">
        <v>Nikki.Dix@floridadep.gov</v>
      </c>
      <c r="AG173" s="17" t="s">
        <v>58</v>
      </c>
      <c r="AH173" s="12">
        <v>1320</v>
      </c>
      <c r="AI173" s="12" t="s">
        <v>460</v>
      </c>
      <c r="AJ173" s="19" t="s">
        <v>461</v>
      </c>
      <c r="AK173" s="20" t="str">
        <f>HYPERLINK("https://docs.google.com/document/d/1LuCtXJrW5W_uDwtAy3HfcI7oOa4lD8iG7UzSamPCoDk/edit?usp=drivesdk","Silas Tanner - 10/4/2018 8:00 AM")</f>
        <v>Silas Tanner - 10/4/2018 8:00 AM</v>
      </c>
      <c r="AL173" s="12" t="s">
        <v>462</v>
      </c>
    </row>
    <row r="174" spans="1:38" ht="12.75">
      <c r="A174" s="10">
        <f ca="1">IFERROR(__xludf.DUMMYFUNCTION("""COMPUTED_VALUE"""),43377.3379065162)</f>
        <v>43377.337906516201</v>
      </c>
      <c r="B174" s="11" t="str">
        <f ca="1">IFERROR(__xludf.DUMMYFUNCTION("""COMPUTED_VALUE"""),"Shannon Dunnigan")</f>
        <v>Shannon Dunnigan</v>
      </c>
      <c r="C174" t="str">
        <f ca="1">IFERROR(__xludf.DUMMYFUNCTION("""COMPUTED_VALUE"""),"shannon.dunnigan@floridadep.gov")</f>
        <v>shannon.dunnigan@floridadep.gov</v>
      </c>
      <c r="D174" t="str">
        <f ca="1">IFERROR(__xludf.DUMMYFUNCTION("""COMPUTED_VALUE"""),"Research/Nikki")</f>
        <v>Research/Nikki</v>
      </c>
      <c r="E174" t="str">
        <f ca="1">IFERROR(__xludf.DUMMYFUNCTION("""COMPUTED_VALUE"""),"Bings")</f>
        <v>Bings</v>
      </c>
      <c r="F174" s="13">
        <f ca="1">IFERROR(__xludf.DUMMYFUNCTION("""COMPUTED_VALUE"""),0.385416666667879)</f>
        <v>0.38541666666787899</v>
      </c>
      <c r="G174" s="14">
        <f ca="1">IFERROR(__xludf.DUMMYFUNCTION("""COMPUTED_VALUE"""),43377)</f>
        <v>43377</v>
      </c>
      <c r="H174" t="str">
        <f ca="1">IFERROR(__xludf.DUMMYFUNCTION("""COMPUTED_VALUE"""),"Summerhaven")</f>
        <v>Summerhaven</v>
      </c>
      <c r="I174" s="15">
        <f ca="1">IFERROR(__xludf.DUMMYFUNCTION("""COMPUTED_VALUE"""),0)</f>
        <v>0</v>
      </c>
      <c r="J174" s="16">
        <f ca="1">IFERROR(__xludf.DUMMYFUNCTION("""COMPUTED_VALUE"""),43377.5625)</f>
        <v>43377.5625</v>
      </c>
      <c r="K174" t="str">
        <f ca="1">IFERROR(__xludf.DUMMYFUNCTION("""COMPUTED_VALUE"""),"23ft Skiff (Bertha) FL7972LJ DEP07613")</f>
        <v>23ft Skiff (Bertha) FL7972LJ DEP07613</v>
      </c>
      <c r="M174" t="str">
        <f ca="1">IFERROR(__xludf.DUMMYFUNCTION("""COMPUTED_VALUE"""),"Ford F150 2015 (White) - DEP21448")</f>
        <v>Ford F150 2015 (White) - DEP21448</v>
      </c>
      <c r="N174" t="str">
        <f ca="1">IFERROR(__xludf.DUMMYFUNCTION("""COMPUTED_VALUE"""),"Shannon Dunnigan, (803) 727-5734")</f>
        <v>Shannon Dunnigan, (803) 727-5734</v>
      </c>
      <c r="O174" t="str">
        <f ca="1">IFERROR(__xludf.DUMMYFUNCTION("""COMPUTED_VALUE"""),"Westly Woodward")</f>
        <v>Westly Woodward</v>
      </c>
      <c r="P174" t="str">
        <f ca="1">IFERROR(__xludf.DUMMYFUNCTION("""COMPUTED_VALUE"""),"Shannon")</f>
        <v>Shannon</v>
      </c>
      <c r="Q174" t="str">
        <f ca="1">IFERROR(__xludf.DUMMYFUNCTION("""COMPUTED_VALUE"""),"Good")</f>
        <v>Good</v>
      </c>
      <c r="R174" t="str">
        <f ca="1">IFERROR(__xludf.DUMMYFUNCTION("""COMPUTED_VALUE"""),"Good")</f>
        <v>Good</v>
      </c>
      <c r="S174" t="str">
        <f ca="1">IFERROR(__xludf.DUMMYFUNCTION("""COMPUTED_VALUE"""),"Good")</f>
        <v>Good</v>
      </c>
      <c r="T174" t="str">
        <f ca="1">IFERROR(__xludf.DUMMYFUNCTION("""COMPUTED_VALUE"""),"Good")</f>
        <v>Good</v>
      </c>
      <c r="U174" t="str">
        <f ca="1">IFERROR(__xludf.DUMMYFUNCTION("""COMPUTED_VALUE"""),"Good")</f>
        <v>Good</v>
      </c>
      <c r="V174" t="str">
        <f ca="1">IFERROR(__xludf.DUMMYFUNCTION("""COMPUTED_VALUE"""),"Good")</f>
        <v>Good</v>
      </c>
      <c r="W174" t="str">
        <f ca="1">IFERROR(__xludf.DUMMYFUNCTION("""COMPUTED_VALUE"""),"Good")</f>
        <v>Good</v>
      </c>
      <c r="X174" t="str">
        <f ca="1">IFERROR(__xludf.DUMMYFUNCTION("""COMPUTED_VALUE"""),"Good")</f>
        <v>Good</v>
      </c>
      <c r="Y174" t="str">
        <f ca="1">IFERROR(__xludf.DUMMYFUNCTION("""COMPUTED_VALUE"""),"Good")</f>
        <v>Good</v>
      </c>
      <c r="Z174" t="str">
        <f ca="1">IFERROR(__xludf.DUMMYFUNCTION("""COMPUTED_VALUE"""),"Good")</f>
        <v>Good</v>
      </c>
      <c r="AA174" t="str">
        <f ca="1">IFERROR(__xludf.DUMMYFUNCTION("""COMPUTED_VALUE"""),"Good")</f>
        <v>Good</v>
      </c>
      <c r="AB174" t="str">
        <f ca="1">IFERROR(__xludf.DUMMYFUNCTION("""COMPUTED_VALUE"""),"Good")</f>
        <v>Good</v>
      </c>
      <c r="AC174" t="str">
        <f ca="1">IFERROR(__xludf.DUMMYFUNCTION("""COMPUTED_VALUE"""),"Good")</f>
        <v>Good</v>
      </c>
      <c r="AE174" s="11"/>
      <c r="AF174" t="str">
        <v>Nikki.Dix@floridadep.gov</v>
      </c>
      <c r="AG174" s="17" t="s">
        <v>41</v>
      </c>
      <c r="AH174" s="12">
        <v>1112</v>
      </c>
      <c r="AI174" s="12" t="s">
        <v>463</v>
      </c>
      <c r="AJ174" s="19" t="s">
        <v>464</v>
      </c>
      <c r="AK174" s="20" t="str">
        <f>HYPERLINK("https://docs.google.com/document/d/165OlHMSD7QQspuLihMnA4iOz0DUxDdUqPxfmQ1cBeNs/edit?usp=drivesdk","Shannon Dunnigan - 10/4/2018 9:15 AM")</f>
        <v>Shannon Dunnigan - 10/4/2018 9:15 AM</v>
      </c>
      <c r="AL174" s="12" t="s">
        <v>465</v>
      </c>
    </row>
    <row r="175" spans="1:38" ht="12.75">
      <c r="A175" s="10">
        <f ca="1">IFERROR(__xludf.DUMMYFUNCTION("""COMPUTED_VALUE"""),43382.6024042013)</f>
        <v>43382.602404201301</v>
      </c>
      <c r="B175" s="11" t="str">
        <f ca="1">IFERROR(__xludf.DUMMYFUNCTION("""COMPUTED_VALUE"""),"Silas Tanner")</f>
        <v>Silas Tanner</v>
      </c>
      <c r="C175" t="str">
        <f ca="1">IFERROR(__xludf.DUMMYFUNCTION("""COMPUTED_VALUE"""),"silas.tanner@floridadep.gov")</f>
        <v>silas.tanner@floridadep.gov</v>
      </c>
      <c r="D175" t="str">
        <f ca="1">IFERROR(__xludf.DUMMYFUNCTION("""COMPUTED_VALUE"""),"Research/Nikki")</f>
        <v>Research/Nikki</v>
      </c>
      <c r="E175" t="str">
        <f ca="1">IFERROR(__xludf.DUMMYFUNCTION("""COMPUTED_VALUE"""),"Green Rd., Vilano County Ramp")</f>
        <v>Green Rd., Vilano County Ramp</v>
      </c>
      <c r="F175" s="13">
        <f ca="1">IFERROR(__xludf.DUMMYFUNCTION("""COMPUTED_VALUE"""),0.3125)</f>
        <v>0.3125</v>
      </c>
      <c r="G175" s="14">
        <f ca="1">IFERROR(__xludf.DUMMYFUNCTION("""COMPUTED_VALUE"""),43383)</f>
        <v>43383</v>
      </c>
      <c r="H175" t="str">
        <f ca="1">IFERROR(__xludf.DUMMYFUNCTION("""COMPUTED_VALUE"""),"ICW - SWMP sites")</f>
        <v>ICW - SWMP sites</v>
      </c>
      <c r="I175" s="15">
        <f ca="1">IFERROR(__xludf.DUMMYFUNCTION("""COMPUTED_VALUE"""),0.50069444444307)</f>
        <v>0.50069444444306999</v>
      </c>
      <c r="J175" s="16">
        <f ca="1">IFERROR(__xludf.DUMMYFUNCTION("""COMPUTED_VALUE"""),43383.5104166666)</f>
        <v>43383.510416666599</v>
      </c>
      <c r="K175" t="str">
        <f ca="1">IFERROR(__xludf.DUMMYFUNCTION("""COMPUTED_VALUE"""),"20ft Sea Ark FL5351SJ UNF 2015")</f>
        <v>20ft Sea Ark FL5351SJ UNF 2015</v>
      </c>
      <c r="M175" t="str">
        <f ca="1">IFERROR(__xludf.DUMMYFUNCTION("""COMPUTED_VALUE"""),"Ford F250 2017 (Moby Dix) - DEP0021578")</f>
        <v>Ford F250 2017 (Moby Dix) - DEP0021578</v>
      </c>
      <c r="N175" t="str">
        <f ca="1">IFERROR(__xludf.DUMMYFUNCTION("""COMPUTED_VALUE"""),"Silas Tanner, (904) 483-8423")</f>
        <v>Silas Tanner, (904) 483-8423</v>
      </c>
      <c r="O175" t="str">
        <f ca="1">IFERROR(__xludf.DUMMYFUNCTION("""COMPUTED_VALUE"""),"Hunter Mathews")</f>
        <v>Hunter Mathews</v>
      </c>
      <c r="P175" t="str">
        <f ca="1">IFERROR(__xludf.DUMMYFUNCTION("""COMPUTED_VALUE"""),"S. Tanner")</f>
        <v>S. Tanner</v>
      </c>
      <c r="Q175" t="str">
        <f ca="1">IFERROR(__xludf.DUMMYFUNCTION("""COMPUTED_VALUE"""),"Good")</f>
        <v>Good</v>
      </c>
      <c r="R175" t="str">
        <f ca="1">IFERROR(__xludf.DUMMYFUNCTION("""COMPUTED_VALUE"""),"Good")</f>
        <v>Good</v>
      </c>
      <c r="S175" t="str">
        <f ca="1">IFERROR(__xludf.DUMMYFUNCTION("""COMPUTED_VALUE"""),"Good")</f>
        <v>Good</v>
      </c>
      <c r="T175" t="str">
        <f ca="1">IFERROR(__xludf.DUMMYFUNCTION("""COMPUTED_VALUE"""),"Good")</f>
        <v>Good</v>
      </c>
      <c r="U175" t="str">
        <f ca="1">IFERROR(__xludf.DUMMYFUNCTION("""COMPUTED_VALUE"""),"Good")</f>
        <v>Good</v>
      </c>
      <c r="V175" t="str">
        <f ca="1">IFERROR(__xludf.DUMMYFUNCTION("""COMPUTED_VALUE"""),"Good")</f>
        <v>Good</v>
      </c>
      <c r="W175" t="str">
        <f ca="1">IFERROR(__xludf.DUMMYFUNCTION("""COMPUTED_VALUE"""),"Good")</f>
        <v>Good</v>
      </c>
      <c r="X175" t="str">
        <f ca="1">IFERROR(__xludf.DUMMYFUNCTION("""COMPUTED_VALUE"""),"Good")</f>
        <v>Good</v>
      </c>
      <c r="Y175" t="str">
        <f ca="1">IFERROR(__xludf.DUMMYFUNCTION("""COMPUTED_VALUE"""),"Good")</f>
        <v>Good</v>
      </c>
      <c r="Z175" t="str">
        <f ca="1">IFERROR(__xludf.DUMMYFUNCTION("""COMPUTED_VALUE"""),"Good")</f>
        <v>Good</v>
      </c>
      <c r="AA175" t="str">
        <f ca="1">IFERROR(__xludf.DUMMYFUNCTION("""COMPUTED_VALUE"""),"Good")</f>
        <v>Good</v>
      </c>
      <c r="AB175" t="str">
        <f ca="1">IFERROR(__xludf.DUMMYFUNCTION("""COMPUTED_VALUE"""),"Good")</f>
        <v>Good</v>
      </c>
      <c r="AC175" t="str">
        <f ca="1">IFERROR(__xludf.DUMMYFUNCTION("""COMPUTED_VALUE"""),"Good")</f>
        <v>Good</v>
      </c>
      <c r="AE175" s="11"/>
      <c r="AF175" t="str">
        <v>Nikki.Dix@floridadep.gov</v>
      </c>
      <c r="AG175" s="17" t="s">
        <v>139</v>
      </c>
      <c r="AH175" s="12">
        <v>1113</v>
      </c>
      <c r="AI175" s="12" t="s">
        <v>466</v>
      </c>
      <c r="AJ175" s="19" t="s">
        <v>467</v>
      </c>
      <c r="AK175" s="20" t="str">
        <f>HYPERLINK("https://docs.google.com/document/d/1L1XIyzHuHRQHoWUjLZVh96I0pkX6GW-koS18WeV4S5A/edit?usp=drivesdk","Silas Tanner - 10/10/2018 7:30 AM")</f>
        <v>Silas Tanner - 10/10/2018 7:30 AM</v>
      </c>
      <c r="AL175" s="12" t="s">
        <v>468</v>
      </c>
    </row>
    <row r="176" spans="1:38" ht="12.75">
      <c r="A176" s="10">
        <f ca="1">IFERROR(__xludf.DUMMYFUNCTION("""COMPUTED_VALUE"""),43385.4172265625)</f>
        <v>43385.417226562502</v>
      </c>
      <c r="B176" s="11" t="str">
        <f ca="1">IFERROR(__xludf.DUMMYFUNCTION("""COMPUTED_VALUE"""),"Ben Mowbray")</f>
        <v>Ben Mowbray</v>
      </c>
      <c r="C176" t="str">
        <f ca="1">IFERROR(__xludf.DUMMYFUNCTION("""COMPUTED_VALUE"""),"ben.mowbray@dep.state.fl.us")</f>
        <v>ben.mowbray@dep.state.fl.us</v>
      </c>
      <c r="D176" t="str">
        <f ca="1">IFERROR(__xludf.DUMMYFUNCTION("""COMPUTED_VALUE"""),"Research/Nikki")</f>
        <v>Research/Nikki</v>
      </c>
      <c r="E176" t="str">
        <f ca="1">IFERROR(__xludf.DUMMYFUNCTION("""COMPUTED_VALUE"""),"Faver-Dykes")</f>
        <v>Faver-Dykes</v>
      </c>
      <c r="F176" s="13">
        <f ca="1">IFERROR(__xludf.DUMMYFUNCTION("""COMPUTED_VALUE"""),0.46875)</f>
        <v>0.46875</v>
      </c>
      <c r="G176" s="14">
        <f ca="1">IFERROR(__xludf.DUMMYFUNCTION("""COMPUTED_VALUE"""),43385)</f>
        <v>43385</v>
      </c>
      <c r="H176" t="str">
        <f ca="1">IFERROR(__xludf.DUMMYFUNCTION("""COMPUTED_VALUE"""),"Westernmost Pellicer Sentinel Site")</f>
        <v>Westernmost Pellicer Sentinel Site</v>
      </c>
      <c r="I176" s="15">
        <f ca="1">IFERROR(__xludf.DUMMYFUNCTION("""COMPUTED_VALUE"""),0.666666666667879)</f>
        <v>0.66666666666787899</v>
      </c>
      <c r="J176" s="16">
        <f ca="1">IFERROR(__xludf.DUMMYFUNCTION("""COMPUTED_VALUE"""),43385.71875)</f>
        <v>43385.71875</v>
      </c>
      <c r="K176" t="str">
        <f ca="1">IFERROR(__xludf.DUMMYFUNCTION("""COMPUTED_VALUE"""),"23ft Skiff (Bertha) FL7972LJ DEP07613")</f>
        <v>23ft Skiff (Bertha) FL7972LJ DEP07613</v>
      </c>
      <c r="M176" t="str">
        <f ca="1">IFERROR(__xludf.DUMMYFUNCTION("""COMPUTED_VALUE"""),"Ford F250 2017 (Moby Dix) - DEP0021578")</f>
        <v>Ford F250 2017 (Moby Dix) - DEP0021578</v>
      </c>
      <c r="N176" t="str">
        <f ca="1">IFERROR(__xludf.DUMMYFUNCTION("""COMPUTED_VALUE"""),"Pam Marcum, (480) 332-5414, Ben Mowbray, (407) 962-8782")</f>
        <v>Pam Marcum, (480) 332-5414, Ben Mowbray, (407) 962-8782</v>
      </c>
      <c r="P176" t="str">
        <f ca="1">IFERROR(__xludf.DUMMYFUNCTION("""COMPUTED_VALUE"""),"Pam")</f>
        <v>Pam</v>
      </c>
      <c r="Q176" t="str">
        <f ca="1">IFERROR(__xludf.DUMMYFUNCTION("""COMPUTED_VALUE"""),"Good")</f>
        <v>Good</v>
      </c>
      <c r="R176" t="str">
        <f ca="1">IFERROR(__xludf.DUMMYFUNCTION("""COMPUTED_VALUE"""),"Good")</f>
        <v>Good</v>
      </c>
      <c r="S176" t="str">
        <f ca="1">IFERROR(__xludf.DUMMYFUNCTION("""COMPUTED_VALUE"""),"Good")</f>
        <v>Good</v>
      </c>
      <c r="T176" t="str">
        <f ca="1">IFERROR(__xludf.DUMMYFUNCTION("""COMPUTED_VALUE"""),"Good")</f>
        <v>Good</v>
      </c>
      <c r="U176" t="str">
        <f ca="1">IFERROR(__xludf.DUMMYFUNCTION("""COMPUTED_VALUE"""),"Good")</f>
        <v>Good</v>
      </c>
      <c r="V176" t="str">
        <f ca="1">IFERROR(__xludf.DUMMYFUNCTION("""COMPUTED_VALUE"""),"Good")</f>
        <v>Good</v>
      </c>
      <c r="W176" t="str">
        <f ca="1">IFERROR(__xludf.DUMMYFUNCTION("""COMPUTED_VALUE"""),"Good")</f>
        <v>Good</v>
      </c>
      <c r="X176" t="str">
        <f ca="1">IFERROR(__xludf.DUMMYFUNCTION("""COMPUTED_VALUE"""),"Good")</f>
        <v>Good</v>
      </c>
      <c r="Y176" t="str">
        <f ca="1">IFERROR(__xludf.DUMMYFUNCTION("""COMPUTED_VALUE"""),"Good")</f>
        <v>Good</v>
      </c>
      <c r="Z176" t="str">
        <f ca="1">IFERROR(__xludf.DUMMYFUNCTION("""COMPUTED_VALUE"""),"Good")</f>
        <v>Good</v>
      </c>
      <c r="AA176" t="str">
        <f ca="1">IFERROR(__xludf.DUMMYFUNCTION("""COMPUTED_VALUE"""),"Good")</f>
        <v>Good</v>
      </c>
      <c r="AB176" t="str">
        <f ca="1">IFERROR(__xludf.DUMMYFUNCTION("""COMPUTED_VALUE"""),"Good")</f>
        <v>Good</v>
      </c>
      <c r="AC176" t="str">
        <f ca="1">IFERROR(__xludf.DUMMYFUNCTION("""COMPUTED_VALUE"""),"Good")</f>
        <v>Good</v>
      </c>
      <c r="AE176" s="11"/>
      <c r="AF176" t="str">
        <v>Nikki.Dix@floridadep.gov</v>
      </c>
      <c r="AG176" s="17" t="s">
        <v>17</v>
      </c>
      <c r="AH176" s="12">
        <v>1440</v>
      </c>
      <c r="AI176" s="12" t="s">
        <v>469</v>
      </c>
      <c r="AJ176" s="19" t="s">
        <v>470</v>
      </c>
      <c r="AK176" s="20" t="str">
        <f>HYPERLINK("https://docs.google.com/document/d/1FPp7Ct0JiV_kWgKtlmLlCmGzPELIhER6zZ_PuQTEZXQ/edit?usp=drivesdk","Ben Mowbray - 10/12/2018 11:15 AM")</f>
        <v>Ben Mowbray - 10/12/2018 11:15 AM</v>
      </c>
      <c r="AL176" s="12" t="s">
        <v>471</v>
      </c>
    </row>
    <row r="177" spans="1:38" ht="12.75">
      <c r="A177" s="10">
        <f ca="1">IFERROR(__xludf.DUMMYFUNCTION("""COMPUTED_VALUE"""),43389.2832374421)</f>
        <v>43389.283237442098</v>
      </c>
      <c r="B177" s="11" t="str">
        <f ca="1">IFERROR(__xludf.DUMMYFUNCTION("""COMPUTED_VALUE"""),"Pamela Marcum")</f>
        <v>Pamela Marcum</v>
      </c>
      <c r="C177" t="str">
        <f ca="1">IFERROR(__xludf.DUMMYFUNCTION("""COMPUTED_VALUE"""),"Pamela.Marcum@hotmail.com")</f>
        <v>Pamela.Marcum@hotmail.com</v>
      </c>
      <c r="D177" t="str">
        <f ca="1">IFERROR(__xludf.DUMMYFUNCTION("""COMPUTED_VALUE"""),"Research/Nikki")</f>
        <v>Research/Nikki</v>
      </c>
      <c r="E177" t="str">
        <f ca="1">IFERROR(__xludf.DUMMYFUNCTION("""COMPUTED_VALUE"""),"Aunt Kate's")</f>
        <v>Aunt Kate's</v>
      </c>
      <c r="F177" s="13">
        <f ca="1">IFERROR(__xludf.DUMMYFUNCTION("""COMPUTED_VALUE"""),0.30208333333212)</f>
        <v>0.30208333333212001</v>
      </c>
      <c r="G177" s="14">
        <f ca="1">IFERROR(__xludf.DUMMYFUNCTION("""COMPUTED_VALUE"""),43389)</f>
        <v>43389</v>
      </c>
      <c r="H177" t="str">
        <f ca="1">IFERROR(__xludf.DUMMYFUNCTION("""COMPUTED_VALUE"""),"Guana River")</f>
        <v>Guana River</v>
      </c>
      <c r="I177" s="15">
        <f ca="1">IFERROR(__xludf.DUMMYFUNCTION("""COMPUTED_VALUE"""),0.479166666667879)</f>
        <v>0.47916666666787899</v>
      </c>
      <c r="J177" s="16">
        <f ca="1">IFERROR(__xludf.DUMMYFUNCTION("""COMPUTED_VALUE"""),43389.5)</f>
        <v>43389.5</v>
      </c>
      <c r="K177" t="str">
        <f ca="1">IFERROR(__xludf.DUMMYFUNCTION("""COMPUTED_VALUE"""),"20ft Sea Ark FL5351SJ UNF 2015")</f>
        <v>20ft Sea Ark FL5351SJ UNF 2015</v>
      </c>
      <c r="M177" t="str">
        <f ca="1">IFERROR(__xludf.DUMMYFUNCTION("""COMPUTED_VALUE"""),"Ford F250 2017 (Moby Dix) - DEP0021578")</f>
        <v>Ford F250 2017 (Moby Dix) - DEP0021578</v>
      </c>
      <c r="N177" t="str">
        <f ca="1">IFERROR(__xludf.DUMMYFUNCTION("""COMPUTED_VALUE"""),"Pam Marcum, (480) 332-5414, Ben Mowbray, (407) 962-8782")</f>
        <v>Pam Marcum, (480) 332-5414, Ben Mowbray, (407) 962-8782</v>
      </c>
      <c r="O177" t="str">
        <f ca="1">IFERROR(__xludf.DUMMYFUNCTION("""COMPUTED_VALUE"""),"Jessica Lee, Allee Knoell")</f>
        <v>Jessica Lee, Allee Knoell</v>
      </c>
      <c r="P177" t="str">
        <f ca="1">IFERROR(__xludf.DUMMYFUNCTION("""COMPUTED_VALUE"""),"Pam")</f>
        <v>Pam</v>
      </c>
      <c r="Q177" t="str">
        <f ca="1">IFERROR(__xludf.DUMMYFUNCTION("""COMPUTED_VALUE"""),"Good")</f>
        <v>Good</v>
      </c>
      <c r="R177" t="str">
        <f ca="1">IFERROR(__xludf.DUMMYFUNCTION("""COMPUTED_VALUE"""),"Good")</f>
        <v>Good</v>
      </c>
      <c r="S177" t="str">
        <f ca="1">IFERROR(__xludf.DUMMYFUNCTION("""COMPUTED_VALUE"""),"Good")</f>
        <v>Good</v>
      </c>
      <c r="T177" t="str">
        <f ca="1">IFERROR(__xludf.DUMMYFUNCTION("""COMPUTED_VALUE"""),"Good")</f>
        <v>Good</v>
      </c>
      <c r="U177" t="str">
        <f ca="1">IFERROR(__xludf.DUMMYFUNCTION("""COMPUTED_VALUE"""),"Good")</f>
        <v>Good</v>
      </c>
      <c r="V177" t="str">
        <f ca="1">IFERROR(__xludf.DUMMYFUNCTION("""COMPUTED_VALUE"""),"Good")</f>
        <v>Good</v>
      </c>
      <c r="W177" t="str">
        <f ca="1">IFERROR(__xludf.DUMMYFUNCTION("""COMPUTED_VALUE"""),"Good")</f>
        <v>Good</v>
      </c>
      <c r="X177" t="str">
        <f ca="1">IFERROR(__xludf.DUMMYFUNCTION("""COMPUTED_VALUE"""),"Good")</f>
        <v>Good</v>
      </c>
      <c r="Y177" t="str">
        <f ca="1">IFERROR(__xludf.DUMMYFUNCTION("""COMPUTED_VALUE"""),"Good")</f>
        <v>Good</v>
      </c>
      <c r="Z177" t="str">
        <f ca="1">IFERROR(__xludf.DUMMYFUNCTION("""COMPUTED_VALUE"""),"Good")</f>
        <v>Good</v>
      </c>
      <c r="AA177" t="str">
        <f ca="1">IFERROR(__xludf.DUMMYFUNCTION("""COMPUTED_VALUE"""),"Good")</f>
        <v>Good</v>
      </c>
      <c r="AB177" t="str">
        <f ca="1">IFERROR(__xludf.DUMMYFUNCTION("""COMPUTED_VALUE"""),"Good")</f>
        <v>Good</v>
      </c>
      <c r="AC177" t="str">
        <f ca="1">IFERROR(__xludf.DUMMYFUNCTION("""COMPUTED_VALUE"""),"Good")</f>
        <v>Good</v>
      </c>
      <c r="AE177" s="11"/>
      <c r="AF177" t="str">
        <v>Nikki.Dix@floridadep.gov</v>
      </c>
      <c r="AG177" s="17" t="s">
        <v>41</v>
      </c>
      <c r="AH177" s="12">
        <v>1055</v>
      </c>
      <c r="AI177" s="12" t="s">
        <v>472</v>
      </c>
      <c r="AJ177" s="19" t="s">
        <v>473</v>
      </c>
      <c r="AK177" s="20" t="str">
        <f>HYPERLINK("https://docs.google.com/document/d/1JGMIP5SQ2ZMKd8eDucsvIls3aSK9Tt3z-nF29BgavLw/edit?usp=drivesdk","Pamela Marcum - 10/16/2018 7:15 AM")</f>
        <v>Pamela Marcum - 10/16/2018 7:15 AM</v>
      </c>
      <c r="AL177" s="12" t="s">
        <v>474</v>
      </c>
    </row>
    <row r="178" spans="1:38" ht="12.75">
      <c r="A178" s="10">
        <f ca="1">IFERROR(__xludf.DUMMYFUNCTION("""COMPUTED_VALUE"""),43391.5875394907)</f>
        <v>43391.587539490698</v>
      </c>
      <c r="B178" s="11" t="str">
        <f ca="1">IFERROR(__xludf.DUMMYFUNCTION("""COMPUTED_VALUE"""),"Silas Tanner")</f>
        <v>Silas Tanner</v>
      </c>
      <c r="C178" t="str">
        <f ca="1">IFERROR(__xludf.DUMMYFUNCTION("""COMPUTED_VALUE"""),"silas.tanner@floridadep.gov")</f>
        <v>silas.tanner@floridadep.gov</v>
      </c>
      <c r="D178" t="str">
        <f ca="1">IFERROR(__xludf.DUMMYFUNCTION("""COMPUTED_VALUE"""),"Research/Nikki")</f>
        <v>Research/Nikki</v>
      </c>
      <c r="E178" t="str">
        <f ca="1">IFERROR(__xludf.DUMMYFUNCTION("""COMPUTED_VALUE"""),"Bing's")</f>
        <v>Bing's</v>
      </c>
      <c r="F178" s="13">
        <f ca="1">IFERROR(__xludf.DUMMYFUNCTION("""COMPUTED_VALUE"""),0.354166666667879)</f>
        <v>0.35416666666787899</v>
      </c>
      <c r="G178" s="14">
        <f ca="1">IFERROR(__xludf.DUMMYFUNCTION("""COMPUTED_VALUE"""),43392)</f>
        <v>43392</v>
      </c>
      <c r="H178" t="str">
        <f ca="1">IFERROR(__xludf.DUMMYFUNCTION("""COMPUTED_VALUE"""),"ICW - Rattlesnake Island to Bing's")</f>
        <v>ICW - Rattlesnake Island to Bing's</v>
      </c>
      <c r="I178" s="15">
        <f ca="1">IFERROR(__xludf.DUMMYFUNCTION("""COMPUTED_VALUE"""),0.479166666667879)</f>
        <v>0.47916666666787899</v>
      </c>
      <c r="J178" s="16">
        <f ca="1">IFERROR(__xludf.DUMMYFUNCTION("""COMPUTED_VALUE"""),43392.5208333333)</f>
        <v>43392.520833333299</v>
      </c>
      <c r="K178" t="str">
        <f ca="1">IFERROR(__xludf.DUMMYFUNCTION("""COMPUTED_VALUE"""),"20ft Sea Ark FL5351SJ UNF 2015")</f>
        <v>20ft Sea Ark FL5351SJ UNF 2015</v>
      </c>
      <c r="M178" t="str">
        <f ca="1">IFERROR(__xludf.DUMMYFUNCTION("""COMPUTED_VALUE"""),"Ford F150 2015 (White) - DEP21448")</f>
        <v>Ford F150 2015 (White) - DEP21448</v>
      </c>
      <c r="N178" t="str">
        <f ca="1">IFERROR(__xludf.DUMMYFUNCTION("""COMPUTED_VALUE"""),"Shannon Dunnigan, (803) 727-5734, Silas Tanner, (904) 483-8423")</f>
        <v>Shannon Dunnigan, (803) 727-5734, Silas Tanner, (904) 483-8423</v>
      </c>
      <c r="O178" t="str">
        <f ca="1">IFERROR(__xludf.DUMMYFUNCTION("""COMPUTED_VALUE"""),"Matt Brown")</f>
        <v>Matt Brown</v>
      </c>
      <c r="P178" t="str">
        <f ca="1">IFERROR(__xludf.DUMMYFUNCTION("""COMPUTED_VALUE"""),"Shannon Dunnigan")</f>
        <v>Shannon Dunnigan</v>
      </c>
      <c r="Q178" t="str">
        <f ca="1">IFERROR(__xludf.DUMMYFUNCTION("""COMPUTED_VALUE"""),"Good")</f>
        <v>Good</v>
      </c>
      <c r="R178" t="str">
        <f ca="1">IFERROR(__xludf.DUMMYFUNCTION("""COMPUTED_VALUE"""),"Good")</f>
        <v>Good</v>
      </c>
      <c r="S178" t="str">
        <f ca="1">IFERROR(__xludf.DUMMYFUNCTION("""COMPUTED_VALUE"""),"Good")</f>
        <v>Good</v>
      </c>
      <c r="T178" t="str">
        <f ca="1">IFERROR(__xludf.DUMMYFUNCTION("""COMPUTED_VALUE"""),"Good")</f>
        <v>Good</v>
      </c>
      <c r="U178" t="str">
        <f ca="1">IFERROR(__xludf.DUMMYFUNCTION("""COMPUTED_VALUE"""),"Good")</f>
        <v>Good</v>
      </c>
      <c r="V178" t="str">
        <f ca="1">IFERROR(__xludf.DUMMYFUNCTION("""COMPUTED_VALUE"""),"Good")</f>
        <v>Good</v>
      </c>
      <c r="W178" t="str">
        <f ca="1">IFERROR(__xludf.DUMMYFUNCTION("""COMPUTED_VALUE"""),"Good")</f>
        <v>Good</v>
      </c>
      <c r="X178" t="str">
        <f ca="1">IFERROR(__xludf.DUMMYFUNCTION("""COMPUTED_VALUE"""),"Good")</f>
        <v>Good</v>
      </c>
      <c r="Y178" t="str">
        <f ca="1">IFERROR(__xludf.DUMMYFUNCTION("""COMPUTED_VALUE"""),"Good")</f>
        <v>Good</v>
      </c>
      <c r="Z178" t="str">
        <f ca="1">IFERROR(__xludf.DUMMYFUNCTION("""COMPUTED_VALUE"""),"Good")</f>
        <v>Good</v>
      </c>
      <c r="AA178" t="str">
        <f ca="1">IFERROR(__xludf.DUMMYFUNCTION("""COMPUTED_VALUE"""),"Good")</f>
        <v>Good</v>
      </c>
      <c r="AB178" t="str">
        <f ca="1">IFERROR(__xludf.DUMMYFUNCTION("""COMPUTED_VALUE"""),"Good")</f>
        <v>Good</v>
      </c>
      <c r="AC178" t="str">
        <f ca="1">IFERROR(__xludf.DUMMYFUNCTION("""COMPUTED_VALUE"""),"Good")</f>
        <v>Good</v>
      </c>
      <c r="AE178" s="11"/>
      <c r="AF178" t="str">
        <v>Nikki.Dix@floridadep.gov</v>
      </c>
      <c r="AG178" s="17" t="s">
        <v>41</v>
      </c>
      <c r="AH178" s="12">
        <v>1100</v>
      </c>
      <c r="AI178" s="12" t="s">
        <v>475</v>
      </c>
      <c r="AJ178" s="19" t="s">
        <v>476</v>
      </c>
      <c r="AK178" s="20" t="str">
        <f>HYPERLINK("https://docs.google.com/document/d/1RDmcLZdwMIRHDuujQWjczrbdq11SFvJ7BvyZZWaLJ_M/edit?usp=drivesdk","Silas Tanner - 10/19/2018 8:30 AM")</f>
        <v>Silas Tanner - 10/19/2018 8:30 AM</v>
      </c>
      <c r="AL178" s="12" t="s">
        <v>477</v>
      </c>
    </row>
    <row r="179" spans="1:38" ht="12.75">
      <c r="A179" s="10">
        <f ca="1">IFERROR(__xludf.DUMMYFUNCTION("""COMPUTED_VALUE"""),43395.3329521643)</f>
        <v>43395.332952164303</v>
      </c>
      <c r="B179" s="11" t="str">
        <f ca="1">IFERROR(__xludf.DUMMYFUNCTION("""COMPUTED_VALUE"""),"James Tomazinis")</f>
        <v>James Tomazinis</v>
      </c>
      <c r="C179" t="str">
        <f ca="1">IFERROR(__xludf.DUMMYFUNCTION("""COMPUTED_VALUE"""),"james.tomazinis@floridadep.gov")</f>
        <v>james.tomazinis@floridadep.gov</v>
      </c>
      <c r="D179" t="str">
        <f ca="1">IFERROR(__xludf.DUMMYFUNCTION("""COMPUTED_VALUE"""),"Stewardship (Aquatic)")</f>
        <v>Stewardship (Aquatic)</v>
      </c>
      <c r="E179" t="str">
        <f ca="1">IFERROR(__xludf.DUMMYFUNCTION("""COMPUTED_VALUE"""),"Guana Dam")</f>
        <v>Guana Dam</v>
      </c>
      <c r="F179" s="13">
        <f ca="1">IFERROR(__xludf.DUMMYFUNCTION("""COMPUTED_VALUE"""),0.354166666667879)</f>
        <v>0.35416666666787899</v>
      </c>
      <c r="G179" s="14">
        <f ca="1">IFERROR(__xludf.DUMMYFUNCTION("""COMPUTED_VALUE"""),43395)</f>
        <v>43395</v>
      </c>
      <c r="H179" t="str">
        <f ca="1">IFERROR(__xludf.DUMMYFUNCTION("""COMPUTED_VALUE"""),"Guana River sampling sites")</f>
        <v>Guana River sampling sites</v>
      </c>
      <c r="I179" s="15">
        <f ca="1">IFERROR(__xludf.DUMMYFUNCTION("""COMPUTED_VALUE"""),0.416666666667879)</f>
        <v>0.41666666666787899</v>
      </c>
      <c r="J179" s="16"/>
      <c r="K179" t="str">
        <f ca="1">IFERROR(__xludf.DUMMYFUNCTION("""COMPUTED_VALUE"""),"Jon Boat FL0484NP DEP06819")</f>
        <v>Jon Boat FL0484NP DEP06819</v>
      </c>
      <c r="M179" t="str">
        <f ca="1">IFERROR(__xludf.DUMMYFUNCTION("""COMPUTED_VALUE"""),"Ford F150 2015 (White) - DEP21448")</f>
        <v>Ford F150 2015 (White) - DEP21448</v>
      </c>
      <c r="N179" t="str">
        <f ca="1">IFERROR(__xludf.DUMMYFUNCTION("""COMPUTED_VALUE"""),"Jimmy Tomazinis, (904) 547-0094")</f>
        <v>Jimmy Tomazinis, (904) 547-0094</v>
      </c>
      <c r="O179" t="str">
        <f ca="1">IFERROR(__xludf.DUMMYFUNCTION("""COMPUTED_VALUE"""),"Hunter Mathews")</f>
        <v>Hunter Mathews</v>
      </c>
      <c r="P179" t="str">
        <f ca="1">IFERROR(__xludf.DUMMYFUNCTION("""COMPUTED_VALUE"""),"Jimmy")</f>
        <v>Jimmy</v>
      </c>
      <c r="Q179" t="str">
        <f ca="1">IFERROR(__xludf.DUMMYFUNCTION("""COMPUTED_VALUE"""),"Good")</f>
        <v>Good</v>
      </c>
      <c r="R179" t="str">
        <f ca="1">IFERROR(__xludf.DUMMYFUNCTION("""COMPUTED_VALUE"""),"Good")</f>
        <v>Good</v>
      </c>
      <c r="S179" t="str">
        <f ca="1">IFERROR(__xludf.DUMMYFUNCTION("""COMPUTED_VALUE"""),"Good")</f>
        <v>Good</v>
      </c>
      <c r="T179" t="str">
        <f ca="1">IFERROR(__xludf.DUMMYFUNCTION("""COMPUTED_VALUE"""),"Good")</f>
        <v>Good</v>
      </c>
      <c r="U179" t="str">
        <f ca="1">IFERROR(__xludf.DUMMYFUNCTION("""COMPUTED_VALUE"""),"Good")</f>
        <v>Good</v>
      </c>
      <c r="V179" t="str">
        <f ca="1">IFERROR(__xludf.DUMMYFUNCTION("""COMPUTED_VALUE"""),"Good")</f>
        <v>Good</v>
      </c>
      <c r="W179" t="str">
        <f ca="1">IFERROR(__xludf.DUMMYFUNCTION("""COMPUTED_VALUE"""),"Good")</f>
        <v>Good</v>
      </c>
      <c r="X179" t="str">
        <f ca="1">IFERROR(__xludf.DUMMYFUNCTION("""COMPUTED_VALUE"""),"Good")</f>
        <v>Good</v>
      </c>
      <c r="Y179" t="str">
        <f ca="1">IFERROR(__xludf.DUMMYFUNCTION("""COMPUTED_VALUE"""),"Good")</f>
        <v>Good</v>
      </c>
      <c r="Z179" t="str">
        <f ca="1">IFERROR(__xludf.DUMMYFUNCTION("""COMPUTED_VALUE"""),"Good")</f>
        <v>Good</v>
      </c>
      <c r="AA179" t="str">
        <f ca="1">IFERROR(__xludf.DUMMYFUNCTION("""COMPUTED_VALUE"""),"Good")</f>
        <v>Good</v>
      </c>
      <c r="AB179" t="str">
        <f ca="1">IFERROR(__xludf.DUMMYFUNCTION("""COMPUTED_VALUE"""),"Good")</f>
        <v>Good</v>
      </c>
      <c r="AC179" t="str">
        <f ca="1">IFERROR(__xludf.DUMMYFUNCTION("""COMPUTED_VALUE"""),"Good")</f>
        <v>Good</v>
      </c>
      <c r="AE179" s="11"/>
      <c r="AF179" t="str">
        <v>Scott.Eastman@floridadep.gov</v>
      </c>
      <c r="AG179" s="17" t="s">
        <v>126</v>
      </c>
      <c r="AH179" s="23">
        <v>0.51041666666666663</v>
      </c>
      <c r="AI179" s="12" t="s">
        <v>478</v>
      </c>
      <c r="AJ179" s="19" t="s">
        <v>479</v>
      </c>
      <c r="AK179" s="20" t="str">
        <f>HYPERLINK("https://docs.google.com/document/d/1vhbaWsznObDXbxBjYZJm-c5mH0w0JZvCBOp-BzfpDKI/edit?usp=drivesdk","James Tomazinis - 10/22/2018 8:30 AM")</f>
        <v>James Tomazinis - 10/22/2018 8:30 AM</v>
      </c>
      <c r="AL179" s="12" t="s">
        <v>480</v>
      </c>
    </row>
    <row r="180" spans="1:38" ht="12.75">
      <c r="A180" s="10">
        <f ca="1">IFERROR(__xludf.DUMMYFUNCTION("""COMPUTED_VALUE"""),43395.5614141319)</f>
        <v>43395.561414131902</v>
      </c>
      <c r="B180" s="11" t="str">
        <f ca="1">IFERROR(__xludf.DUMMYFUNCTION("""COMPUTED_VALUE"""),"Silas Tanner")</f>
        <v>Silas Tanner</v>
      </c>
      <c r="C180" t="str">
        <f ca="1">IFERROR(__xludf.DUMMYFUNCTION("""COMPUTED_VALUE"""),"silas.tanner@floridadep.gov")</f>
        <v>silas.tanner@floridadep.gov</v>
      </c>
      <c r="D180" t="str">
        <f ca="1">IFERROR(__xludf.DUMMYFUNCTION("""COMPUTED_VALUE"""),"Research/Nikki")</f>
        <v>Research/Nikki</v>
      </c>
      <c r="E180" t="str">
        <f ca="1">IFERROR(__xludf.DUMMYFUNCTION("""COMPUTED_VALUE"""),"Vilano county ramp")</f>
        <v>Vilano county ramp</v>
      </c>
      <c r="F180" s="13">
        <f ca="1">IFERROR(__xludf.DUMMYFUNCTION("""COMPUTED_VALUE"""),0.33333333333212)</f>
        <v>0.33333333333212001</v>
      </c>
      <c r="G180" s="14">
        <f ca="1">IFERROR(__xludf.DUMMYFUNCTION("""COMPUTED_VALUE"""),43396)</f>
        <v>43396</v>
      </c>
      <c r="H180" t="str">
        <f ca="1">IFERROR(__xludf.DUMMYFUNCTION("""COMPUTED_VALUE"""),"ICW - SWMP sites")</f>
        <v>ICW - SWMP sites</v>
      </c>
      <c r="I180" s="15">
        <f ca="1">IFERROR(__xludf.DUMMYFUNCTION("""COMPUTED_VALUE"""),0.541666666667879)</f>
        <v>0.54166666666787899</v>
      </c>
      <c r="J180" s="16">
        <f ca="1">IFERROR(__xludf.DUMMYFUNCTION("""COMPUTED_VALUE"""),43396.5625)</f>
        <v>43396.5625</v>
      </c>
      <c r="K180" t="str">
        <f ca="1">IFERROR(__xludf.DUMMYFUNCTION("""COMPUTED_VALUE"""),"20ft Sea Ark FL5351SJ UNF 2015")</f>
        <v>20ft Sea Ark FL5351SJ UNF 2015</v>
      </c>
      <c r="M180" t="str">
        <f ca="1">IFERROR(__xludf.DUMMYFUNCTION("""COMPUTED_VALUE"""),"Ford F150 2015 (White) - DEP21448")</f>
        <v>Ford F150 2015 (White) - DEP21448</v>
      </c>
      <c r="N180" t="str">
        <f ca="1">IFERROR(__xludf.DUMMYFUNCTION("""COMPUTED_VALUE"""),"Silas Tanner, (904) 483-8423, Jimmy Tomazinis, (904) 547-0094")</f>
        <v>Silas Tanner, (904) 483-8423, Jimmy Tomazinis, (904) 547-0094</v>
      </c>
      <c r="O180" t="str">
        <f ca="1">IFERROR(__xludf.DUMMYFUNCTION("""COMPUTED_VALUE"""),"Hunter Mathews, Tatum Theodore")</f>
        <v>Hunter Mathews, Tatum Theodore</v>
      </c>
      <c r="P180" t="str">
        <f ca="1">IFERROR(__xludf.DUMMYFUNCTION("""COMPUTED_VALUE"""),"Silas Tanner")</f>
        <v>Silas Tanner</v>
      </c>
      <c r="Q180" t="str">
        <f ca="1">IFERROR(__xludf.DUMMYFUNCTION("""COMPUTED_VALUE"""),"Good")</f>
        <v>Good</v>
      </c>
      <c r="R180" t="str">
        <f ca="1">IFERROR(__xludf.DUMMYFUNCTION("""COMPUTED_VALUE"""),"Good")</f>
        <v>Good</v>
      </c>
      <c r="S180" t="str">
        <f ca="1">IFERROR(__xludf.DUMMYFUNCTION("""COMPUTED_VALUE"""),"Good")</f>
        <v>Good</v>
      </c>
      <c r="T180" t="str">
        <f ca="1">IFERROR(__xludf.DUMMYFUNCTION("""COMPUTED_VALUE"""),"Good")</f>
        <v>Good</v>
      </c>
      <c r="U180" t="str">
        <f ca="1">IFERROR(__xludf.DUMMYFUNCTION("""COMPUTED_VALUE"""),"Good")</f>
        <v>Good</v>
      </c>
      <c r="V180" t="str">
        <f ca="1">IFERROR(__xludf.DUMMYFUNCTION("""COMPUTED_VALUE"""),"Good")</f>
        <v>Good</v>
      </c>
      <c r="W180" t="str">
        <f ca="1">IFERROR(__xludf.DUMMYFUNCTION("""COMPUTED_VALUE"""),"Good")</f>
        <v>Good</v>
      </c>
      <c r="X180" t="str">
        <f ca="1">IFERROR(__xludf.DUMMYFUNCTION("""COMPUTED_VALUE"""),"Good")</f>
        <v>Good</v>
      </c>
      <c r="Y180" t="str">
        <f ca="1">IFERROR(__xludf.DUMMYFUNCTION("""COMPUTED_VALUE"""),"Good")</f>
        <v>Good</v>
      </c>
      <c r="Z180" t="str">
        <f ca="1">IFERROR(__xludf.DUMMYFUNCTION("""COMPUTED_VALUE"""),"Good")</f>
        <v>Good</v>
      </c>
      <c r="AA180" t="str">
        <f ca="1">IFERROR(__xludf.DUMMYFUNCTION("""COMPUTED_VALUE"""),"Good")</f>
        <v>Good</v>
      </c>
      <c r="AB180" t="str">
        <f ca="1">IFERROR(__xludf.DUMMYFUNCTION("""COMPUTED_VALUE"""),"Good")</f>
        <v>Good</v>
      </c>
      <c r="AC180" t="str">
        <f ca="1">IFERROR(__xludf.DUMMYFUNCTION("""COMPUTED_VALUE"""),"Good")</f>
        <v>Good</v>
      </c>
      <c r="AE180" s="11"/>
      <c r="AF180" t="str">
        <v>Nikki.Dix@floridadep.gov</v>
      </c>
      <c r="AG180" s="17" t="s">
        <v>17</v>
      </c>
      <c r="AH180" s="12">
        <v>1230</v>
      </c>
      <c r="AI180" s="12" t="s">
        <v>481</v>
      </c>
      <c r="AJ180" s="19" t="s">
        <v>482</v>
      </c>
      <c r="AK180" s="20" t="str">
        <f>HYPERLINK("https://docs.google.com/document/d/1ZNjLR5XjuWTsIS-2tFfq5tQYsgGh-MACWxn2ZoDEOuU/edit?usp=drivesdk","Silas Tanner - 10/23/2018 8:00 AM")</f>
        <v>Silas Tanner - 10/23/2018 8:00 AM</v>
      </c>
      <c r="AL180" s="12" t="s">
        <v>483</v>
      </c>
    </row>
    <row r="181" spans="1:38" ht="12.75">
      <c r="A181" s="10">
        <f ca="1">IFERROR(__xludf.DUMMYFUNCTION("""COMPUTED_VALUE"""),43402.2682190393)</f>
        <v>43402.268219039302</v>
      </c>
      <c r="B181" s="11" t="str">
        <f ca="1">IFERROR(__xludf.DUMMYFUNCTION("""COMPUTED_VALUE"""),"Pamela Marcum")</f>
        <v>Pamela Marcum</v>
      </c>
      <c r="C181" t="str">
        <f ca="1">IFERROR(__xludf.DUMMYFUNCTION("""COMPUTED_VALUE"""),"Pamela.Marcum@Dep.state.fl.us")</f>
        <v>Pamela.Marcum@Dep.state.fl.us</v>
      </c>
      <c r="D181" t="str">
        <f ca="1">IFERROR(__xludf.DUMMYFUNCTION("""COMPUTED_VALUE"""),"Research/Nikki")</f>
        <v>Research/Nikki</v>
      </c>
      <c r="E181" t="str">
        <f ca="1">IFERROR(__xludf.DUMMYFUNCTION("""COMPUTED_VALUE"""),"Palm Valley")</f>
        <v>Palm Valley</v>
      </c>
      <c r="F181" s="13">
        <f ca="1">IFERROR(__xludf.DUMMYFUNCTION("""COMPUTED_VALUE"""),0.291666666667879)</f>
        <v>0.29166666666787899</v>
      </c>
      <c r="G181" s="14">
        <f ca="1">IFERROR(__xludf.DUMMYFUNCTION("""COMPUTED_VALUE"""),43402)</f>
        <v>43402</v>
      </c>
      <c r="H181" t="str">
        <f ca="1">IFERROR(__xludf.DUMMYFUNCTION("""COMPUTED_VALUE"""),"Angelini Sites")</f>
        <v>Angelini Sites</v>
      </c>
      <c r="I181" s="15">
        <f ca="1">IFERROR(__xludf.DUMMYFUNCTION("""COMPUTED_VALUE"""),0.541666666667879)</f>
        <v>0.54166666666787899</v>
      </c>
      <c r="J181" s="16">
        <f ca="1">IFERROR(__xludf.DUMMYFUNCTION("""COMPUTED_VALUE"""),43402.5625)</f>
        <v>43402.5625</v>
      </c>
      <c r="K181" t="str">
        <f ca="1">IFERROR(__xludf.DUMMYFUNCTION("""COMPUTED_VALUE"""),"20ft Sea Ark FL5351SJ UNF 2015")</f>
        <v>20ft Sea Ark FL5351SJ UNF 2015</v>
      </c>
      <c r="M181" t="str">
        <f ca="1">IFERROR(__xludf.DUMMYFUNCTION("""COMPUTED_VALUE"""),"Ford F150 2015 (White) - DEP21448")</f>
        <v>Ford F150 2015 (White) - DEP21448</v>
      </c>
      <c r="N181" t="str">
        <f ca="1">IFERROR(__xludf.DUMMYFUNCTION("""COMPUTED_VALUE"""),"Pam Marcum, (480) 332-5414")</f>
        <v>Pam Marcum, (480) 332-5414</v>
      </c>
      <c r="O181" t="str">
        <f ca="1">IFERROR(__xludf.DUMMYFUNCTION("""COMPUTED_VALUE"""),"Hunter Matthews, Ray Grizzle, Melissa Southwell, Craig Tinus, Krystin")</f>
        <v>Hunter Matthews, Ray Grizzle, Melissa Southwell, Craig Tinus, Krystin</v>
      </c>
      <c r="P181" t="str">
        <f ca="1">IFERROR(__xludf.DUMMYFUNCTION("""COMPUTED_VALUE"""),"Pam Marcum")</f>
        <v>Pam Marcum</v>
      </c>
      <c r="Q181" t="str">
        <f ca="1">IFERROR(__xludf.DUMMYFUNCTION("""COMPUTED_VALUE"""),"Good")</f>
        <v>Good</v>
      </c>
      <c r="R181" t="str">
        <f ca="1">IFERROR(__xludf.DUMMYFUNCTION("""COMPUTED_VALUE"""),"Good")</f>
        <v>Good</v>
      </c>
      <c r="S181" t="str">
        <f ca="1">IFERROR(__xludf.DUMMYFUNCTION("""COMPUTED_VALUE"""),"Good")</f>
        <v>Good</v>
      </c>
      <c r="T181" t="str">
        <f ca="1">IFERROR(__xludf.DUMMYFUNCTION("""COMPUTED_VALUE"""),"Good")</f>
        <v>Good</v>
      </c>
      <c r="U181" t="str">
        <f ca="1">IFERROR(__xludf.DUMMYFUNCTION("""COMPUTED_VALUE"""),"Good")</f>
        <v>Good</v>
      </c>
      <c r="V181" t="str">
        <f ca="1">IFERROR(__xludf.DUMMYFUNCTION("""COMPUTED_VALUE"""),"Good")</f>
        <v>Good</v>
      </c>
      <c r="W181" t="str">
        <f ca="1">IFERROR(__xludf.DUMMYFUNCTION("""COMPUTED_VALUE"""),"Good")</f>
        <v>Good</v>
      </c>
      <c r="X181" t="str">
        <f ca="1">IFERROR(__xludf.DUMMYFUNCTION("""COMPUTED_VALUE"""),"Good")</f>
        <v>Good</v>
      </c>
      <c r="Y181" t="str">
        <f ca="1">IFERROR(__xludf.DUMMYFUNCTION("""COMPUTED_VALUE"""),"Good")</f>
        <v>Good</v>
      </c>
      <c r="Z181" t="str">
        <f ca="1">IFERROR(__xludf.DUMMYFUNCTION("""COMPUTED_VALUE"""),"Good")</f>
        <v>Good</v>
      </c>
      <c r="AA181" t="str">
        <f ca="1">IFERROR(__xludf.DUMMYFUNCTION("""COMPUTED_VALUE"""),"Good")</f>
        <v>Good</v>
      </c>
      <c r="AB181" t="str">
        <f ca="1">IFERROR(__xludf.DUMMYFUNCTION("""COMPUTED_VALUE"""),"Good")</f>
        <v>Good</v>
      </c>
      <c r="AC181" t="str">
        <f ca="1">IFERROR(__xludf.DUMMYFUNCTION("""COMPUTED_VALUE"""),"Good")</f>
        <v>Good</v>
      </c>
      <c r="AE181" s="11"/>
      <c r="AF181" t="str">
        <v>Nikki.Dix@floridadep.gov</v>
      </c>
      <c r="AG181" s="17" t="s">
        <v>17</v>
      </c>
      <c r="AH181" s="12">
        <v>1205</v>
      </c>
      <c r="AI181" s="12" t="s">
        <v>484</v>
      </c>
      <c r="AJ181" s="19" t="s">
        <v>485</v>
      </c>
      <c r="AK181" s="20" t="str">
        <f>HYPERLINK("https://docs.google.com/document/d/1KDW4JIx-TDLtUs2oIxpu-004J3DLKclKRdUK1ysIZ4w/edit?usp=drivesdk","Pamela Marcum - 10/29/2018 7:00 AM")</f>
        <v>Pamela Marcum - 10/29/2018 7:00 AM</v>
      </c>
      <c r="AL181" s="12" t="s">
        <v>486</v>
      </c>
    </row>
    <row r="182" spans="1:38" ht="12.75">
      <c r="A182" s="10">
        <f ca="1">IFERROR(__xludf.DUMMYFUNCTION("""COMPUTED_VALUE"""),43403.2623704513)</f>
        <v>43403.262370451303</v>
      </c>
      <c r="B182" s="11" t="str">
        <f ca="1">IFERROR(__xludf.DUMMYFUNCTION("""COMPUTED_VALUE"""),"Pamela Marcum")</f>
        <v>Pamela Marcum</v>
      </c>
      <c r="C182" t="str">
        <f ca="1">IFERROR(__xludf.DUMMYFUNCTION("""COMPUTED_VALUE"""),"Pamela.Marcum@dep.state.fl.us")</f>
        <v>Pamela.Marcum@dep.state.fl.us</v>
      </c>
      <c r="D182" t="str">
        <f ca="1">IFERROR(__xludf.DUMMYFUNCTION("""COMPUTED_VALUE"""),"Research/Nikki")</f>
        <v>Research/Nikki</v>
      </c>
      <c r="E182" t="str">
        <f ca="1">IFERROR(__xludf.DUMMYFUNCTION("""COMPUTED_VALUE"""),"Palm Valley/210")</f>
        <v>Palm Valley/210</v>
      </c>
      <c r="F182" s="13">
        <f ca="1">IFERROR(__xludf.DUMMYFUNCTION("""COMPUTED_VALUE"""),0.291666666667879)</f>
        <v>0.29166666666787899</v>
      </c>
      <c r="G182" s="14">
        <f ca="1">IFERROR(__xludf.DUMMYFUNCTION("""COMPUTED_VALUE"""),43403)</f>
        <v>43403</v>
      </c>
      <c r="H182" t="str">
        <f ca="1">IFERROR(__xludf.DUMMYFUNCTION("""COMPUTED_VALUE"""),"Angelini Sites")</f>
        <v>Angelini Sites</v>
      </c>
      <c r="I182" s="15">
        <f ca="1">IFERROR(__xludf.DUMMYFUNCTION("""COMPUTED_VALUE"""),0.541666666667879)</f>
        <v>0.54166666666787899</v>
      </c>
      <c r="J182" s="16">
        <f ca="1">IFERROR(__xludf.DUMMYFUNCTION("""COMPUTED_VALUE"""),43403.5625)</f>
        <v>43403.5625</v>
      </c>
      <c r="K182" t="str">
        <f ca="1">IFERROR(__xludf.DUMMYFUNCTION("""COMPUTED_VALUE"""),"20ft Sea Ark FL5351SJ UNF 2015")</f>
        <v>20ft Sea Ark FL5351SJ UNF 2015</v>
      </c>
      <c r="M182" t="str">
        <f ca="1">IFERROR(__xludf.DUMMYFUNCTION("""COMPUTED_VALUE"""),"Ford F150 2015 (White) - DEP21448")</f>
        <v>Ford F150 2015 (White) - DEP21448</v>
      </c>
      <c r="N182" t="str">
        <f ca="1">IFERROR(__xludf.DUMMYFUNCTION("""COMPUTED_VALUE"""),"Pam Marcum, (480) 332-5414")</f>
        <v>Pam Marcum, (480) 332-5414</v>
      </c>
      <c r="O182" t="str">
        <f ca="1">IFERROR(__xludf.DUMMYFUNCTION("""COMPUTED_VALUE"""),"Krystin, Ray Grizzle, Craig Tinus")</f>
        <v>Krystin, Ray Grizzle, Craig Tinus</v>
      </c>
      <c r="P182" t="str">
        <f ca="1">IFERROR(__xludf.DUMMYFUNCTION("""COMPUTED_VALUE"""),"Pam")</f>
        <v>Pam</v>
      </c>
      <c r="Q182" t="str">
        <f ca="1">IFERROR(__xludf.DUMMYFUNCTION("""COMPUTED_VALUE"""),"Good")</f>
        <v>Good</v>
      </c>
      <c r="R182" t="str">
        <f ca="1">IFERROR(__xludf.DUMMYFUNCTION("""COMPUTED_VALUE"""),"Good")</f>
        <v>Good</v>
      </c>
      <c r="S182" t="str">
        <f ca="1">IFERROR(__xludf.DUMMYFUNCTION("""COMPUTED_VALUE"""),"Good")</f>
        <v>Good</v>
      </c>
      <c r="T182" t="str">
        <f ca="1">IFERROR(__xludf.DUMMYFUNCTION("""COMPUTED_VALUE"""),"Good")</f>
        <v>Good</v>
      </c>
      <c r="U182" t="str">
        <f ca="1">IFERROR(__xludf.DUMMYFUNCTION("""COMPUTED_VALUE"""),"Good")</f>
        <v>Good</v>
      </c>
      <c r="V182" t="str">
        <f ca="1">IFERROR(__xludf.DUMMYFUNCTION("""COMPUTED_VALUE"""),"Good")</f>
        <v>Good</v>
      </c>
      <c r="W182" t="str">
        <f ca="1">IFERROR(__xludf.DUMMYFUNCTION("""COMPUTED_VALUE"""),"Good")</f>
        <v>Good</v>
      </c>
      <c r="X182" t="str">
        <f ca="1">IFERROR(__xludf.DUMMYFUNCTION("""COMPUTED_VALUE"""),"Good")</f>
        <v>Good</v>
      </c>
      <c r="Y182" t="str">
        <f ca="1">IFERROR(__xludf.DUMMYFUNCTION("""COMPUTED_VALUE"""),"Good")</f>
        <v>Good</v>
      </c>
      <c r="Z182" t="str">
        <f ca="1">IFERROR(__xludf.DUMMYFUNCTION("""COMPUTED_VALUE"""),"Good")</f>
        <v>Good</v>
      </c>
      <c r="AA182" t="str">
        <f ca="1">IFERROR(__xludf.DUMMYFUNCTION("""COMPUTED_VALUE"""),"Good")</f>
        <v>Good</v>
      </c>
      <c r="AB182" t="str">
        <f ca="1">IFERROR(__xludf.DUMMYFUNCTION("""COMPUTED_VALUE"""),"Good")</f>
        <v>Good</v>
      </c>
      <c r="AC182" t="str">
        <f ca="1">IFERROR(__xludf.DUMMYFUNCTION("""COMPUTED_VALUE"""),"Good")</f>
        <v>Good</v>
      </c>
      <c r="AE182" s="11"/>
      <c r="AF182" t="str">
        <v>Nikki.Dix@floridadep.gov</v>
      </c>
      <c r="AG182" s="17" t="s">
        <v>17</v>
      </c>
      <c r="AH182" s="12">
        <v>1115</v>
      </c>
      <c r="AI182" s="12" t="s">
        <v>487</v>
      </c>
      <c r="AJ182" s="19" t="s">
        <v>488</v>
      </c>
      <c r="AK182" s="20" t="str">
        <f>HYPERLINK("https://docs.google.com/document/d/1Qu9mmZmTv01KNWghm6u4OGUV88UmBjkTWh1ifHFSkZg/edit?usp=drivesdk","Pamela Marcum - 10/30/2018 7:00 AM")</f>
        <v>Pamela Marcum - 10/30/2018 7:00 AM</v>
      </c>
      <c r="AL182" s="12" t="s">
        <v>489</v>
      </c>
    </row>
    <row r="183" spans="1:38" ht="12.75">
      <c r="A183" s="10">
        <f ca="1">IFERROR(__xludf.DUMMYFUNCTION("""COMPUTED_VALUE"""),43404.2830738425)</f>
        <v>43404.283073842496</v>
      </c>
      <c r="B183" s="11" t="str">
        <f ca="1">IFERROR(__xludf.DUMMYFUNCTION("""COMPUTED_VALUE"""),"Pamela Marcum")</f>
        <v>Pamela Marcum</v>
      </c>
      <c r="C183" t="str">
        <f ca="1">IFERROR(__xludf.DUMMYFUNCTION("""COMPUTED_VALUE"""),"Pamela.Marcum@dep.state.fl.us")</f>
        <v>Pamela.Marcum@dep.state.fl.us</v>
      </c>
      <c r="D183" t="str">
        <f ca="1">IFERROR(__xludf.DUMMYFUNCTION("""COMPUTED_VALUE"""),"Research/Nikki")</f>
        <v>Research/Nikki</v>
      </c>
      <c r="E183" t="str">
        <f ca="1">IFERROR(__xludf.DUMMYFUNCTION("""COMPUTED_VALUE"""),"Palm Valley/210")</f>
        <v>Palm Valley/210</v>
      </c>
      <c r="F183" s="13">
        <f ca="1">IFERROR(__xludf.DUMMYFUNCTION("""COMPUTED_VALUE"""),0.3125)</f>
        <v>0.3125</v>
      </c>
      <c r="G183" s="14">
        <f ca="1">IFERROR(__xludf.DUMMYFUNCTION("""COMPUTED_VALUE"""),43404)</f>
        <v>43404</v>
      </c>
      <c r="H183" t="str">
        <f ca="1">IFERROR(__xludf.DUMMYFUNCTION("""COMPUTED_VALUE"""),"Pine Island")</f>
        <v>Pine Island</v>
      </c>
      <c r="I183" s="15">
        <f ca="1">IFERROR(__xludf.DUMMYFUNCTION("""COMPUTED_VALUE"""),0.58333333333212)</f>
        <v>0.58333333333212001</v>
      </c>
      <c r="J183" s="16">
        <f ca="1">IFERROR(__xludf.DUMMYFUNCTION("""COMPUTED_VALUE"""),43404.6041666666)</f>
        <v>43404.604166666599</v>
      </c>
      <c r="K183" t="str">
        <f ca="1">IFERROR(__xludf.DUMMYFUNCTION("""COMPUTED_VALUE"""),"20ft Sea Ark FL5351SJ UNF 2015")</f>
        <v>20ft Sea Ark FL5351SJ UNF 2015</v>
      </c>
      <c r="M183" t="str">
        <f ca="1">IFERROR(__xludf.DUMMYFUNCTION("""COMPUTED_VALUE"""),"Ford F150 2015 (White) - DEP21448")</f>
        <v>Ford F150 2015 (White) - DEP21448</v>
      </c>
      <c r="N183" t="str">
        <f ca="1">IFERROR(__xludf.DUMMYFUNCTION("""COMPUTED_VALUE"""),"Pam Marcum, (480) 332-5414")</f>
        <v>Pam Marcum, (480) 332-5414</v>
      </c>
      <c r="O183" t="str">
        <f ca="1">IFERROR(__xludf.DUMMYFUNCTION("""COMPUTED_VALUE"""),"Emma Hanson")</f>
        <v>Emma Hanson</v>
      </c>
      <c r="P183" t="str">
        <f ca="1">IFERROR(__xludf.DUMMYFUNCTION("""COMPUTED_VALUE"""),"Pam")</f>
        <v>Pam</v>
      </c>
      <c r="Q183" t="str">
        <f ca="1">IFERROR(__xludf.DUMMYFUNCTION("""COMPUTED_VALUE"""),"Good")</f>
        <v>Good</v>
      </c>
      <c r="R183" t="str">
        <f ca="1">IFERROR(__xludf.DUMMYFUNCTION("""COMPUTED_VALUE"""),"Good")</f>
        <v>Good</v>
      </c>
      <c r="S183" t="str">
        <f ca="1">IFERROR(__xludf.DUMMYFUNCTION("""COMPUTED_VALUE"""),"Good")</f>
        <v>Good</v>
      </c>
      <c r="T183" t="str">
        <f ca="1">IFERROR(__xludf.DUMMYFUNCTION("""COMPUTED_VALUE"""),"Good")</f>
        <v>Good</v>
      </c>
      <c r="U183" t="str">
        <f ca="1">IFERROR(__xludf.DUMMYFUNCTION("""COMPUTED_VALUE"""),"Good")</f>
        <v>Good</v>
      </c>
      <c r="V183" t="str">
        <f ca="1">IFERROR(__xludf.DUMMYFUNCTION("""COMPUTED_VALUE"""),"Good")</f>
        <v>Good</v>
      </c>
      <c r="W183" t="str">
        <f ca="1">IFERROR(__xludf.DUMMYFUNCTION("""COMPUTED_VALUE"""),"Good")</f>
        <v>Good</v>
      </c>
      <c r="X183" t="str">
        <f ca="1">IFERROR(__xludf.DUMMYFUNCTION("""COMPUTED_VALUE"""),"Good")</f>
        <v>Good</v>
      </c>
      <c r="Y183" t="str">
        <f ca="1">IFERROR(__xludf.DUMMYFUNCTION("""COMPUTED_VALUE"""),"Good")</f>
        <v>Good</v>
      </c>
      <c r="Z183" t="str">
        <f ca="1">IFERROR(__xludf.DUMMYFUNCTION("""COMPUTED_VALUE"""),"Good")</f>
        <v>Good</v>
      </c>
      <c r="AA183" t="str">
        <f ca="1">IFERROR(__xludf.DUMMYFUNCTION("""COMPUTED_VALUE"""),"Good")</f>
        <v>Good</v>
      </c>
      <c r="AB183" t="str">
        <f ca="1">IFERROR(__xludf.DUMMYFUNCTION("""COMPUTED_VALUE"""),"Good")</f>
        <v>Good</v>
      </c>
      <c r="AC183" t="str">
        <f ca="1">IFERROR(__xludf.DUMMYFUNCTION("""COMPUTED_VALUE"""),"Good")</f>
        <v>Good</v>
      </c>
      <c r="AE183" s="11"/>
      <c r="AF183" t="str">
        <v>Nikki.Dix@floridadep.gov</v>
      </c>
      <c r="AG183" s="17" t="s">
        <v>58</v>
      </c>
      <c r="AH183" s="23">
        <v>0.47916666666666669</v>
      </c>
      <c r="AI183" s="12" t="s">
        <v>490</v>
      </c>
      <c r="AJ183" s="19" t="s">
        <v>491</v>
      </c>
      <c r="AK183" s="20" t="str">
        <f>HYPERLINK("https://docs.google.com/document/d/1Piq9pUUSz179ys6kT1N1gc9p86TbMAxgV-Uv5HnwE5E/edit?usp=drivesdk","Pamela Marcum - 10/31/2018 7:30 AM")</f>
        <v>Pamela Marcum - 10/31/2018 7:30 AM</v>
      </c>
      <c r="AL183" s="12" t="s">
        <v>492</v>
      </c>
    </row>
    <row r="184" spans="1:38" ht="12.75">
      <c r="A184" s="10">
        <f ca="1">IFERROR(__xludf.DUMMYFUNCTION("""COMPUTED_VALUE"""),43404.2847958449)</f>
        <v>43404.284795844898</v>
      </c>
      <c r="B184" s="11" t="str">
        <f ca="1">IFERROR(__xludf.DUMMYFUNCTION("""COMPUTED_VALUE"""),"Ben Mowbray")</f>
        <v>Ben Mowbray</v>
      </c>
      <c r="C184" t="str">
        <f ca="1">IFERROR(__xludf.DUMMYFUNCTION("""COMPUTED_VALUE"""),"Ben.Mowbray@dep.state.fl.us")</f>
        <v>Ben.Mowbray@dep.state.fl.us</v>
      </c>
      <c r="D184" t="str">
        <f ca="1">IFERROR(__xludf.DUMMYFUNCTION("""COMPUTED_VALUE"""),"Research/Nikki")</f>
        <v>Research/Nikki</v>
      </c>
      <c r="E184" t="str">
        <f ca="1">IFERROR(__xludf.DUMMYFUNCTION("""COMPUTED_VALUE"""),"Palm Valley/210")</f>
        <v>Palm Valley/210</v>
      </c>
      <c r="F184" s="13">
        <f ca="1">IFERROR(__xludf.DUMMYFUNCTION("""COMPUTED_VALUE"""),0.3125)</f>
        <v>0.3125</v>
      </c>
      <c r="G184" s="14">
        <f ca="1">IFERROR(__xludf.DUMMYFUNCTION("""COMPUTED_VALUE"""),43404)</f>
        <v>43404</v>
      </c>
      <c r="H184" t="str">
        <f ca="1">IFERROR(__xludf.DUMMYFUNCTION("""COMPUTED_VALUE"""),"Pine Island")</f>
        <v>Pine Island</v>
      </c>
      <c r="I184" s="15">
        <f ca="1">IFERROR(__xludf.DUMMYFUNCTION("""COMPUTED_VALUE"""),0.58333333333212)</f>
        <v>0.58333333333212001</v>
      </c>
      <c r="J184" s="16">
        <f ca="1">IFERROR(__xludf.DUMMYFUNCTION("""COMPUTED_VALUE"""),43404.6041666666)</f>
        <v>43404.604166666599</v>
      </c>
      <c r="K184" t="str">
        <f ca="1">IFERROR(__xludf.DUMMYFUNCTION("""COMPUTED_VALUE"""),"F 20ft Sea Ark (Easy 200) FL8534PY DEP21451")</f>
        <v>F 20ft Sea Ark (Easy 200) FL8534PY DEP21451</v>
      </c>
      <c r="M184" t="str">
        <f ca="1">IFERROR(__xludf.DUMMYFUNCTION("""COMPUTED_VALUE"""),"Ford F150 2008 - DEP18041 (SWMP Thing)")</f>
        <v>Ford F150 2008 - DEP18041 (SWMP Thing)</v>
      </c>
      <c r="N184" t="str">
        <f ca="1">IFERROR(__xludf.DUMMYFUNCTION("""COMPUTED_VALUE"""),"Ben Mowbray, (407) 962-8782")</f>
        <v>Ben Mowbray, (407) 962-8782</v>
      </c>
      <c r="O184" t="str">
        <f ca="1">IFERROR(__xludf.DUMMYFUNCTION("""COMPUTED_VALUE"""),"Craig Tinus, Melissa Southwell, Jessica Veenstra, Ray Grizzle, Krystin Ward")</f>
        <v>Craig Tinus, Melissa Southwell, Jessica Veenstra, Ray Grizzle, Krystin Ward</v>
      </c>
      <c r="P184" t="str">
        <f ca="1">IFERROR(__xludf.DUMMYFUNCTION("""COMPUTED_VALUE"""),"Ben")</f>
        <v>Ben</v>
      </c>
      <c r="Q184" t="str">
        <f ca="1">IFERROR(__xludf.DUMMYFUNCTION("""COMPUTED_VALUE"""),"Good")</f>
        <v>Good</v>
      </c>
      <c r="R184" t="str">
        <f ca="1">IFERROR(__xludf.DUMMYFUNCTION("""COMPUTED_VALUE"""),"Good")</f>
        <v>Good</v>
      </c>
      <c r="S184" t="str">
        <f ca="1">IFERROR(__xludf.DUMMYFUNCTION("""COMPUTED_VALUE"""),"Good")</f>
        <v>Good</v>
      </c>
      <c r="T184" t="str">
        <f ca="1">IFERROR(__xludf.DUMMYFUNCTION("""COMPUTED_VALUE"""),"Good")</f>
        <v>Good</v>
      </c>
      <c r="U184" t="str">
        <f ca="1">IFERROR(__xludf.DUMMYFUNCTION("""COMPUTED_VALUE"""),"Good")</f>
        <v>Good</v>
      </c>
      <c r="V184" t="str">
        <f ca="1">IFERROR(__xludf.DUMMYFUNCTION("""COMPUTED_VALUE"""),"Good")</f>
        <v>Good</v>
      </c>
      <c r="W184" t="str">
        <f ca="1">IFERROR(__xludf.DUMMYFUNCTION("""COMPUTED_VALUE"""),"Good")</f>
        <v>Good</v>
      </c>
      <c r="X184" t="str">
        <f ca="1">IFERROR(__xludf.DUMMYFUNCTION("""COMPUTED_VALUE"""),"Good")</f>
        <v>Good</v>
      </c>
      <c r="Y184" t="str">
        <f ca="1">IFERROR(__xludf.DUMMYFUNCTION("""COMPUTED_VALUE"""),"Good")</f>
        <v>Good</v>
      </c>
      <c r="Z184" t="str">
        <f ca="1">IFERROR(__xludf.DUMMYFUNCTION("""COMPUTED_VALUE"""),"Good")</f>
        <v>Good</v>
      </c>
      <c r="AA184" t="str">
        <f ca="1">IFERROR(__xludf.DUMMYFUNCTION("""COMPUTED_VALUE"""),"Good")</f>
        <v>Good</v>
      </c>
      <c r="AB184" t="str">
        <f ca="1">IFERROR(__xludf.DUMMYFUNCTION("""COMPUTED_VALUE"""),"Good")</f>
        <v>Good</v>
      </c>
      <c r="AC184" t="str">
        <f ca="1">IFERROR(__xludf.DUMMYFUNCTION("""COMPUTED_VALUE"""),"Good")</f>
        <v>Good</v>
      </c>
      <c r="AE184" s="11"/>
      <c r="AF184" t="str">
        <v>Nikki.Dix@floridadep.gov</v>
      </c>
      <c r="AG184" s="17" t="s">
        <v>126</v>
      </c>
      <c r="AH184" s="23">
        <v>0.47916666666666669</v>
      </c>
      <c r="AI184" s="12" t="s">
        <v>493</v>
      </c>
      <c r="AJ184" s="19" t="s">
        <v>494</v>
      </c>
      <c r="AK184" s="20" t="str">
        <f>HYPERLINK("https://docs.google.com/document/d/1yRmCu21DibXxTmzuabRnKsTEkg4ImN6YDeiFUo9b1mQ/edit?usp=drivesdk","Ben Mowbray - 10/31/2018 7:30 AM")</f>
        <v>Ben Mowbray - 10/31/2018 7:30 AM</v>
      </c>
      <c r="AL184" s="12" t="s">
        <v>495</v>
      </c>
    </row>
    <row r="185" spans="1:38" ht="12.75">
      <c r="A185" s="10">
        <f ca="1">IFERROR(__xludf.DUMMYFUNCTION("""COMPUTED_VALUE"""),43404.4863444444)</f>
        <v>43404.486344444398</v>
      </c>
      <c r="B185" s="11" t="str">
        <f ca="1">IFERROR(__xludf.DUMMYFUNCTION("""COMPUTED_VALUE"""),"Silas Tanner")</f>
        <v>Silas Tanner</v>
      </c>
      <c r="C185" t="str">
        <f ca="1">IFERROR(__xludf.DUMMYFUNCTION("""COMPUTED_VALUE"""),"silas.tanner@floridadep.gov")</f>
        <v>silas.tanner@floridadep.gov</v>
      </c>
      <c r="D185" t="str">
        <f ca="1">IFERROR(__xludf.DUMMYFUNCTION("""COMPUTED_VALUE"""),"Research/Nikki")</f>
        <v>Research/Nikki</v>
      </c>
      <c r="E185" t="str">
        <f ca="1">IFERROR(__xludf.DUMMYFUNCTION("""COMPUTED_VALUE"""),"Crane Ramp")</f>
        <v>Crane Ramp</v>
      </c>
      <c r="F185" s="13">
        <f ca="1">IFERROR(__xludf.DUMMYFUNCTION("""COMPUTED_VALUE"""),0.510416666667879)</f>
        <v>0.51041666666787899</v>
      </c>
      <c r="G185" s="14">
        <f ca="1">IFERROR(__xludf.DUMMYFUNCTION("""COMPUTED_VALUE"""),43404)</f>
        <v>43404</v>
      </c>
      <c r="H185" t="str">
        <f ca="1">IFERROR(__xludf.DUMMYFUNCTION("""COMPUTED_VALUE"""),"ICW - Marsh Creek aka ""Gabby's Creek""")</f>
        <v>ICW - Marsh Creek aka "Gabby's Creek"</v>
      </c>
      <c r="I185" s="15">
        <f ca="1">IFERROR(__xludf.DUMMYFUNCTION("""COMPUTED_VALUE"""),0.6875)</f>
        <v>0.6875</v>
      </c>
      <c r="J185" s="16">
        <f ca="1">IFERROR(__xludf.DUMMYFUNCTION("""COMPUTED_VALUE"""),43404.7083333333)</f>
        <v>43404.708333333299</v>
      </c>
      <c r="K185" t="str">
        <f ca="1">IFERROR(__xludf.DUMMYFUNCTION("""COMPUTED_VALUE"""),"17ft Skill FL0642GW DEP07239")</f>
        <v>17ft Skill FL0642GW DEP07239</v>
      </c>
      <c r="M185" t="str">
        <f ca="1">IFERROR(__xludf.DUMMYFUNCTION("""COMPUTED_VALUE"""),"Ford F250 2017 (Moby Dix) - DEP0021578")</f>
        <v>Ford F250 2017 (Moby Dix) - DEP0021578</v>
      </c>
      <c r="N185" t="str">
        <f ca="1">IFERROR(__xludf.DUMMYFUNCTION("""COMPUTED_VALUE"""),"Silas Tanner, (904) 483-8423")</f>
        <v>Silas Tanner, (904) 483-8423</v>
      </c>
      <c r="O185" t="str">
        <f ca="1">IFERROR(__xludf.DUMMYFUNCTION("""COMPUTED_VALUE"""),"Gabriela Canas, (904) 891-9743, Alee")</f>
        <v>Gabriela Canas, (904) 891-9743, Alee</v>
      </c>
      <c r="P185" t="str">
        <f ca="1">IFERROR(__xludf.DUMMYFUNCTION("""COMPUTED_VALUE"""),"Tanner")</f>
        <v>Tanner</v>
      </c>
      <c r="Q185" t="str">
        <f ca="1">IFERROR(__xludf.DUMMYFUNCTION("""COMPUTED_VALUE"""),"Good")</f>
        <v>Good</v>
      </c>
      <c r="R185" t="str">
        <f ca="1">IFERROR(__xludf.DUMMYFUNCTION("""COMPUTED_VALUE"""),"Good")</f>
        <v>Good</v>
      </c>
      <c r="S185" t="str">
        <f ca="1">IFERROR(__xludf.DUMMYFUNCTION("""COMPUTED_VALUE"""),"Good")</f>
        <v>Good</v>
      </c>
      <c r="T185" t="str">
        <f ca="1">IFERROR(__xludf.DUMMYFUNCTION("""COMPUTED_VALUE"""),"Good")</f>
        <v>Good</v>
      </c>
      <c r="U185" t="str">
        <f ca="1">IFERROR(__xludf.DUMMYFUNCTION("""COMPUTED_VALUE"""),"Good")</f>
        <v>Good</v>
      </c>
      <c r="V185" t="str">
        <f ca="1">IFERROR(__xludf.DUMMYFUNCTION("""COMPUTED_VALUE"""),"Good")</f>
        <v>Good</v>
      </c>
      <c r="W185" t="str">
        <f ca="1">IFERROR(__xludf.DUMMYFUNCTION("""COMPUTED_VALUE"""),"Good")</f>
        <v>Good</v>
      </c>
      <c r="X185" t="str">
        <f ca="1">IFERROR(__xludf.DUMMYFUNCTION("""COMPUTED_VALUE"""),"Good")</f>
        <v>Good</v>
      </c>
      <c r="Y185" t="str">
        <f ca="1">IFERROR(__xludf.DUMMYFUNCTION("""COMPUTED_VALUE"""),"Good")</f>
        <v>Good</v>
      </c>
      <c r="Z185" t="str">
        <f ca="1">IFERROR(__xludf.DUMMYFUNCTION("""COMPUTED_VALUE"""),"Good")</f>
        <v>Good</v>
      </c>
      <c r="AA185" t="str">
        <f ca="1">IFERROR(__xludf.DUMMYFUNCTION("""COMPUTED_VALUE"""),"Good")</f>
        <v>Good</v>
      </c>
      <c r="AB185" t="str">
        <f ca="1">IFERROR(__xludf.DUMMYFUNCTION("""COMPUTED_VALUE"""),"Good")</f>
        <v>Good</v>
      </c>
      <c r="AC185" t="str">
        <f ca="1">IFERROR(__xludf.DUMMYFUNCTION("""COMPUTED_VALUE"""),"Good")</f>
        <v>Good</v>
      </c>
      <c r="AE185" s="11"/>
      <c r="AF185" t="str">
        <v>Nikki.Dix@floridadep.gov</v>
      </c>
      <c r="AG185" s="17" t="s">
        <v>41</v>
      </c>
      <c r="AH185" s="12">
        <v>1608</v>
      </c>
      <c r="AI185" s="12" t="s">
        <v>496</v>
      </c>
      <c r="AJ185" s="19" t="s">
        <v>497</v>
      </c>
      <c r="AK185" s="20" t="str">
        <f>HYPERLINK("https://docs.google.com/document/d/1RX_gUfr2Cwzo06Md2uxfQ1lOEGgjQtJf8J9lleJZCOQ/edit?usp=drivesdk","Silas Tanner - 10/31/2018 12:15 PM")</f>
        <v>Silas Tanner - 10/31/2018 12:15 PM</v>
      </c>
      <c r="AL185" s="12" t="s">
        <v>498</v>
      </c>
    </row>
    <row r="186" spans="1:38" ht="12.75">
      <c r="A186" s="10">
        <f ca="1">IFERROR(__xludf.DUMMYFUNCTION("""COMPUTED_VALUE"""),43405.2769685879)</f>
        <v>43405.276968587903</v>
      </c>
      <c r="B186" s="11" t="str">
        <f ca="1">IFERROR(__xludf.DUMMYFUNCTION("""COMPUTED_VALUE"""),"Ben Mowbray")</f>
        <v>Ben Mowbray</v>
      </c>
      <c r="C186" t="str">
        <f ca="1">IFERROR(__xludf.DUMMYFUNCTION("""COMPUTED_VALUE"""),"ben.mowbray@dep.state.fl.us")</f>
        <v>ben.mowbray@dep.state.fl.us</v>
      </c>
      <c r="D186" t="str">
        <f ca="1">IFERROR(__xludf.DUMMYFUNCTION("""COMPUTED_VALUE"""),"Research/Nikki")</f>
        <v>Research/Nikki</v>
      </c>
      <c r="E186" t="str">
        <f ca="1">IFERROR(__xludf.DUMMYFUNCTION("""COMPUTED_VALUE"""),"Anastasia, Shore Dr., Green Rd., Washington Oaks")</f>
        <v>Anastasia, Shore Dr., Green Rd., Washington Oaks</v>
      </c>
      <c r="F186" s="13">
        <f ca="1">IFERROR(__xludf.DUMMYFUNCTION("""COMPUTED_VALUE"""),0.319444444445252)</f>
        <v>0.319444444445252</v>
      </c>
      <c r="G186" s="14">
        <f ca="1">IFERROR(__xludf.DUMMYFUNCTION("""COMPUTED_VALUE"""),43405)</f>
        <v>43405</v>
      </c>
      <c r="H186" t="str">
        <f ca="1">IFERROR(__xludf.DUMMYFUNCTION("""COMPUTED_VALUE"""),"Spat Run")</f>
        <v>Spat Run</v>
      </c>
      <c r="I186" s="15">
        <f ca="1">IFERROR(__xludf.DUMMYFUNCTION("""COMPUTED_VALUE"""),0.604166666667879)</f>
        <v>0.60416666666787899</v>
      </c>
      <c r="J186" s="16">
        <f ca="1">IFERROR(__xludf.DUMMYFUNCTION("""COMPUTED_VALUE"""),43405.6597222222)</f>
        <v>43405.659722222197</v>
      </c>
      <c r="K186" t="str">
        <f ca="1">IFERROR(__xludf.DUMMYFUNCTION("""COMPUTED_VALUE"""),"17ft Skill FL0642GW DEP07239")</f>
        <v>17ft Skill FL0642GW DEP07239</v>
      </c>
      <c r="M186" t="str">
        <f ca="1">IFERROR(__xludf.DUMMYFUNCTION("""COMPUTED_VALUE"""),"Ford F250 2017 (Moby Dix) - DEP0021578")</f>
        <v>Ford F250 2017 (Moby Dix) - DEP0021578</v>
      </c>
      <c r="N186" t="str">
        <f ca="1">IFERROR(__xludf.DUMMYFUNCTION("""COMPUTED_VALUE"""),"Ben Mowbray, (407) 962-8782")</f>
        <v>Ben Mowbray, (407) 962-8782</v>
      </c>
      <c r="O186" t="str">
        <f ca="1">IFERROR(__xludf.DUMMYFUNCTION("""COMPUTED_VALUE"""),"Marissa Raymond, Alicia Bishop")</f>
        <v>Marissa Raymond, Alicia Bishop</v>
      </c>
      <c r="P186" t="str">
        <f ca="1">IFERROR(__xludf.DUMMYFUNCTION("""COMPUTED_VALUE"""),"Ben")</f>
        <v>Ben</v>
      </c>
      <c r="Q186" t="str">
        <f ca="1">IFERROR(__xludf.DUMMYFUNCTION("""COMPUTED_VALUE"""),"Good")</f>
        <v>Good</v>
      </c>
      <c r="R186" t="str">
        <f ca="1">IFERROR(__xludf.DUMMYFUNCTION("""COMPUTED_VALUE"""),"Good")</f>
        <v>Good</v>
      </c>
      <c r="S186" t="str">
        <f ca="1">IFERROR(__xludf.DUMMYFUNCTION("""COMPUTED_VALUE"""),"Good")</f>
        <v>Good</v>
      </c>
      <c r="T186" t="str">
        <f ca="1">IFERROR(__xludf.DUMMYFUNCTION("""COMPUTED_VALUE"""),"Good")</f>
        <v>Good</v>
      </c>
      <c r="U186" t="str">
        <f ca="1">IFERROR(__xludf.DUMMYFUNCTION("""COMPUTED_VALUE"""),"Good")</f>
        <v>Good</v>
      </c>
      <c r="V186" t="str">
        <f ca="1">IFERROR(__xludf.DUMMYFUNCTION("""COMPUTED_VALUE"""),"Good")</f>
        <v>Good</v>
      </c>
      <c r="W186" t="str">
        <f ca="1">IFERROR(__xludf.DUMMYFUNCTION("""COMPUTED_VALUE"""),"Good")</f>
        <v>Good</v>
      </c>
      <c r="X186" t="str">
        <f ca="1">IFERROR(__xludf.DUMMYFUNCTION("""COMPUTED_VALUE"""),"Good")</f>
        <v>Good</v>
      </c>
      <c r="Y186" t="str">
        <f ca="1">IFERROR(__xludf.DUMMYFUNCTION("""COMPUTED_VALUE"""),"Good")</f>
        <v>Good</v>
      </c>
      <c r="Z186" t="str">
        <f ca="1">IFERROR(__xludf.DUMMYFUNCTION("""COMPUTED_VALUE"""),"Good")</f>
        <v>Good</v>
      </c>
      <c r="AA186" t="str">
        <f ca="1">IFERROR(__xludf.DUMMYFUNCTION("""COMPUTED_VALUE"""),"Good")</f>
        <v>Good</v>
      </c>
      <c r="AB186" t="str">
        <f ca="1">IFERROR(__xludf.DUMMYFUNCTION("""COMPUTED_VALUE"""),"Good")</f>
        <v>Good</v>
      </c>
      <c r="AC186" t="str">
        <f ca="1">IFERROR(__xludf.DUMMYFUNCTION("""COMPUTED_VALUE"""),"Good")</f>
        <v>Good</v>
      </c>
      <c r="AE186" s="11"/>
      <c r="AF186" t="str">
        <v>Nikki.Dix@floridadep.gov</v>
      </c>
      <c r="AG186" s="17" t="s">
        <v>499</v>
      </c>
      <c r="AH186" s="23">
        <v>0.61458333333333337</v>
      </c>
      <c r="AI186" s="12" t="s">
        <v>500</v>
      </c>
      <c r="AJ186" s="19" t="s">
        <v>501</v>
      </c>
      <c r="AK186" s="20" t="str">
        <f>HYPERLINK("https://docs.google.com/document/d/1s3JiwQ-KWulWysULpBhqbwpxDkxCnkakIu_ciCP-aHE/edit?usp=drivesdk","Ben Mowbray - 11/1/2018 7:40 AM")</f>
        <v>Ben Mowbray - 11/1/2018 7:40 AM</v>
      </c>
      <c r="AL186" s="12" t="s">
        <v>502</v>
      </c>
    </row>
    <row r="187" spans="1:38" ht="12.75">
      <c r="A187" s="10">
        <f ca="1">IFERROR(__xludf.DUMMYFUNCTION("""COMPUTED_VALUE"""),43405.3254264814)</f>
        <v>43405.325426481402</v>
      </c>
      <c r="B187" s="11" t="str">
        <f ca="1">IFERROR(__xludf.DUMMYFUNCTION("""COMPUTED_VALUE"""),"Pamela Marcum")</f>
        <v>Pamela Marcum</v>
      </c>
      <c r="C187" t="str">
        <f ca="1">IFERROR(__xludf.DUMMYFUNCTION("""COMPUTED_VALUE"""),"Pamela.Marcum@Dep.state.fl.us")</f>
        <v>Pamela.Marcum@Dep.state.fl.us</v>
      </c>
      <c r="D187" t="str">
        <f ca="1">IFERROR(__xludf.DUMMYFUNCTION("""COMPUTED_VALUE"""),"Research/Nikki")</f>
        <v>Research/Nikki</v>
      </c>
      <c r="E187" t="str">
        <f ca="1">IFERROR(__xludf.DUMMYFUNCTION("""COMPUTED_VALUE"""),"Aunt Kate's")</f>
        <v>Aunt Kate's</v>
      </c>
      <c r="F187" s="13">
        <f ca="1">IFERROR(__xludf.DUMMYFUNCTION("""COMPUTED_VALUE"""),0.33333333333212)</f>
        <v>0.33333333333212001</v>
      </c>
      <c r="G187" s="14">
        <f ca="1">IFERROR(__xludf.DUMMYFUNCTION("""COMPUTED_VALUE"""),43405)</f>
        <v>43405</v>
      </c>
      <c r="H187" t="str">
        <f ca="1">IFERROR(__xludf.DUMMYFUNCTION("""COMPUTED_VALUE"""),"Tolomato and Guana Kimbro Sites")</f>
        <v>Tolomato and Guana Kimbro Sites</v>
      </c>
      <c r="I187" s="15">
        <f ca="1">IFERROR(__xludf.DUMMYFUNCTION("""COMPUTED_VALUE"""),0.541666666667879)</f>
        <v>0.54166666666787899</v>
      </c>
      <c r="J187" s="16">
        <f ca="1">IFERROR(__xludf.DUMMYFUNCTION("""COMPUTED_VALUE"""),43405.5625)</f>
        <v>43405.5625</v>
      </c>
      <c r="K187" t="str">
        <f ca="1">IFERROR(__xludf.DUMMYFUNCTION("""COMPUTED_VALUE"""),"F 20ft Sea Ark (Easy 200) FL8534PY DEP21451")</f>
        <v>F 20ft Sea Ark (Easy 200) FL8534PY DEP21451</v>
      </c>
      <c r="M187" t="str">
        <f ca="1">IFERROR(__xludf.DUMMYFUNCTION("""COMPUTED_VALUE"""),"Ford F150 2008 - DEP18041 (SWMP Thing)")</f>
        <v>Ford F150 2008 - DEP18041 (SWMP Thing)</v>
      </c>
      <c r="N187" t="str">
        <f ca="1">IFERROR(__xludf.DUMMYFUNCTION("""COMPUTED_VALUE"""),"Pam Marcum, (480) 332-5414")</f>
        <v>Pam Marcum, (480) 332-5414</v>
      </c>
      <c r="O187" t="str">
        <f ca="1">IFERROR(__xludf.DUMMYFUNCTION("""COMPUTED_VALUE"""),"Nicole Peckham, Andre Breef-Pilz, Rodrigo Pavani")</f>
        <v>Nicole Peckham, Andre Breef-Pilz, Rodrigo Pavani</v>
      </c>
      <c r="P187" t="str">
        <f ca="1">IFERROR(__xludf.DUMMYFUNCTION("""COMPUTED_VALUE"""),"Pam")</f>
        <v>Pam</v>
      </c>
      <c r="Q187" t="str">
        <f ca="1">IFERROR(__xludf.DUMMYFUNCTION("""COMPUTED_VALUE"""),"Good")</f>
        <v>Good</v>
      </c>
      <c r="R187" t="str">
        <f ca="1">IFERROR(__xludf.DUMMYFUNCTION("""COMPUTED_VALUE"""),"Good")</f>
        <v>Good</v>
      </c>
      <c r="S187" t="str">
        <f ca="1">IFERROR(__xludf.DUMMYFUNCTION("""COMPUTED_VALUE"""),"Good")</f>
        <v>Good</v>
      </c>
      <c r="T187" t="str">
        <f ca="1">IFERROR(__xludf.DUMMYFUNCTION("""COMPUTED_VALUE"""),"Good")</f>
        <v>Good</v>
      </c>
      <c r="U187" t="str">
        <f ca="1">IFERROR(__xludf.DUMMYFUNCTION("""COMPUTED_VALUE"""),"Good")</f>
        <v>Good</v>
      </c>
      <c r="V187" t="str">
        <f ca="1">IFERROR(__xludf.DUMMYFUNCTION("""COMPUTED_VALUE"""),"Good")</f>
        <v>Good</v>
      </c>
      <c r="W187" t="str">
        <f ca="1">IFERROR(__xludf.DUMMYFUNCTION("""COMPUTED_VALUE"""),"Good")</f>
        <v>Good</v>
      </c>
      <c r="X187" t="str">
        <f ca="1">IFERROR(__xludf.DUMMYFUNCTION("""COMPUTED_VALUE"""),"Good")</f>
        <v>Good</v>
      </c>
      <c r="Y187" t="str">
        <f ca="1">IFERROR(__xludf.DUMMYFUNCTION("""COMPUTED_VALUE"""),"Good")</f>
        <v>Good</v>
      </c>
      <c r="Z187" t="str">
        <f ca="1">IFERROR(__xludf.DUMMYFUNCTION("""COMPUTED_VALUE"""),"Good")</f>
        <v>Good</v>
      </c>
      <c r="AA187" t="str">
        <f ca="1">IFERROR(__xludf.DUMMYFUNCTION("""COMPUTED_VALUE"""),"Good")</f>
        <v>Good</v>
      </c>
      <c r="AB187" t="str">
        <f ca="1">IFERROR(__xludf.DUMMYFUNCTION("""COMPUTED_VALUE"""),"Good")</f>
        <v>Good</v>
      </c>
      <c r="AC187" t="str">
        <f ca="1">IFERROR(__xludf.DUMMYFUNCTION("""COMPUTED_VALUE"""),"Good")</f>
        <v>Good</v>
      </c>
      <c r="AE187" s="11"/>
      <c r="AF187" t="str">
        <v>Nikki.Dix@floridadep.gov</v>
      </c>
      <c r="AG187" s="12" t="s">
        <v>503</v>
      </c>
      <c r="AH187" s="23">
        <v>0.61805555555555558</v>
      </c>
      <c r="AI187" s="12" t="s">
        <v>504</v>
      </c>
      <c r="AJ187" s="19" t="s">
        <v>505</v>
      </c>
      <c r="AK187" s="20" t="str">
        <f>HYPERLINK("https://docs.google.com/document/d/1wHN4Cbsn47rCWCLLPwvhvv0RSpz-ejSy8O1YNICpliM/edit?usp=drivesdk","Pamela Marcum - 11/1/2018 8:00 AM")</f>
        <v>Pamela Marcum - 11/1/2018 8:00 AM</v>
      </c>
      <c r="AL187" s="12" t="s">
        <v>506</v>
      </c>
    </row>
    <row r="188" spans="1:38" ht="12.75">
      <c r="A188" s="10">
        <f ca="1">IFERROR(__xludf.DUMMYFUNCTION("""COMPUTED_VALUE"""),43405.3465735185)</f>
        <v>43405.346573518502</v>
      </c>
      <c r="B188" s="11" t="str">
        <f ca="1">IFERROR(__xludf.DUMMYFUNCTION("""COMPUTED_VALUE"""),"Silas Tanner")</f>
        <v>Silas Tanner</v>
      </c>
      <c r="C188" t="str">
        <f ca="1">IFERROR(__xludf.DUMMYFUNCTION("""COMPUTED_VALUE"""),"Silas.Tanner@dep.state.fl.us")</f>
        <v>Silas.Tanner@dep.state.fl.us</v>
      </c>
      <c r="D188" t="str">
        <f ca="1">IFERROR(__xludf.DUMMYFUNCTION("""COMPUTED_VALUE"""),"Research/Nikki")</f>
        <v>Research/Nikki</v>
      </c>
      <c r="E188" t="str">
        <f ca="1">IFERROR(__xludf.DUMMYFUNCTION("""COMPUTED_VALUE"""),"Aunt Kate's")</f>
        <v>Aunt Kate's</v>
      </c>
      <c r="F188" s="13">
        <f ca="1">IFERROR(__xludf.DUMMYFUNCTION("""COMPUTED_VALUE"""),0.354166666667879)</f>
        <v>0.35416666666787899</v>
      </c>
      <c r="G188" s="14">
        <f ca="1">IFERROR(__xludf.DUMMYFUNCTION("""COMPUTED_VALUE"""),43405)</f>
        <v>43405</v>
      </c>
      <c r="H188" t="str">
        <f ca="1">IFERROR(__xludf.DUMMYFUNCTION("""COMPUTED_VALUE"""),"ICW Living Shorelines site 5")</f>
        <v>ICW Living Shorelines site 5</v>
      </c>
      <c r="I188" s="15">
        <f ca="1">IFERROR(__xludf.DUMMYFUNCTION("""COMPUTED_VALUE"""),0.604166666667879)</f>
        <v>0.60416666666787899</v>
      </c>
      <c r="J188" s="16">
        <f ca="1">IFERROR(__xludf.DUMMYFUNCTION("""COMPUTED_VALUE"""),43405.625)</f>
        <v>43405.625</v>
      </c>
      <c r="K188" t="str">
        <f ca="1">IFERROR(__xludf.DUMMYFUNCTION("""COMPUTED_VALUE"""),"20ft Sea Ark FL5351SJ UNF 2015")</f>
        <v>20ft Sea Ark FL5351SJ UNF 2015</v>
      </c>
      <c r="M188" t="str">
        <f ca="1">IFERROR(__xludf.DUMMYFUNCTION("""COMPUTED_VALUE"""),"Ford F150 2015 (White) - DEP21448")</f>
        <v>Ford F150 2015 (White) - DEP21448</v>
      </c>
      <c r="N188" t="str">
        <f ca="1">IFERROR(__xludf.DUMMYFUNCTION("""COMPUTED_VALUE"""),"Silas Tanner, (904) 483-8423")</f>
        <v>Silas Tanner, (904) 483-8423</v>
      </c>
      <c r="O188" t="str">
        <f ca="1">IFERROR(__xludf.DUMMYFUNCTION("""COMPUTED_VALUE"""),"Ray Grizzle, Kristen Ward, Emma Hanson, Kelly Smith")</f>
        <v>Ray Grizzle, Kristen Ward, Emma Hanson, Kelly Smith</v>
      </c>
      <c r="P188" t="str">
        <f ca="1">IFERROR(__xludf.DUMMYFUNCTION("""COMPUTED_VALUE"""),"Silas Tanner")</f>
        <v>Silas Tanner</v>
      </c>
      <c r="Q188" t="str">
        <f ca="1">IFERROR(__xludf.DUMMYFUNCTION("""COMPUTED_VALUE"""),"Good")</f>
        <v>Good</v>
      </c>
      <c r="R188" t="str">
        <f ca="1">IFERROR(__xludf.DUMMYFUNCTION("""COMPUTED_VALUE"""),"Good")</f>
        <v>Good</v>
      </c>
      <c r="S188" t="str">
        <f ca="1">IFERROR(__xludf.DUMMYFUNCTION("""COMPUTED_VALUE"""),"Good")</f>
        <v>Good</v>
      </c>
      <c r="T188" t="str">
        <f ca="1">IFERROR(__xludf.DUMMYFUNCTION("""COMPUTED_VALUE"""),"Good")</f>
        <v>Good</v>
      </c>
      <c r="U188" t="str">
        <f ca="1">IFERROR(__xludf.DUMMYFUNCTION("""COMPUTED_VALUE"""),"Good")</f>
        <v>Good</v>
      </c>
      <c r="V188" t="str">
        <f ca="1">IFERROR(__xludf.DUMMYFUNCTION("""COMPUTED_VALUE"""),"Good")</f>
        <v>Good</v>
      </c>
      <c r="W188" t="str">
        <f ca="1">IFERROR(__xludf.DUMMYFUNCTION("""COMPUTED_VALUE"""),"Good")</f>
        <v>Good</v>
      </c>
      <c r="X188" t="str">
        <f ca="1">IFERROR(__xludf.DUMMYFUNCTION("""COMPUTED_VALUE"""),"Good")</f>
        <v>Good</v>
      </c>
      <c r="Y188" t="str">
        <f ca="1">IFERROR(__xludf.DUMMYFUNCTION("""COMPUTED_VALUE"""),"Good")</f>
        <v>Good</v>
      </c>
      <c r="Z188" t="str">
        <f ca="1">IFERROR(__xludf.DUMMYFUNCTION("""COMPUTED_VALUE"""),"Good")</f>
        <v>Good</v>
      </c>
      <c r="AA188" t="str">
        <f ca="1">IFERROR(__xludf.DUMMYFUNCTION("""COMPUTED_VALUE"""),"Good")</f>
        <v>Good</v>
      </c>
      <c r="AB188" t="str">
        <f ca="1">IFERROR(__xludf.DUMMYFUNCTION("""COMPUTED_VALUE"""),"Good")</f>
        <v>Good</v>
      </c>
      <c r="AC188" t="str">
        <f ca="1">IFERROR(__xludf.DUMMYFUNCTION("""COMPUTED_VALUE"""),"Good")</f>
        <v>Good</v>
      </c>
      <c r="AE188" s="11"/>
      <c r="AF188" t="str">
        <v>Nikki.Dix@floridadep.gov</v>
      </c>
      <c r="AG188" s="12" t="s">
        <v>507</v>
      </c>
      <c r="AH188" s="12">
        <v>1205</v>
      </c>
      <c r="AI188" s="12" t="s">
        <v>508</v>
      </c>
      <c r="AJ188" s="19" t="s">
        <v>509</v>
      </c>
      <c r="AK188" s="20" t="str">
        <f>HYPERLINK("https://docs.google.com/document/d/1Rrrw9hXvd2dswIm7DTQzp7Bj3bZQddXoz6ZiVQaAymE/edit?usp=drivesdk","Silas Tanner - 11/1/2018 8:30 AM")</f>
        <v>Silas Tanner - 11/1/2018 8:30 AM</v>
      </c>
      <c r="AL188" s="12" t="s">
        <v>510</v>
      </c>
    </row>
    <row r="189" spans="1:38" ht="12.75">
      <c r="A189" s="10">
        <f ca="1">IFERROR(__xludf.DUMMYFUNCTION("""COMPUTED_VALUE"""),43406.327230243)</f>
        <v>43406.327230242998</v>
      </c>
      <c r="B189" s="11" t="str">
        <f ca="1">IFERROR(__xludf.DUMMYFUNCTION("""COMPUTED_VALUE"""),"Ben Mowbray")</f>
        <v>Ben Mowbray</v>
      </c>
      <c r="C189" t="str">
        <f ca="1">IFERROR(__xludf.DUMMYFUNCTION("""COMPUTED_VALUE"""),"ben.mowbray@dep.state.fl.us")</f>
        <v>ben.mowbray@dep.state.fl.us</v>
      </c>
      <c r="D189" t="str">
        <f ca="1">IFERROR(__xludf.DUMMYFUNCTION("""COMPUTED_VALUE"""),"Research/Nikki")</f>
        <v>Research/Nikki</v>
      </c>
      <c r="E189" t="str">
        <f ca="1">IFERROR(__xludf.DUMMYFUNCTION("""COMPUTED_VALUE"""),"Douglas Crane")</f>
        <v>Douglas Crane</v>
      </c>
      <c r="F189" s="13">
        <f ca="1">IFERROR(__xludf.DUMMYFUNCTION("""COMPUTED_VALUE"""),0.361111111109494)</f>
        <v>0.36111111110949401</v>
      </c>
      <c r="G189" s="14">
        <f ca="1">IFERROR(__xludf.DUMMYFUNCTION("""COMPUTED_VALUE"""),43406)</f>
        <v>43406</v>
      </c>
      <c r="H189" t="str">
        <f ca="1">IFERROR(__xludf.DUMMYFUNCTION("""COMPUTED_VALUE"""),"Kimbro SA and SR sites")</f>
        <v>Kimbro SA and SR sites</v>
      </c>
      <c r="I189" s="15">
        <f ca="1">IFERROR(__xludf.DUMMYFUNCTION("""COMPUTED_VALUE"""),0.58333333333212)</f>
        <v>0.58333333333212001</v>
      </c>
      <c r="J189" s="16">
        <f ca="1">IFERROR(__xludf.DUMMYFUNCTION("""COMPUTED_VALUE"""),43406.6111111111)</f>
        <v>43406.611111111102</v>
      </c>
      <c r="K189" t="str">
        <f ca="1">IFERROR(__xludf.DUMMYFUNCTION("""COMPUTED_VALUE"""),"17ft Skill FL0642GW DEP07239")</f>
        <v>17ft Skill FL0642GW DEP07239</v>
      </c>
      <c r="M189" t="str">
        <f ca="1">IFERROR(__xludf.DUMMYFUNCTION("""COMPUTED_VALUE"""),"Ford F250 2017 (Moby Dix) - DEP0021578")</f>
        <v>Ford F250 2017 (Moby Dix) - DEP0021578</v>
      </c>
      <c r="N189" t="str">
        <f ca="1">IFERROR(__xludf.DUMMYFUNCTION("""COMPUTED_VALUE"""),"Ben Mowbray, (407) 962-8782")</f>
        <v>Ben Mowbray, (407) 962-8782</v>
      </c>
      <c r="O189" t="str">
        <f ca="1">IFERROR(__xludf.DUMMYFUNCTION("""COMPUTED_VALUE"""),"Craig Tinus, Nicole Peckham, Adrienne Bried-Pilz, Rodrigo Pavani")</f>
        <v>Craig Tinus, Nicole Peckham, Adrienne Bried-Pilz, Rodrigo Pavani</v>
      </c>
      <c r="P189" t="str">
        <f ca="1">IFERROR(__xludf.DUMMYFUNCTION("""COMPUTED_VALUE"""),"Ben")</f>
        <v>Ben</v>
      </c>
      <c r="Q189" t="str">
        <f ca="1">IFERROR(__xludf.DUMMYFUNCTION("""COMPUTED_VALUE"""),"Good")</f>
        <v>Good</v>
      </c>
      <c r="R189" t="str">
        <f ca="1">IFERROR(__xludf.DUMMYFUNCTION("""COMPUTED_VALUE"""),"Good")</f>
        <v>Good</v>
      </c>
      <c r="S189" t="str">
        <f ca="1">IFERROR(__xludf.DUMMYFUNCTION("""COMPUTED_VALUE"""),"Good")</f>
        <v>Good</v>
      </c>
      <c r="T189" t="str">
        <f ca="1">IFERROR(__xludf.DUMMYFUNCTION("""COMPUTED_VALUE"""),"Good")</f>
        <v>Good</v>
      </c>
      <c r="U189" t="str">
        <f ca="1">IFERROR(__xludf.DUMMYFUNCTION("""COMPUTED_VALUE"""),"Good")</f>
        <v>Good</v>
      </c>
      <c r="V189" t="str">
        <f ca="1">IFERROR(__xludf.DUMMYFUNCTION("""COMPUTED_VALUE"""),"Good")</f>
        <v>Good</v>
      </c>
      <c r="W189" t="str">
        <f ca="1">IFERROR(__xludf.DUMMYFUNCTION("""COMPUTED_VALUE"""),"Good")</f>
        <v>Good</v>
      </c>
      <c r="X189" t="str">
        <f ca="1">IFERROR(__xludf.DUMMYFUNCTION("""COMPUTED_VALUE"""),"Good")</f>
        <v>Good</v>
      </c>
      <c r="Y189" t="str">
        <f ca="1">IFERROR(__xludf.DUMMYFUNCTION("""COMPUTED_VALUE"""),"Good")</f>
        <v>Good</v>
      </c>
      <c r="Z189" t="str">
        <f ca="1">IFERROR(__xludf.DUMMYFUNCTION("""COMPUTED_VALUE"""),"Good")</f>
        <v>Good</v>
      </c>
      <c r="AA189" t="str">
        <f ca="1">IFERROR(__xludf.DUMMYFUNCTION("""COMPUTED_VALUE"""),"Good")</f>
        <v>Good</v>
      </c>
      <c r="AB189" t="str">
        <f ca="1">IFERROR(__xludf.DUMMYFUNCTION("""COMPUTED_VALUE"""),"Good")</f>
        <v>Good</v>
      </c>
      <c r="AC189" t="str">
        <f ca="1">IFERROR(__xludf.DUMMYFUNCTION("""COMPUTED_VALUE"""),"Good")</f>
        <v>Good</v>
      </c>
      <c r="AE189" s="11"/>
      <c r="AF189" t="str">
        <v>Nikki.Dix@floridadep.gov</v>
      </c>
      <c r="AG189" s="17" t="s">
        <v>126</v>
      </c>
      <c r="AH189" s="23">
        <v>0.56944444444444442</v>
      </c>
      <c r="AI189" s="12" t="s">
        <v>511</v>
      </c>
      <c r="AJ189" s="19" t="s">
        <v>512</v>
      </c>
      <c r="AK189" s="20" t="str">
        <f>HYPERLINK("https://docs.google.com/document/d/1HISdHTEExN4zHmyd24EnNJE9re7ldowomCTkQ-w64zU/edit?usp=drivesdk","Ben Mowbray - 11/2/2018 8:40 AM")</f>
        <v>Ben Mowbray - 11/2/2018 8:40 AM</v>
      </c>
      <c r="AL189" s="12" t="s">
        <v>513</v>
      </c>
    </row>
    <row r="190" spans="1:38" ht="12.75">
      <c r="A190" s="10">
        <f ca="1">IFERROR(__xludf.DUMMYFUNCTION("""COMPUTED_VALUE"""),43406.3815740393)</f>
        <v>43406.381574039297</v>
      </c>
      <c r="B190" s="11" t="str">
        <f ca="1">IFERROR(__xludf.DUMMYFUNCTION("""COMPUTED_VALUE"""),"Pamela Marcum")</f>
        <v>Pamela Marcum</v>
      </c>
      <c r="C190" t="str">
        <f ca="1">IFERROR(__xludf.DUMMYFUNCTION("""COMPUTED_VALUE"""),"Pamela.Marcum@dep.state.fl.us")</f>
        <v>Pamela.Marcum@dep.state.fl.us</v>
      </c>
      <c r="D190" t="str">
        <f ca="1">IFERROR(__xludf.DUMMYFUNCTION("""COMPUTED_VALUE"""),"Research/Nikki")</f>
        <v>Research/Nikki</v>
      </c>
      <c r="E190" t="str">
        <f ca="1">IFERROR(__xludf.DUMMYFUNCTION("""COMPUTED_VALUE"""),"Aunt Kate's")</f>
        <v>Aunt Kate's</v>
      </c>
      <c r="F190" s="13">
        <f ca="1">IFERROR(__xludf.DUMMYFUNCTION("""COMPUTED_VALUE"""),0.39583333333212)</f>
        <v>0.39583333333212001</v>
      </c>
      <c r="G190" s="14">
        <f ca="1">IFERROR(__xludf.DUMMYFUNCTION("""COMPUTED_VALUE"""),43406)</f>
        <v>43406</v>
      </c>
      <c r="H190" t="str">
        <f ca="1">IFERROR(__xludf.DUMMYFUNCTION("""COMPUTED_VALUE"""),"Pine Island")</f>
        <v>Pine Island</v>
      </c>
      <c r="I190" s="15">
        <f ca="1">IFERROR(__xludf.DUMMYFUNCTION("""COMPUTED_VALUE"""),0.604166666667879)</f>
        <v>0.60416666666787899</v>
      </c>
      <c r="J190" s="16">
        <f ca="1">IFERROR(__xludf.DUMMYFUNCTION("""COMPUTED_VALUE"""),43406.625)</f>
        <v>43406.625</v>
      </c>
      <c r="K190" t="str">
        <f ca="1">IFERROR(__xludf.DUMMYFUNCTION("""COMPUTED_VALUE"""),"20ft Sea Ark FL5351SJ UNF 2015")</f>
        <v>20ft Sea Ark FL5351SJ UNF 2015</v>
      </c>
      <c r="M190" t="str">
        <f ca="1">IFERROR(__xludf.DUMMYFUNCTION("""COMPUTED_VALUE"""),"Ford F150 2015 (White) - DEP21448")</f>
        <v>Ford F150 2015 (White) - DEP21448</v>
      </c>
      <c r="N190" t="str">
        <f ca="1">IFERROR(__xludf.DUMMYFUNCTION("""COMPUTED_VALUE"""),"Pam Marcum, (480) 332-5414, Silas Tanner, (904) 483-8423")</f>
        <v>Pam Marcum, (480) 332-5414, Silas Tanner, (904) 483-8423</v>
      </c>
      <c r="O190" t="str">
        <f ca="1">IFERROR(__xludf.DUMMYFUNCTION("""COMPUTED_VALUE"""),"Jessica Lee, Jessica Veenstra, Justina Dacey, Ray Grizzle, Krystin Ward, ")</f>
        <v xml:space="preserve">Jessica Lee, Jessica Veenstra, Justina Dacey, Ray Grizzle, Krystin Ward, </v>
      </c>
      <c r="P190" t="str">
        <f ca="1">IFERROR(__xludf.DUMMYFUNCTION("""COMPUTED_VALUE"""),"Silas")</f>
        <v>Silas</v>
      </c>
      <c r="Q190" t="str">
        <f ca="1">IFERROR(__xludf.DUMMYFUNCTION("""COMPUTED_VALUE"""),"Good")</f>
        <v>Good</v>
      </c>
      <c r="R190" t="str">
        <f ca="1">IFERROR(__xludf.DUMMYFUNCTION("""COMPUTED_VALUE"""),"Good")</f>
        <v>Good</v>
      </c>
      <c r="S190" t="str">
        <f ca="1">IFERROR(__xludf.DUMMYFUNCTION("""COMPUTED_VALUE"""),"Good")</f>
        <v>Good</v>
      </c>
      <c r="T190" t="str">
        <f ca="1">IFERROR(__xludf.DUMMYFUNCTION("""COMPUTED_VALUE"""),"Good")</f>
        <v>Good</v>
      </c>
      <c r="U190" t="str">
        <f ca="1">IFERROR(__xludf.DUMMYFUNCTION("""COMPUTED_VALUE"""),"Good")</f>
        <v>Good</v>
      </c>
      <c r="V190" t="str">
        <f ca="1">IFERROR(__xludf.DUMMYFUNCTION("""COMPUTED_VALUE"""),"Good")</f>
        <v>Good</v>
      </c>
      <c r="W190" t="str">
        <f ca="1">IFERROR(__xludf.DUMMYFUNCTION("""COMPUTED_VALUE"""),"Good")</f>
        <v>Good</v>
      </c>
      <c r="X190" t="str">
        <f ca="1">IFERROR(__xludf.DUMMYFUNCTION("""COMPUTED_VALUE"""),"Good")</f>
        <v>Good</v>
      </c>
      <c r="Y190" t="str">
        <f ca="1">IFERROR(__xludf.DUMMYFUNCTION("""COMPUTED_VALUE"""),"Good")</f>
        <v>Good</v>
      </c>
      <c r="Z190" t="str">
        <f ca="1">IFERROR(__xludf.DUMMYFUNCTION("""COMPUTED_VALUE"""),"Good")</f>
        <v>Good</v>
      </c>
      <c r="AA190" t="str">
        <f ca="1">IFERROR(__xludf.DUMMYFUNCTION("""COMPUTED_VALUE"""),"Good")</f>
        <v>Good</v>
      </c>
      <c r="AB190" t="str">
        <f ca="1">IFERROR(__xludf.DUMMYFUNCTION("""COMPUTED_VALUE"""),"Good")</f>
        <v>Good</v>
      </c>
      <c r="AC190" t="str">
        <f ca="1">IFERROR(__xludf.DUMMYFUNCTION("""COMPUTED_VALUE"""),"Good")</f>
        <v>Good</v>
      </c>
      <c r="AE190" s="11"/>
      <c r="AF190" t="str">
        <v>Nikki.Dix@floridadep.gov</v>
      </c>
      <c r="AG190" s="17" t="s">
        <v>126</v>
      </c>
      <c r="AH190" s="23">
        <v>0.56597222222222221</v>
      </c>
      <c r="AI190" s="12" t="s">
        <v>514</v>
      </c>
      <c r="AJ190" s="19" t="s">
        <v>515</v>
      </c>
      <c r="AK190" s="20" t="str">
        <f>HYPERLINK("https://docs.google.com/document/d/1Gx8Cm5JStNGnczb9BENMG9AfAMxlxOh8pLjeAEIKSJ8/edit?usp=drivesdk","Pamela Marcum - 11/2/2018 9:30 AM")</f>
        <v>Pamela Marcum - 11/2/2018 9:30 AM</v>
      </c>
      <c r="AL190" s="12" t="s">
        <v>516</v>
      </c>
    </row>
    <row r="191" spans="1:38" ht="12.75">
      <c r="A191" s="10">
        <f ca="1">IFERROR(__xludf.DUMMYFUNCTION("""COMPUTED_VALUE"""),43409.3079725231)</f>
        <v>43409.3079725231</v>
      </c>
      <c r="B191" s="11" t="str">
        <f ca="1">IFERROR(__xludf.DUMMYFUNCTION("""COMPUTED_VALUE"""),"Silas Tanner")</f>
        <v>Silas Tanner</v>
      </c>
      <c r="C191" t="str">
        <f ca="1">IFERROR(__xludf.DUMMYFUNCTION("""COMPUTED_VALUE"""),"silas.tanner@floridadep.gov")</f>
        <v>silas.tanner@floridadep.gov</v>
      </c>
      <c r="D191" t="str">
        <f ca="1">IFERROR(__xludf.DUMMYFUNCTION("""COMPUTED_VALUE"""),"Research/Nikki")</f>
        <v>Research/Nikki</v>
      </c>
      <c r="E191" t="str">
        <f ca="1">IFERROR(__xludf.DUMMYFUNCTION("""COMPUTED_VALUE"""),"Vilano county ramp")</f>
        <v>Vilano county ramp</v>
      </c>
      <c r="F191" s="13">
        <f ca="1">IFERROR(__xludf.DUMMYFUNCTION("""COMPUTED_VALUE"""),0.34375)</f>
        <v>0.34375</v>
      </c>
      <c r="G191" s="14">
        <f ca="1">IFERROR(__xludf.DUMMYFUNCTION("""COMPUTED_VALUE"""),43410)</f>
        <v>43410</v>
      </c>
      <c r="H191" t="str">
        <f ca="1">IFERROR(__xludf.DUMMYFUNCTION("""COMPUTED_VALUE"""),"ICW SWMP sites")</f>
        <v>ICW SWMP sites</v>
      </c>
      <c r="I191" s="15">
        <f ca="1">IFERROR(__xludf.DUMMYFUNCTION("""COMPUTED_VALUE"""),0.541666666667879)</f>
        <v>0.54166666666787899</v>
      </c>
      <c r="J191" s="16">
        <f ca="1">IFERROR(__xludf.DUMMYFUNCTION("""COMPUTED_VALUE"""),43410.5625)</f>
        <v>43410.5625</v>
      </c>
      <c r="K191" t="str">
        <f ca="1">IFERROR(__xludf.DUMMYFUNCTION("""COMPUTED_VALUE"""),"F 20ft Sea Ark (Easy 200) FL8534PY DEP21451")</f>
        <v>F 20ft Sea Ark (Easy 200) FL8534PY DEP21451</v>
      </c>
      <c r="M191" t="str">
        <f ca="1">IFERROR(__xludf.DUMMYFUNCTION("""COMPUTED_VALUE"""),"Ford F250 2017 (Moby Dix) - DEP0021578")</f>
        <v>Ford F250 2017 (Moby Dix) - DEP0021578</v>
      </c>
      <c r="N191" t="str">
        <f ca="1">IFERROR(__xludf.DUMMYFUNCTION("""COMPUTED_VALUE"""),"Silas Tanner, (904) 483-8423, Jimmy Tomazinis, (904) 547-0094")</f>
        <v>Silas Tanner, (904) 483-8423, Jimmy Tomazinis, (904) 547-0094</v>
      </c>
      <c r="O191" t="str">
        <f ca="1">IFERROR(__xludf.DUMMYFUNCTION("""COMPUTED_VALUE"""),"Hunter Mathews, Diane Downing")</f>
        <v>Hunter Mathews, Diane Downing</v>
      </c>
      <c r="P191" t="str">
        <f ca="1">IFERROR(__xludf.DUMMYFUNCTION("""COMPUTED_VALUE"""),"Jimmy Tomazinis")</f>
        <v>Jimmy Tomazinis</v>
      </c>
      <c r="Q191" t="str">
        <f ca="1">IFERROR(__xludf.DUMMYFUNCTION("""COMPUTED_VALUE"""),"Good")</f>
        <v>Good</v>
      </c>
      <c r="R191" t="str">
        <f ca="1">IFERROR(__xludf.DUMMYFUNCTION("""COMPUTED_VALUE"""),"Good")</f>
        <v>Good</v>
      </c>
      <c r="S191" t="str">
        <f ca="1">IFERROR(__xludf.DUMMYFUNCTION("""COMPUTED_VALUE"""),"Good")</f>
        <v>Good</v>
      </c>
      <c r="T191" t="str">
        <f ca="1">IFERROR(__xludf.DUMMYFUNCTION("""COMPUTED_VALUE"""),"Good")</f>
        <v>Good</v>
      </c>
      <c r="U191" t="str">
        <f ca="1">IFERROR(__xludf.DUMMYFUNCTION("""COMPUTED_VALUE"""),"Good")</f>
        <v>Good</v>
      </c>
      <c r="V191" t="str">
        <f ca="1">IFERROR(__xludf.DUMMYFUNCTION("""COMPUTED_VALUE"""),"Good")</f>
        <v>Good</v>
      </c>
      <c r="W191" t="str">
        <f ca="1">IFERROR(__xludf.DUMMYFUNCTION("""COMPUTED_VALUE"""),"Good")</f>
        <v>Good</v>
      </c>
      <c r="X191" t="str">
        <f ca="1">IFERROR(__xludf.DUMMYFUNCTION("""COMPUTED_VALUE"""),"Good")</f>
        <v>Good</v>
      </c>
      <c r="Y191" t="str">
        <f ca="1">IFERROR(__xludf.DUMMYFUNCTION("""COMPUTED_VALUE"""),"Good")</f>
        <v>Good</v>
      </c>
      <c r="Z191" t="str">
        <f ca="1">IFERROR(__xludf.DUMMYFUNCTION("""COMPUTED_VALUE"""),"Good")</f>
        <v>Good</v>
      </c>
      <c r="AA191" t="str">
        <f ca="1">IFERROR(__xludf.DUMMYFUNCTION("""COMPUTED_VALUE"""),"Good")</f>
        <v>Good</v>
      </c>
      <c r="AB191" t="str">
        <f ca="1">IFERROR(__xludf.DUMMYFUNCTION("""COMPUTED_VALUE"""),"Good")</f>
        <v>Good</v>
      </c>
      <c r="AC191" t="str">
        <f ca="1">IFERROR(__xludf.DUMMYFUNCTION("""COMPUTED_VALUE"""),"Good")</f>
        <v>Good</v>
      </c>
      <c r="AE191" s="11"/>
      <c r="AF191" t="str">
        <v>Nikki.Dix@floridadep.gov</v>
      </c>
      <c r="AG191" s="17" t="s">
        <v>17</v>
      </c>
      <c r="AH191" s="12">
        <v>1250</v>
      </c>
      <c r="AI191" s="12" t="s">
        <v>517</v>
      </c>
      <c r="AJ191" s="19" t="s">
        <v>518</v>
      </c>
      <c r="AK191" s="20" t="str">
        <f>HYPERLINK("https://docs.google.com/document/d/17M5r-E0k9v_FKlTFq_QQgPbH7eVdZ0U53IGJR24U6D0/edit?usp=drivesdk","Silas Tanner - 11/6/2018 8:15 AM")</f>
        <v>Silas Tanner - 11/6/2018 8:15 AM</v>
      </c>
      <c r="AL191" s="12" t="s">
        <v>519</v>
      </c>
    </row>
    <row r="192" spans="1:38" ht="12.75">
      <c r="A192" s="10">
        <f ca="1">IFERROR(__xludf.DUMMYFUNCTION("""COMPUTED_VALUE"""),43409.515005081)</f>
        <v>43409.515005080997</v>
      </c>
      <c r="B192" s="11" t="str">
        <f ca="1">IFERROR(__xludf.DUMMYFUNCTION("""COMPUTED_VALUE"""),"Emma Hanson")</f>
        <v>Emma Hanson</v>
      </c>
      <c r="C192" t="str">
        <f ca="1">IFERROR(__xludf.DUMMYFUNCTION("""COMPUTED_VALUE"""),"emma.hanson@dep.state.fl.us")</f>
        <v>emma.hanson@dep.state.fl.us</v>
      </c>
      <c r="D192" t="str">
        <f ca="1">IFERROR(__xludf.DUMMYFUNCTION("""COMPUTED_VALUE"""),"Research/Pam")</f>
        <v>Research/Pam</v>
      </c>
      <c r="E192" t="str">
        <f ca="1">IFERROR(__xludf.DUMMYFUNCTION("""COMPUTED_VALUE"""),"Aunt Kate's")</f>
        <v>Aunt Kate's</v>
      </c>
      <c r="F192" s="13">
        <f ca="1">IFERROR(__xludf.DUMMYFUNCTION("""COMPUTED_VALUE"""),0.52083333333212)</f>
        <v>0.52083333333212001</v>
      </c>
      <c r="G192" s="14">
        <f ca="1">IFERROR(__xludf.DUMMYFUNCTION("""COMPUTED_VALUE"""),43409)</f>
        <v>43409</v>
      </c>
      <c r="H192" t="str">
        <f ca="1">IFERROR(__xludf.DUMMYFUNCTION("""COMPUTED_VALUE"""),"Pine &amp; Hat Island")</f>
        <v>Pine &amp; Hat Island</v>
      </c>
      <c r="I192" s="15">
        <f ca="1">IFERROR(__xludf.DUMMYFUNCTION("""COMPUTED_VALUE"""),0.64583333333212)</f>
        <v>0.64583333333212001</v>
      </c>
      <c r="J192" s="16">
        <f ca="1">IFERROR(__xludf.DUMMYFUNCTION("""COMPUTED_VALUE"""),43409.6458333333)</f>
        <v>43409.645833333299</v>
      </c>
      <c r="K192" t="str">
        <f ca="1">IFERROR(__xludf.DUMMYFUNCTION("""COMPUTED_VALUE"""),"20ft Sea Ark FL5351SJ UNF 2015")</f>
        <v>20ft Sea Ark FL5351SJ UNF 2015</v>
      </c>
      <c r="M192" t="str">
        <f ca="1">IFERROR(__xludf.DUMMYFUNCTION("""COMPUTED_VALUE"""),"Ford F150 2008 - DEP18041 (SWMP Thing)")</f>
        <v>Ford F150 2008 - DEP18041 (SWMP Thing)</v>
      </c>
      <c r="N192" t="str">
        <f ca="1">IFERROR(__xludf.DUMMYFUNCTION("""COMPUTED_VALUE"""),"Ben Mowbray, (407) 962-8782")</f>
        <v>Ben Mowbray, (407) 962-8782</v>
      </c>
      <c r="O192" t="str">
        <f ca="1">IFERROR(__xludf.DUMMYFUNCTION("""COMPUTED_VALUE"""),"Emma Hanson")</f>
        <v>Emma Hanson</v>
      </c>
      <c r="P192" t="str">
        <f ca="1">IFERROR(__xludf.DUMMYFUNCTION("""COMPUTED_VALUE"""),"Ben Mowbray")</f>
        <v>Ben Mowbray</v>
      </c>
      <c r="Q192" t="str">
        <f ca="1">IFERROR(__xludf.DUMMYFUNCTION("""COMPUTED_VALUE"""),"Good")</f>
        <v>Good</v>
      </c>
      <c r="R192" t="str">
        <f ca="1">IFERROR(__xludf.DUMMYFUNCTION("""COMPUTED_VALUE"""),"Good")</f>
        <v>Good</v>
      </c>
      <c r="S192" t="str">
        <f ca="1">IFERROR(__xludf.DUMMYFUNCTION("""COMPUTED_VALUE"""),"Good")</f>
        <v>Good</v>
      </c>
      <c r="T192" t="str">
        <f ca="1">IFERROR(__xludf.DUMMYFUNCTION("""COMPUTED_VALUE"""),"Good")</f>
        <v>Good</v>
      </c>
      <c r="U192" t="str">
        <f ca="1">IFERROR(__xludf.DUMMYFUNCTION("""COMPUTED_VALUE"""),"Good")</f>
        <v>Good</v>
      </c>
      <c r="V192" t="str">
        <f ca="1">IFERROR(__xludf.DUMMYFUNCTION("""COMPUTED_VALUE"""),"Good")</f>
        <v>Good</v>
      </c>
      <c r="W192" t="str">
        <f ca="1">IFERROR(__xludf.DUMMYFUNCTION("""COMPUTED_VALUE"""),"Good")</f>
        <v>Good</v>
      </c>
      <c r="X192" t="str">
        <f ca="1">IFERROR(__xludf.DUMMYFUNCTION("""COMPUTED_VALUE"""),"Good")</f>
        <v>Good</v>
      </c>
      <c r="Y192" t="str">
        <f ca="1">IFERROR(__xludf.DUMMYFUNCTION("""COMPUTED_VALUE"""),"Good")</f>
        <v>Good</v>
      </c>
      <c r="Z192" t="str">
        <f ca="1">IFERROR(__xludf.DUMMYFUNCTION("""COMPUTED_VALUE"""),"Good")</f>
        <v>Good</v>
      </c>
      <c r="AA192" t="str">
        <f ca="1">IFERROR(__xludf.DUMMYFUNCTION("""COMPUTED_VALUE"""),"Good")</f>
        <v>Good</v>
      </c>
      <c r="AB192" t="str">
        <f ca="1">IFERROR(__xludf.DUMMYFUNCTION("""COMPUTED_VALUE"""),"Good")</f>
        <v>Good</v>
      </c>
      <c r="AC192" t="str">
        <f ca="1">IFERROR(__xludf.DUMMYFUNCTION("""COMPUTED_VALUE"""),"Good")</f>
        <v>Good</v>
      </c>
      <c r="AE192" s="11"/>
      <c r="AF192" t="str">
        <v>Pamela.Marcum@floridadep.gov</v>
      </c>
      <c r="AG192" s="17" t="s">
        <v>139</v>
      </c>
      <c r="AH192" s="23">
        <v>0.68611111111111112</v>
      </c>
      <c r="AI192" s="12" t="s">
        <v>520</v>
      </c>
      <c r="AJ192" s="19" t="s">
        <v>521</v>
      </c>
      <c r="AK192" s="20" t="str">
        <f>HYPERLINK("https://docs.google.com/document/d/1Hfjuh-87HyMgDwCqQ1yxd7fH8nLij__YzoKp6Zt-A88/edit?usp=drivesdk","Emma Hanson - 11/5/2018 12:30 PM")</f>
        <v>Emma Hanson - 11/5/2018 12:30 PM</v>
      </c>
      <c r="AL192" s="12" t="s">
        <v>522</v>
      </c>
    </row>
    <row r="193" spans="1:38" ht="12.75">
      <c r="A193" s="10">
        <f ca="1">IFERROR(__xludf.DUMMYFUNCTION("""COMPUTED_VALUE"""),43410.5177185648)</f>
        <v>43410.517718564799</v>
      </c>
      <c r="B193" s="11" t="str">
        <f ca="1">IFERROR(__xludf.DUMMYFUNCTION("""COMPUTED_VALUE"""),"Pam Marcum")</f>
        <v>Pam Marcum</v>
      </c>
      <c r="C193" t="str">
        <f ca="1">IFERROR(__xludf.DUMMYFUNCTION("""COMPUTED_VALUE"""),"Pamela.Marcum@dep.state.fl.us")</f>
        <v>Pamela.Marcum@dep.state.fl.us</v>
      </c>
      <c r="D193" t="str">
        <f ca="1">IFERROR(__xludf.DUMMYFUNCTION("""COMPUTED_VALUE"""),"Research/Nikki")</f>
        <v>Research/Nikki</v>
      </c>
      <c r="E193" t="str">
        <f ca="1">IFERROR(__xludf.DUMMYFUNCTION("""COMPUTED_VALUE"""),"Aunt Kate's")</f>
        <v>Aunt Kate's</v>
      </c>
      <c r="F193" s="13">
        <f ca="1">IFERROR(__xludf.DUMMYFUNCTION("""COMPUTED_VALUE"""),0.541666666667879)</f>
        <v>0.54166666666787899</v>
      </c>
      <c r="G193" s="14">
        <f ca="1">IFERROR(__xludf.DUMMYFUNCTION("""COMPUTED_VALUE"""),43410)</f>
        <v>43410</v>
      </c>
      <c r="H193" t="str">
        <f ca="1">IFERROR(__xludf.DUMMYFUNCTION("""COMPUTED_VALUE"""),"Tolomat River/Pine Island")</f>
        <v>Tolomat River/Pine Island</v>
      </c>
      <c r="I193" s="15">
        <f ca="1">IFERROR(__xludf.DUMMYFUNCTION("""COMPUTED_VALUE"""),0.70833333333212)</f>
        <v>0.70833333333212001</v>
      </c>
      <c r="J193" s="16">
        <f ca="1">IFERROR(__xludf.DUMMYFUNCTION("""COMPUTED_VALUE"""),43410.7291666666)</f>
        <v>43410.729166666599</v>
      </c>
      <c r="K193" t="str">
        <f ca="1">IFERROR(__xludf.DUMMYFUNCTION("""COMPUTED_VALUE"""),"20ft Sea Ark FL5351SJ UNF 2015")</f>
        <v>20ft Sea Ark FL5351SJ UNF 2015</v>
      </c>
      <c r="M193" t="str">
        <f ca="1">IFERROR(__xludf.DUMMYFUNCTION("""COMPUTED_VALUE"""),"Ford F150 2008 - DEP18041 (SWMP Thing)")</f>
        <v>Ford F150 2008 - DEP18041 (SWMP Thing)</v>
      </c>
      <c r="N193" t="str">
        <f ca="1">IFERROR(__xludf.DUMMYFUNCTION("""COMPUTED_VALUE"""),"Pam Marcum, (480) 332-5414, Annie Otto")</f>
        <v>Pam Marcum, (480) 332-5414, Annie Otto</v>
      </c>
      <c r="O193" t="str">
        <f ca="1">IFERROR(__xludf.DUMMYFUNCTION("""COMPUTED_VALUE"""),"Ray Grizzle")</f>
        <v>Ray Grizzle</v>
      </c>
      <c r="P193" t="str">
        <f ca="1">IFERROR(__xludf.DUMMYFUNCTION("""COMPUTED_VALUE"""),"Pam")</f>
        <v>Pam</v>
      </c>
      <c r="Q193" t="str">
        <f ca="1">IFERROR(__xludf.DUMMYFUNCTION("""COMPUTED_VALUE"""),"Good")</f>
        <v>Good</v>
      </c>
      <c r="R193" t="str">
        <f ca="1">IFERROR(__xludf.DUMMYFUNCTION("""COMPUTED_VALUE"""),"Good")</f>
        <v>Good</v>
      </c>
      <c r="S193" t="str">
        <f ca="1">IFERROR(__xludf.DUMMYFUNCTION("""COMPUTED_VALUE"""),"Good")</f>
        <v>Good</v>
      </c>
      <c r="T193" t="str">
        <f ca="1">IFERROR(__xludf.DUMMYFUNCTION("""COMPUTED_VALUE"""),"Good")</f>
        <v>Good</v>
      </c>
      <c r="U193" t="str">
        <f ca="1">IFERROR(__xludf.DUMMYFUNCTION("""COMPUTED_VALUE"""),"Good")</f>
        <v>Good</v>
      </c>
      <c r="V193" t="str">
        <f ca="1">IFERROR(__xludf.DUMMYFUNCTION("""COMPUTED_VALUE"""),"Good")</f>
        <v>Good</v>
      </c>
      <c r="W193" t="str">
        <f ca="1">IFERROR(__xludf.DUMMYFUNCTION("""COMPUTED_VALUE"""),"Good")</f>
        <v>Good</v>
      </c>
      <c r="X193" t="str">
        <f ca="1">IFERROR(__xludf.DUMMYFUNCTION("""COMPUTED_VALUE"""),"Good")</f>
        <v>Good</v>
      </c>
      <c r="Y193" t="str">
        <f ca="1">IFERROR(__xludf.DUMMYFUNCTION("""COMPUTED_VALUE"""),"Good")</f>
        <v>Good</v>
      </c>
      <c r="Z193" t="str">
        <f ca="1">IFERROR(__xludf.DUMMYFUNCTION("""COMPUTED_VALUE"""),"Good")</f>
        <v>Good</v>
      </c>
      <c r="AA193" t="str">
        <f ca="1">IFERROR(__xludf.DUMMYFUNCTION("""COMPUTED_VALUE"""),"Good")</f>
        <v>Good</v>
      </c>
      <c r="AB193" t="str">
        <f ca="1">IFERROR(__xludf.DUMMYFUNCTION("""COMPUTED_VALUE"""),"Good")</f>
        <v>Good</v>
      </c>
      <c r="AC193" t="str">
        <f ca="1">IFERROR(__xludf.DUMMYFUNCTION("""COMPUTED_VALUE"""),"Good")</f>
        <v>Good</v>
      </c>
      <c r="AE193" s="11"/>
      <c r="AF193" t="str">
        <v>Nikki.Dix@floridadep.gov</v>
      </c>
      <c r="AG193" s="17" t="s">
        <v>126</v>
      </c>
      <c r="AH193" s="23">
        <v>0.64583333333333337</v>
      </c>
      <c r="AI193" s="12" t="s">
        <v>523</v>
      </c>
      <c r="AJ193" s="19" t="s">
        <v>524</v>
      </c>
      <c r="AK193" s="20" t="str">
        <f>HYPERLINK("https://docs.google.com/document/d/1OdROVKVnWNppbGnZBe8XQx4EcpL1Z_wheLxqjEAAvaY/edit?usp=drivesdk","Pam Marcum - 11/6/2018 1:00 PM")</f>
        <v>Pam Marcum - 11/6/2018 1:00 PM</v>
      </c>
      <c r="AL193" s="12" t="s">
        <v>525</v>
      </c>
    </row>
    <row r="194" spans="1:38" ht="12.75">
      <c r="A194" s="10">
        <f ca="1">IFERROR(__xludf.DUMMYFUNCTION("""COMPUTED_VALUE"""),43411.3292064814)</f>
        <v>43411.329206481401</v>
      </c>
      <c r="B194" s="11" t="str">
        <f ca="1">IFERROR(__xludf.DUMMYFUNCTION("""COMPUTED_VALUE"""),"James Tomazinis")</f>
        <v>James Tomazinis</v>
      </c>
      <c r="C194" t="str">
        <f ca="1">IFERROR(__xludf.DUMMYFUNCTION("""COMPUTED_VALUE"""),"james.tomazinis@floridadep.gov")</f>
        <v>james.tomazinis@floridadep.gov</v>
      </c>
      <c r="D194" t="str">
        <f ca="1">IFERROR(__xludf.DUMMYFUNCTION("""COMPUTED_VALUE"""),"Stewardship (Aquatic)")</f>
        <v>Stewardship (Aquatic)</v>
      </c>
      <c r="E194" t="str">
        <f ca="1">IFERROR(__xludf.DUMMYFUNCTION("""COMPUTED_VALUE"""),"Guana Dam")</f>
        <v>Guana Dam</v>
      </c>
      <c r="F194" s="13">
        <f ca="1">IFERROR(__xludf.DUMMYFUNCTION("""COMPUTED_VALUE"""),0.354166666667879)</f>
        <v>0.35416666666787899</v>
      </c>
      <c r="G194" s="14">
        <f ca="1">IFERROR(__xludf.DUMMYFUNCTION("""COMPUTED_VALUE"""),43411)</f>
        <v>43411</v>
      </c>
      <c r="H194" t="str">
        <f ca="1">IFERROR(__xludf.DUMMYFUNCTION("""COMPUTED_VALUE"""),"Guana River WQ sites")</f>
        <v>Guana River WQ sites</v>
      </c>
      <c r="I194" s="15">
        <f ca="1">IFERROR(__xludf.DUMMYFUNCTION("""COMPUTED_VALUE"""),0.42708333333212)</f>
        <v>0.42708333333212001</v>
      </c>
      <c r="J194" s="16"/>
      <c r="K194" t="str">
        <f ca="1">IFERROR(__xludf.DUMMYFUNCTION("""COMPUTED_VALUE"""),"Jon Boat FL0484NP DEP06819")</f>
        <v>Jon Boat FL0484NP DEP06819</v>
      </c>
      <c r="M194" t="str">
        <f ca="1">IFERROR(__xludf.DUMMYFUNCTION("""COMPUTED_VALUE"""),"Ford F150 2015 (White) - DEP21448")</f>
        <v>Ford F150 2015 (White) - DEP21448</v>
      </c>
      <c r="N194" t="str">
        <f ca="1">IFERROR(__xludf.DUMMYFUNCTION("""COMPUTED_VALUE"""),"Jimmy Tomazinis, (904) 547-0094")</f>
        <v>Jimmy Tomazinis, (904) 547-0094</v>
      </c>
      <c r="O194" t="str">
        <f ca="1">IFERROR(__xludf.DUMMYFUNCTION("""COMPUTED_VALUE"""),"Silas Tanner, (904) 483-8423")</f>
        <v>Silas Tanner, (904) 483-8423</v>
      </c>
      <c r="P194" t="str">
        <f ca="1">IFERROR(__xludf.DUMMYFUNCTION("""COMPUTED_VALUE"""),"Jimmy")</f>
        <v>Jimmy</v>
      </c>
      <c r="Q194" t="str">
        <f ca="1">IFERROR(__xludf.DUMMYFUNCTION("""COMPUTED_VALUE"""),"Good")</f>
        <v>Good</v>
      </c>
      <c r="R194" t="str">
        <f ca="1">IFERROR(__xludf.DUMMYFUNCTION("""COMPUTED_VALUE"""),"Good")</f>
        <v>Good</v>
      </c>
      <c r="S194" t="str">
        <f ca="1">IFERROR(__xludf.DUMMYFUNCTION("""COMPUTED_VALUE"""),"Good")</f>
        <v>Good</v>
      </c>
      <c r="T194" t="str">
        <f ca="1">IFERROR(__xludf.DUMMYFUNCTION("""COMPUTED_VALUE"""),"Good")</f>
        <v>Good</v>
      </c>
      <c r="U194" t="str">
        <f ca="1">IFERROR(__xludf.DUMMYFUNCTION("""COMPUTED_VALUE"""),"Good")</f>
        <v>Good</v>
      </c>
      <c r="V194" t="str">
        <f ca="1">IFERROR(__xludf.DUMMYFUNCTION("""COMPUTED_VALUE"""),"Good")</f>
        <v>Good</v>
      </c>
      <c r="W194" t="str">
        <f ca="1">IFERROR(__xludf.DUMMYFUNCTION("""COMPUTED_VALUE"""),"Good")</f>
        <v>Good</v>
      </c>
      <c r="X194" t="str">
        <f ca="1">IFERROR(__xludf.DUMMYFUNCTION("""COMPUTED_VALUE"""),"Good")</f>
        <v>Good</v>
      </c>
      <c r="Y194" t="str">
        <f ca="1">IFERROR(__xludf.DUMMYFUNCTION("""COMPUTED_VALUE"""),"Good")</f>
        <v>Good</v>
      </c>
      <c r="Z194" t="str">
        <f ca="1">IFERROR(__xludf.DUMMYFUNCTION("""COMPUTED_VALUE"""),"Good")</f>
        <v>Good</v>
      </c>
      <c r="AA194" t="str">
        <f ca="1">IFERROR(__xludf.DUMMYFUNCTION("""COMPUTED_VALUE"""),"Good")</f>
        <v>Good</v>
      </c>
      <c r="AB194" t="str">
        <f ca="1">IFERROR(__xludf.DUMMYFUNCTION("""COMPUTED_VALUE"""),"Good")</f>
        <v>Good</v>
      </c>
      <c r="AC194" t="str">
        <f ca="1">IFERROR(__xludf.DUMMYFUNCTION("""COMPUTED_VALUE"""),"Good")</f>
        <v>Good</v>
      </c>
      <c r="AE194" s="11"/>
      <c r="AF194" t="str">
        <v>Scott.Eastman@floridadep.gov</v>
      </c>
      <c r="AG194" s="17" t="s">
        <v>17</v>
      </c>
      <c r="AH194" s="12">
        <v>1025</v>
      </c>
      <c r="AI194" s="12" t="s">
        <v>526</v>
      </c>
      <c r="AJ194" s="19" t="s">
        <v>527</v>
      </c>
      <c r="AK194" s="20" t="str">
        <f>HYPERLINK("https://docs.google.com/document/d/19Pl4hL-nT5KCVnZ4JEMGc1icTwYZpi4m7pzITqh2Uto/edit?usp=drivesdk","James Tomazinis - 11/7/2018 8:30 AM")</f>
        <v>James Tomazinis - 11/7/2018 8:30 AM</v>
      </c>
      <c r="AL194" s="12" t="s">
        <v>528</v>
      </c>
    </row>
    <row r="195" spans="1:38" ht="12.75">
      <c r="A195" s="10">
        <f ca="1">IFERROR(__xludf.DUMMYFUNCTION("""COMPUTED_VALUE"""),43412.71965603)</f>
        <v>43412.71965603</v>
      </c>
      <c r="B195" s="11" t="str">
        <f ca="1">IFERROR(__xludf.DUMMYFUNCTION("""COMPUTED_VALUE"""),"Pamela Marcum")</f>
        <v>Pamela Marcum</v>
      </c>
      <c r="C195" t="str">
        <f ca="1">IFERROR(__xludf.DUMMYFUNCTION("""COMPUTED_VALUE"""),"Pamela.Marcum@dep.state.fl.us")</f>
        <v>Pamela.Marcum@dep.state.fl.us</v>
      </c>
      <c r="D195" t="str">
        <f ca="1">IFERROR(__xludf.DUMMYFUNCTION("""COMPUTED_VALUE"""),"Research/Nikki")</f>
        <v>Research/Nikki</v>
      </c>
      <c r="E195" t="str">
        <f ca="1">IFERROR(__xludf.DUMMYFUNCTION("""COMPUTED_VALUE"""),"Crane Park - Shore Drive")</f>
        <v>Crane Park - Shore Drive</v>
      </c>
      <c r="F195" s="13">
        <f ca="1">IFERROR(__xludf.DUMMYFUNCTION("""COMPUTED_VALUE"""),0.33333333333212)</f>
        <v>0.33333333333212001</v>
      </c>
      <c r="G195" s="14">
        <f ca="1">IFERROR(__xludf.DUMMYFUNCTION("""COMPUTED_VALUE"""),43413)</f>
        <v>43413</v>
      </c>
      <c r="H195" t="str">
        <f ca="1">IFERROR(__xludf.DUMMYFUNCTION("""COMPUTED_VALUE"""),"Marsh Creek")</f>
        <v>Marsh Creek</v>
      </c>
      <c r="I195" s="15">
        <f ca="1">IFERROR(__xludf.DUMMYFUNCTION("""COMPUTED_VALUE"""),0.58333333333212)</f>
        <v>0.58333333333212001</v>
      </c>
      <c r="J195" s="16">
        <f ca="1">IFERROR(__xludf.DUMMYFUNCTION("""COMPUTED_VALUE"""),43412.625)</f>
        <v>43412.625</v>
      </c>
      <c r="K195" t="str">
        <f ca="1">IFERROR(__xludf.DUMMYFUNCTION("""COMPUTED_VALUE"""),"20ft Sea Ark FL5351SJ UNF 2015")</f>
        <v>20ft Sea Ark FL5351SJ UNF 2015</v>
      </c>
      <c r="M195" t="str">
        <f ca="1">IFERROR(__xludf.DUMMYFUNCTION("""COMPUTED_VALUE"""),"Ford F150 2008 - DEP18041 (SWMP Thing)")</f>
        <v>Ford F150 2008 - DEP18041 (SWMP Thing)</v>
      </c>
      <c r="N195" t="str">
        <f ca="1">IFERROR(__xludf.DUMMYFUNCTION("""COMPUTED_VALUE"""),"Pam Marcum, (480) 332-5414")</f>
        <v>Pam Marcum, (480) 332-5414</v>
      </c>
      <c r="O195" t="str">
        <f ca="1">IFERROR(__xludf.DUMMYFUNCTION("""COMPUTED_VALUE"""),"Matt Hayes, Chuck, Emily, Tess")</f>
        <v>Matt Hayes, Chuck, Emily, Tess</v>
      </c>
      <c r="P195" t="str">
        <f ca="1">IFERROR(__xludf.DUMMYFUNCTION("""COMPUTED_VALUE"""),"Pam")</f>
        <v>Pam</v>
      </c>
      <c r="Q195" t="str">
        <f ca="1">IFERROR(__xludf.DUMMYFUNCTION("""COMPUTED_VALUE"""),"Good")</f>
        <v>Good</v>
      </c>
      <c r="R195" t="str">
        <f ca="1">IFERROR(__xludf.DUMMYFUNCTION("""COMPUTED_VALUE"""),"Good")</f>
        <v>Good</v>
      </c>
      <c r="S195" t="str">
        <f ca="1">IFERROR(__xludf.DUMMYFUNCTION("""COMPUTED_VALUE"""),"Good")</f>
        <v>Good</v>
      </c>
      <c r="T195" t="str">
        <f ca="1">IFERROR(__xludf.DUMMYFUNCTION("""COMPUTED_VALUE"""),"Good")</f>
        <v>Good</v>
      </c>
      <c r="U195" t="str">
        <f ca="1">IFERROR(__xludf.DUMMYFUNCTION("""COMPUTED_VALUE"""),"Good")</f>
        <v>Good</v>
      </c>
      <c r="V195" t="str">
        <f ca="1">IFERROR(__xludf.DUMMYFUNCTION("""COMPUTED_VALUE"""),"Good")</f>
        <v>Good</v>
      </c>
      <c r="W195" t="str">
        <f ca="1">IFERROR(__xludf.DUMMYFUNCTION("""COMPUTED_VALUE"""),"Good")</f>
        <v>Good</v>
      </c>
      <c r="X195" t="str">
        <f ca="1">IFERROR(__xludf.DUMMYFUNCTION("""COMPUTED_VALUE"""),"Good")</f>
        <v>Good</v>
      </c>
      <c r="Y195" t="str">
        <f ca="1">IFERROR(__xludf.DUMMYFUNCTION("""COMPUTED_VALUE"""),"Good")</f>
        <v>Good</v>
      </c>
      <c r="Z195" t="str">
        <f ca="1">IFERROR(__xludf.DUMMYFUNCTION("""COMPUTED_VALUE"""),"Good")</f>
        <v>Good</v>
      </c>
      <c r="AA195" t="str">
        <f ca="1">IFERROR(__xludf.DUMMYFUNCTION("""COMPUTED_VALUE"""),"Good")</f>
        <v>Good</v>
      </c>
      <c r="AB195" t="str">
        <f ca="1">IFERROR(__xludf.DUMMYFUNCTION("""COMPUTED_VALUE"""),"Good")</f>
        <v>Good</v>
      </c>
      <c r="AC195" t="str">
        <f ca="1">IFERROR(__xludf.DUMMYFUNCTION("""COMPUTED_VALUE"""),"Good")</f>
        <v>Good</v>
      </c>
      <c r="AE195" s="11"/>
      <c r="AF195" t="str">
        <v>Nikki.Dix@floridadep.gov</v>
      </c>
      <c r="AG195" s="17" t="s">
        <v>17</v>
      </c>
      <c r="AH195" s="12">
        <v>1600</v>
      </c>
      <c r="AI195" s="12" t="s">
        <v>529</v>
      </c>
      <c r="AJ195" s="19" t="s">
        <v>530</v>
      </c>
      <c r="AK195" s="20" t="str">
        <f>HYPERLINK("https://docs.google.com/document/d/1i7gzGMRtKsIfqsAqJWP2driUwJ2sHFfr9kkmwR3CAzc/edit?usp=drivesdk","Pamela Marcum - 11/9/2018 8:00 AM")</f>
        <v>Pamela Marcum - 11/9/2018 8:00 AM</v>
      </c>
      <c r="AL195" s="12" t="s">
        <v>531</v>
      </c>
    </row>
    <row r="196" spans="1:38" ht="12.75">
      <c r="A196" s="10">
        <f ca="1">IFERROR(__xludf.DUMMYFUNCTION("""COMPUTED_VALUE"""),43414.3412246412)</f>
        <v>43414.341224641197</v>
      </c>
      <c r="B196" s="11" t="str">
        <f ca="1">IFERROR(__xludf.DUMMYFUNCTION("""COMPUTED_VALUE"""),"Ben Mowbray")</f>
        <v>Ben Mowbray</v>
      </c>
      <c r="C196" t="str">
        <f ca="1">IFERROR(__xludf.DUMMYFUNCTION("""COMPUTED_VALUE"""),"ben.mowbray@dep.state.fl.us")</f>
        <v>ben.mowbray@dep.state.fl.us</v>
      </c>
      <c r="D196" t="str">
        <f ca="1">IFERROR(__xludf.DUMMYFUNCTION("""COMPUTED_VALUE"""),"Research/Nikki")</f>
        <v>Research/Nikki</v>
      </c>
      <c r="E196" t="str">
        <f ca="1">IFERROR(__xludf.DUMMYFUNCTION("""COMPUTED_VALUE"""),"Faver Dykes")</f>
        <v>Faver Dykes</v>
      </c>
      <c r="F196" s="13">
        <f ca="1">IFERROR(__xludf.DUMMYFUNCTION("""COMPUTED_VALUE"""),0.416666666667879)</f>
        <v>0.41666666666787899</v>
      </c>
      <c r="G196" s="14">
        <f ca="1">IFERROR(__xludf.DUMMYFUNCTION("""COMPUTED_VALUE"""),43414)</f>
        <v>43414</v>
      </c>
      <c r="H196" t="str">
        <f ca="1">IFERROR(__xludf.DUMMYFUNCTION("""COMPUTED_VALUE"""),"Westernmost Transect")</f>
        <v>Westernmost Transect</v>
      </c>
      <c r="I196" s="15">
        <f ca="1">IFERROR(__xludf.DUMMYFUNCTION("""COMPUTED_VALUE"""),0.5)</f>
        <v>0.5</v>
      </c>
      <c r="J196" s="16">
        <f ca="1">IFERROR(__xludf.DUMMYFUNCTION("""COMPUTED_VALUE"""),43414.75)</f>
        <v>43414.75</v>
      </c>
      <c r="K196" t="str">
        <f ca="1">IFERROR(__xludf.DUMMYFUNCTION("""COMPUTED_VALUE"""),"20ft Sea Ark FL5351SJ UNF 2015")</f>
        <v>20ft Sea Ark FL5351SJ UNF 2015</v>
      </c>
      <c r="M196" t="str">
        <f ca="1">IFERROR(__xludf.DUMMYFUNCTION("""COMPUTED_VALUE"""),"Ford F150 2008 - DEP18041 (SWMP Thing)")</f>
        <v>Ford F150 2008 - DEP18041 (SWMP Thing)</v>
      </c>
      <c r="N196" t="str">
        <f ca="1">IFERROR(__xludf.DUMMYFUNCTION("""COMPUTED_VALUE"""),"Pam Marcum, (480) 332-5414, Ben Mowbray, (407) 962-8782")</f>
        <v>Pam Marcum, (480) 332-5414, Ben Mowbray, (407) 962-8782</v>
      </c>
      <c r="P196" t="str">
        <f ca="1">IFERROR(__xludf.DUMMYFUNCTION("""COMPUTED_VALUE"""),"Pam")</f>
        <v>Pam</v>
      </c>
      <c r="Q196" t="str">
        <f ca="1">IFERROR(__xludf.DUMMYFUNCTION("""COMPUTED_VALUE"""),"Good")</f>
        <v>Good</v>
      </c>
      <c r="R196" t="str">
        <f ca="1">IFERROR(__xludf.DUMMYFUNCTION("""COMPUTED_VALUE"""),"Good")</f>
        <v>Good</v>
      </c>
      <c r="S196" t="str">
        <f ca="1">IFERROR(__xludf.DUMMYFUNCTION("""COMPUTED_VALUE"""),"Good")</f>
        <v>Good</v>
      </c>
      <c r="T196" t="str">
        <f ca="1">IFERROR(__xludf.DUMMYFUNCTION("""COMPUTED_VALUE"""),"Good")</f>
        <v>Good</v>
      </c>
      <c r="U196" t="str">
        <f ca="1">IFERROR(__xludf.DUMMYFUNCTION("""COMPUTED_VALUE"""),"Good")</f>
        <v>Good</v>
      </c>
      <c r="V196" t="str">
        <f ca="1">IFERROR(__xludf.DUMMYFUNCTION("""COMPUTED_VALUE"""),"Good")</f>
        <v>Good</v>
      </c>
      <c r="W196" t="str">
        <f ca="1">IFERROR(__xludf.DUMMYFUNCTION("""COMPUTED_VALUE"""),"Good")</f>
        <v>Good</v>
      </c>
      <c r="X196" t="str">
        <f ca="1">IFERROR(__xludf.DUMMYFUNCTION("""COMPUTED_VALUE"""),"Good")</f>
        <v>Good</v>
      </c>
      <c r="Y196" t="str">
        <f ca="1">IFERROR(__xludf.DUMMYFUNCTION("""COMPUTED_VALUE"""),"Good")</f>
        <v>Good</v>
      </c>
      <c r="Z196" t="str">
        <f ca="1">IFERROR(__xludf.DUMMYFUNCTION("""COMPUTED_VALUE"""),"Good")</f>
        <v>Good</v>
      </c>
      <c r="AA196" t="str">
        <f ca="1">IFERROR(__xludf.DUMMYFUNCTION("""COMPUTED_VALUE"""),"Good")</f>
        <v>Good</v>
      </c>
      <c r="AB196" t="str">
        <f ca="1">IFERROR(__xludf.DUMMYFUNCTION("""COMPUTED_VALUE"""),"Good")</f>
        <v>Good</v>
      </c>
      <c r="AC196" t="str">
        <f ca="1">IFERROR(__xludf.DUMMYFUNCTION("""COMPUTED_VALUE"""),"Good")</f>
        <v>Good</v>
      </c>
      <c r="AE196" s="11"/>
      <c r="AF196" t="str">
        <v>Nikki.Dix@floridadep.gov</v>
      </c>
      <c r="AG196" s="17" t="s">
        <v>41</v>
      </c>
      <c r="AH196" s="12">
        <v>1200</v>
      </c>
      <c r="AI196" s="12" t="s">
        <v>532</v>
      </c>
      <c r="AJ196" s="19" t="s">
        <v>533</v>
      </c>
      <c r="AK196" s="20" t="str">
        <f>HYPERLINK("https://docs.google.com/document/d/1633f9rTaCMPyS4IZy7tFzPfoCMpeoOCM4AqFBr6ZdaU/edit?usp=drivesdk","Ben Mowbray - 11/10/2018 10:00 AM")</f>
        <v>Ben Mowbray - 11/10/2018 10:00 AM</v>
      </c>
      <c r="AL196" s="12" t="s">
        <v>534</v>
      </c>
    </row>
    <row r="197" spans="1:38" ht="12.75">
      <c r="A197" s="10">
        <f ca="1">IFERROR(__xludf.DUMMYFUNCTION("""COMPUTED_VALUE"""),43417.5574621296)</f>
        <v>43417.557462129596</v>
      </c>
      <c r="B197" s="11" t="str">
        <f ca="1">IFERROR(__xludf.DUMMYFUNCTION("""COMPUTED_VALUE"""),"Pamela Marcum")</f>
        <v>Pamela Marcum</v>
      </c>
      <c r="C197" t="str">
        <f ca="1">IFERROR(__xludf.DUMMYFUNCTION("""COMPUTED_VALUE"""),"Pamela.Marcum@dep.state.fl.us")</f>
        <v>Pamela.Marcum@dep.state.fl.us</v>
      </c>
      <c r="D197" t="str">
        <f ca="1">IFERROR(__xludf.DUMMYFUNCTION("""COMPUTED_VALUE"""),"Research/Nikki")</f>
        <v>Research/Nikki</v>
      </c>
      <c r="E197" t="str">
        <f ca="1">IFERROR(__xludf.DUMMYFUNCTION("""COMPUTED_VALUE"""),"Aunt Kate's")</f>
        <v>Aunt Kate's</v>
      </c>
      <c r="F197" s="13">
        <f ca="1">IFERROR(__xludf.DUMMYFUNCTION("""COMPUTED_VALUE"""),0.58333333333212)</f>
        <v>0.58333333333212001</v>
      </c>
      <c r="G197" s="14">
        <f ca="1">IFERROR(__xludf.DUMMYFUNCTION("""COMPUTED_VALUE"""),43417)</f>
        <v>43417</v>
      </c>
      <c r="H197" t="str">
        <f ca="1">IFERROR(__xludf.DUMMYFUNCTION("""COMPUTED_VALUE"""),"Pine Island then Hat Island")</f>
        <v>Pine Island then Hat Island</v>
      </c>
      <c r="I197" s="15">
        <f ca="1">IFERROR(__xludf.DUMMYFUNCTION("""COMPUTED_VALUE"""),0.64583333333212)</f>
        <v>0.64583333333212001</v>
      </c>
      <c r="J197" s="16">
        <f ca="1">IFERROR(__xludf.DUMMYFUNCTION("""COMPUTED_VALUE"""),43417.6666666666)</f>
        <v>43417.666666666599</v>
      </c>
      <c r="K197" t="str">
        <f ca="1">IFERROR(__xludf.DUMMYFUNCTION("""COMPUTED_VALUE"""),"20ft Sea Ark FL5351SJ UNF 2015")</f>
        <v>20ft Sea Ark FL5351SJ UNF 2015</v>
      </c>
      <c r="M197" t="str">
        <f ca="1">IFERROR(__xludf.DUMMYFUNCTION("""COMPUTED_VALUE"""),"Ford F250 2017 (Moby Dix) - DEP0021578")</f>
        <v>Ford F250 2017 (Moby Dix) - DEP0021578</v>
      </c>
      <c r="N197" t="str">
        <f ca="1">IFERROR(__xludf.DUMMYFUNCTION("""COMPUTED_VALUE"""),"Pam Marcum, (480) 332-5414")</f>
        <v>Pam Marcum, (480) 332-5414</v>
      </c>
      <c r="O197" t="str">
        <f ca="1">IFERROR(__xludf.DUMMYFUNCTION("""COMPUTED_VALUE"""),"Michael Shirley, John Upton, Melissa")</f>
        <v>Michael Shirley, John Upton, Melissa</v>
      </c>
      <c r="P197" t="str">
        <f ca="1">IFERROR(__xludf.DUMMYFUNCTION("""COMPUTED_VALUE"""),"Pam")</f>
        <v>Pam</v>
      </c>
      <c r="Q197" t="str">
        <f ca="1">IFERROR(__xludf.DUMMYFUNCTION("""COMPUTED_VALUE"""),"Good")</f>
        <v>Good</v>
      </c>
      <c r="R197" t="str">
        <f ca="1">IFERROR(__xludf.DUMMYFUNCTION("""COMPUTED_VALUE"""),"Good")</f>
        <v>Good</v>
      </c>
      <c r="S197" t="str">
        <f ca="1">IFERROR(__xludf.DUMMYFUNCTION("""COMPUTED_VALUE"""),"Good")</f>
        <v>Good</v>
      </c>
      <c r="T197" t="str">
        <f ca="1">IFERROR(__xludf.DUMMYFUNCTION("""COMPUTED_VALUE"""),"Good")</f>
        <v>Good</v>
      </c>
      <c r="U197" t="str">
        <f ca="1">IFERROR(__xludf.DUMMYFUNCTION("""COMPUTED_VALUE"""),"Good")</f>
        <v>Good</v>
      </c>
      <c r="V197" t="str">
        <f ca="1">IFERROR(__xludf.DUMMYFUNCTION("""COMPUTED_VALUE"""),"Good")</f>
        <v>Good</v>
      </c>
      <c r="W197" t="str">
        <f ca="1">IFERROR(__xludf.DUMMYFUNCTION("""COMPUTED_VALUE"""),"Good")</f>
        <v>Good</v>
      </c>
      <c r="X197" t="str">
        <f ca="1">IFERROR(__xludf.DUMMYFUNCTION("""COMPUTED_VALUE"""),"Good")</f>
        <v>Good</v>
      </c>
      <c r="Y197" t="str">
        <f ca="1">IFERROR(__xludf.DUMMYFUNCTION("""COMPUTED_VALUE"""),"Good")</f>
        <v>Good</v>
      </c>
      <c r="Z197" t="str">
        <f ca="1">IFERROR(__xludf.DUMMYFUNCTION("""COMPUTED_VALUE"""),"Good")</f>
        <v>Good</v>
      </c>
      <c r="AA197" t="str">
        <f ca="1">IFERROR(__xludf.DUMMYFUNCTION("""COMPUTED_VALUE"""),"Good")</f>
        <v>Good</v>
      </c>
      <c r="AB197" t="str">
        <f ca="1">IFERROR(__xludf.DUMMYFUNCTION("""COMPUTED_VALUE"""),"Good")</f>
        <v>Good</v>
      </c>
      <c r="AC197" t="str">
        <f ca="1">IFERROR(__xludf.DUMMYFUNCTION("""COMPUTED_VALUE"""),"Good")</f>
        <v>Good</v>
      </c>
      <c r="AE197" s="11"/>
      <c r="AF197" t="str">
        <v>Nikki.Dix@floridadep.gov</v>
      </c>
      <c r="AG197" s="18"/>
      <c r="AH197" s="12">
        <v>1600</v>
      </c>
      <c r="AI197" s="12" t="s">
        <v>535</v>
      </c>
      <c r="AJ197" s="19" t="s">
        <v>536</v>
      </c>
      <c r="AK197" s="20" t="str">
        <f>HYPERLINK("https://docs.google.com/document/d/1PL271tW_lqAUNom36USh5xQ5-3Fx9KBM5GmY4JnYfd4/edit?usp=drivesdk","Pamela Marcum - 11/13/2018 2:00 PM")</f>
        <v>Pamela Marcum - 11/13/2018 2:00 PM</v>
      </c>
      <c r="AL197" s="12" t="s">
        <v>537</v>
      </c>
    </row>
    <row r="198" spans="1:38" ht="12.75">
      <c r="A198" s="10">
        <f ca="1">IFERROR(__xludf.DUMMYFUNCTION("""COMPUTED_VALUE"""),43417.6305930555)</f>
        <v>43417.630593055503</v>
      </c>
      <c r="B198" s="11" t="str">
        <f ca="1">IFERROR(__xludf.DUMMYFUNCTION("""COMPUTED_VALUE"""),"Silas Tanner")</f>
        <v>Silas Tanner</v>
      </c>
      <c r="C198" t="str">
        <f ca="1">IFERROR(__xludf.DUMMYFUNCTION("""COMPUTED_VALUE"""),"silas.tanner@floridadep.gov")</f>
        <v>silas.tanner@floridadep.gov</v>
      </c>
      <c r="D198" t="str">
        <f ca="1">IFERROR(__xludf.DUMMYFUNCTION("""COMPUTED_VALUE"""),"Research/Nikki")</f>
        <v>Research/Nikki</v>
      </c>
      <c r="E198" t="str">
        <f ca="1">IFERROR(__xludf.DUMMYFUNCTION("""COMPUTED_VALUE"""),"Vilano county ramp")</f>
        <v>Vilano county ramp</v>
      </c>
      <c r="F198" s="13">
        <f ca="1">IFERROR(__xludf.DUMMYFUNCTION("""COMPUTED_VALUE"""),0.4375)</f>
        <v>0.4375</v>
      </c>
      <c r="G198" s="14">
        <f ca="1">IFERROR(__xludf.DUMMYFUNCTION("""COMPUTED_VALUE"""),43418)</f>
        <v>43418</v>
      </c>
      <c r="H198" t="str">
        <f ca="1">IFERROR(__xludf.DUMMYFUNCTION("""COMPUTED_VALUE"""),"ICW SWMP sites")</f>
        <v>ICW SWMP sites</v>
      </c>
      <c r="I198" s="15">
        <f ca="1">IFERROR(__xludf.DUMMYFUNCTION("""COMPUTED_VALUE"""),0.58333333333212)</f>
        <v>0.58333333333212001</v>
      </c>
      <c r="J198" s="16">
        <f ca="1">IFERROR(__xludf.DUMMYFUNCTION("""COMPUTED_VALUE"""),43418.59375)</f>
        <v>43418.59375</v>
      </c>
      <c r="K198" t="str">
        <f ca="1">IFERROR(__xludf.DUMMYFUNCTION("""COMPUTED_VALUE"""),"20ft Sea Ark FL5351SJ UNF 2015")</f>
        <v>20ft Sea Ark FL5351SJ UNF 2015</v>
      </c>
      <c r="M198" t="str">
        <f ca="1">IFERROR(__xludf.DUMMYFUNCTION("""COMPUTED_VALUE"""),"Ford F250 2017 (Moby Dix) - DEP0021578")</f>
        <v>Ford F250 2017 (Moby Dix) - DEP0021578</v>
      </c>
      <c r="N198" t="str">
        <f ca="1">IFERROR(__xludf.DUMMYFUNCTION("""COMPUTED_VALUE"""),"Shannon Dunnigan, (803) 727-5734, Silas Tanner, (904) 483-8423")</f>
        <v>Shannon Dunnigan, (803) 727-5734, Silas Tanner, (904) 483-8423</v>
      </c>
      <c r="O198" t="str">
        <f ca="1">IFERROR(__xludf.DUMMYFUNCTION("""COMPUTED_VALUE"""),"Mike Darragh ")</f>
        <v xml:space="preserve">Mike Darragh </v>
      </c>
      <c r="P198" t="str">
        <f ca="1">IFERROR(__xludf.DUMMYFUNCTION("""COMPUTED_VALUE"""),"Dunnigan")</f>
        <v>Dunnigan</v>
      </c>
      <c r="Q198" t="str">
        <f ca="1">IFERROR(__xludf.DUMMYFUNCTION("""COMPUTED_VALUE"""),"Good")</f>
        <v>Good</v>
      </c>
      <c r="R198" t="str">
        <f ca="1">IFERROR(__xludf.DUMMYFUNCTION("""COMPUTED_VALUE"""),"Good")</f>
        <v>Good</v>
      </c>
      <c r="S198" t="str">
        <f ca="1">IFERROR(__xludf.DUMMYFUNCTION("""COMPUTED_VALUE"""),"Good")</f>
        <v>Good</v>
      </c>
      <c r="T198" t="str">
        <f ca="1">IFERROR(__xludf.DUMMYFUNCTION("""COMPUTED_VALUE"""),"Good")</f>
        <v>Good</v>
      </c>
      <c r="U198" t="str">
        <f ca="1">IFERROR(__xludf.DUMMYFUNCTION("""COMPUTED_VALUE"""),"Good")</f>
        <v>Good</v>
      </c>
      <c r="V198" t="str">
        <f ca="1">IFERROR(__xludf.DUMMYFUNCTION("""COMPUTED_VALUE"""),"Good")</f>
        <v>Good</v>
      </c>
      <c r="W198" t="str">
        <f ca="1">IFERROR(__xludf.DUMMYFUNCTION("""COMPUTED_VALUE"""),"Good")</f>
        <v>Good</v>
      </c>
      <c r="X198" t="str">
        <f ca="1">IFERROR(__xludf.DUMMYFUNCTION("""COMPUTED_VALUE"""),"Good")</f>
        <v>Good</v>
      </c>
      <c r="Y198" t="str">
        <f ca="1">IFERROR(__xludf.DUMMYFUNCTION("""COMPUTED_VALUE"""),"Good")</f>
        <v>Good</v>
      </c>
      <c r="Z198" t="str">
        <f ca="1">IFERROR(__xludf.DUMMYFUNCTION("""COMPUTED_VALUE"""),"Good")</f>
        <v>Good</v>
      </c>
      <c r="AA198" t="str">
        <f ca="1">IFERROR(__xludf.DUMMYFUNCTION("""COMPUTED_VALUE"""),"Good")</f>
        <v>Good</v>
      </c>
      <c r="AB198" t="str">
        <f ca="1">IFERROR(__xludf.DUMMYFUNCTION("""COMPUTED_VALUE"""),"Good")</f>
        <v>Good</v>
      </c>
      <c r="AC198" t="str">
        <f ca="1">IFERROR(__xludf.DUMMYFUNCTION("""COMPUTED_VALUE"""),"Good")</f>
        <v>Good</v>
      </c>
      <c r="AE198" s="11"/>
      <c r="AF198" t="str">
        <v>Nikki.Dix@floridadep.gov</v>
      </c>
      <c r="AG198" s="18"/>
      <c r="AI198" s="12" t="s">
        <v>538</v>
      </c>
      <c r="AJ198" s="19" t="s">
        <v>539</v>
      </c>
      <c r="AK198" s="20" t="str">
        <f>HYPERLINK("https://docs.google.com/document/d/1kbvT1CsqWVSgIaGJKDYhYIm_4ojgiC2OS4qGLdNc4tI/edit?usp=drivesdk","Silas Tanner - 11/14/2018 10:30 AM")</f>
        <v>Silas Tanner - 11/14/2018 10:30 AM</v>
      </c>
      <c r="AL198" s="12" t="s">
        <v>540</v>
      </c>
    </row>
    <row r="199" spans="1:38" ht="12.75">
      <c r="A199" s="10">
        <f ca="1">IFERROR(__xludf.DUMMYFUNCTION("""COMPUTED_VALUE"""),43419.4357276504)</f>
        <v>43419.435727650402</v>
      </c>
      <c r="B199" s="11" t="str">
        <f ca="1">IFERROR(__xludf.DUMMYFUNCTION("""COMPUTED_VALUE"""),"Silas Tanner")</f>
        <v>Silas Tanner</v>
      </c>
      <c r="C199" t="str">
        <f ca="1">IFERROR(__xludf.DUMMYFUNCTION("""COMPUTED_VALUE"""),"silas.tanner@floridadep.gov")</f>
        <v>silas.tanner@floridadep.gov</v>
      </c>
      <c r="D199" t="str">
        <f ca="1">IFERROR(__xludf.DUMMYFUNCTION("""COMPUTED_VALUE"""),"Research/Nikki")</f>
        <v>Research/Nikki</v>
      </c>
      <c r="E199" t="str">
        <f ca="1">IFERROR(__xludf.DUMMYFUNCTION("""COMPUTED_VALUE"""),"Vilano county ramp")</f>
        <v>Vilano county ramp</v>
      </c>
      <c r="F199" s="13">
        <f ca="1">IFERROR(__xludf.DUMMYFUNCTION("""COMPUTED_VALUE"""),0.45833333333212)</f>
        <v>0.45833333333212001</v>
      </c>
      <c r="G199" s="14">
        <f ca="1">IFERROR(__xludf.DUMMYFUNCTION("""COMPUTED_VALUE"""),43419)</f>
        <v>43419</v>
      </c>
      <c r="H199" t="str">
        <f ca="1">IFERROR(__xludf.DUMMYFUNCTION("""COMPUTED_VALUE"""),"ICW - SWMP sites")</f>
        <v>ICW - SWMP sites</v>
      </c>
      <c r="I199" s="15">
        <f ca="1">IFERROR(__xludf.DUMMYFUNCTION("""COMPUTED_VALUE"""),0.625)</f>
        <v>0.625</v>
      </c>
      <c r="J199" s="16">
        <f ca="1">IFERROR(__xludf.DUMMYFUNCTION("""COMPUTED_VALUE"""),43419.6354166666)</f>
        <v>43419.635416666599</v>
      </c>
      <c r="K199" t="str">
        <f ca="1">IFERROR(__xludf.DUMMYFUNCTION("""COMPUTED_VALUE"""),"20ft Sea Ark FL5351SJ UNF 2015")</f>
        <v>20ft Sea Ark FL5351SJ UNF 2015</v>
      </c>
      <c r="M199" t="str">
        <f ca="1">IFERROR(__xludf.DUMMYFUNCTION("""COMPUTED_VALUE"""),"Ford F250 2017 (Moby Dix) - DEP0021578")</f>
        <v>Ford F250 2017 (Moby Dix) - DEP0021578</v>
      </c>
      <c r="N199" t="str">
        <f ca="1">IFERROR(__xludf.DUMMYFUNCTION("""COMPUTED_VALUE"""),"Silas Tanner, (904) 483-8423")</f>
        <v>Silas Tanner, (904) 483-8423</v>
      </c>
      <c r="O199" t="str">
        <f ca="1">IFERROR(__xludf.DUMMYFUNCTION("""COMPUTED_VALUE"""),"Hunter Mathews, Mike Darragh")</f>
        <v>Hunter Mathews, Mike Darragh</v>
      </c>
      <c r="P199" t="str">
        <f ca="1">IFERROR(__xludf.DUMMYFUNCTION("""COMPUTED_VALUE"""),"S. Tanner")</f>
        <v>S. Tanner</v>
      </c>
      <c r="Q199" t="str">
        <f ca="1">IFERROR(__xludf.DUMMYFUNCTION("""COMPUTED_VALUE"""),"Good")</f>
        <v>Good</v>
      </c>
      <c r="R199" t="str">
        <f ca="1">IFERROR(__xludf.DUMMYFUNCTION("""COMPUTED_VALUE"""),"Good")</f>
        <v>Good</v>
      </c>
      <c r="S199" t="str">
        <f ca="1">IFERROR(__xludf.DUMMYFUNCTION("""COMPUTED_VALUE"""),"Good")</f>
        <v>Good</v>
      </c>
      <c r="T199" t="str">
        <f ca="1">IFERROR(__xludf.DUMMYFUNCTION("""COMPUTED_VALUE"""),"Good")</f>
        <v>Good</v>
      </c>
      <c r="U199" t="str">
        <f ca="1">IFERROR(__xludf.DUMMYFUNCTION("""COMPUTED_VALUE"""),"Good")</f>
        <v>Good</v>
      </c>
      <c r="V199" t="str">
        <f ca="1">IFERROR(__xludf.DUMMYFUNCTION("""COMPUTED_VALUE"""),"Good")</f>
        <v>Good</v>
      </c>
      <c r="W199" t="str">
        <f ca="1">IFERROR(__xludf.DUMMYFUNCTION("""COMPUTED_VALUE"""),"Good")</f>
        <v>Good</v>
      </c>
      <c r="X199" t="str">
        <f ca="1">IFERROR(__xludf.DUMMYFUNCTION("""COMPUTED_VALUE"""),"Good")</f>
        <v>Good</v>
      </c>
      <c r="Y199" t="str">
        <f ca="1">IFERROR(__xludf.DUMMYFUNCTION("""COMPUTED_VALUE"""),"Good")</f>
        <v>Good</v>
      </c>
      <c r="Z199" t="str">
        <f ca="1">IFERROR(__xludf.DUMMYFUNCTION("""COMPUTED_VALUE"""),"Good")</f>
        <v>Good</v>
      </c>
      <c r="AA199" t="str">
        <f ca="1">IFERROR(__xludf.DUMMYFUNCTION("""COMPUTED_VALUE"""),"Good")</f>
        <v>Good</v>
      </c>
      <c r="AB199" t="str">
        <f ca="1">IFERROR(__xludf.DUMMYFUNCTION("""COMPUTED_VALUE"""),"Good")</f>
        <v>Good</v>
      </c>
      <c r="AC199" t="str">
        <f ca="1">IFERROR(__xludf.DUMMYFUNCTION("""COMPUTED_VALUE"""),"Good")</f>
        <v>Good</v>
      </c>
      <c r="AE199" s="11"/>
      <c r="AF199" t="str">
        <v>Nikki.Dix@floridadep.gov</v>
      </c>
      <c r="AG199" s="17" t="s">
        <v>126</v>
      </c>
      <c r="AH199" s="12">
        <v>1430</v>
      </c>
      <c r="AI199" s="12" t="s">
        <v>541</v>
      </c>
      <c r="AJ199" s="19" t="s">
        <v>542</v>
      </c>
      <c r="AK199" s="20" t="str">
        <f>HYPERLINK("https://docs.google.com/document/d/1Ro8NJhnFBHEkHT8r9UkoHcGushyxmf7T7UxF2d3EPTo/edit?usp=drivesdk","Silas Tanner - 11/15/2018 11:00 AM")</f>
        <v>Silas Tanner - 11/15/2018 11:00 AM</v>
      </c>
      <c r="AL199" s="12" t="s">
        <v>543</v>
      </c>
    </row>
    <row r="200" spans="1:38" ht="12.75">
      <c r="A200" s="10">
        <f ca="1">IFERROR(__xludf.DUMMYFUNCTION("""COMPUTED_VALUE"""),43430.6148708333)</f>
        <v>43430.614870833298</v>
      </c>
      <c r="B200" s="11" t="str">
        <f ca="1">IFERROR(__xludf.DUMMYFUNCTION("""COMPUTED_VALUE"""),"Ben Mowbray")</f>
        <v>Ben Mowbray</v>
      </c>
      <c r="C200" t="str">
        <f ca="1">IFERROR(__xludf.DUMMYFUNCTION("""COMPUTED_VALUE"""),"ben.mowbray@dep.state.fl.us")</f>
        <v>ben.mowbray@dep.state.fl.us</v>
      </c>
      <c r="D200" t="str">
        <f ca="1">IFERROR(__xludf.DUMMYFUNCTION("""COMPUTED_VALUE"""),"Research/Pam")</f>
        <v>Research/Pam</v>
      </c>
      <c r="E200" t="str">
        <f ca="1">IFERROR(__xludf.DUMMYFUNCTION("""COMPUTED_VALUE"""),"Douglas Crane")</f>
        <v>Douglas Crane</v>
      </c>
      <c r="F200" s="13">
        <f ca="1">IFERROR(__xludf.DUMMYFUNCTION("""COMPUTED_VALUE"""),0.611111111109494)</f>
        <v>0.61111111110949401</v>
      </c>
      <c r="G200" s="14">
        <f ca="1">IFERROR(__xludf.DUMMYFUNCTION("""COMPUTED_VALUE"""),43431)</f>
        <v>43431</v>
      </c>
      <c r="H200" t="str">
        <f ca="1">IFERROR(__xludf.DUMMYFUNCTION("""COMPUTED_VALUE"""),"Chapman site and Marsh monitoring platforms")</f>
        <v>Chapman site and Marsh monitoring platforms</v>
      </c>
      <c r="I200" s="15">
        <f ca="1">IFERROR(__xludf.DUMMYFUNCTION("""COMPUTED_VALUE"""),0.680555555554747)</f>
        <v>0.680555555554747</v>
      </c>
      <c r="J200" s="16">
        <f ca="1">IFERROR(__xludf.DUMMYFUNCTION("""COMPUTED_VALUE"""),43431.7083333333)</f>
        <v>43431.708333333299</v>
      </c>
      <c r="K200" t="str">
        <f ca="1">IFERROR(__xludf.DUMMYFUNCTION("""COMPUTED_VALUE"""),"20ft Sea Ark FL5351SJ UNF 2015")</f>
        <v>20ft Sea Ark FL5351SJ UNF 2015</v>
      </c>
      <c r="M200" t="str">
        <f ca="1">IFERROR(__xludf.DUMMYFUNCTION("""COMPUTED_VALUE"""),"Ford F250 2017 (Moby Dix) - DEP0021578")</f>
        <v>Ford F250 2017 (Moby Dix) - DEP0021578</v>
      </c>
      <c r="N200" t="str">
        <f ca="1">IFERROR(__xludf.DUMMYFUNCTION("""COMPUTED_VALUE"""),"Ben Mowbray, (407) 962-8782")</f>
        <v>Ben Mowbray, (407) 962-8782</v>
      </c>
      <c r="O200" t="str">
        <f ca="1">IFERROR(__xludf.DUMMYFUNCTION("""COMPUTED_VALUE"""),"Gabby")</f>
        <v>Gabby</v>
      </c>
      <c r="P200" t="str">
        <f ca="1">IFERROR(__xludf.DUMMYFUNCTION("""COMPUTED_VALUE"""),"Ben")</f>
        <v>Ben</v>
      </c>
      <c r="Q200" t="str">
        <f ca="1">IFERROR(__xludf.DUMMYFUNCTION("""COMPUTED_VALUE"""),"Good")</f>
        <v>Good</v>
      </c>
      <c r="R200" t="str">
        <f ca="1">IFERROR(__xludf.DUMMYFUNCTION("""COMPUTED_VALUE"""),"Good")</f>
        <v>Good</v>
      </c>
      <c r="S200" t="str">
        <f ca="1">IFERROR(__xludf.DUMMYFUNCTION("""COMPUTED_VALUE"""),"Good")</f>
        <v>Good</v>
      </c>
      <c r="T200" t="str">
        <f ca="1">IFERROR(__xludf.DUMMYFUNCTION("""COMPUTED_VALUE"""),"Good")</f>
        <v>Good</v>
      </c>
      <c r="U200" t="str">
        <f ca="1">IFERROR(__xludf.DUMMYFUNCTION("""COMPUTED_VALUE"""),"Good")</f>
        <v>Good</v>
      </c>
      <c r="V200" t="str">
        <f ca="1">IFERROR(__xludf.DUMMYFUNCTION("""COMPUTED_VALUE"""),"Good")</f>
        <v>Good</v>
      </c>
      <c r="W200" t="str">
        <f ca="1">IFERROR(__xludf.DUMMYFUNCTION("""COMPUTED_VALUE"""),"Good")</f>
        <v>Good</v>
      </c>
      <c r="X200" t="str">
        <f ca="1">IFERROR(__xludf.DUMMYFUNCTION("""COMPUTED_VALUE"""),"Good")</f>
        <v>Good</v>
      </c>
      <c r="Y200" t="str">
        <f ca="1">IFERROR(__xludf.DUMMYFUNCTION("""COMPUTED_VALUE"""),"Good")</f>
        <v>Good</v>
      </c>
      <c r="Z200" t="str">
        <f ca="1">IFERROR(__xludf.DUMMYFUNCTION("""COMPUTED_VALUE"""),"Good")</f>
        <v>Good</v>
      </c>
      <c r="AA200" t="str">
        <f ca="1">IFERROR(__xludf.DUMMYFUNCTION("""COMPUTED_VALUE"""),"Good")</f>
        <v>Good</v>
      </c>
      <c r="AB200" t="str">
        <f ca="1">IFERROR(__xludf.DUMMYFUNCTION("""COMPUTED_VALUE"""),"Good")</f>
        <v>Good</v>
      </c>
      <c r="AC200" t="str">
        <f ca="1">IFERROR(__xludf.DUMMYFUNCTION("""COMPUTED_VALUE"""),"Good")</f>
        <v>Good</v>
      </c>
      <c r="AE200" s="11"/>
      <c r="AF200" t="str">
        <v>Pamela.Marcum@floridadep.gov</v>
      </c>
      <c r="AG200" s="17" t="s">
        <v>139</v>
      </c>
      <c r="AH200" s="12">
        <v>1620</v>
      </c>
      <c r="AI200" s="12" t="s">
        <v>544</v>
      </c>
      <c r="AJ200" s="19" t="s">
        <v>545</v>
      </c>
      <c r="AK200" s="20" t="str">
        <f>HYPERLINK("https://docs.google.com/document/d/1oCIbNyJwXRwNMINWHnLOK0AHi7aUYV5hxePSeCyfP2Q/edit?usp=drivesdk","Ben Mowbray - 11/27/2018 2:40 PM")</f>
        <v>Ben Mowbray - 11/27/2018 2:40 PM</v>
      </c>
      <c r="AL200" s="12" t="s">
        <v>546</v>
      </c>
    </row>
    <row r="201" spans="1:38" ht="12.75">
      <c r="A201" s="10">
        <f ca="1">IFERROR(__xludf.DUMMYFUNCTION("""COMPUTED_VALUE"""),43431.758201574)</f>
        <v>43431.758201573997</v>
      </c>
      <c r="B201" s="11" t="str">
        <f ca="1">IFERROR(__xludf.DUMMYFUNCTION("""COMPUTED_VALUE"""),"Ben Mowbray")</f>
        <v>Ben Mowbray</v>
      </c>
      <c r="C201" t="str">
        <f ca="1">IFERROR(__xludf.DUMMYFUNCTION("""COMPUTED_VALUE"""),"ben.mowbray@dep.state.fl.us")</f>
        <v>ben.mowbray@dep.state.fl.us</v>
      </c>
      <c r="D201" t="str">
        <f ca="1">IFERROR(__xludf.DUMMYFUNCTION("""COMPUTED_VALUE"""),"Research/Nikki")</f>
        <v>Research/Nikki</v>
      </c>
      <c r="E201" t="str">
        <f ca="1">IFERROR(__xludf.DUMMYFUNCTION("""COMPUTED_VALUE"""),"Green Road")</f>
        <v>Green Road</v>
      </c>
      <c r="F201" s="13">
        <f ca="1">IFERROR(__xludf.DUMMYFUNCTION("""COMPUTED_VALUE"""),0.409722222222626)</f>
        <v>0.409722222222626</v>
      </c>
      <c r="G201" s="14">
        <f ca="1">IFERROR(__xludf.DUMMYFUNCTION("""COMPUTED_VALUE"""),43431)</f>
        <v>43431</v>
      </c>
      <c r="H201" t="str">
        <f ca="1">IFERROR(__xludf.DUMMYFUNCTION("""COMPUTED_VALUE"""),"Moses Creek, Devil's Elbow")</f>
        <v>Moses Creek, Devil's Elbow</v>
      </c>
      <c r="I201" s="15">
        <f ca="1">IFERROR(__xludf.DUMMYFUNCTION("""COMPUTED_VALUE"""),0.666666666667879)</f>
        <v>0.66666666666787899</v>
      </c>
      <c r="J201" s="16">
        <f ca="1">IFERROR(__xludf.DUMMYFUNCTION("""COMPUTED_VALUE"""),43431.7222222222)</f>
        <v>43431.722222222197</v>
      </c>
      <c r="K201" t="str">
        <f ca="1">IFERROR(__xludf.DUMMYFUNCTION("""COMPUTED_VALUE"""),"20ft Sea Ark FL5351SJ UNF 2015")</f>
        <v>20ft Sea Ark FL5351SJ UNF 2015</v>
      </c>
      <c r="M201" t="str">
        <f ca="1">IFERROR(__xludf.DUMMYFUNCTION("""COMPUTED_VALUE"""),"Ford F250 2017 (Moby Dix) - DEP0021578")</f>
        <v>Ford F250 2017 (Moby Dix) - DEP0021578</v>
      </c>
      <c r="N201" t="str">
        <f ca="1">IFERROR(__xludf.DUMMYFUNCTION("""COMPUTED_VALUE"""),"Ben Mowbray, (407) 962-8782")</f>
        <v>Ben Mowbray, (407) 962-8782</v>
      </c>
      <c r="O201" t="str">
        <f ca="1">IFERROR(__xludf.DUMMYFUNCTION("""COMPUTED_VALUE"""),"Nicole Peckham, Rodrigo Pavani, Adrienne Brief-Pilz")</f>
        <v>Nicole Peckham, Rodrigo Pavani, Adrienne Brief-Pilz</v>
      </c>
      <c r="P201" t="str">
        <f ca="1">IFERROR(__xludf.DUMMYFUNCTION("""COMPUTED_VALUE"""),"Ben")</f>
        <v>Ben</v>
      </c>
      <c r="Q201" t="str">
        <f ca="1">IFERROR(__xludf.DUMMYFUNCTION("""COMPUTED_VALUE"""),"Good")</f>
        <v>Good</v>
      </c>
      <c r="R201" t="str">
        <f ca="1">IFERROR(__xludf.DUMMYFUNCTION("""COMPUTED_VALUE"""),"Good")</f>
        <v>Good</v>
      </c>
      <c r="S201" t="str">
        <f ca="1">IFERROR(__xludf.DUMMYFUNCTION("""COMPUTED_VALUE"""),"Good")</f>
        <v>Good</v>
      </c>
      <c r="T201" t="str">
        <f ca="1">IFERROR(__xludf.DUMMYFUNCTION("""COMPUTED_VALUE"""),"Good")</f>
        <v>Good</v>
      </c>
      <c r="U201" t="str">
        <f ca="1">IFERROR(__xludf.DUMMYFUNCTION("""COMPUTED_VALUE"""),"Good")</f>
        <v>Good</v>
      </c>
      <c r="V201" t="str">
        <f ca="1">IFERROR(__xludf.DUMMYFUNCTION("""COMPUTED_VALUE"""),"Good")</f>
        <v>Good</v>
      </c>
      <c r="W201" t="str">
        <f ca="1">IFERROR(__xludf.DUMMYFUNCTION("""COMPUTED_VALUE"""),"Good")</f>
        <v>Good</v>
      </c>
      <c r="X201" t="str">
        <f ca="1">IFERROR(__xludf.DUMMYFUNCTION("""COMPUTED_VALUE"""),"Good")</f>
        <v>Good</v>
      </c>
      <c r="Y201" t="str">
        <f ca="1">IFERROR(__xludf.DUMMYFUNCTION("""COMPUTED_VALUE"""),"Good")</f>
        <v>Good</v>
      </c>
      <c r="Z201" t="str">
        <f ca="1">IFERROR(__xludf.DUMMYFUNCTION("""COMPUTED_VALUE"""),"Good")</f>
        <v>Good</v>
      </c>
      <c r="AA201" t="str">
        <f ca="1">IFERROR(__xludf.DUMMYFUNCTION("""COMPUTED_VALUE"""),"Good")</f>
        <v>Good</v>
      </c>
      <c r="AB201" t="str">
        <f ca="1">IFERROR(__xludf.DUMMYFUNCTION("""COMPUTED_VALUE"""),"Good")</f>
        <v>Good</v>
      </c>
      <c r="AC201" t="str">
        <f ca="1">IFERROR(__xludf.DUMMYFUNCTION("""COMPUTED_VALUE"""),"Good")</f>
        <v>Good</v>
      </c>
      <c r="AE201" s="11"/>
      <c r="AF201" t="str">
        <v>Nikki.Dix@floridadep.gov</v>
      </c>
      <c r="AG201" s="17" t="s">
        <v>444</v>
      </c>
      <c r="AH201" s="12">
        <v>1215</v>
      </c>
      <c r="AI201" s="12" t="s">
        <v>547</v>
      </c>
      <c r="AJ201" s="19" t="s">
        <v>548</v>
      </c>
      <c r="AK201" s="20" t="str">
        <f>HYPERLINK("https://docs.google.com/document/d/1UytU1qoyfwDOxvXCNFzuyxYJSlOMrr0F6BOQspPMTz0/edit?usp=drivesdk","Ben Mowbray - 11/27/2018 9:50 AM")</f>
        <v>Ben Mowbray - 11/27/2018 9:50 AM</v>
      </c>
      <c r="AL201" s="12" t="s">
        <v>549</v>
      </c>
    </row>
    <row r="202" spans="1:38" ht="12.75">
      <c r="A202" s="10">
        <f ca="1">IFERROR(__xludf.DUMMYFUNCTION("""COMPUTED_VALUE"""),43433.290531574)</f>
        <v>43433.290531573999</v>
      </c>
      <c r="B202" s="11" t="str">
        <f ca="1">IFERROR(__xludf.DUMMYFUNCTION("""COMPUTED_VALUE"""),"Ben Mowbray")</f>
        <v>Ben Mowbray</v>
      </c>
      <c r="C202" t="str">
        <f ca="1">IFERROR(__xludf.DUMMYFUNCTION("""COMPUTED_VALUE"""),"ben.mowbray@dep.state.fl.us")</f>
        <v>ben.mowbray@dep.state.fl.us</v>
      </c>
      <c r="D202" t="str">
        <f ca="1">IFERROR(__xludf.DUMMYFUNCTION("""COMPUTED_VALUE"""),"Research/Pam")</f>
        <v>Research/Pam</v>
      </c>
      <c r="E202" t="str">
        <f ca="1">IFERROR(__xludf.DUMMYFUNCTION("""COMPUTED_VALUE"""),"Whitney")</f>
        <v>Whitney</v>
      </c>
      <c r="F202" s="13">
        <f ca="1">IFERROR(__xludf.DUMMYFUNCTION("""COMPUTED_VALUE"""),0.347222222222626)</f>
        <v>0.347222222222626</v>
      </c>
      <c r="G202" s="14">
        <f ca="1">IFERROR(__xludf.DUMMYFUNCTION("""COMPUTED_VALUE"""),43433)</f>
        <v>43433</v>
      </c>
      <c r="H202" t="str">
        <f ca="1">IFERROR(__xludf.DUMMYFUNCTION("""COMPUTED_VALUE"""),"Pellicer and Devil's Elbow reefs")</f>
        <v>Pellicer and Devil's Elbow reefs</v>
      </c>
      <c r="I202" s="15">
        <f ca="1">IFERROR(__xludf.DUMMYFUNCTION("""COMPUTED_VALUE"""),0.58333333333212)</f>
        <v>0.58333333333212001</v>
      </c>
      <c r="J202" s="16">
        <f ca="1">IFERROR(__xludf.DUMMYFUNCTION("""COMPUTED_VALUE"""),43433.6388888888)</f>
        <v>43433.638888888803</v>
      </c>
      <c r="K202" t="str">
        <f ca="1">IFERROR(__xludf.DUMMYFUNCTION("""COMPUTED_VALUE"""),"20ft Sea Ark FL5351SJ UNF 2015")</f>
        <v>20ft Sea Ark FL5351SJ UNF 2015</v>
      </c>
      <c r="M202" t="str">
        <f ca="1">IFERROR(__xludf.DUMMYFUNCTION("""COMPUTED_VALUE"""),"Ford F250 2017 (Moby Dix) - DEP0021578")</f>
        <v>Ford F250 2017 (Moby Dix) - DEP0021578</v>
      </c>
      <c r="N202" t="str">
        <f ca="1">IFERROR(__xludf.DUMMYFUNCTION("""COMPUTED_VALUE"""),"Ben Mowbray, (407) 962-8782")</f>
        <v>Ben Mowbray, (407) 962-8782</v>
      </c>
      <c r="O202" t="str">
        <f ca="1">IFERROR(__xludf.DUMMYFUNCTION("""COMPUTED_VALUE"""),"Nicole Peckham, Adrienne Brief-Pilz")</f>
        <v>Nicole Peckham, Adrienne Brief-Pilz</v>
      </c>
      <c r="P202" t="str">
        <f ca="1">IFERROR(__xludf.DUMMYFUNCTION("""COMPUTED_VALUE"""),"Ben")</f>
        <v>Ben</v>
      </c>
      <c r="Q202" t="str">
        <f ca="1">IFERROR(__xludf.DUMMYFUNCTION("""COMPUTED_VALUE"""),"Good")</f>
        <v>Good</v>
      </c>
      <c r="R202" t="str">
        <f ca="1">IFERROR(__xludf.DUMMYFUNCTION("""COMPUTED_VALUE"""),"Good")</f>
        <v>Good</v>
      </c>
      <c r="S202" t="str">
        <f ca="1">IFERROR(__xludf.DUMMYFUNCTION("""COMPUTED_VALUE"""),"Good")</f>
        <v>Good</v>
      </c>
      <c r="T202" t="str">
        <f ca="1">IFERROR(__xludf.DUMMYFUNCTION("""COMPUTED_VALUE"""),"Good")</f>
        <v>Good</v>
      </c>
      <c r="U202" t="str">
        <f ca="1">IFERROR(__xludf.DUMMYFUNCTION("""COMPUTED_VALUE"""),"Good")</f>
        <v>Good</v>
      </c>
      <c r="V202" t="str">
        <f ca="1">IFERROR(__xludf.DUMMYFUNCTION("""COMPUTED_VALUE"""),"Good")</f>
        <v>Good</v>
      </c>
      <c r="W202" t="str">
        <f ca="1">IFERROR(__xludf.DUMMYFUNCTION("""COMPUTED_VALUE"""),"Good")</f>
        <v>Good</v>
      </c>
      <c r="X202" t="str">
        <f ca="1">IFERROR(__xludf.DUMMYFUNCTION("""COMPUTED_VALUE"""),"Good")</f>
        <v>Good</v>
      </c>
      <c r="Y202" t="str">
        <f ca="1">IFERROR(__xludf.DUMMYFUNCTION("""COMPUTED_VALUE"""),"Good")</f>
        <v>Good</v>
      </c>
      <c r="Z202" t="str">
        <f ca="1">IFERROR(__xludf.DUMMYFUNCTION("""COMPUTED_VALUE"""),"Good")</f>
        <v>Good</v>
      </c>
      <c r="AA202" t="str">
        <f ca="1">IFERROR(__xludf.DUMMYFUNCTION("""COMPUTED_VALUE"""),"Good")</f>
        <v>Good</v>
      </c>
      <c r="AB202" t="str">
        <f ca="1">IFERROR(__xludf.DUMMYFUNCTION("""COMPUTED_VALUE"""),"Good")</f>
        <v>Good</v>
      </c>
      <c r="AC202" t="str">
        <f ca="1">IFERROR(__xludf.DUMMYFUNCTION("""COMPUTED_VALUE"""),"Good")</f>
        <v>Good</v>
      </c>
      <c r="AE202" s="11"/>
      <c r="AF202" t="str">
        <v>Pamela.Marcum@floridadep.gov</v>
      </c>
      <c r="AG202" s="17" t="s">
        <v>444</v>
      </c>
      <c r="AH202" s="12">
        <v>1200</v>
      </c>
      <c r="AI202" s="12" t="s">
        <v>550</v>
      </c>
      <c r="AJ202" s="19" t="s">
        <v>551</v>
      </c>
      <c r="AK202" s="20" t="str">
        <f>HYPERLINK("https://docs.google.com/document/d/1WPXaA7dO7Ju4PLovG3d8P_hfoKL3mzHt2dO7NERh5Nc/edit?usp=drivesdk","Ben Mowbray - 11/29/2018 8:20 AM")</f>
        <v>Ben Mowbray - 11/29/2018 8:20 AM</v>
      </c>
      <c r="AL202" s="12" t="s">
        <v>552</v>
      </c>
    </row>
    <row r="203" spans="1:38" ht="12.75">
      <c r="A203" s="10">
        <f ca="1">IFERROR(__xludf.DUMMYFUNCTION("""COMPUTED_VALUE"""),43434.2872713425)</f>
        <v>43434.287271342502</v>
      </c>
      <c r="B203" s="11" t="str">
        <f ca="1">IFERROR(__xludf.DUMMYFUNCTION("""COMPUTED_VALUE"""),"Ben Mowbray")</f>
        <v>Ben Mowbray</v>
      </c>
      <c r="C203" t="str">
        <f ca="1">IFERROR(__xludf.DUMMYFUNCTION("""COMPUTED_VALUE"""),"ben.mowbray@dep.state.fl.us")</f>
        <v>ben.mowbray@dep.state.fl.us</v>
      </c>
      <c r="D203" t="str">
        <f ca="1">IFERROR(__xludf.DUMMYFUNCTION("""COMPUTED_VALUE"""),"Research/Nikki")</f>
        <v>Research/Nikki</v>
      </c>
      <c r="E203" t="str">
        <f ca="1">IFERROR(__xludf.DUMMYFUNCTION("""COMPUTED_VALUE"""),"Aunt Kate's")</f>
        <v>Aunt Kate's</v>
      </c>
      <c r="F203" s="13">
        <f ca="1">IFERROR(__xludf.DUMMYFUNCTION("""COMPUTED_VALUE"""),0.305555555554747)</f>
        <v>0.305555555554747</v>
      </c>
      <c r="G203" s="14">
        <f ca="1">IFERROR(__xludf.DUMMYFUNCTION("""COMPUTED_VALUE"""),43434)</f>
        <v>43434</v>
      </c>
      <c r="H203" t="str">
        <f ca="1">IFERROR(__xludf.DUMMYFUNCTION("""COMPUTED_VALUE"""),"TR, GR, SR reefs")</f>
        <v>TR, GR, SR reefs</v>
      </c>
      <c r="I203" s="15">
        <f ca="1">IFERROR(__xludf.DUMMYFUNCTION("""COMPUTED_VALUE"""),0.513888888890505)</f>
        <v>0.51388888889050499</v>
      </c>
      <c r="J203" s="16">
        <f ca="1">IFERROR(__xludf.DUMMYFUNCTION("""COMPUTED_VALUE"""),43434.5416666666)</f>
        <v>43434.541666666599</v>
      </c>
      <c r="K203" t="str">
        <f ca="1">IFERROR(__xludf.DUMMYFUNCTION("""COMPUTED_VALUE"""),"20ft Sea Ark FL5351SJ UNF 2015")</f>
        <v>20ft Sea Ark FL5351SJ UNF 2015</v>
      </c>
      <c r="M203" t="str">
        <f ca="1">IFERROR(__xludf.DUMMYFUNCTION("""COMPUTED_VALUE"""),"Ford F250 2017 (Moby Dix) - DEP0021578")</f>
        <v>Ford F250 2017 (Moby Dix) - DEP0021578</v>
      </c>
      <c r="N203" t="str">
        <f ca="1">IFERROR(__xludf.DUMMYFUNCTION("""COMPUTED_VALUE"""),"Ben Mowbray, (407) 962-8782")</f>
        <v>Ben Mowbray, (407) 962-8782</v>
      </c>
      <c r="O203" t="str">
        <f ca="1">IFERROR(__xludf.DUMMYFUNCTION("""COMPUTED_VALUE"""),"Alicia Bishop")</f>
        <v>Alicia Bishop</v>
      </c>
      <c r="P203" t="str">
        <f ca="1">IFERROR(__xludf.DUMMYFUNCTION("""COMPUTED_VALUE"""),"Ben")</f>
        <v>Ben</v>
      </c>
      <c r="Q203" t="str">
        <f ca="1">IFERROR(__xludf.DUMMYFUNCTION("""COMPUTED_VALUE"""),"Good")</f>
        <v>Good</v>
      </c>
      <c r="R203" t="str">
        <f ca="1">IFERROR(__xludf.DUMMYFUNCTION("""COMPUTED_VALUE"""),"Good")</f>
        <v>Good</v>
      </c>
      <c r="S203" t="str">
        <f ca="1">IFERROR(__xludf.DUMMYFUNCTION("""COMPUTED_VALUE"""),"Good")</f>
        <v>Good</v>
      </c>
      <c r="T203" t="str">
        <f ca="1">IFERROR(__xludf.DUMMYFUNCTION("""COMPUTED_VALUE"""),"Good")</f>
        <v>Good</v>
      </c>
      <c r="U203" t="str">
        <f ca="1">IFERROR(__xludf.DUMMYFUNCTION("""COMPUTED_VALUE"""),"Good")</f>
        <v>Good</v>
      </c>
      <c r="V203" t="str">
        <f ca="1">IFERROR(__xludf.DUMMYFUNCTION("""COMPUTED_VALUE"""),"Good")</f>
        <v>Good</v>
      </c>
      <c r="W203" t="str">
        <f ca="1">IFERROR(__xludf.DUMMYFUNCTION("""COMPUTED_VALUE"""),"Good")</f>
        <v>Good</v>
      </c>
      <c r="X203" t="str">
        <f ca="1">IFERROR(__xludf.DUMMYFUNCTION("""COMPUTED_VALUE"""),"Good")</f>
        <v>Good</v>
      </c>
      <c r="Y203" t="str">
        <f ca="1">IFERROR(__xludf.DUMMYFUNCTION("""COMPUTED_VALUE"""),"Good")</f>
        <v>Good</v>
      </c>
      <c r="Z203" t="str">
        <f ca="1">IFERROR(__xludf.DUMMYFUNCTION("""COMPUTED_VALUE"""),"Good")</f>
        <v>Good</v>
      </c>
      <c r="AA203" t="str">
        <f ca="1">IFERROR(__xludf.DUMMYFUNCTION("""COMPUTED_VALUE"""),"Good")</f>
        <v>Good</v>
      </c>
      <c r="AB203" t="str">
        <f ca="1">IFERROR(__xludf.DUMMYFUNCTION("""COMPUTED_VALUE"""),"Good")</f>
        <v>Good</v>
      </c>
      <c r="AC203" t="str">
        <f ca="1">IFERROR(__xludf.DUMMYFUNCTION("""COMPUTED_VALUE"""),"Good")</f>
        <v>Good</v>
      </c>
      <c r="AE203" s="11"/>
      <c r="AF203" t="str">
        <v>Nikki.Dix@floridadep.gov</v>
      </c>
      <c r="AG203" s="18"/>
      <c r="AH203" s="12">
        <v>1130</v>
      </c>
      <c r="AI203" s="12" t="s">
        <v>553</v>
      </c>
      <c r="AJ203" s="19" t="s">
        <v>554</v>
      </c>
      <c r="AK203" s="20" t="str">
        <f>HYPERLINK("https://docs.google.com/document/d/1-6d6hvJWvO6BYtbO2WWaqb1in49kdbEkIdMZcbPaJuo/edit?usp=drivesdk","Ben Mowbray - 11/30/2018 7:20 AM")</f>
        <v>Ben Mowbray - 11/30/2018 7:20 AM</v>
      </c>
      <c r="AL203" s="12" t="s">
        <v>555</v>
      </c>
    </row>
    <row r="204" spans="1:38" ht="12.75">
      <c r="A204" s="10">
        <f ca="1">IFERROR(__xludf.DUMMYFUNCTION("""COMPUTED_VALUE"""),43434.2964600115)</f>
        <v>43434.296460011501</v>
      </c>
      <c r="B204" s="11" t="str">
        <f ca="1">IFERROR(__xludf.DUMMYFUNCTION("""COMPUTED_VALUE"""),"Pamela Marcum")</f>
        <v>Pamela Marcum</v>
      </c>
      <c r="C204" t="str">
        <f ca="1">IFERROR(__xludf.DUMMYFUNCTION("""COMPUTED_VALUE"""),"Pamela.Marcum@Dep.state.fl.us")</f>
        <v>Pamela.Marcum@Dep.state.fl.us</v>
      </c>
      <c r="D204" t="str">
        <f ca="1">IFERROR(__xludf.DUMMYFUNCTION("""COMPUTED_VALUE"""),"Research/Nikki")</f>
        <v>Research/Nikki</v>
      </c>
      <c r="E204" t="str">
        <f ca="1">IFERROR(__xludf.DUMMYFUNCTION("""COMPUTED_VALUE"""),"Shore 7:30am, Green 9am, Bings 11pm")</f>
        <v>Shore 7:30am, Green 9am, Bings 11pm</v>
      </c>
      <c r="F204" s="13">
        <f ca="1">IFERROR(__xludf.DUMMYFUNCTION("""COMPUTED_VALUE"""),0.33333333333212)</f>
        <v>0.33333333333212001</v>
      </c>
      <c r="G204" s="14">
        <f ca="1">IFERROR(__xludf.DUMMYFUNCTION("""COMPUTED_VALUE"""),43434)</f>
        <v>43434</v>
      </c>
      <c r="H204" t="str">
        <f ca="1">IFERROR(__xludf.DUMMYFUNCTION("""COMPUTED_VALUE"""),"Spat Trees - Southern ")</f>
        <v xml:space="preserve">Spat Trees - Southern </v>
      </c>
      <c r="I204" s="15">
        <f ca="1">IFERROR(__xludf.DUMMYFUNCTION("""COMPUTED_VALUE"""),0.541666666667879)</f>
        <v>0.54166666666787899</v>
      </c>
      <c r="J204" s="16">
        <f ca="1">IFERROR(__xludf.DUMMYFUNCTION("""COMPUTED_VALUE"""),43434.5625)</f>
        <v>43434.5625</v>
      </c>
      <c r="K204" t="str">
        <f ca="1">IFERROR(__xludf.DUMMYFUNCTION("""COMPUTED_VALUE"""),"17ft Skill FL0642GW DEP07239")</f>
        <v>17ft Skill FL0642GW DEP07239</v>
      </c>
      <c r="M204" t="str">
        <f ca="1">IFERROR(__xludf.DUMMYFUNCTION("""COMPUTED_VALUE"""),"Ford F150 2010 - DEP07668 (4 door)")</f>
        <v>Ford F150 2010 - DEP07668 (4 door)</v>
      </c>
      <c r="N204" t="str">
        <f ca="1">IFERROR(__xludf.DUMMYFUNCTION("""COMPUTED_VALUE"""),"Pam Marcum, (480) 332-5414")</f>
        <v>Pam Marcum, (480) 332-5414</v>
      </c>
      <c r="O204" t="str">
        <f ca="1">IFERROR(__xludf.DUMMYFUNCTION("""COMPUTED_VALUE"""),"Abby Kuhn")</f>
        <v>Abby Kuhn</v>
      </c>
      <c r="P204" t="str">
        <f ca="1">IFERROR(__xludf.DUMMYFUNCTION("""COMPUTED_VALUE"""),"Pam")</f>
        <v>Pam</v>
      </c>
      <c r="Q204" t="str">
        <f ca="1">IFERROR(__xludf.DUMMYFUNCTION("""COMPUTED_VALUE"""),"Good")</f>
        <v>Good</v>
      </c>
      <c r="R204" t="str">
        <f ca="1">IFERROR(__xludf.DUMMYFUNCTION("""COMPUTED_VALUE"""),"Good")</f>
        <v>Good</v>
      </c>
      <c r="S204" t="str">
        <f ca="1">IFERROR(__xludf.DUMMYFUNCTION("""COMPUTED_VALUE"""),"Good")</f>
        <v>Good</v>
      </c>
      <c r="T204" t="str">
        <f ca="1">IFERROR(__xludf.DUMMYFUNCTION("""COMPUTED_VALUE"""),"Good")</f>
        <v>Good</v>
      </c>
      <c r="U204" t="str">
        <f ca="1">IFERROR(__xludf.DUMMYFUNCTION("""COMPUTED_VALUE"""),"Good")</f>
        <v>Good</v>
      </c>
      <c r="V204" t="str">
        <f ca="1">IFERROR(__xludf.DUMMYFUNCTION("""COMPUTED_VALUE"""),"Good")</f>
        <v>Good</v>
      </c>
      <c r="W204" t="str">
        <f ca="1">IFERROR(__xludf.DUMMYFUNCTION("""COMPUTED_VALUE"""),"Good")</f>
        <v>Good</v>
      </c>
      <c r="X204" t="str">
        <f ca="1">IFERROR(__xludf.DUMMYFUNCTION("""COMPUTED_VALUE"""),"Good")</f>
        <v>Good</v>
      </c>
      <c r="Y204" t="str">
        <f ca="1">IFERROR(__xludf.DUMMYFUNCTION("""COMPUTED_VALUE"""),"Good")</f>
        <v>Good</v>
      </c>
      <c r="Z204" t="str">
        <f ca="1">IFERROR(__xludf.DUMMYFUNCTION("""COMPUTED_VALUE"""),"Good")</f>
        <v>Good</v>
      </c>
      <c r="AA204" t="str">
        <f ca="1">IFERROR(__xludf.DUMMYFUNCTION("""COMPUTED_VALUE"""),"Good")</f>
        <v>Good</v>
      </c>
      <c r="AB204" t="str">
        <f ca="1">IFERROR(__xludf.DUMMYFUNCTION("""COMPUTED_VALUE"""),"Good")</f>
        <v>Good</v>
      </c>
      <c r="AC204" t="str">
        <f ca="1">IFERROR(__xludf.DUMMYFUNCTION("""COMPUTED_VALUE"""),"Good")</f>
        <v>Good</v>
      </c>
      <c r="AE204" s="11"/>
      <c r="AF204" t="str">
        <v>Nikki.Dix@floridadep.gov</v>
      </c>
      <c r="AG204" s="17" t="s">
        <v>556</v>
      </c>
      <c r="AH204" s="12">
        <v>1230</v>
      </c>
      <c r="AI204" s="12" t="s">
        <v>557</v>
      </c>
      <c r="AJ204" s="19" t="s">
        <v>558</v>
      </c>
      <c r="AK204" s="20" t="str">
        <f>HYPERLINK("https://docs.google.com/document/d/1GVAYZH_XWuygN1DJkmLahy2vWDXRXeAZcQd7hsb812o/edit?usp=drivesdk","Pamela Marcum - 11/30/2018 8:00 AM")</f>
        <v>Pamela Marcum - 11/30/2018 8:00 AM</v>
      </c>
      <c r="AL204" s="12" t="s">
        <v>559</v>
      </c>
    </row>
    <row r="205" spans="1:38" ht="12.75">
      <c r="A205" s="10">
        <f ca="1">IFERROR(__xludf.DUMMYFUNCTION("""COMPUTED_VALUE"""),43437.6070762615)</f>
        <v>43437.607076261498</v>
      </c>
      <c r="B205" s="11" t="str">
        <f ca="1">IFERROR(__xludf.DUMMYFUNCTION("""COMPUTED_VALUE"""),"Silas Tanner")</f>
        <v>Silas Tanner</v>
      </c>
      <c r="C205" t="str">
        <f ca="1">IFERROR(__xludf.DUMMYFUNCTION("""COMPUTED_VALUE"""),"silas.tanner@floridadep.gov")</f>
        <v>silas.tanner@floridadep.gov</v>
      </c>
      <c r="D205" t="str">
        <f ca="1">IFERROR(__xludf.DUMMYFUNCTION("""COMPUTED_VALUE"""),"Research/Nikki")</f>
        <v>Research/Nikki</v>
      </c>
      <c r="E205" t="str">
        <f ca="1">IFERROR(__xludf.DUMMYFUNCTION("""COMPUTED_VALUE"""),"Vilano Landing (county ramp)")</f>
        <v>Vilano Landing (county ramp)</v>
      </c>
      <c r="F205" s="13">
        <f ca="1">IFERROR(__xludf.DUMMYFUNCTION("""COMPUTED_VALUE"""),0.3125)</f>
        <v>0.3125</v>
      </c>
      <c r="G205" s="14">
        <f ca="1">IFERROR(__xludf.DUMMYFUNCTION("""COMPUTED_VALUE"""),43438)</f>
        <v>43438</v>
      </c>
      <c r="H205" t="str">
        <f ca="1">IFERROR(__xludf.DUMMYFUNCTION("""COMPUTED_VALUE"""),"ICW SWMP sites")</f>
        <v>ICW SWMP sites</v>
      </c>
      <c r="I205" s="15">
        <f ca="1">IFERROR(__xludf.DUMMYFUNCTION("""COMPUTED_VALUE"""),0.5625)</f>
        <v>0.5625</v>
      </c>
      <c r="J205" s="16">
        <f ca="1">IFERROR(__xludf.DUMMYFUNCTION("""COMPUTED_VALUE"""),43438.5833333333)</f>
        <v>43438.583333333299</v>
      </c>
      <c r="K205" t="str">
        <f ca="1">IFERROR(__xludf.DUMMYFUNCTION("""COMPUTED_VALUE"""),"F 20ft Sea Ark (Easy 200) FL8534PY DEP21451")</f>
        <v>F 20ft Sea Ark (Easy 200) FL8534PY DEP21451</v>
      </c>
      <c r="M205" t="str">
        <f ca="1">IFERROR(__xludf.DUMMYFUNCTION("""COMPUTED_VALUE"""),"Ford F250 2017 (Moby Dix) - DEP0021578")</f>
        <v>Ford F250 2017 (Moby Dix) - DEP0021578</v>
      </c>
      <c r="N205" t="str">
        <f ca="1">IFERROR(__xludf.DUMMYFUNCTION("""COMPUTED_VALUE"""),"Silas Tanner, (904) 483-8423, Jimmy Tomazinis, (904) 547-0094")</f>
        <v>Silas Tanner, (904) 483-8423, Jimmy Tomazinis, (904) 547-0094</v>
      </c>
      <c r="O205" t="str">
        <f ca="1">IFERROR(__xludf.DUMMYFUNCTION("""COMPUTED_VALUE"""),"Jeff Finnan")</f>
        <v>Jeff Finnan</v>
      </c>
      <c r="P205" t="str">
        <f ca="1">IFERROR(__xludf.DUMMYFUNCTION("""COMPUTED_VALUE"""),"S. Tanner")</f>
        <v>S. Tanner</v>
      </c>
      <c r="Q205" t="str">
        <f ca="1">IFERROR(__xludf.DUMMYFUNCTION("""COMPUTED_VALUE"""),"Good")</f>
        <v>Good</v>
      </c>
      <c r="R205" t="str">
        <f ca="1">IFERROR(__xludf.DUMMYFUNCTION("""COMPUTED_VALUE"""),"Good")</f>
        <v>Good</v>
      </c>
      <c r="S205" t="str">
        <f ca="1">IFERROR(__xludf.DUMMYFUNCTION("""COMPUTED_VALUE"""),"Good")</f>
        <v>Good</v>
      </c>
      <c r="T205" t="str">
        <f ca="1">IFERROR(__xludf.DUMMYFUNCTION("""COMPUTED_VALUE"""),"Good")</f>
        <v>Good</v>
      </c>
      <c r="U205" t="str">
        <f ca="1">IFERROR(__xludf.DUMMYFUNCTION("""COMPUTED_VALUE"""),"Good")</f>
        <v>Good</v>
      </c>
      <c r="V205" t="str">
        <f ca="1">IFERROR(__xludf.DUMMYFUNCTION("""COMPUTED_VALUE"""),"Good")</f>
        <v>Good</v>
      </c>
      <c r="W205" t="str">
        <f ca="1">IFERROR(__xludf.DUMMYFUNCTION("""COMPUTED_VALUE"""),"Good")</f>
        <v>Good</v>
      </c>
      <c r="X205" t="str">
        <f ca="1">IFERROR(__xludf.DUMMYFUNCTION("""COMPUTED_VALUE"""),"Good")</f>
        <v>Good</v>
      </c>
      <c r="Y205" t="str">
        <f ca="1">IFERROR(__xludf.DUMMYFUNCTION("""COMPUTED_VALUE"""),"Good")</f>
        <v>Good</v>
      </c>
      <c r="Z205" t="str">
        <f ca="1">IFERROR(__xludf.DUMMYFUNCTION("""COMPUTED_VALUE"""),"Good")</f>
        <v>Good</v>
      </c>
      <c r="AA205" t="str">
        <f ca="1">IFERROR(__xludf.DUMMYFUNCTION("""COMPUTED_VALUE"""),"Good")</f>
        <v>Good</v>
      </c>
      <c r="AB205" t="str">
        <f ca="1">IFERROR(__xludf.DUMMYFUNCTION("""COMPUTED_VALUE"""),"Good")</f>
        <v>Good</v>
      </c>
      <c r="AC205" t="str">
        <f ca="1">IFERROR(__xludf.DUMMYFUNCTION("""COMPUTED_VALUE"""),"Good")</f>
        <v>Good</v>
      </c>
      <c r="AE205" s="11"/>
      <c r="AF205" t="str">
        <v>Nikki.Dix@floridadep.gov</v>
      </c>
      <c r="AG205" s="17" t="s">
        <v>17</v>
      </c>
      <c r="AH205" s="12">
        <v>1220</v>
      </c>
      <c r="AI205" s="12" t="s">
        <v>8</v>
      </c>
      <c r="AJ205" s="12" t="s">
        <v>8</v>
      </c>
      <c r="AK205" s="12" t="s">
        <v>8</v>
      </c>
      <c r="AL205" s="12" t="s">
        <v>8</v>
      </c>
    </row>
    <row r="206" spans="1:38" ht="12.75">
      <c r="A206" s="10">
        <f ca="1">IFERROR(__xludf.DUMMYFUNCTION("""COMPUTED_VALUE"""),43438.368635324)</f>
        <v>43438.368635323997</v>
      </c>
      <c r="B206" s="11" t="str">
        <f ca="1">IFERROR(__xludf.DUMMYFUNCTION("""COMPUTED_VALUE"""),"Ben Mowbray")</f>
        <v>Ben Mowbray</v>
      </c>
      <c r="C206" t="str">
        <f ca="1">IFERROR(__xludf.DUMMYFUNCTION("""COMPUTED_VALUE"""),"ben.mowbray@dep.state.fl.us")</f>
        <v>ben.mowbray@dep.state.fl.us</v>
      </c>
      <c r="D206" t="str">
        <f ca="1">IFERROR(__xludf.DUMMYFUNCTION("""COMPUTED_VALUE"""),"Research/Nikki")</f>
        <v>Research/Nikki</v>
      </c>
      <c r="E206" t="str">
        <f ca="1">IFERROR(__xludf.DUMMYFUNCTION("""COMPUTED_VALUE"""),"Aunt Kate's")</f>
        <v>Aunt Kate's</v>
      </c>
      <c r="F206" s="13">
        <f ca="1">IFERROR(__xludf.DUMMYFUNCTION("""COMPUTED_VALUE"""),0.430555555554747)</f>
        <v>0.430555555554747</v>
      </c>
      <c r="G206" s="14">
        <f ca="1">IFERROR(__xludf.DUMMYFUNCTION("""COMPUTED_VALUE"""),43438)</f>
        <v>43438</v>
      </c>
      <c r="H206" t="str">
        <f ca="1">IFERROR(__xludf.DUMMYFUNCTION("""COMPUTED_VALUE"""),"RC, TR, and GR kimbro reefs")</f>
        <v>RC, TR, and GR kimbro reefs</v>
      </c>
      <c r="I206" s="15">
        <f ca="1">IFERROR(__xludf.DUMMYFUNCTION("""COMPUTED_VALUE"""),0.625)</f>
        <v>0.625</v>
      </c>
      <c r="J206" s="16">
        <f ca="1">IFERROR(__xludf.DUMMYFUNCTION("""COMPUTED_VALUE"""),43438.6527777777)</f>
        <v>43438.652777777701</v>
      </c>
      <c r="K206" t="str">
        <f ca="1">IFERROR(__xludf.DUMMYFUNCTION("""COMPUTED_VALUE"""),"20ft Sea Ark FL5351SJ UNF 2015")</f>
        <v>20ft Sea Ark FL5351SJ UNF 2015</v>
      </c>
      <c r="M206" t="str">
        <f ca="1">IFERROR(__xludf.DUMMYFUNCTION("""COMPUTED_VALUE"""),"2010 F150 - DEP07668")</f>
        <v>2010 F150 - DEP07668</v>
      </c>
      <c r="N206" t="str">
        <f ca="1">IFERROR(__xludf.DUMMYFUNCTION("""COMPUTED_VALUE"""),"Ben Mowbray, (407) 962-8782")</f>
        <v>Ben Mowbray, (407) 962-8782</v>
      </c>
      <c r="O206" t="str">
        <f ca="1">IFERROR(__xludf.DUMMYFUNCTION("""COMPUTED_VALUE"""),"Nicole Peckham, Adrienne Brief-Pilz")</f>
        <v>Nicole Peckham, Adrienne Brief-Pilz</v>
      </c>
      <c r="P206" t="str">
        <f ca="1">IFERROR(__xludf.DUMMYFUNCTION("""COMPUTED_VALUE"""),"Ben")</f>
        <v>Ben</v>
      </c>
      <c r="Q206" t="str">
        <f ca="1">IFERROR(__xludf.DUMMYFUNCTION("""COMPUTED_VALUE"""),"Good")</f>
        <v>Good</v>
      </c>
      <c r="R206" t="str">
        <f ca="1">IFERROR(__xludf.DUMMYFUNCTION("""COMPUTED_VALUE"""),"Good")</f>
        <v>Good</v>
      </c>
      <c r="S206" t="str">
        <f ca="1">IFERROR(__xludf.DUMMYFUNCTION("""COMPUTED_VALUE"""),"Good")</f>
        <v>Good</v>
      </c>
      <c r="T206" t="str">
        <f ca="1">IFERROR(__xludf.DUMMYFUNCTION("""COMPUTED_VALUE"""),"Good")</f>
        <v>Good</v>
      </c>
      <c r="U206" t="str">
        <f ca="1">IFERROR(__xludf.DUMMYFUNCTION("""COMPUTED_VALUE"""),"Good")</f>
        <v>Good</v>
      </c>
      <c r="V206" t="str">
        <f ca="1">IFERROR(__xludf.DUMMYFUNCTION("""COMPUTED_VALUE"""),"Good")</f>
        <v>Good</v>
      </c>
      <c r="W206" t="str">
        <f ca="1">IFERROR(__xludf.DUMMYFUNCTION("""COMPUTED_VALUE"""),"Good")</f>
        <v>Good</v>
      </c>
      <c r="X206" t="str">
        <f ca="1">IFERROR(__xludf.DUMMYFUNCTION("""COMPUTED_VALUE"""),"Good")</f>
        <v>Good</v>
      </c>
      <c r="Y206" t="str">
        <f ca="1">IFERROR(__xludf.DUMMYFUNCTION("""COMPUTED_VALUE"""),"Good")</f>
        <v>Good</v>
      </c>
      <c r="Z206" t="str">
        <f ca="1">IFERROR(__xludf.DUMMYFUNCTION("""COMPUTED_VALUE"""),"Good")</f>
        <v>Good</v>
      </c>
      <c r="AA206" t="str">
        <f ca="1">IFERROR(__xludf.DUMMYFUNCTION("""COMPUTED_VALUE"""),"Good")</f>
        <v>Good</v>
      </c>
      <c r="AB206" t="str">
        <f ca="1">IFERROR(__xludf.DUMMYFUNCTION("""COMPUTED_VALUE"""),"Good")</f>
        <v>Good</v>
      </c>
      <c r="AC206" t="str">
        <f ca="1">IFERROR(__xludf.DUMMYFUNCTION("""COMPUTED_VALUE"""),"Good")</f>
        <v>Good</v>
      </c>
      <c r="AE206" s="11"/>
      <c r="AF206" t="str">
        <v>Nikki.Dix@floridadep.gov</v>
      </c>
      <c r="AG206" s="17" t="s">
        <v>41</v>
      </c>
      <c r="AH206" s="12">
        <v>1424</v>
      </c>
      <c r="AI206" s="12" t="s">
        <v>560</v>
      </c>
      <c r="AJ206" s="19" t="s">
        <v>561</v>
      </c>
      <c r="AK206" s="20" t="str">
        <f>HYPERLINK("https://docs.google.com/document/d/1A8RL1csPx-oiXdee1EdEvumxx2HabklDEO-iwGQ4XE4/edit?usp=drivesdk","Ben Mowbray - 12/4/2018 10:20 AM")</f>
        <v>Ben Mowbray - 12/4/2018 10:20 AM</v>
      </c>
      <c r="AL206" s="12" t="s">
        <v>562</v>
      </c>
    </row>
    <row r="207" spans="1:38" ht="12.75">
      <c r="A207" s="10">
        <f ca="1">IFERROR(__xludf.DUMMYFUNCTION("""COMPUTED_VALUE"""),43438.4274088541)</f>
        <v>43438.427408854099</v>
      </c>
      <c r="B207" s="11" t="str">
        <f ca="1">IFERROR(__xludf.DUMMYFUNCTION("""COMPUTED_VALUE"""),"Pamela Marcum")</f>
        <v>Pamela Marcum</v>
      </c>
      <c r="C207" t="str">
        <f ca="1">IFERROR(__xludf.DUMMYFUNCTION("""COMPUTED_VALUE"""),"Pamela.Marcum@dep.state.fl.us")</f>
        <v>Pamela.Marcum@dep.state.fl.us</v>
      </c>
      <c r="D207" t="str">
        <f ca="1">IFERROR(__xludf.DUMMYFUNCTION("""COMPUTED_VALUE"""),"Research/Nikki")</f>
        <v>Research/Nikki</v>
      </c>
      <c r="E207" t="str">
        <f ca="1">IFERROR(__xludf.DUMMYFUNCTION("""COMPUTED_VALUE"""),"Faver-Dykes")</f>
        <v>Faver-Dykes</v>
      </c>
      <c r="F207" s="13">
        <f ca="1">IFERROR(__xludf.DUMMYFUNCTION("""COMPUTED_VALUE"""),0.45833333333212)</f>
        <v>0.45833333333212001</v>
      </c>
      <c r="G207" s="14">
        <f ca="1">IFERROR(__xludf.DUMMYFUNCTION("""COMPUTED_VALUE"""),43438)</f>
        <v>43438</v>
      </c>
      <c r="H207" t="str">
        <f ca="1">IFERROR(__xludf.DUMMYFUNCTION("""COMPUTED_VALUE"""),"Pellicer Creek upper")</f>
        <v>Pellicer Creek upper</v>
      </c>
      <c r="I207" s="15">
        <f ca="1">IFERROR(__xludf.DUMMYFUNCTION("""COMPUTED_VALUE"""),0.58333333333212)</f>
        <v>0.58333333333212001</v>
      </c>
      <c r="J207" s="16">
        <f ca="1">IFERROR(__xludf.DUMMYFUNCTION("""COMPUTED_VALUE"""),43438.625)</f>
        <v>43438.625</v>
      </c>
      <c r="K207" t="str">
        <f ca="1">IFERROR(__xludf.DUMMYFUNCTION("""COMPUTED_VALUE"""),"23ft Skiff (Bertha) FL7972LJ DEP07613")</f>
        <v>23ft Skiff (Bertha) FL7972LJ DEP07613</v>
      </c>
      <c r="M207" t="str">
        <f ca="1">IFERROR(__xludf.DUMMYFUNCTION("""COMPUTED_VALUE"""),"Ford F150 2008 - DEP18041 (SWMP Thing)")</f>
        <v>Ford F150 2008 - DEP18041 (SWMP Thing)</v>
      </c>
      <c r="N207" t="str">
        <f ca="1">IFERROR(__xludf.DUMMYFUNCTION("""COMPUTED_VALUE"""),"Pam Marcum, (480) 332-5414")</f>
        <v>Pam Marcum, (480) 332-5414</v>
      </c>
      <c r="O207" t="str">
        <f ca="1">IFERROR(__xludf.DUMMYFUNCTION("""COMPUTED_VALUE"""),"Duane Noel")</f>
        <v>Duane Noel</v>
      </c>
      <c r="P207" t="str">
        <f ca="1">IFERROR(__xludf.DUMMYFUNCTION("""COMPUTED_VALUE"""),"Pam")</f>
        <v>Pam</v>
      </c>
      <c r="Q207" t="str">
        <f ca="1">IFERROR(__xludf.DUMMYFUNCTION("""COMPUTED_VALUE"""),"Good")</f>
        <v>Good</v>
      </c>
      <c r="R207" t="str">
        <f ca="1">IFERROR(__xludf.DUMMYFUNCTION("""COMPUTED_VALUE"""),"Good")</f>
        <v>Good</v>
      </c>
      <c r="S207" t="str">
        <f ca="1">IFERROR(__xludf.DUMMYFUNCTION("""COMPUTED_VALUE"""),"Good")</f>
        <v>Good</v>
      </c>
      <c r="T207" t="str">
        <f ca="1">IFERROR(__xludf.DUMMYFUNCTION("""COMPUTED_VALUE"""),"Good")</f>
        <v>Good</v>
      </c>
      <c r="U207" t="str">
        <f ca="1">IFERROR(__xludf.DUMMYFUNCTION("""COMPUTED_VALUE"""),"Good")</f>
        <v>Good</v>
      </c>
      <c r="V207" t="str">
        <f ca="1">IFERROR(__xludf.DUMMYFUNCTION("""COMPUTED_VALUE"""),"Good")</f>
        <v>Good</v>
      </c>
      <c r="W207" t="str">
        <f ca="1">IFERROR(__xludf.DUMMYFUNCTION("""COMPUTED_VALUE"""),"Good")</f>
        <v>Good</v>
      </c>
      <c r="X207" t="str">
        <f ca="1">IFERROR(__xludf.DUMMYFUNCTION("""COMPUTED_VALUE"""),"Good")</f>
        <v>Good</v>
      </c>
      <c r="Y207" t="str">
        <f ca="1">IFERROR(__xludf.DUMMYFUNCTION("""COMPUTED_VALUE"""),"Good")</f>
        <v>Good</v>
      </c>
      <c r="Z207" t="str">
        <f ca="1">IFERROR(__xludf.DUMMYFUNCTION("""COMPUTED_VALUE"""),"Good")</f>
        <v>Good</v>
      </c>
      <c r="AA207" t="str">
        <f ca="1">IFERROR(__xludf.DUMMYFUNCTION("""COMPUTED_VALUE"""),"Good")</f>
        <v>Good</v>
      </c>
      <c r="AB207" t="str">
        <f ca="1">IFERROR(__xludf.DUMMYFUNCTION("""COMPUTED_VALUE"""),"Good")</f>
        <v>Good</v>
      </c>
      <c r="AC207" t="str">
        <f ca="1">IFERROR(__xludf.DUMMYFUNCTION("""COMPUTED_VALUE"""),"Good")</f>
        <v>Good</v>
      </c>
      <c r="AE207" s="11"/>
      <c r="AF207" t="str">
        <v>Nikki.Dix@floridadep.gov</v>
      </c>
      <c r="AG207" s="17" t="s">
        <v>113</v>
      </c>
      <c r="AH207" s="12">
        <v>1415</v>
      </c>
      <c r="AI207" s="12" t="s">
        <v>563</v>
      </c>
      <c r="AJ207" s="19" t="s">
        <v>564</v>
      </c>
      <c r="AK207" s="20" t="str">
        <f>HYPERLINK("https://docs.google.com/document/d/1oTcfsWZOgZYgI5Fy-XeM-Rzu-vTXU288StIZED4uEX8/edit?usp=drivesdk","Pamela Marcum - 12/4/2018 11:00 AM")</f>
        <v>Pamela Marcum - 12/4/2018 11:00 AM</v>
      </c>
      <c r="AL207" s="12" t="s">
        <v>565</v>
      </c>
    </row>
    <row r="208" spans="1:38" ht="12.75">
      <c r="A208" s="10">
        <f ca="1">IFERROR(__xludf.DUMMYFUNCTION("""COMPUTED_VALUE"""),43438.6132620023)</f>
        <v>43438.613262002298</v>
      </c>
      <c r="B208" s="11" t="str">
        <f ca="1">IFERROR(__xludf.DUMMYFUNCTION("""COMPUTED_VALUE"""),"James Tomazinis")</f>
        <v>James Tomazinis</v>
      </c>
      <c r="C208" t="str">
        <f ca="1">IFERROR(__xludf.DUMMYFUNCTION("""COMPUTED_VALUE"""),"james.tomazinis@floridadep.gov")</f>
        <v>james.tomazinis@floridadep.gov</v>
      </c>
      <c r="D208" t="str">
        <f ca="1">IFERROR(__xludf.DUMMYFUNCTION("""COMPUTED_VALUE"""),"Stewardship (Aquatic)")</f>
        <v>Stewardship (Aquatic)</v>
      </c>
      <c r="E208" t="str">
        <f ca="1">IFERROR(__xludf.DUMMYFUNCTION("""COMPUTED_VALUE"""),"Guana Dam")</f>
        <v>Guana Dam</v>
      </c>
      <c r="F208" s="13">
        <f ca="1">IFERROR(__xludf.DUMMYFUNCTION("""COMPUTED_VALUE"""),0.33333333333212)</f>
        <v>0.33333333333212001</v>
      </c>
      <c r="G208" s="14">
        <f ca="1">IFERROR(__xludf.DUMMYFUNCTION("""COMPUTED_VALUE"""),43439)</f>
        <v>43439</v>
      </c>
      <c r="H208" t="str">
        <f ca="1">IFERROR(__xludf.DUMMYFUNCTION("""COMPUTED_VALUE"""),"Guana River WQ sites")</f>
        <v>Guana River WQ sites</v>
      </c>
      <c r="I208" s="15">
        <f ca="1">IFERROR(__xludf.DUMMYFUNCTION("""COMPUTED_VALUE"""),0.385416666667879)</f>
        <v>0.38541666666787899</v>
      </c>
      <c r="J208" s="16"/>
      <c r="K208" t="str">
        <f ca="1">IFERROR(__xludf.DUMMYFUNCTION("""COMPUTED_VALUE"""),"Jon Boat FL0484NP DEP06819")</f>
        <v>Jon Boat FL0484NP DEP06819</v>
      </c>
      <c r="M208" t="str">
        <f ca="1">IFERROR(__xludf.DUMMYFUNCTION("""COMPUTED_VALUE"""),"Ford F150 2015 (White) - DEP21448")</f>
        <v>Ford F150 2015 (White) - DEP21448</v>
      </c>
      <c r="N208" t="str">
        <f ca="1">IFERROR(__xludf.DUMMYFUNCTION("""COMPUTED_VALUE"""),"Jimmy Tomazinis, (904) 547-0094")</f>
        <v>Jimmy Tomazinis, (904) 547-0094</v>
      </c>
      <c r="O208" t="str">
        <f ca="1">IFERROR(__xludf.DUMMYFUNCTION("""COMPUTED_VALUE"""),"Benjamin Mowbray, (407) 962-8782")</f>
        <v>Benjamin Mowbray, (407) 962-8782</v>
      </c>
      <c r="P208" t="str">
        <f ca="1">IFERROR(__xludf.DUMMYFUNCTION("""COMPUTED_VALUE"""),"Jimmy")</f>
        <v>Jimmy</v>
      </c>
      <c r="Q208" t="str">
        <f ca="1">IFERROR(__xludf.DUMMYFUNCTION("""COMPUTED_VALUE"""),"Good")</f>
        <v>Good</v>
      </c>
      <c r="R208" t="str">
        <f ca="1">IFERROR(__xludf.DUMMYFUNCTION("""COMPUTED_VALUE"""),"Good")</f>
        <v>Good</v>
      </c>
      <c r="S208" t="str">
        <f ca="1">IFERROR(__xludf.DUMMYFUNCTION("""COMPUTED_VALUE"""),"Good")</f>
        <v>Good</v>
      </c>
      <c r="T208" t="str">
        <f ca="1">IFERROR(__xludf.DUMMYFUNCTION("""COMPUTED_VALUE"""),"Good")</f>
        <v>Good</v>
      </c>
      <c r="U208" t="str">
        <f ca="1">IFERROR(__xludf.DUMMYFUNCTION("""COMPUTED_VALUE"""),"Good")</f>
        <v>Good</v>
      </c>
      <c r="V208" t="str">
        <f ca="1">IFERROR(__xludf.DUMMYFUNCTION("""COMPUTED_VALUE"""),"Good")</f>
        <v>Good</v>
      </c>
      <c r="W208" t="str">
        <f ca="1">IFERROR(__xludf.DUMMYFUNCTION("""COMPUTED_VALUE"""),"Good")</f>
        <v>Good</v>
      </c>
      <c r="X208" t="str">
        <f ca="1">IFERROR(__xludf.DUMMYFUNCTION("""COMPUTED_VALUE"""),"Good")</f>
        <v>Good</v>
      </c>
      <c r="Y208" t="str">
        <f ca="1">IFERROR(__xludf.DUMMYFUNCTION("""COMPUTED_VALUE"""),"Good")</f>
        <v>Good</v>
      </c>
      <c r="Z208" t="str">
        <f ca="1">IFERROR(__xludf.DUMMYFUNCTION("""COMPUTED_VALUE"""),"Good")</f>
        <v>Good</v>
      </c>
      <c r="AA208" t="str">
        <f ca="1">IFERROR(__xludf.DUMMYFUNCTION("""COMPUTED_VALUE"""),"Good")</f>
        <v>Good</v>
      </c>
      <c r="AB208" t="str">
        <f ca="1">IFERROR(__xludf.DUMMYFUNCTION("""COMPUTED_VALUE"""),"Good")</f>
        <v>Good</v>
      </c>
      <c r="AC208" t="str">
        <f ca="1">IFERROR(__xludf.DUMMYFUNCTION("""COMPUTED_VALUE"""),"Good")</f>
        <v>Good</v>
      </c>
      <c r="AE208" s="11"/>
      <c r="AF208" t="str">
        <v>Scott.Eastman@floridadep.gov</v>
      </c>
      <c r="AG208" s="17" t="s">
        <v>17</v>
      </c>
      <c r="AH208" s="12">
        <v>950</v>
      </c>
      <c r="AI208" s="12" t="s">
        <v>566</v>
      </c>
      <c r="AJ208" s="19" t="s">
        <v>567</v>
      </c>
      <c r="AK208" s="20" t="str">
        <f>HYPERLINK("https://docs.google.com/document/d/1hauw2vE5xdSX1EdBY3STcNLUeeUqh_H2hN1zo1cocKU/edit?usp=drivesdk","James Tomazinis - 12/5/2018 8:00 AM")</f>
        <v>James Tomazinis - 12/5/2018 8:00 AM</v>
      </c>
      <c r="AL208" s="12" t="s">
        <v>568</v>
      </c>
    </row>
    <row r="209" spans="1:38" ht="12.75">
      <c r="A209" s="10">
        <f ca="1">IFERROR(__xludf.DUMMYFUNCTION("""COMPUTED_VALUE"""),43439.3789141087)</f>
        <v>43439.378914108704</v>
      </c>
      <c r="B209" s="11" t="str">
        <f ca="1">IFERROR(__xludf.DUMMYFUNCTION("""COMPUTED_VALUE"""),"Pamela Marcum")</f>
        <v>Pamela Marcum</v>
      </c>
      <c r="C209" t="str">
        <f ca="1">IFERROR(__xludf.DUMMYFUNCTION("""COMPUTED_VALUE"""),"Pamela.Marcum@dep.state.fl.us")</f>
        <v>Pamela.Marcum@dep.state.fl.us</v>
      </c>
      <c r="D209" t="str">
        <f ca="1">IFERROR(__xludf.DUMMYFUNCTION("""COMPUTED_VALUE"""),"Research/Nikki")</f>
        <v>Research/Nikki</v>
      </c>
      <c r="E209" t="str">
        <f ca="1">IFERROR(__xludf.DUMMYFUNCTION("""COMPUTED_VALUE"""),"Faver-Dykes")</f>
        <v>Faver-Dykes</v>
      </c>
      <c r="F209" s="13">
        <f ca="1">IFERROR(__xludf.DUMMYFUNCTION("""COMPUTED_VALUE"""),0.4375)</f>
        <v>0.4375</v>
      </c>
      <c r="G209" s="14">
        <f ca="1">IFERROR(__xludf.DUMMYFUNCTION("""COMPUTED_VALUE"""),43439)</f>
        <v>43439</v>
      </c>
      <c r="H209" t="str">
        <f ca="1">IFERROR(__xludf.DUMMYFUNCTION("""COMPUTED_VALUE"""),"Upper Pellicer Creek")</f>
        <v>Upper Pellicer Creek</v>
      </c>
      <c r="I209" s="15">
        <f ca="1">IFERROR(__xludf.DUMMYFUNCTION("""COMPUTED_VALUE"""),0.58333333333212)</f>
        <v>0.58333333333212001</v>
      </c>
      <c r="J209" s="16">
        <f ca="1">IFERROR(__xludf.DUMMYFUNCTION("""COMPUTED_VALUE"""),43439.7083333333)</f>
        <v>43439.708333333299</v>
      </c>
      <c r="K209" t="str">
        <f ca="1">IFERROR(__xludf.DUMMYFUNCTION("""COMPUTED_VALUE"""),"23ft Skiff (Bertha) FL7972LJ DEP07613")</f>
        <v>23ft Skiff (Bertha) FL7972LJ DEP07613</v>
      </c>
      <c r="M209" t="str">
        <f ca="1">IFERROR(__xludf.DUMMYFUNCTION("""COMPUTED_VALUE"""),"Ford F150 2008 - DEP18041 (SWMP Thing)")</f>
        <v>Ford F150 2008 - DEP18041 (SWMP Thing)</v>
      </c>
      <c r="N209" t="str">
        <f ca="1">IFERROR(__xludf.DUMMYFUNCTION("""COMPUTED_VALUE"""),"Pam Marcum, (480) 332-5414")</f>
        <v>Pam Marcum, (480) 332-5414</v>
      </c>
      <c r="O209" t="str">
        <f ca="1">IFERROR(__xludf.DUMMYFUNCTION("""COMPUTED_VALUE"""),"Tom Fox")</f>
        <v>Tom Fox</v>
      </c>
      <c r="P209" t="str">
        <f ca="1">IFERROR(__xludf.DUMMYFUNCTION("""COMPUTED_VALUE"""),"Pam")</f>
        <v>Pam</v>
      </c>
      <c r="Q209" t="str">
        <f ca="1">IFERROR(__xludf.DUMMYFUNCTION("""COMPUTED_VALUE"""),"Good")</f>
        <v>Good</v>
      </c>
      <c r="R209" t="str">
        <f ca="1">IFERROR(__xludf.DUMMYFUNCTION("""COMPUTED_VALUE"""),"Good")</f>
        <v>Good</v>
      </c>
      <c r="S209" t="str">
        <f ca="1">IFERROR(__xludf.DUMMYFUNCTION("""COMPUTED_VALUE"""),"Good")</f>
        <v>Good</v>
      </c>
      <c r="T209" t="str">
        <f ca="1">IFERROR(__xludf.DUMMYFUNCTION("""COMPUTED_VALUE"""),"Good")</f>
        <v>Good</v>
      </c>
      <c r="U209" t="str">
        <f ca="1">IFERROR(__xludf.DUMMYFUNCTION("""COMPUTED_VALUE"""),"Good")</f>
        <v>Good</v>
      </c>
      <c r="V209" t="str">
        <f ca="1">IFERROR(__xludf.DUMMYFUNCTION("""COMPUTED_VALUE"""),"Good")</f>
        <v>Good</v>
      </c>
      <c r="W209" t="str">
        <f ca="1">IFERROR(__xludf.DUMMYFUNCTION("""COMPUTED_VALUE"""),"Good")</f>
        <v>Good</v>
      </c>
      <c r="X209" t="str">
        <f ca="1">IFERROR(__xludf.DUMMYFUNCTION("""COMPUTED_VALUE"""),"Good")</f>
        <v>Good</v>
      </c>
      <c r="Y209" t="str">
        <f ca="1">IFERROR(__xludf.DUMMYFUNCTION("""COMPUTED_VALUE"""),"Good")</f>
        <v>Good</v>
      </c>
      <c r="Z209" t="str">
        <f ca="1">IFERROR(__xludf.DUMMYFUNCTION("""COMPUTED_VALUE"""),"Good")</f>
        <v>Good</v>
      </c>
      <c r="AA209" t="str">
        <f ca="1">IFERROR(__xludf.DUMMYFUNCTION("""COMPUTED_VALUE"""),"Good")</f>
        <v>Good</v>
      </c>
      <c r="AB209" t="str">
        <f ca="1">IFERROR(__xludf.DUMMYFUNCTION("""COMPUTED_VALUE"""),"Good")</f>
        <v>Good</v>
      </c>
      <c r="AC209" t="str">
        <f ca="1">IFERROR(__xludf.DUMMYFUNCTION("""COMPUTED_VALUE"""),"Good")</f>
        <v>Good</v>
      </c>
      <c r="AE209" s="11"/>
      <c r="AF209" t="str">
        <v>Nikki.Dix@floridadep.gov</v>
      </c>
      <c r="AG209" s="17" t="s">
        <v>126</v>
      </c>
      <c r="AH209" s="12">
        <v>1410</v>
      </c>
      <c r="AI209" s="12" t="s">
        <v>569</v>
      </c>
      <c r="AJ209" s="19" t="s">
        <v>570</v>
      </c>
      <c r="AK209" s="20" t="str">
        <f>HYPERLINK("https://docs.google.com/document/d/1uWbC2LTTPyzZ9D7G8dbN75G0kC0n3ExQXQUhFHsruTY/edit?usp=drivesdk","Pamela Marcum - 12/5/2018 10:30 AM")</f>
        <v>Pamela Marcum - 12/5/2018 10:30 AM</v>
      </c>
      <c r="AL209" s="12" t="s">
        <v>571</v>
      </c>
    </row>
    <row r="210" spans="1:38" ht="12.75">
      <c r="A210" s="10">
        <f ca="1">IFERROR(__xludf.DUMMYFUNCTION("""COMPUTED_VALUE"""),43444.3413890972)</f>
        <v>43444.341389097201</v>
      </c>
      <c r="B210" s="11" t="str">
        <f ca="1">IFERROR(__xludf.DUMMYFUNCTION("""COMPUTED_VALUE"""),"Pamela Marcum")</f>
        <v>Pamela Marcum</v>
      </c>
      <c r="C210" t="str">
        <f ca="1">IFERROR(__xludf.DUMMYFUNCTION("""COMPUTED_VALUE"""),"Pamela.Marcum@dep.state.fl.us")</f>
        <v>Pamela.Marcum@dep.state.fl.us</v>
      </c>
      <c r="D210" t="str">
        <f ca="1">IFERROR(__xludf.DUMMYFUNCTION("""COMPUTED_VALUE"""),"Research/Nikki")</f>
        <v>Research/Nikki</v>
      </c>
      <c r="E210" t="str">
        <f ca="1">IFERROR(__xludf.DUMMYFUNCTION("""COMPUTED_VALUE"""),"Faver-Dykes")</f>
        <v>Faver-Dykes</v>
      </c>
      <c r="F210" s="13">
        <f ca="1">IFERROR(__xludf.DUMMYFUNCTION("""COMPUTED_VALUE"""),0.4375)</f>
        <v>0.4375</v>
      </c>
      <c r="G210" s="14">
        <f ca="1">IFERROR(__xludf.DUMMYFUNCTION("""COMPUTED_VALUE"""),43444)</f>
        <v>43444</v>
      </c>
      <c r="H210" t="str">
        <f ca="1">IFERROR(__xludf.DUMMYFUNCTION("""COMPUTED_VALUE"""),"Upper Pellicer Creek")</f>
        <v>Upper Pellicer Creek</v>
      </c>
      <c r="I210" s="15">
        <f ca="1">IFERROR(__xludf.DUMMYFUNCTION("""COMPUTED_VALUE"""),0.625)</f>
        <v>0.625</v>
      </c>
      <c r="J210" s="16">
        <f ca="1">IFERROR(__xludf.DUMMYFUNCTION("""COMPUTED_VALUE"""),43444.6666666666)</f>
        <v>43444.666666666599</v>
      </c>
      <c r="K210" t="str">
        <f ca="1">IFERROR(__xludf.DUMMYFUNCTION("""COMPUTED_VALUE"""),"23ft Skiff (Bertha) FL7972LJ DEP07613")</f>
        <v>23ft Skiff (Bertha) FL7972LJ DEP07613</v>
      </c>
      <c r="M210" t="str">
        <f ca="1">IFERROR(__xludf.DUMMYFUNCTION("""COMPUTED_VALUE"""),"Ford F150 2015 (White) - DEP21448")</f>
        <v>Ford F150 2015 (White) - DEP21448</v>
      </c>
      <c r="N210" t="str">
        <f ca="1">IFERROR(__xludf.DUMMYFUNCTION("""COMPUTED_VALUE"""),"Pam Marcum, (480) 332-5414")</f>
        <v>Pam Marcum, (480) 332-5414</v>
      </c>
      <c r="O210" t="str">
        <f ca="1">IFERROR(__xludf.DUMMYFUNCTION("""COMPUTED_VALUE"""),"Ken Harp")</f>
        <v>Ken Harp</v>
      </c>
      <c r="P210" t="str">
        <f ca="1">IFERROR(__xludf.DUMMYFUNCTION("""COMPUTED_VALUE"""),"Pam")</f>
        <v>Pam</v>
      </c>
      <c r="Q210" t="str">
        <f ca="1">IFERROR(__xludf.DUMMYFUNCTION("""COMPUTED_VALUE"""),"Good")</f>
        <v>Good</v>
      </c>
      <c r="R210" t="str">
        <f ca="1">IFERROR(__xludf.DUMMYFUNCTION("""COMPUTED_VALUE"""),"Good")</f>
        <v>Good</v>
      </c>
      <c r="S210" t="str">
        <f ca="1">IFERROR(__xludf.DUMMYFUNCTION("""COMPUTED_VALUE"""),"Good")</f>
        <v>Good</v>
      </c>
      <c r="T210" t="str">
        <f ca="1">IFERROR(__xludf.DUMMYFUNCTION("""COMPUTED_VALUE"""),"Good")</f>
        <v>Good</v>
      </c>
      <c r="U210" t="str">
        <f ca="1">IFERROR(__xludf.DUMMYFUNCTION("""COMPUTED_VALUE"""),"Good")</f>
        <v>Good</v>
      </c>
      <c r="V210" t="str">
        <f ca="1">IFERROR(__xludf.DUMMYFUNCTION("""COMPUTED_VALUE"""),"Good")</f>
        <v>Good</v>
      </c>
      <c r="W210" t="str">
        <f ca="1">IFERROR(__xludf.DUMMYFUNCTION("""COMPUTED_VALUE"""),"Good")</f>
        <v>Good</v>
      </c>
      <c r="X210" t="str">
        <f ca="1">IFERROR(__xludf.DUMMYFUNCTION("""COMPUTED_VALUE"""),"Good")</f>
        <v>Good</v>
      </c>
      <c r="Y210" t="str">
        <f ca="1">IFERROR(__xludf.DUMMYFUNCTION("""COMPUTED_VALUE"""),"Good")</f>
        <v>Good</v>
      </c>
      <c r="Z210" t="str">
        <f ca="1">IFERROR(__xludf.DUMMYFUNCTION("""COMPUTED_VALUE"""),"Good")</f>
        <v>Good</v>
      </c>
      <c r="AA210" t="str">
        <f ca="1">IFERROR(__xludf.DUMMYFUNCTION("""COMPUTED_VALUE"""),"Good")</f>
        <v>Good</v>
      </c>
      <c r="AB210" t="str">
        <f ca="1">IFERROR(__xludf.DUMMYFUNCTION("""COMPUTED_VALUE"""),"Good")</f>
        <v>Good</v>
      </c>
      <c r="AC210" t="str">
        <f ca="1">IFERROR(__xludf.DUMMYFUNCTION("""COMPUTED_VALUE"""),"Good")</f>
        <v>Good</v>
      </c>
      <c r="AE210" s="11"/>
      <c r="AF210" t="str">
        <v>Nikki.Dix@floridadep.gov</v>
      </c>
      <c r="AG210" s="17" t="s">
        <v>17</v>
      </c>
      <c r="AH210" s="12">
        <v>1340</v>
      </c>
      <c r="AI210" s="12" t="s">
        <v>572</v>
      </c>
      <c r="AJ210" s="19" t="s">
        <v>573</v>
      </c>
      <c r="AK210" s="20" t="str">
        <f>HYPERLINK("https://docs.google.com/document/d/1MdfvTIYnceoqzhRGfam7t0apLcYPKCV83LbdbuAQAkg/edit?usp=drivesdk","Pamela Marcum - 12/10/2018 10:30 AM")</f>
        <v>Pamela Marcum - 12/10/2018 10:30 AM</v>
      </c>
      <c r="AL210" s="12" t="s">
        <v>574</v>
      </c>
    </row>
    <row r="211" spans="1:38" ht="12.75">
      <c r="A211" s="10">
        <f ca="1">IFERROR(__xludf.DUMMYFUNCTION("""COMPUTED_VALUE"""),43445.3491915393)</f>
        <v>43445.349191539302</v>
      </c>
      <c r="B211" s="11" t="str">
        <f ca="1">IFERROR(__xludf.DUMMYFUNCTION("""COMPUTED_VALUE"""),"Pam Marcum")</f>
        <v>Pam Marcum</v>
      </c>
      <c r="C211" t="str">
        <f ca="1">IFERROR(__xludf.DUMMYFUNCTION("""COMPUTED_VALUE"""),"Pamela.Marcum@dep.state.fl.us")</f>
        <v>Pamela.Marcum@dep.state.fl.us</v>
      </c>
      <c r="D211" t="str">
        <f ca="1">IFERROR(__xludf.DUMMYFUNCTION("""COMPUTED_VALUE"""),"Stewardship (Aquatic)")</f>
        <v>Stewardship (Aquatic)</v>
      </c>
      <c r="E211" t="str">
        <f ca="1">IFERROR(__xludf.DUMMYFUNCTION("""COMPUTED_VALUE"""),"Faver-Dykes")</f>
        <v>Faver-Dykes</v>
      </c>
      <c r="F211" s="13">
        <f ca="1">IFERROR(__xludf.DUMMYFUNCTION("""COMPUTED_VALUE"""),0.39583333333212)</f>
        <v>0.39583333333212001</v>
      </c>
      <c r="G211" s="14">
        <f ca="1">IFERROR(__xludf.DUMMYFUNCTION("""COMPUTED_VALUE"""),43445)</f>
        <v>43445</v>
      </c>
      <c r="H211" t="str">
        <f ca="1">IFERROR(__xludf.DUMMYFUNCTION("""COMPUTED_VALUE"""),"Upper Pellicer")</f>
        <v>Upper Pellicer</v>
      </c>
      <c r="I211" s="15">
        <f ca="1">IFERROR(__xludf.DUMMYFUNCTION("""COMPUTED_VALUE"""),0.625)</f>
        <v>0.625</v>
      </c>
      <c r="J211" s="16">
        <f ca="1">IFERROR(__xludf.DUMMYFUNCTION("""COMPUTED_VALUE"""),43446.375)</f>
        <v>43446.375</v>
      </c>
      <c r="K211" t="str">
        <f ca="1">IFERROR(__xludf.DUMMYFUNCTION("""COMPUTED_VALUE"""),"23ft Skiff (Bertha) FL7972LJ DEP07613")</f>
        <v>23ft Skiff (Bertha) FL7972LJ DEP07613</v>
      </c>
      <c r="M211" t="str">
        <f ca="1">IFERROR(__xludf.DUMMYFUNCTION("""COMPUTED_VALUE"""),"Ford F150 2015 (White) - DEP21448")</f>
        <v>Ford F150 2015 (White) - DEP21448</v>
      </c>
      <c r="N211" t="str">
        <f ca="1">IFERROR(__xludf.DUMMYFUNCTION("""COMPUTED_VALUE"""),"Pam Marcum, (480) 332-5414")</f>
        <v>Pam Marcum, (480) 332-5414</v>
      </c>
      <c r="O211" t="str">
        <f ca="1">IFERROR(__xludf.DUMMYFUNCTION("""COMPUTED_VALUE"""),"Jim Moye")</f>
        <v>Jim Moye</v>
      </c>
      <c r="P211" t="str">
        <f ca="1">IFERROR(__xludf.DUMMYFUNCTION("""COMPUTED_VALUE"""),"Pam")</f>
        <v>Pam</v>
      </c>
      <c r="Q211" t="str">
        <f ca="1">IFERROR(__xludf.DUMMYFUNCTION("""COMPUTED_VALUE"""),"Good")</f>
        <v>Good</v>
      </c>
      <c r="R211" t="str">
        <f ca="1">IFERROR(__xludf.DUMMYFUNCTION("""COMPUTED_VALUE"""),"Good")</f>
        <v>Good</v>
      </c>
      <c r="S211" t="str">
        <f ca="1">IFERROR(__xludf.DUMMYFUNCTION("""COMPUTED_VALUE"""),"Good")</f>
        <v>Good</v>
      </c>
      <c r="T211" t="str">
        <f ca="1">IFERROR(__xludf.DUMMYFUNCTION("""COMPUTED_VALUE"""),"Good")</f>
        <v>Good</v>
      </c>
      <c r="U211" t="str">
        <f ca="1">IFERROR(__xludf.DUMMYFUNCTION("""COMPUTED_VALUE"""),"Good")</f>
        <v>Good</v>
      </c>
      <c r="V211" t="str">
        <f ca="1">IFERROR(__xludf.DUMMYFUNCTION("""COMPUTED_VALUE"""),"Good")</f>
        <v>Good</v>
      </c>
      <c r="W211" t="str">
        <f ca="1">IFERROR(__xludf.DUMMYFUNCTION("""COMPUTED_VALUE"""),"Good")</f>
        <v>Good</v>
      </c>
      <c r="X211" t="str">
        <f ca="1">IFERROR(__xludf.DUMMYFUNCTION("""COMPUTED_VALUE"""),"Good")</f>
        <v>Good</v>
      </c>
      <c r="Y211" t="str">
        <f ca="1">IFERROR(__xludf.DUMMYFUNCTION("""COMPUTED_VALUE"""),"Good")</f>
        <v>Good</v>
      </c>
      <c r="Z211" t="str">
        <f ca="1">IFERROR(__xludf.DUMMYFUNCTION("""COMPUTED_VALUE"""),"Good")</f>
        <v>Good</v>
      </c>
      <c r="AA211" t="str">
        <f ca="1">IFERROR(__xludf.DUMMYFUNCTION("""COMPUTED_VALUE"""),"Good")</f>
        <v>Good</v>
      </c>
      <c r="AB211" t="str">
        <f ca="1">IFERROR(__xludf.DUMMYFUNCTION("""COMPUTED_VALUE"""),"Good")</f>
        <v>Good</v>
      </c>
      <c r="AC211" t="str">
        <f ca="1">IFERROR(__xludf.DUMMYFUNCTION("""COMPUTED_VALUE"""),"Good")</f>
        <v>Good</v>
      </c>
      <c r="AE211" s="11"/>
      <c r="AF211" t="str">
        <v>Scott.Eastman@floridadep.gov</v>
      </c>
      <c r="AG211" s="17" t="s">
        <v>17</v>
      </c>
      <c r="AH211" s="12">
        <v>1330</v>
      </c>
      <c r="AI211" s="12" t="s">
        <v>575</v>
      </c>
      <c r="AJ211" s="19" t="s">
        <v>576</v>
      </c>
      <c r="AK211" s="20" t="str">
        <f>HYPERLINK("https://docs.google.com/document/d/1h0R2PZU0rvgtqbs53JDBEKKuDogTM-nMHYHY7C7YB0Q/edit?usp=drivesdk","Pam Marcum - 12/11/2018 9:30 AM")</f>
        <v>Pam Marcum - 12/11/2018 9:30 AM</v>
      </c>
      <c r="AL211" s="12" t="s">
        <v>577</v>
      </c>
    </row>
    <row r="212" spans="1:38" ht="12.75">
      <c r="A212" s="10">
        <f ca="1">IFERROR(__xludf.DUMMYFUNCTION("""COMPUTED_VALUE"""),43447.3659006713)</f>
        <v>43447.365900671299</v>
      </c>
      <c r="B212" s="11" t="str">
        <f ca="1">IFERROR(__xludf.DUMMYFUNCTION("""COMPUTED_VALUE"""),"Pamela Marcum")</f>
        <v>Pamela Marcum</v>
      </c>
      <c r="C212" t="str">
        <f ca="1">IFERROR(__xludf.DUMMYFUNCTION("""COMPUTED_VALUE"""),"Pamela.Marcum@dep.state.fl.us")</f>
        <v>Pamela.Marcum@dep.state.fl.us</v>
      </c>
      <c r="D212" t="str">
        <f ca="1">IFERROR(__xludf.DUMMYFUNCTION("""COMPUTED_VALUE"""),"Stewardship (Aquatic)")</f>
        <v>Stewardship (Aquatic)</v>
      </c>
      <c r="E212" t="str">
        <f ca="1">IFERROR(__xludf.DUMMYFUNCTION("""COMPUTED_VALUE"""),"Faver-Dykes")</f>
        <v>Faver-Dykes</v>
      </c>
      <c r="F212" s="13">
        <f ca="1">IFERROR(__xludf.DUMMYFUNCTION("""COMPUTED_VALUE"""),0.4375)</f>
        <v>0.4375</v>
      </c>
      <c r="G212" s="14">
        <f ca="1">IFERROR(__xludf.DUMMYFUNCTION("""COMPUTED_VALUE"""),43447)</f>
        <v>43447</v>
      </c>
      <c r="H212" t="str">
        <f ca="1">IFERROR(__xludf.DUMMYFUNCTION("""COMPUTED_VALUE"""),"Upper Pellicer Creek")</f>
        <v>Upper Pellicer Creek</v>
      </c>
      <c r="I212" s="15">
        <f ca="1">IFERROR(__xludf.DUMMYFUNCTION("""COMPUTED_VALUE"""),0.625)</f>
        <v>0.625</v>
      </c>
      <c r="J212" s="16">
        <f ca="1">IFERROR(__xludf.DUMMYFUNCTION("""COMPUTED_VALUE"""),43447.6875)</f>
        <v>43447.6875</v>
      </c>
      <c r="K212" t="str">
        <f ca="1">IFERROR(__xludf.DUMMYFUNCTION("""COMPUTED_VALUE"""),"23ft Skiff (Bertha) FL7972LJ DEP07613")</f>
        <v>23ft Skiff (Bertha) FL7972LJ DEP07613</v>
      </c>
      <c r="M212" t="str">
        <f ca="1">IFERROR(__xludf.DUMMYFUNCTION("""COMPUTED_VALUE"""),"Ford F150 2015 (White) - DEP21448")</f>
        <v>Ford F150 2015 (White) - DEP21448</v>
      </c>
      <c r="N212" t="str">
        <f ca="1">IFERROR(__xludf.DUMMYFUNCTION("""COMPUTED_VALUE"""),"Pam Marcum, (480) 332-5414")</f>
        <v>Pam Marcum, (480) 332-5414</v>
      </c>
      <c r="O212" t="str">
        <f ca="1">IFERROR(__xludf.DUMMYFUNCTION("""COMPUTED_VALUE"""),"Tom Fox")</f>
        <v>Tom Fox</v>
      </c>
      <c r="P212" t="str">
        <f ca="1">IFERROR(__xludf.DUMMYFUNCTION("""COMPUTED_VALUE"""),"Pam")</f>
        <v>Pam</v>
      </c>
      <c r="Q212" t="str">
        <f ca="1">IFERROR(__xludf.DUMMYFUNCTION("""COMPUTED_VALUE"""),"Good")</f>
        <v>Good</v>
      </c>
      <c r="R212" t="str">
        <f ca="1">IFERROR(__xludf.DUMMYFUNCTION("""COMPUTED_VALUE"""),"Good")</f>
        <v>Good</v>
      </c>
      <c r="S212" t="str">
        <f ca="1">IFERROR(__xludf.DUMMYFUNCTION("""COMPUTED_VALUE"""),"Good")</f>
        <v>Good</v>
      </c>
      <c r="T212" t="str">
        <f ca="1">IFERROR(__xludf.DUMMYFUNCTION("""COMPUTED_VALUE"""),"Good")</f>
        <v>Good</v>
      </c>
      <c r="U212" t="str">
        <f ca="1">IFERROR(__xludf.DUMMYFUNCTION("""COMPUTED_VALUE"""),"Good")</f>
        <v>Good</v>
      </c>
      <c r="V212" t="str">
        <f ca="1">IFERROR(__xludf.DUMMYFUNCTION("""COMPUTED_VALUE"""),"Good")</f>
        <v>Good</v>
      </c>
      <c r="W212" t="str">
        <f ca="1">IFERROR(__xludf.DUMMYFUNCTION("""COMPUTED_VALUE"""),"Good")</f>
        <v>Good</v>
      </c>
      <c r="X212" t="str">
        <f ca="1">IFERROR(__xludf.DUMMYFUNCTION("""COMPUTED_VALUE"""),"Good")</f>
        <v>Good</v>
      </c>
      <c r="Y212" t="str">
        <f ca="1">IFERROR(__xludf.DUMMYFUNCTION("""COMPUTED_VALUE"""),"Good")</f>
        <v>Good</v>
      </c>
      <c r="Z212" t="str">
        <f ca="1">IFERROR(__xludf.DUMMYFUNCTION("""COMPUTED_VALUE"""),"Good")</f>
        <v>Good</v>
      </c>
      <c r="AA212" t="str">
        <f ca="1">IFERROR(__xludf.DUMMYFUNCTION("""COMPUTED_VALUE"""),"Good")</f>
        <v>Good</v>
      </c>
      <c r="AB212" t="str">
        <f ca="1">IFERROR(__xludf.DUMMYFUNCTION("""COMPUTED_VALUE"""),"Good")</f>
        <v>Good</v>
      </c>
      <c r="AC212" t="str">
        <f ca="1">IFERROR(__xludf.DUMMYFUNCTION("""COMPUTED_VALUE"""),"Good")</f>
        <v>Good</v>
      </c>
      <c r="AE212" s="11"/>
      <c r="AF212" t="str">
        <v>Scott.Eastman@floridadep.gov</v>
      </c>
      <c r="AG212" s="17" t="s">
        <v>17</v>
      </c>
      <c r="AH212" s="12">
        <v>1200</v>
      </c>
      <c r="AI212" s="12" t="s">
        <v>578</v>
      </c>
      <c r="AJ212" s="19" t="s">
        <v>579</v>
      </c>
      <c r="AK212" s="20" t="str">
        <f>HYPERLINK("https://docs.google.com/document/d/1zstXvM6CwDhboX8ljkxSJeWbw2aJlIOMC9rK3xtsd2U/edit?usp=drivesdk","Pamela Marcum - 12/13/2018 10:30 AM")</f>
        <v>Pamela Marcum - 12/13/2018 10:30 AM</v>
      </c>
      <c r="AL212" s="12" t="s">
        <v>580</v>
      </c>
    </row>
    <row r="213" spans="1:38" ht="12.75">
      <c r="A213" s="10">
        <f ca="1">IFERROR(__xludf.DUMMYFUNCTION("""COMPUTED_VALUE"""),43451.3387792824)</f>
        <v>43451.3387792824</v>
      </c>
      <c r="B213" s="11" t="str">
        <f ca="1">IFERROR(__xludf.DUMMYFUNCTION("""COMPUTED_VALUE"""),"james tomazinis")</f>
        <v>james tomazinis</v>
      </c>
      <c r="C213" t="str">
        <f ca="1">IFERROR(__xludf.DUMMYFUNCTION("""COMPUTED_VALUE"""),"james.tomazinis@floridadep.gov")</f>
        <v>james.tomazinis@floridadep.gov</v>
      </c>
      <c r="D213" t="str">
        <f ca="1">IFERROR(__xludf.DUMMYFUNCTION("""COMPUTED_VALUE"""),"Stewardship (Aquatic)")</f>
        <v>Stewardship (Aquatic)</v>
      </c>
      <c r="E213" t="str">
        <f ca="1">IFERROR(__xludf.DUMMYFUNCTION("""COMPUTED_VALUE"""),"Sawpit Creek")</f>
        <v>Sawpit Creek</v>
      </c>
      <c r="F213" s="13">
        <f ca="1">IFERROR(__xludf.DUMMYFUNCTION("""COMPUTED_VALUE"""),0.40625)</f>
        <v>0.40625</v>
      </c>
      <c r="G213" s="14">
        <f ca="1">IFERROR(__xludf.DUMMYFUNCTION("""COMPUTED_VALUE"""),43451)</f>
        <v>43451</v>
      </c>
      <c r="H213" t="str">
        <f ca="1">IFERROR(__xludf.DUMMYFUNCTION("""COMPUTED_VALUE"""),"Nassauville and Nassau sound")</f>
        <v>Nassauville and Nassau sound</v>
      </c>
      <c r="I213" s="15">
        <f ca="1">IFERROR(__xludf.DUMMYFUNCTION("""COMPUTED_VALUE"""),0.666666666667879)</f>
        <v>0.66666666666787899</v>
      </c>
      <c r="J213" s="16"/>
      <c r="K213" t="str">
        <f ca="1">IFERROR(__xludf.DUMMYFUNCTION("""COMPUTED_VALUE"""),"F 20ft Sea Ark (Easy 200) FL8534PY DEP21451")</f>
        <v>F 20ft Sea Ark (Easy 200) FL8534PY DEP21451</v>
      </c>
      <c r="M213" t="str">
        <f ca="1">IFERROR(__xludf.DUMMYFUNCTION("""COMPUTED_VALUE"""),"Ford F150 2015 (White) - DEP21448")</f>
        <v>Ford F150 2015 (White) - DEP21448</v>
      </c>
      <c r="N213" t="str">
        <f ca="1">IFERROR(__xludf.DUMMYFUNCTION("""COMPUTED_VALUE"""),"Scott Eastman, (904) 501-9267, Jimmy Tomazinis, (904) 547-0094, Mike Dicksone")</f>
        <v>Scott Eastman, (904) 501-9267, Jimmy Tomazinis, (904) 547-0094, Mike Dicksone</v>
      </c>
      <c r="O213" t="str">
        <f ca="1">IFERROR(__xludf.DUMMYFUNCTION("""COMPUTED_VALUE"""),"Suzi Porterfield")</f>
        <v>Suzi Porterfield</v>
      </c>
      <c r="P213" t="str">
        <f ca="1">IFERROR(__xludf.DUMMYFUNCTION("""COMPUTED_VALUE"""),"Jimmy")</f>
        <v>Jimmy</v>
      </c>
      <c r="Q213" t="str">
        <f ca="1">IFERROR(__xludf.DUMMYFUNCTION("""COMPUTED_VALUE"""),"Good")</f>
        <v>Good</v>
      </c>
      <c r="R213" t="str">
        <f ca="1">IFERROR(__xludf.DUMMYFUNCTION("""COMPUTED_VALUE"""),"Good")</f>
        <v>Good</v>
      </c>
      <c r="S213" t="str">
        <f ca="1">IFERROR(__xludf.DUMMYFUNCTION("""COMPUTED_VALUE"""),"Good")</f>
        <v>Good</v>
      </c>
      <c r="T213" t="str">
        <f ca="1">IFERROR(__xludf.DUMMYFUNCTION("""COMPUTED_VALUE"""),"Good")</f>
        <v>Good</v>
      </c>
      <c r="U213" t="str">
        <f ca="1">IFERROR(__xludf.DUMMYFUNCTION("""COMPUTED_VALUE"""),"Good")</f>
        <v>Good</v>
      </c>
      <c r="V213" t="str">
        <f ca="1">IFERROR(__xludf.DUMMYFUNCTION("""COMPUTED_VALUE"""),"Good")</f>
        <v>Good</v>
      </c>
      <c r="W213" t="str">
        <f ca="1">IFERROR(__xludf.DUMMYFUNCTION("""COMPUTED_VALUE"""),"Good")</f>
        <v>Good</v>
      </c>
      <c r="X213" t="str">
        <f ca="1">IFERROR(__xludf.DUMMYFUNCTION("""COMPUTED_VALUE"""),"Good")</f>
        <v>Good</v>
      </c>
      <c r="Y213" t="str">
        <f ca="1">IFERROR(__xludf.DUMMYFUNCTION("""COMPUTED_VALUE"""),"Good")</f>
        <v>Good</v>
      </c>
      <c r="Z213" t="str">
        <f ca="1">IFERROR(__xludf.DUMMYFUNCTION("""COMPUTED_VALUE"""),"Good")</f>
        <v>Good</v>
      </c>
      <c r="AA213" t="str">
        <f ca="1">IFERROR(__xludf.DUMMYFUNCTION("""COMPUTED_VALUE"""),"Good")</f>
        <v>Good</v>
      </c>
      <c r="AB213" t="str">
        <f ca="1">IFERROR(__xludf.DUMMYFUNCTION("""COMPUTED_VALUE"""),"Good")</f>
        <v>Good</v>
      </c>
      <c r="AC213" t="str">
        <f ca="1">IFERROR(__xludf.DUMMYFUNCTION("""COMPUTED_VALUE"""),"Good")</f>
        <v>Good</v>
      </c>
      <c r="AE213" s="11"/>
      <c r="AF213" t="str">
        <v>Scott.Eastman@floridadep.gov</v>
      </c>
      <c r="AG213" s="17" t="s">
        <v>21</v>
      </c>
      <c r="AH213" s="12">
        <v>1500</v>
      </c>
      <c r="AI213" s="12" t="s">
        <v>581</v>
      </c>
      <c r="AJ213" s="19" t="s">
        <v>582</v>
      </c>
      <c r="AK213" s="20" t="str">
        <f>HYPERLINK("https://docs.google.com/document/d/1YjoS9sKmNES22k8xi23oxX83WayzKLWesHbnmpWte98/edit?usp=drivesdk","james tomazinis - 12/17/2018 9:45 AM")</f>
        <v>james tomazinis - 12/17/2018 9:45 AM</v>
      </c>
      <c r="AL213" s="12" t="s">
        <v>583</v>
      </c>
    </row>
    <row r="214" spans="1:38" ht="12.75">
      <c r="A214" s="10">
        <f ca="1">IFERROR(__xludf.DUMMYFUNCTION("""COMPUTED_VALUE"""),43453.2819955092)</f>
        <v>43453.281995509198</v>
      </c>
      <c r="B214" s="11" t="str">
        <f ca="1">IFERROR(__xludf.DUMMYFUNCTION("""COMPUTED_VALUE"""),"Silas Tanner")</f>
        <v>Silas Tanner</v>
      </c>
      <c r="C214" t="str">
        <f ca="1">IFERROR(__xludf.DUMMYFUNCTION("""COMPUTED_VALUE"""),"silas.tanner@floridadep.gov")</f>
        <v>silas.tanner@floridadep.gov</v>
      </c>
      <c r="D214" t="str">
        <f ca="1">IFERROR(__xludf.DUMMYFUNCTION("""COMPUTED_VALUE"""),"Research/Nikki")</f>
        <v>Research/Nikki</v>
      </c>
      <c r="E214" t="str">
        <f ca="1">IFERROR(__xludf.DUMMYFUNCTION("""COMPUTED_VALUE"""),"Vilano Landing")</f>
        <v>Vilano Landing</v>
      </c>
      <c r="F214" s="13">
        <f ca="1">IFERROR(__xludf.DUMMYFUNCTION("""COMPUTED_VALUE"""),0.298611111109494)</f>
        <v>0.29861111110949401</v>
      </c>
      <c r="G214" s="14">
        <f ca="1">IFERROR(__xludf.DUMMYFUNCTION("""COMPUTED_VALUE"""),43453)</f>
        <v>43453</v>
      </c>
      <c r="H214" t="str">
        <f ca="1">IFERROR(__xludf.DUMMYFUNCTION("""COMPUTED_VALUE"""),"ICW SWMP sites")</f>
        <v>ICW SWMP sites</v>
      </c>
      <c r="I214" s="15">
        <f ca="1">IFERROR(__xludf.DUMMYFUNCTION("""COMPUTED_VALUE"""),0.53125)</f>
        <v>0.53125</v>
      </c>
      <c r="J214" s="16">
        <f ca="1">IFERROR(__xludf.DUMMYFUNCTION("""COMPUTED_VALUE"""),43453.5520833333)</f>
        <v>43453.552083333299</v>
      </c>
      <c r="K214" t="str">
        <f ca="1">IFERROR(__xludf.DUMMYFUNCTION("""COMPUTED_VALUE"""),"20ft Sea Ark FL5351SJ UNF 2015")</f>
        <v>20ft Sea Ark FL5351SJ UNF 2015</v>
      </c>
      <c r="M214" t="str">
        <f ca="1">IFERROR(__xludf.DUMMYFUNCTION("""COMPUTED_VALUE"""),"Ford F250 2017 (Moby Dix) - DEP0021578")</f>
        <v>Ford F250 2017 (Moby Dix) - DEP0021578</v>
      </c>
      <c r="N214" t="str">
        <f ca="1">IFERROR(__xludf.DUMMYFUNCTION("""COMPUTED_VALUE"""),"Silas Tanner, (904) 483-8423")</f>
        <v>Silas Tanner, (904) 483-8423</v>
      </c>
      <c r="O214" t="str">
        <f ca="1">IFERROR(__xludf.DUMMYFUNCTION("""COMPUTED_VALUE"""),"Suzi Porterfield")</f>
        <v>Suzi Porterfield</v>
      </c>
      <c r="P214" t="str">
        <f ca="1">IFERROR(__xludf.DUMMYFUNCTION("""COMPUTED_VALUE"""),"Tanner")</f>
        <v>Tanner</v>
      </c>
      <c r="Q214" t="str">
        <f ca="1">IFERROR(__xludf.DUMMYFUNCTION("""COMPUTED_VALUE"""),"Good")</f>
        <v>Good</v>
      </c>
      <c r="R214" t="str">
        <f ca="1">IFERROR(__xludf.DUMMYFUNCTION("""COMPUTED_VALUE"""),"Good")</f>
        <v>Good</v>
      </c>
      <c r="S214" t="str">
        <f ca="1">IFERROR(__xludf.DUMMYFUNCTION("""COMPUTED_VALUE"""),"Good")</f>
        <v>Good</v>
      </c>
      <c r="T214" t="str">
        <f ca="1">IFERROR(__xludf.DUMMYFUNCTION("""COMPUTED_VALUE"""),"Good")</f>
        <v>Good</v>
      </c>
      <c r="U214" t="str">
        <f ca="1">IFERROR(__xludf.DUMMYFUNCTION("""COMPUTED_VALUE"""),"Good")</f>
        <v>Good</v>
      </c>
      <c r="V214" t="str">
        <f ca="1">IFERROR(__xludf.DUMMYFUNCTION("""COMPUTED_VALUE"""),"Good")</f>
        <v>Good</v>
      </c>
      <c r="W214" t="str">
        <f ca="1">IFERROR(__xludf.DUMMYFUNCTION("""COMPUTED_VALUE"""),"Good")</f>
        <v>Good</v>
      </c>
      <c r="X214" t="str">
        <f ca="1">IFERROR(__xludf.DUMMYFUNCTION("""COMPUTED_VALUE"""),"Good")</f>
        <v>Good</v>
      </c>
      <c r="Y214" t="str">
        <f ca="1">IFERROR(__xludf.DUMMYFUNCTION("""COMPUTED_VALUE"""),"Good")</f>
        <v>Good</v>
      </c>
      <c r="Z214" t="str">
        <f ca="1">IFERROR(__xludf.DUMMYFUNCTION("""COMPUTED_VALUE"""),"Good")</f>
        <v>Good</v>
      </c>
      <c r="AA214" t="str">
        <f ca="1">IFERROR(__xludf.DUMMYFUNCTION("""COMPUTED_VALUE"""),"Good")</f>
        <v>Good</v>
      </c>
      <c r="AB214" t="str">
        <f ca="1">IFERROR(__xludf.DUMMYFUNCTION("""COMPUTED_VALUE"""),"Good")</f>
        <v>Good</v>
      </c>
      <c r="AC214" t="str">
        <f ca="1">IFERROR(__xludf.DUMMYFUNCTION("""COMPUTED_VALUE"""),"Good")</f>
        <v>Good</v>
      </c>
      <c r="AE214" s="11"/>
      <c r="AF214" t="str">
        <v>Nikki.Dix@floridadep.gov</v>
      </c>
      <c r="AG214" s="17" t="s">
        <v>17</v>
      </c>
      <c r="AH214" s="12">
        <v>1145</v>
      </c>
      <c r="AI214" s="12" t="s">
        <v>584</v>
      </c>
      <c r="AJ214" s="19" t="s">
        <v>585</v>
      </c>
      <c r="AK214" s="20" t="str">
        <f>HYPERLINK("https://docs.google.com/document/d/1YiWcFq3l08V3qBUS4JCJ18wDAAtAadOsJGTbNWJ7y0o/edit?usp=drivesdk","Silas Tanner - 12/19/2018 7:10 AM")</f>
        <v>Silas Tanner - 12/19/2018 7:10 AM</v>
      </c>
      <c r="AL214" s="12" t="s">
        <v>586</v>
      </c>
    </row>
    <row r="215" spans="1:38" ht="12.75">
      <c r="A215" s="10">
        <f ca="1">IFERROR(__xludf.DUMMYFUNCTION("""COMPUTED_VALUE"""),43460.4078849305)</f>
        <v>43460.407884930501</v>
      </c>
      <c r="B215" s="11" t="str">
        <f ca="1">IFERROR(__xludf.DUMMYFUNCTION("""COMPUTED_VALUE"""),"Ben Mowbray")</f>
        <v>Ben Mowbray</v>
      </c>
      <c r="C215" t="str">
        <f ca="1">IFERROR(__xludf.DUMMYFUNCTION("""COMPUTED_VALUE"""),"ben.mowbray@dep.state.fl.us")</f>
        <v>ben.mowbray@dep.state.fl.us</v>
      </c>
      <c r="D215" t="str">
        <f ca="1">IFERROR(__xludf.DUMMYFUNCTION("""COMPUTED_VALUE"""),"Research/Pam")</f>
        <v>Research/Pam</v>
      </c>
      <c r="E215" t="str">
        <f ca="1">IFERROR(__xludf.DUMMYFUNCTION("""COMPUTED_VALUE"""),"Douglas Crane")</f>
        <v>Douglas Crane</v>
      </c>
      <c r="F215" s="13">
        <f ca="1">IFERROR(__xludf.DUMMYFUNCTION("""COMPUTED_VALUE"""),0.45833333333212)</f>
        <v>0.45833333333212001</v>
      </c>
      <c r="G215" s="14">
        <f ca="1">IFERROR(__xludf.DUMMYFUNCTION("""COMPUTED_VALUE"""),43460)</f>
        <v>43460</v>
      </c>
      <c r="H215" t="str">
        <f ca="1">IFERROR(__xludf.DUMMYFUNCTION("""COMPUTED_VALUE"""),"Chapman Middle Site")</f>
        <v>Chapman Middle Site</v>
      </c>
      <c r="I215" s="15">
        <f ca="1">IFERROR(__xludf.DUMMYFUNCTION("""COMPUTED_VALUE"""),0.666666666667879)</f>
        <v>0.66666666666787899</v>
      </c>
      <c r="J215" s="16">
        <f ca="1">IFERROR(__xludf.DUMMYFUNCTION("""COMPUTED_VALUE"""),43460.6944444444)</f>
        <v>43460.694444444402</v>
      </c>
      <c r="K215" t="str">
        <f ca="1">IFERROR(__xludf.DUMMYFUNCTION("""COMPUTED_VALUE"""),"F 20ft Sea Ark (Easy 200) FL8534PY DEP21451")</f>
        <v>F 20ft Sea Ark (Easy 200) FL8534PY DEP21451</v>
      </c>
      <c r="M215" t="str">
        <f ca="1">IFERROR(__xludf.DUMMYFUNCTION("""COMPUTED_VALUE"""),"Ford F250 2017 (Moby Dix) - DEP0021578")</f>
        <v>Ford F250 2017 (Moby Dix) - DEP0021578</v>
      </c>
      <c r="N215" t="str">
        <f ca="1">IFERROR(__xludf.DUMMYFUNCTION("""COMPUTED_VALUE"""),"Ben Mowbray, (407) 962-8782")</f>
        <v>Ben Mowbray, (407) 962-8782</v>
      </c>
      <c r="O215" t="str">
        <f ca="1">IFERROR(__xludf.DUMMYFUNCTION("""COMPUTED_VALUE"""),"Gabriela Canas, (904) 891-9743")</f>
        <v>Gabriela Canas, (904) 891-9743</v>
      </c>
      <c r="P215" t="str">
        <f ca="1">IFERROR(__xludf.DUMMYFUNCTION("""COMPUTED_VALUE"""),"Ben")</f>
        <v>Ben</v>
      </c>
      <c r="Q215" t="str">
        <f ca="1">IFERROR(__xludf.DUMMYFUNCTION("""COMPUTED_VALUE"""),"Good")</f>
        <v>Good</v>
      </c>
      <c r="R215" t="str">
        <f ca="1">IFERROR(__xludf.DUMMYFUNCTION("""COMPUTED_VALUE"""),"Good")</f>
        <v>Good</v>
      </c>
      <c r="S215" t="str">
        <f ca="1">IFERROR(__xludf.DUMMYFUNCTION("""COMPUTED_VALUE"""),"Good")</f>
        <v>Good</v>
      </c>
      <c r="T215" t="str">
        <f ca="1">IFERROR(__xludf.DUMMYFUNCTION("""COMPUTED_VALUE"""),"Good")</f>
        <v>Good</v>
      </c>
      <c r="U215" t="str">
        <f ca="1">IFERROR(__xludf.DUMMYFUNCTION("""COMPUTED_VALUE"""),"Good")</f>
        <v>Good</v>
      </c>
      <c r="V215" t="str">
        <f ca="1">IFERROR(__xludf.DUMMYFUNCTION("""COMPUTED_VALUE"""),"Good")</f>
        <v>Good</v>
      </c>
      <c r="W215" t="str">
        <f ca="1">IFERROR(__xludf.DUMMYFUNCTION("""COMPUTED_VALUE"""),"Good")</f>
        <v>Good</v>
      </c>
      <c r="X215" t="str">
        <f ca="1">IFERROR(__xludf.DUMMYFUNCTION("""COMPUTED_VALUE"""),"Good")</f>
        <v>Good</v>
      </c>
      <c r="Y215" t="str">
        <f ca="1">IFERROR(__xludf.DUMMYFUNCTION("""COMPUTED_VALUE"""),"Good")</f>
        <v>Good</v>
      </c>
      <c r="Z215" t="str">
        <f ca="1">IFERROR(__xludf.DUMMYFUNCTION("""COMPUTED_VALUE"""),"Good")</f>
        <v>Good</v>
      </c>
      <c r="AA215" t="str">
        <f ca="1">IFERROR(__xludf.DUMMYFUNCTION("""COMPUTED_VALUE"""),"Good")</f>
        <v>Good</v>
      </c>
      <c r="AB215" t="str">
        <f ca="1">IFERROR(__xludf.DUMMYFUNCTION("""COMPUTED_VALUE"""),"Good")</f>
        <v>Good</v>
      </c>
      <c r="AC215" t="str">
        <f ca="1">IFERROR(__xludf.DUMMYFUNCTION("""COMPUTED_VALUE"""),"Good")</f>
        <v>Good</v>
      </c>
      <c r="AE215" s="11"/>
      <c r="AF215" t="str">
        <v>Pamela.Marcum@floridadep.gov</v>
      </c>
      <c r="AG215" s="17" t="s">
        <v>41</v>
      </c>
      <c r="AH215" s="12">
        <v>1630</v>
      </c>
      <c r="AI215" s="12" t="s">
        <v>587</v>
      </c>
      <c r="AJ215" s="19" t="s">
        <v>588</v>
      </c>
      <c r="AK215" s="20" t="str">
        <f>HYPERLINK("https://docs.google.com/document/d/1urGKS6Hhgz61wxKnJxIwXPH6FT9q0n0PP04qBW5_huw/edit?usp=drivesdk","Ben Mowbray - 12/26/2018 11:00 AM")</f>
        <v>Ben Mowbray - 12/26/2018 11:00 AM</v>
      </c>
      <c r="AL215" s="12" t="s">
        <v>589</v>
      </c>
    </row>
    <row r="216" spans="1:38" ht="12.75">
      <c r="A216" s="10">
        <f ca="1">IFERROR(__xludf.DUMMYFUNCTION("""COMPUTED_VALUE"""),43467.384645405)</f>
        <v>43467.384645405</v>
      </c>
      <c r="B216" s="11" t="str">
        <f ca="1">IFERROR(__xludf.DUMMYFUNCTION("""COMPUTED_VALUE"""),"Ben Mowbray")</f>
        <v>Ben Mowbray</v>
      </c>
      <c r="C216" t="str">
        <f ca="1">IFERROR(__xludf.DUMMYFUNCTION("""COMPUTED_VALUE"""),"ben.mowbray@dep.state.fl.us")</f>
        <v>ben.mowbray@dep.state.fl.us</v>
      </c>
      <c r="D216" t="str">
        <f ca="1">IFERROR(__xludf.DUMMYFUNCTION("""COMPUTED_VALUE"""),"Research/Nikki")</f>
        <v>Research/Nikki</v>
      </c>
      <c r="E216" t="str">
        <f ca="1">IFERROR(__xludf.DUMMYFUNCTION("""COMPUTED_VALUE"""),"Aunt Kate's")</f>
        <v>Aunt Kate's</v>
      </c>
      <c r="F216" s="13">
        <f ca="1">IFERROR(__xludf.DUMMYFUNCTION("""COMPUTED_VALUE"""),0.416666666667879)</f>
        <v>0.41666666666787899</v>
      </c>
      <c r="G216" s="14">
        <f ca="1">IFERROR(__xludf.DUMMYFUNCTION("""COMPUTED_VALUE"""),43467)</f>
        <v>43467</v>
      </c>
      <c r="H216" t="str">
        <f ca="1">IFERROR(__xludf.DUMMYFUNCTION("""COMPUTED_VALUE"""),"Spat Run")</f>
        <v>Spat Run</v>
      </c>
      <c r="I216" s="15">
        <f ca="1">IFERROR(__xludf.DUMMYFUNCTION("""COMPUTED_VALUE"""),0.625)</f>
        <v>0.625</v>
      </c>
      <c r="J216" s="16">
        <f ca="1">IFERROR(__xludf.DUMMYFUNCTION("""COMPUTED_VALUE"""),43467.6527777777)</f>
        <v>43467.652777777701</v>
      </c>
      <c r="K216" t="str">
        <f ca="1">IFERROR(__xludf.DUMMYFUNCTION("""COMPUTED_VALUE"""),"23ft Skiff (Bertha) FL7972LJ DEP07613")</f>
        <v>23ft Skiff (Bertha) FL7972LJ DEP07613</v>
      </c>
      <c r="M216" t="str">
        <f ca="1">IFERROR(__xludf.DUMMYFUNCTION("""COMPUTED_VALUE"""),"Ford F150 2015 (White) - DEP21448")</f>
        <v>Ford F150 2015 (White) - DEP21448</v>
      </c>
      <c r="N216" t="str">
        <f ca="1">IFERROR(__xludf.DUMMYFUNCTION("""COMPUTED_VALUE"""),"Ben Mowbray, (407) 962-8782")</f>
        <v>Ben Mowbray, (407) 962-8782</v>
      </c>
      <c r="O216" t="str">
        <f ca="1">IFERROR(__xludf.DUMMYFUNCTION("""COMPUTED_VALUE"""),"Alicia Bishop")</f>
        <v>Alicia Bishop</v>
      </c>
      <c r="P216" t="str">
        <f ca="1">IFERROR(__xludf.DUMMYFUNCTION("""COMPUTED_VALUE"""),"Ben")</f>
        <v>Ben</v>
      </c>
      <c r="Q216" t="str">
        <f ca="1">IFERROR(__xludf.DUMMYFUNCTION("""COMPUTED_VALUE"""),"Good")</f>
        <v>Good</v>
      </c>
      <c r="R216" t="str">
        <f ca="1">IFERROR(__xludf.DUMMYFUNCTION("""COMPUTED_VALUE"""),"Good")</f>
        <v>Good</v>
      </c>
      <c r="S216" t="str">
        <f ca="1">IFERROR(__xludf.DUMMYFUNCTION("""COMPUTED_VALUE"""),"Good")</f>
        <v>Good</v>
      </c>
      <c r="T216" t="str">
        <f ca="1">IFERROR(__xludf.DUMMYFUNCTION("""COMPUTED_VALUE"""),"Good")</f>
        <v>Good</v>
      </c>
      <c r="U216" t="str">
        <f ca="1">IFERROR(__xludf.DUMMYFUNCTION("""COMPUTED_VALUE"""),"Good")</f>
        <v>Good</v>
      </c>
      <c r="V216" t="str">
        <f ca="1">IFERROR(__xludf.DUMMYFUNCTION("""COMPUTED_VALUE"""),"Good")</f>
        <v>Good</v>
      </c>
      <c r="W216" t="str">
        <f ca="1">IFERROR(__xludf.DUMMYFUNCTION("""COMPUTED_VALUE"""),"Good")</f>
        <v>Good</v>
      </c>
      <c r="X216" t="str">
        <f ca="1">IFERROR(__xludf.DUMMYFUNCTION("""COMPUTED_VALUE"""),"Good")</f>
        <v>Good</v>
      </c>
      <c r="Y216" t="str">
        <f ca="1">IFERROR(__xludf.DUMMYFUNCTION("""COMPUTED_VALUE"""),"Good")</f>
        <v>Good</v>
      </c>
      <c r="Z216" t="str">
        <f ca="1">IFERROR(__xludf.DUMMYFUNCTION("""COMPUTED_VALUE"""),"Good")</f>
        <v>Good</v>
      </c>
      <c r="AA216" t="str">
        <f ca="1">IFERROR(__xludf.DUMMYFUNCTION("""COMPUTED_VALUE"""),"Good")</f>
        <v>Good</v>
      </c>
      <c r="AB216" t="str">
        <f ca="1">IFERROR(__xludf.DUMMYFUNCTION("""COMPUTED_VALUE"""),"Good")</f>
        <v>Good</v>
      </c>
      <c r="AC216" t="str">
        <f ca="1">IFERROR(__xludf.DUMMYFUNCTION("""COMPUTED_VALUE"""),"Good")</f>
        <v>Good</v>
      </c>
      <c r="AE216" s="11"/>
      <c r="AF216" t="str">
        <v>Nikki.Dix@floridadep.gov</v>
      </c>
      <c r="AG216" s="17" t="s">
        <v>41</v>
      </c>
      <c r="AH216" s="12">
        <v>1600</v>
      </c>
      <c r="AI216" s="12" t="s">
        <v>590</v>
      </c>
      <c r="AJ216" s="19" t="s">
        <v>591</v>
      </c>
      <c r="AK216" s="20" t="str">
        <f>HYPERLINK("https://docs.google.com/document/d/1Uul-M4yHrQoQPnrQFZYN9DfqLTVHhiUvwWZpw-wNmWI/edit?usp=drivesdk","Ben Mowbray - 1/2/2019 10:00 AM")</f>
        <v>Ben Mowbray - 1/2/2019 10:00 AM</v>
      </c>
      <c r="AL216" s="12" t="s">
        <v>592</v>
      </c>
    </row>
    <row r="217" spans="1:38" ht="12.75">
      <c r="A217" s="10">
        <f ca="1">IFERROR(__xludf.DUMMYFUNCTION("""COMPUTED_VALUE"""),43467.4009532986)</f>
        <v>43467.400953298602</v>
      </c>
      <c r="B217" s="11" t="str">
        <f ca="1">IFERROR(__xludf.DUMMYFUNCTION("""COMPUTED_VALUE"""),"Pamela Marcum")</f>
        <v>Pamela Marcum</v>
      </c>
      <c r="C217" t="str">
        <f ca="1">IFERROR(__xludf.DUMMYFUNCTION("""COMPUTED_VALUE"""),"Pamela.Marcum@dep.state.fl.us")</f>
        <v>Pamela.Marcum@dep.state.fl.us</v>
      </c>
      <c r="D217" t="str">
        <f ca="1">IFERROR(__xludf.DUMMYFUNCTION("""COMPUTED_VALUE"""),"Research/Nikki")</f>
        <v>Research/Nikki</v>
      </c>
      <c r="E217" t="str">
        <f ca="1">IFERROR(__xludf.DUMMYFUNCTION("""COMPUTED_VALUE"""),"Shore Drive 10a, Green Rd 1p, Bings 3p")</f>
        <v>Shore Drive 10a, Green Rd 1p, Bings 3p</v>
      </c>
      <c r="F217" s="13">
        <f ca="1">IFERROR(__xludf.DUMMYFUNCTION("""COMPUTED_VALUE"""),0.416666666667879)</f>
        <v>0.41666666666787899</v>
      </c>
      <c r="G217" s="14">
        <f ca="1">IFERROR(__xludf.DUMMYFUNCTION("""COMPUTED_VALUE"""),43467)</f>
        <v>43467</v>
      </c>
      <c r="H217" t="str">
        <f ca="1">IFERROR(__xludf.DUMMYFUNCTION("""COMPUTED_VALUE"""),"spat trees")</f>
        <v>spat trees</v>
      </c>
      <c r="I217" s="15">
        <f ca="1">IFERROR(__xludf.DUMMYFUNCTION("""COMPUTED_VALUE"""),0.70833333333212)</f>
        <v>0.70833333333212001</v>
      </c>
      <c r="J217" s="16">
        <f ca="1">IFERROR(__xludf.DUMMYFUNCTION("""COMPUTED_VALUE"""),43467.7708333333)</f>
        <v>43467.770833333299</v>
      </c>
      <c r="K217" t="str">
        <f ca="1">IFERROR(__xludf.DUMMYFUNCTION("""COMPUTED_VALUE"""),"20ft Sea Ark FL5351SJ UNF 2015")</f>
        <v>20ft Sea Ark FL5351SJ UNF 2015</v>
      </c>
      <c r="M217" t="str">
        <f ca="1">IFERROR(__xludf.DUMMYFUNCTION("""COMPUTED_VALUE"""),"Ford F150 2008 - DEP18041 (SWMP Thing)")</f>
        <v>Ford F150 2008 - DEP18041 (SWMP Thing)</v>
      </c>
      <c r="N217" t="str">
        <f ca="1">IFERROR(__xludf.DUMMYFUNCTION("""COMPUTED_VALUE"""),"Pam Marcum, (480) 332-5414, Remo Mondazzi")</f>
        <v>Pam Marcum, (480) 332-5414, Remo Mondazzi</v>
      </c>
      <c r="P217" t="str">
        <f ca="1">IFERROR(__xludf.DUMMYFUNCTION("""COMPUTED_VALUE"""),"Pam")</f>
        <v>Pam</v>
      </c>
      <c r="Q217" t="str">
        <f ca="1">IFERROR(__xludf.DUMMYFUNCTION("""COMPUTED_VALUE"""),"Good")</f>
        <v>Good</v>
      </c>
      <c r="R217" t="str">
        <f ca="1">IFERROR(__xludf.DUMMYFUNCTION("""COMPUTED_VALUE"""),"Good")</f>
        <v>Good</v>
      </c>
      <c r="S217" t="str">
        <f ca="1">IFERROR(__xludf.DUMMYFUNCTION("""COMPUTED_VALUE"""),"Good")</f>
        <v>Good</v>
      </c>
      <c r="T217" t="str">
        <f ca="1">IFERROR(__xludf.DUMMYFUNCTION("""COMPUTED_VALUE"""),"Good")</f>
        <v>Good</v>
      </c>
      <c r="U217" t="str">
        <f ca="1">IFERROR(__xludf.DUMMYFUNCTION("""COMPUTED_VALUE"""),"Good")</f>
        <v>Good</v>
      </c>
      <c r="V217" t="str">
        <f ca="1">IFERROR(__xludf.DUMMYFUNCTION("""COMPUTED_VALUE"""),"Good")</f>
        <v>Good</v>
      </c>
      <c r="W217" t="str">
        <f ca="1">IFERROR(__xludf.DUMMYFUNCTION("""COMPUTED_VALUE"""),"Good")</f>
        <v>Good</v>
      </c>
      <c r="X217" t="str">
        <f ca="1">IFERROR(__xludf.DUMMYFUNCTION("""COMPUTED_VALUE"""),"Good")</f>
        <v>Good</v>
      </c>
      <c r="Y217" t="str">
        <f ca="1">IFERROR(__xludf.DUMMYFUNCTION("""COMPUTED_VALUE"""),"Good")</f>
        <v>Good</v>
      </c>
      <c r="Z217" t="str">
        <f ca="1">IFERROR(__xludf.DUMMYFUNCTION("""COMPUTED_VALUE"""),"Good")</f>
        <v>Good</v>
      </c>
      <c r="AA217" t="str">
        <f ca="1">IFERROR(__xludf.DUMMYFUNCTION("""COMPUTED_VALUE"""),"Good")</f>
        <v>Good</v>
      </c>
      <c r="AB217" t="str">
        <f ca="1">IFERROR(__xludf.DUMMYFUNCTION("""COMPUTED_VALUE"""),"Good")</f>
        <v>Good</v>
      </c>
      <c r="AC217" t="str">
        <f ca="1">IFERROR(__xludf.DUMMYFUNCTION("""COMPUTED_VALUE"""),"Good")</f>
        <v>Good</v>
      </c>
      <c r="AE217" s="11"/>
      <c r="AF217" t="str">
        <v>Nikki.Dix@floridadep.gov</v>
      </c>
      <c r="AG217" s="17" t="s">
        <v>41</v>
      </c>
      <c r="AH217" s="12">
        <v>1440</v>
      </c>
      <c r="AI217" s="12" t="s">
        <v>593</v>
      </c>
      <c r="AJ217" s="19" t="s">
        <v>594</v>
      </c>
      <c r="AK217" s="20" t="str">
        <f>HYPERLINK("https://docs.google.com/document/d/11wDe1iSta-uPiSj3aBwpM_PUcVB86619YC5CLL_mQ-I/edit?usp=drivesdk","Pamela Marcum - 1/2/2019 10:00 AM")</f>
        <v>Pamela Marcum - 1/2/2019 10:00 AM</v>
      </c>
      <c r="AL217" s="12" t="s">
        <v>595</v>
      </c>
    </row>
    <row r="218" spans="1:38" ht="12.75">
      <c r="A218" s="10">
        <f ca="1">IFERROR(__xludf.DUMMYFUNCTION("""COMPUTED_VALUE"""),43467.7862429282)</f>
        <v>43467.786242928203</v>
      </c>
      <c r="B218" s="11" t="str">
        <f ca="1">IFERROR(__xludf.DUMMYFUNCTION("""COMPUTED_VALUE"""),"Pamela Marcum")</f>
        <v>Pamela Marcum</v>
      </c>
      <c r="C218" t="str">
        <f ca="1">IFERROR(__xludf.DUMMYFUNCTION("""COMPUTED_VALUE"""),"Pamela.Marcum@dep.state.fl.us")</f>
        <v>Pamela.Marcum@dep.state.fl.us</v>
      </c>
      <c r="D218" t="str">
        <f ca="1">IFERROR(__xludf.DUMMYFUNCTION("""COMPUTED_VALUE"""),"Research/Nikki")</f>
        <v>Research/Nikki</v>
      </c>
      <c r="E218" t="str">
        <f ca="1">IFERROR(__xludf.DUMMYFUNCTION("""COMPUTED_VALUE"""),"Lighthouse 0930, Shore Dr 1130")</f>
        <v>Lighthouse 0930, Shore Dr 1130</v>
      </c>
      <c r="F218" s="13">
        <f ca="1">IFERROR(__xludf.DUMMYFUNCTION("""COMPUTED_VALUE"""),0.39583333333212)</f>
        <v>0.39583333333212001</v>
      </c>
      <c r="G218" s="14">
        <f ca="1">IFERROR(__xludf.DUMMYFUNCTION("""COMPUTED_VALUE"""),43468)</f>
        <v>43468</v>
      </c>
      <c r="H218" t="str">
        <f ca="1">IFERROR(__xludf.DUMMYFUNCTION("""COMPUTED_VALUE"""),"Salt Run &amp; St. Aug Kimbro sites")</f>
        <v>Salt Run &amp; St. Aug Kimbro sites</v>
      </c>
      <c r="I218" s="15">
        <f ca="1">IFERROR(__xludf.DUMMYFUNCTION("""COMPUTED_VALUE"""),0.5625)</f>
        <v>0.5625</v>
      </c>
      <c r="J218" s="16">
        <f ca="1">IFERROR(__xludf.DUMMYFUNCTION("""COMPUTED_VALUE"""),43468.5833333333)</f>
        <v>43468.583333333299</v>
      </c>
      <c r="K218" t="str">
        <f ca="1">IFERROR(__xludf.DUMMYFUNCTION("""COMPUTED_VALUE"""),"20ft Sea Ark FL5351SJ UNF 2015")</f>
        <v>20ft Sea Ark FL5351SJ UNF 2015</v>
      </c>
      <c r="M218" t="str">
        <f ca="1">IFERROR(__xludf.DUMMYFUNCTION("""COMPUTED_VALUE"""),"Ford F150 2008 - DEP18041 (SWMP Thing)")</f>
        <v>Ford F150 2008 - DEP18041 (SWMP Thing)</v>
      </c>
      <c r="N218" t="str">
        <f ca="1">IFERROR(__xludf.DUMMYFUNCTION("""COMPUTED_VALUE"""),"Pam Marcum, (480) 332-5414")</f>
        <v>Pam Marcum, (480) 332-5414</v>
      </c>
      <c r="O218" t="str">
        <f ca="1">IFERROR(__xludf.DUMMYFUNCTION("""COMPUTED_VALUE"""),"Nicole Peckham, Adrienne Breef-Pilz")</f>
        <v>Nicole Peckham, Adrienne Breef-Pilz</v>
      </c>
      <c r="P218" t="str">
        <f ca="1">IFERROR(__xludf.DUMMYFUNCTION("""COMPUTED_VALUE"""),"Pam")</f>
        <v>Pam</v>
      </c>
      <c r="Q218" t="str">
        <f ca="1">IFERROR(__xludf.DUMMYFUNCTION("""COMPUTED_VALUE"""),"Good")</f>
        <v>Good</v>
      </c>
      <c r="R218" t="str">
        <f ca="1">IFERROR(__xludf.DUMMYFUNCTION("""COMPUTED_VALUE"""),"Good")</f>
        <v>Good</v>
      </c>
      <c r="S218" t="str">
        <f ca="1">IFERROR(__xludf.DUMMYFUNCTION("""COMPUTED_VALUE"""),"Good")</f>
        <v>Good</v>
      </c>
      <c r="T218" t="str">
        <f ca="1">IFERROR(__xludf.DUMMYFUNCTION("""COMPUTED_VALUE"""),"Good")</f>
        <v>Good</v>
      </c>
      <c r="U218" t="str">
        <f ca="1">IFERROR(__xludf.DUMMYFUNCTION("""COMPUTED_VALUE"""),"Good")</f>
        <v>Good</v>
      </c>
      <c r="V218" t="str">
        <f ca="1">IFERROR(__xludf.DUMMYFUNCTION("""COMPUTED_VALUE"""),"Good")</f>
        <v>Good</v>
      </c>
      <c r="W218" t="str">
        <f ca="1">IFERROR(__xludf.DUMMYFUNCTION("""COMPUTED_VALUE"""),"Good")</f>
        <v>Good</v>
      </c>
      <c r="X218" t="str">
        <f ca="1">IFERROR(__xludf.DUMMYFUNCTION("""COMPUTED_VALUE"""),"Good")</f>
        <v>Good</v>
      </c>
      <c r="Y218" t="str">
        <f ca="1">IFERROR(__xludf.DUMMYFUNCTION("""COMPUTED_VALUE"""),"Good")</f>
        <v>Good</v>
      </c>
      <c r="Z218" t="str">
        <f ca="1">IFERROR(__xludf.DUMMYFUNCTION("""COMPUTED_VALUE"""),"Good")</f>
        <v>Good</v>
      </c>
      <c r="AA218" t="str">
        <f ca="1">IFERROR(__xludf.DUMMYFUNCTION("""COMPUTED_VALUE"""),"Good")</f>
        <v>Good</v>
      </c>
      <c r="AB218" t="str">
        <f ca="1">IFERROR(__xludf.DUMMYFUNCTION("""COMPUTED_VALUE"""),"Good")</f>
        <v>Good</v>
      </c>
      <c r="AC218" t="str">
        <f ca="1">IFERROR(__xludf.DUMMYFUNCTION("""COMPUTED_VALUE"""),"Good")</f>
        <v>Good</v>
      </c>
      <c r="AE218" s="11"/>
      <c r="AF218" t="str">
        <v>Nikki.Dix@floridadep.gov</v>
      </c>
      <c r="AG218" s="17" t="s">
        <v>126</v>
      </c>
      <c r="AH218" s="12">
        <v>1445</v>
      </c>
      <c r="AI218" s="12" t="s">
        <v>596</v>
      </c>
      <c r="AJ218" s="19" t="s">
        <v>597</v>
      </c>
      <c r="AK218" s="20" t="str">
        <f>HYPERLINK("https://docs.google.com/document/d/16OYOj5TIsxB7aLpe8-WmMHmeLPl3WJceZcqhaNcR8ug/edit?usp=drivesdk","Pamela Marcum - 1/3/2019 9:30 AM")</f>
        <v>Pamela Marcum - 1/3/2019 9:30 AM</v>
      </c>
      <c r="AL218" s="12" t="s">
        <v>598</v>
      </c>
    </row>
    <row r="219" spans="1:38" ht="12.75">
      <c r="A219" s="10">
        <f ca="1">IFERROR(__xludf.DUMMYFUNCTION("""COMPUTED_VALUE"""),43469.3435967939)</f>
        <v>43469.3435967939</v>
      </c>
      <c r="B219" s="11" t="str">
        <f ca="1">IFERROR(__xludf.DUMMYFUNCTION("""COMPUTED_VALUE"""),"James Tomazinis")</f>
        <v>James Tomazinis</v>
      </c>
      <c r="C219" t="str">
        <f ca="1">IFERROR(__xludf.DUMMYFUNCTION("""COMPUTED_VALUE"""),"james.tomazinis@floridadep.gov")</f>
        <v>james.tomazinis@floridadep.gov</v>
      </c>
      <c r="D219" t="str">
        <f ca="1">IFERROR(__xludf.DUMMYFUNCTION("""COMPUTED_VALUE"""),"Stewardship (Aquatic)")</f>
        <v>Stewardship (Aquatic)</v>
      </c>
      <c r="E219" t="str">
        <f ca="1">IFERROR(__xludf.DUMMYFUNCTION("""COMPUTED_VALUE"""),"Aunt Kates")</f>
        <v>Aunt Kates</v>
      </c>
      <c r="F219" s="13">
        <f ca="1">IFERROR(__xludf.DUMMYFUNCTION("""COMPUTED_VALUE"""),0.375)</f>
        <v>0.375</v>
      </c>
      <c r="G219" s="14">
        <f ca="1">IFERROR(__xludf.DUMMYFUNCTION("""COMPUTED_VALUE"""),43469)</f>
        <v>43469</v>
      </c>
      <c r="H219" t="str">
        <f ca="1">IFERROR(__xludf.DUMMYFUNCTION("""COMPUTED_VALUE"""),"Tolomato River near airport")</f>
        <v>Tolomato River near airport</v>
      </c>
      <c r="I219" s="15">
        <f ca="1">IFERROR(__xludf.DUMMYFUNCTION("""COMPUTED_VALUE"""),0.52083333333212)</f>
        <v>0.52083333333212001</v>
      </c>
      <c r="J219" s="16"/>
      <c r="K219" t="str">
        <f ca="1">IFERROR(__xludf.DUMMYFUNCTION("""COMPUTED_VALUE"""),"23ft Skiff (Bertha) FL7972LJ DEP07613")</f>
        <v>23ft Skiff (Bertha) FL7972LJ DEP07613</v>
      </c>
      <c r="M219" t="str">
        <f ca="1">IFERROR(__xludf.DUMMYFUNCTION("""COMPUTED_VALUE"""),"Ford F150 2015 (White) - DEP21448")</f>
        <v>Ford F150 2015 (White) - DEP21448</v>
      </c>
      <c r="N219" t="str">
        <f ca="1">IFERROR(__xludf.DUMMYFUNCTION("""COMPUTED_VALUE"""),"Jimmy Tomazinis, (904) 547-0094, Ben Mowbray, (407) 962-8782")</f>
        <v>Jimmy Tomazinis, (904) 547-0094, Ben Mowbray, (407) 962-8782</v>
      </c>
      <c r="O219" t="str">
        <f ca="1">IFERROR(__xludf.DUMMYFUNCTION("""COMPUTED_VALUE"""),"Benjamin Mowbray, (407) 962-8782, Gabriela Canas, (904) 891-9743, Ed McGinley")</f>
        <v>Benjamin Mowbray, (407) 962-8782, Gabriela Canas, (904) 891-9743, Ed McGinley</v>
      </c>
      <c r="P219" t="str">
        <f ca="1">IFERROR(__xludf.DUMMYFUNCTION("""COMPUTED_VALUE"""),"Jimmy")</f>
        <v>Jimmy</v>
      </c>
      <c r="Q219" t="str">
        <f ca="1">IFERROR(__xludf.DUMMYFUNCTION("""COMPUTED_VALUE"""),"Good")</f>
        <v>Good</v>
      </c>
      <c r="R219" t="str">
        <f ca="1">IFERROR(__xludf.DUMMYFUNCTION("""COMPUTED_VALUE"""),"Good")</f>
        <v>Good</v>
      </c>
      <c r="S219" t="str">
        <f ca="1">IFERROR(__xludf.DUMMYFUNCTION("""COMPUTED_VALUE"""),"Good")</f>
        <v>Good</v>
      </c>
      <c r="T219" t="str">
        <f ca="1">IFERROR(__xludf.DUMMYFUNCTION("""COMPUTED_VALUE"""),"Good")</f>
        <v>Good</v>
      </c>
      <c r="U219" t="str">
        <f ca="1">IFERROR(__xludf.DUMMYFUNCTION("""COMPUTED_VALUE"""),"Good")</f>
        <v>Good</v>
      </c>
      <c r="V219" t="str">
        <f ca="1">IFERROR(__xludf.DUMMYFUNCTION("""COMPUTED_VALUE"""),"Good")</f>
        <v>Good</v>
      </c>
      <c r="W219" t="str">
        <f ca="1">IFERROR(__xludf.DUMMYFUNCTION("""COMPUTED_VALUE"""),"Good")</f>
        <v>Good</v>
      </c>
      <c r="X219" t="str">
        <f ca="1">IFERROR(__xludf.DUMMYFUNCTION("""COMPUTED_VALUE"""),"Good")</f>
        <v>Good</v>
      </c>
      <c r="Y219" t="str">
        <f ca="1">IFERROR(__xludf.DUMMYFUNCTION("""COMPUTED_VALUE"""),"Good")</f>
        <v>Good</v>
      </c>
      <c r="Z219" t="str">
        <f ca="1">IFERROR(__xludf.DUMMYFUNCTION("""COMPUTED_VALUE"""),"Good")</f>
        <v>Good</v>
      </c>
      <c r="AA219" t="str">
        <f ca="1">IFERROR(__xludf.DUMMYFUNCTION("""COMPUTED_VALUE"""),"Good")</f>
        <v>Good</v>
      </c>
      <c r="AB219" t="str">
        <f ca="1">IFERROR(__xludf.DUMMYFUNCTION("""COMPUTED_VALUE"""),"Good")</f>
        <v>Good</v>
      </c>
      <c r="AC219" t="str">
        <f ca="1">IFERROR(__xludf.DUMMYFUNCTION("""COMPUTED_VALUE"""),"Good")</f>
        <v>Good</v>
      </c>
      <c r="AE219" s="11"/>
      <c r="AF219" t="str">
        <v>Scott.Eastman@floridadep.gov</v>
      </c>
      <c r="AG219" s="17" t="s">
        <v>126</v>
      </c>
      <c r="AH219" s="12">
        <v>1255</v>
      </c>
      <c r="AI219" s="12" t="s">
        <v>599</v>
      </c>
      <c r="AJ219" s="19" t="s">
        <v>600</v>
      </c>
      <c r="AK219" s="20" t="str">
        <f>HYPERLINK("https://docs.google.com/document/d/16SdYODC-uCZ2zFLn33qfp7Qjty_GYbog-ssGQaMREx8/edit?usp=drivesdk","James Tomazinis - 1/4/2019 9:00 AM")</f>
        <v>James Tomazinis - 1/4/2019 9:00 AM</v>
      </c>
      <c r="AL219" s="12" t="s">
        <v>601</v>
      </c>
    </row>
    <row r="220" spans="1:38" ht="12.75">
      <c r="A220" s="10">
        <f ca="1">IFERROR(__xludf.DUMMYFUNCTION("""COMPUTED_VALUE"""),43469.4142080092)</f>
        <v>43469.414208009199</v>
      </c>
      <c r="B220" s="11" t="str">
        <f ca="1">IFERROR(__xludf.DUMMYFUNCTION("""COMPUTED_VALUE"""),"Pamela Marcum")</f>
        <v>Pamela Marcum</v>
      </c>
      <c r="C220" t="str">
        <f ca="1">IFERROR(__xludf.DUMMYFUNCTION("""COMPUTED_VALUE"""),"Pamela.Marcum@dep.state.fl.us")</f>
        <v>Pamela.Marcum@dep.state.fl.us</v>
      </c>
      <c r="D220" t="str">
        <f ca="1">IFERROR(__xludf.DUMMYFUNCTION("""COMPUTED_VALUE"""),"Research/Nikki")</f>
        <v>Research/Nikki</v>
      </c>
      <c r="E220" t="str">
        <f ca="1">IFERROR(__xludf.DUMMYFUNCTION("""COMPUTED_VALUE"""),"Shore Dr 10am, Aunt Kate's 11am")</f>
        <v>Shore Dr 10am, Aunt Kate's 11am</v>
      </c>
      <c r="F220" s="13">
        <f ca="1">IFERROR(__xludf.DUMMYFUNCTION("""COMPUTED_VALUE"""),0.416666666667879)</f>
        <v>0.41666666666787899</v>
      </c>
      <c r="G220" s="14">
        <f ca="1">IFERROR(__xludf.DUMMYFUNCTION("""COMPUTED_VALUE"""),43469)</f>
        <v>43469</v>
      </c>
      <c r="H220" t="str">
        <f ca="1">IFERROR(__xludf.DUMMYFUNCTION("""COMPUTED_VALUE"""),"Northern Kimbro sites")</f>
        <v>Northern Kimbro sites</v>
      </c>
      <c r="I220" s="15">
        <f ca="1">IFERROR(__xludf.DUMMYFUNCTION("""COMPUTED_VALUE"""),0.625)</f>
        <v>0.625</v>
      </c>
      <c r="J220" s="16">
        <f ca="1">IFERROR(__xludf.DUMMYFUNCTION("""COMPUTED_VALUE"""),43469.6458333333)</f>
        <v>43469.645833333299</v>
      </c>
      <c r="K220" t="str">
        <f ca="1">IFERROR(__xludf.DUMMYFUNCTION("""COMPUTED_VALUE"""),"20ft Sea Ark FL5351SJ UNF 2015")</f>
        <v>20ft Sea Ark FL5351SJ UNF 2015</v>
      </c>
      <c r="M220" t="str">
        <f ca="1">IFERROR(__xludf.DUMMYFUNCTION("""COMPUTED_VALUE"""),"Ford F150 2008 - DEP18041 (SWMP Thing)")</f>
        <v>Ford F150 2008 - DEP18041 (SWMP Thing)</v>
      </c>
      <c r="N220" t="str">
        <f ca="1">IFERROR(__xludf.DUMMYFUNCTION("""COMPUTED_VALUE"""),"Pam Marcum, (480) 332-5414")</f>
        <v>Pam Marcum, (480) 332-5414</v>
      </c>
      <c r="O220" t="str">
        <f ca="1">IFERROR(__xludf.DUMMYFUNCTION("""COMPUTED_VALUE"""),"Adrienne Breef-Pilz, Nicoloe Peckham")</f>
        <v>Adrienne Breef-Pilz, Nicoloe Peckham</v>
      </c>
      <c r="P220" t="str">
        <f ca="1">IFERROR(__xludf.DUMMYFUNCTION("""COMPUTED_VALUE"""),"Pam")</f>
        <v>Pam</v>
      </c>
      <c r="Q220" t="str">
        <f ca="1">IFERROR(__xludf.DUMMYFUNCTION("""COMPUTED_VALUE"""),"Good")</f>
        <v>Good</v>
      </c>
      <c r="R220" t="str">
        <f ca="1">IFERROR(__xludf.DUMMYFUNCTION("""COMPUTED_VALUE"""),"Good")</f>
        <v>Good</v>
      </c>
      <c r="S220" t="str">
        <f ca="1">IFERROR(__xludf.DUMMYFUNCTION("""COMPUTED_VALUE"""),"Good")</f>
        <v>Good</v>
      </c>
      <c r="T220" t="str">
        <f ca="1">IFERROR(__xludf.DUMMYFUNCTION("""COMPUTED_VALUE"""),"Good")</f>
        <v>Good</v>
      </c>
      <c r="U220" t="str">
        <f ca="1">IFERROR(__xludf.DUMMYFUNCTION("""COMPUTED_VALUE"""),"Good")</f>
        <v>Good</v>
      </c>
      <c r="V220" t="str">
        <f ca="1">IFERROR(__xludf.DUMMYFUNCTION("""COMPUTED_VALUE"""),"Good")</f>
        <v>Good</v>
      </c>
      <c r="W220" t="str">
        <f ca="1">IFERROR(__xludf.DUMMYFUNCTION("""COMPUTED_VALUE"""),"Good")</f>
        <v>Good</v>
      </c>
      <c r="X220" t="str">
        <f ca="1">IFERROR(__xludf.DUMMYFUNCTION("""COMPUTED_VALUE"""),"Good")</f>
        <v>Good</v>
      </c>
      <c r="Y220" t="str">
        <f ca="1">IFERROR(__xludf.DUMMYFUNCTION("""COMPUTED_VALUE"""),"Good")</f>
        <v>Good</v>
      </c>
      <c r="Z220" t="str">
        <f ca="1">IFERROR(__xludf.DUMMYFUNCTION("""COMPUTED_VALUE"""),"Good")</f>
        <v>Good</v>
      </c>
      <c r="AA220" t="str">
        <f ca="1">IFERROR(__xludf.DUMMYFUNCTION("""COMPUTED_VALUE"""),"Good")</f>
        <v>Good</v>
      </c>
      <c r="AB220" t="str">
        <f ca="1">IFERROR(__xludf.DUMMYFUNCTION("""COMPUTED_VALUE"""),"Good")</f>
        <v>Good</v>
      </c>
      <c r="AC220" t="str">
        <f ca="1">IFERROR(__xludf.DUMMYFUNCTION("""COMPUTED_VALUE"""),"Good")</f>
        <v>Good</v>
      </c>
      <c r="AE220" s="11"/>
      <c r="AF220" t="str">
        <v>Nikki.Dix@floridadep.gov</v>
      </c>
      <c r="AG220" s="17" t="s">
        <v>126</v>
      </c>
      <c r="AI220" s="12" t="s">
        <v>602</v>
      </c>
      <c r="AJ220" s="19" t="s">
        <v>603</v>
      </c>
      <c r="AK220" s="20" t="str">
        <f>HYPERLINK("https://docs.google.com/document/d/1p7s5sR34YXc9wg1z-_VVivHlRGZkuTUZxMHhBUHtCco/edit?usp=drivesdk","Pamela Marcum - 1/4/2019 10:00 AM")</f>
        <v>Pamela Marcum - 1/4/2019 10:00 AM</v>
      </c>
      <c r="AL220" s="12" t="s">
        <v>604</v>
      </c>
    </row>
    <row r="221" spans="1:38" ht="12.75">
      <c r="A221" s="10">
        <f ca="1">IFERROR(__xludf.DUMMYFUNCTION("""COMPUTED_VALUE"""),43472.6592457985)</f>
        <v>43472.659245798597</v>
      </c>
      <c r="B221" s="11" t="str">
        <f ca="1">IFERROR(__xludf.DUMMYFUNCTION("""COMPUTED_VALUE"""),"Silas Tanner")</f>
        <v>Silas Tanner</v>
      </c>
      <c r="C221" t="str">
        <f ca="1">IFERROR(__xludf.DUMMYFUNCTION("""COMPUTED_VALUE"""),"silas.tanner@floridadep.gov")</f>
        <v>silas.tanner@floridadep.gov</v>
      </c>
      <c r="D221" t="str">
        <f ca="1">IFERROR(__xludf.DUMMYFUNCTION("""COMPUTED_VALUE"""),"Research/Nikki")</f>
        <v>Research/Nikki</v>
      </c>
      <c r="E221" t="str">
        <f ca="1">IFERROR(__xludf.DUMMYFUNCTION("""COMPUTED_VALUE"""),"Vilano Landing")</f>
        <v>Vilano Landing</v>
      </c>
      <c r="F221" s="13">
        <f ca="1">IFERROR(__xludf.DUMMYFUNCTION("""COMPUTED_VALUE"""),0.36458333333212)</f>
        <v>0.36458333333212001</v>
      </c>
      <c r="G221" s="14">
        <f ca="1">IFERROR(__xludf.DUMMYFUNCTION("""COMPUTED_VALUE"""),43473)</f>
        <v>43473</v>
      </c>
      <c r="H221" t="str">
        <f ca="1">IFERROR(__xludf.DUMMYFUNCTION("""COMPUTED_VALUE"""),"ICW: SWMP Stations")</f>
        <v>ICW: SWMP Stations</v>
      </c>
      <c r="I221" s="15">
        <f ca="1">IFERROR(__xludf.DUMMYFUNCTION("""COMPUTED_VALUE"""),0.53125)</f>
        <v>0.53125</v>
      </c>
      <c r="J221" s="16">
        <f ca="1">IFERROR(__xludf.DUMMYFUNCTION("""COMPUTED_VALUE"""),43473.5416666666)</f>
        <v>43473.541666666599</v>
      </c>
      <c r="K221" t="str">
        <f ca="1">IFERROR(__xludf.DUMMYFUNCTION("""COMPUTED_VALUE"""),"20ft Sea Ark FL5351SJ UNF 2015")</f>
        <v>20ft Sea Ark FL5351SJ UNF 2015</v>
      </c>
      <c r="M221" t="str">
        <f ca="1">IFERROR(__xludf.DUMMYFUNCTION("""COMPUTED_VALUE"""),"Ford F250 2017 (Moby Dix) - DEP0021578")</f>
        <v>Ford F250 2017 (Moby Dix) - DEP0021578</v>
      </c>
      <c r="N221" t="str">
        <f ca="1">IFERROR(__xludf.DUMMYFUNCTION("""COMPUTED_VALUE"""),"Silas Tanner, (904) 483-8423, Remo Mondazi")</f>
        <v>Silas Tanner, (904) 483-8423, Remo Mondazi</v>
      </c>
      <c r="P221" t="str">
        <f ca="1">IFERROR(__xludf.DUMMYFUNCTION("""COMPUTED_VALUE"""),"S. Tanner")</f>
        <v>S. Tanner</v>
      </c>
      <c r="Q221" t="str">
        <f ca="1">IFERROR(__xludf.DUMMYFUNCTION("""COMPUTED_VALUE"""),"Good")</f>
        <v>Good</v>
      </c>
      <c r="R221" t="str">
        <f ca="1">IFERROR(__xludf.DUMMYFUNCTION("""COMPUTED_VALUE"""),"Good")</f>
        <v>Good</v>
      </c>
      <c r="S221" t="str">
        <f ca="1">IFERROR(__xludf.DUMMYFUNCTION("""COMPUTED_VALUE"""),"Good")</f>
        <v>Good</v>
      </c>
      <c r="T221" t="str">
        <f ca="1">IFERROR(__xludf.DUMMYFUNCTION("""COMPUTED_VALUE"""),"Good")</f>
        <v>Good</v>
      </c>
      <c r="U221" t="str">
        <f ca="1">IFERROR(__xludf.DUMMYFUNCTION("""COMPUTED_VALUE"""),"Good")</f>
        <v>Good</v>
      </c>
      <c r="V221" t="str">
        <f ca="1">IFERROR(__xludf.DUMMYFUNCTION("""COMPUTED_VALUE"""),"Good")</f>
        <v>Good</v>
      </c>
      <c r="W221" t="str">
        <f ca="1">IFERROR(__xludf.DUMMYFUNCTION("""COMPUTED_VALUE"""),"Good")</f>
        <v>Good</v>
      </c>
      <c r="X221" t="str">
        <f ca="1">IFERROR(__xludf.DUMMYFUNCTION("""COMPUTED_VALUE"""),"Good")</f>
        <v>Good</v>
      </c>
      <c r="Y221" t="str">
        <f ca="1">IFERROR(__xludf.DUMMYFUNCTION("""COMPUTED_VALUE"""),"Good")</f>
        <v>Good</v>
      </c>
      <c r="Z221" t="str">
        <f ca="1">IFERROR(__xludf.DUMMYFUNCTION("""COMPUTED_VALUE"""),"Good")</f>
        <v>Good</v>
      </c>
      <c r="AA221" t="str">
        <f ca="1">IFERROR(__xludf.DUMMYFUNCTION("""COMPUTED_VALUE"""),"Good")</f>
        <v>Good</v>
      </c>
      <c r="AB221" t="str">
        <f ca="1">IFERROR(__xludf.DUMMYFUNCTION("""COMPUTED_VALUE"""),"Good")</f>
        <v>Good</v>
      </c>
      <c r="AC221" t="str">
        <f ca="1">IFERROR(__xludf.DUMMYFUNCTION("""COMPUTED_VALUE"""),"Good")</f>
        <v>Good</v>
      </c>
      <c r="AE221" s="11"/>
      <c r="AF221" t="str">
        <v>Nikki.Dix@floridadep.gov</v>
      </c>
      <c r="AG221" s="17" t="s">
        <v>17</v>
      </c>
      <c r="AH221" s="12">
        <v>1220</v>
      </c>
      <c r="AI221" s="12" t="s">
        <v>605</v>
      </c>
      <c r="AJ221" s="19" t="s">
        <v>606</v>
      </c>
      <c r="AK221" s="20" t="str">
        <f>HYPERLINK("https://docs.google.com/document/d/1w5yvrJDRg-YgyWDyeVMe6dpoKT5A2GMePvS1bvcmC00/edit?usp=drivesdk","Silas Tanner - 1/8/2019 8:45 AM")</f>
        <v>Silas Tanner - 1/8/2019 8:45 AM</v>
      </c>
      <c r="AL221" s="12" t="s">
        <v>607</v>
      </c>
    </row>
    <row r="222" spans="1:38" ht="12.75">
      <c r="A222" s="10">
        <f ca="1">IFERROR(__xludf.DUMMYFUNCTION("""COMPUTED_VALUE"""),43474.3427314236)</f>
        <v>43474.342731423603</v>
      </c>
      <c r="B222" s="11" t="str">
        <f ca="1">IFERROR(__xludf.DUMMYFUNCTION("""COMPUTED_VALUE"""),"James Tomazinis")</f>
        <v>James Tomazinis</v>
      </c>
      <c r="C222" t="str">
        <f ca="1">IFERROR(__xludf.DUMMYFUNCTION("""COMPUTED_VALUE"""),"james.tomazinis@floridadep.gov")</f>
        <v>james.tomazinis@floridadep.gov</v>
      </c>
      <c r="D222" t="str">
        <f ca="1">IFERROR(__xludf.DUMMYFUNCTION("""COMPUTED_VALUE"""),"Stewardship (Aquatic)")</f>
        <v>Stewardship (Aquatic)</v>
      </c>
      <c r="E222" t="str">
        <f ca="1">IFERROR(__xludf.DUMMYFUNCTION("""COMPUTED_VALUE"""),"Vilano")</f>
        <v>Vilano</v>
      </c>
      <c r="F222" s="13">
        <f ca="1">IFERROR(__xludf.DUMMYFUNCTION("""COMPUTED_VALUE"""),0.375)</f>
        <v>0.375</v>
      </c>
      <c r="G222" s="14">
        <f ca="1">IFERROR(__xludf.DUMMYFUNCTION("""COMPUTED_VALUE"""),43474)</f>
        <v>43474</v>
      </c>
      <c r="H222" t="str">
        <f ca="1">IFERROR(__xludf.DUMMYFUNCTION("""COMPUTED_VALUE"""),"Tolomato River Nekton Sites")</f>
        <v>Tolomato River Nekton Sites</v>
      </c>
      <c r="I222" s="15">
        <f ca="1">IFERROR(__xludf.DUMMYFUNCTION("""COMPUTED_VALUE"""),0.697916666667879)</f>
        <v>0.69791666666787899</v>
      </c>
      <c r="J222" s="16"/>
      <c r="K222" t="str">
        <f ca="1">IFERROR(__xludf.DUMMYFUNCTION("""COMPUTED_VALUE"""),"23ft Skiff (Bertha) FL7972LJ DEP07613")</f>
        <v>23ft Skiff (Bertha) FL7972LJ DEP07613</v>
      </c>
      <c r="M222" t="str">
        <f ca="1">IFERROR(__xludf.DUMMYFUNCTION("""COMPUTED_VALUE"""),"Ford F150 2015 (White) - DEP21448")</f>
        <v>Ford F150 2015 (White) - DEP21448</v>
      </c>
      <c r="N222" t="str">
        <f ca="1">IFERROR(__xludf.DUMMYFUNCTION("""COMPUTED_VALUE"""),"Jimmy Tomazinis, (904) 547-0094")</f>
        <v>Jimmy Tomazinis, (904) 547-0094</v>
      </c>
      <c r="O222" t="str">
        <f ca="1">IFERROR(__xludf.DUMMYFUNCTION("""COMPUTED_VALUE"""),"Doug Plishka, Jeff Finnan, Jim Cedarburg")</f>
        <v>Doug Plishka, Jeff Finnan, Jim Cedarburg</v>
      </c>
      <c r="P222" t="str">
        <f ca="1">IFERROR(__xludf.DUMMYFUNCTION("""COMPUTED_VALUE"""),"Jimmy")</f>
        <v>Jimmy</v>
      </c>
      <c r="Q222" t="str">
        <f ca="1">IFERROR(__xludf.DUMMYFUNCTION("""COMPUTED_VALUE"""),"Good")</f>
        <v>Good</v>
      </c>
      <c r="R222" t="str">
        <f ca="1">IFERROR(__xludf.DUMMYFUNCTION("""COMPUTED_VALUE"""),"Good")</f>
        <v>Good</v>
      </c>
      <c r="S222" t="str">
        <f ca="1">IFERROR(__xludf.DUMMYFUNCTION("""COMPUTED_VALUE"""),"Good")</f>
        <v>Good</v>
      </c>
      <c r="T222" t="str">
        <f ca="1">IFERROR(__xludf.DUMMYFUNCTION("""COMPUTED_VALUE"""),"Good")</f>
        <v>Good</v>
      </c>
      <c r="U222" t="str">
        <f ca="1">IFERROR(__xludf.DUMMYFUNCTION("""COMPUTED_VALUE"""),"Good")</f>
        <v>Good</v>
      </c>
      <c r="V222" t="str">
        <f ca="1">IFERROR(__xludf.DUMMYFUNCTION("""COMPUTED_VALUE"""),"Good")</f>
        <v>Good</v>
      </c>
      <c r="W222" t="str">
        <f ca="1">IFERROR(__xludf.DUMMYFUNCTION("""COMPUTED_VALUE"""),"Good")</f>
        <v>Good</v>
      </c>
      <c r="X222" t="str">
        <f ca="1">IFERROR(__xludf.DUMMYFUNCTION("""COMPUTED_VALUE"""),"Good")</f>
        <v>Good</v>
      </c>
      <c r="Y222" t="str">
        <f ca="1">IFERROR(__xludf.DUMMYFUNCTION("""COMPUTED_VALUE"""),"Good")</f>
        <v>Good</v>
      </c>
      <c r="Z222" t="str">
        <f ca="1">IFERROR(__xludf.DUMMYFUNCTION("""COMPUTED_VALUE"""),"Good")</f>
        <v>Good</v>
      </c>
      <c r="AA222" t="str">
        <f ca="1">IFERROR(__xludf.DUMMYFUNCTION("""COMPUTED_VALUE"""),"Good")</f>
        <v>Good</v>
      </c>
      <c r="AB222" t="str">
        <f ca="1">IFERROR(__xludf.DUMMYFUNCTION("""COMPUTED_VALUE"""),"Good")</f>
        <v>Good</v>
      </c>
      <c r="AC222" t="str">
        <f ca="1">IFERROR(__xludf.DUMMYFUNCTION("""COMPUTED_VALUE"""),"Good")</f>
        <v>Good</v>
      </c>
      <c r="AE222" s="11"/>
      <c r="AF222" t="str">
        <v>Scott.Eastman@floridadep.gov</v>
      </c>
      <c r="AG222" s="17" t="s">
        <v>222</v>
      </c>
      <c r="AH222" s="12" t="s">
        <v>278</v>
      </c>
      <c r="AI222" s="12" t="s">
        <v>608</v>
      </c>
      <c r="AJ222" s="19" t="s">
        <v>609</v>
      </c>
      <c r="AK222" s="20" t="str">
        <f>HYPERLINK("https://docs.google.com/document/d/1UTMHhAq_kXygMb9yCTHtxEDXQXCiJxKdNDQMS38t11M/edit?usp=drivesdk","James Tomazinis - 1/9/2019 9:00 AM")</f>
        <v>James Tomazinis - 1/9/2019 9:00 AM</v>
      </c>
      <c r="AL222" s="12" t="s">
        <v>610</v>
      </c>
    </row>
    <row r="223" spans="1:38" ht="12.75">
      <c r="A223" s="10">
        <f ca="1">IFERROR(__xludf.DUMMYFUNCTION("""COMPUTED_VALUE"""),43475.3616449884)</f>
        <v>43475.361644988399</v>
      </c>
      <c r="B223" s="11" t="str">
        <f ca="1">IFERROR(__xludf.DUMMYFUNCTION("""COMPUTED_VALUE"""),"Silas Tanner")</f>
        <v>Silas Tanner</v>
      </c>
      <c r="C223" t="str">
        <f ca="1">IFERROR(__xludf.DUMMYFUNCTION("""COMPUTED_VALUE"""),"silas.tanner@floridadep.gov")</f>
        <v>silas.tanner@floridadep.gov</v>
      </c>
      <c r="D223" t="str">
        <f ca="1">IFERROR(__xludf.DUMMYFUNCTION("""COMPUTED_VALUE"""),"Research/Nikki")</f>
        <v>Research/Nikki</v>
      </c>
      <c r="E223" t="str">
        <f ca="1">IFERROR(__xludf.DUMMYFUNCTION("""COMPUTED_VALUE"""),"Bings")</f>
        <v>Bings</v>
      </c>
      <c r="F223" s="13">
        <f ca="1">IFERROR(__xludf.DUMMYFUNCTION("""COMPUTED_VALUE"""),0.36458333333212)</f>
        <v>0.36458333333212001</v>
      </c>
      <c r="G223" s="14">
        <f ca="1">IFERROR(__xludf.DUMMYFUNCTION("""COMPUTED_VALUE"""),43475)</f>
        <v>43475</v>
      </c>
      <c r="H223" t="str">
        <f ca="1">IFERROR(__xludf.DUMMYFUNCTION("""COMPUTED_VALUE"""),"ICW Bings Kimbo sites")</f>
        <v>ICW Bings Kimbo sites</v>
      </c>
      <c r="I223" s="15">
        <f ca="1">IFERROR(__xludf.DUMMYFUNCTION("""COMPUTED_VALUE"""),0.541666666667879)</f>
        <v>0.54166666666787899</v>
      </c>
      <c r="J223" s="16">
        <f ca="1">IFERROR(__xludf.DUMMYFUNCTION("""COMPUTED_VALUE"""),43475.6666666666)</f>
        <v>43475.666666666599</v>
      </c>
      <c r="K223" t="str">
        <f ca="1">IFERROR(__xludf.DUMMYFUNCTION("""COMPUTED_VALUE"""),"20ft Sea Ark FL5351SJ UNF 2015")</f>
        <v>20ft Sea Ark FL5351SJ UNF 2015</v>
      </c>
      <c r="M223" t="str">
        <f ca="1">IFERROR(__xludf.DUMMYFUNCTION("""COMPUTED_VALUE"""),"Ford F150 2008 - DEP18041 (SWMP Thing)")</f>
        <v>Ford F150 2008 - DEP18041 (SWMP Thing)</v>
      </c>
      <c r="N223" t="str">
        <f ca="1">IFERROR(__xludf.DUMMYFUNCTION("""COMPUTED_VALUE"""),"Pam Marcum, (480) 332-5414, Silas Tanner, (904) 483-8423")</f>
        <v>Pam Marcum, (480) 332-5414, Silas Tanner, (904) 483-8423</v>
      </c>
      <c r="O223" t="str">
        <f ca="1">IFERROR(__xludf.DUMMYFUNCTION("""COMPUTED_VALUE"""),"Kimbro group")</f>
        <v>Kimbro group</v>
      </c>
      <c r="P223" t="str">
        <f ca="1">IFERROR(__xludf.DUMMYFUNCTION("""COMPUTED_VALUE"""),"Tanner")</f>
        <v>Tanner</v>
      </c>
      <c r="Q223" t="str">
        <f ca="1">IFERROR(__xludf.DUMMYFUNCTION("""COMPUTED_VALUE"""),"Good")</f>
        <v>Good</v>
      </c>
      <c r="R223" t="str">
        <f ca="1">IFERROR(__xludf.DUMMYFUNCTION("""COMPUTED_VALUE"""),"Good")</f>
        <v>Good</v>
      </c>
      <c r="S223" t="str">
        <f ca="1">IFERROR(__xludf.DUMMYFUNCTION("""COMPUTED_VALUE"""),"Good")</f>
        <v>Good</v>
      </c>
      <c r="T223" t="str">
        <f ca="1">IFERROR(__xludf.DUMMYFUNCTION("""COMPUTED_VALUE"""),"Good")</f>
        <v>Good</v>
      </c>
      <c r="U223" t="str">
        <f ca="1">IFERROR(__xludf.DUMMYFUNCTION("""COMPUTED_VALUE"""),"Good")</f>
        <v>Good</v>
      </c>
      <c r="V223" t="str">
        <f ca="1">IFERROR(__xludf.DUMMYFUNCTION("""COMPUTED_VALUE"""),"Good")</f>
        <v>Good</v>
      </c>
      <c r="W223" t="str">
        <f ca="1">IFERROR(__xludf.DUMMYFUNCTION("""COMPUTED_VALUE"""),"Good")</f>
        <v>Good</v>
      </c>
      <c r="X223" t="str">
        <f ca="1">IFERROR(__xludf.DUMMYFUNCTION("""COMPUTED_VALUE"""),"Good")</f>
        <v>Good</v>
      </c>
      <c r="Y223" t="str">
        <f ca="1">IFERROR(__xludf.DUMMYFUNCTION("""COMPUTED_VALUE"""),"Good")</f>
        <v>Good</v>
      </c>
      <c r="Z223" t="str">
        <f ca="1">IFERROR(__xludf.DUMMYFUNCTION("""COMPUTED_VALUE"""),"Good")</f>
        <v>Good</v>
      </c>
      <c r="AA223" t="str">
        <f ca="1">IFERROR(__xludf.DUMMYFUNCTION("""COMPUTED_VALUE"""),"Good")</f>
        <v>Good</v>
      </c>
      <c r="AB223" t="str">
        <f ca="1">IFERROR(__xludf.DUMMYFUNCTION("""COMPUTED_VALUE"""),"Good")</f>
        <v>Good</v>
      </c>
      <c r="AC223" t="str">
        <f ca="1">IFERROR(__xludf.DUMMYFUNCTION("""COMPUTED_VALUE"""),"Good")</f>
        <v>Good</v>
      </c>
      <c r="AE223" s="11"/>
      <c r="AF223" t="str">
        <v>Nikki.Dix@floridadep.gov</v>
      </c>
      <c r="AG223" s="17" t="s">
        <v>17</v>
      </c>
      <c r="AH223" s="12">
        <v>1105</v>
      </c>
      <c r="AI223" s="12" t="s">
        <v>611</v>
      </c>
      <c r="AJ223" s="19" t="s">
        <v>612</v>
      </c>
      <c r="AK223" s="20" t="str">
        <f>HYPERLINK("https://docs.google.com/document/d/1SXZqdzN-q45bqHiSwks60gp_1yChmg6o0A3CtR_bRFY/edit?usp=drivesdk","Silas Tanner - 1/10/2019 8:45 AM")</f>
        <v>Silas Tanner - 1/10/2019 8:45 AM</v>
      </c>
      <c r="AL223" s="12" t="s">
        <v>613</v>
      </c>
    </row>
    <row r="224" spans="1:38" ht="12.75">
      <c r="A224" s="10">
        <f ca="1">IFERROR(__xludf.DUMMYFUNCTION("""COMPUTED_VALUE"""),43475.3634130555)</f>
        <v>43475.3634130555</v>
      </c>
      <c r="B224" s="11" t="str">
        <f ca="1">IFERROR(__xludf.DUMMYFUNCTION("""COMPUTED_VALUE"""),"Ben Mowbray")</f>
        <v>Ben Mowbray</v>
      </c>
      <c r="C224" t="str">
        <f ca="1">IFERROR(__xludf.DUMMYFUNCTION("""COMPUTED_VALUE"""),"ben.mowbray@dep.state.fl.us")</f>
        <v>ben.mowbray@dep.state.fl.us</v>
      </c>
      <c r="D224" t="str">
        <f ca="1">IFERROR(__xludf.DUMMYFUNCTION("""COMPUTED_VALUE"""),"Research/Nikki")</f>
        <v>Research/Nikki</v>
      </c>
      <c r="E224" t="str">
        <f ca="1">IFERROR(__xludf.DUMMYFUNCTION("""COMPUTED_VALUE"""),"Aunt Kate's")</f>
        <v>Aunt Kate's</v>
      </c>
      <c r="F224" s="13">
        <f ca="1">IFERROR(__xludf.DUMMYFUNCTION("""COMPUTED_VALUE"""),0.39583333333212)</f>
        <v>0.39583333333212001</v>
      </c>
      <c r="G224" s="14">
        <f ca="1">IFERROR(__xludf.DUMMYFUNCTION("""COMPUTED_VALUE"""),43475)</f>
        <v>43475</v>
      </c>
      <c r="H224" t="str">
        <f ca="1">IFERROR(__xludf.DUMMYFUNCTION("""COMPUTED_VALUE"""),"Guana Peninsula")</f>
        <v>Guana Peninsula</v>
      </c>
      <c r="I224" s="15">
        <f ca="1">IFERROR(__xludf.DUMMYFUNCTION("""COMPUTED_VALUE"""),0.666666666667879)</f>
        <v>0.66666666666787899</v>
      </c>
      <c r="J224" s="16">
        <f ca="1">IFERROR(__xludf.DUMMYFUNCTION("""COMPUTED_VALUE"""),43475.6944444444)</f>
        <v>43475.694444444402</v>
      </c>
      <c r="K224" t="str">
        <f ca="1">IFERROR(__xludf.DUMMYFUNCTION("""COMPUTED_VALUE"""),"F 20ft Sea Ark (Easy 200) FL8534PY DEP21451")</f>
        <v>F 20ft Sea Ark (Easy 200) FL8534PY DEP21451</v>
      </c>
      <c r="M224" t="str">
        <f ca="1">IFERROR(__xludf.DUMMYFUNCTION("""COMPUTED_VALUE"""),"Ford F250 2017 (Moby Dix) - DEP0021578")</f>
        <v>Ford F250 2017 (Moby Dix) - DEP0021578</v>
      </c>
      <c r="N224" t="str">
        <f ca="1">IFERROR(__xludf.DUMMYFUNCTION("""COMPUTED_VALUE"""),"Ben Mowbray, (407) 962-8782")</f>
        <v>Ben Mowbray, (407) 962-8782</v>
      </c>
      <c r="O224" t="str">
        <f ca="1">IFERROR(__xludf.DUMMYFUNCTION("""COMPUTED_VALUE"""),"Mike Dickson")</f>
        <v>Mike Dickson</v>
      </c>
      <c r="P224" t="str">
        <f ca="1">IFERROR(__xludf.DUMMYFUNCTION("""COMPUTED_VALUE"""),"Ben")</f>
        <v>Ben</v>
      </c>
      <c r="Q224" t="str">
        <f ca="1">IFERROR(__xludf.DUMMYFUNCTION("""COMPUTED_VALUE"""),"Good")</f>
        <v>Good</v>
      </c>
      <c r="R224" t="str">
        <f ca="1">IFERROR(__xludf.DUMMYFUNCTION("""COMPUTED_VALUE"""),"Good")</f>
        <v>Good</v>
      </c>
      <c r="S224" t="str">
        <f ca="1">IFERROR(__xludf.DUMMYFUNCTION("""COMPUTED_VALUE"""),"Good")</f>
        <v>Good</v>
      </c>
      <c r="T224" t="str">
        <f ca="1">IFERROR(__xludf.DUMMYFUNCTION("""COMPUTED_VALUE"""),"Good")</f>
        <v>Good</v>
      </c>
      <c r="U224" t="str">
        <f ca="1">IFERROR(__xludf.DUMMYFUNCTION("""COMPUTED_VALUE"""),"Good")</f>
        <v>Good</v>
      </c>
      <c r="V224" t="str">
        <f ca="1">IFERROR(__xludf.DUMMYFUNCTION("""COMPUTED_VALUE"""),"Good")</f>
        <v>Good</v>
      </c>
      <c r="W224" t="str">
        <f ca="1">IFERROR(__xludf.DUMMYFUNCTION("""COMPUTED_VALUE"""),"Good")</f>
        <v>Good</v>
      </c>
      <c r="X224" t="str">
        <f ca="1">IFERROR(__xludf.DUMMYFUNCTION("""COMPUTED_VALUE"""),"Good")</f>
        <v>Good</v>
      </c>
      <c r="Y224" t="str">
        <f ca="1">IFERROR(__xludf.DUMMYFUNCTION("""COMPUTED_VALUE"""),"Good")</f>
        <v>Good</v>
      </c>
      <c r="Z224" t="str">
        <f ca="1">IFERROR(__xludf.DUMMYFUNCTION("""COMPUTED_VALUE"""),"Good")</f>
        <v>Good</v>
      </c>
      <c r="AA224" t="str">
        <f ca="1">IFERROR(__xludf.DUMMYFUNCTION("""COMPUTED_VALUE"""),"Good")</f>
        <v>Good</v>
      </c>
      <c r="AB224" t="str">
        <f ca="1">IFERROR(__xludf.DUMMYFUNCTION("""COMPUTED_VALUE"""),"Good")</f>
        <v>Good</v>
      </c>
      <c r="AC224" t="str">
        <f ca="1">IFERROR(__xludf.DUMMYFUNCTION("""COMPUTED_VALUE"""),"Good")</f>
        <v>Good</v>
      </c>
      <c r="AE224" s="11"/>
      <c r="AF224" t="str">
        <v>Nikki.Dix@floridadep.gov</v>
      </c>
      <c r="AG224" s="17" t="s">
        <v>17</v>
      </c>
      <c r="AH224" s="12">
        <v>1000</v>
      </c>
      <c r="AI224" s="12" t="s">
        <v>614</v>
      </c>
      <c r="AJ224" s="19" t="s">
        <v>615</v>
      </c>
      <c r="AK224" s="20" t="str">
        <f>HYPERLINK("https://docs.google.com/document/d/1gVI_jfcOWjzZEQMF4gbfgFQynt0Z5DO6MONlYJj8nUU/edit?usp=drivesdk","Ben Mowbray - 1/10/2019 9:30 AM")</f>
        <v>Ben Mowbray - 1/10/2019 9:30 AM</v>
      </c>
      <c r="AL224" s="12" t="s">
        <v>616</v>
      </c>
    </row>
    <row r="225" spans="1:38" ht="12.75">
      <c r="A225" s="10">
        <f ca="1">IFERROR(__xludf.DUMMYFUNCTION("""COMPUTED_VALUE"""),43476.5868623726)</f>
        <v>43476.586862372598</v>
      </c>
      <c r="B225" s="11" t="str">
        <f ca="1">IFERROR(__xludf.DUMMYFUNCTION("""COMPUTED_VALUE"""),"james tomazinis")</f>
        <v>james tomazinis</v>
      </c>
      <c r="C225" t="str">
        <f ca="1">IFERROR(__xludf.DUMMYFUNCTION("""COMPUTED_VALUE"""),"james.tomazinis@floridadep.gov")</f>
        <v>james.tomazinis@floridadep.gov</v>
      </c>
      <c r="D225" t="str">
        <f ca="1">IFERROR(__xludf.DUMMYFUNCTION("""COMPUTED_VALUE"""),"Stewardship (Aquatic)")</f>
        <v>Stewardship (Aquatic)</v>
      </c>
      <c r="E225" t="str">
        <f ca="1">IFERROR(__xludf.DUMMYFUNCTION("""COMPUTED_VALUE"""),"Guana Dam")</f>
        <v>Guana Dam</v>
      </c>
      <c r="F225" s="13">
        <f ca="1">IFERROR(__xludf.DUMMYFUNCTION("""COMPUTED_VALUE"""),0.604166666667879)</f>
        <v>0.60416666666787899</v>
      </c>
      <c r="G225" s="14">
        <f ca="1">IFERROR(__xludf.DUMMYFUNCTION("""COMPUTED_VALUE"""),43476)</f>
        <v>43476</v>
      </c>
      <c r="H225" t="str">
        <f ca="1">IFERROR(__xludf.DUMMYFUNCTION("""COMPUTED_VALUE"""),"Guana River")</f>
        <v>Guana River</v>
      </c>
      <c r="I225" s="15">
        <f ca="1">IFERROR(__xludf.DUMMYFUNCTION("""COMPUTED_VALUE"""),0.64583333333212)</f>
        <v>0.64583333333212001</v>
      </c>
      <c r="J225" s="16"/>
      <c r="K225" t="str">
        <f ca="1">IFERROR(__xludf.DUMMYFUNCTION("""COMPUTED_VALUE"""),"Kayak(s)")</f>
        <v>Kayak(s)</v>
      </c>
      <c r="L225">
        <f ca="1">IFERROR(__xludf.DUMMYFUNCTION("""COMPUTED_VALUE"""),1)</f>
        <v>1</v>
      </c>
      <c r="M225" t="str">
        <f ca="1">IFERROR(__xludf.DUMMYFUNCTION("""COMPUTED_VALUE"""),"Ford F150 2015 (White) - DEP21448")</f>
        <v>Ford F150 2015 (White) - DEP21448</v>
      </c>
      <c r="N225" t="str">
        <f ca="1">IFERROR(__xludf.DUMMYFUNCTION("""COMPUTED_VALUE"""),"Jimmy Tomazinis, (904) 547-0094")</f>
        <v>Jimmy Tomazinis, (904) 547-0094</v>
      </c>
      <c r="P225" t="str">
        <f ca="1">IFERROR(__xludf.DUMMYFUNCTION("""COMPUTED_VALUE"""),"jimmy")</f>
        <v>jimmy</v>
      </c>
      <c r="Q225" t="str">
        <f ca="1">IFERROR(__xludf.DUMMYFUNCTION("""COMPUTED_VALUE"""),"Good")</f>
        <v>Good</v>
      </c>
      <c r="R225" t="str">
        <f ca="1">IFERROR(__xludf.DUMMYFUNCTION("""COMPUTED_VALUE"""),"Good")</f>
        <v>Good</v>
      </c>
      <c r="S225" t="str">
        <f ca="1">IFERROR(__xludf.DUMMYFUNCTION("""COMPUTED_VALUE"""),"Good")</f>
        <v>Good</v>
      </c>
      <c r="T225" t="str">
        <f ca="1">IFERROR(__xludf.DUMMYFUNCTION("""COMPUTED_VALUE"""),"Good")</f>
        <v>Good</v>
      </c>
      <c r="U225" t="str">
        <f ca="1">IFERROR(__xludf.DUMMYFUNCTION("""COMPUTED_VALUE"""),"Good")</f>
        <v>Good</v>
      </c>
      <c r="V225" t="str">
        <f ca="1">IFERROR(__xludf.DUMMYFUNCTION("""COMPUTED_VALUE"""),"Good")</f>
        <v>Good</v>
      </c>
      <c r="W225" t="str">
        <f ca="1">IFERROR(__xludf.DUMMYFUNCTION("""COMPUTED_VALUE"""),"Good")</f>
        <v>Good</v>
      </c>
      <c r="X225" t="str">
        <f ca="1">IFERROR(__xludf.DUMMYFUNCTION("""COMPUTED_VALUE"""),"Good")</f>
        <v>Good</v>
      </c>
      <c r="Y225" t="str">
        <f ca="1">IFERROR(__xludf.DUMMYFUNCTION("""COMPUTED_VALUE"""),"Good")</f>
        <v>Good</v>
      </c>
      <c r="Z225" t="str">
        <f ca="1">IFERROR(__xludf.DUMMYFUNCTION("""COMPUTED_VALUE"""),"Good")</f>
        <v>Good</v>
      </c>
      <c r="AA225" t="str">
        <f ca="1">IFERROR(__xludf.DUMMYFUNCTION("""COMPUTED_VALUE"""),"Good")</f>
        <v>Good</v>
      </c>
      <c r="AB225" t="str">
        <f ca="1">IFERROR(__xludf.DUMMYFUNCTION("""COMPUTED_VALUE"""),"Good")</f>
        <v>Good</v>
      </c>
      <c r="AC225" t="str">
        <f ca="1">IFERROR(__xludf.DUMMYFUNCTION("""COMPUTED_VALUE"""),"Good")</f>
        <v>Good</v>
      </c>
      <c r="AE225" s="11"/>
      <c r="AF225" t="str">
        <v>Scott.Eastman@floridadep.gov</v>
      </c>
      <c r="AG225" s="17" t="s">
        <v>126</v>
      </c>
      <c r="AH225" s="12">
        <v>1430</v>
      </c>
      <c r="AI225" s="12" t="s">
        <v>617</v>
      </c>
      <c r="AJ225" s="19" t="s">
        <v>618</v>
      </c>
      <c r="AK225" s="20" t="str">
        <f>HYPERLINK("https://docs.google.com/document/d/1IaxkgNOqPzkSPHLaQxOsCa-xiQoIeRtfPOqC3I0c1oI/edit?usp=drivesdk","james tomazinis - 1/11/2019 2:30 PM")</f>
        <v>james tomazinis - 1/11/2019 2:30 PM</v>
      </c>
      <c r="AL225" s="12" t="s">
        <v>619</v>
      </c>
    </row>
    <row r="226" spans="1:38" ht="12.75">
      <c r="A226" s="10">
        <f ca="1">IFERROR(__xludf.DUMMYFUNCTION("""COMPUTED_VALUE"""),43476.6670952429)</f>
        <v>43476.667095242999</v>
      </c>
      <c r="B226" s="11" t="str">
        <f ca="1">IFERROR(__xludf.DUMMYFUNCTION("""COMPUTED_VALUE"""),"Ben Mowbray")</f>
        <v>Ben Mowbray</v>
      </c>
      <c r="C226" t="str">
        <f ca="1">IFERROR(__xludf.DUMMYFUNCTION("""COMPUTED_VALUE"""),"ben.mowbray@dep.state.fl.us")</f>
        <v>ben.mowbray@dep.state.fl.us</v>
      </c>
      <c r="D226" t="str">
        <f ca="1">IFERROR(__xludf.DUMMYFUNCTION("""COMPUTED_VALUE"""),"Research/Shannon")</f>
        <v>Research/Shannon</v>
      </c>
      <c r="E226" t="str">
        <f ca="1">IFERROR(__xludf.DUMMYFUNCTION("""COMPUTED_VALUE"""),"Douglas Crane")</f>
        <v>Douglas Crane</v>
      </c>
      <c r="F226" s="13">
        <f ca="1">IFERROR(__xludf.DUMMYFUNCTION("""COMPUTED_VALUE"""),0.444444444445252)</f>
        <v>0.444444444445252</v>
      </c>
      <c r="G226" s="14">
        <f ca="1">IFERROR(__xludf.DUMMYFUNCTION("""COMPUTED_VALUE"""),43476)</f>
        <v>43476</v>
      </c>
      <c r="H226" t="str">
        <f ca="1">IFERROR(__xludf.DUMMYFUNCTION("""COMPUTED_VALUE"""),"Chapman Middle Site")</f>
        <v>Chapman Middle Site</v>
      </c>
      <c r="I226" s="15">
        <f ca="1">IFERROR(__xludf.DUMMYFUNCTION("""COMPUTED_VALUE"""),0.625)</f>
        <v>0.625</v>
      </c>
      <c r="J226" s="16">
        <f ca="1">IFERROR(__xludf.DUMMYFUNCTION("""COMPUTED_VALUE"""),43476.6666666666)</f>
        <v>43476.666666666599</v>
      </c>
      <c r="K226" t="str">
        <f ca="1">IFERROR(__xludf.DUMMYFUNCTION("""COMPUTED_VALUE"""),"20ft Sea Ark FL5351SJ UNF 2015")</f>
        <v>20ft Sea Ark FL5351SJ UNF 2015</v>
      </c>
      <c r="M226" t="str">
        <f ca="1">IFERROR(__xludf.DUMMYFUNCTION("""COMPUTED_VALUE"""),"Ford F250 2017 (Moby Dix) - DEP0021578")</f>
        <v>Ford F250 2017 (Moby Dix) - DEP0021578</v>
      </c>
      <c r="N226" t="str">
        <f ca="1">IFERROR(__xludf.DUMMYFUNCTION("""COMPUTED_VALUE"""),"Ben Mowbray, (407) 962-8782, Gabriela Canas, (904) 891-9743")</f>
        <v>Ben Mowbray, (407) 962-8782, Gabriela Canas, (904) 891-9743</v>
      </c>
      <c r="O226" t="str">
        <f ca="1">IFERROR(__xludf.DUMMYFUNCTION("""COMPUTED_VALUE"""),"Matt Sturchio, Allee, Alicia Bishop")</f>
        <v>Matt Sturchio, Allee, Alicia Bishop</v>
      </c>
      <c r="P226" t="str">
        <f ca="1">IFERROR(__xludf.DUMMYFUNCTION("""COMPUTED_VALUE"""),"Ben")</f>
        <v>Ben</v>
      </c>
      <c r="Q226" t="str">
        <f ca="1">IFERROR(__xludf.DUMMYFUNCTION("""COMPUTED_VALUE"""),"Good")</f>
        <v>Good</v>
      </c>
      <c r="R226" t="str">
        <f ca="1">IFERROR(__xludf.DUMMYFUNCTION("""COMPUTED_VALUE"""),"Good")</f>
        <v>Good</v>
      </c>
      <c r="S226" t="str">
        <f ca="1">IFERROR(__xludf.DUMMYFUNCTION("""COMPUTED_VALUE"""),"Good")</f>
        <v>Good</v>
      </c>
      <c r="T226" t="str">
        <f ca="1">IFERROR(__xludf.DUMMYFUNCTION("""COMPUTED_VALUE"""),"Good")</f>
        <v>Good</v>
      </c>
      <c r="U226" t="str">
        <f ca="1">IFERROR(__xludf.DUMMYFUNCTION("""COMPUTED_VALUE"""),"Good")</f>
        <v>Good</v>
      </c>
      <c r="V226" t="str">
        <f ca="1">IFERROR(__xludf.DUMMYFUNCTION("""COMPUTED_VALUE"""),"Good")</f>
        <v>Good</v>
      </c>
      <c r="W226" t="str">
        <f ca="1">IFERROR(__xludf.DUMMYFUNCTION("""COMPUTED_VALUE"""),"Good")</f>
        <v>Good</v>
      </c>
      <c r="X226" t="str">
        <f ca="1">IFERROR(__xludf.DUMMYFUNCTION("""COMPUTED_VALUE"""),"Good")</f>
        <v>Good</v>
      </c>
      <c r="Y226" t="str">
        <f ca="1">IFERROR(__xludf.DUMMYFUNCTION("""COMPUTED_VALUE"""),"Good")</f>
        <v>Good</v>
      </c>
      <c r="Z226" t="str">
        <f ca="1">IFERROR(__xludf.DUMMYFUNCTION("""COMPUTED_VALUE"""),"Good")</f>
        <v>Good</v>
      </c>
      <c r="AA226" t="str">
        <f ca="1">IFERROR(__xludf.DUMMYFUNCTION("""COMPUTED_VALUE"""),"Good")</f>
        <v>Good</v>
      </c>
      <c r="AB226" t="str">
        <f ca="1">IFERROR(__xludf.DUMMYFUNCTION("""COMPUTED_VALUE"""),"Good")</f>
        <v>Good</v>
      </c>
      <c r="AC226" t="str">
        <f ca="1">IFERROR(__xludf.DUMMYFUNCTION("""COMPUTED_VALUE"""),"Good")</f>
        <v>Good</v>
      </c>
      <c r="AE226" s="11"/>
      <c r="AF226" t="str">
        <v>Shannon.Dunnigan@floridadep.gov</v>
      </c>
      <c r="AG226" s="17" t="s">
        <v>620</v>
      </c>
      <c r="AH226" s="12">
        <v>1430</v>
      </c>
      <c r="AI226" s="12" t="s">
        <v>621</v>
      </c>
      <c r="AJ226" s="19" t="s">
        <v>622</v>
      </c>
      <c r="AK226" s="20" t="str">
        <f>HYPERLINK("https://docs.google.com/document/d/17RQ4Ys5vhUgH_js1ld3jCjcGkUV1G8rZmkNP458_zYM/edit?usp=drivesdk","Ben Mowbray - 1/11/2019 10:40 AM")</f>
        <v>Ben Mowbray - 1/11/2019 10:40 AM</v>
      </c>
      <c r="AL226" s="12" t="s">
        <v>623</v>
      </c>
    </row>
    <row r="227" spans="1:38" ht="12.75">
      <c r="A227" s="10">
        <f ca="1">IFERROR(__xludf.DUMMYFUNCTION("""COMPUTED_VALUE"""),43479.2880234606)</f>
        <v>43479.288023460598</v>
      </c>
      <c r="B227" s="11" t="str">
        <f ca="1">IFERROR(__xludf.DUMMYFUNCTION("""COMPUTED_VALUE"""),"Pamela Marcum")</f>
        <v>Pamela Marcum</v>
      </c>
      <c r="C227" t="str">
        <f ca="1">IFERROR(__xludf.DUMMYFUNCTION("""COMPUTED_VALUE"""),"Pamela.Marcum@dep.state.fl.us")</f>
        <v>Pamela.Marcum@dep.state.fl.us</v>
      </c>
      <c r="D227" t="str">
        <f ca="1">IFERROR(__xludf.DUMMYFUNCTION("""COMPUTED_VALUE"""),"Research/Nikki")</f>
        <v>Research/Nikki</v>
      </c>
      <c r="E227" t="str">
        <f ca="1">IFERROR(__xludf.DUMMYFUNCTION("""COMPUTED_VALUE"""),"Green Rd")</f>
        <v>Green Rd</v>
      </c>
      <c r="F227" s="13">
        <f ca="1">IFERROR(__xludf.DUMMYFUNCTION("""COMPUTED_VALUE"""),0.322916666667879)</f>
        <v>0.32291666666787899</v>
      </c>
      <c r="G227" s="14">
        <f ca="1">IFERROR(__xludf.DUMMYFUNCTION("""COMPUTED_VALUE"""),43479)</f>
        <v>43479</v>
      </c>
      <c r="H227" t="str">
        <f ca="1">IFERROR(__xludf.DUMMYFUNCTION("""COMPUTED_VALUE"""),"Devils Elbow")</f>
        <v>Devils Elbow</v>
      </c>
      <c r="I227" s="15">
        <f ca="1">IFERROR(__xludf.DUMMYFUNCTION("""COMPUTED_VALUE"""),0.5)</f>
        <v>0.5</v>
      </c>
      <c r="J227" s="16">
        <f ca="1">IFERROR(__xludf.DUMMYFUNCTION("""COMPUTED_VALUE"""),43479.5416666666)</f>
        <v>43479.541666666599</v>
      </c>
      <c r="K227" t="str">
        <f ca="1">IFERROR(__xludf.DUMMYFUNCTION("""COMPUTED_VALUE"""),"20ft Sea Ark FL5351SJ UNF 2015")</f>
        <v>20ft Sea Ark FL5351SJ UNF 2015</v>
      </c>
      <c r="M227" t="str">
        <f ca="1">IFERROR(__xludf.DUMMYFUNCTION("""COMPUTED_VALUE"""),"Ford F150 2008 - DEP18041 (SWMP Thing)")</f>
        <v>Ford F150 2008 - DEP18041 (SWMP Thing)</v>
      </c>
      <c r="N227" t="str">
        <f ca="1">IFERROR(__xludf.DUMMYFUNCTION("""COMPUTED_VALUE"""),"Pam Marcum, (480) 332-5414, Silas Tanner, (904) 483-8423")</f>
        <v>Pam Marcum, (480) 332-5414, Silas Tanner, (904) 483-8423</v>
      </c>
      <c r="O227" t="str">
        <f ca="1">IFERROR(__xludf.DUMMYFUNCTION("""COMPUTED_VALUE"""),"Jeff Finnan")</f>
        <v>Jeff Finnan</v>
      </c>
      <c r="P227" t="str">
        <f ca="1">IFERROR(__xludf.DUMMYFUNCTION("""COMPUTED_VALUE"""),"Pam")</f>
        <v>Pam</v>
      </c>
      <c r="Q227" t="str">
        <f ca="1">IFERROR(__xludf.DUMMYFUNCTION("""COMPUTED_VALUE"""),"Good")</f>
        <v>Good</v>
      </c>
      <c r="R227" t="str">
        <f ca="1">IFERROR(__xludf.DUMMYFUNCTION("""COMPUTED_VALUE"""),"Good")</f>
        <v>Good</v>
      </c>
      <c r="S227" t="str">
        <f ca="1">IFERROR(__xludf.DUMMYFUNCTION("""COMPUTED_VALUE"""),"Good")</f>
        <v>Good</v>
      </c>
      <c r="T227" t="str">
        <f ca="1">IFERROR(__xludf.DUMMYFUNCTION("""COMPUTED_VALUE"""),"Good")</f>
        <v>Good</v>
      </c>
      <c r="U227" t="str">
        <f ca="1">IFERROR(__xludf.DUMMYFUNCTION("""COMPUTED_VALUE"""),"Good")</f>
        <v>Good</v>
      </c>
      <c r="V227" t="str">
        <f ca="1">IFERROR(__xludf.DUMMYFUNCTION("""COMPUTED_VALUE"""),"Good")</f>
        <v>Good</v>
      </c>
      <c r="W227" t="str">
        <f ca="1">IFERROR(__xludf.DUMMYFUNCTION("""COMPUTED_VALUE"""),"Good")</f>
        <v>Good</v>
      </c>
      <c r="X227" t="str">
        <f ca="1">IFERROR(__xludf.DUMMYFUNCTION("""COMPUTED_VALUE"""),"Good")</f>
        <v>Good</v>
      </c>
      <c r="Y227" t="str">
        <f ca="1">IFERROR(__xludf.DUMMYFUNCTION("""COMPUTED_VALUE"""),"Good")</f>
        <v>Good</v>
      </c>
      <c r="Z227" t="str">
        <f ca="1">IFERROR(__xludf.DUMMYFUNCTION("""COMPUTED_VALUE"""),"Good")</f>
        <v>Good</v>
      </c>
      <c r="AA227" t="str">
        <f ca="1">IFERROR(__xludf.DUMMYFUNCTION("""COMPUTED_VALUE"""),"Good")</f>
        <v>Good</v>
      </c>
      <c r="AB227" t="str">
        <f ca="1">IFERROR(__xludf.DUMMYFUNCTION("""COMPUTED_VALUE"""),"Good")</f>
        <v>Good</v>
      </c>
      <c r="AC227" t="str">
        <f ca="1">IFERROR(__xludf.DUMMYFUNCTION("""COMPUTED_VALUE"""),"Good")</f>
        <v>Good</v>
      </c>
      <c r="AE227" s="11"/>
      <c r="AF227" t="str">
        <v>Nikki.Dix@floridadep.gov</v>
      </c>
      <c r="AG227" s="17" t="s">
        <v>17</v>
      </c>
      <c r="AH227" s="12">
        <v>1105</v>
      </c>
      <c r="AI227" s="12" t="s">
        <v>624</v>
      </c>
      <c r="AJ227" s="19" t="s">
        <v>625</v>
      </c>
      <c r="AK227" s="20" t="str">
        <f>HYPERLINK("https://docs.google.com/document/d/1sp3x5m3NjyONG81qm62pZZCQIhwJORfCMNu2kAoMkJc/edit?usp=drivesdk","Pamela Marcum - 1/14/2019 7:45 AM")</f>
        <v>Pamela Marcum - 1/14/2019 7:45 AM</v>
      </c>
      <c r="AL227" s="12" t="s">
        <v>626</v>
      </c>
    </row>
    <row r="228" spans="1:38" ht="12.75">
      <c r="A228" s="10">
        <f ca="1">IFERROR(__xludf.DUMMYFUNCTION("""COMPUTED_VALUE"""),43480.3671087037)</f>
        <v>43480.3671087037</v>
      </c>
      <c r="B228" s="11" t="str">
        <f ca="1">IFERROR(__xludf.DUMMYFUNCTION("""COMPUTED_VALUE"""),"Pamela Marcum")</f>
        <v>Pamela Marcum</v>
      </c>
      <c r="C228" t="str">
        <f ca="1">IFERROR(__xludf.DUMMYFUNCTION("""COMPUTED_VALUE"""),"pamela.marcum@dep.state.fl.us")</f>
        <v>pamela.marcum@dep.state.fl.us</v>
      </c>
      <c r="D228" t="str">
        <f ca="1">IFERROR(__xludf.DUMMYFUNCTION("""COMPUTED_VALUE"""),"Research/Nikki")</f>
        <v>Research/Nikki</v>
      </c>
      <c r="E228" t="str">
        <f ca="1">IFERROR(__xludf.DUMMYFUNCTION("""COMPUTED_VALUE"""),"Aunt Kate")</f>
        <v>Aunt Kate</v>
      </c>
      <c r="F228" s="13">
        <f ca="1">IFERROR(__xludf.DUMMYFUNCTION("""COMPUTED_VALUE"""),0.36458333333212)</f>
        <v>0.36458333333212001</v>
      </c>
      <c r="G228" s="14">
        <f ca="1">IFERROR(__xludf.DUMMYFUNCTION("""COMPUTED_VALUE"""),43480)</f>
        <v>43480</v>
      </c>
      <c r="H228" t="str">
        <f ca="1">IFERROR(__xludf.DUMMYFUNCTION("""COMPUTED_VALUE"""),"Tolomato")</f>
        <v>Tolomato</v>
      </c>
      <c r="I228" s="15">
        <f ca="1">IFERROR(__xludf.DUMMYFUNCTION("""COMPUTED_VALUE"""),0.5)</f>
        <v>0.5</v>
      </c>
      <c r="J228" s="16">
        <f ca="1">IFERROR(__xludf.DUMMYFUNCTION("""COMPUTED_VALUE"""),43480.0208333333)</f>
        <v>43480.020833333299</v>
      </c>
      <c r="K228" t="str">
        <f ca="1">IFERROR(__xludf.DUMMYFUNCTION("""COMPUTED_VALUE"""),"F 20ft Sea Ark (Easy 200) FL8534PY DEP21451")</f>
        <v>F 20ft Sea Ark (Easy 200) FL8534PY DEP21451</v>
      </c>
      <c r="M228" t="str">
        <f ca="1">IFERROR(__xludf.DUMMYFUNCTION("""COMPUTED_VALUE"""),"Ford F150 2015 (White) - DEP21448")</f>
        <v>Ford F150 2015 (White) - DEP21448</v>
      </c>
      <c r="N228" t="str">
        <f ca="1">IFERROR(__xludf.DUMMYFUNCTION("""COMPUTED_VALUE"""),"Pam Marcum, (480) 332-5414")</f>
        <v>Pam Marcum, (480) 332-5414</v>
      </c>
      <c r="O228" t="str">
        <f ca="1">IFERROR(__xludf.DUMMYFUNCTION("""COMPUTED_VALUE"""),"Jessica clark, lewis turner, Patrician, Brittany")</f>
        <v>Jessica clark, lewis turner, Patrician, Brittany</v>
      </c>
      <c r="P228" t="str">
        <f ca="1">IFERROR(__xludf.DUMMYFUNCTION("""COMPUTED_VALUE"""),"Pam")</f>
        <v>Pam</v>
      </c>
      <c r="Q228" t="str">
        <f ca="1">IFERROR(__xludf.DUMMYFUNCTION("""COMPUTED_VALUE"""),"Good")</f>
        <v>Good</v>
      </c>
      <c r="R228" t="str">
        <f ca="1">IFERROR(__xludf.DUMMYFUNCTION("""COMPUTED_VALUE"""),"Good")</f>
        <v>Good</v>
      </c>
      <c r="S228" t="str">
        <f ca="1">IFERROR(__xludf.DUMMYFUNCTION("""COMPUTED_VALUE"""),"Good")</f>
        <v>Good</v>
      </c>
      <c r="T228" t="str">
        <f ca="1">IFERROR(__xludf.DUMMYFUNCTION("""COMPUTED_VALUE"""),"Good")</f>
        <v>Good</v>
      </c>
      <c r="U228" t="str">
        <f ca="1">IFERROR(__xludf.DUMMYFUNCTION("""COMPUTED_VALUE"""),"Good")</f>
        <v>Good</v>
      </c>
      <c r="V228" t="str">
        <f ca="1">IFERROR(__xludf.DUMMYFUNCTION("""COMPUTED_VALUE"""),"Good")</f>
        <v>Good</v>
      </c>
      <c r="W228" t="str">
        <f ca="1">IFERROR(__xludf.DUMMYFUNCTION("""COMPUTED_VALUE"""),"Good")</f>
        <v>Good</v>
      </c>
      <c r="X228" t="str">
        <f ca="1">IFERROR(__xludf.DUMMYFUNCTION("""COMPUTED_VALUE"""),"Good")</f>
        <v>Good</v>
      </c>
      <c r="Y228" t="str">
        <f ca="1">IFERROR(__xludf.DUMMYFUNCTION("""COMPUTED_VALUE"""),"Good")</f>
        <v>Good</v>
      </c>
      <c r="Z228" t="str">
        <f ca="1">IFERROR(__xludf.DUMMYFUNCTION("""COMPUTED_VALUE"""),"Good")</f>
        <v>Good</v>
      </c>
      <c r="AA228" t="str">
        <f ca="1">IFERROR(__xludf.DUMMYFUNCTION("""COMPUTED_VALUE"""),"Good")</f>
        <v>Good</v>
      </c>
      <c r="AB228" t="str">
        <f ca="1">IFERROR(__xludf.DUMMYFUNCTION("""COMPUTED_VALUE"""),"Good")</f>
        <v>Good</v>
      </c>
      <c r="AC228" t="str">
        <f ca="1">IFERROR(__xludf.DUMMYFUNCTION("""COMPUTED_VALUE"""),"Good")</f>
        <v>Good</v>
      </c>
      <c r="AE228" s="11"/>
      <c r="AF228" t="str">
        <v>Nikki.Dix@floridadep.gov</v>
      </c>
      <c r="AG228" s="17" t="s">
        <v>17</v>
      </c>
      <c r="AH228" s="12">
        <v>1150</v>
      </c>
      <c r="AI228" s="12" t="s">
        <v>627</v>
      </c>
      <c r="AJ228" s="19" t="s">
        <v>628</v>
      </c>
      <c r="AK228" s="20" t="str">
        <f>HYPERLINK("https://docs.google.com/document/d/1-LNoiYtth3TFidddGkp-DIB0m_Gtbagw1nKdq4vBdXE/edit?usp=drivesdk","Pamela Marcum - 1/15/2019 8:45 AM")</f>
        <v>Pamela Marcum - 1/15/2019 8:45 AM</v>
      </c>
      <c r="AL228" s="12" t="s">
        <v>629</v>
      </c>
    </row>
    <row r="229" spans="1:38" ht="12.75">
      <c r="A229" s="10">
        <f ca="1">IFERROR(__xludf.DUMMYFUNCTION("""COMPUTED_VALUE"""),43480.3671087037)</f>
        <v>43480.3671087037</v>
      </c>
      <c r="B229" s="11" t="str">
        <f ca="1">IFERROR(__xludf.DUMMYFUNCTION("""COMPUTED_VALUE"""),"Silas Tanner")</f>
        <v>Silas Tanner</v>
      </c>
      <c r="C229" t="str">
        <f ca="1">IFERROR(__xludf.DUMMYFUNCTION("""COMPUTED_VALUE"""),"silas.tanner@dep.state.fl.us")</f>
        <v>silas.tanner@dep.state.fl.us</v>
      </c>
      <c r="D229" t="str">
        <f ca="1">IFERROR(__xludf.DUMMYFUNCTION("""COMPUTED_VALUE"""),"Research/Nikki")</f>
        <v>Research/Nikki</v>
      </c>
      <c r="E229" t="str">
        <f ca="1">IFERROR(__xludf.DUMMYFUNCTION("""COMPUTED_VALUE"""),"Aunt Kate")</f>
        <v>Aunt Kate</v>
      </c>
      <c r="F229" s="13">
        <f ca="1">IFERROR(__xludf.DUMMYFUNCTION("""COMPUTED_VALUE"""),0.36458333333212)</f>
        <v>0.36458333333212001</v>
      </c>
      <c r="G229" s="14">
        <f ca="1">IFERROR(__xludf.DUMMYFUNCTION("""COMPUTED_VALUE"""),43480)</f>
        <v>43480</v>
      </c>
      <c r="H229" t="str">
        <f ca="1">IFERROR(__xludf.DUMMYFUNCTION("""COMPUTED_VALUE"""),"Tolomato")</f>
        <v>Tolomato</v>
      </c>
      <c r="I229" s="15">
        <f ca="1">IFERROR(__xludf.DUMMYFUNCTION("""COMPUTED_VALUE"""),0.5)</f>
        <v>0.5</v>
      </c>
      <c r="J229" s="16">
        <f ca="1">IFERROR(__xludf.DUMMYFUNCTION("""COMPUTED_VALUE"""),43480.0208333333)</f>
        <v>43480.020833333299</v>
      </c>
      <c r="K229" t="str">
        <f ca="1">IFERROR(__xludf.DUMMYFUNCTION("""COMPUTED_VALUE"""),"23ft Skiff (Bertha) FL7972LJ DEP07613")</f>
        <v>23ft Skiff (Bertha) FL7972LJ DEP07613</v>
      </c>
      <c r="M229" t="str">
        <f ca="1">IFERROR(__xludf.DUMMYFUNCTION("""COMPUTED_VALUE"""),"Ford F250 2017 (Moby Dix) - DEP0021578")</f>
        <v>Ford F250 2017 (Moby Dix) - DEP0021578</v>
      </c>
      <c r="N229" t="str">
        <f ca="1">IFERROR(__xludf.DUMMYFUNCTION("""COMPUTED_VALUE"""),"Silas Tanner, (904) 483-8423, Remo Mondazi")</f>
        <v>Silas Tanner, (904) 483-8423, Remo Mondazi</v>
      </c>
      <c r="O229" t="str">
        <f ca="1">IFERROR(__xludf.DUMMYFUNCTION("""COMPUTED_VALUE"""),"Allee Knoll, Cathy, Mary, Aaron")</f>
        <v>Allee Knoll, Cathy, Mary, Aaron</v>
      </c>
      <c r="P229" t="str">
        <f ca="1">IFERROR(__xludf.DUMMYFUNCTION("""COMPUTED_VALUE"""),"Silas")</f>
        <v>Silas</v>
      </c>
      <c r="Q229" t="str">
        <f ca="1">IFERROR(__xludf.DUMMYFUNCTION("""COMPUTED_VALUE"""),"Good")</f>
        <v>Good</v>
      </c>
      <c r="R229" t="str">
        <f ca="1">IFERROR(__xludf.DUMMYFUNCTION("""COMPUTED_VALUE"""),"Good")</f>
        <v>Good</v>
      </c>
      <c r="S229" t="str">
        <f ca="1">IFERROR(__xludf.DUMMYFUNCTION("""COMPUTED_VALUE"""),"Good")</f>
        <v>Good</v>
      </c>
      <c r="T229" t="str">
        <f ca="1">IFERROR(__xludf.DUMMYFUNCTION("""COMPUTED_VALUE"""),"Good")</f>
        <v>Good</v>
      </c>
      <c r="U229" t="str">
        <f ca="1">IFERROR(__xludf.DUMMYFUNCTION("""COMPUTED_VALUE"""),"Good")</f>
        <v>Good</v>
      </c>
      <c r="V229" t="str">
        <f ca="1">IFERROR(__xludf.DUMMYFUNCTION("""COMPUTED_VALUE"""),"Good")</f>
        <v>Good</v>
      </c>
      <c r="W229" t="str">
        <f ca="1">IFERROR(__xludf.DUMMYFUNCTION("""COMPUTED_VALUE"""),"Good")</f>
        <v>Good</v>
      </c>
      <c r="X229" t="str">
        <f ca="1">IFERROR(__xludf.DUMMYFUNCTION("""COMPUTED_VALUE"""),"Good")</f>
        <v>Good</v>
      </c>
      <c r="Y229" t="str">
        <f ca="1">IFERROR(__xludf.DUMMYFUNCTION("""COMPUTED_VALUE"""),"Good")</f>
        <v>Good</v>
      </c>
      <c r="Z229" t="str">
        <f ca="1">IFERROR(__xludf.DUMMYFUNCTION("""COMPUTED_VALUE"""),"Good")</f>
        <v>Good</v>
      </c>
      <c r="AA229" t="str">
        <f ca="1">IFERROR(__xludf.DUMMYFUNCTION("""COMPUTED_VALUE"""),"Good")</f>
        <v>Good</v>
      </c>
      <c r="AB229" t="str">
        <f ca="1">IFERROR(__xludf.DUMMYFUNCTION("""COMPUTED_VALUE"""),"Good")</f>
        <v>Good</v>
      </c>
      <c r="AC229" t="str">
        <f ca="1">IFERROR(__xludf.DUMMYFUNCTION("""COMPUTED_VALUE"""),"Good")</f>
        <v>Good</v>
      </c>
      <c r="AE229" s="11"/>
      <c r="AF229" t="str">
        <v>Nikki.Dix@floridadep.gov</v>
      </c>
      <c r="AG229" s="17" t="s">
        <v>126</v>
      </c>
      <c r="AH229" s="12">
        <v>1100</v>
      </c>
      <c r="AI229" s="12" t="s">
        <v>630</v>
      </c>
      <c r="AJ229" s="19" t="s">
        <v>631</v>
      </c>
      <c r="AK229" s="20" t="str">
        <f>HYPERLINK("https://docs.google.com/document/d/1BlhUooj52_5Yvz462SxTIX6_-Pjdb3OHBRmrvl_Ls6A/edit?usp=drivesdk","Silas Tanner - 1/15/2019 8:45 AM")</f>
        <v>Silas Tanner - 1/15/2019 8:45 AM</v>
      </c>
      <c r="AL229" s="12" t="s">
        <v>632</v>
      </c>
    </row>
    <row r="230" spans="1:38" ht="12.75">
      <c r="A230" s="10">
        <f ca="1">IFERROR(__xludf.DUMMYFUNCTION("""COMPUTED_VALUE"""),43481.2888603009)</f>
        <v>43481.288860300898</v>
      </c>
      <c r="B230" s="11" t="str">
        <f ca="1">IFERROR(__xludf.DUMMYFUNCTION("""COMPUTED_VALUE"""),"Pamela Marcum")</f>
        <v>Pamela Marcum</v>
      </c>
      <c r="C230" t="str">
        <f ca="1">IFERROR(__xludf.DUMMYFUNCTION("""COMPUTED_VALUE"""),"Pamela.Marcum@dep.state.fl.us")</f>
        <v>Pamela.Marcum@dep.state.fl.us</v>
      </c>
      <c r="D230" t="str">
        <f ca="1">IFERROR(__xludf.DUMMYFUNCTION("""COMPUTED_VALUE"""),"Research/Nikki")</f>
        <v>Research/Nikki</v>
      </c>
      <c r="E230" t="str">
        <f ca="1">IFERROR(__xludf.DUMMYFUNCTION("""COMPUTED_VALUE"""),"Aunt Kate's")</f>
        <v>Aunt Kate's</v>
      </c>
      <c r="F230" s="13">
        <f ca="1">IFERROR(__xludf.DUMMYFUNCTION("""COMPUTED_VALUE"""),0.354166666667879)</f>
        <v>0.35416666666787899</v>
      </c>
      <c r="G230" s="14">
        <f ca="1">IFERROR(__xludf.DUMMYFUNCTION("""COMPUTED_VALUE"""),43481)</f>
        <v>43481</v>
      </c>
      <c r="H230" t="str">
        <f ca="1">IFERROR(__xludf.DUMMYFUNCTION("""COMPUTED_VALUE"""),"Tolomato/Guana Rivers")</f>
        <v>Tolomato/Guana Rivers</v>
      </c>
      <c r="I230" s="15">
        <f ca="1">IFERROR(__xludf.DUMMYFUNCTION("""COMPUTED_VALUE"""),0.5)</f>
        <v>0.5</v>
      </c>
      <c r="J230" s="16">
        <f ca="1">IFERROR(__xludf.DUMMYFUNCTION("""COMPUTED_VALUE"""),43481.5208333333)</f>
        <v>43481.520833333299</v>
      </c>
      <c r="K230" t="str">
        <f ca="1">IFERROR(__xludf.DUMMYFUNCTION("""COMPUTED_VALUE"""),"20ft Sea Ark FL5351SJ UNF 2015")</f>
        <v>20ft Sea Ark FL5351SJ UNF 2015</v>
      </c>
      <c r="M230" t="str">
        <f ca="1">IFERROR(__xludf.DUMMYFUNCTION("""COMPUTED_VALUE"""),"Ford F150 2008 - DEP18041 (SWMP Thing)")</f>
        <v>Ford F150 2008 - DEP18041 (SWMP Thing)</v>
      </c>
      <c r="N230" t="str">
        <f ca="1">IFERROR(__xludf.DUMMYFUNCTION("""COMPUTED_VALUE"""),"Pam Marcum, (480) 332-5414")</f>
        <v>Pam Marcum, (480) 332-5414</v>
      </c>
      <c r="O230" t="str">
        <f ca="1">IFERROR(__xludf.DUMMYFUNCTION("""COMPUTED_VALUE"""),"Jeff Finnan, Terri Calleson")</f>
        <v>Jeff Finnan, Terri Calleson</v>
      </c>
      <c r="P230" t="str">
        <f ca="1">IFERROR(__xludf.DUMMYFUNCTION("""COMPUTED_VALUE"""),"Pam")</f>
        <v>Pam</v>
      </c>
      <c r="Q230" t="str">
        <f ca="1">IFERROR(__xludf.DUMMYFUNCTION("""COMPUTED_VALUE"""),"Good")</f>
        <v>Good</v>
      </c>
      <c r="R230" t="str">
        <f ca="1">IFERROR(__xludf.DUMMYFUNCTION("""COMPUTED_VALUE"""),"Good")</f>
        <v>Good</v>
      </c>
      <c r="S230" t="str">
        <f ca="1">IFERROR(__xludf.DUMMYFUNCTION("""COMPUTED_VALUE"""),"Good")</f>
        <v>Good</v>
      </c>
      <c r="T230" t="str">
        <f ca="1">IFERROR(__xludf.DUMMYFUNCTION("""COMPUTED_VALUE"""),"Good")</f>
        <v>Good</v>
      </c>
      <c r="U230" t="str">
        <f ca="1">IFERROR(__xludf.DUMMYFUNCTION("""COMPUTED_VALUE"""),"Good")</f>
        <v>Good</v>
      </c>
      <c r="V230" t="str">
        <f ca="1">IFERROR(__xludf.DUMMYFUNCTION("""COMPUTED_VALUE"""),"Good")</f>
        <v>Good</v>
      </c>
      <c r="W230" t="str">
        <f ca="1">IFERROR(__xludf.DUMMYFUNCTION("""COMPUTED_VALUE"""),"Good")</f>
        <v>Good</v>
      </c>
      <c r="X230" t="str">
        <f ca="1">IFERROR(__xludf.DUMMYFUNCTION("""COMPUTED_VALUE"""),"Good")</f>
        <v>Good</v>
      </c>
      <c r="Y230" t="str">
        <f ca="1">IFERROR(__xludf.DUMMYFUNCTION("""COMPUTED_VALUE"""),"Good")</f>
        <v>Good</v>
      </c>
      <c r="Z230" t="str">
        <f ca="1">IFERROR(__xludf.DUMMYFUNCTION("""COMPUTED_VALUE"""),"Good")</f>
        <v>Good</v>
      </c>
      <c r="AA230" t="str">
        <f ca="1">IFERROR(__xludf.DUMMYFUNCTION("""COMPUTED_VALUE"""),"Good")</f>
        <v>Good</v>
      </c>
      <c r="AB230" t="str">
        <f ca="1">IFERROR(__xludf.DUMMYFUNCTION("""COMPUTED_VALUE"""),"Good")</f>
        <v>Good</v>
      </c>
      <c r="AC230" t="str">
        <f ca="1">IFERROR(__xludf.DUMMYFUNCTION("""COMPUTED_VALUE"""),"Good")</f>
        <v>Good</v>
      </c>
      <c r="AE230" s="11"/>
      <c r="AF230" t="str">
        <v>Nikki.Dix@floridadep.gov</v>
      </c>
      <c r="AG230" s="17" t="s">
        <v>222</v>
      </c>
      <c r="AH230" s="12" t="s">
        <v>278</v>
      </c>
      <c r="AI230" s="12" t="s">
        <v>633</v>
      </c>
      <c r="AJ230" s="19" t="s">
        <v>634</v>
      </c>
      <c r="AK230" s="20" t="str">
        <f>HYPERLINK("https://docs.google.com/document/d/1wCwibueR_wcJviqe1JCJpLlTRhJP87kkXm9YSbcKdXU/edit?usp=drivesdk","Pamela Marcum - 1/16/2019 8:30 AM")</f>
        <v>Pamela Marcum - 1/16/2019 8:30 AM</v>
      </c>
      <c r="AL230" s="12" t="s">
        <v>635</v>
      </c>
    </row>
    <row r="231" spans="1:38" ht="12.75">
      <c r="A231" s="10">
        <f ca="1">IFERROR(__xludf.DUMMYFUNCTION("""COMPUTED_VALUE"""),43481.3919825347)</f>
        <v>43481.391982534697</v>
      </c>
      <c r="B231" s="11" t="str">
        <f ca="1">IFERROR(__xludf.DUMMYFUNCTION("""COMPUTED_VALUE"""),"Pam")</f>
        <v>Pam</v>
      </c>
      <c r="C231" t="str">
        <f ca="1">IFERROR(__xludf.DUMMYFUNCTION("""COMPUTED_VALUE"""),"pamela.marcum@dep.state.fl.us")</f>
        <v>pamela.marcum@dep.state.fl.us</v>
      </c>
      <c r="D231" t="str">
        <f ca="1">IFERROR(__xludf.DUMMYFUNCTION("""COMPUTED_VALUE"""),"Research/Nikki")</f>
        <v>Research/Nikki</v>
      </c>
      <c r="E231" t="str">
        <f ca="1">IFERROR(__xludf.DUMMYFUNCTION("""COMPUTED_VALUE"""),"Aunt kates")</f>
        <v>Aunt kates</v>
      </c>
      <c r="F231" s="13">
        <f ca="1">IFERROR(__xludf.DUMMYFUNCTION("""COMPUTED_VALUE"""),0.385416666667879)</f>
        <v>0.38541666666787899</v>
      </c>
      <c r="G231" s="14">
        <f ca="1">IFERROR(__xludf.DUMMYFUNCTION("""COMPUTED_VALUE"""),43481)</f>
        <v>43481</v>
      </c>
      <c r="H231" t="str">
        <f ca="1">IFERROR(__xludf.DUMMYFUNCTION("""COMPUTED_VALUE"""),"Tolomato")</f>
        <v>Tolomato</v>
      </c>
      <c r="I231" s="15">
        <f ca="1">IFERROR(__xludf.DUMMYFUNCTION("""COMPUTED_VALUE"""),0.5)</f>
        <v>0.5</v>
      </c>
      <c r="J231" s="16">
        <f ca="1">IFERROR(__xludf.DUMMYFUNCTION("""COMPUTED_VALUE"""),43481.0208333333)</f>
        <v>43481.020833333299</v>
      </c>
      <c r="K231" t="str">
        <f ca="1">IFERROR(__xludf.DUMMYFUNCTION("""COMPUTED_VALUE"""),"23ft Skiff (Bertha) FL7972LJ DEP07613")</f>
        <v>23ft Skiff (Bertha) FL7972LJ DEP07613</v>
      </c>
      <c r="M231" t="str">
        <f ca="1">IFERROR(__xludf.DUMMYFUNCTION("""COMPUTED_VALUE"""),"Ford F150 2008 - DEP18041 (SWMP Thing)")</f>
        <v>Ford F150 2008 - DEP18041 (SWMP Thing)</v>
      </c>
      <c r="N231" t="str">
        <f ca="1">IFERROR(__xludf.DUMMYFUNCTION("""COMPUTED_VALUE"""),"Pam Marcum, (480) 332-5414")</f>
        <v>Pam Marcum, (480) 332-5414</v>
      </c>
      <c r="O231" t="str">
        <f ca="1">IFERROR(__xludf.DUMMYFUNCTION("""COMPUTED_VALUE"""),"Jeff finnan, terri")</f>
        <v>Jeff finnan, terri</v>
      </c>
      <c r="P231" t="str">
        <f ca="1">IFERROR(__xludf.DUMMYFUNCTION("""COMPUTED_VALUE"""),"Pam")</f>
        <v>Pam</v>
      </c>
      <c r="Q231" t="str">
        <f ca="1">IFERROR(__xludf.DUMMYFUNCTION("""COMPUTED_VALUE"""),"Good")</f>
        <v>Good</v>
      </c>
      <c r="R231" t="str">
        <f ca="1">IFERROR(__xludf.DUMMYFUNCTION("""COMPUTED_VALUE"""),"Good")</f>
        <v>Good</v>
      </c>
      <c r="S231" t="str">
        <f ca="1">IFERROR(__xludf.DUMMYFUNCTION("""COMPUTED_VALUE"""),"Good")</f>
        <v>Good</v>
      </c>
      <c r="T231" t="str">
        <f ca="1">IFERROR(__xludf.DUMMYFUNCTION("""COMPUTED_VALUE"""),"Good")</f>
        <v>Good</v>
      </c>
      <c r="U231" t="str">
        <f ca="1">IFERROR(__xludf.DUMMYFUNCTION("""COMPUTED_VALUE"""),"Good")</f>
        <v>Good</v>
      </c>
      <c r="V231" t="str">
        <f ca="1">IFERROR(__xludf.DUMMYFUNCTION("""COMPUTED_VALUE"""),"Good")</f>
        <v>Good</v>
      </c>
      <c r="W231" t="str">
        <f ca="1">IFERROR(__xludf.DUMMYFUNCTION("""COMPUTED_VALUE"""),"Good")</f>
        <v>Good</v>
      </c>
      <c r="X231" t="str">
        <f ca="1">IFERROR(__xludf.DUMMYFUNCTION("""COMPUTED_VALUE"""),"Good")</f>
        <v>Good</v>
      </c>
      <c r="Y231" t="str">
        <f ca="1">IFERROR(__xludf.DUMMYFUNCTION("""COMPUTED_VALUE"""),"Good")</f>
        <v>Good</v>
      </c>
      <c r="Z231" t="str">
        <f ca="1">IFERROR(__xludf.DUMMYFUNCTION("""COMPUTED_VALUE"""),"Good")</f>
        <v>Good</v>
      </c>
      <c r="AA231" t="str">
        <f ca="1">IFERROR(__xludf.DUMMYFUNCTION("""COMPUTED_VALUE"""),"Good")</f>
        <v>Good</v>
      </c>
      <c r="AB231" t="str">
        <f ca="1">IFERROR(__xludf.DUMMYFUNCTION("""COMPUTED_VALUE"""),"Good")</f>
        <v>Good</v>
      </c>
      <c r="AC231" t="str">
        <f ca="1">IFERROR(__xludf.DUMMYFUNCTION("""COMPUTED_VALUE"""),"Good")</f>
        <v>Good</v>
      </c>
      <c r="AE231" s="11"/>
      <c r="AF231" t="str">
        <v>Nikki.Dix@floridadep.gov</v>
      </c>
      <c r="AG231" s="17" t="s">
        <v>17</v>
      </c>
      <c r="AH231" s="12">
        <v>1200</v>
      </c>
      <c r="AI231" s="12" t="s">
        <v>636</v>
      </c>
      <c r="AJ231" s="19" t="s">
        <v>637</v>
      </c>
      <c r="AK231" s="20" t="str">
        <f>HYPERLINK("https://docs.google.com/document/d/1ashMolhPpUl0A5fQ5JeXWD9xog1UFTWMtXS3rIJnr9I/edit?usp=drivesdk","Pam - 1/16/2019 9:15 AM")</f>
        <v>Pam - 1/16/2019 9:15 AM</v>
      </c>
      <c r="AL231" s="12" t="s">
        <v>638</v>
      </c>
    </row>
    <row r="232" spans="1:38" ht="12.75">
      <c r="A232" s="10">
        <f ca="1">IFERROR(__xludf.DUMMYFUNCTION("""COMPUTED_VALUE"""),43482.4385300925)</f>
        <v>43482.438530092499</v>
      </c>
      <c r="B232" s="11" t="str">
        <f ca="1">IFERROR(__xludf.DUMMYFUNCTION("""COMPUTED_VALUE"""),"Pam")</f>
        <v>Pam</v>
      </c>
      <c r="C232" t="str">
        <f ca="1">IFERROR(__xludf.DUMMYFUNCTION("""COMPUTED_VALUE"""),"pamela.marcum@dep.state.fl.us")</f>
        <v>pamela.marcum@dep.state.fl.us</v>
      </c>
      <c r="D232" t="str">
        <f ca="1">IFERROR(__xludf.DUMMYFUNCTION("""COMPUTED_VALUE"""),"Research/Shannon")</f>
        <v>Research/Shannon</v>
      </c>
      <c r="E232" t="str">
        <f ca="1">IFERROR(__xludf.DUMMYFUNCTION("""COMPUTED_VALUE"""),"Aunt kates")</f>
        <v>Aunt kates</v>
      </c>
      <c r="F232" s="13">
        <f ca="1">IFERROR(__xludf.DUMMYFUNCTION("""COMPUTED_VALUE"""),0.354166666667879)</f>
        <v>0.35416666666787899</v>
      </c>
      <c r="G232" s="14">
        <f ca="1">IFERROR(__xludf.DUMMYFUNCTION("""COMPUTED_VALUE"""),43482)</f>
        <v>43482</v>
      </c>
      <c r="H232" t="str">
        <f ca="1">IFERROR(__xludf.DUMMYFUNCTION("""COMPUTED_VALUE"""),"Tolomato")</f>
        <v>Tolomato</v>
      </c>
      <c r="I232" s="15">
        <f ca="1">IFERROR(__xludf.DUMMYFUNCTION("""COMPUTED_VALUE"""),0.5)</f>
        <v>0.5</v>
      </c>
      <c r="J232" s="16">
        <f ca="1">IFERROR(__xludf.DUMMYFUNCTION("""COMPUTED_VALUE"""),43482)</f>
        <v>43482</v>
      </c>
      <c r="K232" t="str">
        <f ca="1">IFERROR(__xludf.DUMMYFUNCTION("""COMPUTED_VALUE"""),"23ft Skiff (Bertha) FL7972LJ DEP07613")</f>
        <v>23ft Skiff (Bertha) FL7972LJ DEP07613</v>
      </c>
      <c r="M232" t="str">
        <f ca="1">IFERROR(__xludf.DUMMYFUNCTION("""COMPUTED_VALUE"""),"Ford F150 2008 - DEP18041 (SWMP Thing)")</f>
        <v>Ford F150 2008 - DEP18041 (SWMP Thing)</v>
      </c>
      <c r="N232" t="str">
        <f ca="1">IFERROR(__xludf.DUMMYFUNCTION("""COMPUTED_VALUE"""),"Pam Marcum, (480) 332-5414")</f>
        <v>Pam Marcum, (480) 332-5414</v>
      </c>
      <c r="O232" t="str">
        <f ca="1">IFERROR(__xludf.DUMMYFUNCTION("""COMPUTED_VALUE"""),"Collin, Remo")</f>
        <v>Collin, Remo</v>
      </c>
      <c r="P232" t="str">
        <f ca="1">IFERROR(__xludf.DUMMYFUNCTION("""COMPUTED_VALUE"""),"Pam")</f>
        <v>Pam</v>
      </c>
      <c r="Q232" t="str">
        <f ca="1">IFERROR(__xludf.DUMMYFUNCTION("""COMPUTED_VALUE"""),"Good")</f>
        <v>Good</v>
      </c>
      <c r="R232" t="str">
        <f ca="1">IFERROR(__xludf.DUMMYFUNCTION("""COMPUTED_VALUE"""),"Good")</f>
        <v>Good</v>
      </c>
      <c r="S232" t="str">
        <f ca="1">IFERROR(__xludf.DUMMYFUNCTION("""COMPUTED_VALUE"""),"Good")</f>
        <v>Good</v>
      </c>
      <c r="T232" t="str">
        <f ca="1">IFERROR(__xludf.DUMMYFUNCTION("""COMPUTED_VALUE"""),"Good")</f>
        <v>Good</v>
      </c>
      <c r="U232" t="str">
        <f ca="1">IFERROR(__xludf.DUMMYFUNCTION("""COMPUTED_VALUE"""),"Good")</f>
        <v>Good</v>
      </c>
      <c r="V232" t="str">
        <f ca="1">IFERROR(__xludf.DUMMYFUNCTION("""COMPUTED_VALUE"""),"Good")</f>
        <v>Good</v>
      </c>
      <c r="W232" t="str">
        <f ca="1">IFERROR(__xludf.DUMMYFUNCTION("""COMPUTED_VALUE"""),"Good")</f>
        <v>Good</v>
      </c>
      <c r="X232" t="str">
        <f ca="1">IFERROR(__xludf.DUMMYFUNCTION("""COMPUTED_VALUE"""),"Good")</f>
        <v>Good</v>
      </c>
      <c r="Y232" t="str">
        <f ca="1">IFERROR(__xludf.DUMMYFUNCTION("""COMPUTED_VALUE"""),"Good")</f>
        <v>Good</v>
      </c>
      <c r="Z232" t="str">
        <f ca="1">IFERROR(__xludf.DUMMYFUNCTION("""COMPUTED_VALUE"""),"Good")</f>
        <v>Good</v>
      </c>
      <c r="AA232" t="str">
        <f ca="1">IFERROR(__xludf.DUMMYFUNCTION("""COMPUTED_VALUE"""),"Good")</f>
        <v>Good</v>
      </c>
      <c r="AB232" t="str">
        <f ca="1">IFERROR(__xludf.DUMMYFUNCTION("""COMPUTED_VALUE"""),"Good")</f>
        <v>Good</v>
      </c>
      <c r="AC232" t="str">
        <f ca="1">IFERROR(__xludf.DUMMYFUNCTION("""COMPUTED_VALUE"""),"Good")</f>
        <v>Good</v>
      </c>
      <c r="AE232" s="11"/>
      <c r="AF232" t="str">
        <v>Shannon.Dunnigan@floridadep.gov</v>
      </c>
      <c r="AG232" s="17" t="s">
        <v>639</v>
      </c>
      <c r="AH232" s="12">
        <v>1219</v>
      </c>
      <c r="AI232" s="12" t="s">
        <v>640</v>
      </c>
      <c r="AJ232" s="19" t="s">
        <v>641</v>
      </c>
      <c r="AK232" s="20" t="str">
        <f>HYPERLINK("https://docs.google.com/document/d/1ySIzZqkUgYZOnUT2s6MMktH4mDF9DGVF0uvVl5xf4BM/edit?usp=drivesdk","Pam - 1/17/2019 8:30 AM")</f>
        <v>Pam - 1/17/2019 8:30 AM</v>
      </c>
      <c r="AL232" s="12" t="s">
        <v>642</v>
      </c>
    </row>
    <row r="233" spans="1:38" ht="12.75">
      <c r="A233" s="10">
        <f ca="1">IFERROR(__xludf.DUMMYFUNCTION("""COMPUTED_VALUE"""),43483.4386750115)</f>
        <v>43483.438675011501</v>
      </c>
      <c r="B233" s="11" t="str">
        <f ca="1">IFERROR(__xludf.DUMMYFUNCTION("""COMPUTED_VALUE"""),"Pam Marcum")</f>
        <v>Pam Marcum</v>
      </c>
      <c r="C233" t="str">
        <f ca="1">IFERROR(__xludf.DUMMYFUNCTION("""COMPUTED_VALUE"""),"Pamela.Marcum@dep.state.fl.us")</f>
        <v>Pamela.Marcum@dep.state.fl.us</v>
      </c>
      <c r="D233" t="str">
        <f ca="1">IFERROR(__xludf.DUMMYFUNCTION("""COMPUTED_VALUE"""),"Research/Nikki")</f>
        <v>Research/Nikki</v>
      </c>
      <c r="E233" t="str">
        <f ca="1">IFERROR(__xludf.DUMMYFUNCTION("""COMPUTED_VALUE"""),"Aunt Kate's")</f>
        <v>Aunt Kate's</v>
      </c>
      <c r="F233" s="13">
        <f ca="1">IFERROR(__xludf.DUMMYFUNCTION("""COMPUTED_VALUE"""),0.447916666667879)</f>
        <v>0.44791666666787899</v>
      </c>
      <c r="G233" s="14">
        <f ca="1">IFERROR(__xludf.DUMMYFUNCTION("""COMPUTED_VALUE"""),43483)</f>
        <v>43483</v>
      </c>
      <c r="H233" t="str">
        <f ca="1">IFERROR(__xludf.DUMMYFUNCTION("""COMPUTED_VALUE"""),"Guana River")</f>
        <v>Guana River</v>
      </c>
      <c r="I233" s="15">
        <f ca="1">IFERROR(__xludf.DUMMYFUNCTION("""COMPUTED_VALUE"""),0.541666666667879)</f>
        <v>0.54166666666787899</v>
      </c>
      <c r="J233" s="16">
        <f ca="1">IFERROR(__xludf.DUMMYFUNCTION("""COMPUTED_VALUE"""),43483.5625)</f>
        <v>43483.5625</v>
      </c>
      <c r="K233" t="str">
        <f ca="1">IFERROR(__xludf.DUMMYFUNCTION("""COMPUTED_VALUE"""),"23ft Skiff (Bertha) FL7972LJ DEP07613")</f>
        <v>23ft Skiff (Bertha) FL7972LJ DEP07613</v>
      </c>
      <c r="M233" t="str">
        <f ca="1">IFERROR(__xludf.DUMMYFUNCTION("""COMPUTED_VALUE"""),"Ford F150 2008 - DEP18041 (SWMP Thing)")</f>
        <v>Ford F150 2008 - DEP18041 (SWMP Thing)</v>
      </c>
      <c r="N233" t="str">
        <f ca="1">IFERROR(__xludf.DUMMYFUNCTION("""COMPUTED_VALUE"""),"Pam Marcum, (480) 332-5414")</f>
        <v>Pam Marcum, (480) 332-5414</v>
      </c>
      <c r="O233" t="str">
        <f ca="1">IFERROR(__xludf.DUMMYFUNCTION("""COMPUTED_VALUE"""),"Connor Kellie, Vicki MacDonald, Barry MacDonald, Jeff Finnan")</f>
        <v>Connor Kellie, Vicki MacDonald, Barry MacDonald, Jeff Finnan</v>
      </c>
      <c r="P233" t="str">
        <f ca="1">IFERROR(__xludf.DUMMYFUNCTION("""COMPUTED_VALUE"""),"Pam")</f>
        <v>Pam</v>
      </c>
      <c r="Q233" t="str">
        <f ca="1">IFERROR(__xludf.DUMMYFUNCTION("""COMPUTED_VALUE"""),"Good")</f>
        <v>Good</v>
      </c>
      <c r="R233" t="str">
        <f ca="1">IFERROR(__xludf.DUMMYFUNCTION("""COMPUTED_VALUE"""),"Good")</f>
        <v>Good</v>
      </c>
      <c r="S233" t="str">
        <f ca="1">IFERROR(__xludf.DUMMYFUNCTION("""COMPUTED_VALUE"""),"Good")</f>
        <v>Good</v>
      </c>
      <c r="T233" t="str">
        <f ca="1">IFERROR(__xludf.DUMMYFUNCTION("""COMPUTED_VALUE"""),"Good")</f>
        <v>Good</v>
      </c>
      <c r="U233" t="str">
        <f ca="1">IFERROR(__xludf.DUMMYFUNCTION("""COMPUTED_VALUE"""),"Good")</f>
        <v>Good</v>
      </c>
      <c r="V233" t="str">
        <f ca="1">IFERROR(__xludf.DUMMYFUNCTION("""COMPUTED_VALUE"""),"Good")</f>
        <v>Good</v>
      </c>
      <c r="W233" t="str">
        <f ca="1">IFERROR(__xludf.DUMMYFUNCTION("""COMPUTED_VALUE"""),"Good")</f>
        <v>Good</v>
      </c>
      <c r="X233" t="str">
        <f ca="1">IFERROR(__xludf.DUMMYFUNCTION("""COMPUTED_VALUE"""),"Good")</f>
        <v>Good</v>
      </c>
      <c r="Y233" t="str">
        <f ca="1">IFERROR(__xludf.DUMMYFUNCTION("""COMPUTED_VALUE"""),"Good")</f>
        <v>Good</v>
      </c>
      <c r="Z233" t="str">
        <f ca="1">IFERROR(__xludf.DUMMYFUNCTION("""COMPUTED_VALUE"""),"Good")</f>
        <v>Good</v>
      </c>
      <c r="AA233" t="str">
        <f ca="1">IFERROR(__xludf.DUMMYFUNCTION("""COMPUTED_VALUE"""),"Good")</f>
        <v>Good</v>
      </c>
      <c r="AB233" t="str">
        <f ca="1">IFERROR(__xludf.DUMMYFUNCTION("""COMPUTED_VALUE"""),"Good")</f>
        <v>Good</v>
      </c>
      <c r="AC233" t="str">
        <f ca="1">IFERROR(__xludf.DUMMYFUNCTION("""COMPUTED_VALUE"""),"Good")</f>
        <v>Good</v>
      </c>
      <c r="AE233" s="11"/>
      <c r="AF233" t="str">
        <v>Nikki.Dix@floridadep.gov</v>
      </c>
      <c r="AG233" s="17" t="s">
        <v>41</v>
      </c>
      <c r="AH233" s="12">
        <v>1345</v>
      </c>
      <c r="AI233" s="12" t="s">
        <v>643</v>
      </c>
      <c r="AJ233" s="19" t="s">
        <v>644</v>
      </c>
      <c r="AK233" s="20" t="str">
        <f>HYPERLINK("https://docs.google.com/document/d/1BNVX05cr1434PSG7V5_vi5xdcMP9K4I0Om0n38jVaK0/edit?usp=drivesdk","Pam Marcum - 1/18/2019 10:45 AM")</f>
        <v>Pam Marcum - 1/18/2019 10:45 AM</v>
      </c>
      <c r="AL233" s="12" t="s">
        <v>645</v>
      </c>
    </row>
    <row r="234" spans="1:38" ht="12.75">
      <c r="A234" s="10">
        <f ca="1">IFERROR(__xludf.DUMMYFUNCTION("""COMPUTED_VALUE"""),43483.4462388194)</f>
        <v>43483.446238819401</v>
      </c>
      <c r="B234" s="11" t="str">
        <f ca="1">IFERROR(__xludf.DUMMYFUNCTION("""COMPUTED_VALUE"""),"Shannon")</f>
        <v>Shannon</v>
      </c>
      <c r="C234" t="str">
        <f ca="1">IFERROR(__xludf.DUMMYFUNCTION("""COMPUTED_VALUE"""),"shannon.dunnigan@floridadep.gov")</f>
        <v>shannon.dunnigan@floridadep.gov</v>
      </c>
      <c r="D234" t="str">
        <f ca="1">IFERROR(__xludf.DUMMYFUNCTION("""COMPUTED_VALUE"""),"Research/Nikki")</f>
        <v>Research/Nikki</v>
      </c>
      <c r="E234" t="str">
        <f ca="1">IFERROR(__xludf.DUMMYFUNCTION("""COMPUTED_VALUE"""),"Aunt Kate’s")</f>
        <v>Aunt Kate’s</v>
      </c>
      <c r="F234" s="13">
        <f ca="1">IFERROR(__xludf.DUMMYFUNCTION("""COMPUTED_VALUE"""),0.45833333333212)</f>
        <v>0.45833333333212001</v>
      </c>
      <c r="G234" s="14">
        <f ca="1">IFERROR(__xludf.DUMMYFUNCTION("""COMPUTED_VALUE"""),43483)</f>
        <v>43483</v>
      </c>
      <c r="H234" t="str">
        <f ca="1">IFERROR(__xludf.DUMMYFUNCTION("""COMPUTED_VALUE"""),"Tolomato")</f>
        <v>Tolomato</v>
      </c>
      <c r="I234" s="15">
        <f ca="1">IFERROR(__xludf.DUMMYFUNCTION("""COMPUTED_VALUE"""),0.58333333333212)</f>
        <v>0.58333333333212001</v>
      </c>
      <c r="J234" s="16">
        <f ca="1">IFERROR(__xludf.DUMMYFUNCTION("""COMPUTED_VALUE"""),43483.625)</f>
        <v>43483.625</v>
      </c>
      <c r="K234" t="str">
        <f ca="1">IFERROR(__xludf.DUMMYFUNCTION("""COMPUTED_VALUE"""),"F 20ft Sea Ark (Easy 200) FL8534PY DEP21451")</f>
        <v>F 20ft Sea Ark (Easy 200) FL8534PY DEP21451</v>
      </c>
      <c r="M234" t="str">
        <f ca="1">IFERROR(__xludf.DUMMYFUNCTION("""COMPUTED_VALUE"""),"Ford F250 2017 (Moby Dix) - DEP0021578")</f>
        <v>Ford F250 2017 (Moby Dix) - DEP0021578</v>
      </c>
      <c r="N234" t="str">
        <f ca="1">IFERROR(__xludf.DUMMYFUNCTION("""COMPUTED_VALUE"""),"Nikki Dix, (352) 219-4079, Shannon Dunnigan, (803) 727-5734")</f>
        <v>Nikki Dix, (352) 219-4079, Shannon Dunnigan, (803) 727-5734</v>
      </c>
      <c r="P234" t="str">
        <f ca="1">IFERROR(__xludf.DUMMYFUNCTION("""COMPUTED_VALUE"""),"Shannon")</f>
        <v>Shannon</v>
      </c>
      <c r="Q234" t="str">
        <f ca="1">IFERROR(__xludf.DUMMYFUNCTION("""COMPUTED_VALUE"""),"Good")</f>
        <v>Good</v>
      </c>
      <c r="R234" t="str">
        <f ca="1">IFERROR(__xludf.DUMMYFUNCTION("""COMPUTED_VALUE"""),"Good")</f>
        <v>Good</v>
      </c>
      <c r="S234" t="str">
        <f ca="1">IFERROR(__xludf.DUMMYFUNCTION("""COMPUTED_VALUE"""),"Good")</f>
        <v>Good</v>
      </c>
      <c r="T234" t="str">
        <f ca="1">IFERROR(__xludf.DUMMYFUNCTION("""COMPUTED_VALUE"""),"Good")</f>
        <v>Good</v>
      </c>
      <c r="U234" t="str">
        <f ca="1">IFERROR(__xludf.DUMMYFUNCTION("""COMPUTED_VALUE"""),"Good")</f>
        <v>Good</v>
      </c>
      <c r="V234" t="str">
        <f ca="1">IFERROR(__xludf.DUMMYFUNCTION("""COMPUTED_VALUE"""),"Good")</f>
        <v>Good</v>
      </c>
      <c r="W234" t="str">
        <f ca="1">IFERROR(__xludf.DUMMYFUNCTION("""COMPUTED_VALUE"""),"Good")</f>
        <v>Good</v>
      </c>
      <c r="X234" t="str">
        <f ca="1">IFERROR(__xludf.DUMMYFUNCTION("""COMPUTED_VALUE"""),"Good")</f>
        <v>Good</v>
      </c>
      <c r="Y234" t="str">
        <f ca="1">IFERROR(__xludf.DUMMYFUNCTION("""COMPUTED_VALUE"""),"Good")</f>
        <v>Good</v>
      </c>
      <c r="Z234" t="str">
        <f ca="1">IFERROR(__xludf.DUMMYFUNCTION("""COMPUTED_VALUE"""),"Good")</f>
        <v>Good</v>
      </c>
      <c r="AA234" t="str">
        <f ca="1">IFERROR(__xludf.DUMMYFUNCTION("""COMPUTED_VALUE"""),"Good")</f>
        <v>Good</v>
      </c>
      <c r="AB234" t="str">
        <f ca="1">IFERROR(__xludf.DUMMYFUNCTION("""COMPUTED_VALUE"""),"Good")</f>
        <v>Good</v>
      </c>
      <c r="AC234" t="str">
        <f ca="1">IFERROR(__xludf.DUMMYFUNCTION("""COMPUTED_VALUE"""),"Good")</f>
        <v>Good</v>
      </c>
      <c r="AE234" s="11"/>
      <c r="AF234" t="str">
        <v>Nikki.Dix@floridadep.gov</v>
      </c>
      <c r="AG234" s="17" t="s">
        <v>54</v>
      </c>
      <c r="AH234" s="12" t="s">
        <v>278</v>
      </c>
      <c r="AI234" s="12" t="s">
        <v>646</v>
      </c>
      <c r="AJ234" s="19" t="s">
        <v>647</v>
      </c>
      <c r="AK234" s="20" t="str">
        <f>HYPERLINK("https://docs.google.com/document/d/1y2UDORHMpvgGxnWKusUow10nn0yr4r-KxQFkrbWVVDg/edit?usp=drivesdk","Shannon - 1/18/2019 11:00 AM")</f>
        <v>Shannon - 1/18/2019 11:00 AM</v>
      </c>
      <c r="AL234" s="12" t="s">
        <v>648</v>
      </c>
    </row>
    <row r="235" spans="1:38" ht="12.75">
      <c r="A235" s="10">
        <f ca="1">IFERROR(__xludf.DUMMYFUNCTION("""COMPUTED_VALUE"""),43483.4528569213)</f>
        <v>43483.4528569213</v>
      </c>
      <c r="B235" s="11" t="str">
        <f ca="1">IFERROR(__xludf.DUMMYFUNCTION("""COMPUTED_VALUE"""),"Shannon")</f>
        <v>Shannon</v>
      </c>
      <c r="C235" t="str">
        <f ca="1">IFERROR(__xludf.DUMMYFUNCTION("""COMPUTED_VALUE"""),"shannon.dunnigan@floridadep.gov")</f>
        <v>shannon.dunnigan@floridadep.gov</v>
      </c>
      <c r="D235" t="str">
        <f ca="1">IFERROR(__xludf.DUMMYFUNCTION("""COMPUTED_VALUE"""),"Research/Nikki")</f>
        <v>Research/Nikki</v>
      </c>
      <c r="E235" t="str">
        <f ca="1">IFERROR(__xludf.DUMMYFUNCTION("""COMPUTED_VALUE"""),"Kates")</f>
        <v>Kates</v>
      </c>
      <c r="F235" s="13">
        <f ca="1">IFERROR(__xludf.DUMMYFUNCTION("""COMPUTED_VALUE"""),0.45833333333212)</f>
        <v>0.45833333333212001</v>
      </c>
      <c r="G235" s="14">
        <f ca="1">IFERROR(__xludf.DUMMYFUNCTION("""COMPUTED_VALUE"""),43484)</f>
        <v>43484</v>
      </c>
      <c r="H235" t="str">
        <f ca="1">IFERROR(__xludf.DUMMYFUNCTION("""COMPUTED_VALUE"""),"Tolomato")</f>
        <v>Tolomato</v>
      </c>
      <c r="I235" s="15">
        <f ca="1">IFERROR(__xludf.DUMMYFUNCTION("""COMPUTED_VALUE"""),0.5)</f>
        <v>0.5</v>
      </c>
      <c r="J235" s="16">
        <f ca="1">IFERROR(__xludf.DUMMYFUNCTION("""COMPUTED_VALUE"""),43483.5006944444)</f>
        <v>43483.500694444403</v>
      </c>
      <c r="K235" t="str">
        <f ca="1">IFERROR(__xludf.DUMMYFUNCTION("""COMPUTED_VALUE"""),"F 20ft Sea Ark (Easy 200) FL8534PY DEP21451")</f>
        <v>F 20ft Sea Ark (Easy 200) FL8534PY DEP21451</v>
      </c>
      <c r="M235" t="str">
        <f ca="1">IFERROR(__xludf.DUMMYFUNCTION("""COMPUTED_VALUE"""),"Ford F250 2017 (Moby Dix) - DEP0021578")</f>
        <v>Ford F250 2017 (Moby Dix) - DEP0021578</v>
      </c>
      <c r="N235" t="str">
        <f ca="1">IFERROR(__xludf.DUMMYFUNCTION("""COMPUTED_VALUE"""),"Nikki Dix, (352) 219-4079, Shannon Dunnigan, (803) 727-5734")</f>
        <v>Nikki Dix, (352) 219-4079, Shannon Dunnigan, (803) 727-5734</v>
      </c>
      <c r="P235" t="str">
        <f ca="1">IFERROR(__xludf.DUMMYFUNCTION("""COMPUTED_VALUE"""),"Shannon")</f>
        <v>Shannon</v>
      </c>
      <c r="Q235" t="str">
        <f ca="1">IFERROR(__xludf.DUMMYFUNCTION("""COMPUTED_VALUE"""),"Good")</f>
        <v>Good</v>
      </c>
      <c r="R235" t="str">
        <f ca="1">IFERROR(__xludf.DUMMYFUNCTION("""COMPUTED_VALUE"""),"Good")</f>
        <v>Good</v>
      </c>
      <c r="S235" t="str">
        <f ca="1">IFERROR(__xludf.DUMMYFUNCTION("""COMPUTED_VALUE"""),"Good")</f>
        <v>Good</v>
      </c>
      <c r="T235" t="str">
        <f ca="1">IFERROR(__xludf.DUMMYFUNCTION("""COMPUTED_VALUE"""),"Good")</f>
        <v>Good</v>
      </c>
      <c r="U235" t="str">
        <f ca="1">IFERROR(__xludf.DUMMYFUNCTION("""COMPUTED_VALUE"""),"Good")</f>
        <v>Good</v>
      </c>
      <c r="V235" t="str">
        <f ca="1">IFERROR(__xludf.DUMMYFUNCTION("""COMPUTED_VALUE"""),"Good")</f>
        <v>Good</v>
      </c>
      <c r="W235" t="str">
        <f ca="1">IFERROR(__xludf.DUMMYFUNCTION("""COMPUTED_VALUE"""),"Good")</f>
        <v>Good</v>
      </c>
      <c r="X235" t="str">
        <f ca="1">IFERROR(__xludf.DUMMYFUNCTION("""COMPUTED_VALUE"""),"Good")</f>
        <v>Good</v>
      </c>
      <c r="Y235" t="str">
        <f ca="1">IFERROR(__xludf.DUMMYFUNCTION("""COMPUTED_VALUE"""),"Good")</f>
        <v>Good</v>
      </c>
      <c r="Z235" t="str">
        <f ca="1">IFERROR(__xludf.DUMMYFUNCTION("""COMPUTED_VALUE"""),"Good")</f>
        <v>Good</v>
      </c>
      <c r="AA235" t="str">
        <f ca="1">IFERROR(__xludf.DUMMYFUNCTION("""COMPUTED_VALUE"""),"Good")</f>
        <v>Good</v>
      </c>
      <c r="AB235" t="str">
        <f ca="1">IFERROR(__xludf.DUMMYFUNCTION("""COMPUTED_VALUE"""),"Good")</f>
        <v>Good</v>
      </c>
      <c r="AC235" t="str">
        <f ca="1">IFERROR(__xludf.DUMMYFUNCTION("""COMPUTED_VALUE"""),"Good")</f>
        <v>Good</v>
      </c>
      <c r="AE235" s="11"/>
      <c r="AF235" t="str">
        <v>Nikki.Dix@floridadep.gov</v>
      </c>
      <c r="AG235" s="17" t="s">
        <v>54</v>
      </c>
      <c r="AH235" s="12" t="s">
        <v>278</v>
      </c>
      <c r="AI235" s="12" t="s">
        <v>649</v>
      </c>
      <c r="AJ235" s="19" t="s">
        <v>650</v>
      </c>
      <c r="AK235" s="20" t="str">
        <f>HYPERLINK("https://docs.google.com/document/d/14yTxW_f-O_a2XG44MuzS7iWl79ZZNjt9kb-KH_PVWqg/edit?usp=drivesdk","Shannon - 1/19/2019 11:00 AM")</f>
        <v>Shannon - 1/19/2019 11:00 AM</v>
      </c>
      <c r="AL235" s="12" t="s">
        <v>651</v>
      </c>
    </row>
    <row r="236" spans="1:38" ht="12.75">
      <c r="A236" s="10">
        <f ca="1">IFERROR(__xludf.DUMMYFUNCTION("""COMPUTED_VALUE"""),43483.5107411574)</f>
        <v>43483.510741157399</v>
      </c>
      <c r="B236" s="11" t="str">
        <f ca="1">IFERROR(__xludf.DUMMYFUNCTION("""COMPUTED_VALUE"""),"Kenneth is testing Hi Everyone!")</f>
        <v>Kenneth is testing Hi Everyone!</v>
      </c>
      <c r="C236" t="str">
        <f ca="1">IFERROR(__xludf.DUMMYFUNCTION("""COMPUTED_VALUE"""),"kennethcrainer@gmail.com")</f>
        <v>kennethcrainer@gmail.com</v>
      </c>
      <c r="D236" t="str">
        <f ca="1">IFERROR(__xludf.DUMMYFUNCTION("""COMPUTED_VALUE"""),"Research/Nikki")</f>
        <v>Research/Nikki</v>
      </c>
      <c r="E236" t="str">
        <f ca="1">IFERROR(__xludf.DUMMYFUNCTION("""COMPUTED_VALUE"""),"Aunt Kate's")</f>
        <v>Aunt Kate's</v>
      </c>
      <c r="F236" s="13">
        <f ca="1">IFERROR(__xludf.DUMMYFUNCTION("""COMPUTED_VALUE"""),0.354166666667879)</f>
        <v>0.35416666666787899</v>
      </c>
      <c r="G236" s="14">
        <f ca="1">IFERROR(__xludf.DUMMYFUNCTION("""COMPUTED_VALUE"""),43483)</f>
        <v>43483</v>
      </c>
      <c r="H236" t="str">
        <f ca="1">IFERROR(__xludf.DUMMYFUNCTION("""COMPUTED_VALUE"""),"North Guana River")</f>
        <v>North Guana River</v>
      </c>
      <c r="I236" s="15">
        <f ca="1">IFERROR(__xludf.DUMMYFUNCTION("""COMPUTED_VALUE"""),0.5)</f>
        <v>0.5</v>
      </c>
      <c r="J236" s="16">
        <f ca="1">IFERROR(__xludf.DUMMYFUNCTION("""COMPUTED_VALUE"""),43483.7083333333)</f>
        <v>43483.708333333299</v>
      </c>
      <c r="K236" t="str">
        <f ca="1">IFERROR(__xludf.DUMMYFUNCTION("""COMPUTED_VALUE"""),"F 20ft Sea Ark (Easy 200) FL8534PY DEP21451")</f>
        <v>F 20ft Sea Ark (Easy 200) FL8534PY DEP21451</v>
      </c>
      <c r="L236">
        <f ca="1">IFERROR(__xludf.DUMMYFUNCTION("""COMPUTED_VALUE"""),2)</f>
        <v>2</v>
      </c>
      <c r="M236" t="str">
        <f ca="1">IFERROR(__xludf.DUMMYFUNCTION("""COMPUTED_VALUE"""),"Ford F250 2017 (Moby Dix) - DEP0021578")</f>
        <v>Ford F250 2017 (Moby Dix) - DEP0021578</v>
      </c>
      <c r="N236" t="str">
        <f ca="1">IFERROR(__xludf.DUMMYFUNCTION("""COMPUTED_VALUE"""),"Nikki Dix, (352) 219-4079, Kenneth Rainer, (936) 499-1853")</f>
        <v>Nikki Dix, (352) 219-4079, Kenneth Rainer, (936) 499-1853</v>
      </c>
      <c r="O236" t="str">
        <f ca="1">IFERROR(__xludf.DUMMYFUNCTION("""COMPUTED_VALUE"""),"Benjamin Mowbray, (407) 962-8782, Kenneth Rainer, (936) 499-1853")</f>
        <v>Benjamin Mowbray, (407) 962-8782, Kenneth Rainer, (936) 499-1853</v>
      </c>
      <c r="P236" t="str">
        <f ca="1">IFERROR(__xludf.DUMMYFUNCTION("""COMPUTED_VALUE"""),"Captain Kenneth")</f>
        <v>Captain Kenneth</v>
      </c>
      <c r="Q236" t="str">
        <f ca="1">IFERROR(__xludf.DUMMYFUNCTION("""COMPUTED_VALUE"""),"Good")</f>
        <v>Good</v>
      </c>
      <c r="R236" t="str">
        <f ca="1">IFERROR(__xludf.DUMMYFUNCTION("""COMPUTED_VALUE"""),"Good")</f>
        <v>Good</v>
      </c>
      <c r="S236" t="str">
        <f ca="1">IFERROR(__xludf.DUMMYFUNCTION("""COMPUTED_VALUE"""),"Good")</f>
        <v>Good</v>
      </c>
      <c r="T236" t="str">
        <f ca="1">IFERROR(__xludf.DUMMYFUNCTION("""COMPUTED_VALUE"""),"Good")</f>
        <v>Good</v>
      </c>
      <c r="U236" t="str">
        <f ca="1">IFERROR(__xludf.DUMMYFUNCTION("""COMPUTED_VALUE"""),"Good")</f>
        <v>Good</v>
      </c>
      <c r="V236" t="str">
        <f ca="1">IFERROR(__xludf.DUMMYFUNCTION("""COMPUTED_VALUE"""),"Good")</f>
        <v>Good</v>
      </c>
      <c r="W236" t="str">
        <f ca="1">IFERROR(__xludf.DUMMYFUNCTION("""COMPUTED_VALUE"""),"Good")</f>
        <v>Good</v>
      </c>
      <c r="X236" t="str">
        <f ca="1">IFERROR(__xludf.DUMMYFUNCTION("""COMPUTED_VALUE"""),"Good")</f>
        <v>Good</v>
      </c>
      <c r="Y236" t="str">
        <f ca="1">IFERROR(__xludf.DUMMYFUNCTION("""COMPUTED_VALUE"""),"Good")</f>
        <v>Good</v>
      </c>
      <c r="Z236" t="str">
        <f ca="1">IFERROR(__xludf.DUMMYFUNCTION("""COMPUTED_VALUE"""),"Good")</f>
        <v>Good</v>
      </c>
      <c r="AA236" t="str">
        <f ca="1">IFERROR(__xludf.DUMMYFUNCTION("""COMPUTED_VALUE"""),"Good")</f>
        <v>Good</v>
      </c>
      <c r="AB236" t="str">
        <f ca="1">IFERROR(__xludf.DUMMYFUNCTION("""COMPUTED_VALUE"""),"Good")</f>
        <v>Good</v>
      </c>
      <c r="AC236" t="str">
        <f ca="1">IFERROR(__xludf.DUMMYFUNCTION("""COMPUTED_VALUE"""),"Good")</f>
        <v>Good</v>
      </c>
      <c r="AD236" t="str">
        <f ca="1">IFERROR(__xludf.DUMMYFUNCTION("""COMPUTED_VALUE"""),"It's beautiful -- shame this is only a test")</f>
        <v>It's beautiful -- shame this is only a test</v>
      </c>
      <c r="AE236" s="11" t="str">
        <f ca="1">IFERROR(__xludf.DUMMYFUNCTION("""COMPUTED_VALUE"""),"nuisance flooding all over")</f>
        <v>nuisance flooding all over</v>
      </c>
      <c r="AF236" t="str">
        <v>Nikki.Dix@floridadep.gov</v>
      </c>
      <c r="AG236" s="17" t="s">
        <v>54</v>
      </c>
      <c r="AH236" s="12" t="s">
        <v>278</v>
      </c>
      <c r="AI236" s="12" t="s">
        <v>652</v>
      </c>
      <c r="AJ236" s="19" t="s">
        <v>653</v>
      </c>
      <c r="AK236" s="20" t="str">
        <f>HYPERLINK("https://docs.google.com/document/d/1Sid9zj_P_dXtirRpSMOa44APDNbBmBxfUhLaW12NacM/edit?usp=drivesdk","Kenneth is testing Hi Everyone! - 1/18/2019 8:30 AM")</f>
        <v>Kenneth is testing Hi Everyone! - 1/18/2019 8:30 AM</v>
      </c>
      <c r="AL236" s="12" t="s">
        <v>654</v>
      </c>
    </row>
    <row r="237" spans="1:38" ht="12.75">
      <c r="A237" s="10">
        <f ca="1">IFERROR(__xludf.DUMMYFUNCTION("""COMPUTED_VALUE"""),43486.6418071064)</f>
        <v>43486.641807106404</v>
      </c>
      <c r="B237" s="11" t="str">
        <f ca="1">IFERROR(__xludf.DUMMYFUNCTION("""COMPUTED_VALUE"""),"James Tomazinis")</f>
        <v>James Tomazinis</v>
      </c>
      <c r="C237" t="str">
        <f ca="1">IFERROR(__xludf.DUMMYFUNCTION("""COMPUTED_VALUE"""),"james.tomazinis@floridadep.gov")</f>
        <v>james.tomazinis@floridadep.gov</v>
      </c>
      <c r="D237" t="str">
        <f ca="1">IFERROR(__xludf.DUMMYFUNCTION("""COMPUTED_VALUE"""),"Stewardship (Aquatic)")</f>
        <v>Stewardship (Aquatic)</v>
      </c>
      <c r="E237" t="str">
        <f ca="1">IFERROR(__xludf.DUMMYFUNCTION("""COMPUTED_VALUE"""),"Guana Dam")</f>
        <v>Guana Dam</v>
      </c>
      <c r="F237" s="13">
        <f ca="1">IFERROR(__xludf.DUMMYFUNCTION("""COMPUTED_VALUE"""),0.42708333333212)</f>
        <v>0.42708333333212001</v>
      </c>
      <c r="G237" s="14">
        <f ca="1">IFERROR(__xludf.DUMMYFUNCTION("""COMPUTED_VALUE"""),43487)</f>
        <v>43487</v>
      </c>
      <c r="H237" t="str">
        <f ca="1">IFERROR(__xludf.DUMMYFUNCTION("""COMPUTED_VALUE"""),"Guana River WQ sites")</f>
        <v>Guana River WQ sites</v>
      </c>
      <c r="I237" s="15">
        <f ca="1">IFERROR(__xludf.DUMMYFUNCTION("""COMPUTED_VALUE"""),0.472222222222626)</f>
        <v>0.472222222222626</v>
      </c>
      <c r="J237" s="16"/>
      <c r="K237" t="str">
        <f ca="1">IFERROR(__xludf.DUMMYFUNCTION("""COMPUTED_VALUE"""),"Jon Boat FL0484NP DEP06819")</f>
        <v>Jon Boat FL0484NP DEP06819</v>
      </c>
      <c r="M237" t="str">
        <f ca="1">IFERROR(__xludf.DUMMYFUNCTION("""COMPUTED_VALUE"""),"Ford F150 2015 (White) - DEP21448")</f>
        <v>Ford F150 2015 (White) - DEP21448</v>
      </c>
      <c r="N237" t="str">
        <f ca="1">IFERROR(__xludf.DUMMYFUNCTION("""COMPUTED_VALUE"""),"Jimmy Tomazinis, (904) 547-0094")</f>
        <v>Jimmy Tomazinis, (904) 547-0094</v>
      </c>
      <c r="O237" t="str">
        <f ca="1">IFERROR(__xludf.DUMMYFUNCTION("""COMPUTED_VALUE"""),"Jessica Lee")</f>
        <v>Jessica Lee</v>
      </c>
      <c r="P237" t="str">
        <f ca="1">IFERROR(__xludf.DUMMYFUNCTION("""COMPUTED_VALUE"""),"Jimmy")</f>
        <v>Jimmy</v>
      </c>
      <c r="Q237" t="str">
        <f ca="1">IFERROR(__xludf.DUMMYFUNCTION("""COMPUTED_VALUE"""),"Good")</f>
        <v>Good</v>
      </c>
      <c r="R237" t="str">
        <f ca="1">IFERROR(__xludf.DUMMYFUNCTION("""COMPUTED_VALUE"""),"Good")</f>
        <v>Good</v>
      </c>
      <c r="S237" t="str">
        <f ca="1">IFERROR(__xludf.DUMMYFUNCTION("""COMPUTED_VALUE"""),"Good")</f>
        <v>Good</v>
      </c>
      <c r="T237" t="str">
        <f ca="1">IFERROR(__xludf.DUMMYFUNCTION("""COMPUTED_VALUE"""),"Good")</f>
        <v>Good</v>
      </c>
      <c r="U237" t="str">
        <f ca="1">IFERROR(__xludf.DUMMYFUNCTION("""COMPUTED_VALUE"""),"Good")</f>
        <v>Good</v>
      </c>
      <c r="V237" t="str">
        <f ca="1">IFERROR(__xludf.DUMMYFUNCTION("""COMPUTED_VALUE"""),"Good")</f>
        <v>Good</v>
      </c>
      <c r="W237" t="str">
        <f ca="1">IFERROR(__xludf.DUMMYFUNCTION("""COMPUTED_VALUE"""),"Good")</f>
        <v>Good</v>
      </c>
      <c r="X237" t="str">
        <f ca="1">IFERROR(__xludf.DUMMYFUNCTION("""COMPUTED_VALUE"""),"Good")</f>
        <v>Good</v>
      </c>
      <c r="Y237" t="str">
        <f ca="1">IFERROR(__xludf.DUMMYFUNCTION("""COMPUTED_VALUE"""),"Good")</f>
        <v>Good</v>
      </c>
      <c r="Z237" t="str">
        <f ca="1">IFERROR(__xludf.DUMMYFUNCTION("""COMPUTED_VALUE"""),"Good")</f>
        <v>Good</v>
      </c>
      <c r="AA237" t="str">
        <f ca="1">IFERROR(__xludf.DUMMYFUNCTION("""COMPUTED_VALUE"""),"Good")</f>
        <v>Good</v>
      </c>
      <c r="AB237" t="str">
        <f ca="1">IFERROR(__xludf.DUMMYFUNCTION("""COMPUTED_VALUE"""),"Good")</f>
        <v>Good</v>
      </c>
      <c r="AC237" t="str">
        <f ca="1">IFERROR(__xludf.DUMMYFUNCTION("""COMPUTED_VALUE"""),"Good")</f>
        <v>Good</v>
      </c>
      <c r="AE237" s="11"/>
      <c r="AF237" t="str">
        <v>Scott.Eastman@floridadep.gov</v>
      </c>
      <c r="AG237" s="17" t="s">
        <v>17</v>
      </c>
      <c r="AH237" s="12">
        <v>1220</v>
      </c>
      <c r="AI237" s="12" t="s">
        <v>655</v>
      </c>
      <c r="AJ237" s="19" t="s">
        <v>656</v>
      </c>
      <c r="AK237" s="20" t="str">
        <f>HYPERLINK("https://docs.google.com/document/d/1XZEg-gWWPTOj9opQYdpz_9DxyzyU6y5Gp45RZpWYD4Q/edit?usp=drivesdk","James Tomazinis - 1/22/2019 10:15 AM")</f>
        <v>James Tomazinis - 1/22/2019 10:15 AM</v>
      </c>
      <c r="AL237" s="12" t="s">
        <v>657</v>
      </c>
    </row>
    <row r="238" spans="1:38" ht="12.75">
      <c r="A238" s="10">
        <f ca="1">IFERROR(__xludf.DUMMYFUNCTION("""COMPUTED_VALUE"""),43487.3310231944)</f>
        <v>43487.331023194398</v>
      </c>
      <c r="B238" s="11" t="str">
        <f ca="1">IFERROR(__xludf.DUMMYFUNCTION("""COMPUTED_VALUE"""),"Silas Tanner")</f>
        <v>Silas Tanner</v>
      </c>
      <c r="C238" t="str">
        <f ca="1">IFERROR(__xludf.DUMMYFUNCTION("""COMPUTED_VALUE"""),"Silas.Tanner@floridadep.gov")</f>
        <v>Silas.Tanner@floridadep.gov</v>
      </c>
      <c r="D238" t="str">
        <f ca="1">IFERROR(__xludf.DUMMYFUNCTION("""COMPUTED_VALUE"""),"Research/Nikki")</f>
        <v>Research/Nikki</v>
      </c>
      <c r="E238" t="str">
        <f ca="1">IFERROR(__xludf.DUMMYFUNCTION("""COMPUTED_VALUE"""),"Vilano Landing")</f>
        <v>Vilano Landing</v>
      </c>
      <c r="F238" s="13">
        <f ca="1">IFERROR(__xludf.DUMMYFUNCTION("""COMPUTED_VALUE"""),0.340277777777373)</f>
        <v>0.340277777777373</v>
      </c>
      <c r="G238" s="14">
        <f ca="1">IFERROR(__xludf.DUMMYFUNCTION("""COMPUTED_VALUE"""),43487)</f>
        <v>43487</v>
      </c>
      <c r="H238" t="str">
        <f ca="1">IFERROR(__xludf.DUMMYFUNCTION("""COMPUTED_VALUE"""),"ICW SWMP sites")</f>
        <v>ICW SWMP sites</v>
      </c>
      <c r="I238" s="15">
        <f ca="1">IFERROR(__xludf.DUMMYFUNCTION("""COMPUTED_VALUE"""),0.541666666667879)</f>
        <v>0.54166666666787899</v>
      </c>
      <c r="J238" s="16">
        <f ca="1">IFERROR(__xludf.DUMMYFUNCTION("""COMPUTED_VALUE"""),43487.5625)</f>
        <v>43487.5625</v>
      </c>
      <c r="K238" t="str">
        <f ca="1">IFERROR(__xludf.DUMMYFUNCTION("""COMPUTED_VALUE"""),"23ft Skiff (Bertha) FL7972LJ DEP07613")</f>
        <v>23ft Skiff (Bertha) FL7972LJ DEP07613</v>
      </c>
      <c r="M238" t="str">
        <f ca="1">IFERROR(__xludf.DUMMYFUNCTION("""COMPUTED_VALUE"""),"Ford F150 2008 - DEP18041 (SWMP Thing)")</f>
        <v>Ford F150 2008 - DEP18041 (SWMP Thing)</v>
      </c>
      <c r="N238" t="str">
        <f ca="1">IFERROR(__xludf.DUMMYFUNCTION("""COMPUTED_VALUE"""),"Nikki Dix, (352) 219-4079, Silas Tanner, (904) 483-8423, Ben Mowbray, (407) 962-8782")</f>
        <v>Nikki Dix, (352) 219-4079, Silas Tanner, (904) 483-8423, Ben Mowbray, (407) 962-8782</v>
      </c>
      <c r="P238" t="str">
        <f ca="1">IFERROR(__xludf.DUMMYFUNCTION("""COMPUTED_VALUE"""),"B. Mowbray")</f>
        <v>B. Mowbray</v>
      </c>
      <c r="Q238" t="str">
        <f ca="1">IFERROR(__xludf.DUMMYFUNCTION("""COMPUTED_VALUE"""),"Good")</f>
        <v>Good</v>
      </c>
      <c r="R238" t="str">
        <f ca="1">IFERROR(__xludf.DUMMYFUNCTION("""COMPUTED_VALUE"""),"Good")</f>
        <v>Good</v>
      </c>
      <c r="S238" t="str">
        <f ca="1">IFERROR(__xludf.DUMMYFUNCTION("""COMPUTED_VALUE"""),"Good")</f>
        <v>Good</v>
      </c>
      <c r="T238" t="str">
        <f ca="1">IFERROR(__xludf.DUMMYFUNCTION("""COMPUTED_VALUE"""),"Good")</f>
        <v>Good</v>
      </c>
      <c r="U238" t="str">
        <f ca="1">IFERROR(__xludf.DUMMYFUNCTION("""COMPUTED_VALUE"""),"Good")</f>
        <v>Good</v>
      </c>
      <c r="V238" t="str">
        <f ca="1">IFERROR(__xludf.DUMMYFUNCTION("""COMPUTED_VALUE"""),"Good")</f>
        <v>Good</v>
      </c>
      <c r="W238" t="str">
        <f ca="1">IFERROR(__xludf.DUMMYFUNCTION("""COMPUTED_VALUE"""),"Good")</f>
        <v>Good</v>
      </c>
      <c r="X238" t="str">
        <f ca="1">IFERROR(__xludf.DUMMYFUNCTION("""COMPUTED_VALUE"""),"Good")</f>
        <v>Good</v>
      </c>
      <c r="Y238" t="str">
        <f ca="1">IFERROR(__xludf.DUMMYFUNCTION("""COMPUTED_VALUE"""),"Good")</f>
        <v>Good</v>
      </c>
      <c r="Z238" t="str">
        <f ca="1">IFERROR(__xludf.DUMMYFUNCTION("""COMPUTED_VALUE"""),"Good")</f>
        <v>Good</v>
      </c>
      <c r="AA238" t="str">
        <f ca="1">IFERROR(__xludf.DUMMYFUNCTION("""COMPUTED_VALUE"""),"Good")</f>
        <v>Good</v>
      </c>
      <c r="AB238" t="str">
        <f ca="1">IFERROR(__xludf.DUMMYFUNCTION("""COMPUTED_VALUE"""),"Good")</f>
        <v>Good</v>
      </c>
      <c r="AC238" t="str">
        <f ca="1">IFERROR(__xludf.DUMMYFUNCTION("""COMPUTED_VALUE"""),"Good")</f>
        <v>Good</v>
      </c>
      <c r="AE238" s="11"/>
      <c r="AF238" t="str">
        <v>Nikki.Dix@floridadep.gov</v>
      </c>
      <c r="AG238" s="17" t="s">
        <v>17</v>
      </c>
      <c r="AH238" s="12">
        <v>1305</v>
      </c>
      <c r="AI238" s="12" t="s">
        <v>658</v>
      </c>
      <c r="AJ238" s="19" t="s">
        <v>659</v>
      </c>
      <c r="AK238" s="20" t="str">
        <f>HYPERLINK("https://docs.google.com/document/d/14k-y4LM7_8qVmY3d7q2kykDV05hX-vJ64NitEnXnQnc/edit?usp=drivesdk","Silas Tanner - 1/22/2019 8:10 AM")</f>
        <v>Silas Tanner - 1/22/2019 8:10 AM</v>
      </c>
      <c r="AL238" s="12" t="s">
        <v>660</v>
      </c>
    </row>
    <row r="239" spans="1:38" ht="12.75">
      <c r="A239" s="10">
        <f ca="1">IFERROR(__xludf.DUMMYFUNCTION("""COMPUTED_VALUE"""),43488.3618511458)</f>
        <v>43488.361851145797</v>
      </c>
      <c r="B239" s="11" t="str">
        <f ca="1">IFERROR(__xludf.DUMMYFUNCTION("""COMPUTED_VALUE"""),"james tomazinis")</f>
        <v>james tomazinis</v>
      </c>
      <c r="C239" t="str">
        <f ca="1">IFERROR(__xludf.DUMMYFUNCTION("""COMPUTED_VALUE"""),"james.tomazinis@dep.state.fl.us")</f>
        <v>james.tomazinis@dep.state.fl.us</v>
      </c>
      <c r="D239" t="str">
        <f ca="1">IFERROR(__xludf.DUMMYFUNCTION("""COMPUTED_VALUE"""),"Stewardship (Aquatic)")</f>
        <v>Stewardship (Aquatic)</v>
      </c>
      <c r="E239" t="str">
        <f ca="1">IFERROR(__xludf.DUMMYFUNCTION("""COMPUTED_VALUE"""),"Vilano")</f>
        <v>Vilano</v>
      </c>
      <c r="F239" s="13">
        <f ca="1">IFERROR(__xludf.DUMMYFUNCTION("""COMPUTED_VALUE"""),0.375)</f>
        <v>0.375</v>
      </c>
      <c r="G239" s="14">
        <f ca="1">IFERROR(__xludf.DUMMYFUNCTION("""COMPUTED_VALUE"""),43488)</f>
        <v>43488</v>
      </c>
      <c r="H239" t="str">
        <f ca="1">IFERROR(__xludf.DUMMYFUNCTION("""COMPUTED_VALUE"""),"Matanzas river nekton sites")</f>
        <v>Matanzas river nekton sites</v>
      </c>
      <c r="I239" s="15">
        <f ca="1">IFERROR(__xludf.DUMMYFUNCTION("""COMPUTED_VALUE"""),0.1875)</f>
        <v>0.1875</v>
      </c>
      <c r="J239" s="16"/>
      <c r="K239" t="str">
        <f ca="1">IFERROR(__xludf.DUMMYFUNCTION("""COMPUTED_VALUE"""),"23ft Skiff (Bertha) FL7972LJ DEP07613")</f>
        <v>23ft Skiff (Bertha) FL7972LJ DEP07613</v>
      </c>
      <c r="M239" t="str">
        <f ca="1">IFERROR(__xludf.DUMMYFUNCTION("""COMPUTED_VALUE"""),"Ford F150 2008 - DEP18041 (SWMP Thing)")</f>
        <v>Ford F150 2008 - DEP18041 (SWMP Thing)</v>
      </c>
      <c r="N239" t="str">
        <f ca="1">IFERROR(__xludf.DUMMYFUNCTION("""COMPUTED_VALUE"""),"Jimmy Tomazinis, (904) 547-0094, Rueben Allen")</f>
        <v>Jimmy Tomazinis, (904) 547-0094, Rueben Allen</v>
      </c>
      <c r="O239" t="str">
        <f ca="1">IFERROR(__xludf.DUMMYFUNCTION("""COMPUTED_VALUE"""),"Jeff Finnan, Abi Tabor, Cassie Picard")</f>
        <v>Jeff Finnan, Abi Tabor, Cassie Picard</v>
      </c>
      <c r="P239" t="str">
        <f ca="1">IFERROR(__xludf.DUMMYFUNCTION("""COMPUTED_VALUE"""),"Jimmy")</f>
        <v>Jimmy</v>
      </c>
      <c r="Q239" t="str">
        <f ca="1">IFERROR(__xludf.DUMMYFUNCTION("""COMPUTED_VALUE"""),"Good")</f>
        <v>Good</v>
      </c>
      <c r="R239" t="str">
        <f ca="1">IFERROR(__xludf.DUMMYFUNCTION("""COMPUTED_VALUE"""),"Good")</f>
        <v>Good</v>
      </c>
      <c r="S239" t="str">
        <f ca="1">IFERROR(__xludf.DUMMYFUNCTION("""COMPUTED_VALUE"""),"Good")</f>
        <v>Good</v>
      </c>
      <c r="T239" t="str">
        <f ca="1">IFERROR(__xludf.DUMMYFUNCTION("""COMPUTED_VALUE"""),"Good")</f>
        <v>Good</v>
      </c>
      <c r="U239" t="str">
        <f ca="1">IFERROR(__xludf.DUMMYFUNCTION("""COMPUTED_VALUE"""),"Good")</f>
        <v>Good</v>
      </c>
      <c r="V239" t="str">
        <f ca="1">IFERROR(__xludf.DUMMYFUNCTION("""COMPUTED_VALUE"""),"Good")</f>
        <v>Good</v>
      </c>
      <c r="W239" t="str">
        <f ca="1">IFERROR(__xludf.DUMMYFUNCTION("""COMPUTED_VALUE"""),"Good")</f>
        <v>Good</v>
      </c>
      <c r="X239" t="str">
        <f ca="1">IFERROR(__xludf.DUMMYFUNCTION("""COMPUTED_VALUE"""),"Good")</f>
        <v>Good</v>
      </c>
      <c r="Y239" t="str">
        <f ca="1">IFERROR(__xludf.DUMMYFUNCTION("""COMPUTED_VALUE"""),"Good")</f>
        <v>Good</v>
      </c>
      <c r="Z239" t="str">
        <f ca="1">IFERROR(__xludf.DUMMYFUNCTION("""COMPUTED_VALUE"""),"Good")</f>
        <v>Good</v>
      </c>
      <c r="AA239" t="str">
        <f ca="1">IFERROR(__xludf.DUMMYFUNCTION("""COMPUTED_VALUE"""),"Good")</f>
        <v>Good</v>
      </c>
      <c r="AB239" t="str">
        <f ca="1">IFERROR(__xludf.DUMMYFUNCTION("""COMPUTED_VALUE"""),"Good")</f>
        <v>Good</v>
      </c>
      <c r="AC239" t="str">
        <f ca="1">IFERROR(__xludf.DUMMYFUNCTION("""COMPUTED_VALUE"""),"Good")</f>
        <v>Good</v>
      </c>
      <c r="AE239" s="11"/>
      <c r="AF239" t="str">
        <v>Scott.Eastman@floridadep.gov</v>
      </c>
      <c r="AG239" s="18"/>
      <c r="AI239" s="12" t="s">
        <v>661</v>
      </c>
      <c r="AJ239" s="19" t="s">
        <v>662</v>
      </c>
      <c r="AK239" s="20" t="str">
        <f>HYPERLINK("https://docs.google.com/document/d/1VxyoSgDSUY1xZ5RK1eus2n0CN5AUTnIlYoMgzyp0JHQ/edit?usp=drivesdk","james tomazinis - 1/23/2019 9:00 AM")</f>
        <v>james tomazinis - 1/23/2019 9:00 AM</v>
      </c>
      <c r="AL239" s="12" t="s">
        <v>663</v>
      </c>
    </row>
    <row r="240" spans="1:38" ht="12.75">
      <c r="A240" s="10">
        <f ca="1">IFERROR(__xludf.DUMMYFUNCTION("""COMPUTED_VALUE"""),43489.4158611458)</f>
        <v>43489.415861145797</v>
      </c>
      <c r="B240" s="11" t="str">
        <f ca="1">IFERROR(__xludf.DUMMYFUNCTION("""COMPUTED_VALUE"""),"Pamela Marcum")</f>
        <v>Pamela Marcum</v>
      </c>
      <c r="C240" t="str">
        <f ca="1">IFERROR(__xludf.DUMMYFUNCTION("""COMPUTED_VALUE"""),"pamela.marcum@dep.state.fl.us")</f>
        <v>pamela.marcum@dep.state.fl.us</v>
      </c>
      <c r="D240" t="str">
        <f ca="1">IFERROR(__xludf.DUMMYFUNCTION("""COMPUTED_VALUE"""),"Administration")</f>
        <v>Administration</v>
      </c>
      <c r="E240" t="str">
        <f ca="1">IFERROR(__xludf.DUMMYFUNCTION("""COMPUTED_VALUE"""),"Faver Dykes")</f>
        <v>Faver Dykes</v>
      </c>
      <c r="F240" s="13">
        <f ca="1">IFERROR(__xludf.DUMMYFUNCTION("""COMPUTED_VALUE"""),0.42708333333212)</f>
        <v>0.42708333333212001</v>
      </c>
      <c r="G240" s="14">
        <f ca="1">IFERROR(__xludf.DUMMYFUNCTION("""COMPUTED_VALUE"""),43489)</f>
        <v>43489</v>
      </c>
      <c r="H240" t="str">
        <f ca="1">IFERROR(__xludf.DUMMYFUNCTION("""COMPUTED_VALUE"""),"Pellicer Creek")</f>
        <v>Pellicer Creek</v>
      </c>
      <c r="I240" s="15">
        <f ca="1">IFERROR(__xludf.DUMMYFUNCTION("""COMPUTED_VALUE"""),0.52083333333212)</f>
        <v>0.52083333333212001</v>
      </c>
      <c r="J240" s="16">
        <f ca="1">IFERROR(__xludf.DUMMYFUNCTION("""COMPUTED_VALUE"""),43489.5625)</f>
        <v>43489.5625</v>
      </c>
      <c r="K240" t="str">
        <f ca="1">IFERROR(__xludf.DUMMYFUNCTION("""COMPUTED_VALUE"""),"F 20ft Sea Ark (Easy 200) FL8534PY DEP21451")</f>
        <v>F 20ft Sea Ark (Easy 200) FL8534PY DEP21451</v>
      </c>
      <c r="M240" t="str">
        <f ca="1">IFERROR(__xludf.DUMMYFUNCTION("""COMPUTED_VALUE"""),"Ford F250 2017 (Moby Dix) - DEP0021578")</f>
        <v>Ford F250 2017 (Moby Dix) - DEP0021578</v>
      </c>
      <c r="N240" t="str">
        <f ca="1">IFERROR(__xludf.DUMMYFUNCTION("""COMPUTED_VALUE"""),"Nikki Dix, (352) 219-4079, Scott Eastman, (904) 501-9267, Pam Marcum, (480) 332-5414, Ben Mowbray, (407) 962-8782")</f>
        <v>Nikki Dix, (352) 219-4079, Scott Eastman, (904) 501-9267, Pam Marcum, (480) 332-5414, Ben Mowbray, (407) 962-8782</v>
      </c>
      <c r="P240" t="str">
        <f ca="1">IFERROR(__xludf.DUMMYFUNCTION("""COMPUTED_VALUE"""),"Ben")</f>
        <v>Ben</v>
      </c>
      <c r="Q240" t="str">
        <f ca="1">IFERROR(__xludf.DUMMYFUNCTION("""COMPUTED_VALUE"""),"Good")</f>
        <v>Good</v>
      </c>
      <c r="R240" t="str">
        <f ca="1">IFERROR(__xludf.DUMMYFUNCTION("""COMPUTED_VALUE"""),"Good")</f>
        <v>Good</v>
      </c>
      <c r="S240" t="str">
        <f ca="1">IFERROR(__xludf.DUMMYFUNCTION("""COMPUTED_VALUE"""),"Good")</f>
        <v>Good</v>
      </c>
      <c r="T240" t="str">
        <f ca="1">IFERROR(__xludf.DUMMYFUNCTION("""COMPUTED_VALUE"""),"Good")</f>
        <v>Good</v>
      </c>
      <c r="U240" t="str">
        <f ca="1">IFERROR(__xludf.DUMMYFUNCTION("""COMPUTED_VALUE"""),"Good")</f>
        <v>Good</v>
      </c>
      <c r="V240" t="str">
        <f ca="1">IFERROR(__xludf.DUMMYFUNCTION("""COMPUTED_VALUE"""),"Good")</f>
        <v>Good</v>
      </c>
      <c r="W240" t="str">
        <f ca="1">IFERROR(__xludf.DUMMYFUNCTION("""COMPUTED_VALUE"""),"Good")</f>
        <v>Good</v>
      </c>
      <c r="X240" t="str">
        <f ca="1">IFERROR(__xludf.DUMMYFUNCTION("""COMPUTED_VALUE"""),"Good")</f>
        <v>Good</v>
      </c>
      <c r="Y240" t="str">
        <f ca="1">IFERROR(__xludf.DUMMYFUNCTION("""COMPUTED_VALUE"""),"Good")</f>
        <v>Good</v>
      </c>
      <c r="Z240" t="str">
        <f ca="1">IFERROR(__xludf.DUMMYFUNCTION("""COMPUTED_VALUE"""),"Good")</f>
        <v>Good</v>
      </c>
      <c r="AA240" t="str">
        <f ca="1">IFERROR(__xludf.DUMMYFUNCTION("""COMPUTED_VALUE"""),"Good")</f>
        <v>Good</v>
      </c>
      <c r="AB240" t="str">
        <f ca="1">IFERROR(__xludf.DUMMYFUNCTION("""COMPUTED_VALUE"""),"Good")</f>
        <v>Good</v>
      </c>
      <c r="AC240" t="str">
        <f ca="1">IFERROR(__xludf.DUMMYFUNCTION("""COMPUTED_VALUE"""),"Good")</f>
        <v>Good</v>
      </c>
      <c r="AE240" s="11"/>
      <c r="AF240" t="str">
        <v>Lia.Sansom@floridadep.gov</v>
      </c>
      <c r="AG240" s="17" t="s">
        <v>17</v>
      </c>
      <c r="AH240" s="12">
        <v>1250</v>
      </c>
      <c r="AI240" s="12" t="s">
        <v>664</v>
      </c>
      <c r="AJ240" s="19" t="s">
        <v>665</v>
      </c>
      <c r="AK240" s="20" t="str">
        <f>HYPERLINK("https://docs.google.com/document/d/1ySdWIilTOg-yyMQjktbgZWwdRIY5MumEp3vG29GzdsE/edit?usp=drivesdk","Pamela Marcum - 1/24/2019 10:15 AM")</f>
        <v>Pamela Marcum - 1/24/2019 10:15 AM</v>
      </c>
      <c r="AL240" s="12" t="s">
        <v>666</v>
      </c>
    </row>
    <row r="241" spans="1:38" ht="12.75">
      <c r="A241" s="10">
        <f ca="1">IFERROR(__xludf.DUMMYFUNCTION("""COMPUTED_VALUE"""),43496.2930394328)</f>
        <v>43496.2930394328</v>
      </c>
      <c r="B241" s="11" t="str">
        <f ca="1">IFERROR(__xludf.DUMMYFUNCTION("""COMPUTED_VALUE"""),"Ben Mowbray")</f>
        <v>Ben Mowbray</v>
      </c>
      <c r="C241" t="str">
        <f ca="1">IFERROR(__xludf.DUMMYFUNCTION("""COMPUTED_VALUE"""),"ben.mowbray@dep.state.fl.us")</f>
        <v>ben.mowbray@dep.state.fl.us</v>
      </c>
      <c r="D241" t="str">
        <f ca="1">IFERROR(__xludf.DUMMYFUNCTION("""COMPUTED_VALUE"""),"Research/Shannon")</f>
        <v>Research/Shannon</v>
      </c>
      <c r="E241" t="str">
        <f ca="1">IFERROR(__xludf.DUMMYFUNCTION("""COMPUTED_VALUE"""),"Light House, Green Rd., Bing's")</f>
        <v>Light House, Green Rd., Bing's</v>
      </c>
      <c r="F241" s="13">
        <f ca="1">IFERROR(__xludf.DUMMYFUNCTION("""COMPUTED_VALUE"""),0.416666666667879)</f>
        <v>0.41666666666787899</v>
      </c>
      <c r="G241" s="14">
        <f ca="1">IFERROR(__xludf.DUMMYFUNCTION("""COMPUTED_VALUE"""),43486)</f>
        <v>43486</v>
      </c>
      <c r="H241" t="str">
        <f ca="1">IFERROR(__xludf.DUMMYFUNCTION("""COMPUTED_VALUE"""),"Southern Spat Run")</f>
        <v>Southern Spat Run</v>
      </c>
      <c r="I241" s="15">
        <f ca="1">IFERROR(__xludf.DUMMYFUNCTION("""COMPUTED_VALUE"""),0.625)</f>
        <v>0.625</v>
      </c>
      <c r="J241" s="16">
        <f ca="1">IFERROR(__xludf.DUMMYFUNCTION("""COMPUTED_VALUE"""),43496.7083333333)</f>
        <v>43496.708333333299</v>
      </c>
      <c r="K241" t="str">
        <f ca="1">IFERROR(__xludf.DUMMYFUNCTION("""COMPUTED_VALUE"""),"23ft Skiff (Bertha) FL7972LJ DEP07613")</f>
        <v>23ft Skiff (Bertha) FL7972LJ DEP07613</v>
      </c>
      <c r="M241" t="str">
        <f ca="1">IFERROR(__xludf.DUMMYFUNCTION("""COMPUTED_VALUE"""),"Ford F250 2017 (Moby Dix) - DEP0021578")</f>
        <v>Ford F250 2017 (Moby Dix) - DEP0021578</v>
      </c>
      <c r="N241" t="str">
        <f ca="1">IFERROR(__xludf.DUMMYFUNCTION("""COMPUTED_VALUE"""),"Ben Mowbray, (407) 962-8782")</f>
        <v>Ben Mowbray, (407) 962-8782</v>
      </c>
      <c r="O241" t="str">
        <f ca="1">IFERROR(__xludf.DUMMYFUNCTION("""COMPUTED_VALUE"""),"Greg Wilson")</f>
        <v>Greg Wilson</v>
      </c>
      <c r="P241" t="str">
        <f ca="1">IFERROR(__xludf.DUMMYFUNCTION("""COMPUTED_VALUE"""),"Ben")</f>
        <v>Ben</v>
      </c>
      <c r="Q241" t="str">
        <f ca="1">IFERROR(__xludf.DUMMYFUNCTION("""COMPUTED_VALUE"""),"Good")</f>
        <v>Good</v>
      </c>
      <c r="R241" t="str">
        <f ca="1">IFERROR(__xludf.DUMMYFUNCTION("""COMPUTED_VALUE"""),"Good")</f>
        <v>Good</v>
      </c>
      <c r="S241" t="str">
        <f ca="1">IFERROR(__xludf.DUMMYFUNCTION("""COMPUTED_VALUE"""),"Good")</f>
        <v>Good</v>
      </c>
      <c r="T241" t="str">
        <f ca="1">IFERROR(__xludf.DUMMYFUNCTION("""COMPUTED_VALUE"""),"Good")</f>
        <v>Good</v>
      </c>
      <c r="U241" t="str">
        <f ca="1">IFERROR(__xludf.DUMMYFUNCTION("""COMPUTED_VALUE"""),"Good")</f>
        <v>Good</v>
      </c>
      <c r="V241" t="str">
        <f ca="1">IFERROR(__xludf.DUMMYFUNCTION("""COMPUTED_VALUE"""),"Good")</f>
        <v>Good</v>
      </c>
      <c r="W241" t="str">
        <f ca="1">IFERROR(__xludf.DUMMYFUNCTION("""COMPUTED_VALUE"""),"Good")</f>
        <v>Good</v>
      </c>
      <c r="X241" t="str">
        <f ca="1">IFERROR(__xludf.DUMMYFUNCTION("""COMPUTED_VALUE"""),"Good")</f>
        <v>Good</v>
      </c>
      <c r="Y241" t="str">
        <f ca="1">IFERROR(__xludf.DUMMYFUNCTION("""COMPUTED_VALUE"""),"Good")</f>
        <v>Good</v>
      </c>
      <c r="Z241" t="str">
        <f ca="1">IFERROR(__xludf.DUMMYFUNCTION("""COMPUTED_VALUE"""),"Good")</f>
        <v>Good</v>
      </c>
      <c r="AA241" t="str">
        <f ca="1">IFERROR(__xludf.DUMMYFUNCTION("""COMPUTED_VALUE"""),"Good")</f>
        <v>Good</v>
      </c>
      <c r="AB241" t="str">
        <f ca="1">IFERROR(__xludf.DUMMYFUNCTION("""COMPUTED_VALUE"""),"Good")</f>
        <v>Good</v>
      </c>
      <c r="AC241" t="str">
        <f ca="1">IFERROR(__xludf.DUMMYFUNCTION("""COMPUTED_VALUE"""),"Good")</f>
        <v>Good</v>
      </c>
      <c r="AE241" s="11"/>
      <c r="AF241" t="str">
        <v>Shannon.Dunnigan@floridadep.gov</v>
      </c>
      <c r="AG241" s="17" t="s">
        <v>41</v>
      </c>
      <c r="AH241" s="12">
        <v>1700</v>
      </c>
      <c r="AI241" s="12" t="s">
        <v>667</v>
      </c>
      <c r="AJ241" s="19" t="s">
        <v>668</v>
      </c>
      <c r="AK241" s="20" t="str">
        <f>HYPERLINK("https://docs.google.com/document/d/1CUCpLehHRWB0zqBa_QILwFpQoJRVitx2XHWrEXyFSLw/edit?usp=drivesdk","Ben Mowbray - 1/21/2019 10:00 AM")</f>
        <v>Ben Mowbray - 1/21/2019 10:00 AM</v>
      </c>
      <c r="AL241" s="12" t="s">
        <v>669</v>
      </c>
    </row>
    <row r="242" spans="1:38" ht="12.75">
      <c r="A242" s="10">
        <f ca="1">IFERROR(__xludf.DUMMYFUNCTION("""COMPUTED_VALUE"""),43496.3422881134)</f>
        <v>43496.342288113403</v>
      </c>
      <c r="B242" s="11" t="str">
        <f ca="1">IFERROR(__xludf.DUMMYFUNCTION("""COMPUTED_VALUE"""),"Pamela Marcum")</f>
        <v>Pamela Marcum</v>
      </c>
      <c r="C242" t="str">
        <f ca="1">IFERROR(__xludf.DUMMYFUNCTION("""COMPUTED_VALUE"""),"Pamela.Marcum@dep.state.fl.us")</f>
        <v>Pamela.Marcum@dep.state.fl.us</v>
      </c>
      <c r="D242" t="str">
        <f ca="1">IFERROR(__xludf.DUMMYFUNCTION("""COMPUTED_VALUE"""),"Research/Nikki")</f>
        <v>Research/Nikki</v>
      </c>
      <c r="E242" t="str">
        <f ca="1">IFERROR(__xludf.DUMMYFUNCTION("""COMPUTED_VALUE"""),"Aunt Kate's")</f>
        <v>Aunt Kate's</v>
      </c>
      <c r="F242" s="13">
        <f ca="1">IFERROR(__xludf.DUMMYFUNCTION("""COMPUTED_VALUE"""),0.385416666667879)</f>
        <v>0.38541666666787899</v>
      </c>
      <c r="G242" s="14">
        <f ca="1">IFERROR(__xludf.DUMMYFUNCTION("""COMPUTED_VALUE"""),43496)</f>
        <v>43496</v>
      </c>
      <c r="H242" t="str">
        <f ca="1">IFERROR(__xludf.DUMMYFUNCTION("""COMPUTED_VALUE"""),"Matanzas and Tolomato Rivers")</f>
        <v>Matanzas and Tolomato Rivers</v>
      </c>
      <c r="I242" s="15">
        <f ca="1">IFERROR(__xludf.DUMMYFUNCTION("""COMPUTED_VALUE"""),0.58333333333212)</f>
        <v>0.58333333333212001</v>
      </c>
      <c r="J242" s="16">
        <f ca="1">IFERROR(__xludf.DUMMYFUNCTION("""COMPUTED_VALUE"""),43496.6041666666)</f>
        <v>43496.604166666599</v>
      </c>
      <c r="K242" t="str">
        <f ca="1">IFERROR(__xludf.DUMMYFUNCTION("""COMPUTED_VALUE"""),"23ft Skiff (Bertha) FL7972LJ DEP07613")</f>
        <v>23ft Skiff (Bertha) FL7972LJ DEP07613</v>
      </c>
      <c r="M242" t="str">
        <f ca="1">IFERROR(__xludf.DUMMYFUNCTION("""COMPUTED_VALUE"""),"Ford F250 2017 (Moby Dix) - DEP0021578")</f>
        <v>Ford F250 2017 (Moby Dix) - DEP0021578</v>
      </c>
      <c r="N242" t="str">
        <f ca="1">IFERROR(__xludf.DUMMYFUNCTION("""COMPUTED_VALUE"""),"Pam Marcum, (480) 332-5414")</f>
        <v>Pam Marcum, (480) 332-5414</v>
      </c>
      <c r="O242" t="str">
        <f ca="1">IFERROR(__xludf.DUMMYFUNCTION("""COMPUTED_VALUE"""),"Nicole Peckham, Adrienne Breef-Pilz")</f>
        <v>Nicole Peckham, Adrienne Breef-Pilz</v>
      </c>
      <c r="P242" t="str">
        <f ca="1">IFERROR(__xludf.DUMMYFUNCTION("""COMPUTED_VALUE"""),"Pam")</f>
        <v>Pam</v>
      </c>
      <c r="Q242" t="str">
        <f ca="1">IFERROR(__xludf.DUMMYFUNCTION("""COMPUTED_VALUE"""),"Good")</f>
        <v>Good</v>
      </c>
      <c r="R242" t="str">
        <f ca="1">IFERROR(__xludf.DUMMYFUNCTION("""COMPUTED_VALUE"""),"Good")</f>
        <v>Good</v>
      </c>
      <c r="S242" t="str">
        <f ca="1">IFERROR(__xludf.DUMMYFUNCTION("""COMPUTED_VALUE"""),"Good")</f>
        <v>Good</v>
      </c>
      <c r="T242" t="str">
        <f ca="1">IFERROR(__xludf.DUMMYFUNCTION("""COMPUTED_VALUE"""),"Good")</f>
        <v>Good</v>
      </c>
      <c r="U242" t="str">
        <f ca="1">IFERROR(__xludf.DUMMYFUNCTION("""COMPUTED_VALUE"""),"Good")</f>
        <v>Good</v>
      </c>
      <c r="V242" t="str">
        <f ca="1">IFERROR(__xludf.DUMMYFUNCTION("""COMPUTED_VALUE"""),"Good")</f>
        <v>Good</v>
      </c>
      <c r="W242" t="str">
        <f ca="1">IFERROR(__xludf.DUMMYFUNCTION("""COMPUTED_VALUE"""),"Good")</f>
        <v>Good</v>
      </c>
      <c r="X242" t="str">
        <f ca="1">IFERROR(__xludf.DUMMYFUNCTION("""COMPUTED_VALUE"""),"Good")</f>
        <v>Good</v>
      </c>
      <c r="Y242" t="str">
        <f ca="1">IFERROR(__xludf.DUMMYFUNCTION("""COMPUTED_VALUE"""),"Good")</f>
        <v>Good</v>
      </c>
      <c r="Z242" t="str">
        <f ca="1">IFERROR(__xludf.DUMMYFUNCTION("""COMPUTED_VALUE"""),"Good")</f>
        <v>Good</v>
      </c>
      <c r="AA242" t="str">
        <f ca="1">IFERROR(__xludf.DUMMYFUNCTION("""COMPUTED_VALUE"""),"Good")</f>
        <v>Good</v>
      </c>
      <c r="AB242" t="str">
        <f ca="1">IFERROR(__xludf.DUMMYFUNCTION("""COMPUTED_VALUE"""),"Good")</f>
        <v>Good</v>
      </c>
      <c r="AC242" t="str">
        <f ca="1">IFERROR(__xludf.DUMMYFUNCTION("""COMPUTED_VALUE"""),"Good")</f>
        <v>Good</v>
      </c>
      <c r="AE242" s="11"/>
      <c r="AF242" t="str">
        <v>Nikki.Dix@floridadep.gov</v>
      </c>
      <c r="AG242" s="17" t="s">
        <v>17</v>
      </c>
      <c r="AH242" s="12">
        <v>1435</v>
      </c>
      <c r="AI242" s="12" t="s">
        <v>670</v>
      </c>
      <c r="AJ242" s="19" t="s">
        <v>671</v>
      </c>
      <c r="AK242" s="20" t="str">
        <f>HYPERLINK("https://docs.google.com/document/d/1GOBsFESX6f9qZ6TPdcc-u6UgUVmptfCcKPpgKqBe1ww/edit?usp=drivesdk","Pamela Marcum - 1/31/2019 9:15 AM")</f>
        <v>Pamela Marcum - 1/31/2019 9:15 AM</v>
      </c>
      <c r="AL242" s="12" t="s">
        <v>672</v>
      </c>
    </row>
    <row r="243" spans="1:38" ht="12.75">
      <c r="A243" s="10">
        <f ca="1">IFERROR(__xludf.DUMMYFUNCTION("""COMPUTED_VALUE"""),43500.3312657523)</f>
        <v>43500.331265752298</v>
      </c>
      <c r="B243" s="11" t="str">
        <f ca="1">IFERROR(__xludf.DUMMYFUNCTION("""COMPUTED_VALUE"""),"James Tomazinis")</f>
        <v>James Tomazinis</v>
      </c>
      <c r="C243" t="str">
        <f ca="1">IFERROR(__xludf.DUMMYFUNCTION("""COMPUTED_VALUE"""),"James.tomazinis@floridadep.gov")</f>
        <v>James.tomazinis@floridadep.gov</v>
      </c>
      <c r="D243" t="str">
        <f ca="1">IFERROR(__xludf.DUMMYFUNCTION("""COMPUTED_VALUE"""),"Stewardship (Aquatic)")</f>
        <v>Stewardship (Aquatic)</v>
      </c>
      <c r="E243" t="str">
        <f ca="1">IFERROR(__xludf.DUMMYFUNCTION("""COMPUTED_VALUE"""),"Guana Dam")</f>
        <v>Guana Dam</v>
      </c>
      <c r="F243" s="13">
        <f ca="1">IFERROR(__xludf.DUMMYFUNCTION("""COMPUTED_VALUE"""),0.385416666667879)</f>
        <v>0.38541666666787899</v>
      </c>
      <c r="G243" s="14">
        <f ca="1">IFERROR(__xludf.DUMMYFUNCTION("""COMPUTED_VALUE"""),43500)</f>
        <v>43500</v>
      </c>
      <c r="H243" t="str">
        <f ca="1">IFERROR(__xludf.DUMMYFUNCTION("""COMPUTED_VALUE"""),"Guana River WQ sites")</f>
        <v>Guana River WQ sites</v>
      </c>
      <c r="I243" s="15">
        <f ca="1">IFERROR(__xludf.DUMMYFUNCTION("""COMPUTED_VALUE"""),0.451388888890505)</f>
        <v>0.45138888889050499</v>
      </c>
      <c r="J243" s="16"/>
      <c r="K243" t="str">
        <f ca="1">IFERROR(__xludf.DUMMYFUNCTION("""COMPUTED_VALUE"""),"Jon Boat FL0484NP DEP06819")</f>
        <v>Jon Boat FL0484NP DEP06819</v>
      </c>
      <c r="M243" t="str">
        <f ca="1">IFERROR(__xludf.DUMMYFUNCTION("""COMPUTED_VALUE"""),"Ford F150 2015 (White) - DEP21448")</f>
        <v>Ford F150 2015 (White) - DEP21448</v>
      </c>
      <c r="N243" t="str">
        <f ca="1">IFERROR(__xludf.DUMMYFUNCTION("""COMPUTED_VALUE"""),"Jimmy Tomazinis, (904) 547-0094, Ben Mowbray, (407) 962-8782")</f>
        <v>Jimmy Tomazinis, (904) 547-0094, Ben Mowbray, (407) 962-8782</v>
      </c>
      <c r="O243" t="str">
        <f ca="1">IFERROR(__xludf.DUMMYFUNCTION("""COMPUTED_VALUE"""),"Mark Collins")</f>
        <v>Mark Collins</v>
      </c>
      <c r="P243" t="str">
        <f ca="1">IFERROR(__xludf.DUMMYFUNCTION("""COMPUTED_VALUE"""),"Jimmy")</f>
        <v>Jimmy</v>
      </c>
      <c r="Q243" t="str">
        <f ca="1">IFERROR(__xludf.DUMMYFUNCTION("""COMPUTED_VALUE"""),"Good")</f>
        <v>Good</v>
      </c>
      <c r="R243" t="str">
        <f ca="1">IFERROR(__xludf.DUMMYFUNCTION("""COMPUTED_VALUE"""),"Good")</f>
        <v>Good</v>
      </c>
      <c r="S243" t="str">
        <f ca="1">IFERROR(__xludf.DUMMYFUNCTION("""COMPUTED_VALUE"""),"Good")</f>
        <v>Good</v>
      </c>
      <c r="T243" t="str">
        <f ca="1">IFERROR(__xludf.DUMMYFUNCTION("""COMPUTED_VALUE"""),"Good")</f>
        <v>Good</v>
      </c>
      <c r="U243" t="str">
        <f ca="1">IFERROR(__xludf.DUMMYFUNCTION("""COMPUTED_VALUE"""),"Good")</f>
        <v>Good</v>
      </c>
      <c r="V243" t="str">
        <f ca="1">IFERROR(__xludf.DUMMYFUNCTION("""COMPUTED_VALUE"""),"Good")</f>
        <v>Good</v>
      </c>
      <c r="W243" t="str">
        <f ca="1">IFERROR(__xludf.DUMMYFUNCTION("""COMPUTED_VALUE"""),"Good")</f>
        <v>Good</v>
      </c>
      <c r="X243" t="str">
        <f ca="1">IFERROR(__xludf.DUMMYFUNCTION("""COMPUTED_VALUE"""),"Good")</f>
        <v>Good</v>
      </c>
      <c r="Y243" t="str">
        <f ca="1">IFERROR(__xludf.DUMMYFUNCTION("""COMPUTED_VALUE"""),"Good")</f>
        <v>Good</v>
      </c>
      <c r="Z243" t="str">
        <f ca="1">IFERROR(__xludf.DUMMYFUNCTION("""COMPUTED_VALUE"""),"Good")</f>
        <v>Good</v>
      </c>
      <c r="AA243" t="str">
        <f ca="1">IFERROR(__xludf.DUMMYFUNCTION("""COMPUTED_VALUE"""),"Good")</f>
        <v>Good</v>
      </c>
      <c r="AB243" t="str">
        <f ca="1">IFERROR(__xludf.DUMMYFUNCTION("""COMPUTED_VALUE"""),"Good")</f>
        <v>Good</v>
      </c>
      <c r="AC243" t="str">
        <f ca="1">IFERROR(__xludf.DUMMYFUNCTION("""COMPUTED_VALUE"""),"Good")</f>
        <v>Good</v>
      </c>
      <c r="AE243" s="11"/>
      <c r="AF243" t="str">
        <v>Scott.Eastman@floridadep.gov</v>
      </c>
      <c r="AG243" s="18"/>
      <c r="AI243" s="12" t="s">
        <v>673</v>
      </c>
      <c r="AJ243" s="19" t="s">
        <v>674</v>
      </c>
      <c r="AK243" s="20" t="str">
        <f>HYPERLINK("https://docs.google.com/document/d/1cLJrO_7vYjsC5Las3DO7HiNkHwUoPLtkT1XEBLKwk2I/edit?usp=drivesdk","James Tomazinis - 2/4/2019 9:15 AM")</f>
        <v>James Tomazinis - 2/4/2019 9:15 AM</v>
      </c>
      <c r="AL243" s="12" t="s">
        <v>675</v>
      </c>
    </row>
    <row r="244" spans="1:38" ht="12.75">
      <c r="A244" s="10">
        <f ca="1">IFERROR(__xludf.DUMMYFUNCTION("""COMPUTED_VALUE"""),43501.3250736921)</f>
        <v>43501.325073692104</v>
      </c>
      <c r="B244" s="11" t="str">
        <f ca="1">IFERROR(__xludf.DUMMYFUNCTION("""COMPUTED_VALUE"""),"Silas Tanner")</f>
        <v>Silas Tanner</v>
      </c>
      <c r="C244" t="str">
        <f ca="1">IFERROR(__xludf.DUMMYFUNCTION("""COMPUTED_VALUE"""),"silas.tanner@floridadep.gov")</f>
        <v>silas.tanner@floridadep.gov</v>
      </c>
      <c r="D244" t="str">
        <f ca="1">IFERROR(__xludf.DUMMYFUNCTION("""COMPUTED_VALUE"""),"Research/Nikki")</f>
        <v>Research/Nikki</v>
      </c>
      <c r="E244" t="str">
        <f ca="1">IFERROR(__xludf.DUMMYFUNCTION("""COMPUTED_VALUE"""),"Vilano Landing")</f>
        <v>Vilano Landing</v>
      </c>
      <c r="F244" s="13">
        <f ca="1">IFERROR(__xludf.DUMMYFUNCTION("""COMPUTED_VALUE"""),0.354166666667879)</f>
        <v>0.35416666666787899</v>
      </c>
      <c r="G244" s="14">
        <f ca="1">IFERROR(__xludf.DUMMYFUNCTION("""COMPUTED_VALUE"""),43501)</f>
        <v>43501</v>
      </c>
      <c r="H244" t="str">
        <f ca="1">IFERROR(__xludf.DUMMYFUNCTION("""COMPUTED_VALUE"""),"ICW - SWMP sites")</f>
        <v>ICW - SWMP sites</v>
      </c>
      <c r="I244" s="15">
        <f ca="1">IFERROR(__xludf.DUMMYFUNCTION("""COMPUTED_VALUE"""),0.5625)</f>
        <v>0.5625</v>
      </c>
      <c r="J244" s="16">
        <f ca="1">IFERROR(__xludf.DUMMYFUNCTION("""COMPUTED_VALUE"""),43501.5729166666)</f>
        <v>43501.572916666599</v>
      </c>
      <c r="K244" t="str">
        <f ca="1">IFERROR(__xludf.DUMMYFUNCTION("""COMPUTED_VALUE"""),"23ft Skiff (Bertha) FL7972LJ DEP07613")</f>
        <v>23ft Skiff (Bertha) FL7972LJ DEP07613</v>
      </c>
      <c r="M244" t="str">
        <f ca="1">IFERROR(__xludf.DUMMYFUNCTION("""COMPUTED_VALUE"""),"Ford F150 2015 (White) - DEP21448")</f>
        <v>Ford F150 2015 (White) - DEP21448</v>
      </c>
      <c r="N244" t="str">
        <f ca="1">IFERROR(__xludf.DUMMYFUNCTION("""COMPUTED_VALUE"""),"Silas Tanner, (904) 483-8423, Ben Mowbray, (407) 962-8782")</f>
        <v>Silas Tanner, (904) 483-8423, Ben Mowbray, (407) 962-8782</v>
      </c>
      <c r="O244" t="str">
        <f ca="1">IFERROR(__xludf.DUMMYFUNCTION("""COMPUTED_VALUE"""),"Vincent Mcclure")</f>
        <v>Vincent Mcclure</v>
      </c>
      <c r="P244" t="str">
        <f ca="1">IFERROR(__xludf.DUMMYFUNCTION("""COMPUTED_VALUE"""),"S. Tanner")</f>
        <v>S. Tanner</v>
      </c>
      <c r="Q244" t="str">
        <f ca="1">IFERROR(__xludf.DUMMYFUNCTION("""COMPUTED_VALUE"""),"Good")</f>
        <v>Good</v>
      </c>
      <c r="R244" t="str">
        <f ca="1">IFERROR(__xludf.DUMMYFUNCTION("""COMPUTED_VALUE"""),"Good")</f>
        <v>Good</v>
      </c>
      <c r="S244" t="str">
        <f ca="1">IFERROR(__xludf.DUMMYFUNCTION("""COMPUTED_VALUE"""),"Good")</f>
        <v>Good</v>
      </c>
      <c r="T244" t="str">
        <f ca="1">IFERROR(__xludf.DUMMYFUNCTION("""COMPUTED_VALUE"""),"Good")</f>
        <v>Good</v>
      </c>
      <c r="U244" t="str">
        <f ca="1">IFERROR(__xludf.DUMMYFUNCTION("""COMPUTED_VALUE"""),"Good")</f>
        <v>Good</v>
      </c>
      <c r="V244" t="str">
        <f ca="1">IFERROR(__xludf.DUMMYFUNCTION("""COMPUTED_VALUE"""),"Good")</f>
        <v>Good</v>
      </c>
      <c r="W244" t="str">
        <f ca="1">IFERROR(__xludf.DUMMYFUNCTION("""COMPUTED_VALUE"""),"Good")</f>
        <v>Good</v>
      </c>
      <c r="X244" t="str">
        <f ca="1">IFERROR(__xludf.DUMMYFUNCTION("""COMPUTED_VALUE"""),"Good")</f>
        <v>Good</v>
      </c>
      <c r="Y244" t="str">
        <f ca="1">IFERROR(__xludf.DUMMYFUNCTION("""COMPUTED_VALUE"""),"Good")</f>
        <v>Good</v>
      </c>
      <c r="Z244" t="str">
        <f ca="1">IFERROR(__xludf.DUMMYFUNCTION("""COMPUTED_VALUE"""),"Good")</f>
        <v>Good</v>
      </c>
      <c r="AA244" t="str">
        <f ca="1">IFERROR(__xludf.DUMMYFUNCTION("""COMPUTED_VALUE"""),"Good")</f>
        <v>Good</v>
      </c>
      <c r="AB244" t="str">
        <f ca="1">IFERROR(__xludf.DUMMYFUNCTION("""COMPUTED_VALUE"""),"Good")</f>
        <v>Good</v>
      </c>
      <c r="AC244" t="str">
        <f ca="1">IFERROR(__xludf.DUMMYFUNCTION("""COMPUTED_VALUE"""),"Good")</f>
        <v>Good</v>
      </c>
      <c r="AE244" s="11"/>
      <c r="AF244" t="str">
        <v>Nikki.Dix@floridadep.gov</v>
      </c>
      <c r="AG244" s="17" t="s">
        <v>17</v>
      </c>
      <c r="AH244" s="12">
        <v>1324</v>
      </c>
      <c r="AI244" s="12" t="s">
        <v>676</v>
      </c>
      <c r="AJ244" s="19" t="s">
        <v>677</v>
      </c>
      <c r="AK244" s="20" t="str">
        <f>HYPERLINK("https://docs.google.com/document/d/1fSs9eCOq3hWlcEUsnZCYxYLdt3MBFViSiMNmwpFrbqo/edit?usp=drivesdk","Silas Tanner - 2/5/2019 8:30 AM")</f>
        <v>Silas Tanner - 2/5/2019 8:30 AM</v>
      </c>
      <c r="AL244" s="12" t="s">
        <v>678</v>
      </c>
    </row>
    <row r="245" spans="1:38" ht="12.75">
      <c r="A245" s="10">
        <f ca="1">IFERROR(__xludf.DUMMYFUNCTION("""COMPUTED_VALUE"""),43507.3840526157)</f>
        <v>43507.3840526157</v>
      </c>
      <c r="B245" s="11" t="str">
        <f ca="1">IFERROR(__xludf.DUMMYFUNCTION("""COMPUTED_VALUE"""),"Silas Tanner")</f>
        <v>Silas Tanner</v>
      </c>
      <c r="C245" t="str">
        <f ca="1">IFERROR(__xludf.DUMMYFUNCTION("""COMPUTED_VALUE"""),"silas.tanner@floridadep.gov")</f>
        <v>silas.tanner@floridadep.gov</v>
      </c>
      <c r="D245" t="str">
        <f ca="1">IFERROR(__xludf.DUMMYFUNCTION("""COMPUTED_VALUE"""),"Research/Pam")</f>
        <v>Research/Pam</v>
      </c>
      <c r="E245" t="str">
        <f ca="1">IFERROR(__xludf.DUMMYFUNCTION("""COMPUTED_VALUE"""),"Faver Dykes State Park")</f>
        <v>Faver Dykes State Park</v>
      </c>
      <c r="F245" s="13">
        <f ca="1">IFERROR(__xludf.DUMMYFUNCTION("""COMPUTED_VALUE"""),0.42708333333212)</f>
        <v>0.42708333333212001</v>
      </c>
      <c r="G245" s="14">
        <f ca="1">IFERROR(__xludf.DUMMYFUNCTION("""COMPUTED_VALUE"""),43507)</f>
        <v>43507</v>
      </c>
      <c r="H245" t="str">
        <f ca="1">IFERROR(__xludf.DUMMYFUNCTION("""COMPUTED_VALUE"""),"Pellicer SWMP platforms")</f>
        <v>Pellicer SWMP platforms</v>
      </c>
      <c r="I245" s="15">
        <f ca="1">IFERROR(__xludf.DUMMYFUNCTION("""COMPUTED_VALUE"""),0.55208333333212)</f>
        <v>0.55208333333212001</v>
      </c>
      <c r="J245" s="16">
        <f ca="1">IFERROR(__xludf.DUMMYFUNCTION("""COMPUTED_VALUE"""),43507.59375)</f>
        <v>43507.59375</v>
      </c>
      <c r="K245" t="str">
        <f ca="1">IFERROR(__xludf.DUMMYFUNCTION("""COMPUTED_VALUE"""),"F 20ft Sea Ark (Easy 200) FL8534PY DEP21451")</f>
        <v>F 20ft Sea Ark (Easy 200) FL8534PY DEP21451</v>
      </c>
      <c r="M245" t="str">
        <f ca="1">IFERROR(__xludf.DUMMYFUNCTION("""COMPUTED_VALUE"""),"Ford F150 2008 - DEP18041 (SWMP Thing)")</f>
        <v>Ford F150 2008 - DEP18041 (SWMP Thing)</v>
      </c>
      <c r="N245" t="str">
        <f ca="1">IFERROR(__xludf.DUMMYFUNCTION("""COMPUTED_VALUE"""),"Silas Tanner, (904) 483-8423, Ben Mowbray, (407) 962-8782")</f>
        <v>Silas Tanner, (904) 483-8423, Ben Mowbray, (407) 962-8782</v>
      </c>
      <c r="P245" t="str">
        <f ca="1">IFERROR(__xludf.DUMMYFUNCTION("""COMPUTED_VALUE"""),"Tanner")</f>
        <v>Tanner</v>
      </c>
      <c r="Q245" t="str">
        <f ca="1">IFERROR(__xludf.DUMMYFUNCTION("""COMPUTED_VALUE"""),"Good")</f>
        <v>Good</v>
      </c>
      <c r="R245" t="str">
        <f ca="1">IFERROR(__xludf.DUMMYFUNCTION("""COMPUTED_VALUE"""),"Good")</f>
        <v>Good</v>
      </c>
      <c r="S245" t="str">
        <f ca="1">IFERROR(__xludf.DUMMYFUNCTION("""COMPUTED_VALUE"""),"Good")</f>
        <v>Good</v>
      </c>
      <c r="T245" t="str">
        <f ca="1">IFERROR(__xludf.DUMMYFUNCTION("""COMPUTED_VALUE"""),"Good")</f>
        <v>Good</v>
      </c>
      <c r="U245" t="str">
        <f ca="1">IFERROR(__xludf.DUMMYFUNCTION("""COMPUTED_VALUE"""),"Good")</f>
        <v>Good</v>
      </c>
      <c r="V245" t="str">
        <f ca="1">IFERROR(__xludf.DUMMYFUNCTION("""COMPUTED_VALUE"""),"Good")</f>
        <v>Good</v>
      </c>
      <c r="W245" t="str">
        <f ca="1">IFERROR(__xludf.DUMMYFUNCTION("""COMPUTED_VALUE"""),"Good")</f>
        <v>Good</v>
      </c>
      <c r="X245" t="str">
        <f ca="1">IFERROR(__xludf.DUMMYFUNCTION("""COMPUTED_VALUE"""),"Good")</f>
        <v>Good</v>
      </c>
      <c r="Y245" t="str">
        <f ca="1">IFERROR(__xludf.DUMMYFUNCTION("""COMPUTED_VALUE"""),"Good")</f>
        <v>Good</v>
      </c>
      <c r="Z245" t="str">
        <f ca="1">IFERROR(__xludf.DUMMYFUNCTION("""COMPUTED_VALUE"""),"Good")</f>
        <v>Good</v>
      </c>
      <c r="AA245" t="str">
        <f ca="1">IFERROR(__xludf.DUMMYFUNCTION("""COMPUTED_VALUE"""),"Good")</f>
        <v>Good</v>
      </c>
      <c r="AB245" t="str">
        <f ca="1">IFERROR(__xludf.DUMMYFUNCTION("""COMPUTED_VALUE"""),"Good")</f>
        <v>Good</v>
      </c>
      <c r="AC245" t="str">
        <f ca="1">IFERROR(__xludf.DUMMYFUNCTION("""COMPUTED_VALUE"""),"Good")</f>
        <v>Good</v>
      </c>
      <c r="AE245" s="11"/>
      <c r="AF245" t="str">
        <v>Pamela.Marcum@floridadep.gov</v>
      </c>
      <c r="AG245" s="17" t="s">
        <v>17</v>
      </c>
      <c r="AH245" s="12">
        <v>1250</v>
      </c>
      <c r="AI245" s="12" t="s">
        <v>679</v>
      </c>
      <c r="AJ245" s="19" t="s">
        <v>680</v>
      </c>
      <c r="AK245" s="20" t="str">
        <f>HYPERLINK("https://docs.google.com/document/d/14VlWjsETlFQ2d5qk_szZ5WONt_dxnNxiUZBzsMiNW10/edit?usp=drivesdk","Silas Tanner - 2/11/2019 10:15 AM")</f>
        <v>Silas Tanner - 2/11/2019 10:15 AM</v>
      </c>
      <c r="AL245" s="12" t="s">
        <v>681</v>
      </c>
    </row>
    <row r="246" spans="1:38" ht="12.75">
      <c r="A246" s="10">
        <f ca="1">IFERROR(__xludf.DUMMYFUNCTION("""COMPUTED_VALUE"""),43507.502865162)</f>
        <v>43507.502865162001</v>
      </c>
      <c r="B246" s="11" t="str">
        <f ca="1">IFERROR(__xludf.DUMMYFUNCTION("""COMPUTED_VALUE"""),"James Tomazinis")</f>
        <v>James Tomazinis</v>
      </c>
      <c r="C246" t="str">
        <f ca="1">IFERROR(__xludf.DUMMYFUNCTION("""COMPUTED_VALUE"""),"james.tomazinis@floridadep.gov")</f>
        <v>james.tomazinis@floridadep.gov</v>
      </c>
      <c r="D246" t="str">
        <f ca="1">IFERROR(__xludf.DUMMYFUNCTION("""COMPUTED_VALUE"""),"Stewardship (Aquatic)")</f>
        <v>Stewardship (Aquatic)</v>
      </c>
      <c r="E246" t="str">
        <f ca="1">IFERROR(__xludf.DUMMYFUNCTION("""COMPUTED_VALUE"""),"Vilano")</f>
        <v>Vilano</v>
      </c>
      <c r="F246" s="13">
        <f ca="1">IFERROR(__xludf.DUMMYFUNCTION("""COMPUTED_VALUE"""),0.385416666667879)</f>
        <v>0.38541666666787899</v>
      </c>
      <c r="G246" s="14">
        <f ca="1">IFERROR(__xludf.DUMMYFUNCTION("""COMPUTED_VALUE"""),43508)</f>
        <v>43508</v>
      </c>
      <c r="H246" t="str">
        <f ca="1">IFERROR(__xludf.DUMMYFUNCTION("""COMPUTED_VALUE"""),"Tolomato Nekton sites")</f>
        <v>Tolomato Nekton sites</v>
      </c>
      <c r="I246" s="15">
        <f ca="1">IFERROR(__xludf.DUMMYFUNCTION("""COMPUTED_VALUE"""),0.666666666667879)</f>
        <v>0.66666666666787899</v>
      </c>
      <c r="J246" s="16"/>
      <c r="K246" t="str">
        <f ca="1">IFERROR(__xludf.DUMMYFUNCTION("""COMPUTED_VALUE"""),"23ft Skiff (Bertha) FL7972LJ DEP07613")</f>
        <v>23ft Skiff (Bertha) FL7972LJ DEP07613</v>
      </c>
      <c r="M246" t="str">
        <f ca="1">IFERROR(__xludf.DUMMYFUNCTION("""COMPUTED_VALUE"""),"Ford F250 2017 (Moby Dix) - DEP0021578")</f>
        <v>Ford F250 2017 (Moby Dix) - DEP0021578</v>
      </c>
      <c r="N246" t="str">
        <f ca="1">IFERROR(__xludf.DUMMYFUNCTION("""COMPUTED_VALUE"""),"Jimmy Tomazinis, (904) 547-0094")</f>
        <v>Jimmy Tomazinis, (904) 547-0094</v>
      </c>
      <c r="O246" t="str">
        <f ca="1">IFERROR(__xludf.DUMMYFUNCTION("""COMPUTED_VALUE"""),"Jeff Finnan, Chris Kurtz")</f>
        <v>Jeff Finnan, Chris Kurtz</v>
      </c>
      <c r="P246" t="str">
        <f ca="1">IFERROR(__xludf.DUMMYFUNCTION("""COMPUTED_VALUE"""),"Jimmy")</f>
        <v>Jimmy</v>
      </c>
      <c r="Q246" t="str">
        <f ca="1">IFERROR(__xludf.DUMMYFUNCTION("""COMPUTED_VALUE"""),"Good")</f>
        <v>Good</v>
      </c>
      <c r="R246" t="str">
        <f ca="1">IFERROR(__xludf.DUMMYFUNCTION("""COMPUTED_VALUE"""),"Good")</f>
        <v>Good</v>
      </c>
      <c r="S246" t="str">
        <f ca="1">IFERROR(__xludf.DUMMYFUNCTION("""COMPUTED_VALUE"""),"Good")</f>
        <v>Good</v>
      </c>
      <c r="T246" t="str">
        <f ca="1">IFERROR(__xludf.DUMMYFUNCTION("""COMPUTED_VALUE"""),"Good")</f>
        <v>Good</v>
      </c>
      <c r="U246" t="str">
        <f ca="1">IFERROR(__xludf.DUMMYFUNCTION("""COMPUTED_VALUE"""),"Good")</f>
        <v>Good</v>
      </c>
      <c r="V246" t="str">
        <f ca="1">IFERROR(__xludf.DUMMYFUNCTION("""COMPUTED_VALUE"""),"Good")</f>
        <v>Good</v>
      </c>
      <c r="W246" t="str">
        <f ca="1">IFERROR(__xludf.DUMMYFUNCTION("""COMPUTED_VALUE"""),"Good")</f>
        <v>Good</v>
      </c>
      <c r="X246" t="str">
        <f ca="1">IFERROR(__xludf.DUMMYFUNCTION("""COMPUTED_VALUE"""),"Good")</f>
        <v>Good</v>
      </c>
      <c r="Y246" t="str">
        <f ca="1">IFERROR(__xludf.DUMMYFUNCTION("""COMPUTED_VALUE"""),"Good")</f>
        <v>Good</v>
      </c>
      <c r="Z246" t="str">
        <f ca="1">IFERROR(__xludf.DUMMYFUNCTION("""COMPUTED_VALUE"""),"Good")</f>
        <v>Good</v>
      </c>
      <c r="AA246" t="str">
        <f ca="1">IFERROR(__xludf.DUMMYFUNCTION("""COMPUTED_VALUE"""),"Good")</f>
        <v>Good</v>
      </c>
      <c r="AB246" t="str">
        <f ca="1">IFERROR(__xludf.DUMMYFUNCTION("""COMPUTED_VALUE"""),"Good")</f>
        <v>Good</v>
      </c>
      <c r="AC246" t="str">
        <f ca="1">IFERROR(__xludf.DUMMYFUNCTION("""COMPUTED_VALUE"""),"Good")</f>
        <v>Good</v>
      </c>
      <c r="AE246" s="11"/>
      <c r="AF246" t="str">
        <v>Scott.Eastman@floridadep.gov</v>
      </c>
      <c r="AG246" s="18"/>
      <c r="AI246" s="12" t="s">
        <v>682</v>
      </c>
      <c r="AJ246" s="19" t="s">
        <v>683</v>
      </c>
      <c r="AK246" s="20" t="str">
        <f>HYPERLINK("https://docs.google.com/document/d/1Vt0pUicYELfU8R8zAnYq1oBkEo08TQq0YR1IqW-z6do/edit?usp=drivesdk","James Tomazinis - 2/12/2019 9:15 AM")</f>
        <v>James Tomazinis - 2/12/2019 9:15 AM</v>
      </c>
      <c r="AL246" s="12" t="s">
        <v>684</v>
      </c>
    </row>
    <row r="247" spans="1:38" ht="12.75">
      <c r="A247" s="10">
        <f ca="1">IFERROR(__xludf.DUMMYFUNCTION("""COMPUTED_VALUE"""),43507.6243709027)</f>
        <v>43507.624370902697</v>
      </c>
      <c r="B247" s="11" t="str">
        <f ca="1">IFERROR(__xludf.DUMMYFUNCTION("""COMPUTED_VALUE"""),"Pam Marcu.")</f>
        <v>Pam Marcu.</v>
      </c>
      <c r="C247" t="str">
        <f ca="1">IFERROR(__xludf.DUMMYFUNCTION("""COMPUTED_VALUE"""),"Pamela.Marcum@floridadep.gov")</f>
        <v>Pamela.Marcum@floridadep.gov</v>
      </c>
      <c r="D247" t="str">
        <f ca="1">IFERROR(__xludf.DUMMYFUNCTION("""COMPUTED_VALUE"""),"Research/Nikki")</f>
        <v>Research/Nikki</v>
      </c>
      <c r="E247" t="str">
        <f ca="1">IFERROR(__xludf.DUMMYFUNCTION("""COMPUTED_VALUE"""),"Whitney Lab")</f>
        <v>Whitney Lab</v>
      </c>
      <c r="F247" s="13">
        <f ca="1">IFERROR(__xludf.DUMMYFUNCTION("""COMPUTED_VALUE"""),0.625)</f>
        <v>0.625</v>
      </c>
      <c r="G247" s="14">
        <f ca="1">IFERROR(__xludf.DUMMYFUNCTION("""COMPUTED_VALUE"""),43507)</f>
        <v>43507</v>
      </c>
      <c r="H247" t="str">
        <f ca="1">IFERROR(__xludf.DUMMYFUNCTION("""COMPUTED_VALUE"""),"Matanzas River")</f>
        <v>Matanzas River</v>
      </c>
      <c r="I247" s="15">
        <f ca="1">IFERROR(__xludf.DUMMYFUNCTION("""COMPUTED_VALUE"""),0.6875)</f>
        <v>0.6875</v>
      </c>
      <c r="J247" s="16">
        <f ca="1">IFERROR(__xludf.DUMMYFUNCTION("""COMPUTED_VALUE"""),43507.7291666666)</f>
        <v>43507.729166666599</v>
      </c>
      <c r="K247" t="str">
        <f ca="1">IFERROR(__xludf.DUMMYFUNCTION("""COMPUTED_VALUE"""),"23ft Skiff (Bertha) FL7972LJ DEP07613")</f>
        <v>23ft Skiff (Bertha) FL7972LJ DEP07613</v>
      </c>
      <c r="M247" t="str">
        <f ca="1">IFERROR(__xludf.DUMMYFUNCTION("""COMPUTED_VALUE"""),"Ford F250 2017 (Moby Dix) - DEP0021578")</f>
        <v>Ford F250 2017 (Moby Dix) - DEP0021578</v>
      </c>
      <c r="N247" t="str">
        <f ca="1">IFERROR(__xludf.DUMMYFUNCTION("""COMPUTED_VALUE"""),"Pam Marcum, (480) 332-5414")</f>
        <v>Pam Marcum, (480) 332-5414</v>
      </c>
      <c r="O247" t="str">
        <f ca="1">IFERROR(__xludf.DUMMYFUNCTION("""COMPUTED_VALUE"""),"Emma Hanson")</f>
        <v>Emma Hanson</v>
      </c>
      <c r="P247" t="str">
        <f ca="1">IFERROR(__xludf.DUMMYFUNCTION("""COMPUTED_VALUE"""),"Pam")</f>
        <v>Pam</v>
      </c>
      <c r="Q247" t="str">
        <f ca="1">IFERROR(__xludf.DUMMYFUNCTION("""COMPUTED_VALUE"""),"Good")</f>
        <v>Good</v>
      </c>
      <c r="R247" t="str">
        <f ca="1">IFERROR(__xludf.DUMMYFUNCTION("""COMPUTED_VALUE"""),"Good")</f>
        <v>Good</v>
      </c>
      <c r="S247" t="str">
        <f ca="1">IFERROR(__xludf.DUMMYFUNCTION("""COMPUTED_VALUE"""),"Good")</f>
        <v>Good</v>
      </c>
      <c r="T247" t="str">
        <f ca="1">IFERROR(__xludf.DUMMYFUNCTION("""COMPUTED_VALUE"""),"Good")</f>
        <v>Good</v>
      </c>
      <c r="U247" t="str">
        <f ca="1">IFERROR(__xludf.DUMMYFUNCTION("""COMPUTED_VALUE"""),"Good")</f>
        <v>Good</v>
      </c>
      <c r="V247" t="str">
        <f ca="1">IFERROR(__xludf.DUMMYFUNCTION("""COMPUTED_VALUE"""),"Good")</f>
        <v>Good</v>
      </c>
      <c r="W247" t="str">
        <f ca="1">IFERROR(__xludf.DUMMYFUNCTION("""COMPUTED_VALUE"""),"Good")</f>
        <v>Good</v>
      </c>
      <c r="X247" t="str">
        <f ca="1">IFERROR(__xludf.DUMMYFUNCTION("""COMPUTED_VALUE"""),"Good")</f>
        <v>Good</v>
      </c>
      <c r="Y247" t="str">
        <f ca="1">IFERROR(__xludf.DUMMYFUNCTION("""COMPUTED_VALUE"""),"Good")</f>
        <v>Good</v>
      </c>
      <c r="Z247" t="str">
        <f ca="1">IFERROR(__xludf.DUMMYFUNCTION("""COMPUTED_VALUE"""),"Good")</f>
        <v>Good</v>
      </c>
      <c r="AA247" t="str">
        <f ca="1">IFERROR(__xludf.DUMMYFUNCTION("""COMPUTED_VALUE"""),"Good")</f>
        <v>Good</v>
      </c>
      <c r="AB247" t="str">
        <f ca="1">IFERROR(__xludf.DUMMYFUNCTION("""COMPUTED_VALUE"""),"Good")</f>
        <v>Good</v>
      </c>
      <c r="AC247" t="str">
        <f ca="1">IFERROR(__xludf.DUMMYFUNCTION("""COMPUTED_VALUE"""),"Good")</f>
        <v>Good</v>
      </c>
      <c r="AE247" s="11"/>
      <c r="AF247" t="str">
        <v>Nikki.Dix@floridadep.gov</v>
      </c>
      <c r="AG247" s="17" t="s">
        <v>41</v>
      </c>
      <c r="AH247" s="12">
        <v>1640</v>
      </c>
      <c r="AI247" s="12" t="s">
        <v>685</v>
      </c>
      <c r="AJ247" s="19" t="s">
        <v>686</v>
      </c>
      <c r="AK247" s="20" t="str">
        <f>HYPERLINK("https://docs.google.com/document/d/1R42heGi2q08QFfpu_TBe529dTzIeq4zdK5DrHcNnHbY/edit?usp=drivesdk","Pam Marcu. - 2/11/2019 3:00 PM")</f>
        <v>Pam Marcu. - 2/11/2019 3:00 PM</v>
      </c>
      <c r="AL247" s="12" t="s">
        <v>687</v>
      </c>
    </row>
    <row r="248" spans="1:38" ht="12.75">
      <c r="A248" s="10">
        <f ca="1">IFERROR(__xludf.DUMMYFUNCTION("""COMPUTED_VALUE"""),43508.3053433796)</f>
        <v>43508.305343379601</v>
      </c>
      <c r="B248" s="11" t="str">
        <f ca="1">IFERROR(__xludf.DUMMYFUNCTION("""COMPUTED_VALUE"""),"Ben Mowbray")</f>
        <v>Ben Mowbray</v>
      </c>
      <c r="C248" t="str">
        <f ca="1">IFERROR(__xludf.DUMMYFUNCTION("""COMPUTED_VALUE"""),"ben.mowbray@dep.state.fl.us")</f>
        <v>ben.mowbray@dep.state.fl.us</v>
      </c>
      <c r="D248" t="str">
        <f ca="1">IFERROR(__xludf.DUMMYFUNCTION("""COMPUTED_VALUE"""),"Research/Pam")</f>
        <v>Research/Pam</v>
      </c>
      <c r="E248" t="str">
        <f ca="1">IFERROR(__xludf.DUMMYFUNCTION("""COMPUTED_VALUE"""),"Douglas Crane")</f>
        <v>Douglas Crane</v>
      </c>
      <c r="F248" s="13">
        <f ca="1">IFERROR(__xludf.DUMMYFUNCTION("""COMPUTED_VALUE"""),0.322916666667879)</f>
        <v>0.32291666666787899</v>
      </c>
      <c r="G248" s="14">
        <f ca="1">IFERROR(__xludf.DUMMYFUNCTION("""COMPUTED_VALUE"""),43508)</f>
        <v>43508</v>
      </c>
      <c r="H248" t="str">
        <f ca="1">IFERROR(__xludf.DUMMYFUNCTION("""COMPUTED_VALUE"""),"Jason Creek Marsh Monitoring Platforms")</f>
        <v>Jason Creek Marsh Monitoring Platforms</v>
      </c>
      <c r="I248" s="15">
        <f ca="1">IFERROR(__xludf.DUMMYFUNCTION("""COMPUTED_VALUE"""),0.5)</f>
        <v>0.5</v>
      </c>
      <c r="J248" s="16">
        <f ca="1">IFERROR(__xludf.DUMMYFUNCTION("""COMPUTED_VALUE"""),43508.5416666666)</f>
        <v>43508.541666666599</v>
      </c>
      <c r="K248" t="str">
        <f ca="1">IFERROR(__xludf.DUMMYFUNCTION("""COMPUTED_VALUE"""),"17ft Skill FL0642GW DEP07239")</f>
        <v>17ft Skill FL0642GW DEP07239</v>
      </c>
      <c r="M248" t="str">
        <f ca="1">IFERROR(__xludf.DUMMYFUNCTION("""COMPUTED_VALUE"""),"Ford F150 2008 - DEP18041 (SWMP Thing)")</f>
        <v>Ford F150 2008 - DEP18041 (SWMP Thing)</v>
      </c>
      <c r="N248" t="str">
        <f ca="1">IFERROR(__xludf.DUMMYFUNCTION("""COMPUTED_VALUE"""),"Silas Tanner, (904) 483-8423, Ben Mowbray, (407) 962-8782")</f>
        <v>Silas Tanner, (904) 483-8423, Ben Mowbray, (407) 962-8782</v>
      </c>
      <c r="P248" t="str">
        <f ca="1">IFERROR(__xludf.DUMMYFUNCTION("""COMPUTED_VALUE"""),"Silas")</f>
        <v>Silas</v>
      </c>
      <c r="Q248" t="str">
        <f ca="1">IFERROR(__xludf.DUMMYFUNCTION("""COMPUTED_VALUE"""),"Good")</f>
        <v>Good</v>
      </c>
      <c r="R248" t="str">
        <f ca="1">IFERROR(__xludf.DUMMYFUNCTION("""COMPUTED_VALUE"""),"Good")</f>
        <v>Good</v>
      </c>
      <c r="S248" t="str">
        <f ca="1">IFERROR(__xludf.DUMMYFUNCTION("""COMPUTED_VALUE"""),"Good")</f>
        <v>Good</v>
      </c>
      <c r="T248" t="str">
        <f ca="1">IFERROR(__xludf.DUMMYFUNCTION("""COMPUTED_VALUE"""),"Good")</f>
        <v>Good</v>
      </c>
      <c r="U248" t="str">
        <f ca="1">IFERROR(__xludf.DUMMYFUNCTION("""COMPUTED_VALUE"""),"Good")</f>
        <v>Good</v>
      </c>
      <c r="V248" t="str">
        <f ca="1">IFERROR(__xludf.DUMMYFUNCTION("""COMPUTED_VALUE"""),"Good")</f>
        <v>Good</v>
      </c>
      <c r="W248" t="str">
        <f ca="1">IFERROR(__xludf.DUMMYFUNCTION("""COMPUTED_VALUE"""),"Good")</f>
        <v>Good</v>
      </c>
      <c r="X248" t="str">
        <f ca="1">IFERROR(__xludf.DUMMYFUNCTION("""COMPUTED_VALUE"""),"Good")</f>
        <v>Good</v>
      </c>
      <c r="Y248" t="str">
        <f ca="1">IFERROR(__xludf.DUMMYFUNCTION("""COMPUTED_VALUE"""),"Good")</f>
        <v>Good</v>
      </c>
      <c r="Z248" t="str">
        <f ca="1">IFERROR(__xludf.DUMMYFUNCTION("""COMPUTED_VALUE"""),"Good")</f>
        <v>Good</v>
      </c>
      <c r="AA248" t="str">
        <f ca="1">IFERROR(__xludf.DUMMYFUNCTION("""COMPUTED_VALUE"""),"Good")</f>
        <v>Good</v>
      </c>
      <c r="AB248" t="str">
        <f ca="1">IFERROR(__xludf.DUMMYFUNCTION("""COMPUTED_VALUE"""),"Good")</f>
        <v>Good</v>
      </c>
      <c r="AC248" t="str">
        <f ca="1">IFERROR(__xludf.DUMMYFUNCTION("""COMPUTED_VALUE"""),"Good")</f>
        <v>Good</v>
      </c>
      <c r="AE248" s="11"/>
      <c r="AF248" t="str">
        <v>Pamela.Marcum@floridadep.gov</v>
      </c>
      <c r="AG248" s="17" t="s">
        <v>17</v>
      </c>
      <c r="AH248" s="12">
        <v>1040</v>
      </c>
      <c r="AI248" s="12" t="s">
        <v>688</v>
      </c>
      <c r="AJ248" s="19" t="s">
        <v>689</v>
      </c>
      <c r="AK248" s="20" t="str">
        <f>HYPERLINK("https://docs.google.com/document/d/1itUqLCg4quoRnKKQPLsV-rj3IX1_eBmEhbjlCHZeqlc/edit?usp=drivesdk","Ben Mowbray - 2/12/2019 7:45 AM")</f>
        <v>Ben Mowbray - 2/12/2019 7:45 AM</v>
      </c>
      <c r="AL248" s="12" t="s">
        <v>690</v>
      </c>
    </row>
    <row r="249" spans="1:38" ht="12.75">
      <c r="A249" s="10">
        <f ca="1">IFERROR(__xludf.DUMMYFUNCTION("""COMPUTED_VALUE"""),43509.3671124305)</f>
        <v>43509.367112430496</v>
      </c>
      <c r="B249" s="11" t="str">
        <f ca="1">IFERROR(__xludf.DUMMYFUNCTION("""COMPUTED_VALUE"""),"Silas Tanner")</f>
        <v>Silas Tanner</v>
      </c>
      <c r="C249" t="str">
        <f ca="1">IFERROR(__xludf.DUMMYFUNCTION("""COMPUTED_VALUE"""),"silas.tanner@floridadep.gov")</f>
        <v>silas.tanner@floridadep.gov</v>
      </c>
      <c r="D249" t="str">
        <f ca="1">IFERROR(__xludf.DUMMYFUNCTION("""COMPUTED_VALUE"""),"Research/Nikki")</f>
        <v>Research/Nikki</v>
      </c>
      <c r="E249" t="str">
        <f ca="1">IFERROR(__xludf.DUMMYFUNCTION("""COMPUTED_VALUE"""),"Palm Valley ramp")</f>
        <v>Palm Valley ramp</v>
      </c>
      <c r="F249" s="13">
        <f ca="1">IFERROR(__xludf.DUMMYFUNCTION("""COMPUTED_VALUE"""),0.40625)</f>
        <v>0.40625</v>
      </c>
      <c r="G249" s="14">
        <f ca="1">IFERROR(__xludf.DUMMYFUNCTION("""COMPUTED_VALUE"""),43509)</f>
        <v>43509</v>
      </c>
      <c r="H249" t="str">
        <f ca="1">IFERROR(__xludf.DUMMYFUNCTION("""COMPUTED_VALUE"""),"ICW - Pine Island marsh platforms")</f>
        <v>ICW - Pine Island marsh platforms</v>
      </c>
      <c r="I249" s="15">
        <f ca="1">IFERROR(__xludf.DUMMYFUNCTION("""COMPUTED_VALUE"""),0.625)</f>
        <v>0.625</v>
      </c>
      <c r="J249" s="16">
        <f ca="1">IFERROR(__xludf.DUMMYFUNCTION("""COMPUTED_VALUE"""),43509.65625)</f>
        <v>43509.65625</v>
      </c>
      <c r="K249" t="str">
        <f ca="1">IFERROR(__xludf.DUMMYFUNCTION("""COMPUTED_VALUE"""),"F 20ft Sea Ark (Easy 200) FL8534PY DEP21451")</f>
        <v>F 20ft Sea Ark (Easy 200) FL8534PY DEP21451</v>
      </c>
      <c r="M249" t="str">
        <f ca="1">IFERROR(__xludf.DUMMYFUNCTION("""COMPUTED_VALUE"""),"Ford F150 2008 - DEP18041 (SWMP Thing)")</f>
        <v>Ford F150 2008 - DEP18041 (SWMP Thing)</v>
      </c>
      <c r="N249" t="str">
        <f ca="1">IFERROR(__xludf.DUMMYFUNCTION("""COMPUTED_VALUE"""),"Silas Tanner, (904) 483-8423, Ben Mowbray, (407) 962-8782")</f>
        <v>Silas Tanner, (904) 483-8423, Ben Mowbray, (407) 962-8782</v>
      </c>
      <c r="P249" t="str">
        <f ca="1">IFERROR(__xludf.DUMMYFUNCTION("""COMPUTED_VALUE"""),"S. Tanner")</f>
        <v>S. Tanner</v>
      </c>
      <c r="Q249" t="str">
        <f ca="1">IFERROR(__xludf.DUMMYFUNCTION("""COMPUTED_VALUE"""),"Good")</f>
        <v>Good</v>
      </c>
      <c r="R249" t="str">
        <f ca="1">IFERROR(__xludf.DUMMYFUNCTION("""COMPUTED_VALUE"""),"Good")</f>
        <v>Good</v>
      </c>
      <c r="S249" t="str">
        <f ca="1">IFERROR(__xludf.DUMMYFUNCTION("""COMPUTED_VALUE"""),"Good")</f>
        <v>Good</v>
      </c>
      <c r="T249" t="str">
        <f ca="1">IFERROR(__xludf.DUMMYFUNCTION("""COMPUTED_VALUE"""),"Good")</f>
        <v>Good</v>
      </c>
      <c r="U249" t="str">
        <f ca="1">IFERROR(__xludf.DUMMYFUNCTION("""COMPUTED_VALUE"""),"Good")</f>
        <v>Good</v>
      </c>
      <c r="V249" t="str">
        <f ca="1">IFERROR(__xludf.DUMMYFUNCTION("""COMPUTED_VALUE"""),"Good")</f>
        <v>Good</v>
      </c>
      <c r="W249" t="str">
        <f ca="1">IFERROR(__xludf.DUMMYFUNCTION("""COMPUTED_VALUE"""),"Good")</f>
        <v>Good</v>
      </c>
      <c r="X249" t="str">
        <f ca="1">IFERROR(__xludf.DUMMYFUNCTION("""COMPUTED_VALUE"""),"Good")</f>
        <v>Good</v>
      </c>
      <c r="Y249" t="str">
        <f ca="1">IFERROR(__xludf.DUMMYFUNCTION("""COMPUTED_VALUE"""),"Good")</f>
        <v>Good</v>
      </c>
      <c r="Z249" t="str">
        <f ca="1">IFERROR(__xludf.DUMMYFUNCTION("""COMPUTED_VALUE"""),"Good")</f>
        <v>Good</v>
      </c>
      <c r="AA249" t="str">
        <f ca="1">IFERROR(__xludf.DUMMYFUNCTION("""COMPUTED_VALUE"""),"Good")</f>
        <v>Good</v>
      </c>
      <c r="AB249" t="str">
        <f ca="1">IFERROR(__xludf.DUMMYFUNCTION("""COMPUTED_VALUE"""),"Good")</f>
        <v>Good</v>
      </c>
      <c r="AC249" t="str">
        <f ca="1">IFERROR(__xludf.DUMMYFUNCTION("""COMPUTED_VALUE"""),"Good")</f>
        <v>Good</v>
      </c>
      <c r="AE249" s="11"/>
      <c r="AF249" t="str">
        <v>Nikki.Dix@floridadep.gov</v>
      </c>
      <c r="AG249" s="17" t="s">
        <v>17</v>
      </c>
      <c r="AH249" s="12">
        <v>1020</v>
      </c>
      <c r="AI249" s="12" t="s">
        <v>691</v>
      </c>
      <c r="AJ249" s="19" t="s">
        <v>692</v>
      </c>
      <c r="AK249" s="20" t="str">
        <f>HYPERLINK("https://docs.google.com/document/d/1bAeE-YdJ3DaWyl_d93o31dCFP2fpmOBW8VVlRCpTtr8/edit?usp=drivesdk","Silas Tanner - 2/13/2019 9:45 AM")</f>
        <v>Silas Tanner - 2/13/2019 9:45 AM</v>
      </c>
      <c r="AL249" s="12" t="s">
        <v>693</v>
      </c>
    </row>
    <row r="250" spans="1:38" ht="12.75">
      <c r="A250" s="10">
        <f ca="1">IFERROR(__xludf.DUMMYFUNCTION("""COMPUTED_VALUE"""),43510.369321875)</f>
        <v>43510.369321874998</v>
      </c>
      <c r="B250" s="11" t="str">
        <f ca="1">IFERROR(__xludf.DUMMYFUNCTION("""COMPUTED_VALUE"""),"Silas Tanner")</f>
        <v>Silas Tanner</v>
      </c>
      <c r="C250" t="str">
        <f ca="1">IFERROR(__xludf.DUMMYFUNCTION("""COMPUTED_VALUE"""),"silas.tanner@floridadep.gov")</f>
        <v>silas.tanner@floridadep.gov</v>
      </c>
      <c r="D250" t="str">
        <f ca="1">IFERROR(__xludf.DUMMYFUNCTION("""COMPUTED_VALUE"""),"Research/Nikki")</f>
        <v>Research/Nikki</v>
      </c>
      <c r="E250" t="str">
        <f ca="1">IFERROR(__xludf.DUMMYFUNCTION("""COMPUTED_VALUE"""),"Palm Valley")</f>
        <v>Palm Valley</v>
      </c>
      <c r="F250" s="13">
        <f ca="1">IFERROR(__xludf.DUMMYFUNCTION("""COMPUTED_VALUE"""),0.385416666667879)</f>
        <v>0.38541666666787899</v>
      </c>
      <c r="G250" s="14">
        <f ca="1">IFERROR(__xludf.DUMMYFUNCTION("""COMPUTED_VALUE"""),43510)</f>
        <v>43510</v>
      </c>
      <c r="H250" t="str">
        <f ca="1">IFERROR(__xludf.DUMMYFUNCTION("""COMPUTED_VALUE"""),"ICW Pine Island marsh monitoring platforms")</f>
        <v>ICW Pine Island marsh monitoring platforms</v>
      </c>
      <c r="I250" s="15">
        <f ca="1">IFERROR(__xludf.DUMMYFUNCTION("""COMPUTED_VALUE"""),0.625)</f>
        <v>0.625</v>
      </c>
      <c r="J250" s="16">
        <f ca="1">IFERROR(__xludf.DUMMYFUNCTION("""COMPUTED_VALUE"""),43510.6354166666)</f>
        <v>43510.635416666599</v>
      </c>
      <c r="K250" t="str">
        <f ca="1">IFERROR(__xludf.DUMMYFUNCTION("""COMPUTED_VALUE"""),"F 20ft Sea Ark (Easy 200) FL8534PY DEP21451")</f>
        <v>F 20ft Sea Ark (Easy 200) FL8534PY DEP21451</v>
      </c>
      <c r="M250" t="str">
        <f ca="1">IFERROR(__xludf.DUMMYFUNCTION("""COMPUTED_VALUE"""),"Ford F250 2017 (Moby Dix) - DEP0021578")</f>
        <v>Ford F250 2017 (Moby Dix) - DEP0021578</v>
      </c>
      <c r="N250" t="str">
        <f ca="1">IFERROR(__xludf.DUMMYFUNCTION("""COMPUTED_VALUE"""),"Silas Tanner, (904) 483-8423, Ben Mowbray, (407) 962-8782")</f>
        <v>Silas Tanner, (904) 483-8423, Ben Mowbray, (407) 962-8782</v>
      </c>
      <c r="P250" t="str">
        <f ca="1">IFERROR(__xludf.DUMMYFUNCTION("""COMPUTED_VALUE"""),"Tanner")</f>
        <v>Tanner</v>
      </c>
      <c r="Q250" t="str">
        <f ca="1">IFERROR(__xludf.DUMMYFUNCTION("""COMPUTED_VALUE"""),"Good")</f>
        <v>Good</v>
      </c>
      <c r="R250" t="str">
        <f ca="1">IFERROR(__xludf.DUMMYFUNCTION("""COMPUTED_VALUE"""),"Good")</f>
        <v>Good</v>
      </c>
      <c r="S250" t="str">
        <f ca="1">IFERROR(__xludf.DUMMYFUNCTION("""COMPUTED_VALUE"""),"Good")</f>
        <v>Good</v>
      </c>
      <c r="T250" t="str">
        <f ca="1">IFERROR(__xludf.DUMMYFUNCTION("""COMPUTED_VALUE"""),"Good")</f>
        <v>Good</v>
      </c>
      <c r="U250" t="str">
        <f ca="1">IFERROR(__xludf.DUMMYFUNCTION("""COMPUTED_VALUE"""),"Good")</f>
        <v>Good</v>
      </c>
      <c r="V250" t="str">
        <f ca="1">IFERROR(__xludf.DUMMYFUNCTION("""COMPUTED_VALUE"""),"Good")</f>
        <v>Good</v>
      </c>
      <c r="W250" t="str">
        <f ca="1">IFERROR(__xludf.DUMMYFUNCTION("""COMPUTED_VALUE"""),"Good")</f>
        <v>Good</v>
      </c>
      <c r="X250" t="str">
        <f ca="1">IFERROR(__xludf.DUMMYFUNCTION("""COMPUTED_VALUE"""),"Good")</f>
        <v>Good</v>
      </c>
      <c r="Y250" t="str">
        <f ca="1">IFERROR(__xludf.DUMMYFUNCTION("""COMPUTED_VALUE"""),"Good")</f>
        <v>Good</v>
      </c>
      <c r="Z250" t="str">
        <f ca="1">IFERROR(__xludf.DUMMYFUNCTION("""COMPUTED_VALUE"""),"Good")</f>
        <v>Good</v>
      </c>
      <c r="AA250" t="str">
        <f ca="1">IFERROR(__xludf.DUMMYFUNCTION("""COMPUTED_VALUE"""),"Good")</f>
        <v>Good</v>
      </c>
      <c r="AB250" t="str">
        <f ca="1">IFERROR(__xludf.DUMMYFUNCTION("""COMPUTED_VALUE"""),"Good")</f>
        <v>Good</v>
      </c>
      <c r="AC250" t="str">
        <f ca="1">IFERROR(__xludf.DUMMYFUNCTION("""COMPUTED_VALUE"""),"Good")</f>
        <v>Good</v>
      </c>
      <c r="AE250" s="11"/>
      <c r="AF250" t="str">
        <v>Nikki.Dix@floridadep.gov</v>
      </c>
      <c r="AG250" s="17" t="s">
        <v>17</v>
      </c>
      <c r="AH250" s="12">
        <v>1145</v>
      </c>
      <c r="AI250" s="12" t="s">
        <v>694</v>
      </c>
      <c r="AJ250" s="19" t="s">
        <v>695</v>
      </c>
      <c r="AK250" s="20" t="str">
        <f>HYPERLINK("https://docs.google.com/document/d/1f2_RdO7f651I6OZS4bfi5p2XdGlREoePCDX_MNDvHz0/edit?usp=drivesdk","Silas Tanner - 2/14/2019 9:15 AM")</f>
        <v>Silas Tanner - 2/14/2019 9:15 AM</v>
      </c>
      <c r="AL250" s="12" t="s">
        <v>696</v>
      </c>
    </row>
    <row r="251" spans="1:38" ht="12.75">
      <c r="A251" s="10">
        <f ca="1">IFERROR(__xludf.DUMMYFUNCTION("""COMPUTED_VALUE"""),43511.4302810185)</f>
        <v>43511.430281018504</v>
      </c>
      <c r="B251" s="11" t="str">
        <f ca="1">IFERROR(__xludf.DUMMYFUNCTION("""COMPUTED_VALUE"""),"Silas Tanner")</f>
        <v>Silas Tanner</v>
      </c>
      <c r="C251" t="str">
        <f ca="1">IFERROR(__xludf.DUMMYFUNCTION("""COMPUTED_VALUE"""),"silas.tanner@floridadep.gov")</f>
        <v>silas.tanner@floridadep.gov</v>
      </c>
      <c r="D251" t="str">
        <f ca="1">IFERROR(__xludf.DUMMYFUNCTION("""COMPUTED_VALUE"""),"Research/Shannon")</f>
        <v>Research/Shannon</v>
      </c>
      <c r="E251" t="str">
        <f ca="1">IFERROR(__xludf.DUMMYFUNCTION("""COMPUTED_VALUE"""),"Aunt Kate's")</f>
        <v>Aunt Kate's</v>
      </c>
      <c r="F251" s="13">
        <f ca="1">IFERROR(__xludf.DUMMYFUNCTION("""COMPUTED_VALUE"""),0.447916666667879)</f>
        <v>0.44791666666787899</v>
      </c>
      <c r="G251" s="14">
        <f ca="1">IFERROR(__xludf.DUMMYFUNCTION("""COMPUTED_VALUE"""),43511)</f>
        <v>43511</v>
      </c>
      <c r="H251" t="str">
        <f ca="1">IFERROR(__xludf.DUMMYFUNCTION("""COMPUTED_VALUE"""),"ICW Sombrero Creek - Hat Island SWMP platforms")</f>
        <v>ICW Sombrero Creek - Hat Island SWMP platforms</v>
      </c>
      <c r="I251" s="15">
        <f ca="1">IFERROR(__xludf.DUMMYFUNCTION("""COMPUTED_VALUE"""),0.64583333333212)</f>
        <v>0.64583333333212001</v>
      </c>
      <c r="J251" s="16">
        <f ca="1">IFERROR(__xludf.DUMMYFUNCTION("""COMPUTED_VALUE"""),43511.65625)</f>
        <v>43511.65625</v>
      </c>
      <c r="K251" t="str">
        <f ca="1">IFERROR(__xludf.DUMMYFUNCTION("""COMPUTED_VALUE"""),"23ft Skiff (Bertha) FL7972LJ DEP07613")</f>
        <v>23ft Skiff (Bertha) FL7972LJ DEP07613</v>
      </c>
      <c r="M251" t="str">
        <f ca="1">IFERROR(__xludf.DUMMYFUNCTION("""COMPUTED_VALUE"""),"Ford F150 2008 - DEP18041 (SWMP Thing)")</f>
        <v>Ford F150 2008 - DEP18041 (SWMP Thing)</v>
      </c>
      <c r="N251" t="str">
        <f ca="1">IFERROR(__xludf.DUMMYFUNCTION("""COMPUTED_VALUE"""),"Silas Tanner, (904) 483-8423, Ben Mowbray, (407) 962-8782")</f>
        <v>Silas Tanner, (904) 483-8423, Ben Mowbray, (407) 962-8782</v>
      </c>
      <c r="O251" t="str">
        <f ca="1">IFERROR(__xludf.DUMMYFUNCTION("""COMPUTED_VALUE"""),"Jessica Lee")</f>
        <v>Jessica Lee</v>
      </c>
      <c r="P251" t="str">
        <f ca="1">IFERROR(__xludf.DUMMYFUNCTION("""COMPUTED_VALUE"""),"S. Tanner")</f>
        <v>S. Tanner</v>
      </c>
      <c r="Q251" t="str">
        <f ca="1">IFERROR(__xludf.DUMMYFUNCTION("""COMPUTED_VALUE"""),"Good")</f>
        <v>Good</v>
      </c>
      <c r="R251" t="str">
        <f ca="1">IFERROR(__xludf.DUMMYFUNCTION("""COMPUTED_VALUE"""),"Good")</f>
        <v>Good</v>
      </c>
      <c r="S251" t="str">
        <f ca="1">IFERROR(__xludf.DUMMYFUNCTION("""COMPUTED_VALUE"""),"Good")</f>
        <v>Good</v>
      </c>
      <c r="T251" t="str">
        <f ca="1">IFERROR(__xludf.DUMMYFUNCTION("""COMPUTED_VALUE"""),"Good")</f>
        <v>Good</v>
      </c>
      <c r="U251" t="str">
        <f ca="1">IFERROR(__xludf.DUMMYFUNCTION("""COMPUTED_VALUE"""),"Good")</f>
        <v>Good</v>
      </c>
      <c r="V251" t="str">
        <f ca="1">IFERROR(__xludf.DUMMYFUNCTION("""COMPUTED_VALUE"""),"Good")</f>
        <v>Good</v>
      </c>
      <c r="W251" t="str">
        <f ca="1">IFERROR(__xludf.DUMMYFUNCTION("""COMPUTED_VALUE"""),"Good")</f>
        <v>Good</v>
      </c>
      <c r="X251" t="str">
        <f ca="1">IFERROR(__xludf.DUMMYFUNCTION("""COMPUTED_VALUE"""),"Good")</f>
        <v>Good</v>
      </c>
      <c r="Y251" t="str">
        <f ca="1">IFERROR(__xludf.DUMMYFUNCTION("""COMPUTED_VALUE"""),"Good")</f>
        <v>Good</v>
      </c>
      <c r="Z251" t="str">
        <f ca="1">IFERROR(__xludf.DUMMYFUNCTION("""COMPUTED_VALUE"""),"Good")</f>
        <v>Good</v>
      </c>
      <c r="AA251" t="str">
        <f ca="1">IFERROR(__xludf.DUMMYFUNCTION("""COMPUTED_VALUE"""),"Good")</f>
        <v>Good</v>
      </c>
      <c r="AB251" t="str">
        <f ca="1">IFERROR(__xludf.DUMMYFUNCTION("""COMPUTED_VALUE"""),"Good")</f>
        <v>Good</v>
      </c>
      <c r="AC251" t="str">
        <f ca="1">IFERROR(__xludf.DUMMYFUNCTION("""COMPUTED_VALUE"""),"Good")</f>
        <v>Good</v>
      </c>
      <c r="AE251" s="11"/>
      <c r="AF251" t="str">
        <v>Shannon.Dunnigan@floridadep.gov</v>
      </c>
      <c r="AG251" s="17" t="s">
        <v>507</v>
      </c>
      <c r="AH251" s="12">
        <v>1346</v>
      </c>
      <c r="AI251" s="12" t="s">
        <v>697</v>
      </c>
      <c r="AJ251" s="19" t="s">
        <v>698</v>
      </c>
      <c r="AK251" s="20" t="str">
        <f>HYPERLINK("https://docs.google.com/document/d/1vjgkI4Lfj1nbvK_7qvSxeRdAub1lhBKrshH59fnzSM4/edit?usp=drivesdk","Silas Tanner - 2/15/2019 10:45 AM")</f>
        <v>Silas Tanner - 2/15/2019 10:45 AM</v>
      </c>
      <c r="AL251" s="12" t="s">
        <v>699</v>
      </c>
    </row>
    <row r="252" spans="1:38" ht="12.75">
      <c r="A252" s="10">
        <f ca="1">IFERROR(__xludf.DUMMYFUNCTION("""COMPUTED_VALUE"""),43514.4281043055)</f>
        <v>43514.428104305502</v>
      </c>
      <c r="B252" s="11" t="str">
        <f ca="1">IFERROR(__xludf.DUMMYFUNCTION("""COMPUTED_VALUE"""),"Pamela Marcum")</f>
        <v>Pamela Marcum</v>
      </c>
      <c r="C252" t="str">
        <f ca="1">IFERROR(__xludf.DUMMYFUNCTION("""COMPUTED_VALUE"""),"Pamela.Marcum@dep.state.fl.us")</f>
        <v>Pamela.Marcum@dep.state.fl.us</v>
      </c>
      <c r="D252" t="str">
        <f ca="1">IFERROR(__xludf.DUMMYFUNCTION("""COMPUTED_VALUE"""),"Research/Nikki")</f>
        <v>Research/Nikki</v>
      </c>
      <c r="E252" t="str">
        <f ca="1">IFERROR(__xludf.DUMMYFUNCTION("""COMPUTED_VALUE"""),"Aunt Kate's")</f>
        <v>Aunt Kate's</v>
      </c>
      <c r="F252" s="13">
        <f ca="1">IFERROR(__xludf.DUMMYFUNCTION("""COMPUTED_VALUE"""),0.4375)</f>
        <v>0.4375</v>
      </c>
      <c r="G252" s="14">
        <f ca="1">IFERROR(__xludf.DUMMYFUNCTION("""COMPUTED_VALUE"""),43514)</f>
        <v>43514</v>
      </c>
      <c r="H252" t="str">
        <f ca="1">IFERROR(__xludf.DUMMYFUNCTION("""COMPUTED_VALUE"""),"Tolomato River")</f>
        <v>Tolomato River</v>
      </c>
      <c r="I252" s="15">
        <f ca="1">IFERROR(__xludf.DUMMYFUNCTION("""COMPUTED_VALUE"""),0.70833333333212)</f>
        <v>0.70833333333212001</v>
      </c>
      <c r="J252" s="16">
        <f ca="1">IFERROR(__xludf.DUMMYFUNCTION("""COMPUTED_VALUE"""),43514.7291666666)</f>
        <v>43514.729166666599</v>
      </c>
      <c r="K252" t="str">
        <f ca="1">IFERROR(__xludf.DUMMYFUNCTION("""COMPUTED_VALUE"""),"23ft Skiff (Bertha) FL7972LJ DEP07613")</f>
        <v>23ft Skiff (Bertha) FL7972LJ DEP07613</v>
      </c>
      <c r="M252" t="str">
        <f ca="1">IFERROR(__xludf.DUMMYFUNCTION("""COMPUTED_VALUE"""),"Ford F150 2008 - DEP18041 (SWMP Thing)")</f>
        <v>Ford F150 2008 - DEP18041 (SWMP Thing)</v>
      </c>
      <c r="N252" t="str">
        <f ca="1">IFERROR(__xludf.DUMMYFUNCTION("""COMPUTED_VALUE"""),"Pam Marcum, (480) 332-5414")</f>
        <v>Pam Marcum, (480) 332-5414</v>
      </c>
      <c r="O252" t="str">
        <f ca="1">IFERROR(__xludf.DUMMYFUNCTION("""COMPUTED_VALUE"""),"Jeff Finnan, Mary Finnan")</f>
        <v>Jeff Finnan, Mary Finnan</v>
      </c>
      <c r="P252" t="str">
        <f ca="1">IFERROR(__xludf.DUMMYFUNCTION("""COMPUTED_VALUE"""),"Pam")</f>
        <v>Pam</v>
      </c>
      <c r="Q252" t="str">
        <f ca="1">IFERROR(__xludf.DUMMYFUNCTION("""COMPUTED_VALUE"""),"Good")</f>
        <v>Good</v>
      </c>
      <c r="R252" t="str">
        <f ca="1">IFERROR(__xludf.DUMMYFUNCTION("""COMPUTED_VALUE"""),"Good")</f>
        <v>Good</v>
      </c>
      <c r="S252" t="str">
        <f ca="1">IFERROR(__xludf.DUMMYFUNCTION("""COMPUTED_VALUE"""),"Good")</f>
        <v>Good</v>
      </c>
      <c r="T252" t="str">
        <f ca="1">IFERROR(__xludf.DUMMYFUNCTION("""COMPUTED_VALUE"""),"Good")</f>
        <v>Good</v>
      </c>
      <c r="U252" t="str">
        <f ca="1">IFERROR(__xludf.DUMMYFUNCTION("""COMPUTED_VALUE"""),"Good")</f>
        <v>Good</v>
      </c>
      <c r="V252" t="str">
        <f ca="1">IFERROR(__xludf.DUMMYFUNCTION("""COMPUTED_VALUE"""),"Good")</f>
        <v>Good</v>
      </c>
      <c r="W252" t="str">
        <f ca="1">IFERROR(__xludf.DUMMYFUNCTION("""COMPUTED_VALUE"""),"Good")</f>
        <v>Good</v>
      </c>
      <c r="X252" t="str">
        <f ca="1">IFERROR(__xludf.DUMMYFUNCTION("""COMPUTED_VALUE"""),"Good")</f>
        <v>Good</v>
      </c>
      <c r="Y252" t="str">
        <f ca="1">IFERROR(__xludf.DUMMYFUNCTION("""COMPUTED_VALUE"""),"Good")</f>
        <v>Good</v>
      </c>
      <c r="Z252" t="str">
        <f ca="1">IFERROR(__xludf.DUMMYFUNCTION("""COMPUTED_VALUE"""),"Good")</f>
        <v>Good</v>
      </c>
      <c r="AA252" t="str">
        <f ca="1">IFERROR(__xludf.DUMMYFUNCTION("""COMPUTED_VALUE"""),"Good")</f>
        <v>Good</v>
      </c>
      <c r="AB252" t="str">
        <f ca="1">IFERROR(__xludf.DUMMYFUNCTION("""COMPUTED_VALUE"""),"Good")</f>
        <v>Good</v>
      </c>
      <c r="AC252" t="str">
        <f ca="1">IFERROR(__xludf.DUMMYFUNCTION("""COMPUTED_VALUE"""),"Good")</f>
        <v>Good</v>
      </c>
      <c r="AE252" s="11"/>
      <c r="AF252" t="str">
        <v>Nikki.Dix@floridadep.gov</v>
      </c>
      <c r="AG252" s="17" t="s">
        <v>58</v>
      </c>
      <c r="AH252" s="12">
        <v>1512</v>
      </c>
      <c r="AI252" s="12" t="s">
        <v>700</v>
      </c>
      <c r="AJ252" s="19" t="s">
        <v>701</v>
      </c>
      <c r="AK252" s="20" t="str">
        <f>HYPERLINK("https://docs.google.com/document/d/1Yt2HD3iejFIbR5_nzxBX4oSXL467Y0dEFPeCK--9RKY/edit?usp=drivesdk","Pamela Marcum - 2/18/2019 10:30 AM")</f>
        <v>Pamela Marcum - 2/18/2019 10:30 AM</v>
      </c>
      <c r="AL252" s="12" t="s">
        <v>702</v>
      </c>
    </row>
    <row r="253" spans="1:38" ht="12.75">
      <c r="A253" s="10">
        <f ca="1">IFERROR(__xludf.DUMMYFUNCTION("""COMPUTED_VALUE"""),43516.4013573495)</f>
        <v>43516.401357349503</v>
      </c>
      <c r="B253" s="11" t="str">
        <f ca="1">IFERROR(__xludf.DUMMYFUNCTION("""COMPUTED_VALUE"""),"Silas Tanner")</f>
        <v>Silas Tanner</v>
      </c>
      <c r="C253" t="str">
        <f ca="1">IFERROR(__xludf.DUMMYFUNCTION("""COMPUTED_VALUE"""),"silas.tanner@floridadep.gov")</f>
        <v>silas.tanner@floridadep.gov</v>
      </c>
      <c r="D253" t="str">
        <f ca="1">IFERROR(__xludf.DUMMYFUNCTION("""COMPUTED_VALUE"""),"Research/Nikki")</f>
        <v>Research/Nikki</v>
      </c>
      <c r="E253" t="str">
        <f ca="1">IFERROR(__xludf.DUMMYFUNCTION("""COMPUTED_VALUE"""),"Vilano Landing")</f>
        <v>Vilano Landing</v>
      </c>
      <c r="F253" s="13">
        <f ca="1">IFERROR(__xludf.DUMMYFUNCTION("""COMPUTED_VALUE"""),0.447916666667879)</f>
        <v>0.44791666666787899</v>
      </c>
      <c r="G253" s="14">
        <f ca="1">IFERROR(__xludf.DUMMYFUNCTION("""COMPUTED_VALUE"""),43516)</f>
        <v>43516</v>
      </c>
      <c r="H253" t="str">
        <f ca="1">IFERROR(__xludf.DUMMYFUNCTION("""COMPUTED_VALUE"""),"ICW SWMP sites")</f>
        <v>ICW SWMP sites</v>
      </c>
      <c r="I253" s="15">
        <f ca="1">IFERROR(__xludf.DUMMYFUNCTION("""COMPUTED_VALUE"""),0.625)</f>
        <v>0.625</v>
      </c>
      <c r="J253" s="16">
        <f ca="1">IFERROR(__xludf.DUMMYFUNCTION("""COMPUTED_VALUE"""),43516.6354166666)</f>
        <v>43516.635416666599</v>
      </c>
      <c r="K253" t="str">
        <f ca="1">IFERROR(__xludf.DUMMYFUNCTION("""COMPUTED_VALUE"""),"23ft Skiff (Bertha) FL7972LJ DEP07613")</f>
        <v>23ft Skiff (Bertha) FL7972LJ DEP07613</v>
      </c>
      <c r="M253" t="str">
        <f ca="1">IFERROR(__xludf.DUMMYFUNCTION("""COMPUTED_VALUE"""),"Ford F250 2017 (Moby Dix) - DEP0021578")</f>
        <v>Ford F250 2017 (Moby Dix) - DEP0021578</v>
      </c>
      <c r="N253" t="str">
        <f ca="1">IFERROR(__xludf.DUMMYFUNCTION("""COMPUTED_VALUE"""),"Shannon Dunnigan, (803) 727-5734, Silas Tanner, (904) 483-8423")</f>
        <v>Shannon Dunnigan, (803) 727-5734, Silas Tanner, (904) 483-8423</v>
      </c>
      <c r="P253" t="str">
        <f ca="1">IFERROR(__xludf.DUMMYFUNCTION("""COMPUTED_VALUE"""),"Dunnigan")</f>
        <v>Dunnigan</v>
      </c>
      <c r="Q253" t="str">
        <f ca="1">IFERROR(__xludf.DUMMYFUNCTION("""COMPUTED_VALUE"""),"Good")</f>
        <v>Good</v>
      </c>
      <c r="R253" t="str">
        <f ca="1">IFERROR(__xludf.DUMMYFUNCTION("""COMPUTED_VALUE"""),"Good")</f>
        <v>Good</v>
      </c>
      <c r="S253" t="str">
        <f ca="1">IFERROR(__xludf.DUMMYFUNCTION("""COMPUTED_VALUE"""),"Good")</f>
        <v>Good</v>
      </c>
      <c r="T253" t="str">
        <f ca="1">IFERROR(__xludf.DUMMYFUNCTION("""COMPUTED_VALUE"""),"Good")</f>
        <v>Good</v>
      </c>
      <c r="U253" t="str">
        <f ca="1">IFERROR(__xludf.DUMMYFUNCTION("""COMPUTED_VALUE"""),"Good")</f>
        <v>Good</v>
      </c>
      <c r="V253" t="str">
        <f ca="1">IFERROR(__xludf.DUMMYFUNCTION("""COMPUTED_VALUE"""),"Good")</f>
        <v>Good</v>
      </c>
      <c r="W253" t="str">
        <f ca="1">IFERROR(__xludf.DUMMYFUNCTION("""COMPUTED_VALUE"""),"Good")</f>
        <v>Good</v>
      </c>
      <c r="X253" t="str">
        <f ca="1">IFERROR(__xludf.DUMMYFUNCTION("""COMPUTED_VALUE"""),"Good")</f>
        <v>Good</v>
      </c>
      <c r="Y253" t="str">
        <f ca="1">IFERROR(__xludf.DUMMYFUNCTION("""COMPUTED_VALUE"""),"Good")</f>
        <v>Good</v>
      </c>
      <c r="Z253" t="str">
        <f ca="1">IFERROR(__xludf.DUMMYFUNCTION("""COMPUTED_VALUE"""),"Good")</f>
        <v>Good</v>
      </c>
      <c r="AA253" t="str">
        <f ca="1">IFERROR(__xludf.DUMMYFUNCTION("""COMPUTED_VALUE"""),"Good")</f>
        <v>Good</v>
      </c>
      <c r="AB253" t="str">
        <f ca="1">IFERROR(__xludf.DUMMYFUNCTION("""COMPUTED_VALUE"""),"Good")</f>
        <v>Good</v>
      </c>
      <c r="AC253" t="str">
        <f ca="1">IFERROR(__xludf.DUMMYFUNCTION("""COMPUTED_VALUE"""),"Good")</f>
        <v>Good</v>
      </c>
      <c r="AE253" s="11"/>
      <c r="AF253" t="str">
        <v>Nikki.Dix@floridadep.gov</v>
      </c>
      <c r="AG253" s="17" t="s">
        <v>17</v>
      </c>
      <c r="AH253" s="12">
        <v>1522</v>
      </c>
      <c r="AI253" s="12" t="s">
        <v>703</v>
      </c>
      <c r="AJ253" s="19" t="s">
        <v>704</v>
      </c>
      <c r="AK253" s="20" t="str">
        <f>HYPERLINK("https://docs.google.com/document/d/1eml75LLBrnwv1nCwBu_-OJNxHvJ3ubC1U_W3NBu9nRM/edit?usp=drivesdk","Silas Tanner - 2/20/2019 10:45 AM")</f>
        <v>Silas Tanner - 2/20/2019 10:45 AM</v>
      </c>
      <c r="AL253" s="12" t="s">
        <v>705</v>
      </c>
    </row>
    <row r="254" spans="1:38" ht="12.75">
      <c r="A254" s="10">
        <f ca="1">IFERROR(__xludf.DUMMYFUNCTION("""COMPUTED_VALUE"""),43516.5361986226)</f>
        <v>43516.536198622598</v>
      </c>
      <c r="B254" s="11" t="str">
        <f ca="1">IFERROR(__xludf.DUMMYFUNCTION("""COMPUTED_VALUE"""),"Pamela Marcum")</f>
        <v>Pamela Marcum</v>
      </c>
      <c r="C254" t="str">
        <f ca="1">IFERROR(__xludf.DUMMYFUNCTION("""COMPUTED_VALUE"""),"pamela.marcum@floridadep.gov")</f>
        <v>pamela.marcum@floridadep.gov</v>
      </c>
      <c r="D254" t="str">
        <f ca="1">IFERROR(__xludf.DUMMYFUNCTION("""COMPUTED_VALUE"""),"Research/Nikki")</f>
        <v>Research/Nikki</v>
      </c>
      <c r="E254" t="str">
        <f ca="1">IFERROR(__xludf.DUMMYFUNCTION("""COMPUTED_VALUE"""),"Shore drive crane park")</f>
        <v>Shore drive crane park</v>
      </c>
      <c r="F254" s="13">
        <f ca="1">IFERROR(__xludf.DUMMYFUNCTION("""COMPUTED_VALUE"""),0.52083333333212)</f>
        <v>0.52083333333212001</v>
      </c>
      <c r="G254" s="14">
        <f ca="1">IFERROR(__xludf.DUMMYFUNCTION("""COMPUTED_VALUE"""),43516)</f>
        <v>43516</v>
      </c>
      <c r="H254" t="str">
        <f ca="1">IFERROR(__xludf.DUMMYFUNCTION("""COMPUTED_VALUE"""),"Matanzas River ")</f>
        <v xml:space="preserve">Matanzas River </v>
      </c>
      <c r="I254" s="15">
        <f ca="1">IFERROR(__xludf.DUMMYFUNCTION("""COMPUTED_VALUE"""),0.666666666667879)</f>
        <v>0.66666666666787899</v>
      </c>
      <c r="J254" s="16">
        <f ca="1">IFERROR(__xludf.DUMMYFUNCTION("""COMPUTED_VALUE"""),43516.6875)</f>
        <v>43516.6875</v>
      </c>
      <c r="K254" t="str">
        <f ca="1">IFERROR(__xludf.DUMMYFUNCTION("""COMPUTED_VALUE"""),"F 20ft Sea Ark (Easy 200) FL8534PY DEP21451")</f>
        <v>F 20ft Sea Ark (Easy 200) FL8534PY DEP21451</v>
      </c>
      <c r="M254" t="str">
        <f ca="1">IFERROR(__xludf.DUMMYFUNCTION("""COMPUTED_VALUE"""),"Ford F150 2008 - DEP18041 (SWMP Thing)")</f>
        <v>Ford F150 2008 - DEP18041 (SWMP Thing)</v>
      </c>
      <c r="N254" t="str">
        <f ca="1">IFERROR(__xludf.DUMMYFUNCTION("""COMPUTED_VALUE"""),"Pam Marcum, (480) 332-5414, Ben Mowbray, (407) 962-8782")</f>
        <v>Pam Marcum, (480) 332-5414, Ben Mowbray, (407) 962-8782</v>
      </c>
      <c r="O254" t="str">
        <f ca="1">IFERROR(__xludf.DUMMYFUNCTION("""COMPUTED_VALUE"""),"Marti,  Cathy")</f>
        <v>Marti,  Cathy</v>
      </c>
      <c r="P254" t="str">
        <f ca="1">IFERROR(__xludf.DUMMYFUNCTION("""COMPUTED_VALUE"""),"Ben")</f>
        <v>Ben</v>
      </c>
      <c r="Q254" t="str">
        <f ca="1">IFERROR(__xludf.DUMMYFUNCTION("""COMPUTED_VALUE"""),"Good")</f>
        <v>Good</v>
      </c>
      <c r="R254" t="str">
        <f ca="1">IFERROR(__xludf.DUMMYFUNCTION("""COMPUTED_VALUE"""),"Good")</f>
        <v>Good</v>
      </c>
      <c r="S254" t="str">
        <f ca="1">IFERROR(__xludf.DUMMYFUNCTION("""COMPUTED_VALUE"""),"Good")</f>
        <v>Good</v>
      </c>
      <c r="T254" t="str">
        <f ca="1">IFERROR(__xludf.DUMMYFUNCTION("""COMPUTED_VALUE"""),"Good")</f>
        <v>Good</v>
      </c>
      <c r="U254" t="str">
        <f ca="1">IFERROR(__xludf.DUMMYFUNCTION("""COMPUTED_VALUE"""),"Good")</f>
        <v>Good</v>
      </c>
      <c r="V254" t="str">
        <f ca="1">IFERROR(__xludf.DUMMYFUNCTION("""COMPUTED_VALUE"""),"Good")</f>
        <v>Good</v>
      </c>
      <c r="W254" t="str">
        <f ca="1">IFERROR(__xludf.DUMMYFUNCTION("""COMPUTED_VALUE"""),"Good")</f>
        <v>Good</v>
      </c>
      <c r="X254" t="str">
        <f ca="1">IFERROR(__xludf.DUMMYFUNCTION("""COMPUTED_VALUE"""),"Good")</f>
        <v>Good</v>
      </c>
      <c r="Y254" t="str">
        <f ca="1">IFERROR(__xludf.DUMMYFUNCTION("""COMPUTED_VALUE"""),"Good")</f>
        <v>Good</v>
      </c>
      <c r="Z254" t="str">
        <f ca="1">IFERROR(__xludf.DUMMYFUNCTION("""COMPUTED_VALUE"""),"Good")</f>
        <v>Good</v>
      </c>
      <c r="AA254" t="str">
        <f ca="1">IFERROR(__xludf.DUMMYFUNCTION("""COMPUTED_VALUE"""),"Good")</f>
        <v>Good</v>
      </c>
      <c r="AB254" t="str">
        <f ca="1">IFERROR(__xludf.DUMMYFUNCTION("""COMPUTED_VALUE"""),"Good")</f>
        <v>Good</v>
      </c>
      <c r="AC254" t="str">
        <f ca="1">IFERROR(__xludf.DUMMYFUNCTION("""COMPUTED_VALUE"""),"Good")</f>
        <v>Good</v>
      </c>
      <c r="AE254" s="11"/>
      <c r="AF254" t="str">
        <v>Nikki.Dix@floridadep.gov</v>
      </c>
      <c r="AG254" s="17" t="s">
        <v>41</v>
      </c>
      <c r="AH254" s="12">
        <v>1745</v>
      </c>
      <c r="AI254" s="12" t="s">
        <v>706</v>
      </c>
      <c r="AJ254" s="19" t="s">
        <v>707</v>
      </c>
      <c r="AK254" s="20" t="str">
        <f>HYPERLINK("https://docs.google.com/document/d/1vmmHbbEKOlfRp-_iKH2vKvCl0CVCLNAqtyyG8zrDGGo/edit?usp=drivesdk","Pamela Marcum - 2/20/2019 12:30 PM")</f>
        <v>Pamela Marcum - 2/20/2019 12:30 PM</v>
      </c>
      <c r="AL254" s="12" t="s">
        <v>708</v>
      </c>
    </row>
    <row r="255" spans="1:38" ht="12.75">
      <c r="A255" s="10">
        <f ca="1">IFERROR(__xludf.DUMMYFUNCTION("""COMPUTED_VALUE"""),43516.5778326273)</f>
        <v>43516.577832627299</v>
      </c>
      <c r="B255" s="11" t="str">
        <f ca="1">IFERROR(__xludf.DUMMYFUNCTION("""COMPUTED_VALUE"""),"james tomazinis")</f>
        <v>james tomazinis</v>
      </c>
      <c r="C255" t="str">
        <f ca="1">IFERROR(__xludf.DUMMYFUNCTION("""COMPUTED_VALUE"""),"james.tomazinis@floridadep.gov")</f>
        <v>james.tomazinis@floridadep.gov</v>
      </c>
      <c r="D255" t="str">
        <f ca="1">IFERROR(__xludf.DUMMYFUNCTION("""COMPUTED_VALUE"""),"Stewardship (Aquatic)")</f>
        <v>Stewardship (Aquatic)</v>
      </c>
      <c r="E255" t="str">
        <f ca="1">IFERROR(__xludf.DUMMYFUNCTION("""COMPUTED_VALUE"""),"Vilano")</f>
        <v>Vilano</v>
      </c>
      <c r="F255" s="13">
        <f ca="1">IFERROR(__xludf.DUMMYFUNCTION("""COMPUTED_VALUE"""),0.354166666667879)</f>
        <v>0.35416666666787899</v>
      </c>
      <c r="G255" s="14">
        <f ca="1">IFERROR(__xludf.DUMMYFUNCTION("""COMPUTED_VALUE"""),43517)</f>
        <v>43517</v>
      </c>
      <c r="H255" t="str">
        <f ca="1">IFERROR(__xludf.DUMMYFUNCTION("""COMPUTED_VALUE"""),"Matanzas River nekton sites")</f>
        <v>Matanzas River nekton sites</v>
      </c>
      <c r="I255" s="15">
        <f ca="1">IFERROR(__xludf.DUMMYFUNCTION("""COMPUTED_VALUE"""),0.541666666667879)</f>
        <v>0.54166666666787899</v>
      </c>
      <c r="J255" s="16"/>
      <c r="K255" t="str">
        <f ca="1">IFERROR(__xludf.DUMMYFUNCTION("""COMPUTED_VALUE"""),"23ft Skiff (Bertha) FL7972LJ DEP07613")</f>
        <v>23ft Skiff (Bertha) FL7972LJ DEP07613</v>
      </c>
      <c r="M255" t="str">
        <f ca="1">IFERROR(__xludf.DUMMYFUNCTION("""COMPUTED_VALUE"""),"Ford F250 2017 (Moby Dix) - DEP0021578")</f>
        <v>Ford F250 2017 (Moby Dix) - DEP0021578</v>
      </c>
      <c r="N255" t="str">
        <f ca="1">IFERROR(__xludf.DUMMYFUNCTION("""COMPUTED_VALUE"""),"Jimmy Tomazinis, (904) 547-0094")</f>
        <v>Jimmy Tomazinis, (904) 547-0094</v>
      </c>
      <c r="O255" t="str">
        <f ca="1">IFERROR(__xludf.DUMMYFUNCTION("""COMPUTED_VALUE"""),"Ed Mcginley + students")</f>
        <v>Ed Mcginley + students</v>
      </c>
      <c r="P255" t="str">
        <f ca="1">IFERROR(__xludf.DUMMYFUNCTION("""COMPUTED_VALUE"""),"Jimmy")</f>
        <v>Jimmy</v>
      </c>
      <c r="Q255" t="str">
        <f ca="1">IFERROR(__xludf.DUMMYFUNCTION("""COMPUTED_VALUE"""),"Good")</f>
        <v>Good</v>
      </c>
      <c r="R255" t="str">
        <f ca="1">IFERROR(__xludf.DUMMYFUNCTION("""COMPUTED_VALUE"""),"Good")</f>
        <v>Good</v>
      </c>
      <c r="S255" t="str">
        <f ca="1">IFERROR(__xludf.DUMMYFUNCTION("""COMPUTED_VALUE"""),"Good")</f>
        <v>Good</v>
      </c>
      <c r="T255" t="str">
        <f ca="1">IFERROR(__xludf.DUMMYFUNCTION("""COMPUTED_VALUE"""),"Good")</f>
        <v>Good</v>
      </c>
      <c r="U255" t="str">
        <f ca="1">IFERROR(__xludf.DUMMYFUNCTION("""COMPUTED_VALUE"""),"Good")</f>
        <v>Good</v>
      </c>
      <c r="V255" t="str">
        <f ca="1">IFERROR(__xludf.DUMMYFUNCTION("""COMPUTED_VALUE"""),"Good")</f>
        <v>Good</v>
      </c>
      <c r="W255" t="str">
        <f ca="1">IFERROR(__xludf.DUMMYFUNCTION("""COMPUTED_VALUE"""),"Good")</f>
        <v>Good</v>
      </c>
      <c r="X255" t="str">
        <f ca="1">IFERROR(__xludf.DUMMYFUNCTION("""COMPUTED_VALUE"""),"Good")</f>
        <v>Good</v>
      </c>
      <c r="Y255" t="str">
        <f ca="1">IFERROR(__xludf.DUMMYFUNCTION("""COMPUTED_VALUE"""),"Good")</f>
        <v>Good</v>
      </c>
      <c r="Z255" t="str">
        <f ca="1">IFERROR(__xludf.DUMMYFUNCTION("""COMPUTED_VALUE"""),"Good")</f>
        <v>Good</v>
      </c>
      <c r="AA255" t="str">
        <f ca="1">IFERROR(__xludf.DUMMYFUNCTION("""COMPUTED_VALUE"""),"Good")</f>
        <v>Good</v>
      </c>
      <c r="AB255" t="str">
        <f ca="1">IFERROR(__xludf.DUMMYFUNCTION("""COMPUTED_VALUE"""),"Good")</f>
        <v>Good</v>
      </c>
      <c r="AC255" t="str">
        <f ca="1">IFERROR(__xludf.DUMMYFUNCTION("""COMPUTED_VALUE"""),"Good")</f>
        <v>Good</v>
      </c>
      <c r="AE255" s="11"/>
      <c r="AF255" t="str">
        <v>Scott.Eastman@floridadep.gov</v>
      </c>
      <c r="AG255" s="17" t="s">
        <v>709</v>
      </c>
      <c r="AH255" s="12">
        <v>1320</v>
      </c>
      <c r="AI255" s="12" t="s">
        <v>710</v>
      </c>
      <c r="AJ255" s="19" t="s">
        <v>711</v>
      </c>
      <c r="AK255" s="20" t="str">
        <f>HYPERLINK("https://docs.google.com/document/d/14pAUYwsaSmzX3501xXPXCLv9Bc9CBsp_aTg69Fj2q_c/edit?usp=drivesdk","james tomazinis - 2/21/2019 8:30 AM")</f>
        <v>james tomazinis - 2/21/2019 8:30 AM</v>
      </c>
      <c r="AL255" s="12" t="s">
        <v>712</v>
      </c>
    </row>
    <row r="256" spans="1:38" ht="12.75">
      <c r="A256" s="10">
        <f ca="1">IFERROR(__xludf.DUMMYFUNCTION("""COMPUTED_VALUE"""),43518.5207091088)</f>
        <v>43518.520709108801</v>
      </c>
      <c r="B256" s="11" t="str">
        <f ca="1">IFERROR(__xludf.DUMMYFUNCTION("""COMPUTED_VALUE"""),"Pamela Marcum")</f>
        <v>Pamela Marcum</v>
      </c>
      <c r="C256" t="str">
        <f ca="1">IFERROR(__xludf.DUMMYFUNCTION("""COMPUTED_VALUE"""),"Pamela.Marcum@floridadep.gov")</f>
        <v>Pamela.Marcum@floridadep.gov</v>
      </c>
      <c r="D256" t="str">
        <f ca="1">IFERROR(__xludf.DUMMYFUNCTION("""COMPUTED_VALUE"""),"Research/Nikki")</f>
        <v>Research/Nikki</v>
      </c>
      <c r="E256" t="str">
        <f ca="1">IFERROR(__xludf.DUMMYFUNCTION("""COMPUTED_VALUE"""),"Lighthouse")</f>
        <v>Lighthouse</v>
      </c>
      <c r="F256" s="13">
        <f ca="1">IFERROR(__xludf.DUMMYFUNCTION("""COMPUTED_VALUE"""),0.541666666667879)</f>
        <v>0.54166666666787899</v>
      </c>
      <c r="G256" s="14">
        <f ca="1">IFERROR(__xludf.DUMMYFUNCTION("""COMPUTED_VALUE"""),43518)</f>
        <v>43518</v>
      </c>
      <c r="H256" t="str">
        <f ca="1">IFERROR(__xludf.DUMMYFUNCTION("""COMPUTED_VALUE"""),"Salt Run/St. Aug Inlet")</f>
        <v>Salt Run/St. Aug Inlet</v>
      </c>
      <c r="I256" s="15">
        <f ca="1">IFERROR(__xludf.DUMMYFUNCTION("""COMPUTED_VALUE"""),0.666666666667879)</f>
        <v>0.66666666666787899</v>
      </c>
      <c r="J256" s="16">
        <f ca="1">IFERROR(__xludf.DUMMYFUNCTION("""COMPUTED_VALUE"""),43518.6875)</f>
        <v>43518.6875</v>
      </c>
      <c r="K256" t="str">
        <f ca="1">IFERROR(__xludf.DUMMYFUNCTION("""COMPUTED_VALUE"""),"F 20ft Sea Ark (Easy 200) FL8534PY DEP21451")</f>
        <v>F 20ft Sea Ark (Easy 200) FL8534PY DEP21451</v>
      </c>
      <c r="M256" t="str">
        <f ca="1">IFERROR(__xludf.DUMMYFUNCTION("""COMPUTED_VALUE"""),"Ford F150 2008 - DEP18041 (SWMP Thing)")</f>
        <v>Ford F150 2008 - DEP18041 (SWMP Thing)</v>
      </c>
      <c r="N256" t="str">
        <f ca="1">IFERROR(__xludf.DUMMYFUNCTION("""COMPUTED_VALUE"""),"Pam Marcum, (480) 332-5414")</f>
        <v>Pam Marcum, (480) 332-5414</v>
      </c>
      <c r="O256" t="str">
        <f ca="1">IFERROR(__xludf.DUMMYFUNCTION("""COMPUTED_VALUE"""),"Jeff Finnan, Mike Darragh")</f>
        <v>Jeff Finnan, Mike Darragh</v>
      </c>
      <c r="P256" t="str">
        <f ca="1">IFERROR(__xludf.DUMMYFUNCTION("""COMPUTED_VALUE"""),"Pam")</f>
        <v>Pam</v>
      </c>
      <c r="Q256" t="str">
        <f ca="1">IFERROR(__xludf.DUMMYFUNCTION("""COMPUTED_VALUE"""),"Good")</f>
        <v>Good</v>
      </c>
      <c r="R256" t="str">
        <f ca="1">IFERROR(__xludf.DUMMYFUNCTION("""COMPUTED_VALUE"""),"Good")</f>
        <v>Good</v>
      </c>
      <c r="S256" t="str">
        <f ca="1">IFERROR(__xludf.DUMMYFUNCTION("""COMPUTED_VALUE"""),"Good")</f>
        <v>Good</v>
      </c>
      <c r="T256" t="str">
        <f ca="1">IFERROR(__xludf.DUMMYFUNCTION("""COMPUTED_VALUE"""),"Good")</f>
        <v>Good</v>
      </c>
      <c r="U256" t="str">
        <f ca="1">IFERROR(__xludf.DUMMYFUNCTION("""COMPUTED_VALUE"""),"Good")</f>
        <v>Good</v>
      </c>
      <c r="V256" t="str">
        <f ca="1">IFERROR(__xludf.DUMMYFUNCTION("""COMPUTED_VALUE"""),"Good")</f>
        <v>Good</v>
      </c>
      <c r="W256" t="str">
        <f ca="1">IFERROR(__xludf.DUMMYFUNCTION("""COMPUTED_VALUE"""),"Good")</f>
        <v>Good</v>
      </c>
      <c r="X256" t="str">
        <f ca="1">IFERROR(__xludf.DUMMYFUNCTION("""COMPUTED_VALUE"""),"Good")</f>
        <v>Good</v>
      </c>
      <c r="Y256" t="str">
        <f ca="1">IFERROR(__xludf.DUMMYFUNCTION("""COMPUTED_VALUE"""),"Good")</f>
        <v>Good</v>
      </c>
      <c r="Z256" t="str">
        <f ca="1">IFERROR(__xludf.DUMMYFUNCTION("""COMPUTED_VALUE"""),"Good")</f>
        <v>Good</v>
      </c>
      <c r="AA256" t="str">
        <f ca="1">IFERROR(__xludf.DUMMYFUNCTION("""COMPUTED_VALUE"""),"Good")</f>
        <v>Good</v>
      </c>
      <c r="AB256" t="str">
        <f ca="1">IFERROR(__xludf.DUMMYFUNCTION("""COMPUTED_VALUE"""),"Good")</f>
        <v>Good</v>
      </c>
      <c r="AC256" t="str">
        <f ca="1">IFERROR(__xludf.DUMMYFUNCTION("""COMPUTED_VALUE"""),"Good")</f>
        <v>Good</v>
      </c>
      <c r="AE256" s="11"/>
      <c r="AF256" t="str">
        <v>Nikki.Dix@floridadep.gov</v>
      </c>
      <c r="AG256" s="17" t="s">
        <v>41</v>
      </c>
      <c r="AH256" s="12">
        <v>1650</v>
      </c>
      <c r="AI256" s="12" t="s">
        <v>713</v>
      </c>
      <c r="AJ256" s="19" t="s">
        <v>714</v>
      </c>
      <c r="AK256" s="20" t="str">
        <f>HYPERLINK("https://docs.google.com/document/d/1Wg9Zp0UHwlUm4go4IGLILI0V5u0WvC2wzcoeNBDzINg/edit?usp=drivesdk","Pamela Marcum - 2/22/2019 1:00 PM")</f>
        <v>Pamela Marcum - 2/22/2019 1:00 PM</v>
      </c>
      <c r="AL256" s="12" t="s">
        <v>715</v>
      </c>
    </row>
    <row r="257" spans="1:38" ht="12.75">
      <c r="A257" s="10">
        <f ca="1">IFERROR(__xludf.DUMMYFUNCTION("""COMPUTED_VALUE"""),43523.3009717245)</f>
        <v>43523.3009717245</v>
      </c>
      <c r="B257" s="11" t="str">
        <f ca="1">IFERROR(__xludf.DUMMYFUNCTION("""COMPUTED_VALUE"""),"Pamela Marcum")</f>
        <v>Pamela Marcum</v>
      </c>
      <c r="C257" t="str">
        <f ca="1">IFERROR(__xludf.DUMMYFUNCTION("""COMPUTED_VALUE"""),"Pamela.Marcum@dep.state.fl.us")</f>
        <v>Pamela.Marcum@dep.state.fl.us</v>
      </c>
      <c r="D257" t="str">
        <f ca="1">IFERROR(__xludf.DUMMYFUNCTION("""COMPUTED_VALUE"""),"Research/Nikki")</f>
        <v>Research/Nikki</v>
      </c>
      <c r="E257" t="str">
        <f ca="1">IFERROR(__xludf.DUMMYFUNCTION("""COMPUTED_VALUE"""),"Usina/Aunt Kate's")</f>
        <v>Usina/Aunt Kate's</v>
      </c>
      <c r="F257" s="13">
        <f ca="1">IFERROR(__xludf.DUMMYFUNCTION("""COMPUTED_VALUE"""),0.354166666667879)</f>
        <v>0.35416666666787899</v>
      </c>
      <c r="G257" s="14">
        <f ca="1">IFERROR(__xludf.DUMMYFUNCTION("""COMPUTED_VALUE"""),43523)</f>
        <v>43523</v>
      </c>
      <c r="H257" t="str">
        <f ca="1">IFERROR(__xludf.DUMMYFUNCTION("""COMPUTED_VALUE"""),"Tolomato River - Across from Wright's Landing")</f>
        <v>Tolomato River - Across from Wright's Landing</v>
      </c>
      <c r="I257" s="15">
        <f ca="1">IFERROR(__xludf.DUMMYFUNCTION("""COMPUTED_VALUE"""),0.479166666667879)</f>
        <v>0.47916666666787899</v>
      </c>
      <c r="J257" s="16">
        <f ca="1">IFERROR(__xludf.DUMMYFUNCTION("""COMPUTED_VALUE"""),43523.5)</f>
        <v>43523.5</v>
      </c>
      <c r="K257" t="str">
        <f ca="1">IFERROR(__xludf.DUMMYFUNCTION("""COMPUTED_VALUE"""),"20ft Sea Ark FL5351SJ UNF 2015")</f>
        <v>20ft Sea Ark FL5351SJ UNF 2015</v>
      </c>
      <c r="M257" t="str">
        <f ca="1">IFERROR(__xludf.DUMMYFUNCTION("""COMPUTED_VALUE"""),"Ford F150 2015 (White) - DEP21448")</f>
        <v>Ford F150 2015 (White) - DEP21448</v>
      </c>
      <c r="N257" t="str">
        <f ca="1">IFERROR(__xludf.DUMMYFUNCTION("""COMPUTED_VALUE"""),"Pam Marcum, (480) 332-5414")</f>
        <v>Pam Marcum, (480) 332-5414</v>
      </c>
      <c r="O257" t="str">
        <f ca="1">IFERROR(__xludf.DUMMYFUNCTION("""COMPUTED_VALUE"""),"Jeff Finnan, Jim Cedarburg")</f>
        <v>Jeff Finnan, Jim Cedarburg</v>
      </c>
      <c r="P257" t="str">
        <f ca="1">IFERROR(__xludf.DUMMYFUNCTION("""COMPUTED_VALUE"""),"Pam")</f>
        <v>Pam</v>
      </c>
      <c r="Q257" t="str">
        <f ca="1">IFERROR(__xludf.DUMMYFUNCTION("""COMPUTED_VALUE"""),"Good")</f>
        <v>Good</v>
      </c>
      <c r="R257" t="str">
        <f ca="1">IFERROR(__xludf.DUMMYFUNCTION("""COMPUTED_VALUE"""),"Good")</f>
        <v>Good</v>
      </c>
      <c r="S257" t="str">
        <f ca="1">IFERROR(__xludf.DUMMYFUNCTION("""COMPUTED_VALUE"""),"Good")</f>
        <v>Good</v>
      </c>
      <c r="T257" t="str">
        <f ca="1">IFERROR(__xludf.DUMMYFUNCTION("""COMPUTED_VALUE"""),"Good")</f>
        <v>Good</v>
      </c>
      <c r="U257" t="str">
        <f ca="1">IFERROR(__xludf.DUMMYFUNCTION("""COMPUTED_VALUE"""),"Good")</f>
        <v>Good</v>
      </c>
      <c r="V257" t="str">
        <f ca="1">IFERROR(__xludf.DUMMYFUNCTION("""COMPUTED_VALUE"""),"Good")</f>
        <v>Good</v>
      </c>
      <c r="W257" t="str">
        <f ca="1">IFERROR(__xludf.DUMMYFUNCTION("""COMPUTED_VALUE"""),"Good")</f>
        <v>Good</v>
      </c>
      <c r="X257" t="str">
        <f ca="1">IFERROR(__xludf.DUMMYFUNCTION("""COMPUTED_VALUE"""),"Good")</f>
        <v>Good</v>
      </c>
      <c r="Y257" t="str">
        <f ca="1">IFERROR(__xludf.DUMMYFUNCTION("""COMPUTED_VALUE"""),"Good")</f>
        <v>Good</v>
      </c>
      <c r="Z257" t="str">
        <f ca="1">IFERROR(__xludf.DUMMYFUNCTION("""COMPUTED_VALUE"""),"Good")</f>
        <v>Good</v>
      </c>
      <c r="AA257" t="str">
        <f ca="1">IFERROR(__xludf.DUMMYFUNCTION("""COMPUTED_VALUE"""),"Good")</f>
        <v>Good</v>
      </c>
      <c r="AB257" t="str">
        <f ca="1">IFERROR(__xludf.DUMMYFUNCTION("""COMPUTED_VALUE"""),"Good")</f>
        <v>Good</v>
      </c>
      <c r="AC257" t="str">
        <f ca="1">IFERROR(__xludf.DUMMYFUNCTION("""COMPUTED_VALUE"""),"Good")</f>
        <v>Good</v>
      </c>
      <c r="AE257" s="11"/>
      <c r="AF257" t="str">
        <v>Nikki.Dix@floridadep.gov</v>
      </c>
      <c r="AG257" s="17" t="s">
        <v>41</v>
      </c>
      <c r="AH257" s="12">
        <v>1125</v>
      </c>
      <c r="AI257" s="12" t="s">
        <v>716</v>
      </c>
      <c r="AJ257" s="19" t="s">
        <v>717</v>
      </c>
      <c r="AK257" s="20" t="str">
        <f>HYPERLINK("https://docs.google.com/document/d/1sDmDyYMJ_Z6YauBF7BJ7lbIu9r7ZI3aH4vnfTBeQ-Is/edit?usp=drivesdk","Pamela Marcum - 2/27/2019 8:30 AM")</f>
        <v>Pamela Marcum - 2/27/2019 8:30 AM</v>
      </c>
      <c r="AL257" s="12" t="s">
        <v>718</v>
      </c>
    </row>
    <row r="258" spans="1:38" ht="12.75">
      <c r="A258" s="10">
        <f ca="1">IFERROR(__xludf.DUMMYFUNCTION("""COMPUTED_VALUE"""),43523.665582118)</f>
        <v>43523.665582118003</v>
      </c>
      <c r="B258" s="11" t="str">
        <f ca="1">IFERROR(__xludf.DUMMYFUNCTION("""COMPUTED_VALUE"""),"James Tomazinis")</f>
        <v>James Tomazinis</v>
      </c>
      <c r="C258" t="str">
        <f ca="1">IFERROR(__xludf.DUMMYFUNCTION("""COMPUTED_VALUE"""),"james.tomazinis@floridadep.gov")</f>
        <v>james.tomazinis@floridadep.gov</v>
      </c>
      <c r="D258" t="str">
        <f ca="1">IFERROR(__xludf.DUMMYFUNCTION("""COMPUTED_VALUE"""),"Stewardship (Aquatic)")</f>
        <v>Stewardship (Aquatic)</v>
      </c>
      <c r="E258" t="str">
        <f ca="1">IFERROR(__xludf.DUMMYFUNCTION("""COMPUTED_VALUE"""),"Vilano")</f>
        <v>Vilano</v>
      </c>
      <c r="F258" s="13">
        <f ca="1">IFERROR(__xludf.DUMMYFUNCTION("""COMPUTED_VALUE"""),0.354166666667879)</f>
        <v>0.35416666666787899</v>
      </c>
      <c r="G258" s="14">
        <f ca="1">IFERROR(__xludf.DUMMYFUNCTION("""COMPUTED_VALUE"""),43524)</f>
        <v>43524</v>
      </c>
      <c r="H258" t="str">
        <f ca="1">IFERROR(__xludf.DUMMYFUNCTION("""COMPUTED_VALUE"""),"Matanzas River Nekton sites")</f>
        <v>Matanzas River Nekton sites</v>
      </c>
      <c r="I258" s="15">
        <f ca="1">IFERROR(__xludf.DUMMYFUNCTION("""COMPUTED_VALUE"""),0.5625)</f>
        <v>0.5625</v>
      </c>
      <c r="J258" s="16"/>
      <c r="K258" t="str">
        <f ca="1">IFERROR(__xludf.DUMMYFUNCTION("""COMPUTED_VALUE"""),"23ft Skiff (Bertha) FL7972LJ DEP07613")</f>
        <v>23ft Skiff (Bertha) FL7972LJ DEP07613</v>
      </c>
      <c r="M258" t="str">
        <f ca="1">IFERROR(__xludf.DUMMYFUNCTION("""COMPUTED_VALUE"""),"Ford F250 2017 (Moby Dix) - DEP0021578")</f>
        <v>Ford F250 2017 (Moby Dix) - DEP0021578</v>
      </c>
      <c r="N258" t="str">
        <f ca="1">IFERROR(__xludf.DUMMYFUNCTION("""COMPUTED_VALUE"""),"Jimmy Tomazinis, (904) 547-0094")</f>
        <v>Jimmy Tomazinis, (904) 547-0094</v>
      </c>
      <c r="O258" t="str">
        <f ca="1">IFERROR(__xludf.DUMMYFUNCTION("""COMPUTED_VALUE"""),"Jeff Finnan, Rueben Allen, Ed McGinley, students")</f>
        <v>Jeff Finnan, Rueben Allen, Ed McGinley, students</v>
      </c>
      <c r="P258" t="str">
        <f ca="1">IFERROR(__xludf.DUMMYFUNCTION("""COMPUTED_VALUE"""),"Jimmy")</f>
        <v>Jimmy</v>
      </c>
      <c r="Q258" t="str">
        <f ca="1">IFERROR(__xludf.DUMMYFUNCTION("""COMPUTED_VALUE"""),"Good")</f>
        <v>Good</v>
      </c>
      <c r="R258" t="str">
        <f ca="1">IFERROR(__xludf.DUMMYFUNCTION("""COMPUTED_VALUE"""),"Good")</f>
        <v>Good</v>
      </c>
      <c r="S258" t="str">
        <f ca="1">IFERROR(__xludf.DUMMYFUNCTION("""COMPUTED_VALUE"""),"Good")</f>
        <v>Good</v>
      </c>
      <c r="T258" t="str">
        <f ca="1">IFERROR(__xludf.DUMMYFUNCTION("""COMPUTED_VALUE"""),"Good")</f>
        <v>Good</v>
      </c>
      <c r="U258" t="str">
        <f ca="1">IFERROR(__xludf.DUMMYFUNCTION("""COMPUTED_VALUE"""),"Good")</f>
        <v>Good</v>
      </c>
      <c r="V258" t="str">
        <f ca="1">IFERROR(__xludf.DUMMYFUNCTION("""COMPUTED_VALUE"""),"Good")</f>
        <v>Good</v>
      </c>
      <c r="W258" t="str">
        <f ca="1">IFERROR(__xludf.DUMMYFUNCTION("""COMPUTED_VALUE"""),"Good")</f>
        <v>Good</v>
      </c>
      <c r="X258" t="str">
        <f ca="1">IFERROR(__xludf.DUMMYFUNCTION("""COMPUTED_VALUE"""),"Good")</f>
        <v>Good</v>
      </c>
      <c r="Y258" t="str">
        <f ca="1">IFERROR(__xludf.DUMMYFUNCTION("""COMPUTED_VALUE"""),"Good")</f>
        <v>Good</v>
      </c>
      <c r="Z258" t="str">
        <f ca="1">IFERROR(__xludf.DUMMYFUNCTION("""COMPUTED_VALUE"""),"Good")</f>
        <v>Good</v>
      </c>
      <c r="AA258" t="str">
        <f ca="1">IFERROR(__xludf.DUMMYFUNCTION("""COMPUTED_VALUE"""),"Good")</f>
        <v>Good</v>
      </c>
      <c r="AB258" t="str">
        <f ca="1">IFERROR(__xludf.DUMMYFUNCTION("""COMPUTED_VALUE"""),"Good")</f>
        <v>Good</v>
      </c>
      <c r="AC258" t="str">
        <f ca="1">IFERROR(__xludf.DUMMYFUNCTION("""COMPUTED_VALUE"""),"Good")</f>
        <v>Good</v>
      </c>
      <c r="AE258" s="11"/>
      <c r="AF258" t="str">
        <v>Scott.Eastman@floridadep.gov</v>
      </c>
      <c r="AG258" s="17" t="s">
        <v>17</v>
      </c>
      <c r="AH258" s="12">
        <v>1320</v>
      </c>
      <c r="AI258" s="12" t="s">
        <v>719</v>
      </c>
      <c r="AJ258" s="19" t="s">
        <v>720</v>
      </c>
      <c r="AK258" s="20" t="str">
        <f>HYPERLINK("https://docs.google.com/document/d/1MF4XTFcMuFaeeAGZvcZGTrRDTufu4yqULGm4wOzvNHk/edit?usp=drivesdk","James Tomazinis - 2/28/2019 8:30 AM")</f>
        <v>James Tomazinis - 2/28/2019 8:30 AM</v>
      </c>
      <c r="AL258" s="12" t="s">
        <v>721</v>
      </c>
    </row>
    <row r="259" spans="1:38" ht="12.75">
      <c r="A259" s="10">
        <f ca="1">IFERROR(__xludf.DUMMYFUNCTION("""COMPUTED_VALUE"""),43524.3611302314)</f>
        <v>43524.361130231402</v>
      </c>
      <c r="B259" s="11" t="str">
        <f ca="1">IFERROR(__xludf.DUMMYFUNCTION("""COMPUTED_VALUE"""),"Pamela Marcum")</f>
        <v>Pamela Marcum</v>
      </c>
      <c r="C259" t="str">
        <f ca="1">IFERROR(__xludf.DUMMYFUNCTION("""COMPUTED_VALUE"""),"Pamela.Marcum@floridadep.gov")</f>
        <v>Pamela.Marcum@floridadep.gov</v>
      </c>
      <c r="D259" t="str">
        <f ca="1">IFERROR(__xludf.DUMMYFUNCTION("""COMPUTED_VALUE"""),"Research/Nikki")</f>
        <v>Research/Nikki</v>
      </c>
      <c r="E259" t="str">
        <f ca="1">IFERROR(__xludf.DUMMYFUNCTION("""COMPUTED_VALUE"""),"Lighthouse 9:15, Green Rd 11a, Whitney Lab, 12:30p")</f>
        <v>Lighthouse 9:15, Green Rd 11a, Whitney Lab, 12:30p</v>
      </c>
      <c r="F259" s="13">
        <f ca="1">IFERROR(__xludf.DUMMYFUNCTION("""COMPUTED_VALUE"""),0.375)</f>
        <v>0.375</v>
      </c>
      <c r="G259" s="14">
        <f ca="1">IFERROR(__xludf.DUMMYFUNCTION("""COMPUTED_VALUE"""),43524)</f>
        <v>43524</v>
      </c>
      <c r="H259" t="str">
        <f ca="1">IFERROR(__xludf.DUMMYFUNCTION("""COMPUTED_VALUE"""),"Salt Run, Devil's Elbow, Pellicer Flats")</f>
        <v>Salt Run, Devil's Elbow, Pellicer Flats</v>
      </c>
      <c r="I259" s="15">
        <f ca="1">IFERROR(__xludf.DUMMYFUNCTION("""COMPUTED_VALUE"""),0.5625)</f>
        <v>0.5625</v>
      </c>
      <c r="J259" s="16">
        <f ca="1">IFERROR(__xludf.DUMMYFUNCTION("""COMPUTED_VALUE"""),43524.6041666666)</f>
        <v>43524.604166666599</v>
      </c>
      <c r="K259" t="str">
        <f ca="1">IFERROR(__xludf.DUMMYFUNCTION("""COMPUTED_VALUE"""),"20ft Sea Ark FL5351SJ UNF 2015")</f>
        <v>20ft Sea Ark FL5351SJ UNF 2015</v>
      </c>
      <c r="M259" t="str">
        <f ca="1">IFERROR(__xludf.DUMMYFUNCTION("""COMPUTED_VALUE"""),"Ford F150 2015 (White) - DEP21448")</f>
        <v>Ford F150 2015 (White) - DEP21448</v>
      </c>
      <c r="N259" t="str">
        <f ca="1">IFERROR(__xludf.DUMMYFUNCTION("""COMPUTED_VALUE"""),"Pam Marcum, (480) 332-5414")</f>
        <v>Pam Marcum, (480) 332-5414</v>
      </c>
      <c r="O259" t="str">
        <f ca="1">IFERROR(__xludf.DUMMYFUNCTION("""COMPUTED_VALUE"""),"Kala Neighbor")</f>
        <v>Kala Neighbor</v>
      </c>
      <c r="P259" t="str">
        <f ca="1">IFERROR(__xludf.DUMMYFUNCTION("""COMPUTED_VALUE"""),"Pam")</f>
        <v>Pam</v>
      </c>
      <c r="Q259" t="str">
        <f ca="1">IFERROR(__xludf.DUMMYFUNCTION("""COMPUTED_VALUE"""),"Good")</f>
        <v>Good</v>
      </c>
      <c r="R259" t="str">
        <f ca="1">IFERROR(__xludf.DUMMYFUNCTION("""COMPUTED_VALUE"""),"Good")</f>
        <v>Good</v>
      </c>
      <c r="S259" t="str">
        <f ca="1">IFERROR(__xludf.DUMMYFUNCTION("""COMPUTED_VALUE"""),"Good")</f>
        <v>Good</v>
      </c>
      <c r="T259" t="str">
        <f ca="1">IFERROR(__xludf.DUMMYFUNCTION("""COMPUTED_VALUE"""),"Good")</f>
        <v>Good</v>
      </c>
      <c r="U259" t="str">
        <f ca="1">IFERROR(__xludf.DUMMYFUNCTION("""COMPUTED_VALUE"""),"Good")</f>
        <v>Good</v>
      </c>
      <c r="V259" t="str">
        <f ca="1">IFERROR(__xludf.DUMMYFUNCTION("""COMPUTED_VALUE"""),"Good")</f>
        <v>Good</v>
      </c>
      <c r="W259" t="str">
        <f ca="1">IFERROR(__xludf.DUMMYFUNCTION("""COMPUTED_VALUE"""),"Good")</f>
        <v>Good</v>
      </c>
      <c r="X259" t="str">
        <f ca="1">IFERROR(__xludf.DUMMYFUNCTION("""COMPUTED_VALUE"""),"Good")</f>
        <v>Good</v>
      </c>
      <c r="Y259" t="str">
        <f ca="1">IFERROR(__xludf.DUMMYFUNCTION("""COMPUTED_VALUE"""),"Good")</f>
        <v>Good</v>
      </c>
      <c r="Z259" t="str">
        <f ca="1">IFERROR(__xludf.DUMMYFUNCTION("""COMPUTED_VALUE"""),"Good")</f>
        <v>Good</v>
      </c>
      <c r="AA259" t="str">
        <f ca="1">IFERROR(__xludf.DUMMYFUNCTION("""COMPUTED_VALUE"""),"Good")</f>
        <v>Good</v>
      </c>
      <c r="AB259" t="str">
        <f ca="1">IFERROR(__xludf.DUMMYFUNCTION("""COMPUTED_VALUE"""),"Good")</f>
        <v>Good</v>
      </c>
      <c r="AC259" t="str">
        <f ca="1">IFERROR(__xludf.DUMMYFUNCTION("""COMPUTED_VALUE"""),"Good")</f>
        <v>Good</v>
      </c>
      <c r="AE259" s="11"/>
      <c r="AF259" t="str">
        <v>Nikki.Dix@floridadep.gov</v>
      </c>
      <c r="AG259" s="17" t="s">
        <v>17</v>
      </c>
      <c r="AH259" s="12">
        <v>1315</v>
      </c>
      <c r="AI259" s="12" t="s">
        <v>722</v>
      </c>
      <c r="AJ259" s="19" t="s">
        <v>723</v>
      </c>
      <c r="AK259" s="20" t="str">
        <f>HYPERLINK("https://docs.google.com/document/d/1SSjQWnl-mwCpqOXHeWdGBalJD7IGHDPVfgJa0kDIzdE/edit?usp=drivesdk","Pamela Marcum - 2/28/2019 9:00 AM")</f>
        <v>Pamela Marcum - 2/28/2019 9:00 AM</v>
      </c>
      <c r="AL259" s="12" t="s">
        <v>724</v>
      </c>
    </row>
    <row r="260" spans="1:38" ht="12.75">
      <c r="A260" s="10">
        <f ca="1">IFERROR(__xludf.DUMMYFUNCTION("""COMPUTED_VALUE"""),43525.3521901157)</f>
        <v>43525.3521901157</v>
      </c>
      <c r="B260" s="11" t="str">
        <f ca="1">IFERROR(__xludf.DUMMYFUNCTION("""COMPUTED_VALUE"""),"Pamela Marcum")</f>
        <v>Pamela Marcum</v>
      </c>
      <c r="C260" t="str">
        <f ca="1">IFERROR(__xludf.DUMMYFUNCTION("""COMPUTED_VALUE"""),"Pamela.Marcum@floridadep.gov")</f>
        <v>Pamela.Marcum@floridadep.gov</v>
      </c>
      <c r="D260" t="str">
        <f ca="1">IFERROR(__xludf.DUMMYFUNCTION("""COMPUTED_VALUE"""),"Research/Nikki")</f>
        <v>Research/Nikki</v>
      </c>
      <c r="E260" t="str">
        <f ca="1">IFERROR(__xludf.DUMMYFUNCTION("""COMPUTED_VALUE"""),"Aunt Kate's")</f>
        <v>Aunt Kate's</v>
      </c>
      <c r="F260" s="13">
        <f ca="1">IFERROR(__xludf.DUMMYFUNCTION("""COMPUTED_VALUE"""),0.39583333333212)</f>
        <v>0.39583333333212001</v>
      </c>
      <c r="G260" s="14">
        <f ca="1">IFERROR(__xludf.DUMMYFUNCTION("""COMPUTED_VALUE"""),43525)</f>
        <v>43525</v>
      </c>
      <c r="H260" t="str">
        <f ca="1">IFERROR(__xludf.DUMMYFUNCTION("""COMPUTED_VALUE"""),"St Aug, GR, TR spat trees")</f>
        <v>St Aug, GR, TR spat trees</v>
      </c>
      <c r="I260" s="15">
        <f ca="1">IFERROR(__xludf.DUMMYFUNCTION("""COMPUTED_VALUE"""),0.666666666667879)</f>
        <v>0.66666666666787899</v>
      </c>
      <c r="J260" s="16">
        <f ca="1">IFERROR(__xludf.DUMMYFUNCTION("""COMPUTED_VALUE"""),43525.6875)</f>
        <v>43525.6875</v>
      </c>
      <c r="K260" t="str">
        <f ca="1">IFERROR(__xludf.DUMMYFUNCTION("""COMPUTED_VALUE"""),"20ft Sea Ark FL5351SJ UNF 2015")</f>
        <v>20ft Sea Ark FL5351SJ UNF 2015</v>
      </c>
      <c r="M260" t="str">
        <f ca="1">IFERROR(__xludf.DUMMYFUNCTION("""COMPUTED_VALUE"""),"Ford F150 2015 (White) - DEP21448")</f>
        <v>Ford F150 2015 (White) - DEP21448</v>
      </c>
      <c r="N260" t="str">
        <f ca="1">IFERROR(__xludf.DUMMYFUNCTION("""COMPUTED_VALUE"""),"Pam Marcum, (480) 332-5414")</f>
        <v>Pam Marcum, (480) 332-5414</v>
      </c>
      <c r="O260" t="str">
        <f ca="1">IFERROR(__xludf.DUMMYFUNCTION("""COMPUTED_VALUE"""),"Nicole Peckham, Adrienne Breef-Pilz")</f>
        <v>Nicole Peckham, Adrienne Breef-Pilz</v>
      </c>
      <c r="P260" t="str">
        <f ca="1">IFERROR(__xludf.DUMMYFUNCTION("""COMPUTED_VALUE"""),"Pam")</f>
        <v>Pam</v>
      </c>
      <c r="Q260" t="str">
        <f ca="1">IFERROR(__xludf.DUMMYFUNCTION("""COMPUTED_VALUE"""),"Good")</f>
        <v>Good</v>
      </c>
      <c r="R260" t="str">
        <f ca="1">IFERROR(__xludf.DUMMYFUNCTION("""COMPUTED_VALUE"""),"Good")</f>
        <v>Good</v>
      </c>
      <c r="S260" t="str">
        <f ca="1">IFERROR(__xludf.DUMMYFUNCTION("""COMPUTED_VALUE"""),"Good")</f>
        <v>Good</v>
      </c>
      <c r="T260" t="str">
        <f ca="1">IFERROR(__xludf.DUMMYFUNCTION("""COMPUTED_VALUE"""),"Good")</f>
        <v>Good</v>
      </c>
      <c r="U260" t="str">
        <f ca="1">IFERROR(__xludf.DUMMYFUNCTION("""COMPUTED_VALUE"""),"Good")</f>
        <v>Good</v>
      </c>
      <c r="V260" t="str">
        <f ca="1">IFERROR(__xludf.DUMMYFUNCTION("""COMPUTED_VALUE"""),"Good")</f>
        <v>Good</v>
      </c>
      <c r="W260" t="str">
        <f ca="1">IFERROR(__xludf.DUMMYFUNCTION("""COMPUTED_VALUE"""),"Good")</f>
        <v>Good</v>
      </c>
      <c r="X260" t="str">
        <f ca="1">IFERROR(__xludf.DUMMYFUNCTION("""COMPUTED_VALUE"""),"Good")</f>
        <v>Good</v>
      </c>
      <c r="Y260" t="str">
        <f ca="1">IFERROR(__xludf.DUMMYFUNCTION("""COMPUTED_VALUE"""),"Good")</f>
        <v>Good</v>
      </c>
      <c r="Z260" t="str">
        <f ca="1">IFERROR(__xludf.DUMMYFUNCTION("""COMPUTED_VALUE"""),"Good")</f>
        <v>Good</v>
      </c>
      <c r="AA260" t="str">
        <f ca="1">IFERROR(__xludf.DUMMYFUNCTION("""COMPUTED_VALUE"""),"Good")</f>
        <v>Good</v>
      </c>
      <c r="AB260" t="str">
        <f ca="1">IFERROR(__xludf.DUMMYFUNCTION("""COMPUTED_VALUE"""),"Good")</f>
        <v>Good</v>
      </c>
      <c r="AC260" t="str">
        <f ca="1">IFERROR(__xludf.DUMMYFUNCTION("""COMPUTED_VALUE"""),"Good")</f>
        <v>Good</v>
      </c>
      <c r="AE260" s="11"/>
      <c r="AF260" t="str">
        <v>Nikki.Dix@floridadep.gov</v>
      </c>
      <c r="AG260" s="17" t="s">
        <v>126</v>
      </c>
      <c r="AH260" s="12">
        <v>1400</v>
      </c>
      <c r="AI260" s="12" t="s">
        <v>725</v>
      </c>
      <c r="AJ260" s="19" t="s">
        <v>726</v>
      </c>
      <c r="AK260" s="20" t="str">
        <f>HYPERLINK("https://docs.google.com/document/d/13swHtX7gKJbnmI4FTAIM1Ytz2fAZaljKFxQgPpMXl7w/edit?usp=drivesdk","Pamela Marcum - 3/1/2019 9:30 AM")</f>
        <v>Pamela Marcum - 3/1/2019 9:30 AM</v>
      </c>
      <c r="AL260" s="12" t="s">
        <v>727</v>
      </c>
    </row>
    <row r="261" spans="1:38" ht="12.75">
      <c r="A261" s="10">
        <f ca="1">IFERROR(__xludf.DUMMYFUNCTION("""COMPUTED_VALUE"""),43525.6014320833)</f>
        <v>43525.601432083298</v>
      </c>
      <c r="B261" s="11" t="str">
        <f ca="1">IFERROR(__xludf.DUMMYFUNCTION("""COMPUTED_VALUE"""),"Pam Marcum")</f>
        <v>Pam Marcum</v>
      </c>
      <c r="C261" t="str">
        <f ca="1">IFERROR(__xludf.DUMMYFUNCTION("""COMPUTED_VALUE"""),"Pamela.Marcum@floridadep.gov")</f>
        <v>Pamela.Marcum@floridadep.gov</v>
      </c>
      <c r="D261" t="str">
        <f ca="1">IFERROR(__xludf.DUMMYFUNCTION("""COMPUTED_VALUE"""),"Research/Nikki")</f>
        <v>Research/Nikki</v>
      </c>
      <c r="E261" t="str">
        <f ca="1">IFERROR(__xludf.DUMMYFUNCTION("""COMPUTED_VALUE"""),"Shore Dr")</f>
        <v>Shore Dr</v>
      </c>
      <c r="F261" s="13">
        <f ca="1">IFERROR(__xludf.DUMMYFUNCTION("""COMPUTED_VALUE"""),0.64583333333212)</f>
        <v>0.64583333333212001</v>
      </c>
      <c r="G261" s="14">
        <f ca="1">IFERROR(__xludf.DUMMYFUNCTION("""COMPUTED_VALUE"""),43525)</f>
        <v>43525</v>
      </c>
      <c r="H261" t="str">
        <f ca="1">IFERROR(__xludf.DUMMYFUNCTION("""COMPUTED_VALUE"""),"San Sebastian/Matanzas River SA Spat trees")</f>
        <v>San Sebastian/Matanzas River SA Spat trees</v>
      </c>
      <c r="I261" s="15">
        <f ca="1">IFERROR(__xludf.DUMMYFUNCTION("""COMPUTED_VALUE"""),0.70833333333212)</f>
        <v>0.70833333333212001</v>
      </c>
      <c r="J261" s="16">
        <f ca="1">IFERROR(__xludf.DUMMYFUNCTION("""COMPUTED_VALUE"""),43525.7291666666)</f>
        <v>43525.729166666599</v>
      </c>
      <c r="K261" t="str">
        <f ca="1">IFERROR(__xludf.DUMMYFUNCTION("""COMPUTED_VALUE"""),"20ft Sea Ark FL5351SJ UNF 2015")</f>
        <v>20ft Sea Ark FL5351SJ UNF 2015</v>
      </c>
      <c r="M261" t="str">
        <f ca="1">IFERROR(__xludf.DUMMYFUNCTION("""COMPUTED_VALUE"""),"Ford F150 2015 (White) - DEP21448")</f>
        <v>Ford F150 2015 (White) - DEP21448</v>
      </c>
      <c r="N261" t="str">
        <f ca="1">IFERROR(__xludf.DUMMYFUNCTION("""COMPUTED_VALUE"""),"Pam Marcum, (480) 332-5414")</f>
        <v>Pam Marcum, (480) 332-5414</v>
      </c>
      <c r="O261" t="str">
        <f ca="1">IFERROR(__xludf.DUMMYFUNCTION("""COMPUTED_VALUE"""),"Joseph Turvey")</f>
        <v>Joseph Turvey</v>
      </c>
      <c r="P261" t="str">
        <f ca="1">IFERROR(__xludf.DUMMYFUNCTION("""COMPUTED_VALUE"""),"Pam")</f>
        <v>Pam</v>
      </c>
      <c r="Q261" t="str">
        <f ca="1">IFERROR(__xludf.DUMMYFUNCTION("""COMPUTED_VALUE"""),"Good")</f>
        <v>Good</v>
      </c>
      <c r="R261" t="str">
        <f ca="1">IFERROR(__xludf.DUMMYFUNCTION("""COMPUTED_VALUE"""),"Good")</f>
        <v>Good</v>
      </c>
      <c r="S261" t="str">
        <f ca="1">IFERROR(__xludf.DUMMYFUNCTION("""COMPUTED_VALUE"""),"Good")</f>
        <v>Good</v>
      </c>
      <c r="T261" t="str">
        <f ca="1">IFERROR(__xludf.DUMMYFUNCTION("""COMPUTED_VALUE"""),"Good")</f>
        <v>Good</v>
      </c>
      <c r="U261" t="str">
        <f ca="1">IFERROR(__xludf.DUMMYFUNCTION("""COMPUTED_VALUE"""),"Good")</f>
        <v>Good</v>
      </c>
      <c r="V261" t="str">
        <f ca="1">IFERROR(__xludf.DUMMYFUNCTION("""COMPUTED_VALUE"""),"Good")</f>
        <v>Good</v>
      </c>
      <c r="W261" t="str">
        <f ca="1">IFERROR(__xludf.DUMMYFUNCTION("""COMPUTED_VALUE"""),"Good")</f>
        <v>Good</v>
      </c>
      <c r="X261" t="str">
        <f ca="1">IFERROR(__xludf.DUMMYFUNCTION("""COMPUTED_VALUE"""),"Good")</f>
        <v>Good</v>
      </c>
      <c r="Y261" t="str">
        <f ca="1">IFERROR(__xludf.DUMMYFUNCTION("""COMPUTED_VALUE"""),"Good")</f>
        <v>Good</v>
      </c>
      <c r="Z261" t="str">
        <f ca="1">IFERROR(__xludf.DUMMYFUNCTION("""COMPUTED_VALUE"""),"Good")</f>
        <v>Good</v>
      </c>
      <c r="AA261" t="str">
        <f ca="1">IFERROR(__xludf.DUMMYFUNCTION("""COMPUTED_VALUE"""),"Good")</f>
        <v>Good</v>
      </c>
      <c r="AB261" t="str">
        <f ca="1">IFERROR(__xludf.DUMMYFUNCTION("""COMPUTED_VALUE"""),"Good")</f>
        <v>Good</v>
      </c>
      <c r="AC261" t="str">
        <f ca="1">IFERROR(__xludf.DUMMYFUNCTION("""COMPUTED_VALUE"""),"Good")</f>
        <v>Good</v>
      </c>
      <c r="AE261" s="11"/>
      <c r="AF261" t="str">
        <v>Nikki.Dix@floridadep.gov</v>
      </c>
      <c r="AG261" s="17" t="s">
        <v>41</v>
      </c>
      <c r="AH261" s="12">
        <v>1600</v>
      </c>
      <c r="AI261" s="12" t="s">
        <v>728</v>
      </c>
      <c r="AJ261" s="19" t="s">
        <v>729</v>
      </c>
      <c r="AK261" s="20" t="str">
        <f>HYPERLINK("https://docs.google.com/document/d/1iJsN9moJpH-rG7n8WmHd_EvVphFOsQgH3l5bndDInzo/edit?usp=drivesdk","Pam Marcum - 3/1/2019 3:30 PM")</f>
        <v>Pam Marcum - 3/1/2019 3:30 PM</v>
      </c>
      <c r="AL261" s="12" t="s">
        <v>730</v>
      </c>
    </row>
    <row r="262" spans="1:38" ht="12.75">
      <c r="A262" s="10">
        <f ca="1">IFERROR(__xludf.DUMMYFUNCTION("""COMPUTED_VALUE"""),43528.3234341087)</f>
        <v>43528.323434108701</v>
      </c>
      <c r="B262" s="11" t="str">
        <f ca="1">IFERROR(__xludf.DUMMYFUNCTION("""COMPUTED_VALUE"""),"Jimmy")</f>
        <v>Jimmy</v>
      </c>
      <c r="C262" t="str">
        <f ca="1">IFERROR(__xludf.DUMMYFUNCTION("""COMPUTED_VALUE"""),"james.tomazinis@dep.state.fl.us")</f>
        <v>james.tomazinis@dep.state.fl.us</v>
      </c>
      <c r="D262" t="str">
        <f ca="1">IFERROR(__xludf.DUMMYFUNCTION("""COMPUTED_VALUE"""),"Stewardship (Aquatic)")</f>
        <v>Stewardship (Aquatic)</v>
      </c>
      <c r="E262" t="str">
        <f ca="1">IFERROR(__xludf.DUMMYFUNCTION("""COMPUTED_VALUE"""),"Guana Dam")</f>
        <v>Guana Dam</v>
      </c>
      <c r="F262" s="13">
        <f ca="1">IFERROR(__xludf.DUMMYFUNCTION("""COMPUTED_VALUE"""),0.34375)</f>
        <v>0.34375</v>
      </c>
      <c r="G262" s="14">
        <f ca="1">IFERROR(__xludf.DUMMYFUNCTION("""COMPUTED_VALUE"""),43528)</f>
        <v>43528</v>
      </c>
      <c r="H262" t="str">
        <f ca="1">IFERROR(__xludf.DUMMYFUNCTION("""COMPUTED_VALUE"""),"Guana River WQ sites")</f>
        <v>Guana River WQ sites</v>
      </c>
      <c r="I262" s="15">
        <f ca="1">IFERROR(__xludf.DUMMYFUNCTION("""COMPUTED_VALUE"""),0.40625)</f>
        <v>0.40625</v>
      </c>
      <c r="J262" s="16"/>
      <c r="K262" t="str">
        <f ca="1">IFERROR(__xludf.DUMMYFUNCTION("""COMPUTED_VALUE"""),"Jon Boat FL0484NP DEP06819")</f>
        <v>Jon Boat FL0484NP DEP06819</v>
      </c>
      <c r="M262" t="str">
        <f ca="1">IFERROR(__xludf.DUMMYFUNCTION("""COMPUTED_VALUE"""),"Ford F150 2015 (White) - DEP21448")</f>
        <v>Ford F150 2015 (White) - DEP21448</v>
      </c>
      <c r="N262" t="str">
        <f ca="1">IFERROR(__xludf.DUMMYFUNCTION("""COMPUTED_VALUE"""),"Jimmy Tomazinis, (904) 547-0094")</f>
        <v>Jimmy Tomazinis, (904) 547-0094</v>
      </c>
      <c r="O262" t="str">
        <f ca="1">IFERROR(__xludf.DUMMYFUNCTION("""COMPUTED_VALUE"""),"Mike Darragh")</f>
        <v>Mike Darragh</v>
      </c>
      <c r="P262" t="str">
        <f ca="1">IFERROR(__xludf.DUMMYFUNCTION("""COMPUTED_VALUE"""),"Jimmy")</f>
        <v>Jimmy</v>
      </c>
      <c r="Q262" t="str">
        <f ca="1">IFERROR(__xludf.DUMMYFUNCTION("""COMPUTED_VALUE"""),"Good")</f>
        <v>Good</v>
      </c>
      <c r="R262" t="str">
        <f ca="1">IFERROR(__xludf.DUMMYFUNCTION("""COMPUTED_VALUE"""),"Good")</f>
        <v>Good</v>
      </c>
      <c r="S262" t="str">
        <f ca="1">IFERROR(__xludf.DUMMYFUNCTION("""COMPUTED_VALUE"""),"Good")</f>
        <v>Good</v>
      </c>
      <c r="T262" t="str">
        <f ca="1">IFERROR(__xludf.DUMMYFUNCTION("""COMPUTED_VALUE"""),"Good")</f>
        <v>Good</v>
      </c>
      <c r="U262" t="str">
        <f ca="1">IFERROR(__xludf.DUMMYFUNCTION("""COMPUTED_VALUE"""),"Good")</f>
        <v>Good</v>
      </c>
      <c r="V262" t="str">
        <f ca="1">IFERROR(__xludf.DUMMYFUNCTION("""COMPUTED_VALUE"""),"Good")</f>
        <v>Good</v>
      </c>
      <c r="W262" t="str">
        <f ca="1">IFERROR(__xludf.DUMMYFUNCTION("""COMPUTED_VALUE"""),"Good")</f>
        <v>Good</v>
      </c>
      <c r="X262" t="str">
        <f ca="1">IFERROR(__xludf.DUMMYFUNCTION("""COMPUTED_VALUE"""),"Good")</f>
        <v>Good</v>
      </c>
      <c r="Y262" t="str">
        <f ca="1">IFERROR(__xludf.DUMMYFUNCTION("""COMPUTED_VALUE"""),"Good")</f>
        <v>Good</v>
      </c>
      <c r="Z262" t="str">
        <f ca="1">IFERROR(__xludf.DUMMYFUNCTION("""COMPUTED_VALUE"""),"Good")</f>
        <v>Good</v>
      </c>
      <c r="AA262" t="str">
        <f ca="1">IFERROR(__xludf.DUMMYFUNCTION("""COMPUTED_VALUE"""),"Good")</f>
        <v>Good</v>
      </c>
      <c r="AB262" t="str">
        <f ca="1">IFERROR(__xludf.DUMMYFUNCTION("""COMPUTED_VALUE"""),"Good")</f>
        <v>Good</v>
      </c>
      <c r="AC262" t="str">
        <f ca="1">IFERROR(__xludf.DUMMYFUNCTION("""COMPUTED_VALUE"""),"Good")</f>
        <v>Good</v>
      </c>
      <c r="AE262" s="11"/>
      <c r="AF262" t="str">
        <v>Scott.Eastman@floridadep.gov</v>
      </c>
      <c r="AG262" s="17" t="s">
        <v>17</v>
      </c>
      <c r="AH262" s="12">
        <v>1000</v>
      </c>
      <c r="AI262" s="12" t="s">
        <v>731</v>
      </c>
      <c r="AJ262" s="19" t="s">
        <v>732</v>
      </c>
      <c r="AK262" s="20" t="str">
        <f>HYPERLINK("https://docs.google.com/document/d/1THJY9npUUObsa_EIxEJih_JhyMtxohl0xQnwoTdyRVE/edit?usp=drivesdk","Jimmy - 3/4/2019 8:15 AM")</f>
        <v>Jimmy - 3/4/2019 8:15 AM</v>
      </c>
      <c r="AL262" s="12" t="s">
        <v>733</v>
      </c>
    </row>
    <row r="263" spans="1:38" ht="12.75">
      <c r="A263" s="10">
        <f ca="1">IFERROR(__xludf.DUMMYFUNCTION("""COMPUTED_VALUE"""),43528.6599596412)</f>
        <v>43528.659959641198</v>
      </c>
      <c r="B263" s="11" t="str">
        <f ca="1">IFERROR(__xludf.DUMMYFUNCTION("""COMPUTED_VALUE"""),"Silas Tanner")</f>
        <v>Silas Tanner</v>
      </c>
      <c r="C263" t="str">
        <f ca="1">IFERROR(__xludf.DUMMYFUNCTION("""COMPUTED_VALUE"""),"silas.tanner@floridadep.gov")</f>
        <v>silas.tanner@floridadep.gov</v>
      </c>
      <c r="D263" t="str">
        <f ca="1">IFERROR(__xludf.DUMMYFUNCTION("""COMPUTED_VALUE"""),"Research/Nikki")</f>
        <v>Research/Nikki</v>
      </c>
      <c r="E263" t="str">
        <f ca="1">IFERROR(__xludf.DUMMYFUNCTION("""COMPUTED_VALUE"""),"Vilano Landing")</f>
        <v>Vilano Landing</v>
      </c>
      <c r="F263" s="13">
        <f ca="1">IFERROR(__xludf.DUMMYFUNCTION("""COMPUTED_VALUE"""),0.322916666667879)</f>
        <v>0.32291666666787899</v>
      </c>
      <c r="G263" s="14">
        <f ca="1">IFERROR(__xludf.DUMMYFUNCTION("""COMPUTED_VALUE"""),43528)</f>
        <v>43528</v>
      </c>
      <c r="H263" t="str">
        <f ca="1">IFERROR(__xludf.DUMMYFUNCTION("""COMPUTED_VALUE"""),"ICW SWMP Sites")</f>
        <v>ICW SWMP Sites</v>
      </c>
      <c r="I263" s="15">
        <f ca="1">IFERROR(__xludf.DUMMYFUNCTION("""COMPUTED_VALUE"""),0.572916666667879)</f>
        <v>0.57291666666787899</v>
      </c>
      <c r="J263" s="16">
        <f ca="1">IFERROR(__xludf.DUMMYFUNCTION("""COMPUTED_VALUE"""),43528.5833333333)</f>
        <v>43528.583333333299</v>
      </c>
      <c r="K263" t="str">
        <f ca="1">IFERROR(__xludf.DUMMYFUNCTION("""COMPUTED_VALUE"""),"23ft Skiff (Bertha) FL7972LJ DEP07613")</f>
        <v>23ft Skiff (Bertha) FL7972LJ DEP07613</v>
      </c>
      <c r="M263" t="str">
        <f ca="1">IFERROR(__xludf.DUMMYFUNCTION("""COMPUTED_VALUE"""),"Ford F250 2017 (Moby Dix) - DEP0021578")</f>
        <v>Ford F250 2017 (Moby Dix) - DEP0021578</v>
      </c>
      <c r="N263" t="str">
        <f ca="1">IFERROR(__xludf.DUMMYFUNCTION("""COMPUTED_VALUE"""),"Silas Tanner, (904) 483-8423, Jimmy Tomazinis, (904) 547-0094")</f>
        <v>Silas Tanner, (904) 483-8423, Jimmy Tomazinis, (904) 547-0094</v>
      </c>
      <c r="O263" t="str">
        <f ca="1">IFERROR(__xludf.DUMMYFUNCTION("""COMPUTED_VALUE"""),"Casey McClure")</f>
        <v>Casey McClure</v>
      </c>
      <c r="P263" t="str">
        <f ca="1">IFERROR(__xludf.DUMMYFUNCTION("""COMPUTED_VALUE"""),"S. Tanner")</f>
        <v>S. Tanner</v>
      </c>
      <c r="Q263" t="str">
        <f ca="1">IFERROR(__xludf.DUMMYFUNCTION("""COMPUTED_VALUE"""),"Good")</f>
        <v>Good</v>
      </c>
      <c r="R263" t="str">
        <f ca="1">IFERROR(__xludf.DUMMYFUNCTION("""COMPUTED_VALUE"""),"Good")</f>
        <v>Good</v>
      </c>
      <c r="S263" t="str">
        <f ca="1">IFERROR(__xludf.DUMMYFUNCTION("""COMPUTED_VALUE"""),"Good")</f>
        <v>Good</v>
      </c>
      <c r="T263" t="str">
        <f ca="1">IFERROR(__xludf.DUMMYFUNCTION("""COMPUTED_VALUE"""),"Good")</f>
        <v>Good</v>
      </c>
      <c r="U263" t="str">
        <f ca="1">IFERROR(__xludf.DUMMYFUNCTION("""COMPUTED_VALUE"""),"Good")</f>
        <v>Good</v>
      </c>
      <c r="V263" t="str">
        <f ca="1">IFERROR(__xludf.DUMMYFUNCTION("""COMPUTED_VALUE"""),"Good")</f>
        <v>Good</v>
      </c>
      <c r="W263" t="str">
        <f ca="1">IFERROR(__xludf.DUMMYFUNCTION("""COMPUTED_VALUE"""),"Good")</f>
        <v>Good</v>
      </c>
      <c r="X263" t="str">
        <f ca="1">IFERROR(__xludf.DUMMYFUNCTION("""COMPUTED_VALUE"""),"Good")</f>
        <v>Good</v>
      </c>
      <c r="Y263" t="str">
        <f ca="1">IFERROR(__xludf.DUMMYFUNCTION("""COMPUTED_VALUE"""),"Good")</f>
        <v>Good</v>
      </c>
      <c r="Z263" t="str">
        <f ca="1">IFERROR(__xludf.DUMMYFUNCTION("""COMPUTED_VALUE"""),"Good")</f>
        <v>Good</v>
      </c>
      <c r="AA263" t="str">
        <f ca="1">IFERROR(__xludf.DUMMYFUNCTION("""COMPUTED_VALUE"""),"Good")</f>
        <v>Good</v>
      </c>
      <c r="AB263" t="str">
        <f ca="1">IFERROR(__xludf.DUMMYFUNCTION("""COMPUTED_VALUE"""),"Good")</f>
        <v>Good</v>
      </c>
      <c r="AC263" t="str">
        <f ca="1">IFERROR(__xludf.DUMMYFUNCTION("""COMPUTED_VALUE"""),"Good")</f>
        <v>Good</v>
      </c>
      <c r="AE263" s="11"/>
      <c r="AF263" t="str">
        <v>Nikki.Dix@floridadep.gov</v>
      </c>
      <c r="AG263" s="17" t="s">
        <v>17</v>
      </c>
      <c r="AH263" s="12">
        <v>1310</v>
      </c>
      <c r="AI263" s="12" t="s">
        <v>734</v>
      </c>
      <c r="AJ263" s="19" t="s">
        <v>735</v>
      </c>
      <c r="AK263" s="20" t="str">
        <f>HYPERLINK("https://docs.google.com/document/d/1TJtSa6lbULLrc9i4aU81PsSx6hsWL8HJ2uszk5W7kv8/edit?usp=drivesdk","Silas Tanner - 3/4/2019 7:45 AM")</f>
        <v>Silas Tanner - 3/4/2019 7:45 AM</v>
      </c>
      <c r="AL263" s="12" t="s">
        <v>736</v>
      </c>
    </row>
    <row r="264" spans="1:38" ht="12.75">
      <c r="A264" s="10">
        <f ca="1">IFERROR(__xludf.DUMMYFUNCTION("""COMPUTED_VALUE"""),43535.4415698842)</f>
        <v>43535.441569884199</v>
      </c>
      <c r="B264" s="11" t="str">
        <f ca="1">IFERROR(__xludf.DUMMYFUNCTION("""COMPUTED_VALUE"""),"James Tomazinis")</f>
        <v>James Tomazinis</v>
      </c>
      <c r="C264" t="str">
        <f ca="1">IFERROR(__xludf.DUMMYFUNCTION("""COMPUTED_VALUE"""),"james.tomazinis@floridadep.gov")</f>
        <v>james.tomazinis@floridadep.gov</v>
      </c>
      <c r="D264" t="str">
        <f ca="1">IFERROR(__xludf.DUMMYFUNCTION("""COMPUTED_VALUE"""),"Stewardship (Aquatic)")</f>
        <v>Stewardship (Aquatic)</v>
      </c>
      <c r="E264" t="str">
        <f ca="1">IFERROR(__xludf.DUMMYFUNCTION("""COMPUTED_VALUE"""),"Vilano")</f>
        <v>Vilano</v>
      </c>
      <c r="F264" s="13">
        <f ca="1">IFERROR(__xludf.DUMMYFUNCTION("""COMPUTED_VALUE"""),0.385416666667879)</f>
        <v>0.38541666666787899</v>
      </c>
      <c r="G264" s="14">
        <f ca="1">IFERROR(__xludf.DUMMYFUNCTION("""COMPUTED_VALUE"""),43536)</f>
        <v>43536</v>
      </c>
      <c r="H264" t="str">
        <f ca="1">IFERROR(__xludf.DUMMYFUNCTION("""COMPUTED_VALUE"""),"Tolomato Nekton sites")</f>
        <v>Tolomato Nekton sites</v>
      </c>
      <c r="I264" s="15">
        <f ca="1">IFERROR(__xludf.DUMMYFUNCTION("""COMPUTED_VALUE"""),0.6875)</f>
        <v>0.6875</v>
      </c>
      <c r="J264" s="16"/>
      <c r="K264" t="str">
        <f ca="1">IFERROR(__xludf.DUMMYFUNCTION("""COMPUTED_VALUE"""),"23ft Skiff (Bertha) FL7972LJ DEP07613")</f>
        <v>23ft Skiff (Bertha) FL7972LJ DEP07613</v>
      </c>
      <c r="M264" t="str">
        <f ca="1">IFERROR(__xludf.DUMMYFUNCTION("""COMPUTED_VALUE"""),"Ford F150 2015 (White) - DEP21448")</f>
        <v>Ford F150 2015 (White) - DEP21448</v>
      </c>
      <c r="N264" t="str">
        <f ca="1">IFERROR(__xludf.DUMMYFUNCTION("""COMPUTED_VALUE"""),"Jimmy Tomazinis, (904) 547-0094")</f>
        <v>Jimmy Tomazinis, (904) 547-0094</v>
      </c>
      <c r="O264" t="str">
        <f ca="1">IFERROR(__xludf.DUMMYFUNCTION("""COMPUTED_VALUE"""),"Mike Dickson, Chris Kurtz, Maddie Paris")</f>
        <v>Mike Dickson, Chris Kurtz, Maddie Paris</v>
      </c>
      <c r="P264" t="str">
        <f ca="1">IFERROR(__xludf.DUMMYFUNCTION("""COMPUTED_VALUE"""),"Jimmy")</f>
        <v>Jimmy</v>
      </c>
      <c r="Q264" t="str">
        <f ca="1">IFERROR(__xludf.DUMMYFUNCTION("""COMPUTED_VALUE"""),"Good")</f>
        <v>Good</v>
      </c>
      <c r="R264" t="str">
        <f ca="1">IFERROR(__xludf.DUMMYFUNCTION("""COMPUTED_VALUE"""),"Good")</f>
        <v>Good</v>
      </c>
      <c r="S264" t="str">
        <f ca="1">IFERROR(__xludf.DUMMYFUNCTION("""COMPUTED_VALUE"""),"Good")</f>
        <v>Good</v>
      </c>
      <c r="T264" t="str">
        <f ca="1">IFERROR(__xludf.DUMMYFUNCTION("""COMPUTED_VALUE"""),"Good")</f>
        <v>Good</v>
      </c>
      <c r="U264" t="str">
        <f ca="1">IFERROR(__xludf.DUMMYFUNCTION("""COMPUTED_VALUE"""),"Good")</f>
        <v>Good</v>
      </c>
      <c r="V264" t="str">
        <f ca="1">IFERROR(__xludf.DUMMYFUNCTION("""COMPUTED_VALUE"""),"Good")</f>
        <v>Good</v>
      </c>
      <c r="W264" t="str">
        <f ca="1">IFERROR(__xludf.DUMMYFUNCTION("""COMPUTED_VALUE"""),"Good")</f>
        <v>Good</v>
      </c>
      <c r="X264" t="str">
        <f ca="1">IFERROR(__xludf.DUMMYFUNCTION("""COMPUTED_VALUE"""),"Good")</f>
        <v>Good</v>
      </c>
      <c r="Y264" t="str">
        <f ca="1">IFERROR(__xludf.DUMMYFUNCTION("""COMPUTED_VALUE"""),"Good")</f>
        <v>Good</v>
      </c>
      <c r="Z264" t="str">
        <f ca="1">IFERROR(__xludf.DUMMYFUNCTION("""COMPUTED_VALUE"""),"Good")</f>
        <v>Good</v>
      </c>
      <c r="AA264" t="str">
        <f ca="1">IFERROR(__xludf.DUMMYFUNCTION("""COMPUTED_VALUE"""),"Good")</f>
        <v>Good</v>
      </c>
      <c r="AB264" t="str">
        <f ca="1">IFERROR(__xludf.DUMMYFUNCTION("""COMPUTED_VALUE"""),"Good")</f>
        <v>Good</v>
      </c>
      <c r="AC264" t="str">
        <f ca="1">IFERROR(__xludf.DUMMYFUNCTION("""COMPUTED_VALUE"""),"Good")</f>
        <v>Good</v>
      </c>
      <c r="AE264" s="11"/>
      <c r="AF264" t="str">
        <v>Scott.Eastman@floridadep.gov</v>
      </c>
      <c r="AG264" s="17" t="s">
        <v>17</v>
      </c>
      <c r="AH264" s="12">
        <v>1625</v>
      </c>
      <c r="AI264" s="12" t="s">
        <v>737</v>
      </c>
      <c r="AJ264" s="19" t="s">
        <v>738</v>
      </c>
      <c r="AK264" s="20" t="str">
        <f>HYPERLINK("https://docs.google.com/document/d/16vjClCoqC7m3akVttcJyh9s3Hbn-CzZ-MyVW-Lji67g/edit?usp=drivesdk","James Tomazinis - 3/12/2019 9:15 AM")</f>
        <v>James Tomazinis - 3/12/2019 9:15 AM</v>
      </c>
      <c r="AL264" s="12" t="s">
        <v>739</v>
      </c>
    </row>
    <row r="265" spans="1:38" ht="12.75">
      <c r="A265" s="10">
        <f ca="1">IFERROR(__xludf.DUMMYFUNCTION("""COMPUTED_VALUE"""),43536.7133686921)</f>
        <v>43536.713368692101</v>
      </c>
      <c r="B265" s="11" t="str">
        <f ca="1">IFERROR(__xludf.DUMMYFUNCTION("""COMPUTED_VALUE"""),"James Tomazinis")</f>
        <v>James Tomazinis</v>
      </c>
      <c r="C265" t="str">
        <f ca="1">IFERROR(__xludf.DUMMYFUNCTION("""COMPUTED_VALUE"""),"james.tomazinis@floridadep.gov")</f>
        <v>james.tomazinis@floridadep.gov</v>
      </c>
      <c r="D265" t="str">
        <f ca="1">IFERROR(__xludf.DUMMYFUNCTION("""COMPUTED_VALUE"""),"Stewardship (Aquatic)")</f>
        <v>Stewardship (Aquatic)</v>
      </c>
      <c r="E265" t="str">
        <f ca="1">IFERROR(__xludf.DUMMYFUNCTION("""COMPUTED_VALUE"""),"Vilano")</f>
        <v>Vilano</v>
      </c>
      <c r="F265" s="13">
        <f ca="1">IFERROR(__xludf.DUMMYFUNCTION("""COMPUTED_VALUE"""),0.385416666667879)</f>
        <v>0.38541666666787899</v>
      </c>
      <c r="G265" s="14">
        <f ca="1">IFERROR(__xludf.DUMMYFUNCTION("""COMPUTED_VALUE"""),43537)</f>
        <v>43537</v>
      </c>
      <c r="H265" t="str">
        <f ca="1">IFERROR(__xludf.DUMMYFUNCTION("""COMPUTED_VALUE"""),"Matanzas River Nekton Sites")</f>
        <v>Matanzas River Nekton Sites</v>
      </c>
      <c r="I265" s="15">
        <f ca="1">IFERROR(__xludf.DUMMYFUNCTION("""COMPUTED_VALUE"""),0.6875)</f>
        <v>0.6875</v>
      </c>
      <c r="J265" s="16"/>
      <c r="K265" t="str">
        <f ca="1">IFERROR(__xludf.DUMMYFUNCTION("""COMPUTED_VALUE"""),"23ft Skiff (Bertha) FL7972LJ DEP07613")</f>
        <v>23ft Skiff (Bertha) FL7972LJ DEP07613</v>
      </c>
      <c r="M265" t="str">
        <f ca="1">IFERROR(__xludf.DUMMYFUNCTION("""COMPUTED_VALUE"""),"Ford F150 2015 (White) - DEP21448")</f>
        <v>Ford F150 2015 (White) - DEP21448</v>
      </c>
      <c r="N265" t="str">
        <f ca="1">IFERROR(__xludf.DUMMYFUNCTION("""COMPUTED_VALUE"""),"Jimmy Tomazinis, (904) 547-0094")</f>
        <v>Jimmy Tomazinis, (904) 547-0094</v>
      </c>
      <c r="O265" t="str">
        <f ca="1">IFERROR(__xludf.DUMMYFUNCTION("""COMPUTED_VALUE"""),"Mike Dickson, Amy Brownfield, Jeff Finnan")</f>
        <v>Mike Dickson, Amy Brownfield, Jeff Finnan</v>
      </c>
      <c r="P265" t="str">
        <f ca="1">IFERROR(__xludf.DUMMYFUNCTION("""COMPUTED_VALUE"""),"Jimmy")</f>
        <v>Jimmy</v>
      </c>
      <c r="Q265" t="str">
        <f ca="1">IFERROR(__xludf.DUMMYFUNCTION("""COMPUTED_VALUE"""),"Good")</f>
        <v>Good</v>
      </c>
      <c r="R265" t="str">
        <f ca="1">IFERROR(__xludf.DUMMYFUNCTION("""COMPUTED_VALUE"""),"Good")</f>
        <v>Good</v>
      </c>
      <c r="S265" t="str">
        <f ca="1">IFERROR(__xludf.DUMMYFUNCTION("""COMPUTED_VALUE"""),"Good")</f>
        <v>Good</v>
      </c>
      <c r="T265" t="str">
        <f ca="1">IFERROR(__xludf.DUMMYFUNCTION("""COMPUTED_VALUE"""),"Good")</f>
        <v>Good</v>
      </c>
      <c r="U265" t="str">
        <f ca="1">IFERROR(__xludf.DUMMYFUNCTION("""COMPUTED_VALUE"""),"Good")</f>
        <v>Good</v>
      </c>
      <c r="V265" t="str">
        <f ca="1">IFERROR(__xludf.DUMMYFUNCTION("""COMPUTED_VALUE"""),"Good")</f>
        <v>Good</v>
      </c>
      <c r="W265" t="str">
        <f ca="1">IFERROR(__xludf.DUMMYFUNCTION("""COMPUTED_VALUE"""),"Good")</f>
        <v>Good</v>
      </c>
      <c r="X265" t="str">
        <f ca="1">IFERROR(__xludf.DUMMYFUNCTION("""COMPUTED_VALUE"""),"Good")</f>
        <v>Good</v>
      </c>
      <c r="Y265" t="str">
        <f ca="1">IFERROR(__xludf.DUMMYFUNCTION("""COMPUTED_VALUE"""),"Good")</f>
        <v>Good</v>
      </c>
      <c r="Z265" t="str">
        <f ca="1">IFERROR(__xludf.DUMMYFUNCTION("""COMPUTED_VALUE"""),"Good")</f>
        <v>Good</v>
      </c>
      <c r="AA265" t="str">
        <f ca="1">IFERROR(__xludf.DUMMYFUNCTION("""COMPUTED_VALUE"""),"Good")</f>
        <v>Good</v>
      </c>
      <c r="AB265" t="str">
        <f ca="1">IFERROR(__xludf.DUMMYFUNCTION("""COMPUTED_VALUE"""),"Good")</f>
        <v>Good</v>
      </c>
      <c r="AC265" t="str">
        <f ca="1">IFERROR(__xludf.DUMMYFUNCTION("""COMPUTED_VALUE"""),"Good")</f>
        <v>Good</v>
      </c>
      <c r="AE265" s="11"/>
      <c r="AF265" t="str">
        <v>Scott.Eastman@floridadep.gov</v>
      </c>
      <c r="AG265" s="17" t="s">
        <v>17</v>
      </c>
      <c r="AH265" s="12">
        <v>165</v>
      </c>
      <c r="AI265" s="12" t="s">
        <v>740</v>
      </c>
      <c r="AJ265" s="19" t="s">
        <v>741</v>
      </c>
      <c r="AK265" s="20" t="str">
        <f>HYPERLINK("https://docs.google.com/document/d/1odhTpTLuy9rmKb4m7VExrlFUjNvK50mcGTUs0hW18L8/edit?usp=drivesdk","James Tomazinis - 3/13/2019 9:15 AM")</f>
        <v>James Tomazinis - 3/13/2019 9:15 AM</v>
      </c>
      <c r="AL265" s="12" t="s">
        <v>742</v>
      </c>
    </row>
    <row r="266" spans="1:38" ht="12.75">
      <c r="A266" s="10">
        <f ca="1">IFERROR(__xludf.DUMMYFUNCTION("""COMPUTED_VALUE"""),43537.7423846527)</f>
        <v>43537.742384652702</v>
      </c>
      <c r="B266" s="11" t="str">
        <f ca="1">IFERROR(__xludf.DUMMYFUNCTION("""COMPUTED_VALUE"""),"James Tomazinis")</f>
        <v>James Tomazinis</v>
      </c>
      <c r="C266" t="str">
        <f ca="1">IFERROR(__xludf.DUMMYFUNCTION("""COMPUTED_VALUE"""),"james.tomazinis@floridadep.gov")</f>
        <v>james.tomazinis@floridadep.gov</v>
      </c>
      <c r="D266" t="str">
        <f ca="1">IFERROR(__xludf.DUMMYFUNCTION("""COMPUTED_VALUE"""),"Stewardship (Aquatic)")</f>
        <v>Stewardship (Aquatic)</v>
      </c>
      <c r="E266" t="str">
        <f ca="1">IFERROR(__xludf.DUMMYFUNCTION("""COMPUTED_VALUE"""),"Bings")</f>
        <v>Bings</v>
      </c>
      <c r="F266" s="13">
        <f ca="1">IFERROR(__xludf.DUMMYFUNCTION("""COMPUTED_VALUE"""),0.42708333333212)</f>
        <v>0.42708333333212001</v>
      </c>
      <c r="G266" s="14">
        <f ca="1">IFERROR(__xludf.DUMMYFUNCTION("""COMPUTED_VALUE"""),43538)</f>
        <v>43538</v>
      </c>
      <c r="H266" t="str">
        <f ca="1">IFERROR(__xludf.DUMMYFUNCTION("""COMPUTED_VALUE"""),"Nekton sites 18,19,20")</f>
        <v>Nekton sites 18,19,20</v>
      </c>
      <c r="I266" s="15">
        <f ca="1">IFERROR(__xludf.DUMMYFUNCTION("""COMPUTED_VALUE"""),0.5)</f>
        <v>0.5</v>
      </c>
      <c r="J266" s="16"/>
      <c r="K266" t="str">
        <f ca="1">IFERROR(__xludf.DUMMYFUNCTION("""COMPUTED_VALUE"""),"23ft Skiff (Bertha) FL7972LJ DEP07613")</f>
        <v>23ft Skiff (Bertha) FL7972LJ DEP07613</v>
      </c>
      <c r="M266" t="str">
        <f ca="1">IFERROR(__xludf.DUMMYFUNCTION("""COMPUTED_VALUE"""),"Ford F150 2015 (White) - DEP21448")</f>
        <v>Ford F150 2015 (White) - DEP21448</v>
      </c>
      <c r="N266" t="str">
        <f ca="1">IFERROR(__xludf.DUMMYFUNCTION("""COMPUTED_VALUE"""),"Jimmy Tomazinis, (904) 547-0094")</f>
        <v>Jimmy Tomazinis, (904) 547-0094</v>
      </c>
      <c r="O266" t="str">
        <f ca="1">IFERROR(__xludf.DUMMYFUNCTION("""COMPUTED_VALUE"""),"Jeff Finnan, Mike Dickson, Flagler students")</f>
        <v>Jeff Finnan, Mike Dickson, Flagler students</v>
      </c>
      <c r="P266" t="str">
        <f ca="1">IFERROR(__xludf.DUMMYFUNCTION("""COMPUTED_VALUE"""),"Jimmy")</f>
        <v>Jimmy</v>
      </c>
      <c r="Q266" t="str">
        <f ca="1">IFERROR(__xludf.DUMMYFUNCTION("""COMPUTED_VALUE"""),"Good")</f>
        <v>Good</v>
      </c>
      <c r="R266" t="str">
        <f ca="1">IFERROR(__xludf.DUMMYFUNCTION("""COMPUTED_VALUE"""),"Good")</f>
        <v>Good</v>
      </c>
      <c r="S266" t="str">
        <f ca="1">IFERROR(__xludf.DUMMYFUNCTION("""COMPUTED_VALUE"""),"Good")</f>
        <v>Good</v>
      </c>
      <c r="T266" t="str">
        <f ca="1">IFERROR(__xludf.DUMMYFUNCTION("""COMPUTED_VALUE"""),"Good")</f>
        <v>Good</v>
      </c>
      <c r="U266" t="str">
        <f ca="1">IFERROR(__xludf.DUMMYFUNCTION("""COMPUTED_VALUE"""),"Good")</f>
        <v>Good</v>
      </c>
      <c r="V266" t="str">
        <f ca="1">IFERROR(__xludf.DUMMYFUNCTION("""COMPUTED_VALUE"""),"Good")</f>
        <v>Good</v>
      </c>
      <c r="W266" t="str">
        <f ca="1">IFERROR(__xludf.DUMMYFUNCTION("""COMPUTED_VALUE"""),"Good")</f>
        <v>Good</v>
      </c>
      <c r="X266" t="str">
        <f ca="1">IFERROR(__xludf.DUMMYFUNCTION("""COMPUTED_VALUE"""),"Good")</f>
        <v>Good</v>
      </c>
      <c r="Y266" t="str">
        <f ca="1">IFERROR(__xludf.DUMMYFUNCTION("""COMPUTED_VALUE"""),"Good")</f>
        <v>Good</v>
      </c>
      <c r="Z266" t="str">
        <f ca="1">IFERROR(__xludf.DUMMYFUNCTION("""COMPUTED_VALUE"""),"Good")</f>
        <v>Good</v>
      </c>
      <c r="AA266" t="str">
        <f ca="1">IFERROR(__xludf.DUMMYFUNCTION("""COMPUTED_VALUE"""),"Good")</f>
        <v>Good</v>
      </c>
      <c r="AB266" t="str">
        <f ca="1">IFERROR(__xludf.DUMMYFUNCTION("""COMPUTED_VALUE"""),"Good")</f>
        <v>Good</v>
      </c>
      <c r="AC266" t="str">
        <f ca="1">IFERROR(__xludf.DUMMYFUNCTION("""COMPUTED_VALUE"""),"Good")</f>
        <v>Good</v>
      </c>
      <c r="AE266" s="11"/>
      <c r="AF266" t="str">
        <v>Scott.Eastman@floridadep.gov</v>
      </c>
      <c r="AG266" s="17" t="s">
        <v>17</v>
      </c>
      <c r="AH266" s="12">
        <v>1235</v>
      </c>
      <c r="AI266" s="12" t="s">
        <v>743</v>
      </c>
      <c r="AJ266" s="19" t="s">
        <v>744</v>
      </c>
      <c r="AK266" s="20" t="str">
        <f>HYPERLINK("https://docs.google.com/document/d/1CE7RpdJaTh2JD6fLOPYtoqWGdMGQ2c8KX9dL8l5pYSk/edit?usp=drivesdk","James Tomazinis - 3/14/2019 10:15 AM")</f>
        <v>James Tomazinis - 3/14/2019 10:15 AM</v>
      </c>
      <c r="AL266" s="12" t="s">
        <v>745</v>
      </c>
    </row>
    <row r="267" spans="1:38" ht="12.75">
      <c r="A267" s="10">
        <f ca="1">IFERROR(__xludf.DUMMYFUNCTION("""COMPUTED_VALUE"""),43539.330928125)</f>
        <v>43539.330928124997</v>
      </c>
      <c r="B267" s="11" t="str">
        <f ca="1">IFERROR(__xludf.DUMMYFUNCTION("""COMPUTED_VALUE"""),"Pam Marcum")</f>
        <v>Pam Marcum</v>
      </c>
      <c r="C267" t="str">
        <f ca="1">IFERROR(__xludf.DUMMYFUNCTION("""COMPUTED_VALUE"""),"Pamela.Marcum@dep.state.fl.us")</f>
        <v>Pamela.Marcum@dep.state.fl.us</v>
      </c>
      <c r="D267" t="str">
        <f ca="1">IFERROR(__xludf.DUMMYFUNCTION("""COMPUTED_VALUE"""),"Research/Nikki")</f>
        <v>Research/Nikki</v>
      </c>
      <c r="E267" t="str">
        <f ca="1">IFERROR(__xludf.DUMMYFUNCTION("""COMPUTED_VALUE"""),"Palm Valley")</f>
        <v>Palm Valley</v>
      </c>
      <c r="F267" s="13">
        <f ca="1">IFERROR(__xludf.DUMMYFUNCTION("""COMPUTED_VALUE"""),0.354166666667879)</f>
        <v>0.35416666666787899</v>
      </c>
      <c r="G267" s="14">
        <f ca="1">IFERROR(__xludf.DUMMYFUNCTION("""COMPUTED_VALUE"""),43539)</f>
        <v>43539</v>
      </c>
      <c r="H267" t="str">
        <f ca="1">IFERROR(__xludf.DUMMYFUNCTION("""COMPUTED_VALUE"""),"Tolomato River - Angelini Sites")</f>
        <v>Tolomato River - Angelini Sites</v>
      </c>
      <c r="I267" s="15">
        <f ca="1">IFERROR(__xludf.DUMMYFUNCTION("""COMPUTED_VALUE"""),0.625)</f>
        <v>0.625</v>
      </c>
      <c r="J267" s="16">
        <f ca="1">IFERROR(__xludf.DUMMYFUNCTION("""COMPUTED_VALUE"""),43539.6458333333)</f>
        <v>43539.645833333299</v>
      </c>
      <c r="K267" t="str">
        <f ca="1">IFERROR(__xludf.DUMMYFUNCTION("""COMPUTED_VALUE"""),"23ft Skiff (Bertha) FL7972LJ DEP07613")</f>
        <v>23ft Skiff (Bertha) FL7972LJ DEP07613</v>
      </c>
      <c r="M267" t="str">
        <f ca="1">IFERROR(__xludf.DUMMYFUNCTION("""COMPUTED_VALUE"""),"Ford F150 2015 (White) - DEP21448")</f>
        <v>Ford F150 2015 (White) - DEP21448</v>
      </c>
      <c r="N267" t="str">
        <f ca="1">IFERROR(__xludf.DUMMYFUNCTION("""COMPUTED_VALUE"""),"Pam Marcum, (480) 332-5414")</f>
        <v>Pam Marcum, (480) 332-5414</v>
      </c>
      <c r="O267" t="str">
        <f ca="1">IFERROR(__xludf.DUMMYFUNCTION("""COMPUTED_VALUE"""),"Patrick Norby")</f>
        <v>Patrick Norby</v>
      </c>
      <c r="P267" t="str">
        <f ca="1">IFERROR(__xludf.DUMMYFUNCTION("""COMPUTED_VALUE"""),"Pam")</f>
        <v>Pam</v>
      </c>
      <c r="Q267" t="str">
        <f ca="1">IFERROR(__xludf.DUMMYFUNCTION("""COMPUTED_VALUE"""),"Good")</f>
        <v>Good</v>
      </c>
      <c r="R267" t="str">
        <f ca="1">IFERROR(__xludf.DUMMYFUNCTION("""COMPUTED_VALUE"""),"Good")</f>
        <v>Good</v>
      </c>
      <c r="S267" t="str">
        <f ca="1">IFERROR(__xludf.DUMMYFUNCTION("""COMPUTED_VALUE"""),"Good")</f>
        <v>Good</v>
      </c>
      <c r="T267" t="str">
        <f ca="1">IFERROR(__xludf.DUMMYFUNCTION("""COMPUTED_VALUE"""),"Good")</f>
        <v>Good</v>
      </c>
      <c r="U267" t="str">
        <f ca="1">IFERROR(__xludf.DUMMYFUNCTION("""COMPUTED_VALUE"""),"Good")</f>
        <v>Good</v>
      </c>
      <c r="V267" t="str">
        <f ca="1">IFERROR(__xludf.DUMMYFUNCTION("""COMPUTED_VALUE"""),"Good")</f>
        <v>Good</v>
      </c>
      <c r="W267" t="str">
        <f ca="1">IFERROR(__xludf.DUMMYFUNCTION("""COMPUTED_VALUE"""),"Good")</f>
        <v>Good</v>
      </c>
      <c r="X267" t="str">
        <f ca="1">IFERROR(__xludf.DUMMYFUNCTION("""COMPUTED_VALUE"""),"Good")</f>
        <v>Good</v>
      </c>
      <c r="Y267" t="str">
        <f ca="1">IFERROR(__xludf.DUMMYFUNCTION("""COMPUTED_VALUE"""),"Good")</f>
        <v>Good</v>
      </c>
      <c r="Z267" t="str">
        <f ca="1">IFERROR(__xludf.DUMMYFUNCTION("""COMPUTED_VALUE"""),"Good")</f>
        <v>Good</v>
      </c>
      <c r="AA267" t="str">
        <f ca="1">IFERROR(__xludf.DUMMYFUNCTION("""COMPUTED_VALUE"""),"Good")</f>
        <v>Good</v>
      </c>
      <c r="AB267" t="str">
        <f ca="1">IFERROR(__xludf.DUMMYFUNCTION("""COMPUTED_VALUE"""),"Good")</f>
        <v>Good</v>
      </c>
      <c r="AC267" t="str">
        <f ca="1">IFERROR(__xludf.DUMMYFUNCTION("""COMPUTED_VALUE"""),"Good")</f>
        <v>Good</v>
      </c>
      <c r="AE267" s="11"/>
      <c r="AF267" t="str">
        <v>Nikki.Dix@floridadep.gov</v>
      </c>
      <c r="AG267" s="17" t="s">
        <v>17</v>
      </c>
      <c r="AH267" s="12">
        <v>1515</v>
      </c>
      <c r="AI267" s="12" t="s">
        <v>746</v>
      </c>
      <c r="AJ267" s="19" t="s">
        <v>747</v>
      </c>
      <c r="AK267" s="20" t="str">
        <f>HYPERLINK("https://docs.google.com/document/d/1jnJsXS29HDOhrHeQq8n7gliU6CgrEEMc5ofm0gMZrKk/edit?usp=drivesdk","Pam Marcum - 3/15/2019 8:30 AM")</f>
        <v>Pam Marcum - 3/15/2019 8:30 AM</v>
      </c>
      <c r="AL267" s="12" t="s">
        <v>748</v>
      </c>
    </row>
    <row r="268" spans="1:38" ht="12.75">
      <c r="A268" s="10">
        <f ca="1">IFERROR(__xludf.DUMMYFUNCTION("""COMPUTED_VALUE"""),43543.3087345486)</f>
        <v>43543.308734548598</v>
      </c>
      <c r="B268" s="11" t="str">
        <f ca="1">IFERROR(__xludf.DUMMYFUNCTION("""COMPUTED_VALUE"""),"Silas Tanner")</f>
        <v>Silas Tanner</v>
      </c>
      <c r="C268" t="str">
        <f ca="1">IFERROR(__xludf.DUMMYFUNCTION("""COMPUTED_VALUE"""),"silas.tanner@floridadep.gov")</f>
        <v>silas.tanner@floridadep.gov</v>
      </c>
      <c r="D268" t="str">
        <f ca="1">IFERROR(__xludf.DUMMYFUNCTION("""COMPUTED_VALUE"""),"Research/Shannon")</f>
        <v>Research/Shannon</v>
      </c>
      <c r="E268" t="str">
        <f ca="1">IFERROR(__xludf.DUMMYFUNCTION("""COMPUTED_VALUE"""),"Vilano Landing")</f>
        <v>Vilano Landing</v>
      </c>
      <c r="F268" s="13">
        <f ca="1">IFERROR(__xludf.DUMMYFUNCTION("""COMPUTED_VALUE"""),0.322916666667879)</f>
        <v>0.32291666666787899</v>
      </c>
      <c r="G268" s="14">
        <f ca="1">IFERROR(__xludf.DUMMYFUNCTION("""COMPUTED_VALUE"""),43543)</f>
        <v>43543</v>
      </c>
      <c r="H268" t="str">
        <f ca="1">IFERROR(__xludf.DUMMYFUNCTION("""COMPUTED_VALUE"""),"ICW SWMP sites")</f>
        <v>ICW SWMP sites</v>
      </c>
      <c r="I268" s="15">
        <f ca="1">IFERROR(__xludf.DUMMYFUNCTION("""COMPUTED_VALUE"""),0.541666666667879)</f>
        <v>0.54166666666787899</v>
      </c>
      <c r="J268" s="16">
        <f ca="1">IFERROR(__xludf.DUMMYFUNCTION("""COMPUTED_VALUE"""),43543.5520833333)</f>
        <v>43543.552083333299</v>
      </c>
      <c r="K268" t="str">
        <f ca="1">IFERROR(__xludf.DUMMYFUNCTION("""COMPUTED_VALUE"""),"20ft Sea Ark FL5351SJ UNF 2015")</f>
        <v>20ft Sea Ark FL5351SJ UNF 2015</v>
      </c>
      <c r="M268" t="str">
        <f ca="1">IFERROR(__xludf.DUMMYFUNCTION("""COMPUTED_VALUE"""),"Ford F250 2017 (Moby Dix) - DEP0021578")</f>
        <v>Ford F250 2017 (Moby Dix) - DEP0021578</v>
      </c>
      <c r="N268" t="str">
        <f ca="1">IFERROR(__xludf.DUMMYFUNCTION("""COMPUTED_VALUE"""),"Silas Tanner, (904) 483-8423")</f>
        <v>Silas Tanner, (904) 483-8423</v>
      </c>
      <c r="O268" t="str">
        <f ca="1">IFERROR(__xludf.DUMMYFUNCTION("""COMPUTED_VALUE"""),"Remo Mondazzi")</f>
        <v>Remo Mondazzi</v>
      </c>
      <c r="P268" t="str">
        <f ca="1">IFERROR(__xludf.DUMMYFUNCTION("""COMPUTED_VALUE"""),"S. Tanner")</f>
        <v>S. Tanner</v>
      </c>
      <c r="Q268" t="str">
        <f ca="1">IFERROR(__xludf.DUMMYFUNCTION("""COMPUTED_VALUE"""),"Good")</f>
        <v>Good</v>
      </c>
      <c r="R268" t="str">
        <f ca="1">IFERROR(__xludf.DUMMYFUNCTION("""COMPUTED_VALUE"""),"Good")</f>
        <v>Good</v>
      </c>
      <c r="S268" t="str">
        <f ca="1">IFERROR(__xludf.DUMMYFUNCTION("""COMPUTED_VALUE"""),"Good")</f>
        <v>Good</v>
      </c>
      <c r="T268" t="str">
        <f ca="1">IFERROR(__xludf.DUMMYFUNCTION("""COMPUTED_VALUE"""),"Good")</f>
        <v>Good</v>
      </c>
      <c r="U268" t="str">
        <f ca="1">IFERROR(__xludf.DUMMYFUNCTION("""COMPUTED_VALUE"""),"Good")</f>
        <v>Good</v>
      </c>
      <c r="V268" t="str">
        <f ca="1">IFERROR(__xludf.DUMMYFUNCTION("""COMPUTED_VALUE"""),"Good")</f>
        <v>Good</v>
      </c>
      <c r="W268" t="str">
        <f ca="1">IFERROR(__xludf.DUMMYFUNCTION("""COMPUTED_VALUE"""),"Good")</f>
        <v>Good</v>
      </c>
      <c r="X268" t="str">
        <f ca="1">IFERROR(__xludf.DUMMYFUNCTION("""COMPUTED_VALUE"""),"Good")</f>
        <v>Good</v>
      </c>
      <c r="Y268" t="str">
        <f ca="1">IFERROR(__xludf.DUMMYFUNCTION("""COMPUTED_VALUE"""),"Good")</f>
        <v>Good</v>
      </c>
      <c r="Z268" t="str">
        <f ca="1">IFERROR(__xludf.DUMMYFUNCTION("""COMPUTED_VALUE"""),"Good")</f>
        <v>Good</v>
      </c>
      <c r="AA268" t="str">
        <f ca="1">IFERROR(__xludf.DUMMYFUNCTION("""COMPUTED_VALUE"""),"Good")</f>
        <v>Good</v>
      </c>
      <c r="AB268" t="str">
        <f ca="1">IFERROR(__xludf.DUMMYFUNCTION("""COMPUTED_VALUE"""),"Good")</f>
        <v>Good</v>
      </c>
      <c r="AC268" t="str">
        <f ca="1">IFERROR(__xludf.DUMMYFUNCTION("""COMPUTED_VALUE"""),"Good")</f>
        <v>Good</v>
      </c>
      <c r="AE268" s="11"/>
      <c r="AF268" t="str">
        <v>Shannon.Dunnigan@floridadep.gov</v>
      </c>
      <c r="AG268" s="17" t="s">
        <v>17</v>
      </c>
      <c r="AH268" s="12">
        <v>1215</v>
      </c>
      <c r="AI268" s="12" t="s">
        <v>749</v>
      </c>
      <c r="AJ268" s="19" t="s">
        <v>750</v>
      </c>
      <c r="AK268" s="20" t="str">
        <f>HYPERLINK("https://docs.google.com/document/d/1VtQ18zcO7flR4xUlRI4xlQwk7HLbxifr5GREZNqxXeE/edit?usp=drivesdk","Silas Tanner - 3/19/2019 7:45 AM")</f>
        <v>Silas Tanner - 3/19/2019 7:45 AM</v>
      </c>
      <c r="AL268" s="12" t="s">
        <v>751</v>
      </c>
    </row>
    <row r="269" spans="1:38" ht="12.75">
      <c r="A269" s="10">
        <f ca="1">IFERROR(__xludf.DUMMYFUNCTION("""COMPUTED_VALUE"""),43553.3755268402)</f>
        <v>43553.375526840202</v>
      </c>
      <c r="B269" s="11" t="str">
        <f ca="1">IFERROR(__xludf.DUMMYFUNCTION("""COMPUTED_VALUE"""),"Pam Marcum")</f>
        <v>Pam Marcum</v>
      </c>
      <c r="C269" t="str">
        <f ca="1">IFERROR(__xludf.DUMMYFUNCTION("""COMPUTED_VALUE"""),"Pamela.Marcum@dep.state.fl.us")</f>
        <v>Pamela.Marcum@dep.state.fl.us</v>
      </c>
      <c r="D269" t="str">
        <f ca="1">IFERROR(__xludf.DUMMYFUNCTION("""COMPUTED_VALUE"""),"Research/Nikki")</f>
        <v>Research/Nikki</v>
      </c>
      <c r="E269" t="str">
        <f ca="1">IFERROR(__xludf.DUMMYFUNCTION("""COMPUTED_VALUE"""),"Green Rd")</f>
        <v>Green Rd</v>
      </c>
      <c r="F269" s="13">
        <f ca="1">IFERROR(__xludf.DUMMYFUNCTION("""COMPUTED_VALUE"""),0.416666666667879)</f>
        <v>0.41666666666787899</v>
      </c>
      <c r="G269" s="14">
        <f ca="1">IFERROR(__xludf.DUMMYFUNCTION("""COMPUTED_VALUE"""),43553)</f>
        <v>43553</v>
      </c>
      <c r="H269" t="str">
        <f ca="1">IFERROR(__xludf.DUMMYFUNCTION("""COMPUTED_VALUE"""),"Moses Creek Platforms")</f>
        <v>Moses Creek Platforms</v>
      </c>
      <c r="I269" s="15">
        <f ca="1">IFERROR(__xludf.DUMMYFUNCTION("""COMPUTED_VALUE"""),0.666666666667879)</f>
        <v>0.66666666666787899</v>
      </c>
      <c r="J269" s="16">
        <f ca="1">IFERROR(__xludf.DUMMYFUNCTION("""COMPUTED_VALUE"""),43553.6979166666)</f>
        <v>43553.697916666599</v>
      </c>
      <c r="K269" t="str">
        <f ca="1">IFERROR(__xludf.DUMMYFUNCTION("""COMPUTED_VALUE"""),"23ft Skiff (Bertha) FL7972LJ DEP07613")</f>
        <v>23ft Skiff (Bertha) FL7972LJ DEP07613</v>
      </c>
      <c r="M269" t="str">
        <f ca="1">IFERROR(__xludf.DUMMYFUNCTION("""COMPUTED_VALUE"""),"Ford F150 2008 - DEP18041 (SWMP Thing)")</f>
        <v>Ford F150 2008 - DEP18041 (SWMP Thing)</v>
      </c>
      <c r="N269" t="str">
        <f ca="1">IFERROR(__xludf.DUMMYFUNCTION("""COMPUTED_VALUE"""),"Pam Marcum, (480) 332-5414")</f>
        <v>Pam Marcum, (480) 332-5414</v>
      </c>
      <c r="O269" t="str">
        <f ca="1">IFERROR(__xludf.DUMMYFUNCTION("""COMPUTED_VALUE"""),"Jessica Lee")</f>
        <v>Jessica Lee</v>
      </c>
      <c r="P269" t="str">
        <f ca="1">IFERROR(__xludf.DUMMYFUNCTION("""COMPUTED_VALUE"""),"Pam")</f>
        <v>Pam</v>
      </c>
      <c r="Q269" t="str">
        <f ca="1">IFERROR(__xludf.DUMMYFUNCTION("""COMPUTED_VALUE"""),"Good")</f>
        <v>Good</v>
      </c>
      <c r="R269" t="str">
        <f ca="1">IFERROR(__xludf.DUMMYFUNCTION("""COMPUTED_VALUE"""),"Good")</f>
        <v>Good</v>
      </c>
      <c r="S269" t="str">
        <f ca="1">IFERROR(__xludf.DUMMYFUNCTION("""COMPUTED_VALUE"""),"Good")</f>
        <v>Good</v>
      </c>
      <c r="T269" t="str">
        <f ca="1">IFERROR(__xludf.DUMMYFUNCTION("""COMPUTED_VALUE"""),"Good")</f>
        <v>Good</v>
      </c>
      <c r="U269" t="str">
        <f ca="1">IFERROR(__xludf.DUMMYFUNCTION("""COMPUTED_VALUE"""),"Good")</f>
        <v>Good</v>
      </c>
      <c r="V269" t="str">
        <f ca="1">IFERROR(__xludf.DUMMYFUNCTION("""COMPUTED_VALUE"""),"Good")</f>
        <v>Good</v>
      </c>
      <c r="W269" t="str">
        <f ca="1">IFERROR(__xludf.DUMMYFUNCTION("""COMPUTED_VALUE"""),"Good")</f>
        <v>Good</v>
      </c>
      <c r="X269" t="str">
        <f ca="1">IFERROR(__xludf.DUMMYFUNCTION("""COMPUTED_VALUE"""),"Good")</f>
        <v>Good</v>
      </c>
      <c r="Y269" t="str">
        <f ca="1">IFERROR(__xludf.DUMMYFUNCTION("""COMPUTED_VALUE"""),"Good")</f>
        <v>Good</v>
      </c>
      <c r="Z269" t="str">
        <f ca="1">IFERROR(__xludf.DUMMYFUNCTION("""COMPUTED_VALUE"""),"Good")</f>
        <v>Good</v>
      </c>
      <c r="AA269" t="str">
        <f ca="1">IFERROR(__xludf.DUMMYFUNCTION("""COMPUTED_VALUE"""),"Good")</f>
        <v>Good</v>
      </c>
      <c r="AB269" t="str">
        <f ca="1">IFERROR(__xludf.DUMMYFUNCTION("""COMPUTED_VALUE"""),"Good")</f>
        <v>Good</v>
      </c>
      <c r="AC269" t="str">
        <f ca="1">IFERROR(__xludf.DUMMYFUNCTION("""COMPUTED_VALUE"""),"Good")</f>
        <v>Good</v>
      </c>
      <c r="AE269" s="11"/>
      <c r="AF269" t="str">
        <v>Nikki.Dix@floridadep.gov</v>
      </c>
      <c r="AG269" s="17" t="s">
        <v>113</v>
      </c>
      <c r="AH269" s="12">
        <v>1540</v>
      </c>
      <c r="AI269" s="12" t="s">
        <v>752</v>
      </c>
      <c r="AJ269" s="19" t="s">
        <v>753</v>
      </c>
      <c r="AK269" s="20" t="str">
        <f>HYPERLINK("https://docs.google.com/document/d/1L1BhSBkasbBc33FaIlGEUy1QJoKlaM_Jtc_EQeyB6rE/edit?usp=drivesdk","Pam Marcum - 3/29/2019 10:00 AM")</f>
        <v>Pam Marcum - 3/29/2019 10:00 AM</v>
      </c>
      <c r="AL269" s="12" t="s">
        <v>754</v>
      </c>
    </row>
    <row r="270" spans="1:38" ht="12.75">
      <c r="A270" s="10">
        <f ca="1">IFERROR(__xludf.DUMMYFUNCTION("""COMPUTED_VALUE"""),43555.4290140046)</f>
        <v>43555.4290140046</v>
      </c>
      <c r="B270" s="11" t="str">
        <f ca="1">IFERROR(__xludf.DUMMYFUNCTION("""COMPUTED_VALUE"""),"Pam Marcum")</f>
        <v>Pam Marcum</v>
      </c>
      <c r="C270" t="str">
        <f ca="1">IFERROR(__xludf.DUMMYFUNCTION("""COMPUTED_VALUE"""),"Pamela.Marcum@floridadep.gov")</f>
        <v>Pamela.Marcum@floridadep.gov</v>
      </c>
      <c r="D270" t="str">
        <f ca="1">IFERROR(__xludf.DUMMYFUNCTION("""COMPUTED_VALUE"""),"Research/Nikki")</f>
        <v>Research/Nikki</v>
      </c>
      <c r="E270" t="str">
        <f ca="1">IFERROR(__xludf.DUMMYFUNCTION("""COMPUTED_VALUE"""),"Shore, green, bings, lighthouse")</f>
        <v>Shore, green, bings, lighthouse</v>
      </c>
      <c r="F270" s="13">
        <f ca="1">IFERROR(__xludf.DUMMYFUNCTION("""COMPUTED_VALUE"""),0.42708333333212)</f>
        <v>0.42708333333212001</v>
      </c>
      <c r="G270" s="14">
        <f ca="1">IFERROR(__xludf.DUMMYFUNCTION("""COMPUTED_VALUE"""),43555)</f>
        <v>43555</v>
      </c>
      <c r="H270" t="str">
        <f ca="1">IFERROR(__xludf.DUMMYFUNCTION("""COMPUTED_VALUE"""),"Spat trees")</f>
        <v>Spat trees</v>
      </c>
      <c r="I270" s="15">
        <f ca="1">IFERROR(__xludf.DUMMYFUNCTION("""COMPUTED_VALUE"""),0.70833333333212)</f>
        <v>0.70833333333212001</v>
      </c>
      <c r="J270" s="16">
        <f ca="1">IFERROR(__xludf.DUMMYFUNCTION("""COMPUTED_VALUE"""),43555.71875)</f>
        <v>43555.71875</v>
      </c>
      <c r="K270" t="str">
        <f ca="1">IFERROR(__xludf.DUMMYFUNCTION("""COMPUTED_VALUE"""),"20ft Sea Ark FL5351SJ UNF 2015")</f>
        <v>20ft Sea Ark FL5351SJ UNF 2015</v>
      </c>
      <c r="M270" t="str">
        <f ca="1">IFERROR(__xludf.DUMMYFUNCTION("""COMPUTED_VALUE"""),"Ford F150 2008 - DEP18041 (SWMP Thing)")</f>
        <v>Ford F150 2008 - DEP18041 (SWMP Thing)</v>
      </c>
      <c r="N270" t="str">
        <f ca="1">IFERROR(__xludf.DUMMYFUNCTION("""COMPUTED_VALUE"""),"Joseph Burgess, (904) 599-2723")</f>
        <v>Joseph Burgess, (904) 599-2723</v>
      </c>
      <c r="O270" t="str">
        <f ca="1">IFERROR(__xludf.DUMMYFUNCTION("""COMPUTED_VALUE"""),"Nicole Peckham, Joey Turvey")</f>
        <v>Nicole Peckham, Joey Turvey</v>
      </c>
      <c r="P270" t="str">
        <f ca="1">IFERROR(__xludf.DUMMYFUNCTION("""COMPUTED_VALUE"""),"Pam")</f>
        <v>Pam</v>
      </c>
      <c r="Q270" t="str">
        <f ca="1">IFERROR(__xludf.DUMMYFUNCTION("""COMPUTED_VALUE"""),"Good")</f>
        <v>Good</v>
      </c>
      <c r="R270" t="str">
        <f ca="1">IFERROR(__xludf.DUMMYFUNCTION("""COMPUTED_VALUE"""),"Good")</f>
        <v>Good</v>
      </c>
      <c r="S270" t="str">
        <f ca="1">IFERROR(__xludf.DUMMYFUNCTION("""COMPUTED_VALUE"""),"Good")</f>
        <v>Good</v>
      </c>
      <c r="T270" t="str">
        <f ca="1">IFERROR(__xludf.DUMMYFUNCTION("""COMPUTED_VALUE"""),"Good")</f>
        <v>Good</v>
      </c>
      <c r="U270" t="str">
        <f ca="1">IFERROR(__xludf.DUMMYFUNCTION("""COMPUTED_VALUE"""),"Good")</f>
        <v>Good</v>
      </c>
      <c r="V270" t="str">
        <f ca="1">IFERROR(__xludf.DUMMYFUNCTION("""COMPUTED_VALUE"""),"Good")</f>
        <v>Good</v>
      </c>
      <c r="W270" t="str">
        <f ca="1">IFERROR(__xludf.DUMMYFUNCTION("""COMPUTED_VALUE"""),"Good")</f>
        <v>Good</v>
      </c>
      <c r="X270" t="str">
        <f ca="1">IFERROR(__xludf.DUMMYFUNCTION("""COMPUTED_VALUE"""),"Good")</f>
        <v>Good</v>
      </c>
      <c r="Y270" t="str">
        <f ca="1">IFERROR(__xludf.DUMMYFUNCTION("""COMPUTED_VALUE"""),"Good")</f>
        <v>Good</v>
      </c>
      <c r="Z270" t="str">
        <f ca="1">IFERROR(__xludf.DUMMYFUNCTION("""COMPUTED_VALUE"""),"Good")</f>
        <v>Good</v>
      </c>
      <c r="AA270" t="str">
        <f ca="1">IFERROR(__xludf.DUMMYFUNCTION("""COMPUTED_VALUE"""),"Good")</f>
        <v>Good</v>
      </c>
      <c r="AB270" t="str">
        <f ca="1">IFERROR(__xludf.DUMMYFUNCTION("""COMPUTED_VALUE"""),"Good")</f>
        <v>Good</v>
      </c>
      <c r="AC270" t="str">
        <f ca="1">IFERROR(__xludf.DUMMYFUNCTION("""COMPUTED_VALUE"""),"Good")</f>
        <v>Good</v>
      </c>
      <c r="AE270" s="11"/>
      <c r="AF270" t="str">
        <v>Nikki.Dix@floridadep.gov</v>
      </c>
      <c r="AG270" s="17" t="s">
        <v>41</v>
      </c>
      <c r="AH270" s="12">
        <v>1545</v>
      </c>
      <c r="AI270" s="12" t="s">
        <v>755</v>
      </c>
      <c r="AJ270" s="19" t="s">
        <v>756</v>
      </c>
      <c r="AK270" s="20" t="str">
        <f>HYPERLINK("https://docs.google.com/document/d/1Dzim86Y4YGT_YVul2rHTGacthfweWnqj2ROmmM8TFk0/edit?usp=drivesdk","Pam Marcum - 3/31/2019 10:15 AM")</f>
        <v>Pam Marcum - 3/31/2019 10:15 AM</v>
      </c>
      <c r="AL270" s="12" t="s">
        <v>757</v>
      </c>
    </row>
    <row r="271" spans="1:38" ht="12.75">
      <c r="A271" s="10">
        <f ca="1">IFERROR(__xludf.DUMMYFUNCTION("""COMPUTED_VALUE"""),43556.4109893402)</f>
        <v>43556.410989340198</v>
      </c>
      <c r="B271" s="11" t="str">
        <f ca="1">IFERROR(__xludf.DUMMYFUNCTION("""COMPUTED_VALUE"""),"Pamela Marcum")</f>
        <v>Pamela Marcum</v>
      </c>
      <c r="C271" t="str">
        <f ca="1">IFERROR(__xludf.DUMMYFUNCTION("""COMPUTED_VALUE"""),"Pamela.Marcum@dep.state.fl.us")</f>
        <v>Pamela.Marcum@dep.state.fl.us</v>
      </c>
      <c r="D271" t="str">
        <f ca="1">IFERROR(__xludf.DUMMYFUNCTION("""COMPUTED_VALUE"""),"Research/Nikki")</f>
        <v>Research/Nikki</v>
      </c>
      <c r="E271" t="str">
        <f ca="1">IFERROR(__xludf.DUMMYFUNCTION("""COMPUTED_VALUE"""),"Aunt Kates")</f>
        <v>Aunt Kates</v>
      </c>
      <c r="F271" s="13">
        <f ca="1">IFERROR(__xludf.DUMMYFUNCTION("""COMPUTED_VALUE"""),0.5)</f>
        <v>0.5</v>
      </c>
      <c r="G271" s="14">
        <f ca="1">IFERROR(__xludf.DUMMYFUNCTION("""COMPUTED_VALUE"""),43556)</f>
        <v>43556</v>
      </c>
      <c r="H271" t="str">
        <f ca="1">IFERROR(__xludf.DUMMYFUNCTION("""COMPUTED_VALUE"""),"Tolomato and Guana spat trees")</f>
        <v>Tolomato and Guana spat trees</v>
      </c>
      <c r="I271" s="15">
        <f ca="1">IFERROR(__xludf.DUMMYFUNCTION("""COMPUTED_VALUE"""),0.666666666667879)</f>
        <v>0.66666666666787899</v>
      </c>
      <c r="J271" s="16">
        <f ca="1">IFERROR(__xludf.DUMMYFUNCTION("""COMPUTED_VALUE"""),43556.6875)</f>
        <v>43556.6875</v>
      </c>
      <c r="K271" t="str">
        <f ca="1">IFERROR(__xludf.DUMMYFUNCTION("""COMPUTED_VALUE"""),"20ft Sea Ark FL5351SJ UNF 2015")</f>
        <v>20ft Sea Ark FL5351SJ UNF 2015</v>
      </c>
      <c r="M271" t="str">
        <f ca="1">IFERROR(__xludf.DUMMYFUNCTION("""COMPUTED_VALUE"""),"Ford F150 2008 - DEP18041 (SWMP Thing)")</f>
        <v>Ford F150 2008 - DEP18041 (SWMP Thing)</v>
      </c>
      <c r="N271" t="str">
        <f ca="1">IFERROR(__xludf.DUMMYFUNCTION("""COMPUTED_VALUE"""),"Pam Marcum, (480) 332-5414")</f>
        <v>Pam Marcum, (480) 332-5414</v>
      </c>
      <c r="O271" t="str">
        <f ca="1">IFERROR(__xludf.DUMMYFUNCTION("""COMPUTED_VALUE"""),"Adrienne Breef-Pilz, Nicole Peckham")</f>
        <v>Adrienne Breef-Pilz, Nicole Peckham</v>
      </c>
      <c r="P271" t="str">
        <f ca="1">IFERROR(__xludf.DUMMYFUNCTION("""COMPUTED_VALUE"""),"Pam")</f>
        <v>Pam</v>
      </c>
      <c r="Q271" t="str">
        <f ca="1">IFERROR(__xludf.DUMMYFUNCTION("""COMPUTED_VALUE"""),"Good")</f>
        <v>Good</v>
      </c>
      <c r="R271" t="str">
        <f ca="1">IFERROR(__xludf.DUMMYFUNCTION("""COMPUTED_VALUE"""),"Good")</f>
        <v>Good</v>
      </c>
      <c r="S271" t="str">
        <f ca="1">IFERROR(__xludf.DUMMYFUNCTION("""COMPUTED_VALUE"""),"Good")</f>
        <v>Good</v>
      </c>
      <c r="T271" t="str">
        <f ca="1">IFERROR(__xludf.DUMMYFUNCTION("""COMPUTED_VALUE"""),"Good")</f>
        <v>Good</v>
      </c>
      <c r="U271" t="str">
        <f ca="1">IFERROR(__xludf.DUMMYFUNCTION("""COMPUTED_VALUE"""),"Good")</f>
        <v>Good</v>
      </c>
      <c r="V271" t="str">
        <f ca="1">IFERROR(__xludf.DUMMYFUNCTION("""COMPUTED_VALUE"""),"Good")</f>
        <v>Good</v>
      </c>
      <c r="W271" t="str">
        <f ca="1">IFERROR(__xludf.DUMMYFUNCTION("""COMPUTED_VALUE"""),"Good")</f>
        <v>Good</v>
      </c>
      <c r="X271" t="str">
        <f ca="1">IFERROR(__xludf.DUMMYFUNCTION("""COMPUTED_VALUE"""),"Good")</f>
        <v>Good</v>
      </c>
      <c r="Y271" t="str">
        <f ca="1">IFERROR(__xludf.DUMMYFUNCTION("""COMPUTED_VALUE"""),"Good")</f>
        <v>Good</v>
      </c>
      <c r="Z271" t="str">
        <f ca="1">IFERROR(__xludf.DUMMYFUNCTION("""COMPUTED_VALUE"""),"Good")</f>
        <v>Good</v>
      </c>
      <c r="AA271" t="str">
        <f ca="1">IFERROR(__xludf.DUMMYFUNCTION("""COMPUTED_VALUE"""),"Good")</f>
        <v>Good</v>
      </c>
      <c r="AB271" t="str">
        <f ca="1">IFERROR(__xludf.DUMMYFUNCTION("""COMPUTED_VALUE"""),"Good")</f>
        <v>Good</v>
      </c>
      <c r="AC271" t="str">
        <f ca="1">IFERROR(__xludf.DUMMYFUNCTION("""COMPUTED_VALUE"""),"Good")</f>
        <v>Good</v>
      </c>
      <c r="AE271" s="11"/>
      <c r="AF271" t="str">
        <v>Nikki.Dix@floridadep.gov</v>
      </c>
      <c r="AG271" s="17" t="s">
        <v>41</v>
      </c>
      <c r="AH271" s="12">
        <v>1610</v>
      </c>
      <c r="AI271" s="12" t="s">
        <v>758</v>
      </c>
      <c r="AJ271" s="19" t="s">
        <v>759</v>
      </c>
      <c r="AK271" s="20" t="str">
        <f>HYPERLINK("https://docs.google.com/document/d/1mBCEfKk4M0GnmEfttHkg7DYLU8NC9VAAZ_0zCFxBuws/edit?usp=drivesdk","Pamela Marcum - 4/1/2019 12:00 PM")</f>
        <v>Pamela Marcum - 4/1/2019 12:00 PM</v>
      </c>
      <c r="AL271" s="12" t="s">
        <v>760</v>
      </c>
    </row>
    <row r="272" spans="1:38" ht="12.75">
      <c r="A272" s="10">
        <f ca="1">IFERROR(__xludf.DUMMYFUNCTION("""COMPUTED_VALUE"""),43556.7473718981)</f>
        <v>43556.747371898098</v>
      </c>
      <c r="B272" s="11" t="str">
        <f ca="1">IFERROR(__xludf.DUMMYFUNCTION("""COMPUTED_VALUE"""),"James Tomazinis")</f>
        <v>James Tomazinis</v>
      </c>
      <c r="C272" t="str">
        <f ca="1">IFERROR(__xludf.DUMMYFUNCTION("""COMPUTED_VALUE"""),"james.tomazinis@floridadep.gov")</f>
        <v>james.tomazinis@floridadep.gov</v>
      </c>
      <c r="D272" t="str">
        <f ca="1">IFERROR(__xludf.DUMMYFUNCTION("""COMPUTED_VALUE"""),"Stewardship (Aquatic)")</f>
        <v>Stewardship (Aquatic)</v>
      </c>
      <c r="E272" t="str">
        <f ca="1">IFERROR(__xludf.DUMMYFUNCTION("""COMPUTED_VALUE"""),"Guana Dam")</f>
        <v>Guana Dam</v>
      </c>
      <c r="F272" s="13">
        <f ca="1">IFERROR(__xludf.DUMMYFUNCTION("""COMPUTED_VALUE"""),0.375)</f>
        <v>0.375</v>
      </c>
      <c r="G272" s="14">
        <f ca="1">IFERROR(__xludf.DUMMYFUNCTION("""COMPUTED_VALUE"""),43557)</f>
        <v>43557</v>
      </c>
      <c r="H272" t="str">
        <f ca="1">IFERROR(__xludf.DUMMYFUNCTION("""COMPUTED_VALUE"""),"Guana River WQ sites")</f>
        <v>Guana River WQ sites</v>
      </c>
      <c r="I272" s="15">
        <f ca="1">IFERROR(__xludf.DUMMYFUNCTION("""COMPUTED_VALUE"""),0.4375)</f>
        <v>0.4375</v>
      </c>
      <c r="J272" s="16"/>
      <c r="K272" t="str">
        <f ca="1">IFERROR(__xludf.DUMMYFUNCTION("""COMPUTED_VALUE"""),"Jon Boat FL0484NP DEP06819")</f>
        <v>Jon Boat FL0484NP DEP06819</v>
      </c>
      <c r="M272" t="str">
        <f ca="1">IFERROR(__xludf.DUMMYFUNCTION("""COMPUTED_VALUE"""),"Ford F150 2015 (White) - DEP21448")</f>
        <v>Ford F150 2015 (White) - DEP21448</v>
      </c>
      <c r="N272" t="str">
        <f ca="1">IFERROR(__xludf.DUMMYFUNCTION("""COMPUTED_VALUE"""),"Jimmy Tomazinis, (904) 547-0094")</f>
        <v>Jimmy Tomazinis, (904) 547-0094</v>
      </c>
      <c r="O272" t="str">
        <f ca="1">IFERROR(__xludf.DUMMYFUNCTION("""COMPUTED_VALUE"""),"Mike Darragh")</f>
        <v>Mike Darragh</v>
      </c>
      <c r="P272" t="str">
        <f ca="1">IFERROR(__xludf.DUMMYFUNCTION("""COMPUTED_VALUE"""),"Jimmy")</f>
        <v>Jimmy</v>
      </c>
      <c r="Q272" t="str">
        <f ca="1">IFERROR(__xludf.DUMMYFUNCTION("""COMPUTED_VALUE"""),"Good")</f>
        <v>Good</v>
      </c>
      <c r="R272" t="str">
        <f ca="1">IFERROR(__xludf.DUMMYFUNCTION("""COMPUTED_VALUE"""),"Good")</f>
        <v>Good</v>
      </c>
      <c r="S272" t="str">
        <f ca="1">IFERROR(__xludf.DUMMYFUNCTION("""COMPUTED_VALUE"""),"Good")</f>
        <v>Good</v>
      </c>
      <c r="T272" t="str">
        <f ca="1">IFERROR(__xludf.DUMMYFUNCTION("""COMPUTED_VALUE"""),"Good")</f>
        <v>Good</v>
      </c>
      <c r="U272" t="str">
        <f ca="1">IFERROR(__xludf.DUMMYFUNCTION("""COMPUTED_VALUE"""),"Good")</f>
        <v>Good</v>
      </c>
      <c r="V272" t="str">
        <f ca="1">IFERROR(__xludf.DUMMYFUNCTION("""COMPUTED_VALUE"""),"Good")</f>
        <v>Good</v>
      </c>
      <c r="W272" t="str">
        <f ca="1">IFERROR(__xludf.DUMMYFUNCTION("""COMPUTED_VALUE"""),"Good")</f>
        <v>Good</v>
      </c>
      <c r="X272" t="str">
        <f ca="1">IFERROR(__xludf.DUMMYFUNCTION("""COMPUTED_VALUE"""),"Good")</f>
        <v>Good</v>
      </c>
      <c r="Y272" t="str">
        <f ca="1">IFERROR(__xludf.DUMMYFUNCTION("""COMPUTED_VALUE"""),"Good")</f>
        <v>Good</v>
      </c>
      <c r="Z272" t="str">
        <f ca="1">IFERROR(__xludf.DUMMYFUNCTION("""COMPUTED_VALUE"""),"Good")</f>
        <v>Good</v>
      </c>
      <c r="AA272" t="str">
        <f ca="1">IFERROR(__xludf.DUMMYFUNCTION("""COMPUTED_VALUE"""),"Good")</f>
        <v>Good</v>
      </c>
      <c r="AB272" t="str">
        <f ca="1">IFERROR(__xludf.DUMMYFUNCTION("""COMPUTED_VALUE"""),"Good")</f>
        <v>Good</v>
      </c>
      <c r="AC272" t="str">
        <f ca="1">IFERROR(__xludf.DUMMYFUNCTION("""COMPUTED_VALUE"""),"Good")</f>
        <v>Good</v>
      </c>
      <c r="AE272" s="11"/>
      <c r="AF272" t="str">
        <v>Scott.Eastman@floridadep.gov</v>
      </c>
      <c r="AG272" s="17" t="s">
        <v>17</v>
      </c>
      <c r="AH272" s="12">
        <v>1145</v>
      </c>
      <c r="AI272" s="12" t="s">
        <v>761</v>
      </c>
      <c r="AJ272" s="19" t="s">
        <v>762</v>
      </c>
      <c r="AK272" s="20" t="str">
        <f>HYPERLINK("https://docs.google.com/document/d/1hBWPvOMDWDX1__sfEInbaoUfl4W3yrdgE2duMe0b6N8/edit?usp=drivesdk","James Tomazinis - 4/2/2019 9:00 AM")</f>
        <v>James Tomazinis - 4/2/2019 9:00 AM</v>
      </c>
      <c r="AL272" s="12" t="s">
        <v>763</v>
      </c>
    </row>
    <row r="273" spans="1:38" ht="12.75">
      <c r="A273" s="10">
        <f ca="1">IFERROR(__xludf.DUMMYFUNCTION("""COMPUTED_VALUE"""),43558.3048768865)</f>
        <v>43558.304876886497</v>
      </c>
      <c r="B273" s="11" t="str">
        <f ca="1">IFERROR(__xludf.DUMMYFUNCTION("""COMPUTED_VALUE"""),"Silas Tanner")</f>
        <v>Silas Tanner</v>
      </c>
      <c r="C273" t="str">
        <f ca="1">IFERROR(__xludf.DUMMYFUNCTION("""COMPUTED_VALUE"""),"silas.tanner@floridadep.gov")</f>
        <v>silas.tanner@floridadep.gov</v>
      </c>
      <c r="D273" t="str">
        <f ca="1">IFERROR(__xludf.DUMMYFUNCTION("""COMPUTED_VALUE"""),"Research/Nikki")</f>
        <v>Research/Nikki</v>
      </c>
      <c r="E273" t="str">
        <f ca="1">IFERROR(__xludf.DUMMYFUNCTION("""COMPUTED_VALUE"""),"Vilano Landing")</f>
        <v>Vilano Landing</v>
      </c>
      <c r="F273" s="13">
        <f ca="1">IFERROR(__xludf.DUMMYFUNCTION("""COMPUTED_VALUE"""),0.3125)</f>
        <v>0.3125</v>
      </c>
      <c r="G273" s="14">
        <f ca="1">IFERROR(__xludf.DUMMYFUNCTION("""COMPUTED_VALUE"""),43558)</f>
        <v>43558</v>
      </c>
      <c r="H273" t="str">
        <f ca="1">IFERROR(__xludf.DUMMYFUNCTION("""COMPUTED_VALUE"""),"ICW SWMP sites")</f>
        <v>ICW SWMP sites</v>
      </c>
      <c r="I273" s="15">
        <f ca="1">IFERROR(__xludf.DUMMYFUNCTION("""COMPUTED_VALUE"""),0.52083333333212)</f>
        <v>0.52083333333212001</v>
      </c>
      <c r="J273" s="16">
        <f ca="1">IFERROR(__xludf.DUMMYFUNCTION("""COMPUTED_VALUE"""),43558.5416666666)</f>
        <v>43558.541666666599</v>
      </c>
      <c r="K273" t="str">
        <f ca="1">IFERROR(__xludf.DUMMYFUNCTION("""COMPUTED_VALUE"""),"20ft Sea Ark FL5351SJ UNF 2015")</f>
        <v>20ft Sea Ark FL5351SJ UNF 2015</v>
      </c>
      <c r="M273" t="str">
        <f ca="1">IFERROR(__xludf.DUMMYFUNCTION("""COMPUTED_VALUE"""),"Ford F150 2015 (White) - DEP21448")</f>
        <v>Ford F150 2015 (White) - DEP21448</v>
      </c>
      <c r="N273" t="str">
        <f ca="1">IFERROR(__xludf.DUMMYFUNCTION("""COMPUTED_VALUE"""),"Silas Tanner, (904) 483-8423, Jimmy Tomazinis, (904) 547-0094")</f>
        <v>Silas Tanner, (904) 483-8423, Jimmy Tomazinis, (904) 547-0094</v>
      </c>
      <c r="O273" t="str">
        <f ca="1">IFERROR(__xludf.DUMMYFUNCTION("""COMPUTED_VALUE"""),"Jeff Finnan")</f>
        <v>Jeff Finnan</v>
      </c>
      <c r="P273" t="str">
        <f ca="1">IFERROR(__xludf.DUMMYFUNCTION("""COMPUTED_VALUE"""),"S. Tanner")</f>
        <v>S. Tanner</v>
      </c>
      <c r="Q273" t="str">
        <f ca="1">IFERROR(__xludf.DUMMYFUNCTION("""COMPUTED_VALUE"""),"Good")</f>
        <v>Good</v>
      </c>
      <c r="R273" t="str">
        <f ca="1">IFERROR(__xludf.DUMMYFUNCTION("""COMPUTED_VALUE"""),"Good")</f>
        <v>Good</v>
      </c>
      <c r="S273" t="str">
        <f ca="1">IFERROR(__xludf.DUMMYFUNCTION("""COMPUTED_VALUE"""),"Good")</f>
        <v>Good</v>
      </c>
      <c r="T273" t="str">
        <f ca="1">IFERROR(__xludf.DUMMYFUNCTION("""COMPUTED_VALUE"""),"Good")</f>
        <v>Good</v>
      </c>
      <c r="U273" t="str">
        <f ca="1">IFERROR(__xludf.DUMMYFUNCTION("""COMPUTED_VALUE"""),"Good")</f>
        <v>Good</v>
      </c>
      <c r="V273" t="str">
        <f ca="1">IFERROR(__xludf.DUMMYFUNCTION("""COMPUTED_VALUE"""),"Good")</f>
        <v>Good</v>
      </c>
      <c r="W273" t="str">
        <f ca="1">IFERROR(__xludf.DUMMYFUNCTION("""COMPUTED_VALUE"""),"Good")</f>
        <v>Good</v>
      </c>
      <c r="X273" t="str">
        <f ca="1">IFERROR(__xludf.DUMMYFUNCTION("""COMPUTED_VALUE"""),"Good")</f>
        <v>Good</v>
      </c>
      <c r="Y273" t="str">
        <f ca="1">IFERROR(__xludf.DUMMYFUNCTION("""COMPUTED_VALUE"""),"Good")</f>
        <v>Good</v>
      </c>
      <c r="Z273" t="str">
        <f ca="1">IFERROR(__xludf.DUMMYFUNCTION("""COMPUTED_VALUE"""),"Good")</f>
        <v>Good</v>
      </c>
      <c r="AA273" t="str">
        <f ca="1">IFERROR(__xludf.DUMMYFUNCTION("""COMPUTED_VALUE"""),"Good")</f>
        <v>Good</v>
      </c>
      <c r="AB273" t="str">
        <f ca="1">IFERROR(__xludf.DUMMYFUNCTION("""COMPUTED_VALUE"""),"Good")</f>
        <v>Good</v>
      </c>
      <c r="AC273" t="str">
        <f ca="1">IFERROR(__xludf.DUMMYFUNCTION("""COMPUTED_VALUE"""),"Good")</f>
        <v>Good</v>
      </c>
      <c r="AE273" s="11"/>
      <c r="AF273" t="str">
        <v>Nikki.Dix@floridadep.gov</v>
      </c>
      <c r="AG273" s="17" t="s">
        <v>17</v>
      </c>
      <c r="AH273" s="12">
        <v>1215</v>
      </c>
      <c r="AI273" s="12" t="s">
        <v>764</v>
      </c>
      <c r="AJ273" s="19" t="s">
        <v>765</v>
      </c>
      <c r="AK273" s="20" t="str">
        <f>HYPERLINK("https://docs.google.com/document/d/1dGjXr-f0fBAgpju4CycNigpwZYO7y6akkSw-DyY80Hg/edit?usp=drivesdk","Silas Tanner - 4/3/2019 7:30 AM")</f>
        <v>Silas Tanner - 4/3/2019 7:30 AM</v>
      </c>
      <c r="AL273" s="12" t="s">
        <v>766</v>
      </c>
    </row>
    <row r="274" spans="1:38" ht="12.75">
      <c r="A274" s="10">
        <f ca="1">IFERROR(__xludf.DUMMYFUNCTION("""COMPUTED_VALUE"""),43563.2769337847)</f>
        <v>43563.276933784698</v>
      </c>
      <c r="B274" s="11" t="str">
        <f ca="1">IFERROR(__xludf.DUMMYFUNCTION("""COMPUTED_VALUE"""),"Silas Tanner")</f>
        <v>Silas Tanner</v>
      </c>
      <c r="C274" t="str">
        <f ca="1">IFERROR(__xludf.DUMMYFUNCTION("""COMPUTED_VALUE"""),"silas.tanner@floridadep.gov")</f>
        <v>silas.tanner@floridadep.gov</v>
      </c>
      <c r="D274" t="str">
        <f ca="1">IFERROR(__xludf.DUMMYFUNCTION("""COMPUTED_VALUE"""),"Research/Nikki")</f>
        <v>Research/Nikki</v>
      </c>
      <c r="E274" t="str">
        <f ca="1">IFERROR(__xludf.DUMMYFUNCTION("""COMPUTED_VALUE"""),"Moses Creek floating dock")</f>
        <v>Moses Creek floating dock</v>
      </c>
      <c r="F274" s="13">
        <f ca="1">IFERROR(__xludf.DUMMYFUNCTION("""COMPUTED_VALUE"""),0.354166666667879)</f>
        <v>0.35416666666787899</v>
      </c>
      <c r="G274" s="14">
        <f ca="1">IFERROR(__xludf.DUMMYFUNCTION("""COMPUTED_VALUE"""),43563)</f>
        <v>43563</v>
      </c>
      <c r="H274" t="str">
        <f ca="1">IFERROR(__xludf.DUMMYFUNCTION("""COMPUTED_VALUE"""),"Moses Creek SWMP platforms")</f>
        <v>Moses Creek SWMP platforms</v>
      </c>
      <c r="I274" s="15">
        <f ca="1">IFERROR(__xludf.DUMMYFUNCTION("""COMPUTED_VALUE"""),0.5625)</f>
        <v>0.5625</v>
      </c>
      <c r="J274" s="16">
        <f ca="1">IFERROR(__xludf.DUMMYFUNCTION("""COMPUTED_VALUE"""),43563.6041666666)</f>
        <v>43563.604166666599</v>
      </c>
      <c r="K274" t="str">
        <f ca="1">IFERROR(__xludf.DUMMYFUNCTION("""COMPUTED_VALUE"""),"Canoe(s)")</f>
        <v>Canoe(s)</v>
      </c>
      <c r="L274">
        <f ca="1">IFERROR(__xludf.DUMMYFUNCTION("""COMPUTED_VALUE"""),2)</f>
        <v>2</v>
      </c>
      <c r="M274" t="str">
        <f ca="1">IFERROR(__xludf.DUMMYFUNCTION("""COMPUTED_VALUE"""),"Ford F250 2017 (Moby Dix) - DEP0021578")</f>
        <v>Ford F250 2017 (Moby Dix) - DEP0021578</v>
      </c>
      <c r="N274" t="str">
        <f ca="1">IFERROR(__xludf.DUMMYFUNCTION("""COMPUTED_VALUE"""),"Pam Marcum, (480) 332-5414, Shannon Dunnigan, (803) 727-5734, Silas Tanner, (904) 483-8423")</f>
        <v>Pam Marcum, (480) 332-5414, Shannon Dunnigan, (803) 727-5734, Silas Tanner, (904) 483-8423</v>
      </c>
      <c r="P274" t="str">
        <f ca="1">IFERROR(__xludf.DUMMYFUNCTION("""COMPUTED_VALUE"""),"S. Tanner")</f>
        <v>S. Tanner</v>
      </c>
      <c r="Q274" t="str">
        <f ca="1">IFERROR(__xludf.DUMMYFUNCTION("""COMPUTED_VALUE"""),"Good")</f>
        <v>Good</v>
      </c>
      <c r="R274" t="str">
        <f ca="1">IFERROR(__xludf.DUMMYFUNCTION("""COMPUTED_VALUE"""),"Good")</f>
        <v>Good</v>
      </c>
      <c r="S274" t="str">
        <f ca="1">IFERROR(__xludf.DUMMYFUNCTION("""COMPUTED_VALUE"""),"Good")</f>
        <v>Good</v>
      </c>
      <c r="T274" t="str">
        <f ca="1">IFERROR(__xludf.DUMMYFUNCTION("""COMPUTED_VALUE"""),"Good")</f>
        <v>Good</v>
      </c>
      <c r="U274" t="str">
        <f ca="1">IFERROR(__xludf.DUMMYFUNCTION("""COMPUTED_VALUE"""),"Good")</f>
        <v>Good</v>
      </c>
      <c r="V274" t="str">
        <f ca="1">IFERROR(__xludf.DUMMYFUNCTION("""COMPUTED_VALUE"""),"Good")</f>
        <v>Good</v>
      </c>
      <c r="W274" t="str">
        <f ca="1">IFERROR(__xludf.DUMMYFUNCTION("""COMPUTED_VALUE"""),"Good")</f>
        <v>Good</v>
      </c>
      <c r="X274" t="str">
        <f ca="1">IFERROR(__xludf.DUMMYFUNCTION("""COMPUTED_VALUE"""),"Good")</f>
        <v>Good</v>
      </c>
      <c r="Y274" t="str">
        <f ca="1">IFERROR(__xludf.DUMMYFUNCTION("""COMPUTED_VALUE"""),"Good")</f>
        <v>Good</v>
      </c>
      <c r="Z274" t="str">
        <f ca="1">IFERROR(__xludf.DUMMYFUNCTION("""COMPUTED_VALUE"""),"Good")</f>
        <v>Good</v>
      </c>
      <c r="AA274" t="str">
        <f ca="1">IFERROR(__xludf.DUMMYFUNCTION("""COMPUTED_VALUE"""),"Good")</f>
        <v>Good</v>
      </c>
      <c r="AB274" t="str">
        <f ca="1">IFERROR(__xludf.DUMMYFUNCTION("""COMPUTED_VALUE"""),"Good")</f>
        <v>Good</v>
      </c>
      <c r="AC274" t="str">
        <f ca="1">IFERROR(__xludf.DUMMYFUNCTION("""COMPUTED_VALUE"""),"Good")</f>
        <v>Good</v>
      </c>
      <c r="AE274" s="11"/>
      <c r="AF274" t="str">
        <v>Nikki.Dix@floridadep.gov</v>
      </c>
      <c r="AG274" s="17" t="s">
        <v>58</v>
      </c>
      <c r="AH274" s="12">
        <v>1214</v>
      </c>
      <c r="AI274" s="12" t="s">
        <v>767</v>
      </c>
      <c r="AJ274" s="19" t="s">
        <v>768</v>
      </c>
      <c r="AK274" s="20" t="str">
        <f>HYPERLINK("https://docs.google.com/document/d/1zpiiQnRk_ny2eghst2yO43NK7mtn9wSbSuVWKqfFa1w/edit?usp=drivesdk","Silas Tanner - 4/8/2019 8:30 AM")</f>
        <v>Silas Tanner - 4/8/2019 8:30 AM</v>
      </c>
      <c r="AL274" s="12" t="s">
        <v>769</v>
      </c>
    </row>
    <row r="275" spans="1:38" ht="12.75">
      <c r="A275" s="10">
        <f ca="1">IFERROR(__xludf.DUMMYFUNCTION("""COMPUTED_VALUE"""),43563.6790628472)</f>
        <v>43563.679062847201</v>
      </c>
      <c r="B275" s="11" t="str">
        <f ca="1">IFERROR(__xludf.DUMMYFUNCTION("""COMPUTED_VALUE"""),"Pamela Marcum")</f>
        <v>Pamela Marcum</v>
      </c>
      <c r="C275" t="str">
        <f ca="1">IFERROR(__xludf.DUMMYFUNCTION("""COMPUTED_VALUE"""),"Pamela.Marcum@dep.state.fl.us")</f>
        <v>Pamela.Marcum@dep.state.fl.us</v>
      </c>
      <c r="D275" t="str">
        <f ca="1">IFERROR(__xludf.DUMMYFUNCTION("""COMPUTED_VALUE"""),"Research/Nikki")</f>
        <v>Research/Nikki</v>
      </c>
      <c r="E275" t="str">
        <f ca="1">IFERROR(__xludf.DUMMYFUNCTION("""COMPUTED_VALUE"""),"Aunt Kate's")</f>
        <v>Aunt Kate's</v>
      </c>
      <c r="F275" s="13">
        <f ca="1">IFERROR(__xludf.DUMMYFUNCTION("""COMPUTED_VALUE"""),0.729166666667879)</f>
        <v>0.72916666666787899</v>
      </c>
      <c r="G275" s="14">
        <f ca="1">IFERROR(__xludf.DUMMYFUNCTION("""COMPUTED_VALUE"""),43563)</f>
        <v>43563</v>
      </c>
      <c r="H275" t="str">
        <f ca="1">IFERROR(__xludf.DUMMYFUNCTION("""COMPUTED_VALUE"""),"Tolomato &amp; Guana Rivers")</f>
        <v>Tolomato &amp; Guana Rivers</v>
      </c>
      <c r="I275" s="15">
        <f ca="1">IFERROR(__xludf.DUMMYFUNCTION("""COMPUTED_VALUE"""),0.854166666667879)</f>
        <v>0.85416666666787899</v>
      </c>
      <c r="J275" s="16">
        <f ca="1">IFERROR(__xludf.DUMMYFUNCTION("""COMPUTED_VALUE"""),43563.8645833333)</f>
        <v>43563.864583333299</v>
      </c>
      <c r="K275" t="str">
        <f ca="1">IFERROR(__xludf.DUMMYFUNCTION("""COMPUTED_VALUE"""),"20ft Sea Ark FL5351SJ UNF 2015")</f>
        <v>20ft Sea Ark FL5351SJ UNF 2015</v>
      </c>
      <c r="M275" t="str">
        <f ca="1">IFERROR(__xludf.DUMMYFUNCTION("""COMPUTED_VALUE"""),"Ford F250 2017 (Moby Dix) - DEP0021578")</f>
        <v>Ford F250 2017 (Moby Dix) - DEP0021578</v>
      </c>
      <c r="N275" t="str">
        <f ca="1">IFERROR(__xludf.DUMMYFUNCTION("""COMPUTED_VALUE"""),"Pam Marcum, (480) 332-5414")</f>
        <v>Pam Marcum, (480) 332-5414</v>
      </c>
      <c r="O275" t="str">
        <f ca="1">IFERROR(__xludf.DUMMYFUNCTION("""COMPUTED_VALUE"""),"Nicole Peckham, Adrienne Breef-Pilz")</f>
        <v>Nicole Peckham, Adrienne Breef-Pilz</v>
      </c>
      <c r="P275" t="str">
        <f ca="1">IFERROR(__xludf.DUMMYFUNCTION("""COMPUTED_VALUE"""),"Pam")</f>
        <v>Pam</v>
      </c>
      <c r="Q275" t="str">
        <f ca="1">IFERROR(__xludf.DUMMYFUNCTION("""COMPUTED_VALUE"""),"Good")</f>
        <v>Good</v>
      </c>
      <c r="R275" t="str">
        <f ca="1">IFERROR(__xludf.DUMMYFUNCTION("""COMPUTED_VALUE"""),"Good")</f>
        <v>Good</v>
      </c>
      <c r="S275" t="str">
        <f ca="1">IFERROR(__xludf.DUMMYFUNCTION("""COMPUTED_VALUE"""),"Good")</f>
        <v>Good</v>
      </c>
      <c r="T275" t="str">
        <f ca="1">IFERROR(__xludf.DUMMYFUNCTION("""COMPUTED_VALUE"""),"Good")</f>
        <v>Good</v>
      </c>
      <c r="U275" t="str">
        <f ca="1">IFERROR(__xludf.DUMMYFUNCTION("""COMPUTED_VALUE"""),"Good")</f>
        <v>Good</v>
      </c>
      <c r="V275" t="str">
        <f ca="1">IFERROR(__xludf.DUMMYFUNCTION("""COMPUTED_VALUE"""),"Good")</f>
        <v>Good</v>
      </c>
      <c r="W275" t="str">
        <f ca="1">IFERROR(__xludf.DUMMYFUNCTION("""COMPUTED_VALUE"""),"Good")</f>
        <v>Good</v>
      </c>
      <c r="X275" t="str">
        <f ca="1">IFERROR(__xludf.DUMMYFUNCTION("""COMPUTED_VALUE"""),"Good")</f>
        <v>Good</v>
      </c>
      <c r="Y275" t="str">
        <f ca="1">IFERROR(__xludf.DUMMYFUNCTION("""COMPUTED_VALUE"""),"Good")</f>
        <v>Good</v>
      </c>
      <c r="Z275" t="str">
        <f ca="1">IFERROR(__xludf.DUMMYFUNCTION("""COMPUTED_VALUE"""),"Good")</f>
        <v>Good</v>
      </c>
      <c r="AA275" t="str">
        <f ca="1">IFERROR(__xludf.DUMMYFUNCTION("""COMPUTED_VALUE"""),"Good")</f>
        <v>Good</v>
      </c>
      <c r="AB275" t="str">
        <f ca="1">IFERROR(__xludf.DUMMYFUNCTION("""COMPUTED_VALUE"""),"Good")</f>
        <v>Good</v>
      </c>
      <c r="AC275" t="str">
        <f ca="1">IFERROR(__xludf.DUMMYFUNCTION("""COMPUTED_VALUE"""),"Good")</f>
        <v>Good</v>
      </c>
      <c r="AE275" s="11"/>
      <c r="AF275" t="str">
        <v>Nikki.Dix@floridadep.gov</v>
      </c>
      <c r="AG275" s="17" t="s">
        <v>770</v>
      </c>
      <c r="AH275" s="12" t="s">
        <v>278</v>
      </c>
      <c r="AI275" s="12" t="s">
        <v>771</v>
      </c>
      <c r="AJ275" s="19" t="s">
        <v>772</v>
      </c>
      <c r="AK275" s="20" t="str">
        <f>HYPERLINK("https://docs.google.com/document/d/1AfS58goBppKK1dhcQ15scXNHmkmINsEIlKN629Yv3FA/edit?usp=drivesdk","Pamela Marcum - 4/8/2019 5:30 PM")</f>
        <v>Pamela Marcum - 4/8/2019 5:30 PM</v>
      </c>
      <c r="AL275" s="12" t="s">
        <v>773</v>
      </c>
    </row>
    <row r="276" spans="1:38" ht="12.75">
      <c r="A276" s="10">
        <f ca="1">IFERROR(__xludf.DUMMYFUNCTION("""COMPUTED_VALUE"""),43564.364159537)</f>
        <v>43564.364159536999</v>
      </c>
      <c r="B276" s="11" t="str">
        <f ca="1">IFERROR(__xludf.DUMMYFUNCTION("""COMPUTED_VALUE"""),"james tomazinis")</f>
        <v>james tomazinis</v>
      </c>
      <c r="C276" t="str">
        <f ca="1">IFERROR(__xludf.DUMMYFUNCTION("""COMPUTED_VALUE"""),"james.tomazinis@floridadep.gov")</f>
        <v>james.tomazinis@floridadep.gov</v>
      </c>
      <c r="D276" t="str">
        <f ca="1">IFERROR(__xludf.DUMMYFUNCTION("""COMPUTED_VALUE"""),"Stewardship (Aquatic)")</f>
        <v>Stewardship (Aquatic)</v>
      </c>
      <c r="E276" t="str">
        <f ca="1">IFERROR(__xludf.DUMMYFUNCTION("""COMPUTED_VALUE"""),"Palm Valley")</f>
        <v>Palm Valley</v>
      </c>
      <c r="F276" s="13">
        <f ca="1">IFERROR(__xludf.DUMMYFUNCTION("""COMPUTED_VALUE"""),0.388888888890505)</f>
        <v>0.38888888889050499</v>
      </c>
      <c r="G276" s="14">
        <f ca="1">IFERROR(__xludf.DUMMYFUNCTION("""COMPUTED_VALUE"""),43564)</f>
        <v>43564</v>
      </c>
      <c r="H276" t="str">
        <f ca="1">IFERROR(__xludf.DUMMYFUNCTION("""COMPUTED_VALUE"""),"Tolomato Nekton sites")</f>
        <v>Tolomato Nekton sites</v>
      </c>
      <c r="I276" s="15">
        <f ca="1">IFERROR(__xludf.DUMMYFUNCTION("""COMPUTED_VALUE"""),0.666666666667879)</f>
        <v>0.66666666666787899</v>
      </c>
      <c r="J276" s="16"/>
      <c r="K276" t="str">
        <f ca="1">IFERROR(__xludf.DUMMYFUNCTION("""COMPUTED_VALUE"""),"23ft Skiff (Bertha) FL7972LJ DEP07613")</f>
        <v>23ft Skiff (Bertha) FL7972LJ DEP07613</v>
      </c>
      <c r="M276" t="str">
        <f ca="1">IFERROR(__xludf.DUMMYFUNCTION("""COMPUTED_VALUE"""),"Ford F150 2015 (White) - DEP21448")</f>
        <v>Ford F150 2015 (White) - DEP21448</v>
      </c>
      <c r="N276" t="str">
        <f ca="1">IFERROR(__xludf.DUMMYFUNCTION("""COMPUTED_VALUE"""),"Jimmy Tomazinis, (904) 547-0094")</f>
        <v>Jimmy Tomazinis, (904) 547-0094</v>
      </c>
      <c r="O276" t="str">
        <f ca="1">IFERROR(__xludf.DUMMYFUNCTION("""COMPUTED_VALUE"""),"Suzi, Dickson, Jeff Finnan, Chris Kurtz, Brittany Trawick")</f>
        <v>Suzi, Dickson, Jeff Finnan, Chris Kurtz, Brittany Trawick</v>
      </c>
      <c r="P276" t="str">
        <f ca="1">IFERROR(__xludf.DUMMYFUNCTION("""COMPUTED_VALUE"""),"Jimmy")</f>
        <v>Jimmy</v>
      </c>
      <c r="Q276" t="str">
        <f ca="1">IFERROR(__xludf.DUMMYFUNCTION("""COMPUTED_VALUE"""),"Good")</f>
        <v>Good</v>
      </c>
      <c r="R276" t="str">
        <f ca="1">IFERROR(__xludf.DUMMYFUNCTION("""COMPUTED_VALUE"""),"Good")</f>
        <v>Good</v>
      </c>
      <c r="S276" t="str">
        <f ca="1">IFERROR(__xludf.DUMMYFUNCTION("""COMPUTED_VALUE"""),"Good")</f>
        <v>Good</v>
      </c>
      <c r="T276" t="str">
        <f ca="1">IFERROR(__xludf.DUMMYFUNCTION("""COMPUTED_VALUE"""),"Good")</f>
        <v>Good</v>
      </c>
      <c r="U276" t="str">
        <f ca="1">IFERROR(__xludf.DUMMYFUNCTION("""COMPUTED_VALUE"""),"Good")</f>
        <v>Good</v>
      </c>
      <c r="V276" t="str">
        <f ca="1">IFERROR(__xludf.DUMMYFUNCTION("""COMPUTED_VALUE"""),"Good")</f>
        <v>Good</v>
      </c>
      <c r="W276" t="str">
        <f ca="1">IFERROR(__xludf.DUMMYFUNCTION("""COMPUTED_VALUE"""),"Good")</f>
        <v>Good</v>
      </c>
      <c r="X276" t="str">
        <f ca="1">IFERROR(__xludf.DUMMYFUNCTION("""COMPUTED_VALUE"""),"Good")</f>
        <v>Good</v>
      </c>
      <c r="Y276" t="str">
        <f ca="1">IFERROR(__xludf.DUMMYFUNCTION("""COMPUTED_VALUE"""),"Good")</f>
        <v>Good</v>
      </c>
      <c r="Z276" t="str">
        <f ca="1">IFERROR(__xludf.DUMMYFUNCTION("""COMPUTED_VALUE"""),"Good")</f>
        <v>Good</v>
      </c>
      <c r="AA276" t="str">
        <f ca="1">IFERROR(__xludf.DUMMYFUNCTION("""COMPUTED_VALUE"""),"Good")</f>
        <v>Good</v>
      </c>
      <c r="AB276" t="str">
        <f ca="1">IFERROR(__xludf.DUMMYFUNCTION("""COMPUTED_VALUE"""),"Good")</f>
        <v>Good</v>
      </c>
      <c r="AC276" t="str">
        <f ca="1">IFERROR(__xludf.DUMMYFUNCTION("""COMPUTED_VALUE"""),"Good")</f>
        <v>Good</v>
      </c>
      <c r="AE276" s="11"/>
      <c r="AF276" t="str">
        <v>Scott.Eastman@floridadep.gov</v>
      </c>
      <c r="AG276" s="17" t="s">
        <v>41</v>
      </c>
      <c r="AH276" s="12">
        <v>1225</v>
      </c>
      <c r="AI276" s="12" t="s">
        <v>774</v>
      </c>
      <c r="AJ276" s="19" t="s">
        <v>775</v>
      </c>
      <c r="AK276" s="20" t="str">
        <f>HYPERLINK("https://docs.google.com/document/d/1I5BcUrGICWQ1wd-pOkEzau0SJ4sOIRHp-C2jzuUxtbg/edit?usp=drivesdk","james tomazinis - 4/9/2019 9:20 AM")</f>
        <v>james tomazinis - 4/9/2019 9:20 AM</v>
      </c>
      <c r="AL276" s="12" t="s">
        <v>776</v>
      </c>
    </row>
    <row r="277" spans="1:38" ht="12.75">
      <c r="A277" s="10">
        <f ca="1">IFERROR(__xludf.DUMMYFUNCTION("""COMPUTED_VALUE"""),43564.6681781828)</f>
        <v>43564.668178182801</v>
      </c>
      <c r="B277" s="11" t="str">
        <f ca="1">IFERROR(__xludf.DUMMYFUNCTION("""COMPUTED_VALUE"""),"Jimmy")</f>
        <v>Jimmy</v>
      </c>
      <c r="C277" t="str">
        <f ca="1">IFERROR(__xludf.DUMMYFUNCTION("""COMPUTED_VALUE"""),"james.tomazinis@floridadep.gov")</f>
        <v>james.tomazinis@floridadep.gov</v>
      </c>
      <c r="D277" t="str">
        <f ca="1">IFERROR(__xludf.DUMMYFUNCTION("""COMPUTED_VALUE"""),"Stewardship (Aquatic)")</f>
        <v>Stewardship (Aquatic)</v>
      </c>
      <c r="E277" t="str">
        <f ca="1">IFERROR(__xludf.DUMMYFUNCTION("""COMPUTED_VALUE"""),"Vilano")</f>
        <v>Vilano</v>
      </c>
      <c r="F277" s="13">
        <f ca="1">IFERROR(__xludf.DUMMYFUNCTION("""COMPUTED_VALUE"""),0.388888888890505)</f>
        <v>0.38888888889050499</v>
      </c>
      <c r="G277" s="14">
        <f ca="1">IFERROR(__xludf.DUMMYFUNCTION("""COMPUTED_VALUE"""),43565)</f>
        <v>43565</v>
      </c>
      <c r="H277" t="str">
        <f ca="1">IFERROR(__xludf.DUMMYFUNCTION("""COMPUTED_VALUE"""),"Tolomato and matanzas Nekton sites")</f>
        <v>Tolomato and matanzas Nekton sites</v>
      </c>
      <c r="I277" s="15">
        <f ca="1">IFERROR(__xludf.DUMMYFUNCTION("""COMPUTED_VALUE"""),0.666666666667879)</f>
        <v>0.66666666666787899</v>
      </c>
      <c r="J277" s="16"/>
      <c r="K277" t="str">
        <f ca="1">IFERROR(__xludf.DUMMYFUNCTION("""COMPUTED_VALUE"""),"23ft Skiff (Bertha) FL7972LJ DEP07613")</f>
        <v>23ft Skiff (Bertha) FL7972LJ DEP07613</v>
      </c>
      <c r="M277" t="str">
        <f ca="1">IFERROR(__xludf.DUMMYFUNCTION("""COMPUTED_VALUE"""),"Ford F150 2015 (White) - DEP21448")</f>
        <v>Ford F150 2015 (White) - DEP21448</v>
      </c>
      <c r="N277" t="str">
        <f ca="1">IFERROR(__xludf.DUMMYFUNCTION("""COMPUTED_VALUE"""),"Jimmy Tomazinis, (904) 547-0094")</f>
        <v>Jimmy Tomazinis, (904) 547-0094</v>
      </c>
      <c r="O277" t="str">
        <f ca="1">IFERROR(__xludf.DUMMYFUNCTION("""COMPUTED_VALUE"""),"Suzi, Jeff Finnan, Dickson, Amy Brownfield, Flagler student")</f>
        <v>Suzi, Jeff Finnan, Dickson, Amy Brownfield, Flagler student</v>
      </c>
      <c r="P277" t="str">
        <f ca="1">IFERROR(__xludf.DUMMYFUNCTION("""COMPUTED_VALUE"""),"Jimmy")</f>
        <v>Jimmy</v>
      </c>
      <c r="Q277" t="str">
        <f ca="1">IFERROR(__xludf.DUMMYFUNCTION("""COMPUTED_VALUE"""),"Good")</f>
        <v>Good</v>
      </c>
      <c r="R277" t="str">
        <f ca="1">IFERROR(__xludf.DUMMYFUNCTION("""COMPUTED_VALUE"""),"Good")</f>
        <v>Good</v>
      </c>
      <c r="S277" t="str">
        <f ca="1">IFERROR(__xludf.DUMMYFUNCTION("""COMPUTED_VALUE"""),"Good")</f>
        <v>Good</v>
      </c>
      <c r="T277" t="str">
        <f ca="1">IFERROR(__xludf.DUMMYFUNCTION("""COMPUTED_VALUE"""),"Good")</f>
        <v>Good</v>
      </c>
      <c r="U277" t="str">
        <f ca="1">IFERROR(__xludf.DUMMYFUNCTION("""COMPUTED_VALUE"""),"Good")</f>
        <v>Good</v>
      </c>
      <c r="V277" t="str">
        <f ca="1">IFERROR(__xludf.DUMMYFUNCTION("""COMPUTED_VALUE"""),"Good")</f>
        <v>Good</v>
      </c>
      <c r="W277" t="str">
        <f ca="1">IFERROR(__xludf.DUMMYFUNCTION("""COMPUTED_VALUE"""),"Good")</f>
        <v>Good</v>
      </c>
      <c r="X277" t="str">
        <f ca="1">IFERROR(__xludf.DUMMYFUNCTION("""COMPUTED_VALUE"""),"Good")</f>
        <v>Good</v>
      </c>
      <c r="Y277" t="str">
        <f ca="1">IFERROR(__xludf.DUMMYFUNCTION("""COMPUTED_VALUE"""),"Good")</f>
        <v>Good</v>
      </c>
      <c r="Z277" t="str">
        <f ca="1">IFERROR(__xludf.DUMMYFUNCTION("""COMPUTED_VALUE"""),"Good")</f>
        <v>Good</v>
      </c>
      <c r="AA277" t="str">
        <f ca="1">IFERROR(__xludf.DUMMYFUNCTION("""COMPUTED_VALUE"""),"Good")</f>
        <v>Good</v>
      </c>
      <c r="AB277" t="str">
        <f ca="1">IFERROR(__xludf.DUMMYFUNCTION("""COMPUTED_VALUE"""),"Good")</f>
        <v>Good</v>
      </c>
      <c r="AC277" t="str">
        <f ca="1">IFERROR(__xludf.DUMMYFUNCTION("""COMPUTED_VALUE"""),"Good")</f>
        <v>Good</v>
      </c>
      <c r="AE277" s="11"/>
      <c r="AF277" t="str">
        <v>Scott.Eastman@floridadep.gov</v>
      </c>
      <c r="AG277" s="17" t="s">
        <v>17</v>
      </c>
      <c r="AH277" s="12">
        <v>1635</v>
      </c>
      <c r="AI277" s="12" t="s">
        <v>777</v>
      </c>
      <c r="AJ277" s="19" t="s">
        <v>778</v>
      </c>
      <c r="AK277" s="20" t="str">
        <f>HYPERLINK("https://docs.google.com/document/d/1Sn9bVL2GIklcZRZgPcVrs4YIzFCqYYDAXCMJVl9B1R0/edit?usp=drivesdk","Jimmy - 4/10/2019 9:20 AM")</f>
        <v>Jimmy - 4/10/2019 9:20 AM</v>
      </c>
      <c r="AL277" s="12" t="s">
        <v>779</v>
      </c>
    </row>
    <row r="278" spans="1:38" ht="12.75">
      <c r="A278" s="10">
        <f ca="1">IFERROR(__xludf.DUMMYFUNCTION("""COMPUTED_VALUE"""),43565.3065957175)</f>
        <v>43565.306595717499</v>
      </c>
      <c r="B278" s="11" t="str">
        <f ca="1">IFERROR(__xludf.DUMMYFUNCTION("""COMPUTED_VALUE"""),"Silas Tanner")</f>
        <v>Silas Tanner</v>
      </c>
      <c r="C278" t="str">
        <f ca="1">IFERROR(__xludf.DUMMYFUNCTION("""COMPUTED_VALUE"""),"silas.tanner@floridadep.gov")</f>
        <v>silas.tanner@floridadep.gov</v>
      </c>
      <c r="D278" t="str">
        <f ca="1">IFERROR(__xludf.DUMMYFUNCTION("""COMPUTED_VALUE"""),"Research/Nikki")</f>
        <v>Research/Nikki</v>
      </c>
      <c r="E278" t="str">
        <f ca="1">IFERROR(__xludf.DUMMYFUNCTION("""COMPUTED_VALUE"""),"Bing's")</f>
        <v>Bing's</v>
      </c>
      <c r="F278" s="13">
        <f ca="1">IFERROR(__xludf.DUMMYFUNCTION("""COMPUTED_VALUE"""),0.354166666667879)</f>
        <v>0.35416666666787899</v>
      </c>
      <c r="G278" s="14">
        <f ca="1">IFERROR(__xludf.DUMMYFUNCTION("""COMPUTED_VALUE"""),43565)</f>
        <v>43565</v>
      </c>
      <c r="H278" t="str">
        <f ca="1">IFERROR(__xludf.DUMMYFUNCTION("""COMPUTED_VALUE"""),"Washington Oaks SWMP platforms")</f>
        <v>Washington Oaks SWMP platforms</v>
      </c>
      <c r="I278" s="15">
        <f ca="1">IFERROR(__xludf.DUMMYFUNCTION("""COMPUTED_VALUE"""),0.5625)</f>
        <v>0.5625</v>
      </c>
      <c r="J278" s="16">
        <f ca="1">IFERROR(__xludf.DUMMYFUNCTION("""COMPUTED_VALUE"""),43565.625)</f>
        <v>43565.625</v>
      </c>
      <c r="K278" t="str">
        <f ca="1">IFERROR(__xludf.DUMMYFUNCTION("""COMPUTED_VALUE"""),"20ft Sea Ark FL5351SJ UNF 2015")</f>
        <v>20ft Sea Ark FL5351SJ UNF 2015</v>
      </c>
      <c r="M278" t="str">
        <f ca="1">IFERROR(__xludf.DUMMYFUNCTION("""COMPUTED_VALUE"""),"Ford F250 2017 (Moby Dix) - DEP0021578")</f>
        <v>Ford F250 2017 (Moby Dix) - DEP0021578</v>
      </c>
      <c r="N278" t="str">
        <f ca="1">IFERROR(__xludf.DUMMYFUNCTION("""COMPUTED_VALUE"""),"Shannon Dunnigan, (803) 727-5734, Silas Tanner, (904) 483-8423")</f>
        <v>Shannon Dunnigan, (803) 727-5734, Silas Tanner, (904) 483-8423</v>
      </c>
      <c r="P278" t="str">
        <f ca="1">IFERROR(__xludf.DUMMYFUNCTION("""COMPUTED_VALUE"""),"S. Dunnigan")</f>
        <v>S. Dunnigan</v>
      </c>
      <c r="Q278" t="str">
        <f ca="1">IFERROR(__xludf.DUMMYFUNCTION("""COMPUTED_VALUE"""),"Good")</f>
        <v>Good</v>
      </c>
      <c r="R278" t="str">
        <f ca="1">IFERROR(__xludf.DUMMYFUNCTION("""COMPUTED_VALUE"""),"Good")</f>
        <v>Good</v>
      </c>
      <c r="S278" t="str">
        <f ca="1">IFERROR(__xludf.DUMMYFUNCTION("""COMPUTED_VALUE"""),"Good")</f>
        <v>Good</v>
      </c>
      <c r="T278" t="str">
        <f ca="1">IFERROR(__xludf.DUMMYFUNCTION("""COMPUTED_VALUE"""),"Good")</f>
        <v>Good</v>
      </c>
      <c r="U278" t="str">
        <f ca="1">IFERROR(__xludf.DUMMYFUNCTION("""COMPUTED_VALUE"""),"Good")</f>
        <v>Good</v>
      </c>
      <c r="V278" t="str">
        <f ca="1">IFERROR(__xludf.DUMMYFUNCTION("""COMPUTED_VALUE"""),"Good")</f>
        <v>Good</v>
      </c>
      <c r="W278" t="str">
        <f ca="1">IFERROR(__xludf.DUMMYFUNCTION("""COMPUTED_VALUE"""),"Good")</f>
        <v>Good</v>
      </c>
      <c r="X278" t="str">
        <f ca="1">IFERROR(__xludf.DUMMYFUNCTION("""COMPUTED_VALUE"""),"Good")</f>
        <v>Good</v>
      </c>
      <c r="Y278" t="str">
        <f ca="1">IFERROR(__xludf.DUMMYFUNCTION("""COMPUTED_VALUE"""),"Good")</f>
        <v>Good</v>
      </c>
      <c r="Z278" t="str">
        <f ca="1">IFERROR(__xludf.DUMMYFUNCTION("""COMPUTED_VALUE"""),"Good")</f>
        <v>Good</v>
      </c>
      <c r="AA278" t="str">
        <f ca="1">IFERROR(__xludf.DUMMYFUNCTION("""COMPUTED_VALUE"""),"Good")</f>
        <v>Good</v>
      </c>
      <c r="AB278" t="str">
        <f ca="1">IFERROR(__xludf.DUMMYFUNCTION("""COMPUTED_VALUE"""),"Good")</f>
        <v>Good</v>
      </c>
      <c r="AC278" t="str">
        <f ca="1">IFERROR(__xludf.DUMMYFUNCTION("""COMPUTED_VALUE"""),"Good")</f>
        <v>Good</v>
      </c>
      <c r="AE278" s="11"/>
      <c r="AF278" t="str">
        <v>Nikki.Dix@floridadep.gov</v>
      </c>
      <c r="AG278" s="17" t="s">
        <v>17</v>
      </c>
      <c r="AH278" s="12">
        <v>1320</v>
      </c>
      <c r="AI278" s="12" t="s">
        <v>780</v>
      </c>
      <c r="AJ278" s="19" t="s">
        <v>781</v>
      </c>
      <c r="AK278" s="20" t="str">
        <f>HYPERLINK("https://docs.google.com/document/d/1hzl70eQJdCH-lpArjQbSGfHA1SGjOSraKKhyqg58B68/edit?usp=drivesdk","Silas Tanner - 4/10/2019 8:30 AM")</f>
        <v>Silas Tanner - 4/10/2019 8:30 AM</v>
      </c>
      <c r="AL278" s="12" t="s">
        <v>782</v>
      </c>
    </row>
    <row r="279" spans="1:38" ht="12.75">
      <c r="A279" s="10">
        <f ca="1">IFERROR(__xludf.DUMMYFUNCTION("""COMPUTED_VALUE"""),43565.7210653356)</f>
        <v>43565.721065335601</v>
      </c>
      <c r="B279" s="11" t="str">
        <f ca="1">IFERROR(__xludf.DUMMYFUNCTION("""COMPUTED_VALUE"""),"Jimmy")</f>
        <v>Jimmy</v>
      </c>
      <c r="C279" t="str">
        <f ca="1">IFERROR(__xludf.DUMMYFUNCTION("""COMPUTED_VALUE"""),"james.tomazinis@floridadep.gov")</f>
        <v>james.tomazinis@floridadep.gov</v>
      </c>
      <c r="D279" t="str">
        <f ca="1">IFERROR(__xludf.DUMMYFUNCTION("""COMPUTED_VALUE"""),"Stewardship (Aquatic)")</f>
        <v>Stewardship (Aquatic)</v>
      </c>
      <c r="E279" t="str">
        <f ca="1">IFERROR(__xludf.DUMMYFUNCTION("""COMPUTED_VALUE"""),"Bings")</f>
        <v>Bings</v>
      </c>
      <c r="F279" s="13">
        <f ca="1">IFERROR(__xludf.DUMMYFUNCTION("""COMPUTED_VALUE"""),0.416666666667879)</f>
        <v>0.41666666666787899</v>
      </c>
      <c r="G279" s="14">
        <f ca="1">IFERROR(__xludf.DUMMYFUNCTION("""COMPUTED_VALUE"""),43566)</f>
        <v>43566</v>
      </c>
      <c r="H279" t="str">
        <f ca="1">IFERROR(__xludf.DUMMYFUNCTION("""COMPUTED_VALUE"""),"Matanzas Nekton sites")</f>
        <v>Matanzas Nekton sites</v>
      </c>
      <c r="I279" s="15">
        <f ca="1">IFERROR(__xludf.DUMMYFUNCTION("""COMPUTED_VALUE"""),0.625)</f>
        <v>0.625</v>
      </c>
      <c r="J279" s="16"/>
      <c r="K279" t="str">
        <f ca="1">IFERROR(__xludf.DUMMYFUNCTION("""COMPUTED_VALUE"""),"23ft Skiff (Bertha) FL7972LJ DEP07613")</f>
        <v>23ft Skiff (Bertha) FL7972LJ DEP07613</v>
      </c>
      <c r="M279" t="str">
        <f ca="1">IFERROR(__xludf.DUMMYFUNCTION("""COMPUTED_VALUE"""),"Ford F150 2015 (White) - DEP21448")</f>
        <v>Ford F150 2015 (White) - DEP21448</v>
      </c>
      <c r="N279" t="str">
        <f ca="1">IFERROR(__xludf.DUMMYFUNCTION("""COMPUTED_VALUE"""),"Jimmy Tomazinis, (904) 547-0094")</f>
        <v>Jimmy Tomazinis, (904) 547-0094</v>
      </c>
      <c r="O279" t="str">
        <f ca="1">IFERROR(__xludf.DUMMYFUNCTION("""COMPUTED_VALUE"""),"Amy Brownfield, Dickson")</f>
        <v>Amy Brownfield, Dickson</v>
      </c>
      <c r="P279" t="str">
        <f ca="1">IFERROR(__xludf.DUMMYFUNCTION("""COMPUTED_VALUE"""),"Jimmy")</f>
        <v>Jimmy</v>
      </c>
      <c r="Q279" t="str">
        <f ca="1">IFERROR(__xludf.DUMMYFUNCTION("""COMPUTED_VALUE"""),"Good")</f>
        <v>Good</v>
      </c>
      <c r="R279" t="str">
        <f ca="1">IFERROR(__xludf.DUMMYFUNCTION("""COMPUTED_VALUE"""),"Good")</f>
        <v>Good</v>
      </c>
      <c r="S279" t="str">
        <f ca="1">IFERROR(__xludf.DUMMYFUNCTION("""COMPUTED_VALUE"""),"Good")</f>
        <v>Good</v>
      </c>
      <c r="T279" t="str">
        <f ca="1">IFERROR(__xludf.DUMMYFUNCTION("""COMPUTED_VALUE"""),"Good")</f>
        <v>Good</v>
      </c>
      <c r="U279" t="str">
        <f ca="1">IFERROR(__xludf.DUMMYFUNCTION("""COMPUTED_VALUE"""),"Good")</f>
        <v>Good</v>
      </c>
      <c r="V279" t="str">
        <f ca="1">IFERROR(__xludf.DUMMYFUNCTION("""COMPUTED_VALUE"""),"Good")</f>
        <v>Good</v>
      </c>
      <c r="W279" t="str">
        <f ca="1">IFERROR(__xludf.DUMMYFUNCTION("""COMPUTED_VALUE"""),"Good")</f>
        <v>Good</v>
      </c>
      <c r="X279" t="str">
        <f ca="1">IFERROR(__xludf.DUMMYFUNCTION("""COMPUTED_VALUE"""),"Good")</f>
        <v>Good</v>
      </c>
      <c r="Y279" t="str">
        <f ca="1">IFERROR(__xludf.DUMMYFUNCTION("""COMPUTED_VALUE"""),"Good")</f>
        <v>Good</v>
      </c>
      <c r="Z279" t="str">
        <f ca="1">IFERROR(__xludf.DUMMYFUNCTION("""COMPUTED_VALUE"""),"Good")</f>
        <v>Good</v>
      </c>
      <c r="AA279" t="str">
        <f ca="1">IFERROR(__xludf.DUMMYFUNCTION("""COMPUTED_VALUE"""),"Good")</f>
        <v>Good</v>
      </c>
      <c r="AB279" t="str">
        <f ca="1">IFERROR(__xludf.DUMMYFUNCTION("""COMPUTED_VALUE"""),"Good")</f>
        <v>Good</v>
      </c>
      <c r="AC279" t="str">
        <f ca="1">IFERROR(__xludf.DUMMYFUNCTION("""COMPUTED_VALUE"""),"Good")</f>
        <v>Good</v>
      </c>
      <c r="AE279" s="11"/>
      <c r="AF279" t="str">
        <v>Scott.Eastman@floridadep.gov</v>
      </c>
      <c r="AG279" s="17" t="s">
        <v>17</v>
      </c>
      <c r="AH279" s="12">
        <v>1433</v>
      </c>
      <c r="AI279" s="12" t="s">
        <v>783</v>
      </c>
      <c r="AJ279" s="19" t="s">
        <v>784</v>
      </c>
      <c r="AK279" s="20" t="str">
        <f>HYPERLINK("https://docs.google.com/document/d/1uCFtG0-wU4D5kQQg_2QZmZQcdgRoCiQDn3rZkEBvv04/edit?usp=drivesdk","Jimmy - 4/11/2019 10:00 AM")</f>
        <v>Jimmy - 4/11/2019 10:00 AM</v>
      </c>
      <c r="AL279" s="12" t="s">
        <v>785</v>
      </c>
    </row>
    <row r="280" spans="1:38" ht="12.75">
      <c r="A280" s="10">
        <f ca="1">IFERROR(__xludf.DUMMYFUNCTION("""COMPUTED_VALUE"""),43565.7299051504)</f>
        <v>43565.729905150401</v>
      </c>
      <c r="B280" s="11" t="str">
        <f ca="1">IFERROR(__xludf.DUMMYFUNCTION("""COMPUTED_VALUE"""),"Pamela Marcum")</f>
        <v>Pamela Marcum</v>
      </c>
      <c r="C280" t="str">
        <f ca="1">IFERROR(__xludf.DUMMYFUNCTION("""COMPUTED_VALUE"""),"Pamela.Marcum@Dep.state.fl.us")</f>
        <v>Pamela.Marcum@Dep.state.fl.us</v>
      </c>
      <c r="D280" t="str">
        <f ca="1">IFERROR(__xludf.DUMMYFUNCTION("""COMPUTED_VALUE"""),"Research/Nikki")</f>
        <v>Research/Nikki</v>
      </c>
      <c r="E280" t="str">
        <f ca="1">IFERROR(__xludf.DUMMYFUNCTION("""COMPUTED_VALUE"""),"Aunt Kate's")</f>
        <v>Aunt Kate's</v>
      </c>
      <c r="F280" s="13">
        <f ca="1">IFERROR(__xludf.DUMMYFUNCTION("""COMPUTED_VALUE"""),0.75)</f>
        <v>0.75</v>
      </c>
      <c r="G280" s="14">
        <f ca="1">IFERROR(__xludf.DUMMYFUNCTION("""COMPUTED_VALUE"""),43565)</f>
        <v>43565</v>
      </c>
      <c r="H280" t="str">
        <f ca="1">IFERROR(__xludf.DUMMYFUNCTION("""COMPUTED_VALUE"""),"Tolomato River - Airport to Pine Island")</f>
        <v>Tolomato River - Airport to Pine Island</v>
      </c>
      <c r="I280" s="15">
        <f ca="1">IFERROR(__xludf.DUMMYFUNCTION("""COMPUTED_VALUE"""),0.875)</f>
        <v>0.875</v>
      </c>
      <c r="J280" s="16">
        <f ca="1">IFERROR(__xludf.DUMMYFUNCTION("""COMPUTED_VALUE"""),43565.8958333333)</f>
        <v>43565.895833333299</v>
      </c>
      <c r="K280" t="str">
        <f ca="1">IFERROR(__xludf.DUMMYFUNCTION("""COMPUTED_VALUE"""),"F 20ft Sea Ark (Easy 200) FL8534PY DEP21451")</f>
        <v>F 20ft Sea Ark (Easy 200) FL8534PY DEP21451</v>
      </c>
      <c r="M280" t="str">
        <f ca="1">IFERROR(__xludf.DUMMYFUNCTION("""COMPUTED_VALUE"""),"Ford F150 2008 - DEP18041 (SWMP Thing)")</f>
        <v>Ford F150 2008 - DEP18041 (SWMP Thing)</v>
      </c>
      <c r="N280" t="str">
        <f ca="1">IFERROR(__xludf.DUMMYFUNCTION("""COMPUTED_VALUE"""),"Pam Marcum, (480) 332-5414")</f>
        <v>Pam Marcum, (480) 332-5414</v>
      </c>
      <c r="O280" t="str">
        <f ca="1">IFERROR(__xludf.DUMMYFUNCTION("""COMPUTED_VALUE"""),"Nicole Peckham, Adrienned Breef-Pilz")</f>
        <v>Nicole Peckham, Adrienned Breef-Pilz</v>
      </c>
      <c r="P280" t="str">
        <f ca="1">IFERROR(__xludf.DUMMYFUNCTION("""COMPUTED_VALUE"""),"Pam")</f>
        <v>Pam</v>
      </c>
      <c r="Q280" t="str">
        <f ca="1">IFERROR(__xludf.DUMMYFUNCTION("""COMPUTED_VALUE"""),"Good")</f>
        <v>Good</v>
      </c>
      <c r="R280" t="str">
        <f ca="1">IFERROR(__xludf.DUMMYFUNCTION("""COMPUTED_VALUE"""),"Good")</f>
        <v>Good</v>
      </c>
      <c r="S280" t="str">
        <f ca="1">IFERROR(__xludf.DUMMYFUNCTION("""COMPUTED_VALUE"""),"Good")</f>
        <v>Good</v>
      </c>
      <c r="T280" t="str">
        <f ca="1">IFERROR(__xludf.DUMMYFUNCTION("""COMPUTED_VALUE"""),"Good")</f>
        <v>Good</v>
      </c>
      <c r="U280" t="str">
        <f ca="1">IFERROR(__xludf.DUMMYFUNCTION("""COMPUTED_VALUE"""),"Good")</f>
        <v>Good</v>
      </c>
      <c r="V280" t="str">
        <f ca="1">IFERROR(__xludf.DUMMYFUNCTION("""COMPUTED_VALUE"""),"Good")</f>
        <v>Good</v>
      </c>
      <c r="W280" t="str">
        <f ca="1">IFERROR(__xludf.DUMMYFUNCTION("""COMPUTED_VALUE"""),"Good")</f>
        <v>Good</v>
      </c>
      <c r="X280" t="str">
        <f ca="1">IFERROR(__xludf.DUMMYFUNCTION("""COMPUTED_VALUE"""),"Good")</f>
        <v>Good</v>
      </c>
      <c r="Y280" t="str">
        <f ca="1">IFERROR(__xludf.DUMMYFUNCTION("""COMPUTED_VALUE"""),"Good")</f>
        <v>Good</v>
      </c>
      <c r="Z280" t="str">
        <f ca="1">IFERROR(__xludf.DUMMYFUNCTION("""COMPUTED_VALUE"""),"Good")</f>
        <v>Good</v>
      </c>
      <c r="AA280" t="str">
        <f ca="1">IFERROR(__xludf.DUMMYFUNCTION("""COMPUTED_VALUE"""),"Good")</f>
        <v>Good</v>
      </c>
      <c r="AB280" t="str">
        <f ca="1">IFERROR(__xludf.DUMMYFUNCTION("""COMPUTED_VALUE"""),"Good")</f>
        <v>Good</v>
      </c>
      <c r="AC280" t="str">
        <f ca="1">IFERROR(__xludf.DUMMYFUNCTION("""COMPUTED_VALUE"""),"Good")</f>
        <v>Good</v>
      </c>
      <c r="AE280" s="11"/>
      <c r="AF280" t="str">
        <v>Nikki.Dix@floridadep.gov</v>
      </c>
      <c r="AG280" s="17" t="s">
        <v>41</v>
      </c>
      <c r="AH280" s="12">
        <v>2000</v>
      </c>
      <c r="AI280" s="12" t="s">
        <v>786</v>
      </c>
      <c r="AJ280" s="19" t="s">
        <v>787</v>
      </c>
      <c r="AK280" s="20" t="str">
        <f>HYPERLINK("https://docs.google.com/document/d/1vdwGK0Z5I5-j4ULO9LCgVjXiYeUTqd_O3ikT0-SRIwA/edit?usp=drivesdk","Pamela Marcum - 4/10/2019 6:00 PM")</f>
        <v>Pamela Marcum - 4/10/2019 6:00 PM</v>
      </c>
      <c r="AL280" s="12" t="s">
        <v>788</v>
      </c>
    </row>
    <row r="281" spans="1:38" ht="12.75">
      <c r="A281" s="10">
        <f ca="1">IFERROR(__xludf.DUMMYFUNCTION("""COMPUTED_VALUE"""),43566.3004901388)</f>
        <v>43566.300490138798</v>
      </c>
      <c r="B281" s="11" t="str">
        <f ca="1">IFERROR(__xludf.DUMMYFUNCTION("""COMPUTED_VALUE"""),"S. Tanner")</f>
        <v>S. Tanner</v>
      </c>
      <c r="C281" t="str">
        <f ca="1">IFERROR(__xludf.DUMMYFUNCTION("""COMPUTED_VALUE"""),"silas.tanner@floridadep.gov")</f>
        <v>silas.tanner@floridadep.gov</v>
      </c>
      <c r="D281" t="str">
        <f ca="1">IFERROR(__xludf.DUMMYFUNCTION("""COMPUTED_VALUE"""),"Research/Nikki")</f>
        <v>Research/Nikki</v>
      </c>
      <c r="E281" t="str">
        <f ca="1">IFERROR(__xludf.DUMMYFUNCTION("""COMPUTED_VALUE"""),"Palm Valley Ramp")</f>
        <v>Palm Valley Ramp</v>
      </c>
      <c r="F281" s="13">
        <f ca="1">IFERROR(__xludf.DUMMYFUNCTION("""COMPUTED_VALUE"""),0.33333333333212)</f>
        <v>0.33333333333212001</v>
      </c>
      <c r="G281" s="14">
        <f ca="1">IFERROR(__xludf.DUMMYFUNCTION("""COMPUTED_VALUE"""),43566)</f>
        <v>43566</v>
      </c>
      <c r="H281" t="str">
        <f ca="1">IFERROR(__xludf.DUMMYFUNCTION("""COMPUTED_VALUE"""),"ICW Pine Island SWMP platforms")</f>
        <v>ICW Pine Island SWMP platforms</v>
      </c>
      <c r="I281" s="15">
        <f ca="1">IFERROR(__xludf.DUMMYFUNCTION("""COMPUTED_VALUE"""),0.604166666667879)</f>
        <v>0.60416666666787899</v>
      </c>
      <c r="J281" s="16">
        <f ca="1">IFERROR(__xludf.DUMMYFUNCTION("""COMPUTED_VALUE"""),43566.6180555555)</f>
        <v>43566.618055555497</v>
      </c>
      <c r="K281" t="str">
        <f ca="1">IFERROR(__xludf.DUMMYFUNCTION("""COMPUTED_VALUE"""),"20ft Sea Ark FL5351SJ UNF 2015")</f>
        <v>20ft Sea Ark FL5351SJ UNF 2015</v>
      </c>
      <c r="M281" t="str">
        <f ca="1">IFERROR(__xludf.DUMMYFUNCTION("""COMPUTED_VALUE"""),"Ford F250 2017 (Moby Dix) - DEP0021578")</f>
        <v>Ford F250 2017 (Moby Dix) - DEP0021578</v>
      </c>
      <c r="N281" t="str">
        <f ca="1">IFERROR(__xludf.DUMMYFUNCTION("""COMPUTED_VALUE"""),"Shannon Dunnigan, (803) 727-5734, Silas Tanner, (904) 483-8423")</f>
        <v>Shannon Dunnigan, (803) 727-5734, Silas Tanner, (904) 483-8423</v>
      </c>
      <c r="O281" t="str">
        <f ca="1">IFERROR(__xludf.DUMMYFUNCTION("""COMPUTED_VALUE"""),"Gabby Canas, Matt Sturchio")</f>
        <v>Gabby Canas, Matt Sturchio</v>
      </c>
      <c r="P281" t="str">
        <f ca="1">IFERROR(__xludf.DUMMYFUNCTION("""COMPUTED_VALUE"""),"S. Dunnigan")</f>
        <v>S. Dunnigan</v>
      </c>
      <c r="Q281" t="str">
        <f ca="1">IFERROR(__xludf.DUMMYFUNCTION("""COMPUTED_VALUE"""),"Good")</f>
        <v>Good</v>
      </c>
      <c r="R281" t="str">
        <f ca="1">IFERROR(__xludf.DUMMYFUNCTION("""COMPUTED_VALUE"""),"Good")</f>
        <v>Good</v>
      </c>
      <c r="S281" t="str">
        <f ca="1">IFERROR(__xludf.DUMMYFUNCTION("""COMPUTED_VALUE"""),"Good")</f>
        <v>Good</v>
      </c>
      <c r="T281" t="str">
        <f ca="1">IFERROR(__xludf.DUMMYFUNCTION("""COMPUTED_VALUE"""),"Good")</f>
        <v>Good</v>
      </c>
      <c r="U281" t="str">
        <f ca="1">IFERROR(__xludf.DUMMYFUNCTION("""COMPUTED_VALUE"""),"Good")</f>
        <v>Good</v>
      </c>
      <c r="V281" t="str">
        <f ca="1">IFERROR(__xludf.DUMMYFUNCTION("""COMPUTED_VALUE"""),"Good")</f>
        <v>Good</v>
      </c>
      <c r="W281" t="str">
        <f ca="1">IFERROR(__xludf.DUMMYFUNCTION("""COMPUTED_VALUE"""),"Good")</f>
        <v>Good</v>
      </c>
      <c r="X281" t="str">
        <f ca="1">IFERROR(__xludf.DUMMYFUNCTION("""COMPUTED_VALUE"""),"Good")</f>
        <v>Good</v>
      </c>
      <c r="Y281" t="str">
        <f ca="1">IFERROR(__xludf.DUMMYFUNCTION("""COMPUTED_VALUE"""),"Good")</f>
        <v>Good</v>
      </c>
      <c r="Z281" t="str">
        <f ca="1">IFERROR(__xludf.DUMMYFUNCTION("""COMPUTED_VALUE"""),"Good")</f>
        <v>Good</v>
      </c>
      <c r="AA281" t="str">
        <f ca="1">IFERROR(__xludf.DUMMYFUNCTION("""COMPUTED_VALUE"""),"Good")</f>
        <v>Good</v>
      </c>
      <c r="AB281" t="str">
        <f ca="1">IFERROR(__xludf.DUMMYFUNCTION("""COMPUTED_VALUE"""),"Good")</f>
        <v>Good</v>
      </c>
      <c r="AC281" t="str">
        <f ca="1">IFERROR(__xludf.DUMMYFUNCTION("""COMPUTED_VALUE"""),"Good")</f>
        <v>Good</v>
      </c>
      <c r="AE281" s="11"/>
      <c r="AF281" t="str">
        <v>Nikki.Dix@floridadep.gov</v>
      </c>
      <c r="AG281" s="17" t="s">
        <v>58</v>
      </c>
      <c r="AH281" s="12">
        <v>1300</v>
      </c>
      <c r="AI281" s="12" t="s">
        <v>789</v>
      </c>
      <c r="AJ281" s="19" t="s">
        <v>790</v>
      </c>
      <c r="AK281" s="20" t="str">
        <f>HYPERLINK("https://docs.google.com/document/d/1ukzotZXuW2ove_jHqRm504KzOsplPkmvul8G0QbKoMY/edit?usp=drivesdk","S. Tanner - 4/11/2019 8:00 AM")</f>
        <v>S. Tanner - 4/11/2019 8:00 AM</v>
      </c>
      <c r="AL281" s="12" t="s">
        <v>791</v>
      </c>
    </row>
    <row r="282" spans="1:38" ht="12.75">
      <c r="A282" s="10">
        <f ca="1">IFERROR(__xludf.DUMMYFUNCTION("""COMPUTED_VALUE"""),43566.3158184722)</f>
        <v>43566.315818472198</v>
      </c>
      <c r="B282" s="11" t="str">
        <f ca="1">IFERROR(__xludf.DUMMYFUNCTION("""COMPUTED_VALUE"""),"Pamela Marcum")</f>
        <v>Pamela Marcum</v>
      </c>
      <c r="C282" t="str">
        <f ca="1">IFERROR(__xludf.DUMMYFUNCTION("""COMPUTED_VALUE"""),"Pamela.Marcum@dep.state.fl.us")</f>
        <v>Pamela.Marcum@dep.state.fl.us</v>
      </c>
      <c r="D282" t="str">
        <f ca="1">IFERROR(__xludf.DUMMYFUNCTION("""COMPUTED_VALUE"""),"Research/Nikki")</f>
        <v>Research/Nikki</v>
      </c>
      <c r="E282" t="str">
        <f ca="1">IFERROR(__xludf.DUMMYFUNCTION("""COMPUTED_VALUE"""),"Aunt Kate's")</f>
        <v>Aunt Kate's</v>
      </c>
      <c r="F282" s="13">
        <f ca="1">IFERROR(__xludf.DUMMYFUNCTION("""COMPUTED_VALUE"""),0.33333333333212)</f>
        <v>0.33333333333212001</v>
      </c>
      <c r="G282" s="14">
        <f ca="1">IFERROR(__xludf.DUMMYFUNCTION("""COMPUTED_VALUE"""),43566)</f>
        <v>43566</v>
      </c>
      <c r="H282" t="str">
        <f ca="1">IFERROR(__xludf.DUMMYFUNCTION("""COMPUTED_VALUE"""),"Guana River")</f>
        <v>Guana River</v>
      </c>
      <c r="I282" s="15">
        <f ca="1">IFERROR(__xludf.DUMMYFUNCTION("""COMPUTED_VALUE"""),0.39583333333212)</f>
        <v>0.39583333333212001</v>
      </c>
      <c r="J282" s="16">
        <f ca="1">IFERROR(__xludf.DUMMYFUNCTION("""COMPUTED_VALUE"""),43566.4166666666)</f>
        <v>43566.416666666599</v>
      </c>
      <c r="K282" t="str">
        <f ca="1">IFERROR(__xludf.DUMMYFUNCTION("""COMPUTED_VALUE"""),"F 20ft Sea Ark (Easy 200) FL8534PY DEP21451")</f>
        <v>F 20ft Sea Ark (Easy 200) FL8534PY DEP21451</v>
      </c>
      <c r="M282" t="str">
        <f ca="1">IFERROR(__xludf.DUMMYFUNCTION("""COMPUTED_VALUE"""),"Ford F150 2008 - DEP18041 (SWMP Thing)")</f>
        <v>Ford F150 2008 - DEP18041 (SWMP Thing)</v>
      </c>
      <c r="N282" t="str">
        <f ca="1">IFERROR(__xludf.DUMMYFUNCTION("""COMPUTED_VALUE"""),"Pam Marcum, (480) 332-5414")</f>
        <v>Pam Marcum, (480) 332-5414</v>
      </c>
      <c r="O282" t="str">
        <f ca="1">IFERROR(__xludf.DUMMYFUNCTION("""COMPUTED_VALUE"""),"Nicole Peckham, Adrienne Breef-Pilz")</f>
        <v>Nicole Peckham, Adrienne Breef-Pilz</v>
      </c>
      <c r="P282" t="str">
        <f ca="1">IFERROR(__xludf.DUMMYFUNCTION("""COMPUTED_VALUE"""),"Pam")</f>
        <v>Pam</v>
      </c>
      <c r="Q282" t="str">
        <f ca="1">IFERROR(__xludf.DUMMYFUNCTION("""COMPUTED_VALUE"""),"Good")</f>
        <v>Good</v>
      </c>
      <c r="R282" t="str">
        <f ca="1">IFERROR(__xludf.DUMMYFUNCTION("""COMPUTED_VALUE"""),"Good")</f>
        <v>Good</v>
      </c>
      <c r="S282" t="str">
        <f ca="1">IFERROR(__xludf.DUMMYFUNCTION("""COMPUTED_VALUE"""),"Good")</f>
        <v>Good</v>
      </c>
      <c r="T282" t="str">
        <f ca="1">IFERROR(__xludf.DUMMYFUNCTION("""COMPUTED_VALUE"""),"Good")</f>
        <v>Good</v>
      </c>
      <c r="U282" t="str">
        <f ca="1">IFERROR(__xludf.DUMMYFUNCTION("""COMPUTED_VALUE"""),"Good")</f>
        <v>Good</v>
      </c>
      <c r="V282" t="str">
        <f ca="1">IFERROR(__xludf.DUMMYFUNCTION("""COMPUTED_VALUE"""),"Good")</f>
        <v>Good</v>
      </c>
      <c r="W282" t="str">
        <f ca="1">IFERROR(__xludf.DUMMYFUNCTION("""COMPUTED_VALUE"""),"Good")</f>
        <v>Good</v>
      </c>
      <c r="X282" t="str">
        <f ca="1">IFERROR(__xludf.DUMMYFUNCTION("""COMPUTED_VALUE"""),"Good")</f>
        <v>Good</v>
      </c>
      <c r="Y282" t="str">
        <f ca="1">IFERROR(__xludf.DUMMYFUNCTION("""COMPUTED_VALUE"""),"Good")</f>
        <v>Good</v>
      </c>
      <c r="Z282" t="str">
        <f ca="1">IFERROR(__xludf.DUMMYFUNCTION("""COMPUTED_VALUE"""),"Good")</f>
        <v>Good</v>
      </c>
      <c r="AA282" t="str">
        <f ca="1">IFERROR(__xludf.DUMMYFUNCTION("""COMPUTED_VALUE"""),"Good")</f>
        <v>Good</v>
      </c>
      <c r="AB282" t="str">
        <f ca="1">IFERROR(__xludf.DUMMYFUNCTION("""COMPUTED_VALUE"""),"Good")</f>
        <v>Good</v>
      </c>
      <c r="AC282" t="str">
        <f ca="1">IFERROR(__xludf.DUMMYFUNCTION("""COMPUTED_VALUE"""),"Good")</f>
        <v>Good</v>
      </c>
      <c r="AE282" s="11"/>
      <c r="AF282" t="str">
        <v>Nikki.Dix@floridadep.gov</v>
      </c>
      <c r="AG282" s="17" t="s">
        <v>58</v>
      </c>
      <c r="AH282" s="12">
        <v>935</v>
      </c>
      <c r="AI282" s="12" t="s">
        <v>792</v>
      </c>
      <c r="AJ282" s="19" t="s">
        <v>793</v>
      </c>
      <c r="AK282" s="20" t="str">
        <f>HYPERLINK("https://docs.google.com/document/d/1oHYrfxnlmihGFpWtZ-1v641ONBZilcpq2UIDfKsPFDs/edit?usp=drivesdk","Pamela Marcum - 4/11/2019 8:00 AM")</f>
        <v>Pamela Marcum - 4/11/2019 8:00 AM</v>
      </c>
      <c r="AL282" s="12" t="s">
        <v>794</v>
      </c>
    </row>
    <row r="283" spans="1:38" ht="12.75">
      <c r="A283" s="10">
        <f ca="1">IFERROR(__xludf.DUMMYFUNCTION("""COMPUTED_VALUE"""),43567.2832172221)</f>
        <v>43567.283217222197</v>
      </c>
      <c r="B283" s="11" t="str">
        <f ca="1">IFERROR(__xludf.DUMMYFUNCTION("""COMPUTED_VALUE"""),"Silas Tanner")</f>
        <v>Silas Tanner</v>
      </c>
      <c r="C283" t="str">
        <f ca="1">IFERROR(__xludf.DUMMYFUNCTION("""COMPUTED_VALUE"""),"silas.tanner@floridadep.gov")</f>
        <v>silas.tanner@floridadep.gov</v>
      </c>
      <c r="D283" t="str">
        <f ca="1">IFERROR(__xludf.DUMMYFUNCTION("""COMPUTED_VALUE"""),"Research/Nikki")</f>
        <v>Research/Nikki</v>
      </c>
      <c r="E283" t="str">
        <f ca="1">IFERROR(__xludf.DUMMYFUNCTION("""COMPUTED_VALUE"""),"Douglas Crane SJC ramp")</f>
        <v>Douglas Crane SJC ramp</v>
      </c>
      <c r="F283" s="13">
        <f ca="1">IFERROR(__xludf.DUMMYFUNCTION("""COMPUTED_VALUE"""),0.3125)</f>
        <v>0.3125</v>
      </c>
      <c r="G283" s="14">
        <f ca="1">IFERROR(__xludf.DUMMYFUNCTION("""COMPUTED_VALUE"""),43567)</f>
        <v>43567</v>
      </c>
      <c r="H283" t="str">
        <f ca="1">IFERROR(__xludf.DUMMYFUNCTION("""COMPUTED_VALUE"""),"ICW ""Jason's Creek"" SWMP platforms (site 22)")</f>
        <v>ICW "Jason's Creek" SWMP platforms (site 22)</v>
      </c>
      <c r="I283" s="15">
        <f ca="1">IFERROR(__xludf.DUMMYFUNCTION("""COMPUTED_VALUE"""),0.604166666667879)</f>
        <v>0.60416666666787899</v>
      </c>
      <c r="J283" s="16">
        <f ca="1">IFERROR(__xludf.DUMMYFUNCTION("""COMPUTED_VALUE"""),43567.625)</f>
        <v>43567.625</v>
      </c>
      <c r="K283" t="str">
        <f ca="1">IFERROR(__xludf.DUMMYFUNCTION("""COMPUTED_VALUE"""),"20ft Sea Ark FL5351SJ UNF 2015")</f>
        <v>20ft Sea Ark FL5351SJ UNF 2015</v>
      </c>
      <c r="M283" t="str">
        <f ca="1">IFERROR(__xludf.DUMMYFUNCTION("""COMPUTED_VALUE"""),"Ford F250 2017 (Moby Dix) - DEP0021578")</f>
        <v>Ford F250 2017 (Moby Dix) - DEP0021578</v>
      </c>
      <c r="N283" t="str">
        <f ca="1">IFERROR(__xludf.DUMMYFUNCTION("""COMPUTED_VALUE"""),"Shannon Dunnigan, (803) 727-5734, Silas Tanner, (904) 483-8423")</f>
        <v>Shannon Dunnigan, (803) 727-5734, Silas Tanner, (904) 483-8423</v>
      </c>
      <c r="O283" t="str">
        <f ca="1">IFERROR(__xludf.DUMMYFUNCTION("""COMPUTED_VALUE"""),"Jessica Lee, Remo Mondazi")</f>
        <v>Jessica Lee, Remo Mondazi</v>
      </c>
      <c r="P283" t="str">
        <f ca="1">IFERROR(__xludf.DUMMYFUNCTION("""COMPUTED_VALUE"""),"S. Dunnigan")</f>
        <v>S. Dunnigan</v>
      </c>
      <c r="Q283" t="str">
        <f ca="1">IFERROR(__xludf.DUMMYFUNCTION("""COMPUTED_VALUE"""),"Good")</f>
        <v>Good</v>
      </c>
      <c r="R283" t="str">
        <f ca="1">IFERROR(__xludf.DUMMYFUNCTION("""COMPUTED_VALUE"""),"Good")</f>
        <v>Good</v>
      </c>
      <c r="S283" t="str">
        <f ca="1">IFERROR(__xludf.DUMMYFUNCTION("""COMPUTED_VALUE"""),"Good")</f>
        <v>Good</v>
      </c>
      <c r="T283" t="str">
        <f ca="1">IFERROR(__xludf.DUMMYFUNCTION("""COMPUTED_VALUE"""),"Good")</f>
        <v>Good</v>
      </c>
      <c r="U283" t="str">
        <f ca="1">IFERROR(__xludf.DUMMYFUNCTION("""COMPUTED_VALUE"""),"Good")</f>
        <v>Good</v>
      </c>
      <c r="V283" t="str">
        <f ca="1">IFERROR(__xludf.DUMMYFUNCTION("""COMPUTED_VALUE"""),"Good")</f>
        <v>Good</v>
      </c>
      <c r="W283" t="str">
        <f ca="1">IFERROR(__xludf.DUMMYFUNCTION("""COMPUTED_VALUE"""),"Good")</f>
        <v>Good</v>
      </c>
      <c r="X283" t="str">
        <f ca="1">IFERROR(__xludf.DUMMYFUNCTION("""COMPUTED_VALUE"""),"Good")</f>
        <v>Good</v>
      </c>
      <c r="Y283" t="str">
        <f ca="1">IFERROR(__xludf.DUMMYFUNCTION("""COMPUTED_VALUE"""),"Good")</f>
        <v>Good</v>
      </c>
      <c r="Z283" t="str">
        <f ca="1">IFERROR(__xludf.DUMMYFUNCTION("""COMPUTED_VALUE"""),"Good")</f>
        <v>Good</v>
      </c>
      <c r="AA283" t="str">
        <f ca="1">IFERROR(__xludf.DUMMYFUNCTION("""COMPUTED_VALUE"""),"Good")</f>
        <v>Good</v>
      </c>
      <c r="AB283" t="str">
        <f ca="1">IFERROR(__xludf.DUMMYFUNCTION("""COMPUTED_VALUE"""),"Good")</f>
        <v>Good</v>
      </c>
      <c r="AC283" t="str">
        <f ca="1">IFERROR(__xludf.DUMMYFUNCTION("""COMPUTED_VALUE"""),"Good")</f>
        <v>Good</v>
      </c>
      <c r="AE283" s="11"/>
      <c r="AF283" t="str">
        <v>Nikki.Dix@floridadep.gov</v>
      </c>
      <c r="AG283" s="17" t="s">
        <v>126</v>
      </c>
      <c r="AH283" s="12">
        <v>1104</v>
      </c>
      <c r="AI283" s="12" t="s">
        <v>795</v>
      </c>
      <c r="AJ283" s="19" t="s">
        <v>796</v>
      </c>
      <c r="AK283" s="20" t="str">
        <f>HYPERLINK("https://docs.google.com/document/d/1j4CjBxVsEV7eiXaAaDkQ54i3LKlo5QbAlHvFo8FQYLI/edit?usp=drivesdk","Silas Tanner - 4/12/2019 7:30 AM")</f>
        <v>Silas Tanner - 4/12/2019 7:30 AM</v>
      </c>
      <c r="AL283" s="12" t="s">
        <v>797</v>
      </c>
    </row>
    <row r="284" spans="1:38" ht="12.75">
      <c r="A284" s="10">
        <f ca="1">IFERROR(__xludf.DUMMYFUNCTION("""COMPUTED_VALUE"""),43570.3339776851)</f>
        <v>43570.333977685099</v>
      </c>
      <c r="B284" s="11" t="str">
        <f ca="1">IFERROR(__xludf.DUMMYFUNCTION("""COMPUTED_VALUE"""),"S. Tanner")</f>
        <v>S. Tanner</v>
      </c>
      <c r="C284" t="str">
        <f ca="1">IFERROR(__xludf.DUMMYFUNCTION("""COMPUTED_VALUE"""),"silas.tanner@floridadep.gov")</f>
        <v>silas.tanner@floridadep.gov</v>
      </c>
      <c r="D284" t="str">
        <f ca="1">IFERROR(__xludf.DUMMYFUNCTION("""COMPUTED_VALUE"""),"Research/Pam")</f>
        <v>Research/Pam</v>
      </c>
      <c r="E284" t="str">
        <f ca="1">IFERROR(__xludf.DUMMYFUNCTION("""COMPUTED_VALUE"""),"Usina County Ramp")</f>
        <v>Usina County Ramp</v>
      </c>
      <c r="F284" s="13">
        <f ca="1">IFERROR(__xludf.DUMMYFUNCTION("""COMPUTED_VALUE"""),0.354166666667879)</f>
        <v>0.35416666666787899</v>
      </c>
      <c r="G284" s="14">
        <f ca="1">IFERROR(__xludf.DUMMYFUNCTION("""COMPUTED_VALUE"""),43570)</f>
        <v>43570</v>
      </c>
      <c r="H284" t="str">
        <f ca="1">IFERROR(__xludf.DUMMYFUNCTION("""COMPUTED_VALUE"""),"ICW - North River: Hat Island SWMP platforms")</f>
        <v>ICW - North River: Hat Island SWMP platforms</v>
      </c>
      <c r="I284" s="15">
        <f ca="1">IFERROR(__xludf.DUMMYFUNCTION("""COMPUTED_VALUE"""),0.5625)</f>
        <v>0.5625</v>
      </c>
      <c r="J284" s="16">
        <f ca="1">IFERROR(__xludf.DUMMYFUNCTION("""COMPUTED_VALUE"""),43570.5833333333)</f>
        <v>43570.583333333299</v>
      </c>
      <c r="K284" t="str">
        <f ca="1">IFERROR(__xludf.DUMMYFUNCTION("""COMPUTED_VALUE"""),"20ft Sea Ark FL5351SJ UNF 2015")</f>
        <v>20ft Sea Ark FL5351SJ UNF 2015</v>
      </c>
      <c r="M284" t="str">
        <f ca="1">IFERROR(__xludf.DUMMYFUNCTION("""COMPUTED_VALUE"""),"Ford F250 2017 (Moby Dix) - DEP0021578")</f>
        <v>Ford F250 2017 (Moby Dix) - DEP0021578</v>
      </c>
      <c r="N284" t="str">
        <f ca="1">IFERROR(__xludf.DUMMYFUNCTION("""COMPUTED_VALUE"""),"Shannon Dunnigan, (803) 727-5734, Silas Tanner, (904) 483-8423")</f>
        <v>Shannon Dunnigan, (803) 727-5734, Silas Tanner, (904) 483-8423</v>
      </c>
      <c r="O284" t="str">
        <f ca="1">IFERROR(__xludf.DUMMYFUNCTION("""COMPUTED_VALUE"""),"Jeff Finnan")</f>
        <v>Jeff Finnan</v>
      </c>
      <c r="P284" t="str">
        <f ca="1">IFERROR(__xludf.DUMMYFUNCTION("""COMPUTED_VALUE"""),"S. Dunnigan")</f>
        <v>S. Dunnigan</v>
      </c>
      <c r="Q284" t="str">
        <f ca="1">IFERROR(__xludf.DUMMYFUNCTION("""COMPUTED_VALUE"""),"Good")</f>
        <v>Good</v>
      </c>
      <c r="R284" t="str">
        <f ca="1">IFERROR(__xludf.DUMMYFUNCTION("""COMPUTED_VALUE"""),"Good")</f>
        <v>Good</v>
      </c>
      <c r="S284" t="str">
        <f ca="1">IFERROR(__xludf.DUMMYFUNCTION("""COMPUTED_VALUE"""),"Good")</f>
        <v>Good</v>
      </c>
      <c r="T284" t="str">
        <f ca="1">IFERROR(__xludf.DUMMYFUNCTION("""COMPUTED_VALUE"""),"Good")</f>
        <v>Good</v>
      </c>
      <c r="U284" t="str">
        <f ca="1">IFERROR(__xludf.DUMMYFUNCTION("""COMPUTED_VALUE"""),"Good")</f>
        <v>Good</v>
      </c>
      <c r="V284" t="str">
        <f ca="1">IFERROR(__xludf.DUMMYFUNCTION("""COMPUTED_VALUE"""),"Good")</f>
        <v>Good</v>
      </c>
      <c r="W284" t="str">
        <f ca="1">IFERROR(__xludf.DUMMYFUNCTION("""COMPUTED_VALUE"""),"Good")</f>
        <v>Good</v>
      </c>
      <c r="X284" t="str">
        <f ca="1">IFERROR(__xludf.DUMMYFUNCTION("""COMPUTED_VALUE"""),"Good")</f>
        <v>Good</v>
      </c>
      <c r="Y284" t="str">
        <f ca="1">IFERROR(__xludf.DUMMYFUNCTION("""COMPUTED_VALUE"""),"Good")</f>
        <v>Good</v>
      </c>
      <c r="Z284" t="str">
        <f ca="1">IFERROR(__xludf.DUMMYFUNCTION("""COMPUTED_VALUE"""),"Good")</f>
        <v>Good</v>
      </c>
      <c r="AA284" t="str">
        <f ca="1">IFERROR(__xludf.DUMMYFUNCTION("""COMPUTED_VALUE"""),"Good")</f>
        <v>Good</v>
      </c>
      <c r="AB284" t="str">
        <f ca="1">IFERROR(__xludf.DUMMYFUNCTION("""COMPUTED_VALUE"""),"Good")</f>
        <v>Good</v>
      </c>
      <c r="AC284" t="str">
        <f ca="1">IFERROR(__xludf.DUMMYFUNCTION("""COMPUTED_VALUE"""),"Good")</f>
        <v>Good</v>
      </c>
      <c r="AE284" s="11"/>
      <c r="AF284" t="str">
        <v>Pamela.Marcum@floridadep.gov</v>
      </c>
      <c r="AG284" s="17" t="s">
        <v>17</v>
      </c>
      <c r="AH284" s="12">
        <v>1430</v>
      </c>
      <c r="AI284" s="12" t="s">
        <v>798</v>
      </c>
      <c r="AJ284" s="19" t="s">
        <v>799</v>
      </c>
      <c r="AK284" s="20" t="str">
        <f>HYPERLINK("https://docs.google.com/document/d/1TyLRb51S5K0bKOXgD50rIy_6EfG9cLwNzFQtV53qkSg/edit?usp=drivesdk","S. Tanner - 4/15/2019 8:30 AM")</f>
        <v>S. Tanner - 4/15/2019 8:30 AM</v>
      </c>
      <c r="AL284" s="12" t="s">
        <v>800</v>
      </c>
    </row>
    <row r="285" spans="1:38" ht="12.75">
      <c r="A285" s="10">
        <f ca="1">IFERROR(__xludf.DUMMYFUNCTION("""COMPUTED_VALUE"""),43572.606552743)</f>
        <v>43572.606552742996</v>
      </c>
      <c r="B285" s="11" t="str">
        <f ca="1">IFERROR(__xludf.DUMMYFUNCTION("""COMPUTED_VALUE"""),"Silas Tanner")</f>
        <v>Silas Tanner</v>
      </c>
      <c r="C285" t="str">
        <f ca="1">IFERROR(__xludf.DUMMYFUNCTION("""COMPUTED_VALUE"""),"silas.tanner@floridadep.gov")</f>
        <v>silas.tanner@floridadep.gov</v>
      </c>
      <c r="D285" t="str">
        <f ca="1">IFERROR(__xludf.DUMMYFUNCTION("""COMPUTED_VALUE"""),"Research/Nikki")</f>
        <v>Research/Nikki</v>
      </c>
      <c r="E285" t="str">
        <f ca="1">IFERROR(__xludf.DUMMYFUNCTION("""COMPUTED_VALUE"""),"Vilano Landing")</f>
        <v>Vilano Landing</v>
      </c>
      <c r="F285" s="13">
        <f ca="1">IFERROR(__xludf.DUMMYFUNCTION("""COMPUTED_VALUE"""),0.34375)</f>
        <v>0.34375</v>
      </c>
      <c r="G285" s="14">
        <f ca="1">IFERROR(__xludf.DUMMYFUNCTION("""COMPUTED_VALUE"""),43573)</f>
        <v>43573</v>
      </c>
      <c r="H285" t="str">
        <f ca="1">IFERROR(__xludf.DUMMYFUNCTION("""COMPUTED_VALUE"""),"ICW - SWMP sites")</f>
        <v>ICW - SWMP sites</v>
      </c>
      <c r="I285" s="15">
        <f ca="1">IFERROR(__xludf.DUMMYFUNCTION("""COMPUTED_VALUE"""),0.55208333333212)</f>
        <v>0.55208333333212001</v>
      </c>
      <c r="J285" s="16">
        <f ca="1">IFERROR(__xludf.DUMMYFUNCTION("""COMPUTED_VALUE"""),43573.5625)</f>
        <v>43573.5625</v>
      </c>
      <c r="K285" t="str">
        <f ca="1">IFERROR(__xludf.DUMMYFUNCTION("""COMPUTED_VALUE"""),"20ft Sea Ark FL5351SJ UNF 2015")</f>
        <v>20ft Sea Ark FL5351SJ UNF 2015</v>
      </c>
      <c r="M285" t="str">
        <f ca="1">IFERROR(__xludf.DUMMYFUNCTION("""COMPUTED_VALUE"""),"Ford F150 2015 (White) - DEP21448")</f>
        <v>Ford F150 2015 (White) - DEP21448</v>
      </c>
      <c r="N285" t="str">
        <f ca="1">IFERROR(__xludf.DUMMYFUNCTION("""COMPUTED_VALUE"""),"Silas Tanner, (904) 483-8423")</f>
        <v>Silas Tanner, (904) 483-8423</v>
      </c>
      <c r="O285" t="str">
        <f ca="1">IFERROR(__xludf.DUMMYFUNCTION("""COMPUTED_VALUE"""),"Jeff Finnan")</f>
        <v>Jeff Finnan</v>
      </c>
      <c r="P285" t="str">
        <f ca="1">IFERROR(__xludf.DUMMYFUNCTION("""COMPUTED_VALUE"""),"Tanner")</f>
        <v>Tanner</v>
      </c>
      <c r="Q285" t="str">
        <f ca="1">IFERROR(__xludf.DUMMYFUNCTION("""COMPUTED_VALUE"""),"Good")</f>
        <v>Good</v>
      </c>
      <c r="R285" t="str">
        <f ca="1">IFERROR(__xludf.DUMMYFUNCTION("""COMPUTED_VALUE"""),"Good")</f>
        <v>Good</v>
      </c>
      <c r="S285" t="str">
        <f ca="1">IFERROR(__xludf.DUMMYFUNCTION("""COMPUTED_VALUE"""),"Good")</f>
        <v>Good</v>
      </c>
      <c r="T285" t="str">
        <f ca="1">IFERROR(__xludf.DUMMYFUNCTION("""COMPUTED_VALUE"""),"Good")</f>
        <v>Good</v>
      </c>
      <c r="U285" t="str">
        <f ca="1">IFERROR(__xludf.DUMMYFUNCTION("""COMPUTED_VALUE"""),"Good")</f>
        <v>Good</v>
      </c>
      <c r="V285" t="str">
        <f ca="1">IFERROR(__xludf.DUMMYFUNCTION("""COMPUTED_VALUE"""),"Good")</f>
        <v>Good</v>
      </c>
      <c r="W285" t="str">
        <f ca="1">IFERROR(__xludf.DUMMYFUNCTION("""COMPUTED_VALUE"""),"Good")</f>
        <v>Good</v>
      </c>
      <c r="X285" t="str">
        <f ca="1">IFERROR(__xludf.DUMMYFUNCTION("""COMPUTED_VALUE"""),"Good")</f>
        <v>Good</v>
      </c>
      <c r="Y285" t="str">
        <f ca="1">IFERROR(__xludf.DUMMYFUNCTION("""COMPUTED_VALUE"""),"Good")</f>
        <v>Good</v>
      </c>
      <c r="Z285" t="str">
        <f ca="1">IFERROR(__xludf.DUMMYFUNCTION("""COMPUTED_VALUE"""),"Good")</f>
        <v>Good</v>
      </c>
      <c r="AA285" t="str">
        <f ca="1">IFERROR(__xludf.DUMMYFUNCTION("""COMPUTED_VALUE"""),"Good")</f>
        <v>Good</v>
      </c>
      <c r="AB285" t="str">
        <f ca="1">IFERROR(__xludf.DUMMYFUNCTION("""COMPUTED_VALUE"""),"Good")</f>
        <v>Good</v>
      </c>
      <c r="AC285" t="str">
        <f ca="1">IFERROR(__xludf.DUMMYFUNCTION("""COMPUTED_VALUE"""),"Good")</f>
        <v>Good</v>
      </c>
      <c r="AE285" s="11"/>
      <c r="AF285" t="str">
        <v>Nikki.Dix@floridadep.gov</v>
      </c>
      <c r="AG285" s="17" t="s">
        <v>58</v>
      </c>
      <c r="AH285" s="12">
        <v>1255</v>
      </c>
      <c r="AI285" s="12" t="s">
        <v>801</v>
      </c>
      <c r="AJ285" s="19" t="s">
        <v>802</v>
      </c>
      <c r="AK285" s="20" t="str">
        <f>HYPERLINK("https://docs.google.com/document/d/1Jwwqnazwww9YKvWyHVkc7djKCR6FkjdvBevqEEgTxgc/edit?usp=drivesdk","Silas Tanner - 4/18/2019 8:15 AM")</f>
        <v>Silas Tanner - 4/18/2019 8:15 AM</v>
      </c>
      <c r="AL285" s="12" t="s">
        <v>803</v>
      </c>
    </row>
    <row r="286" spans="1:38" ht="12.75">
      <c r="A286" s="10">
        <f ca="1">IFERROR(__xludf.DUMMYFUNCTION("""COMPUTED_VALUE"""),43581.5491609259)</f>
        <v>43581.549160925897</v>
      </c>
      <c r="B286" s="11" t="str">
        <f ca="1">IFERROR(__xludf.DUMMYFUNCTION("""COMPUTED_VALUE"""),"Pamela Marcum")</f>
        <v>Pamela Marcum</v>
      </c>
      <c r="C286" t="str">
        <f ca="1">IFERROR(__xludf.DUMMYFUNCTION("""COMPUTED_VALUE"""),"Pamela.Marcum@dep.state.fl.us")</f>
        <v>Pamela.Marcum@dep.state.fl.us</v>
      </c>
      <c r="D286" t="str">
        <f ca="1">IFERROR(__xludf.DUMMYFUNCTION("""COMPUTED_VALUE"""),"Research/Nikki")</f>
        <v>Research/Nikki</v>
      </c>
      <c r="E286" t="str">
        <f ca="1">IFERROR(__xludf.DUMMYFUNCTION("""COMPUTED_VALUE"""),"Shore Dr")</f>
        <v>Shore Dr</v>
      </c>
      <c r="F286" s="13">
        <f ca="1">IFERROR(__xludf.DUMMYFUNCTION("""COMPUTED_VALUE"""),0.58333333333212)</f>
        <v>0.58333333333212001</v>
      </c>
      <c r="G286" s="14">
        <f ca="1">IFERROR(__xludf.DUMMYFUNCTION("""COMPUTED_VALUE"""),43581)</f>
        <v>43581</v>
      </c>
      <c r="H286" t="str">
        <f ca="1">IFERROR(__xludf.DUMMYFUNCTION("""COMPUTED_VALUE"""),"Gabbys Creek - WETFEET site")</f>
        <v>Gabbys Creek - WETFEET site</v>
      </c>
      <c r="I286" s="15">
        <f ca="1">IFERROR(__xludf.DUMMYFUNCTION("""COMPUTED_VALUE"""),0.729166666667879)</f>
        <v>0.72916666666787899</v>
      </c>
      <c r="J286" s="16">
        <f ca="1">IFERROR(__xludf.DUMMYFUNCTION("""COMPUTED_VALUE"""),43581.75)</f>
        <v>43581.75</v>
      </c>
      <c r="K286" t="str">
        <f ca="1">IFERROR(__xludf.DUMMYFUNCTION("""COMPUTED_VALUE"""),"20ft Sea Ark FL5351SJ UNF 2015")</f>
        <v>20ft Sea Ark FL5351SJ UNF 2015</v>
      </c>
      <c r="M286" t="str">
        <f ca="1">IFERROR(__xludf.DUMMYFUNCTION("""COMPUTED_VALUE"""),"Ford F150 2008 - DEP18041 (SWMP Thing)")</f>
        <v>Ford F150 2008 - DEP18041 (SWMP Thing)</v>
      </c>
      <c r="N286" t="str">
        <f ca="1">IFERROR(__xludf.DUMMYFUNCTION("""COMPUTED_VALUE"""),"Pam Marcum, (480) 332-5414")</f>
        <v>Pam Marcum, (480) 332-5414</v>
      </c>
      <c r="O286" t="str">
        <f ca="1">IFERROR(__xludf.DUMMYFUNCTION("""COMPUTED_VALUE"""),"Gabriela Canas, (904) 891-9743")</f>
        <v>Gabriela Canas, (904) 891-9743</v>
      </c>
      <c r="P286" t="str">
        <f ca="1">IFERROR(__xludf.DUMMYFUNCTION("""COMPUTED_VALUE"""),"Pam")</f>
        <v>Pam</v>
      </c>
      <c r="Q286" t="str">
        <f ca="1">IFERROR(__xludf.DUMMYFUNCTION("""COMPUTED_VALUE"""),"Good")</f>
        <v>Good</v>
      </c>
      <c r="R286" t="str">
        <f ca="1">IFERROR(__xludf.DUMMYFUNCTION("""COMPUTED_VALUE"""),"Good")</f>
        <v>Good</v>
      </c>
      <c r="S286" t="str">
        <f ca="1">IFERROR(__xludf.DUMMYFUNCTION("""COMPUTED_VALUE"""),"Good")</f>
        <v>Good</v>
      </c>
      <c r="T286" t="str">
        <f ca="1">IFERROR(__xludf.DUMMYFUNCTION("""COMPUTED_VALUE"""),"Good")</f>
        <v>Good</v>
      </c>
      <c r="U286" t="str">
        <f ca="1">IFERROR(__xludf.DUMMYFUNCTION("""COMPUTED_VALUE"""),"Good")</f>
        <v>Good</v>
      </c>
      <c r="V286" t="str">
        <f ca="1">IFERROR(__xludf.DUMMYFUNCTION("""COMPUTED_VALUE"""),"Good")</f>
        <v>Good</v>
      </c>
      <c r="W286" t="str">
        <f ca="1">IFERROR(__xludf.DUMMYFUNCTION("""COMPUTED_VALUE"""),"Good")</f>
        <v>Good</v>
      </c>
      <c r="X286" t="str">
        <f ca="1">IFERROR(__xludf.DUMMYFUNCTION("""COMPUTED_VALUE"""),"Good")</f>
        <v>Good</v>
      </c>
      <c r="Y286" t="str">
        <f ca="1">IFERROR(__xludf.DUMMYFUNCTION("""COMPUTED_VALUE"""),"Good")</f>
        <v>Good</v>
      </c>
      <c r="Z286" t="str">
        <f ca="1">IFERROR(__xludf.DUMMYFUNCTION("""COMPUTED_VALUE"""),"Good")</f>
        <v>Good</v>
      </c>
      <c r="AA286" t="str">
        <f ca="1">IFERROR(__xludf.DUMMYFUNCTION("""COMPUTED_VALUE"""),"Good")</f>
        <v>Good</v>
      </c>
      <c r="AB286" t="str">
        <f ca="1">IFERROR(__xludf.DUMMYFUNCTION("""COMPUTED_VALUE"""),"Good")</f>
        <v>Good</v>
      </c>
      <c r="AC286" t="str">
        <f ca="1">IFERROR(__xludf.DUMMYFUNCTION("""COMPUTED_VALUE"""),"Good")</f>
        <v>Good</v>
      </c>
      <c r="AE286" s="11"/>
      <c r="AF286" t="str">
        <v>Nikki.Dix@floridadep.gov</v>
      </c>
      <c r="AG286" s="17" t="s">
        <v>41</v>
      </c>
      <c r="AH286" s="12">
        <v>1615</v>
      </c>
      <c r="AI286" s="12" t="s">
        <v>804</v>
      </c>
      <c r="AJ286" s="19" t="s">
        <v>805</v>
      </c>
      <c r="AK286" s="20" t="str">
        <f>HYPERLINK("https://docs.google.com/document/d/1u7s5sF6N4c08VUpD9QaNfb9XH2JWFuYc9n9uv0nmrXs/edit?usp=drivesdk","Pamela Marcum - 4/26/2019 2:00 PM")</f>
        <v>Pamela Marcum - 4/26/2019 2:00 PM</v>
      </c>
      <c r="AL286" s="12" t="s">
        <v>806</v>
      </c>
    </row>
    <row r="287" spans="1:38" ht="12.75">
      <c r="A287" s="10">
        <f ca="1">IFERROR(__xludf.DUMMYFUNCTION("""COMPUTED_VALUE"""),43585.3731357986)</f>
        <v>43585.373135798603</v>
      </c>
      <c r="B287" s="11" t="str">
        <f ca="1">IFERROR(__xludf.DUMMYFUNCTION("""COMPUTED_VALUE"""),"Silas Tanner")</f>
        <v>Silas Tanner</v>
      </c>
      <c r="D287" t="str">
        <f ca="1">IFERROR(__xludf.DUMMYFUNCTION("""COMPUTED_VALUE"""),"Research/Nikki")</f>
        <v>Research/Nikki</v>
      </c>
      <c r="E287" t="str">
        <f ca="1">IFERROR(__xludf.DUMMYFUNCTION("""COMPUTED_VALUE"""),"Vilano Landing")</f>
        <v>Vilano Landing</v>
      </c>
      <c r="F287" s="13">
        <f ca="1">IFERROR(__xludf.DUMMYFUNCTION("""COMPUTED_VALUE"""),0.30208333333212)</f>
        <v>0.30208333333212001</v>
      </c>
      <c r="G287" s="14">
        <f ca="1">IFERROR(__xludf.DUMMYFUNCTION("""COMPUTED_VALUE"""),43586)</f>
        <v>43586</v>
      </c>
      <c r="H287" t="str">
        <f ca="1">IFERROR(__xludf.DUMMYFUNCTION("""COMPUTED_VALUE"""),"ICW SWMP sites")</f>
        <v>ICW SWMP sites</v>
      </c>
      <c r="I287" s="15">
        <f ca="1">IFERROR(__xludf.DUMMYFUNCTION("""COMPUTED_VALUE"""),0.510416666667879)</f>
        <v>0.51041666666787899</v>
      </c>
      <c r="J287" s="16">
        <f ca="1">IFERROR(__xludf.DUMMYFUNCTION("""COMPUTED_VALUE"""),43586.5208333333)</f>
        <v>43586.520833333299</v>
      </c>
      <c r="K287" t="str">
        <f ca="1">IFERROR(__xludf.DUMMYFUNCTION("""COMPUTED_VALUE"""),"F 20ft Sea Ark (Easy 200) FL8534PY DEP21451")</f>
        <v>F 20ft Sea Ark (Easy 200) FL8534PY DEP21451</v>
      </c>
      <c r="M287" t="str">
        <f ca="1">IFERROR(__xludf.DUMMYFUNCTION("""COMPUTED_VALUE"""),"Ford F250 2017 (Moby Dix) - DEP0021578")</f>
        <v>Ford F250 2017 (Moby Dix) - DEP0021578</v>
      </c>
      <c r="N287" t="str">
        <f ca="1">IFERROR(__xludf.DUMMYFUNCTION("""COMPUTED_VALUE"""),"Silas Tanner, (904) 483-8423, Jimmy Tomazinis, (904) 547-0094")</f>
        <v>Silas Tanner, (904) 483-8423, Jimmy Tomazinis, (904) 547-0094</v>
      </c>
      <c r="O287" t="str">
        <f ca="1">IFERROR(__xludf.DUMMYFUNCTION("""COMPUTED_VALUE"""),"Bella Kitzis")</f>
        <v>Bella Kitzis</v>
      </c>
      <c r="P287" t="str">
        <f ca="1">IFERROR(__xludf.DUMMYFUNCTION("""COMPUTED_VALUE"""),"J. Tomazinis")</f>
        <v>J. Tomazinis</v>
      </c>
      <c r="Q287" t="str">
        <f ca="1">IFERROR(__xludf.DUMMYFUNCTION("""COMPUTED_VALUE"""),"Good")</f>
        <v>Good</v>
      </c>
      <c r="R287" t="str">
        <f ca="1">IFERROR(__xludf.DUMMYFUNCTION("""COMPUTED_VALUE"""),"Good")</f>
        <v>Good</v>
      </c>
      <c r="S287" t="str">
        <f ca="1">IFERROR(__xludf.DUMMYFUNCTION("""COMPUTED_VALUE"""),"Good")</f>
        <v>Good</v>
      </c>
      <c r="T287" t="str">
        <f ca="1">IFERROR(__xludf.DUMMYFUNCTION("""COMPUTED_VALUE"""),"Good")</f>
        <v>Good</v>
      </c>
      <c r="U287" t="str">
        <f ca="1">IFERROR(__xludf.DUMMYFUNCTION("""COMPUTED_VALUE"""),"Good")</f>
        <v>Good</v>
      </c>
      <c r="V287" t="str">
        <f ca="1">IFERROR(__xludf.DUMMYFUNCTION("""COMPUTED_VALUE"""),"Good")</f>
        <v>Good</v>
      </c>
      <c r="W287" t="str">
        <f ca="1">IFERROR(__xludf.DUMMYFUNCTION("""COMPUTED_VALUE"""),"Good")</f>
        <v>Good</v>
      </c>
      <c r="X287" t="str">
        <f ca="1">IFERROR(__xludf.DUMMYFUNCTION("""COMPUTED_VALUE"""),"Good")</f>
        <v>Good</v>
      </c>
      <c r="Y287" t="str">
        <f ca="1">IFERROR(__xludf.DUMMYFUNCTION("""COMPUTED_VALUE"""),"Good")</f>
        <v>Good</v>
      </c>
      <c r="Z287" t="str">
        <f ca="1">IFERROR(__xludf.DUMMYFUNCTION("""COMPUTED_VALUE"""),"Good")</f>
        <v>Good</v>
      </c>
      <c r="AA287" t="str">
        <f ca="1">IFERROR(__xludf.DUMMYFUNCTION("""COMPUTED_VALUE"""),"Good")</f>
        <v>Good</v>
      </c>
      <c r="AB287" t="str">
        <f ca="1">IFERROR(__xludf.DUMMYFUNCTION("""COMPUTED_VALUE"""),"Good")</f>
        <v>Good</v>
      </c>
      <c r="AC287" t="str">
        <f ca="1">IFERROR(__xludf.DUMMYFUNCTION("""COMPUTED_VALUE"""),"Good")</f>
        <v>Good</v>
      </c>
      <c r="AE287" s="11"/>
      <c r="AF287" t="str">
        <v>Nikki.Dix@floridadep.gov</v>
      </c>
      <c r="AG287" s="17" t="s">
        <v>17</v>
      </c>
      <c r="AH287" s="12">
        <v>1135</v>
      </c>
      <c r="AI287" s="12" t="s">
        <v>807</v>
      </c>
      <c r="AJ287" s="19" t="s">
        <v>808</v>
      </c>
      <c r="AK287" s="20" t="str">
        <f>HYPERLINK("https://docs.google.com/document/d/1yVYWUcznor89rZKLN7JNHkOJi-hKAXwvKPawozANPrs/edit?usp=drivesdk","Silas Tanner - 5/1/2019 7:15 AM")</f>
        <v>Silas Tanner - 5/1/2019 7:15 AM</v>
      </c>
      <c r="AL287" s="12" t="s">
        <v>809</v>
      </c>
    </row>
    <row r="288" spans="1:38" ht="12.75">
      <c r="A288" s="10">
        <f ca="1">IFERROR(__xludf.DUMMYFUNCTION("""COMPUTED_VALUE"""),43586.3676894097)</f>
        <v>43586.367689409701</v>
      </c>
      <c r="B288" s="11" t="str">
        <f ca="1">IFERROR(__xludf.DUMMYFUNCTION("""COMPUTED_VALUE"""),"Pamela Marcum")</f>
        <v>Pamela Marcum</v>
      </c>
      <c r="C288" t="str">
        <f ca="1">IFERROR(__xludf.DUMMYFUNCTION("""COMPUTED_VALUE"""),"Pamela.Marcum@dep.state.fl.us")</f>
        <v>Pamela.Marcum@dep.state.fl.us</v>
      </c>
      <c r="D288" t="str">
        <f ca="1">IFERROR(__xludf.DUMMYFUNCTION("""COMPUTED_VALUE"""),"Research/Nikki")</f>
        <v>Research/Nikki</v>
      </c>
      <c r="E288" t="str">
        <f ca="1">IFERROR(__xludf.DUMMYFUNCTION("""COMPUTED_VALUE"""),"Vilano")</f>
        <v>Vilano</v>
      </c>
      <c r="F288" s="13">
        <f ca="1">IFERROR(__xludf.DUMMYFUNCTION("""COMPUTED_VALUE"""),0.45833333333212)</f>
        <v>0.45833333333212001</v>
      </c>
      <c r="G288" s="14">
        <f ca="1">IFERROR(__xludf.DUMMYFUNCTION("""COMPUTED_VALUE"""),43586)</f>
        <v>43586</v>
      </c>
      <c r="H288" t="str">
        <f ca="1">IFERROR(__xludf.DUMMYFUNCTION("""COMPUTED_VALUE"""),"Salt Run, St Augustine, Matanzas River Spat Trees")</f>
        <v>Salt Run, St Augustine, Matanzas River Spat Trees</v>
      </c>
      <c r="I288" s="15">
        <f ca="1">IFERROR(__xludf.DUMMYFUNCTION("""COMPUTED_VALUE"""),0.6875)</f>
        <v>0.6875</v>
      </c>
      <c r="J288" s="16">
        <f ca="1">IFERROR(__xludf.DUMMYFUNCTION("""COMPUTED_VALUE"""),43586.7083333333)</f>
        <v>43586.708333333299</v>
      </c>
      <c r="K288" t="str">
        <f ca="1">IFERROR(__xludf.DUMMYFUNCTION("""COMPUTED_VALUE"""),"20ft Sea Ark FL5351SJ UNF 2015")</f>
        <v>20ft Sea Ark FL5351SJ UNF 2015</v>
      </c>
      <c r="M288" t="str">
        <f ca="1">IFERROR(__xludf.DUMMYFUNCTION("""COMPUTED_VALUE"""),"Ford F150 2008 - DEP18041 (SWMP Thing)")</f>
        <v>Ford F150 2008 - DEP18041 (SWMP Thing)</v>
      </c>
      <c r="N288" t="str">
        <f ca="1">IFERROR(__xludf.DUMMYFUNCTION("""COMPUTED_VALUE"""),"Pam Marcum, (480) 332-5414")</f>
        <v>Pam Marcum, (480) 332-5414</v>
      </c>
      <c r="O288" t="str">
        <f ca="1">IFERROR(__xludf.DUMMYFUNCTION("""COMPUTED_VALUE"""),"Terri Calleson")</f>
        <v>Terri Calleson</v>
      </c>
      <c r="P288" t="str">
        <f ca="1">IFERROR(__xludf.DUMMYFUNCTION("""COMPUTED_VALUE"""),"Pam")</f>
        <v>Pam</v>
      </c>
      <c r="Q288" t="str">
        <f ca="1">IFERROR(__xludf.DUMMYFUNCTION("""COMPUTED_VALUE"""),"Good")</f>
        <v>Good</v>
      </c>
      <c r="R288" t="str">
        <f ca="1">IFERROR(__xludf.DUMMYFUNCTION("""COMPUTED_VALUE"""),"Good")</f>
        <v>Good</v>
      </c>
      <c r="S288" t="str">
        <f ca="1">IFERROR(__xludf.DUMMYFUNCTION("""COMPUTED_VALUE"""),"Good")</f>
        <v>Good</v>
      </c>
      <c r="T288" t="str">
        <f ca="1">IFERROR(__xludf.DUMMYFUNCTION("""COMPUTED_VALUE"""),"Good")</f>
        <v>Good</v>
      </c>
      <c r="U288" t="str">
        <f ca="1">IFERROR(__xludf.DUMMYFUNCTION("""COMPUTED_VALUE"""),"Good")</f>
        <v>Good</v>
      </c>
      <c r="V288" t="str">
        <f ca="1">IFERROR(__xludf.DUMMYFUNCTION("""COMPUTED_VALUE"""),"Good")</f>
        <v>Good</v>
      </c>
      <c r="W288" t="str">
        <f ca="1">IFERROR(__xludf.DUMMYFUNCTION("""COMPUTED_VALUE"""),"Good")</f>
        <v>Good</v>
      </c>
      <c r="X288" t="str">
        <f ca="1">IFERROR(__xludf.DUMMYFUNCTION("""COMPUTED_VALUE"""),"Good")</f>
        <v>Good</v>
      </c>
      <c r="Y288" t="str">
        <f ca="1">IFERROR(__xludf.DUMMYFUNCTION("""COMPUTED_VALUE"""),"Good")</f>
        <v>Good</v>
      </c>
      <c r="Z288" t="str">
        <f ca="1">IFERROR(__xludf.DUMMYFUNCTION("""COMPUTED_VALUE"""),"Good")</f>
        <v>Good</v>
      </c>
      <c r="AA288" t="str">
        <f ca="1">IFERROR(__xludf.DUMMYFUNCTION("""COMPUTED_VALUE"""),"Good")</f>
        <v>Good</v>
      </c>
      <c r="AB288" t="str">
        <f ca="1">IFERROR(__xludf.DUMMYFUNCTION("""COMPUTED_VALUE"""),"Good")</f>
        <v>Good</v>
      </c>
      <c r="AC288" t="str">
        <f ca="1">IFERROR(__xludf.DUMMYFUNCTION("""COMPUTED_VALUE"""),"Good")</f>
        <v>Good</v>
      </c>
      <c r="AE288" s="11"/>
      <c r="AF288" t="str">
        <v>Nikki.Dix@floridadep.gov</v>
      </c>
      <c r="AG288" s="17" t="s">
        <v>41</v>
      </c>
      <c r="AH288" s="12">
        <v>1645</v>
      </c>
      <c r="AI288" s="12" t="s">
        <v>810</v>
      </c>
      <c r="AJ288" s="19" t="s">
        <v>811</v>
      </c>
      <c r="AK288" s="20" t="str">
        <f>HYPERLINK("https://docs.google.com/document/d/1eXlcmMIv9zUf7k-HL1ZFahKVKf9u1qFeaJAyflX6R20/edit?usp=drivesdk","Pamela Marcum - 5/1/2019 11:00 AM")</f>
        <v>Pamela Marcum - 5/1/2019 11:00 AM</v>
      </c>
      <c r="AL288" s="12" t="s">
        <v>812</v>
      </c>
    </row>
    <row r="289" spans="1:38" ht="12.75">
      <c r="A289" s="10">
        <f ca="1">IFERROR(__xludf.DUMMYFUNCTION("""COMPUTED_VALUE"""),43586.679285868)</f>
        <v>43586.679285867998</v>
      </c>
      <c r="B289" s="11" t="str">
        <f ca="1">IFERROR(__xludf.DUMMYFUNCTION("""COMPUTED_VALUE"""),"James Tomazinis")</f>
        <v>James Tomazinis</v>
      </c>
      <c r="C289" t="str">
        <f ca="1">IFERROR(__xludf.DUMMYFUNCTION("""COMPUTED_VALUE"""),"james.tomazinis@floridadep.gov")</f>
        <v>james.tomazinis@floridadep.gov</v>
      </c>
      <c r="D289" t="str">
        <f ca="1">IFERROR(__xludf.DUMMYFUNCTION("""COMPUTED_VALUE"""),"Stewardship (Aquatic)")</f>
        <v>Stewardship (Aquatic)</v>
      </c>
      <c r="E289" t="str">
        <f ca="1">IFERROR(__xludf.DUMMYFUNCTION("""COMPUTED_VALUE"""),"Guana Dam")</f>
        <v>Guana Dam</v>
      </c>
      <c r="F289" s="13">
        <f ca="1">IFERROR(__xludf.DUMMYFUNCTION("""COMPUTED_VALUE"""),0.354166666667879)</f>
        <v>0.35416666666787899</v>
      </c>
      <c r="G289" s="14">
        <f ca="1">IFERROR(__xludf.DUMMYFUNCTION("""COMPUTED_VALUE"""),43587)</f>
        <v>43587</v>
      </c>
      <c r="H289" t="str">
        <f ca="1">IFERROR(__xludf.DUMMYFUNCTION("""COMPUTED_VALUE"""),"Guana River WQ sites")</f>
        <v>Guana River WQ sites</v>
      </c>
      <c r="I289" s="15">
        <f ca="1">IFERROR(__xludf.DUMMYFUNCTION("""COMPUTED_VALUE"""),0.4375)</f>
        <v>0.4375</v>
      </c>
      <c r="J289" s="16"/>
      <c r="K289" t="str">
        <f ca="1">IFERROR(__xludf.DUMMYFUNCTION("""COMPUTED_VALUE"""),"Jon Boat FL0484NP DEP06819")</f>
        <v>Jon Boat FL0484NP DEP06819</v>
      </c>
      <c r="M289" t="str">
        <f ca="1">IFERROR(__xludf.DUMMYFUNCTION("""COMPUTED_VALUE"""),"Ford F150 2015 (White) - DEP21448")</f>
        <v>Ford F150 2015 (White) - DEP21448</v>
      </c>
      <c r="N289" t="str">
        <f ca="1">IFERROR(__xludf.DUMMYFUNCTION("""COMPUTED_VALUE"""),"Jimmy Tomazinis, (904) 547-0094")</f>
        <v>Jimmy Tomazinis, (904) 547-0094</v>
      </c>
      <c r="O289" t="str">
        <f ca="1">IFERROR(__xludf.DUMMYFUNCTION("""COMPUTED_VALUE"""),"Jessica Lee")</f>
        <v>Jessica Lee</v>
      </c>
      <c r="P289" t="str">
        <f ca="1">IFERROR(__xludf.DUMMYFUNCTION("""COMPUTED_VALUE"""),"Jimmy")</f>
        <v>Jimmy</v>
      </c>
      <c r="Q289" t="str">
        <f ca="1">IFERROR(__xludf.DUMMYFUNCTION("""COMPUTED_VALUE"""),"Good")</f>
        <v>Good</v>
      </c>
      <c r="R289" t="str">
        <f ca="1">IFERROR(__xludf.DUMMYFUNCTION("""COMPUTED_VALUE"""),"Good")</f>
        <v>Good</v>
      </c>
      <c r="S289" t="str">
        <f ca="1">IFERROR(__xludf.DUMMYFUNCTION("""COMPUTED_VALUE"""),"Good")</f>
        <v>Good</v>
      </c>
      <c r="T289" t="str">
        <f ca="1">IFERROR(__xludf.DUMMYFUNCTION("""COMPUTED_VALUE"""),"Good")</f>
        <v>Good</v>
      </c>
      <c r="U289" t="str">
        <f ca="1">IFERROR(__xludf.DUMMYFUNCTION("""COMPUTED_VALUE"""),"Good")</f>
        <v>Good</v>
      </c>
      <c r="V289" t="str">
        <f ca="1">IFERROR(__xludf.DUMMYFUNCTION("""COMPUTED_VALUE"""),"Good")</f>
        <v>Good</v>
      </c>
      <c r="W289" t="str">
        <f ca="1">IFERROR(__xludf.DUMMYFUNCTION("""COMPUTED_VALUE"""),"Good")</f>
        <v>Good</v>
      </c>
      <c r="X289" t="str">
        <f ca="1">IFERROR(__xludf.DUMMYFUNCTION("""COMPUTED_VALUE"""),"Good")</f>
        <v>Good</v>
      </c>
      <c r="Y289" t="str">
        <f ca="1">IFERROR(__xludf.DUMMYFUNCTION("""COMPUTED_VALUE"""),"Good")</f>
        <v>Good</v>
      </c>
      <c r="Z289" t="str">
        <f ca="1">IFERROR(__xludf.DUMMYFUNCTION("""COMPUTED_VALUE"""),"Good")</f>
        <v>Good</v>
      </c>
      <c r="AA289" t="str">
        <f ca="1">IFERROR(__xludf.DUMMYFUNCTION("""COMPUTED_VALUE"""),"Good")</f>
        <v>Good</v>
      </c>
      <c r="AB289" t="str">
        <f ca="1">IFERROR(__xludf.DUMMYFUNCTION("""COMPUTED_VALUE"""),"Good")</f>
        <v>Good</v>
      </c>
      <c r="AC289" t="str">
        <f ca="1">IFERROR(__xludf.DUMMYFUNCTION("""COMPUTED_VALUE"""),"Good")</f>
        <v>Good</v>
      </c>
      <c r="AE289" s="11"/>
      <c r="AF289" t="str">
        <v>Scott.Eastman@floridadep.gov</v>
      </c>
      <c r="AG289" s="17" t="s">
        <v>17</v>
      </c>
      <c r="AH289" s="12">
        <v>1030</v>
      </c>
      <c r="AI289" s="12" t="s">
        <v>813</v>
      </c>
      <c r="AJ289" s="19" t="s">
        <v>814</v>
      </c>
      <c r="AK289" s="20" t="str">
        <f>HYPERLINK("https://docs.google.com/document/d/1Si4U5YmHvfX7oP5-r6Jt3hFsP-8Kn9NMVMWY0BZp7kU/edit?usp=drivesdk","James Tomazinis - 5/2/2019 8:30 AM")</f>
        <v>James Tomazinis - 5/2/2019 8:30 AM</v>
      </c>
      <c r="AL289" s="12" t="s">
        <v>815</v>
      </c>
    </row>
    <row r="290" spans="1:38" ht="12.75">
      <c r="A290" s="10">
        <f ca="1">IFERROR(__xludf.DUMMYFUNCTION("""COMPUTED_VALUE"""),43587.3981818865)</f>
        <v>43587.3981818865</v>
      </c>
      <c r="B290" s="11" t="str">
        <f ca="1">IFERROR(__xludf.DUMMYFUNCTION("""COMPUTED_VALUE"""),"Pamela Marcum")</f>
        <v>Pamela Marcum</v>
      </c>
      <c r="C290" t="str">
        <f ca="1">IFERROR(__xludf.DUMMYFUNCTION("""COMPUTED_VALUE"""),"Pamela.Marcum@dep.state.fl.us")</f>
        <v>Pamela.Marcum@dep.state.fl.us</v>
      </c>
      <c r="D290" t="str">
        <f ca="1">IFERROR(__xludf.DUMMYFUNCTION("""COMPUTED_VALUE"""),"Research/Nikki")</f>
        <v>Research/Nikki</v>
      </c>
      <c r="E290" t="str">
        <f ca="1">IFERROR(__xludf.DUMMYFUNCTION("""COMPUTED_VALUE"""),"Aunt Kate's")</f>
        <v>Aunt Kate's</v>
      </c>
      <c r="F290" s="13">
        <f ca="1">IFERROR(__xludf.DUMMYFUNCTION("""COMPUTED_VALUE"""),0.479166666667879)</f>
        <v>0.47916666666787899</v>
      </c>
      <c r="G290" s="14">
        <f ca="1">IFERROR(__xludf.DUMMYFUNCTION("""COMPUTED_VALUE"""),43587)</f>
        <v>43587</v>
      </c>
      <c r="H290" t="str">
        <f ca="1">IFERROR(__xludf.DUMMYFUNCTION("""COMPUTED_VALUE"""),"Guana/Tolomato Rivers")</f>
        <v>Guana/Tolomato Rivers</v>
      </c>
      <c r="I290" s="15">
        <f ca="1">IFERROR(__xludf.DUMMYFUNCTION("""COMPUTED_VALUE"""),0.666666666667879)</f>
        <v>0.66666666666787899</v>
      </c>
      <c r="J290" s="16">
        <f ca="1">IFERROR(__xludf.DUMMYFUNCTION("""COMPUTED_VALUE"""),43587.6875)</f>
        <v>43587.6875</v>
      </c>
      <c r="K290" t="str">
        <f ca="1">IFERROR(__xludf.DUMMYFUNCTION("""COMPUTED_VALUE"""),"20ft Sea Ark FL5351SJ UNF 2015")</f>
        <v>20ft Sea Ark FL5351SJ UNF 2015</v>
      </c>
      <c r="M290" t="str">
        <f ca="1">IFERROR(__xludf.DUMMYFUNCTION("""COMPUTED_VALUE"""),"Ford F150 2008 - DEP18041 (SWMP Thing)")</f>
        <v>Ford F150 2008 - DEP18041 (SWMP Thing)</v>
      </c>
      <c r="N290" t="str">
        <f ca="1">IFERROR(__xludf.DUMMYFUNCTION("""COMPUTED_VALUE"""),"Pam Marcum, (480) 332-5414")</f>
        <v>Pam Marcum, (480) 332-5414</v>
      </c>
      <c r="O290" t="str">
        <f ca="1">IFERROR(__xludf.DUMMYFUNCTION("""COMPUTED_VALUE"""),"Nicole Peckham, Adrienne Breef-Pilz")</f>
        <v>Nicole Peckham, Adrienne Breef-Pilz</v>
      </c>
      <c r="P290" t="str">
        <f ca="1">IFERROR(__xludf.DUMMYFUNCTION("""COMPUTED_VALUE"""),"Pam")</f>
        <v>Pam</v>
      </c>
      <c r="Q290" t="str">
        <f ca="1">IFERROR(__xludf.DUMMYFUNCTION("""COMPUTED_VALUE"""),"Good")</f>
        <v>Good</v>
      </c>
      <c r="R290" t="str">
        <f ca="1">IFERROR(__xludf.DUMMYFUNCTION("""COMPUTED_VALUE"""),"Good")</f>
        <v>Good</v>
      </c>
      <c r="S290" t="str">
        <f ca="1">IFERROR(__xludf.DUMMYFUNCTION("""COMPUTED_VALUE"""),"Good")</f>
        <v>Good</v>
      </c>
      <c r="T290" t="str">
        <f ca="1">IFERROR(__xludf.DUMMYFUNCTION("""COMPUTED_VALUE"""),"Good")</f>
        <v>Good</v>
      </c>
      <c r="U290" t="str">
        <f ca="1">IFERROR(__xludf.DUMMYFUNCTION("""COMPUTED_VALUE"""),"Good")</f>
        <v>Good</v>
      </c>
      <c r="V290" t="str">
        <f ca="1">IFERROR(__xludf.DUMMYFUNCTION("""COMPUTED_VALUE"""),"Good")</f>
        <v>Good</v>
      </c>
      <c r="W290" t="str">
        <f ca="1">IFERROR(__xludf.DUMMYFUNCTION("""COMPUTED_VALUE"""),"Good")</f>
        <v>Good</v>
      </c>
      <c r="X290" t="str">
        <f ca="1">IFERROR(__xludf.DUMMYFUNCTION("""COMPUTED_VALUE"""),"Good")</f>
        <v>Good</v>
      </c>
      <c r="Y290" t="str">
        <f ca="1">IFERROR(__xludf.DUMMYFUNCTION("""COMPUTED_VALUE"""),"Good")</f>
        <v>Good</v>
      </c>
      <c r="Z290" t="str">
        <f ca="1">IFERROR(__xludf.DUMMYFUNCTION("""COMPUTED_VALUE"""),"Good")</f>
        <v>Good</v>
      </c>
      <c r="AA290" t="str">
        <f ca="1">IFERROR(__xludf.DUMMYFUNCTION("""COMPUTED_VALUE"""),"Good")</f>
        <v>Good</v>
      </c>
      <c r="AB290" t="str">
        <f ca="1">IFERROR(__xludf.DUMMYFUNCTION("""COMPUTED_VALUE"""),"Good")</f>
        <v>Good</v>
      </c>
      <c r="AC290" t="str">
        <f ca="1">IFERROR(__xludf.DUMMYFUNCTION("""COMPUTED_VALUE"""),"Good")</f>
        <v>Good</v>
      </c>
      <c r="AE290" s="11"/>
      <c r="AF290" t="str">
        <v>Nikki.Dix@floridadep.gov</v>
      </c>
      <c r="AG290" s="17" t="s">
        <v>17</v>
      </c>
      <c r="AH290" s="12">
        <v>1515</v>
      </c>
      <c r="AI290" s="12" t="s">
        <v>816</v>
      </c>
      <c r="AJ290" s="19" t="s">
        <v>817</v>
      </c>
      <c r="AK290" s="20" t="str">
        <f>HYPERLINK("https://docs.google.com/document/d/1Q9ML7tL-eCbAh36Z_OcvQHcpvugY7Asf2P4_F6COnTE/edit?usp=drivesdk","Pamela Marcum - 5/2/2019 11:30 AM")</f>
        <v>Pamela Marcum - 5/2/2019 11:30 AM</v>
      </c>
      <c r="AL290" s="12" t="s">
        <v>818</v>
      </c>
    </row>
    <row r="291" spans="1:38" ht="12.75">
      <c r="A291" s="10">
        <f ca="1">IFERROR(__xludf.DUMMYFUNCTION("""COMPUTED_VALUE"""),43591.5981642592)</f>
        <v>43591.598164259201</v>
      </c>
      <c r="B291" s="11" t="str">
        <f ca="1">IFERROR(__xludf.DUMMYFUNCTION("""COMPUTED_VALUE"""),"Pamela Marcum")</f>
        <v>Pamela Marcum</v>
      </c>
      <c r="C291" t="str">
        <f ca="1">IFERROR(__xludf.DUMMYFUNCTION("""COMPUTED_VALUE"""),"Pamela.Marcum@dep.state.fl.us")</f>
        <v>Pamela.Marcum@dep.state.fl.us</v>
      </c>
      <c r="D291" t="str">
        <f ca="1">IFERROR(__xludf.DUMMYFUNCTION("""COMPUTED_VALUE"""),"Research/Nikki")</f>
        <v>Research/Nikki</v>
      </c>
      <c r="E291" t="str">
        <f ca="1">IFERROR(__xludf.DUMMYFUNCTION("""COMPUTED_VALUE"""),"Aunt Kates")</f>
        <v>Aunt Kates</v>
      </c>
      <c r="F291" s="13">
        <f ca="1">IFERROR(__xludf.DUMMYFUNCTION("""COMPUTED_VALUE"""),0.61458333333212)</f>
        <v>0.61458333333212001</v>
      </c>
      <c r="G291" s="14">
        <f ca="1">IFERROR(__xludf.DUMMYFUNCTION("""COMPUTED_VALUE"""),43591)</f>
        <v>43591</v>
      </c>
      <c r="H291" t="str">
        <f ca="1">IFERROR(__xludf.DUMMYFUNCTION("""COMPUTED_VALUE"""),"Tolomato River")</f>
        <v>Tolomato River</v>
      </c>
      <c r="I291" s="15">
        <f ca="1">IFERROR(__xludf.DUMMYFUNCTION("""COMPUTED_VALUE"""),0.8125)</f>
        <v>0.8125</v>
      </c>
      <c r="J291" s="16">
        <f ca="1">IFERROR(__xludf.DUMMYFUNCTION("""COMPUTED_VALUE"""),43591.8333333333)</f>
        <v>43591.833333333299</v>
      </c>
      <c r="K291" t="str">
        <f ca="1">IFERROR(__xludf.DUMMYFUNCTION("""COMPUTED_VALUE"""),"20ft Sea Ark FL5351SJ UNF 2015")</f>
        <v>20ft Sea Ark FL5351SJ UNF 2015</v>
      </c>
      <c r="M291" t="str">
        <f ca="1">IFERROR(__xludf.DUMMYFUNCTION("""COMPUTED_VALUE"""),"Ford F150 2015 (White) - DEP21448")</f>
        <v>Ford F150 2015 (White) - DEP21448</v>
      </c>
      <c r="N291" t="str">
        <f ca="1">IFERROR(__xludf.DUMMYFUNCTION("""COMPUTED_VALUE"""),"Pam Marcum, (480) 332-5414")</f>
        <v>Pam Marcum, (480) 332-5414</v>
      </c>
      <c r="O291" t="str">
        <f ca="1">IFERROR(__xludf.DUMMYFUNCTION("""COMPUTED_VALUE"""),"Adrienne Breef-Pilz, Nicole Peckham")</f>
        <v>Adrienne Breef-Pilz, Nicole Peckham</v>
      </c>
      <c r="P291" t="str">
        <f ca="1">IFERROR(__xludf.DUMMYFUNCTION("""COMPUTED_VALUE"""),"Pam")</f>
        <v>Pam</v>
      </c>
      <c r="Q291" t="str">
        <f ca="1">IFERROR(__xludf.DUMMYFUNCTION("""COMPUTED_VALUE"""),"Good")</f>
        <v>Good</v>
      </c>
      <c r="R291" t="str">
        <f ca="1">IFERROR(__xludf.DUMMYFUNCTION("""COMPUTED_VALUE"""),"Good")</f>
        <v>Good</v>
      </c>
      <c r="S291" t="str">
        <f ca="1">IFERROR(__xludf.DUMMYFUNCTION("""COMPUTED_VALUE"""),"Good")</f>
        <v>Good</v>
      </c>
      <c r="T291" t="str">
        <f ca="1">IFERROR(__xludf.DUMMYFUNCTION("""COMPUTED_VALUE"""),"Good")</f>
        <v>Good</v>
      </c>
      <c r="U291" t="str">
        <f ca="1">IFERROR(__xludf.DUMMYFUNCTION("""COMPUTED_VALUE"""),"Good")</f>
        <v>Good</v>
      </c>
      <c r="V291" t="str">
        <f ca="1">IFERROR(__xludf.DUMMYFUNCTION("""COMPUTED_VALUE"""),"Good")</f>
        <v>Good</v>
      </c>
      <c r="W291" t="str">
        <f ca="1">IFERROR(__xludf.DUMMYFUNCTION("""COMPUTED_VALUE"""),"Good")</f>
        <v>Good</v>
      </c>
      <c r="X291" t="str">
        <f ca="1">IFERROR(__xludf.DUMMYFUNCTION("""COMPUTED_VALUE"""),"Good")</f>
        <v>Good</v>
      </c>
      <c r="Y291" t="str">
        <f ca="1">IFERROR(__xludf.DUMMYFUNCTION("""COMPUTED_VALUE"""),"Good")</f>
        <v>Good</v>
      </c>
      <c r="Z291" t="str">
        <f ca="1">IFERROR(__xludf.DUMMYFUNCTION("""COMPUTED_VALUE"""),"Good")</f>
        <v>Good</v>
      </c>
      <c r="AA291" t="str">
        <f ca="1">IFERROR(__xludf.DUMMYFUNCTION("""COMPUTED_VALUE"""),"Good")</f>
        <v>Good</v>
      </c>
      <c r="AB291" t="str">
        <f ca="1">IFERROR(__xludf.DUMMYFUNCTION("""COMPUTED_VALUE"""),"Good")</f>
        <v>Good</v>
      </c>
      <c r="AC291" t="str">
        <f ca="1">IFERROR(__xludf.DUMMYFUNCTION("""COMPUTED_VALUE"""),"Good")</f>
        <v>Good</v>
      </c>
      <c r="AE291" s="11"/>
      <c r="AF291" t="str">
        <v>Nikki.Dix@floridadep.gov</v>
      </c>
      <c r="AG291" s="17" t="s">
        <v>41</v>
      </c>
      <c r="AH291" s="12">
        <v>1933</v>
      </c>
      <c r="AI291" s="12" t="s">
        <v>819</v>
      </c>
      <c r="AJ291" s="19" t="s">
        <v>820</v>
      </c>
      <c r="AK291" s="20" t="str">
        <f>HYPERLINK("https://docs.google.com/document/d/1T405mthEps_AdPOWw3Iy-nbrUnZ7A60jSwUoncMXVKg/edit?usp=drivesdk","Pamela Marcum - 5/6/2019 2:45 PM")</f>
        <v>Pamela Marcum - 5/6/2019 2:45 PM</v>
      </c>
      <c r="AL291" s="12" t="s">
        <v>821</v>
      </c>
    </row>
    <row r="292" spans="1:38" ht="12.75">
      <c r="A292" s="10">
        <f ca="1">IFERROR(__xludf.DUMMYFUNCTION("""COMPUTED_VALUE"""),43592.2622104398)</f>
        <v>43592.262210439803</v>
      </c>
      <c r="B292" s="11" t="str">
        <f ca="1">IFERROR(__xludf.DUMMYFUNCTION("""COMPUTED_VALUE"""),"Pamela Marcum")</f>
        <v>Pamela Marcum</v>
      </c>
      <c r="C292" t="str">
        <f ca="1">IFERROR(__xludf.DUMMYFUNCTION("""COMPUTED_VALUE"""),"Pamela.Marcum@dep.state.fl.us")</f>
        <v>Pamela.Marcum@dep.state.fl.us</v>
      </c>
      <c r="D292" t="str">
        <f ca="1">IFERROR(__xludf.DUMMYFUNCTION("""COMPUTED_VALUE"""),"Research/Nikki")</f>
        <v>Research/Nikki</v>
      </c>
      <c r="E292" t="str">
        <f ca="1">IFERROR(__xludf.DUMMYFUNCTION("""COMPUTED_VALUE"""),"Aunt Kate's ")</f>
        <v xml:space="preserve">Aunt Kate's </v>
      </c>
      <c r="F292" s="13">
        <f ca="1">IFERROR(__xludf.DUMMYFUNCTION("""COMPUTED_VALUE"""),0.28125)</f>
        <v>0.28125</v>
      </c>
      <c r="G292" s="14">
        <f ca="1">IFERROR(__xludf.DUMMYFUNCTION("""COMPUTED_VALUE"""),43592)</f>
        <v>43592</v>
      </c>
      <c r="H292" t="str">
        <f ca="1">IFERROR(__xludf.DUMMYFUNCTION("""COMPUTED_VALUE"""),"Pine Island")</f>
        <v>Pine Island</v>
      </c>
      <c r="I292" s="15">
        <f ca="1">IFERROR(__xludf.DUMMYFUNCTION("""COMPUTED_VALUE"""),0.375)</f>
        <v>0.375</v>
      </c>
      <c r="J292" s="16">
        <f ca="1">IFERROR(__xludf.DUMMYFUNCTION("""COMPUTED_VALUE"""),43592.3958333333)</f>
        <v>43592.395833333299</v>
      </c>
      <c r="K292" t="str">
        <f ca="1">IFERROR(__xludf.DUMMYFUNCTION("""COMPUTED_VALUE"""),"20ft Sea Ark FL5351SJ UNF 2015")</f>
        <v>20ft Sea Ark FL5351SJ UNF 2015</v>
      </c>
      <c r="M292" t="str">
        <f ca="1">IFERROR(__xludf.DUMMYFUNCTION("""COMPUTED_VALUE"""),"Ford F150 2015 (White) - DEP21448")</f>
        <v>Ford F150 2015 (White) - DEP21448</v>
      </c>
      <c r="N292" t="str">
        <f ca="1">IFERROR(__xludf.DUMMYFUNCTION("""COMPUTED_VALUE"""),"Pam Marcum, (480) 332-5414")</f>
        <v>Pam Marcum, (480) 332-5414</v>
      </c>
      <c r="O292" t="str">
        <f ca="1">IFERROR(__xludf.DUMMYFUNCTION("""COMPUTED_VALUE"""),"Nicole Peckham, Adrienne Breef-Pilz")</f>
        <v>Nicole Peckham, Adrienne Breef-Pilz</v>
      </c>
      <c r="P292" t="str">
        <f ca="1">IFERROR(__xludf.DUMMYFUNCTION("""COMPUTED_VALUE"""),"Pam")</f>
        <v>Pam</v>
      </c>
      <c r="Q292" t="str">
        <f ca="1">IFERROR(__xludf.DUMMYFUNCTION("""COMPUTED_VALUE"""),"Good")</f>
        <v>Good</v>
      </c>
      <c r="R292" t="str">
        <f ca="1">IFERROR(__xludf.DUMMYFUNCTION("""COMPUTED_VALUE"""),"Good")</f>
        <v>Good</v>
      </c>
      <c r="S292" t="str">
        <f ca="1">IFERROR(__xludf.DUMMYFUNCTION("""COMPUTED_VALUE"""),"Good")</f>
        <v>Good</v>
      </c>
      <c r="T292" t="str">
        <f ca="1">IFERROR(__xludf.DUMMYFUNCTION("""COMPUTED_VALUE"""),"Good")</f>
        <v>Good</v>
      </c>
      <c r="U292" t="str">
        <f ca="1">IFERROR(__xludf.DUMMYFUNCTION("""COMPUTED_VALUE"""),"Good")</f>
        <v>Good</v>
      </c>
      <c r="V292" t="str">
        <f ca="1">IFERROR(__xludf.DUMMYFUNCTION("""COMPUTED_VALUE"""),"Good")</f>
        <v>Good</v>
      </c>
      <c r="W292" t="str">
        <f ca="1">IFERROR(__xludf.DUMMYFUNCTION("""COMPUTED_VALUE"""),"Good")</f>
        <v>Good</v>
      </c>
      <c r="X292" t="str">
        <f ca="1">IFERROR(__xludf.DUMMYFUNCTION("""COMPUTED_VALUE"""),"Good")</f>
        <v>Good</v>
      </c>
      <c r="Y292" t="str">
        <f ca="1">IFERROR(__xludf.DUMMYFUNCTION("""COMPUTED_VALUE"""),"Good")</f>
        <v>Good</v>
      </c>
      <c r="Z292" t="str">
        <f ca="1">IFERROR(__xludf.DUMMYFUNCTION("""COMPUTED_VALUE"""),"Good")</f>
        <v>Good</v>
      </c>
      <c r="AA292" t="str">
        <f ca="1">IFERROR(__xludf.DUMMYFUNCTION("""COMPUTED_VALUE"""),"Good")</f>
        <v>Good</v>
      </c>
      <c r="AB292" t="str">
        <f ca="1">IFERROR(__xludf.DUMMYFUNCTION("""COMPUTED_VALUE"""),"Good")</f>
        <v>Good</v>
      </c>
      <c r="AC292" t="str">
        <f ca="1">IFERROR(__xludf.DUMMYFUNCTION("""COMPUTED_VALUE"""),"Good")</f>
        <v>Good</v>
      </c>
      <c r="AE292" s="11"/>
      <c r="AF292" t="str">
        <v>Nikki.Dix@floridadep.gov</v>
      </c>
      <c r="AG292" s="17" t="s">
        <v>17</v>
      </c>
      <c r="AH292" s="12">
        <v>815</v>
      </c>
      <c r="AI292" s="12" t="s">
        <v>822</v>
      </c>
      <c r="AJ292" s="19" t="s">
        <v>823</v>
      </c>
      <c r="AK292" s="20" t="str">
        <f>HYPERLINK("https://docs.google.com/document/d/1g4e1jL6_o4Bnaqlw071EP28KdZfsft1fTcxM7y5K3hY/edit?usp=drivesdk","Pamela Marcum - 5/7/2019 6:45 AM")</f>
        <v>Pamela Marcum - 5/7/2019 6:45 AM</v>
      </c>
      <c r="AL292" s="12" t="s">
        <v>824</v>
      </c>
    </row>
    <row r="293" spans="1:38" ht="12.75">
      <c r="A293" s="10">
        <f ca="1">IFERROR(__xludf.DUMMYFUNCTION("""COMPUTED_VALUE"""),43592.3308966898)</f>
        <v>43592.330896689797</v>
      </c>
      <c r="B293" s="11" t="str">
        <f ca="1">IFERROR(__xludf.DUMMYFUNCTION("""COMPUTED_VALUE"""),"Silas Tanner")</f>
        <v>Silas Tanner</v>
      </c>
      <c r="C293" t="str">
        <f ca="1">IFERROR(__xludf.DUMMYFUNCTION("""COMPUTED_VALUE"""),"silas.tanner@floridadep.gov")</f>
        <v>silas.tanner@floridadep.gov</v>
      </c>
      <c r="D293" t="str">
        <f ca="1">IFERROR(__xludf.DUMMYFUNCTION("""COMPUTED_VALUE"""),"Research/Nikki")</f>
        <v>Research/Nikki</v>
      </c>
      <c r="E293" t="str">
        <f ca="1">IFERROR(__xludf.DUMMYFUNCTION("""COMPUTED_VALUE"""),"GTM Guana River launch")</f>
        <v>GTM Guana River launch</v>
      </c>
      <c r="F293" s="13">
        <f ca="1">IFERROR(__xludf.DUMMYFUNCTION("""COMPUTED_VALUE"""),0.39583333333212)</f>
        <v>0.39583333333212001</v>
      </c>
      <c r="G293" s="14">
        <f ca="1">IFERROR(__xludf.DUMMYFUNCTION("""COMPUTED_VALUE"""),43592)</f>
        <v>43592</v>
      </c>
      <c r="H293" t="str">
        <f ca="1">IFERROR(__xludf.DUMMYFUNCTION("""COMPUTED_VALUE"""),"Guana River")</f>
        <v>Guana River</v>
      </c>
      <c r="I293" s="15">
        <f ca="1">IFERROR(__xludf.DUMMYFUNCTION("""COMPUTED_VALUE"""),0.5625)</f>
        <v>0.5625</v>
      </c>
      <c r="J293" s="16">
        <f ca="1">IFERROR(__xludf.DUMMYFUNCTION("""COMPUTED_VALUE"""),43592.5659722222)</f>
        <v>43592.565972222197</v>
      </c>
      <c r="K293" t="str">
        <f ca="1">IFERROR(__xludf.DUMMYFUNCTION("""COMPUTED_VALUE"""),"Jon Boat FL0484NP DEP06819")</f>
        <v>Jon Boat FL0484NP DEP06819</v>
      </c>
      <c r="M293" t="str">
        <f ca="1">IFERROR(__xludf.DUMMYFUNCTION("""COMPUTED_VALUE"""),"Ford F250 2017 (Moby Dix) - DEP0021578")</f>
        <v>Ford F250 2017 (Moby Dix) - DEP0021578</v>
      </c>
      <c r="N293" t="str">
        <f ca="1">IFERROR(__xludf.DUMMYFUNCTION("""COMPUTED_VALUE"""),"Silas Tanner, (904) 483-8423")</f>
        <v>Silas Tanner, (904) 483-8423</v>
      </c>
      <c r="O293" t="str">
        <f ca="1">IFERROR(__xludf.DUMMYFUNCTION("""COMPUTED_VALUE"""),"Jessica Lee")</f>
        <v>Jessica Lee</v>
      </c>
      <c r="P293" t="str">
        <f ca="1">IFERROR(__xludf.DUMMYFUNCTION("""COMPUTED_VALUE"""),"S. Tanner")</f>
        <v>S. Tanner</v>
      </c>
      <c r="Q293" t="str">
        <f ca="1">IFERROR(__xludf.DUMMYFUNCTION("""COMPUTED_VALUE"""),"Good")</f>
        <v>Good</v>
      </c>
      <c r="R293" t="str">
        <f ca="1">IFERROR(__xludf.DUMMYFUNCTION("""COMPUTED_VALUE"""),"Good")</f>
        <v>Good</v>
      </c>
      <c r="S293" t="str">
        <f ca="1">IFERROR(__xludf.DUMMYFUNCTION("""COMPUTED_VALUE"""),"Good")</f>
        <v>Good</v>
      </c>
      <c r="T293" t="str">
        <f ca="1">IFERROR(__xludf.DUMMYFUNCTION("""COMPUTED_VALUE"""),"Good")</f>
        <v>Good</v>
      </c>
      <c r="U293" t="str">
        <f ca="1">IFERROR(__xludf.DUMMYFUNCTION("""COMPUTED_VALUE"""),"Good")</f>
        <v>Good</v>
      </c>
      <c r="V293" t="str">
        <f ca="1">IFERROR(__xludf.DUMMYFUNCTION("""COMPUTED_VALUE"""),"Good")</f>
        <v>Good</v>
      </c>
      <c r="W293" t="str">
        <f ca="1">IFERROR(__xludf.DUMMYFUNCTION("""COMPUTED_VALUE"""),"Good")</f>
        <v>Good</v>
      </c>
      <c r="X293" t="str">
        <f ca="1">IFERROR(__xludf.DUMMYFUNCTION("""COMPUTED_VALUE"""),"Good")</f>
        <v>Good</v>
      </c>
      <c r="Y293" t="str">
        <f ca="1">IFERROR(__xludf.DUMMYFUNCTION("""COMPUTED_VALUE"""),"Good")</f>
        <v>Good</v>
      </c>
      <c r="Z293" t="str">
        <f ca="1">IFERROR(__xludf.DUMMYFUNCTION("""COMPUTED_VALUE"""),"Good")</f>
        <v>Good</v>
      </c>
      <c r="AA293" t="str">
        <f ca="1">IFERROR(__xludf.DUMMYFUNCTION("""COMPUTED_VALUE"""),"Good")</f>
        <v>Good</v>
      </c>
      <c r="AB293" t="str">
        <f ca="1">IFERROR(__xludf.DUMMYFUNCTION("""COMPUTED_VALUE"""),"Good")</f>
        <v>Good</v>
      </c>
      <c r="AC293" t="str">
        <f ca="1">IFERROR(__xludf.DUMMYFUNCTION("""COMPUTED_VALUE"""),"Good")</f>
        <v>Good</v>
      </c>
      <c r="AE293" s="11"/>
      <c r="AF293" t="str">
        <v>Nikki.Dix@floridadep.gov</v>
      </c>
      <c r="AG293" s="17" t="s">
        <v>17</v>
      </c>
      <c r="AH293" s="12">
        <v>1315</v>
      </c>
      <c r="AI293" s="12" t="s">
        <v>825</v>
      </c>
      <c r="AJ293" s="19" t="s">
        <v>826</v>
      </c>
      <c r="AK293" s="20" t="str">
        <f>HYPERLINK("https://docs.google.com/document/d/1vkQaUeNfFpD_o02fHgg_xTiGVFe9jSGR2yTxiIOVFIE/edit?usp=drivesdk","Silas Tanner - 5/7/2019 9:30 AM")</f>
        <v>Silas Tanner - 5/7/2019 9:30 AM</v>
      </c>
      <c r="AL293" s="12" t="s">
        <v>827</v>
      </c>
    </row>
    <row r="294" spans="1:38" ht="12.75">
      <c r="A294" s="10">
        <f ca="1">IFERROR(__xludf.DUMMYFUNCTION("""COMPUTED_VALUE"""),43592.6111217476)</f>
        <v>43592.611121747599</v>
      </c>
      <c r="B294" s="11" t="str">
        <f ca="1">IFERROR(__xludf.DUMMYFUNCTION("""COMPUTED_VALUE"""),"Pamela Marcum")</f>
        <v>Pamela Marcum</v>
      </c>
      <c r="C294" t="str">
        <f ca="1">IFERROR(__xludf.DUMMYFUNCTION("""COMPUTED_VALUE"""),"Pamela.Marcum@dep.state.fl.us")</f>
        <v>Pamela.Marcum@dep.state.fl.us</v>
      </c>
      <c r="D294" t="str">
        <f ca="1">IFERROR(__xludf.DUMMYFUNCTION("""COMPUTED_VALUE"""),"Research/Nikki")</f>
        <v>Research/Nikki</v>
      </c>
      <c r="E294" t="str">
        <f ca="1">IFERROR(__xludf.DUMMYFUNCTION("""COMPUTED_VALUE"""),"Aunt Kate's")</f>
        <v>Aunt Kate's</v>
      </c>
      <c r="F294" s="13">
        <f ca="1">IFERROR(__xludf.DUMMYFUNCTION("""COMPUTED_VALUE"""),0.635416666667879)</f>
        <v>0.63541666666787899</v>
      </c>
      <c r="G294" s="14">
        <f ca="1">IFERROR(__xludf.DUMMYFUNCTION("""COMPUTED_VALUE"""),43592)</f>
        <v>43592</v>
      </c>
      <c r="H294" t="str">
        <f ca="1">IFERROR(__xludf.DUMMYFUNCTION("""COMPUTED_VALUE"""),"Guana River")</f>
        <v>Guana River</v>
      </c>
      <c r="I294" s="15">
        <f ca="1">IFERROR(__xludf.DUMMYFUNCTION("""COMPUTED_VALUE"""),0.791666666667879)</f>
        <v>0.79166666666787899</v>
      </c>
      <c r="J294" s="16">
        <f ca="1">IFERROR(__xludf.DUMMYFUNCTION("""COMPUTED_VALUE"""),43592.8125)</f>
        <v>43592.8125</v>
      </c>
      <c r="K294" t="str">
        <f ca="1">IFERROR(__xludf.DUMMYFUNCTION("""COMPUTED_VALUE"""),"20ft Sea Ark FL5351SJ UNF 2015")</f>
        <v>20ft Sea Ark FL5351SJ UNF 2015</v>
      </c>
      <c r="M294" t="str">
        <f ca="1">IFERROR(__xludf.DUMMYFUNCTION("""COMPUTED_VALUE"""),"Ford F150 2015 (White) - DEP21448")</f>
        <v>Ford F150 2015 (White) - DEP21448</v>
      </c>
      <c r="N294" t="str">
        <f ca="1">IFERROR(__xludf.DUMMYFUNCTION("""COMPUTED_VALUE"""),"Pam Marcum, (480) 332-5414")</f>
        <v>Pam Marcum, (480) 332-5414</v>
      </c>
      <c r="O294" t="str">
        <f ca="1">IFERROR(__xludf.DUMMYFUNCTION("""COMPUTED_VALUE"""),"Nicole Peckham, Adrienne Breef-Pilz")</f>
        <v>Nicole Peckham, Adrienne Breef-Pilz</v>
      </c>
      <c r="P294" t="str">
        <f ca="1">IFERROR(__xludf.DUMMYFUNCTION("""COMPUTED_VALUE"""),"Pam")</f>
        <v>Pam</v>
      </c>
      <c r="Q294" t="str">
        <f ca="1">IFERROR(__xludf.DUMMYFUNCTION("""COMPUTED_VALUE"""),"Good")</f>
        <v>Good</v>
      </c>
      <c r="R294" t="str">
        <f ca="1">IFERROR(__xludf.DUMMYFUNCTION("""COMPUTED_VALUE"""),"Good")</f>
        <v>Good</v>
      </c>
      <c r="S294" t="str">
        <f ca="1">IFERROR(__xludf.DUMMYFUNCTION("""COMPUTED_VALUE"""),"Good")</f>
        <v>Good</v>
      </c>
      <c r="T294" t="str">
        <f ca="1">IFERROR(__xludf.DUMMYFUNCTION("""COMPUTED_VALUE"""),"Good")</f>
        <v>Good</v>
      </c>
      <c r="U294" t="str">
        <f ca="1">IFERROR(__xludf.DUMMYFUNCTION("""COMPUTED_VALUE"""),"Good")</f>
        <v>Good</v>
      </c>
      <c r="V294" t="str">
        <f ca="1">IFERROR(__xludf.DUMMYFUNCTION("""COMPUTED_VALUE"""),"Good")</f>
        <v>Good</v>
      </c>
      <c r="W294" t="str">
        <f ca="1">IFERROR(__xludf.DUMMYFUNCTION("""COMPUTED_VALUE"""),"Good")</f>
        <v>Good</v>
      </c>
      <c r="X294" t="str">
        <f ca="1">IFERROR(__xludf.DUMMYFUNCTION("""COMPUTED_VALUE"""),"Good")</f>
        <v>Good</v>
      </c>
      <c r="Y294" t="str">
        <f ca="1">IFERROR(__xludf.DUMMYFUNCTION("""COMPUTED_VALUE"""),"Good")</f>
        <v>Good</v>
      </c>
      <c r="Z294" t="str">
        <f ca="1">IFERROR(__xludf.DUMMYFUNCTION("""COMPUTED_VALUE"""),"Good")</f>
        <v>Good</v>
      </c>
      <c r="AA294" t="str">
        <f ca="1">IFERROR(__xludf.DUMMYFUNCTION("""COMPUTED_VALUE"""),"Good")</f>
        <v>Good</v>
      </c>
      <c r="AB294" t="str">
        <f ca="1">IFERROR(__xludf.DUMMYFUNCTION("""COMPUTED_VALUE"""),"Good")</f>
        <v>Good</v>
      </c>
      <c r="AC294" t="str">
        <f ca="1">IFERROR(__xludf.DUMMYFUNCTION("""COMPUTED_VALUE"""),"Good")</f>
        <v>Good</v>
      </c>
      <c r="AE294" s="11"/>
      <c r="AF294" t="str">
        <v>Nikki.Dix@floridadep.gov</v>
      </c>
      <c r="AG294" s="17" t="s">
        <v>41</v>
      </c>
      <c r="AH294" s="12">
        <v>1825</v>
      </c>
      <c r="AI294" s="12" t="s">
        <v>828</v>
      </c>
      <c r="AJ294" s="19" t="s">
        <v>829</v>
      </c>
      <c r="AK294" s="20" t="str">
        <f>HYPERLINK("https://docs.google.com/document/d/1gYNhicIovTf1c9Zf3C3aODQwJQQizjlNU7MM4uM7Cq8/edit?usp=drivesdk","Pamela Marcum - 5/7/2019 3:15 PM")</f>
        <v>Pamela Marcum - 5/7/2019 3:15 PM</v>
      </c>
      <c r="AL294" s="12" t="s">
        <v>830</v>
      </c>
    </row>
    <row r="295" spans="1:38" ht="12.75">
      <c r="A295" s="10">
        <f ca="1">IFERROR(__xludf.DUMMYFUNCTION("""COMPUTED_VALUE"""),43593.2551379861)</f>
        <v>43593.255137986103</v>
      </c>
      <c r="B295" s="11" t="str">
        <f ca="1">IFERROR(__xludf.DUMMYFUNCTION("""COMPUTED_VALUE"""),"Pamela Marcum")</f>
        <v>Pamela Marcum</v>
      </c>
      <c r="C295" t="str">
        <f ca="1">IFERROR(__xludf.DUMMYFUNCTION("""COMPUTED_VALUE"""),"Pamela.Marcum@dep.state.fl.us")</f>
        <v>Pamela.Marcum@dep.state.fl.us</v>
      </c>
      <c r="D295" t="str">
        <f ca="1">IFERROR(__xludf.DUMMYFUNCTION("""COMPUTED_VALUE"""),"Research/Nikki")</f>
        <v>Research/Nikki</v>
      </c>
      <c r="E295" t="str">
        <f ca="1">IFERROR(__xludf.DUMMYFUNCTION("""COMPUTED_VALUE"""),"Aunt Kate's")</f>
        <v>Aunt Kate's</v>
      </c>
      <c r="F295" s="13">
        <f ca="1">IFERROR(__xludf.DUMMYFUNCTION("""COMPUTED_VALUE"""),0.27083333333212)</f>
        <v>0.27083333333212001</v>
      </c>
      <c r="G295" s="14">
        <f ca="1">IFERROR(__xludf.DUMMYFUNCTION("""COMPUTED_VALUE"""),43593)</f>
        <v>43593</v>
      </c>
      <c r="H295" t="str">
        <f ca="1">IFERROR(__xludf.DUMMYFUNCTION("""COMPUTED_VALUE"""),"Guana &amp; Tolomato Rivers")</f>
        <v>Guana &amp; Tolomato Rivers</v>
      </c>
      <c r="I295" s="15">
        <f ca="1">IFERROR(__xludf.DUMMYFUNCTION("""COMPUTED_VALUE"""),0.4375)</f>
        <v>0.4375</v>
      </c>
      <c r="J295" s="16">
        <f ca="1">IFERROR(__xludf.DUMMYFUNCTION("""COMPUTED_VALUE"""),43593.4583333333)</f>
        <v>43593.458333333299</v>
      </c>
      <c r="K295" t="str">
        <f ca="1">IFERROR(__xludf.DUMMYFUNCTION("""COMPUTED_VALUE"""),"20ft Sea Ark FL5351SJ UNF 2015")</f>
        <v>20ft Sea Ark FL5351SJ UNF 2015</v>
      </c>
      <c r="M295" t="str">
        <f ca="1">IFERROR(__xludf.DUMMYFUNCTION("""COMPUTED_VALUE"""),"Ford F150 2015 (White) - DEP21448")</f>
        <v>Ford F150 2015 (White) - DEP21448</v>
      </c>
      <c r="N295" t="str">
        <f ca="1">IFERROR(__xludf.DUMMYFUNCTION("""COMPUTED_VALUE"""),"Pam Marcum, (480) 332-5414")</f>
        <v>Pam Marcum, (480) 332-5414</v>
      </c>
      <c r="O295" t="str">
        <f ca="1">IFERROR(__xludf.DUMMYFUNCTION("""COMPUTED_VALUE"""),"Nicole Peckham, Adrienne Breef-Pilz, David Kimbro")</f>
        <v>Nicole Peckham, Adrienne Breef-Pilz, David Kimbro</v>
      </c>
      <c r="P295" t="str">
        <f ca="1">IFERROR(__xludf.DUMMYFUNCTION("""COMPUTED_VALUE"""),"Pam")</f>
        <v>Pam</v>
      </c>
      <c r="Q295" t="str">
        <f ca="1">IFERROR(__xludf.DUMMYFUNCTION("""COMPUTED_VALUE"""),"Good")</f>
        <v>Good</v>
      </c>
      <c r="R295" t="str">
        <f ca="1">IFERROR(__xludf.DUMMYFUNCTION("""COMPUTED_VALUE"""),"Good")</f>
        <v>Good</v>
      </c>
      <c r="S295" t="str">
        <f ca="1">IFERROR(__xludf.DUMMYFUNCTION("""COMPUTED_VALUE"""),"Good")</f>
        <v>Good</v>
      </c>
      <c r="T295" t="str">
        <f ca="1">IFERROR(__xludf.DUMMYFUNCTION("""COMPUTED_VALUE"""),"Good")</f>
        <v>Good</v>
      </c>
      <c r="U295" t="str">
        <f ca="1">IFERROR(__xludf.DUMMYFUNCTION("""COMPUTED_VALUE"""),"Good")</f>
        <v>Good</v>
      </c>
      <c r="V295" t="str">
        <f ca="1">IFERROR(__xludf.DUMMYFUNCTION("""COMPUTED_VALUE"""),"Good")</f>
        <v>Good</v>
      </c>
      <c r="W295" t="str">
        <f ca="1">IFERROR(__xludf.DUMMYFUNCTION("""COMPUTED_VALUE"""),"Good")</f>
        <v>Good</v>
      </c>
      <c r="X295" t="str">
        <f ca="1">IFERROR(__xludf.DUMMYFUNCTION("""COMPUTED_VALUE"""),"Good")</f>
        <v>Good</v>
      </c>
      <c r="Y295" t="str">
        <f ca="1">IFERROR(__xludf.DUMMYFUNCTION("""COMPUTED_VALUE"""),"Good")</f>
        <v>Good</v>
      </c>
      <c r="Z295" t="str">
        <f ca="1">IFERROR(__xludf.DUMMYFUNCTION("""COMPUTED_VALUE"""),"Good")</f>
        <v>Good</v>
      </c>
      <c r="AA295" t="str">
        <f ca="1">IFERROR(__xludf.DUMMYFUNCTION("""COMPUTED_VALUE"""),"Good")</f>
        <v>Good</v>
      </c>
      <c r="AB295" t="str">
        <f ca="1">IFERROR(__xludf.DUMMYFUNCTION("""COMPUTED_VALUE"""),"Good")</f>
        <v>Good</v>
      </c>
      <c r="AC295" t="str">
        <f ca="1">IFERROR(__xludf.DUMMYFUNCTION("""COMPUTED_VALUE"""),"Good")</f>
        <v>Good</v>
      </c>
      <c r="AE295" s="11"/>
      <c r="AF295" t="str">
        <v>Nikki.Dix@floridadep.gov</v>
      </c>
      <c r="AG295" s="17" t="s">
        <v>17</v>
      </c>
      <c r="AH295" s="12">
        <v>930</v>
      </c>
      <c r="AI295" s="12" t="s">
        <v>831</v>
      </c>
      <c r="AJ295" s="19" t="s">
        <v>832</v>
      </c>
      <c r="AK295" s="20" t="str">
        <f>HYPERLINK("https://docs.google.com/document/d/1zlJ_Fo8-K64oCgIGfP5Aj5buqM1dyZx_BJk8QFySHVc/edit?usp=drivesdk","Pamela Marcum - 5/8/2019 6:30 AM")</f>
        <v>Pamela Marcum - 5/8/2019 6:30 AM</v>
      </c>
      <c r="AL295" s="12" t="s">
        <v>833</v>
      </c>
    </row>
    <row r="296" spans="1:38" ht="12.75">
      <c r="A296" s="10">
        <f ca="1">IFERROR(__xludf.DUMMYFUNCTION("""COMPUTED_VALUE"""),43594.2664657291)</f>
        <v>43594.266465729102</v>
      </c>
      <c r="B296" s="11" t="str">
        <f ca="1">IFERROR(__xludf.DUMMYFUNCTION("""COMPUTED_VALUE"""),"Pamela Marcum")</f>
        <v>Pamela Marcum</v>
      </c>
      <c r="C296" t="str">
        <f ca="1">IFERROR(__xludf.DUMMYFUNCTION("""COMPUTED_VALUE"""),"Pamela.Marcum@dep.state.fl.us")</f>
        <v>Pamela.Marcum@dep.state.fl.us</v>
      </c>
      <c r="D296" t="str">
        <f ca="1">IFERROR(__xludf.DUMMYFUNCTION("""COMPUTED_VALUE"""),"Research/Nikki")</f>
        <v>Research/Nikki</v>
      </c>
      <c r="E296" t="str">
        <f ca="1">IFERROR(__xludf.DUMMYFUNCTION("""COMPUTED_VALUE"""),"Aunt Kate's")</f>
        <v>Aunt Kate's</v>
      </c>
      <c r="F296" s="13">
        <f ca="1">IFERROR(__xludf.DUMMYFUNCTION("""COMPUTED_VALUE"""),0.28125)</f>
        <v>0.28125</v>
      </c>
      <c r="G296" s="14">
        <f ca="1">IFERROR(__xludf.DUMMYFUNCTION("""COMPUTED_VALUE"""),43594)</f>
        <v>43594</v>
      </c>
      <c r="H296" t="str">
        <f ca="1">IFERROR(__xludf.DUMMYFUNCTION("""COMPUTED_VALUE"""),"Pine Island/Guana River")</f>
        <v>Pine Island/Guana River</v>
      </c>
      <c r="I296" s="15">
        <f ca="1">IFERROR(__xludf.DUMMYFUNCTION("""COMPUTED_VALUE"""),0.416666666667879)</f>
        <v>0.41666666666787899</v>
      </c>
      <c r="J296" s="16">
        <f ca="1">IFERROR(__xludf.DUMMYFUNCTION("""COMPUTED_VALUE"""),43594.4375)</f>
        <v>43594.4375</v>
      </c>
      <c r="K296" t="str">
        <f ca="1">IFERROR(__xludf.DUMMYFUNCTION("""COMPUTED_VALUE"""),"20ft Sea Ark FL5351SJ UNF 2015")</f>
        <v>20ft Sea Ark FL5351SJ UNF 2015</v>
      </c>
      <c r="M296" t="str">
        <f ca="1">IFERROR(__xludf.DUMMYFUNCTION("""COMPUTED_VALUE"""),"Ford F150 2015 (White) - DEP21448")</f>
        <v>Ford F150 2015 (White) - DEP21448</v>
      </c>
      <c r="N296" t="str">
        <f ca="1">IFERROR(__xludf.DUMMYFUNCTION("""COMPUTED_VALUE"""),"Pam Marcum, (480) 332-5414")</f>
        <v>Pam Marcum, (480) 332-5414</v>
      </c>
      <c r="O296" t="str">
        <f ca="1">IFERROR(__xludf.DUMMYFUNCTION("""COMPUTED_VALUE"""),"David Kimbro, Nicole Peckham, Adrienne Breef-Pilz")</f>
        <v>David Kimbro, Nicole Peckham, Adrienne Breef-Pilz</v>
      </c>
      <c r="P296" t="str">
        <f ca="1">IFERROR(__xludf.DUMMYFUNCTION("""COMPUTED_VALUE"""),"Pam")</f>
        <v>Pam</v>
      </c>
      <c r="Q296" t="str">
        <f ca="1">IFERROR(__xludf.DUMMYFUNCTION("""COMPUTED_VALUE"""),"Good")</f>
        <v>Good</v>
      </c>
      <c r="R296" t="str">
        <f ca="1">IFERROR(__xludf.DUMMYFUNCTION("""COMPUTED_VALUE"""),"Good")</f>
        <v>Good</v>
      </c>
      <c r="S296" t="str">
        <f ca="1">IFERROR(__xludf.DUMMYFUNCTION("""COMPUTED_VALUE"""),"Good")</f>
        <v>Good</v>
      </c>
      <c r="T296" t="str">
        <f ca="1">IFERROR(__xludf.DUMMYFUNCTION("""COMPUTED_VALUE"""),"Good")</f>
        <v>Good</v>
      </c>
      <c r="U296" t="str">
        <f ca="1">IFERROR(__xludf.DUMMYFUNCTION("""COMPUTED_VALUE"""),"Good")</f>
        <v>Good</v>
      </c>
      <c r="V296" t="str">
        <f ca="1">IFERROR(__xludf.DUMMYFUNCTION("""COMPUTED_VALUE"""),"Good")</f>
        <v>Good</v>
      </c>
      <c r="W296" t="str">
        <f ca="1">IFERROR(__xludf.DUMMYFUNCTION("""COMPUTED_VALUE"""),"Good")</f>
        <v>Good</v>
      </c>
      <c r="X296" t="str">
        <f ca="1">IFERROR(__xludf.DUMMYFUNCTION("""COMPUTED_VALUE"""),"Good")</f>
        <v>Good</v>
      </c>
      <c r="Y296" t="str">
        <f ca="1">IFERROR(__xludf.DUMMYFUNCTION("""COMPUTED_VALUE"""),"Good")</f>
        <v>Good</v>
      </c>
      <c r="Z296" t="str">
        <f ca="1">IFERROR(__xludf.DUMMYFUNCTION("""COMPUTED_VALUE"""),"Good")</f>
        <v>Good</v>
      </c>
      <c r="AA296" t="str">
        <f ca="1">IFERROR(__xludf.DUMMYFUNCTION("""COMPUTED_VALUE"""),"Good")</f>
        <v>Good</v>
      </c>
      <c r="AB296" t="str">
        <f ca="1">IFERROR(__xludf.DUMMYFUNCTION("""COMPUTED_VALUE"""),"Good")</f>
        <v>Good</v>
      </c>
      <c r="AC296" t="str">
        <f ca="1">IFERROR(__xludf.DUMMYFUNCTION("""COMPUTED_VALUE"""),"Good")</f>
        <v>Good</v>
      </c>
      <c r="AE296" s="11"/>
      <c r="AF296" t="str">
        <v>Nikki.Dix@floridadep.gov</v>
      </c>
      <c r="AG296" s="17" t="s">
        <v>113</v>
      </c>
      <c r="AH296" s="12">
        <v>1000</v>
      </c>
      <c r="AI296" s="12" t="s">
        <v>834</v>
      </c>
      <c r="AJ296" s="19" t="s">
        <v>835</v>
      </c>
      <c r="AK296" s="20" t="str">
        <f>HYPERLINK("https://docs.google.com/document/d/190TNo4ZUiEWHJnPN5QI9eTlWaIaeW3i_-JNB6ri0AA4/edit?usp=drivesdk","Pamela Marcum - 5/9/2019 6:45 AM")</f>
        <v>Pamela Marcum - 5/9/2019 6:45 AM</v>
      </c>
      <c r="AL296" s="12" t="s">
        <v>836</v>
      </c>
    </row>
    <row r="297" spans="1:38" ht="12.75">
      <c r="A297" s="10">
        <f ca="1">IFERROR(__xludf.DUMMYFUNCTION("""COMPUTED_VALUE"""),43595.2650581597)</f>
        <v>43595.265058159697</v>
      </c>
      <c r="B297" s="11" t="str">
        <f ca="1">IFERROR(__xludf.DUMMYFUNCTION("""COMPUTED_VALUE"""),"Pamela Marcu")</f>
        <v>Pamela Marcu</v>
      </c>
      <c r="C297" t="str">
        <f ca="1">IFERROR(__xludf.DUMMYFUNCTION("""COMPUTED_VALUE"""),"Pamela.Marcum@dep.state.fl.us")</f>
        <v>Pamela.Marcum@dep.state.fl.us</v>
      </c>
      <c r="D297" t="str">
        <f ca="1">IFERROR(__xludf.DUMMYFUNCTION("""COMPUTED_VALUE"""),"Research/Nikki")</f>
        <v>Research/Nikki</v>
      </c>
      <c r="E297" t="str">
        <f ca="1">IFERROR(__xludf.DUMMYFUNCTION("""COMPUTED_VALUE"""),"Aunt Kate's")</f>
        <v>Aunt Kate's</v>
      </c>
      <c r="F297" s="13">
        <f ca="1">IFERROR(__xludf.DUMMYFUNCTION("""COMPUTED_VALUE"""),0.27083333333212)</f>
        <v>0.27083333333212001</v>
      </c>
      <c r="G297" s="14">
        <f ca="1">IFERROR(__xludf.DUMMYFUNCTION("""COMPUTED_VALUE"""),43595)</f>
        <v>43595</v>
      </c>
      <c r="H297" t="str">
        <f ca="1">IFERROR(__xludf.DUMMYFUNCTION("""COMPUTED_VALUE"""),"Guana River")</f>
        <v>Guana River</v>
      </c>
      <c r="I297" s="15">
        <f ca="1">IFERROR(__xludf.DUMMYFUNCTION("""COMPUTED_VALUE"""),0.45833333333212)</f>
        <v>0.45833333333212001</v>
      </c>
      <c r="J297" s="16">
        <f ca="1">IFERROR(__xludf.DUMMYFUNCTION("""COMPUTED_VALUE"""),43595.4791666666)</f>
        <v>43595.479166666599</v>
      </c>
      <c r="K297" t="str">
        <f ca="1">IFERROR(__xludf.DUMMYFUNCTION("""COMPUTED_VALUE"""),"20ft Sea Ark FL5351SJ UNF 2015")</f>
        <v>20ft Sea Ark FL5351SJ UNF 2015</v>
      </c>
      <c r="M297" t="str">
        <f ca="1">IFERROR(__xludf.DUMMYFUNCTION("""COMPUTED_VALUE"""),"Ford F150 2015 (White) - DEP21448")</f>
        <v>Ford F150 2015 (White) - DEP21448</v>
      </c>
      <c r="N297" t="str">
        <f ca="1">IFERROR(__xludf.DUMMYFUNCTION("""COMPUTED_VALUE"""),"Pam Marcum, (480) 332-5414")</f>
        <v>Pam Marcum, (480) 332-5414</v>
      </c>
      <c r="O297" t="str">
        <f ca="1">IFERROR(__xludf.DUMMYFUNCTION("""COMPUTED_VALUE"""),"Nicole Peckham, Adrienne Breef-Pilz, David Kimbro")</f>
        <v>Nicole Peckham, Adrienne Breef-Pilz, David Kimbro</v>
      </c>
      <c r="P297" t="str">
        <f ca="1">IFERROR(__xludf.DUMMYFUNCTION("""COMPUTED_VALUE"""),"Pam")</f>
        <v>Pam</v>
      </c>
      <c r="Q297" t="str">
        <f ca="1">IFERROR(__xludf.DUMMYFUNCTION("""COMPUTED_VALUE"""),"Good")</f>
        <v>Good</v>
      </c>
      <c r="R297" t="str">
        <f ca="1">IFERROR(__xludf.DUMMYFUNCTION("""COMPUTED_VALUE"""),"Good")</f>
        <v>Good</v>
      </c>
      <c r="S297" t="str">
        <f ca="1">IFERROR(__xludf.DUMMYFUNCTION("""COMPUTED_VALUE"""),"Good")</f>
        <v>Good</v>
      </c>
      <c r="T297" t="str">
        <f ca="1">IFERROR(__xludf.DUMMYFUNCTION("""COMPUTED_VALUE"""),"Good")</f>
        <v>Good</v>
      </c>
      <c r="U297" t="str">
        <f ca="1">IFERROR(__xludf.DUMMYFUNCTION("""COMPUTED_VALUE"""),"Good")</f>
        <v>Good</v>
      </c>
      <c r="V297" t="str">
        <f ca="1">IFERROR(__xludf.DUMMYFUNCTION("""COMPUTED_VALUE"""),"Good")</f>
        <v>Good</v>
      </c>
      <c r="W297" t="str">
        <f ca="1">IFERROR(__xludf.DUMMYFUNCTION("""COMPUTED_VALUE"""),"Good")</f>
        <v>Good</v>
      </c>
      <c r="X297" t="str">
        <f ca="1">IFERROR(__xludf.DUMMYFUNCTION("""COMPUTED_VALUE"""),"Good")</f>
        <v>Good</v>
      </c>
      <c r="Y297" t="str">
        <f ca="1">IFERROR(__xludf.DUMMYFUNCTION("""COMPUTED_VALUE"""),"Good")</f>
        <v>Good</v>
      </c>
      <c r="Z297" t="str">
        <f ca="1">IFERROR(__xludf.DUMMYFUNCTION("""COMPUTED_VALUE"""),"Good")</f>
        <v>Good</v>
      </c>
      <c r="AA297" t="str">
        <f ca="1">IFERROR(__xludf.DUMMYFUNCTION("""COMPUTED_VALUE"""),"Good")</f>
        <v>Good</v>
      </c>
      <c r="AB297" t="str">
        <f ca="1">IFERROR(__xludf.DUMMYFUNCTION("""COMPUTED_VALUE"""),"Good")</f>
        <v>Good</v>
      </c>
      <c r="AC297" t="str">
        <f ca="1">IFERROR(__xludf.DUMMYFUNCTION("""COMPUTED_VALUE"""),"Good")</f>
        <v>Good</v>
      </c>
      <c r="AE297" s="11"/>
      <c r="AF297" t="str">
        <v>Nikki.Dix@floridadep.gov</v>
      </c>
      <c r="AG297" s="17" t="s">
        <v>17</v>
      </c>
      <c r="AH297" s="12">
        <v>1030</v>
      </c>
      <c r="AI297" s="12" t="s">
        <v>837</v>
      </c>
      <c r="AJ297" s="19" t="s">
        <v>838</v>
      </c>
      <c r="AK297" s="20" t="str">
        <f>HYPERLINK("https://docs.google.com/document/d/1_V2iYWUNuyPpcY9McAiWWBOBaQ-9nnGnLE3AXu3Ways/edit?usp=drivesdk","Pamela Marcu - 5/10/2019 6:30 AM")</f>
        <v>Pamela Marcu - 5/10/2019 6:30 AM</v>
      </c>
      <c r="AL297" s="12" t="s">
        <v>839</v>
      </c>
    </row>
    <row r="298" spans="1:38" ht="12.75">
      <c r="A298" s="10">
        <f ca="1">IFERROR(__xludf.DUMMYFUNCTION("""COMPUTED_VALUE"""),43599.3433637962)</f>
        <v>43599.343363796201</v>
      </c>
      <c r="B298" s="11" t="str">
        <f ca="1">IFERROR(__xludf.DUMMYFUNCTION("""COMPUTED_VALUE"""),"James Tomazinis")</f>
        <v>James Tomazinis</v>
      </c>
      <c r="C298" t="str">
        <f ca="1">IFERROR(__xludf.DUMMYFUNCTION("""COMPUTED_VALUE"""),"james.tomazinis@floridadep.gov")</f>
        <v>james.tomazinis@floridadep.gov</v>
      </c>
      <c r="D298" t="str">
        <f ca="1">IFERROR(__xludf.DUMMYFUNCTION("""COMPUTED_VALUE"""),"Stewardship (Aquatic)")</f>
        <v>Stewardship (Aquatic)</v>
      </c>
      <c r="E298" t="str">
        <f ca="1">IFERROR(__xludf.DUMMYFUNCTION("""COMPUTED_VALUE"""),"Vilano")</f>
        <v>Vilano</v>
      </c>
      <c r="F298" s="13">
        <f ca="1">IFERROR(__xludf.DUMMYFUNCTION("""COMPUTED_VALUE"""),0.385416666667879)</f>
        <v>0.38541666666787899</v>
      </c>
      <c r="G298" s="14">
        <f ca="1">IFERROR(__xludf.DUMMYFUNCTION("""COMPUTED_VALUE"""),43599)</f>
        <v>43599</v>
      </c>
      <c r="H298" t="str">
        <f ca="1">IFERROR(__xludf.DUMMYFUNCTION("""COMPUTED_VALUE"""),"Tolomato Nekton Sites")</f>
        <v>Tolomato Nekton Sites</v>
      </c>
      <c r="I298" s="15">
        <f ca="1">IFERROR(__xludf.DUMMYFUNCTION("""COMPUTED_VALUE"""),0.6875)</f>
        <v>0.6875</v>
      </c>
      <c r="J298" s="16"/>
      <c r="K298" t="str">
        <f ca="1">IFERROR(__xludf.DUMMYFUNCTION("""COMPUTED_VALUE"""),"23ft Skiff (Bertha) FL7972LJ DEP07613")</f>
        <v>23ft Skiff (Bertha) FL7972LJ DEP07613</v>
      </c>
      <c r="M298" t="str">
        <f ca="1">IFERROR(__xludf.DUMMYFUNCTION("""COMPUTED_VALUE"""),"Ford F150 2015 (White) - DEP21448")</f>
        <v>Ford F150 2015 (White) - DEP21448</v>
      </c>
      <c r="N298" t="str">
        <f ca="1">IFERROR(__xludf.DUMMYFUNCTION("""COMPUTED_VALUE"""),"Jimmy Tomazinis, (904) 547-0094")</f>
        <v>Jimmy Tomazinis, (904) 547-0094</v>
      </c>
      <c r="O298" t="str">
        <f ca="1">IFERROR(__xludf.DUMMYFUNCTION("""COMPUTED_VALUE"""),"Amy Brownfield, Chris Kurtz, Ed Mahon")</f>
        <v>Amy Brownfield, Chris Kurtz, Ed Mahon</v>
      </c>
      <c r="P298" t="str">
        <f ca="1">IFERROR(__xludf.DUMMYFUNCTION("""COMPUTED_VALUE"""),"Jimmy")</f>
        <v>Jimmy</v>
      </c>
      <c r="Q298" t="str">
        <f ca="1">IFERROR(__xludf.DUMMYFUNCTION("""COMPUTED_VALUE"""),"Good")</f>
        <v>Good</v>
      </c>
      <c r="R298" t="str">
        <f ca="1">IFERROR(__xludf.DUMMYFUNCTION("""COMPUTED_VALUE"""),"Good")</f>
        <v>Good</v>
      </c>
      <c r="S298" t="str">
        <f ca="1">IFERROR(__xludf.DUMMYFUNCTION("""COMPUTED_VALUE"""),"Good")</f>
        <v>Good</v>
      </c>
      <c r="T298" t="str">
        <f ca="1">IFERROR(__xludf.DUMMYFUNCTION("""COMPUTED_VALUE"""),"Good")</f>
        <v>Good</v>
      </c>
      <c r="U298" t="str">
        <f ca="1">IFERROR(__xludf.DUMMYFUNCTION("""COMPUTED_VALUE"""),"Good")</f>
        <v>Good</v>
      </c>
      <c r="V298" t="str">
        <f ca="1">IFERROR(__xludf.DUMMYFUNCTION("""COMPUTED_VALUE"""),"Good")</f>
        <v>Good</v>
      </c>
      <c r="W298" t="str">
        <f ca="1">IFERROR(__xludf.DUMMYFUNCTION("""COMPUTED_VALUE"""),"Good")</f>
        <v>Good</v>
      </c>
      <c r="X298" t="str">
        <f ca="1">IFERROR(__xludf.DUMMYFUNCTION("""COMPUTED_VALUE"""),"Good")</f>
        <v>Good</v>
      </c>
      <c r="Y298" t="str">
        <f ca="1">IFERROR(__xludf.DUMMYFUNCTION("""COMPUTED_VALUE"""),"Good")</f>
        <v>Good</v>
      </c>
      <c r="Z298" t="str">
        <f ca="1">IFERROR(__xludf.DUMMYFUNCTION("""COMPUTED_VALUE"""),"Good")</f>
        <v>Good</v>
      </c>
      <c r="AA298" t="str">
        <f ca="1">IFERROR(__xludf.DUMMYFUNCTION("""COMPUTED_VALUE"""),"Good")</f>
        <v>Good</v>
      </c>
      <c r="AB298" t="str">
        <f ca="1">IFERROR(__xludf.DUMMYFUNCTION("""COMPUTED_VALUE"""),"Good")</f>
        <v>Good</v>
      </c>
      <c r="AC298" t="str">
        <f ca="1">IFERROR(__xludf.DUMMYFUNCTION("""COMPUTED_VALUE"""),"Good")</f>
        <v>Good</v>
      </c>
      <c r="AE298" s="11"/>
      <c r="AF298" t="str">
        <v>Scott.Eastman@floridadep.gov</v>
      </c>
      <c r="AG298" s="17" t="s">
        <v>17</v>
      </c>
      <c r="AH298" s="12">
        <v>1640</v>
      </c>
      <c r="AI298" s="12" t="s">
        <v>840</v>
      </c>
      <c r="AJ298" s="19" t="s">
        <v>841</v>
      </c>
      <c r="AK298" s="20" t="str">
        <f>HYPERLINK("https://docs.google.com/document/d/1LBsjMCrOKskybnaVJZ8DrnF0haojvF7rUr38aeeaaBQ/edit?usp=drivesdk","James Tomazinis - 5/14/2019 9:15 AM")</f>
        <v>James Tomazinis - 5/14/2019 9:15 AM</v>
      </c>
      <c r="AL298" s="12" t="s">
        <v>842</v>
      </c>
    </row>
    <row r="299" spans="1:38" ht="12.75">
      <c r="A299" s="10">
        <f ca="1">IFERROR(__xludf.DUMMYFUNCTION("""COMPUTED_VALUE"""),43599.4286683449)</f>
        <v>43599.428668344903</v>
      </c>
      <c r="B299" s="11" t="str">
        <f ca="1">IFERROR(__xludf.DUMMYFUNCTION("""COMPUTED_VALUE"""),"Pamela Marcum")</f>
        <v>Pamela Marcum</v>
      </c>
      <c r="C299" t="str">
        <f ca="1">IFERROR(__xludf.DUMMYFUNCTION("""COMPUTED_VALUE"""),"pamela.marcum@dep.state.fl.us")</f>
        <v>pamela.marcum@dep.state.fl.us</v>
      </c>
      <c r="D299" t="str">
        <f ca="1">IFERROR(__xludf.DUMMYFUNCTION("""COMPUTED_VALUE"""),"Research/Nikki")</f>
        <v>Research/Nikki</v>
      </c>
      <c r="E299" t="str">
        <f ca="1">IFERROR(__xludf.DUMMYFUNCTION("""COMPUTED_VALUE"""),"Green Rd")</f>
        <v>Green Rd</v>
      </c>
      <c r="F299" s="13">
        <f ca="1">IFERROR(__xludf.DUMMYFUNCTION("""COMPUTED_VALUE"""),0.4375)</f>
        <v>0.4375</v>
      </c>
      <c r="G299" s="14">
        <f ca="1">IFERROR(__xludf.DUMMYFUNCTION("""COMPUTED_VALUE"""),43599)</f>
        <v>43599</v>
      </c>
      <c r="H299" t="str">
        <f ca="1">IFERROR(__xludf.DUMMYFUNCTION("""COMPUTED_VALUE"""),"Devils Elbow")</f>
        <v>Devils Elbow</v>
      </c>
      <c r="I299" s="15">
        <f ca="1">IFERROR(__xludf.DUMMYFUNCTION("""COMPUTED_VALUE"""),0.666666666667879)</f>
        <v>0.66666666666787899</v>
      </c>
      <c r="J299" s="16">
        <f ca="1">IFERROR(__xludf.DUMMYFUNCTION("""COMPUTED_VALUE"""),43599.6875)</f>
        <v>43599.6875</v>
      </c>
      <c r="K299" t="str">
        <f ca="1">IFERROR(__xludf.DUMMYFUNCTION("""COMPUTED_VALUE"""),"17ft Skill FL0642GW DEP07239")</f>
        <v>17ft Skill FL0642GW DEP07239</v>
      </c>
      <c r="M299" t="str">
        <f ca="1">IFERROR(__xludf.DUMMYFUNCTION("""COMPUTED_VALUE"""),"Ford F150 2008 - DEP18041 (SWMP Thing)")</f>
        <v>Ford F150 2008 - DEP18041 (SWMP Thing)</v>
      </c>
      <c r="N299" t="str">
        <f ca="1">IFERROR(__xludf.DUMMYFUNCTION("""COMPUTED_VALUE"""),"Pam Marcum, (480) 332-5414")</f>
        <v>Pam Marcum, (480) 332-5414</v>
      </c>
      <c r="O299" t="str">
        <f ca="1">IFERROR(__xludf.DUMMYFUNCTION("""COMPUTED_VALUE"""),"Nicole Peckham, Adrienne Breef-Pilz")</f>
        <v>Nicole Peckham, Adrienne Breef-Pilz</v>
      </c>
      <c r="P299" t="str">
        <f ca="1">IFERROR(__xludf.DUMMYFUNCTION("""COMPUTED_VALUE"""),"Pam")</f>
        <v>Pam</v>
      </c>
      <c r="Q299" t="str">
        <f ca="1">IFERROR(__xludf.DUMMYFUNCTION("""COMPUTED_VALUE"""),"Good")</f>
        <v>Good</v>
      </c>
      <c r="R299" t="str">
        <f ca="1">IFERROR(__xludf.DUMMYFUNCTION("""COMPUTED_VALUE"""),"Good")</f>
        <v>Good</v>
      </c>
      <c r="S299" t="str">
        <f ca="1">IFERROR(__xludf.DUMMYFUNCTION("""COMPUTED_VALUE"""),"Good")</f>
        <v>Good</v>
      </c>
      <c r="T299" t="str">
        <f ca="1">IFERROR(__xludf.DUMMYFUNCTION("""COMPUTED_VALUE"""),"Good")</f>
        <v>Good</v>
      </c>
      <c r="U299" t="str">
        <f ca="1">IFERROR(__xludf.DUMMYFUNCTION("""COMPUTED_VALUE"""),"Good")</f>
        <v>Good</v>
      </c>
      <c r="V299" t="str">
        <f ca="1">IFERROR(__xludf.DUMMYFUNCTION("""COMPUTED_VALUE"""),"Good")</f>
        <v>Good</v>
      </c>
      <c r="W299" t="str">
        <f ca="1">IFERROR(__xludf.DUMMYFUNCTION("""COMPUTED_VALUE"""),"Good")</f>
        <v>Good</v>
      </c>
      <c r="X299" t="str">
        <f ca="1">IFERROR(__xludf.DUMMYFUNCTION("""COMPUTED_VALUE"""),"Good")</f>
        <v>Good</v>
      </c>
      <c r="Y299" t="str">
        <f ca="1">IFERROR(__xludf.DUMMYFUNCTION("""COMPUTED_VALUE"""),"Good")</f>
        <v>Good</v>
      </c>
      <c r="Z299" t="str">
        <f ca="1">IFERROR(__xludf.DUMMYFUNCTION("""COMPUTED_VALUE"""),"Good")</f>
        <v>Good</v>
      </c>
      <c r="AA299" t="str">
        <f ca="1">IFERROR(__xludf.DUMMYFUNCTION("""COMPUTED_VALUE"""),"Good")</f>
        <v>Good</v>
      </c>
      <c r="AB299" t="str">
        <f ca="1">IFERROR(__xludf.DUMMYFUNCTION("""COMPUTED_VALUE"""),"Good")</f>
        <v>Good</v>
      </c>
      <c r="AC299" t="str">
        <f ca="1">IFERROR(__xludf.DUMMYFUNCTION("""COMPUTED_VALUE"""),"Good")</f>
        <v>Good</v>
      </c>
      <c r="AE299" s="11"/>
      <c r="AF299" t="str">
        <v>Nikki.Dix@floridadep.gov</v>
      </c>
      <c r="AG299" s="17" t="s">
        <v>17</v>
      </c>
      <c r="AH299" s="12">
        <v>1445</v>
      </c>
      <c r="AI299" s="12" t="s">
        <v>843</v>
      </c>
      <c r="AJ299" s="19" t="s">
        <v>844</v>
      </c>
      <c r="AK299" s="20" t="str">
        <f>HYPERLINK("https://docs.google.com/document/d/1UEl-2dca8hhWbxoBq3pZJzZcixkeZmJLnspPZQ9oT-Q/edit?usp=drivesdk","Pamela Marcum - 5/14/2019 10:30 AM")</f>
        <v>Pamela Marcum - 5/14/2019 10:30 AM</v>
      </c>
      <c r="AL299" s="12" t="s">
        <v>845</v>
      </c>
    </row>
    <row r="300" spans="1:38" ht="12.75">
      <c r="A300" s="10">
        <f ca="1">IFERROR(__xludf.DUMMYFUNCTION("""COMPUTED_VALUE"""),43600.3583160995)</f>
        <v>43600.358316099497</v>
      </c>
      <c r="B300" s="11" t="str">
        <f ca="1">IFERROR(__xludf.DUMMYFUNCTION("""COMPUTED_VALUE"""),"James Tomazinis")</f>
        <v>James Tomazinis</v>
      </c>
      <c r="C300" t="str">
        <f ca="1">IFERROR(__xludf.DUMMYFUNCTION("""COMPUTED_VALUE"""),"james.tomazinis@floridadep.gov")</f>
        <v>james.tomazinis@floridadep.gov</v>
      </c>
      <c r="D300" t="str">
        <f ca="1">IFERROR(__xludf.DUMMYFUNCTION("""COMPUTED_VALUE"""),"Stewardship (Aquatic)")</f>
        <v>Stewardship (Aquatic)</v>
      </c>
      <c r="E300" t="str">
        <f ca="1">IFERROR(__xludf.DUMMYFUNCTION("""COMPUTED_VALUE"""),"Vilano")</f>
        <v>Vilano</v>
      </c>
      <c r="F300" s="13">
        <f ca="1">IFERROR(__xludf.DUMMYFUNCTION("""COMPUTED_VALUE"""),0.385416666667879)</f>
        <v>0.38541666666787899</v>
      </c>
      <c r="G300" s="14">
        <f ca="1">IFERROR(__xludf.DUMMYFUNCTION("""COMPUTED_VALUE"""),43600)</f>
        <v>43600</v>
      </c>
      <c r="H300" t="str">
        <f ca="1">IFERROR(__xludf.DUMMYFUNCTION("""COMPUTED_VALUE"""),"Matanzas Nekton sites")</f>
        <v>Matanzas Nekton sites</v>
      </c>
      <c r="I300" s="15">
        <f ca="1">IFERROR(__xludf.DUMMYFUNCTION("""COMPUTED_VALUE"""),0.6875)</f>
        <v>0.6875</v>
      </c>
      <c r="J300" s="16"/>
      <c r="K300" t="str">
        <f ca="1">IFERROR(__xludf.DUMMYFUNCTION("""COMPUTED_VALUE"""),"23ft Skiff (Bertha) FL7972LJ DEP07613")</f>
        <v>23ft Skiff (Bertha) FL7972LJ DEP07613</v>
      </c>
      <c r="M300" t="str">
        <f ca="1">IFERROR(__xludf.DUMMYFUNCTION("""COMPUTED_VALUE"""),"Ford F150 2015 (White) - DEP21448")</f>
        <v>Ford F150 2015 (White) - DEP21448</v>
      </c>
      <c r="N300" t="str">
        <f ca="1">IFERROR(__xludf.DUMMYFUNCTION("""COMPUTED_VALUE"""),"Jimmy Tomazinis, (904) 547-0094")</f>
        <v>Jimmy Tomazinis, (904) 547-0094</v>
      </c>
      <c r="O300" t="str">
        <f ca="1">IFERROR(__xludf.DUMMYFUNCTION("""COMPUTED_VALUE"""),"Suzi Porterfield, Amy Brownfield, Vincent Mclure")</f>
        <v>Suzi Porterfield, Amy Brownfield, Vincent Mclure</v>
      </c>
      <c r="P300" t="str">
        <f ca="1">IFERROR(__xludf.DUMMYFUNCTION("""COMPUTED_VALUE"""),"Jimmy")</f>
        <v>Jimmy</v>
      </c>
      <c r="Q300" t="str">
        <f ca="1">IFERROR(__xludf.DUMMYFUNCTION("""COMPUTED_VALUE"""),"Good")</f>
        <v>Good</v>
      </c>
      <c r="R300" t="str">
        <f ca="1">IFERROR(__xludf.DUMMYFUNCTION("""COMPUTED_VALUE"""),"Good")</f>
        <v>Good</v>
      </c>
      <c r="S300" t="str">
        <f ca="1">IFERROR(__xludf.DUMMYFUNCTION("""COMPUTED_VALUE"""),"Good")</f>
        <v>Good</v>
      </c>
      <c r="T300" t="str">
        <f ca="1">IFERROR(__xludf.DUMMYFUNCTION("""COMPUTED_VALUE"""),"Good")</f>
        <v>Good</v>
      </c>
      <c r="U300" t="str">
        <f ca="1">IFERROR(__xludf.DUMMYFUNCTION("""COMPUTED_VALUE"""),"Good")</f>
        <v>Good</v>
      </c>
      <c r="V300" t="str">
        <f ca="1">IFERROR(__xludf.DUMMYFUNCTION("""COMPUTED_VALUE"""),"Good")</f>
        <v>Good</v>
      </c>
      <c r="W300" t="str">
        <f ca="1">IFERROR(__xludf.DUMMYFUNCTION("""COMPUTED_VALUE"""),"Good")</f>
        <v>Good</v>
      </c>
      <c r="X300" t="str">
        <f ca="1">IFERROR(__xludf.DUMMYFUNCTION("""COMPUTED_VALUE"""),"Good")</f>
        <v>Good</v>
      </c>
      <c r="Y300" t="str">
        <f ca="1">IFERROR(__xludf.DUMMYFUNCTION("""COMPUTED_VALUE"""),"Good")</f>
        <v>Good</v>
      </c>
      <c r="Z300" t="str">
        <f ca="1">IFERROR(__xludf.DUMMYFUNCTION("""COMPUTED_VALUE"""),"Good")</f>
        <v>Good</v>
      </c>
      <c r="AA300" t="str">
        <f ca="1">IFERROR(__xludf.DUMMYFUNCTION("""COMPUTED_VALUE"""),"Good")</f>
        <v>Good</v>
      </c>
      <c r="AB300" t="str">
        <f ca="1">IFERROR(__xludf.DUMMYFUNCTION("""COMPUTED_VALUE"""),"Good")</f>
        <v>Good</v>
      </c>
      <c r="AC300" t="str">
        <f ca="1">IFERROR(__xludf.DUMMYFUNCTION("""COMPUTED_VALUE"""),"Good")</f>
        <v>Good</v>
      </c>
      <c r="AE300" s="11"/>
      <c r="AF300" t="str">
        <v>Scott.Eastman@floridadep.gov</v>
      </c>
      <c r="AG300" s="17" t="s">
        <v>846</v>
      </c>
      <c r="AH300" s="12">
        <v>1600</v>
      </c>
      <c r="AI300" s="12" t="s">
        <v>847</v>
      </c>
      <c r="AJ300" s="19" t="s">
        <v>848</v>
      </c>
      <c r="AK300" s="20" t="str">
        <f>HYPERLINK("https://docs.google.com/document/d/1tRygHe_g-Mb2L8SiXS2htKn66bxuHvsx3mLZX6RrvRw/edit?usp=drivesdk","James Tomazinis - 5/15/2019 9:15 AM")</f>
        <v>James Tomazinis - 5/15/2019 9:15 AM</v>
      </c>
      <c r="AL300" s="12" t="s">
        <v>849</v>
      </c>
    </row>
    <row r="301" spans="1:38" ht="12.75">
      <c r="A301" s="10">
        <f ca="1">IFERROR(__xludf.DUMMYFUNCTION("""COMPUTED_VALUE"""),43600.4984945254)</f>
        <v>43600.498494525396</v>
      </c>
      <c r="B301" s="11" t="str">
        <f ca="1">IFERROR(__xludf.DUMMYFUNCTION("""COMPUTED_VALUE"""),"Silas Tanner")</f>
        <v>Silas Tanner</v>
      </c>
      <c r="C301" t="str">
        <f ca="1">IFERROR(__xludf.DUMMYFUNCTION("""COMPUTED_VALUE"""),"silas.tanner@floridadep.gov")</f>
        <v>silas.tanner@floridadep.gov</v>
      </c>
      <c r="D301" t="str">
        <f ca="1">IFERROR(__xludf.DUMMYFUNCTION("""COMPUTED_VALUE"""),"Research/Nikki")</f>
        <v>Research/Nikki</v>
      </c>
      <c r="E301" t="str">
        <f ca="1">IFERROR(__xludf.DUMMYFUNCTION("""COMPUTED_VALUE"""),"Vilano Landing")</f>
        <v>Vilano Landing</v>
      </c>
      <c r="F301" s="13">
        <f ca="1">IFERROR(__xludf.DUMMYFUNCTION("""COMPUTED_VALUE"""),0.322916666667879)</f>
        <v>0.32291666666787899</v>
      </c>
      <c r="G301" s="14">
        <f ca="1">IFERROR(__xludf.DUMMYFUNCTION("""COMPUTED_VALUE"""),43601)</f>
        <v>43601</v>
      </c>
      <c r="H301" t="str">
        <f ca="1">IFERROR(__xludf.DUMMYFUNCTION("""COMPUTED_VALUE"""),"ICW SWMP sites")</f>
        <v>ICW SWMP sites</v>
      </c>
      <c r="I301" s="15">
        <f ca="1">IFERROR(__xludf.DUMMYFUNCTION("""COMPUTED_VALUE"""),0.53125)</f>
        <v>0.53125</v>
      </c>
      <c r="J301" s="16">
        <f ca="1">IFERROR(__xludf.DUMMYFUNCTION("""COMPUTED_VALUE"""),43601.5416666666)</f>
        <v>43601.541666666599</v>
      </c>
      <c r="K301" t="str">
        <f ca="1">IFERROR(__xludf.DUMMYFUNCTION("""COMPUTED_VALUE"""),"20ft Sea Ark FL5351SJ UNF 2015")</f>
        <v>20ft Sea Ark FL5351SJ UNF 2015</v>
      </c>
      <c r="M301" t="str">
        <f ca="1">IFERROR(__xludf.DUMMYFUNCTION("""COMPUTED_VALUE"""),"Ford F250 2017 (Moby Dix) - DEP0021578")</f>
        <v>Ford F250 2017 (Moby Dix) - DEP0021578</v>
      </c>
      <c r="N301" t="str">
        <f ca="1">IFERROR(__xludf.DUMMYFUNCTION("""COMPUTED_VALUE"""),"Silas Tanner, (904) 483-8423")</f>
        <v>Silas Tanner, (904) 483-8423</v>
      </c>
      <c r="O301" t="str">
        <f ca="1">IFERROR(__xludf.DUMMYFUNCTION("""COMPUTED_VALUE"""),"Charles Snavely")</f>
        <v>Charles Snavely</v>
      </c>
      <c r="P301" t="str">
        <f ca="1">IFERROR(__xludf.DUMMYFUNCTION("""COMPUTED_VALUE"""),"S. Tanner")</f>
        <v>S. Tanner</v>
      </c>
      <c r="Q301" t="str">
        <f ca="1">IFERROR(__xludf.DUMMYFUNCTION("""COMPUTED_VALUE"""),"Good")</f>
        <v>Good</v>
      </c>
      <c r="R301" t="str">
        <f ca="1">IFERROR(__xludf.DUMMYFUNCTION("""COMPUTED_VALUE"""),"Good")</f>
        <v>Good</v>
      </c>
      <c r="S301" t="str">
        <f ca="1">IFERROR(__xludf.DUMMYFUNCTION("""COMPUTED_VALUE"""),"Good")</f>
        <v>Good</v>
      </c>
      <c r="T301" t="str">
        <f ca="1">IFERROR(__xludf.DUMMYFUNCTION("""COMPUTED_VALUE"""),"Good")</f>
        <v>Good</v>
      </c>
      <c r="U301" t="str">
        <f ca="1">IFERROR(__xludf.DUMMYFUNCTION("""COMPUTED_VALUE"""),"Good")</f>
        <v>Good</v>
      </c>
      <c r="V301" t="str">
        <f ca="1">IFERROR(__xludf.DUMMYFUNCTION("""COMPUTED_VALUE"""),"Good")</f>
        <v>Good</v>
      </c>
      <c r="W301" t="str">
        <f ca="1">IFERROR(__xludf.DUMMYFUNCTION("""COMPUTED_VALUE"""),"Good")</f>
        <v>Good</v>
      </c>
      <c r="X301" t="str">
        <f ca="1">IFERROR(__xludf.DUMMYFUNCTION("""COMPUTED_VALUE"""),"Good")</f>
        <v>Good</v>
      </c>
      <c r="Y301" t="str">
        <f ca="1">IFERROR(__xludf.DUMMYFUNCTION("""COMPUTED_VALUE"""),"Good")</f>
        <v>Good</v>
      </c>
      <c r="Z301" t="str">
        <f ca="1">IFERROR(__xludf.DUMMYFUNCTION("""COMPUTED_VALUE"""),"Good")</f>
        <v>Good</v>
      </c>
      <c r="AA301" t="str">
        <f ca="1">IFERROR(__xludf.DUMMYFUNCTION("""COMPUTED_VALUE"""),"Good")</f>
        <v>Good</v>
      </c>
      <c r="AB301" t="str">
        <f ca="1">IFERROR(__xludf.DUMMYFUNCTION("""COMPUTED_VALUE"""),"Good")</f>
        <v>Good</v>
      </c>
      <c r="AC301" t="str">
        <f ca="1">IFERROR(__xludf.DUMMYFUNCTION("""COMPUTED_VALUE"""),"Good")</f>
        <v>Good</v>
      </c>
      <c r="AE301" s="11"/>
      <c r="AF301" t="str">
        <v>Nikki.Dix@floridadep.gov</v>
      </c>
      <c r="AG301" s="17" t="s">
        <v>126</v>
      </c>
      <c r="AH301" s="12">
        <v>1135</v>
      </c>
      <c r="AI301" s="12" t="s">
        <v>850</v>
      </c>
      <c r="AJ301" s="19" t="s">
        <v>851</v>
      </c>
      <c r="AK301" s="20" t="str">
        <f>HYPERLINK("https://docs.google.com/document/d/1pqnHvRBe93jYVA63NlfI2hkZWWO8LEXrZ0jP21_TsIw/edit?usp=drivesdk","Silas Tanner - 5/16/2019 7:45 AM")</f>
        <v>Silas Tanner - 5/16/2019 7:45 AM</v>
      </c>
      <c r="AL301" s="12" t="s">
        <v>852</v>
      </c>
    </row>
    <row r="302" spans="1:38" ht="12.75">
      <c r="A302" s="10">
        <f ca="1">IFERROR(__xludf.DUMMYFUNCTION("""COMPUTED_VALUE"""),43600.7283903819)</f>
        <v>43600.728390381897</v>
      </c>
      <c r="B302" s="11" t="str">
        <f ca="1">IFERROR(__xludf.DUMMYFUNCTION("""COMPUTED_VALUE"""),"James Tomazinis")</f>
        <v>James Tomazinis</v>
      </c>
      <c r="C302" t="str">
        <f ca="1">IFERROR(__xludf.DUMMYFUNCTION("""COMPUTED_VALUE"""),"james.tomazinis@floridadep.gov")</f>
        <v>james.tomazinis@floridadep.gov</v>
      </c>
      <c r="D302" t="str">
        <f ca="1">IFERROR(__xludf.DUMMYFUNCTION("""COMPUTED_VALUE"""),"Stewardship (Aquatic)")</f>
        <v>Stewardship (Aquatic)</v>
      </c>
      <c r="E302" t="str">
        <f ca="1">IFERROR(__xludf.DUMMYFUNCTION("""COMPUTED_VALUE"""),"Bings")</f>
        <v>Bings</v>
      </c>
      <c r="F302" s="13">
        <f ca="1">IFERROR(__xludf.DUMMYFUNCTION("""COMPUTED_VALUE"""),0.416666666667879)</f>
        <v>0.41666666666787899</v>
      </c>
      <c r="G302" s="14">
        <f ca="1">IFERROR(__xludf.DUMMYFUNCTION("""COMPUTED_VALUE"""),43601)</f>
        <v>43601</v>
      </c>
      <c r="H302" t="str">
        <f ca="1">IFERROR(__xludf.DUMMYFUNCTION("""COMPUTED_VALUE"""),"Netkon sites 17,18,19,20")</f>
        <v>Netkon sites 17,18,19,20</v>
      </c>
      <c r="I302" s="15">
        <f ca="1">IFERROR(__xludf.DUMMYFUNCTION("""COMPUTED_VALUE"""),0.58333333333212)</f>
        <v>0.58333333333212001</v>
      </c>
      <c r="J302" s="16"/>
      <c r="K302" t="str">
        <f ca="1">IFERROR(__xludf.DUMMYFUNCTION("""COMPUTED_VALUE"""),"23ft Skiff (Bertha) FL7972LJ DEP07613")</f>
        <v>23ft Skiff (Bertha) FL7972LJ DEP07613</v>
      </c>
      <c r="M302" t="str">
        <f ca="1">IFERROR(__xludf.DUMMYFUNCTION("""COMPUTED_VALUE"""),"Ford F150 2015 (White) - DEP21448")</f>
        <v>Ford F150 2015 (White) - DEP21448</v>
      </c>
      <c r="N302" t="str">
        <f ca="1">IFERROR(__xludf.DUMMYFUNCTION("""COMPUTED_VALUE"""),"Jimmy Tomazinis, (904) 547-0094, Mike Dickson")</f>
        <v>Jimmy Tomazinis, (904) 547-0094, Mike Dickson</v>
      </c>
      <c r="O302" t="str">
        <f ca="1">IFERROR(__xludf.DUMMYFUNCTION("""COMPUTED_VALUE"""),"Chris Kurtz, Suzi Porterfield")</f>
        <v>Chris Kurtz, Suzi Porterfield</v>
      </c>
      <c r="P302" t="str">
        <f ca="1">IFERROR(__xludf.DUMMYFUNCTION("""COMPUTED_VALUE"""),"Jimmy")</f>
        <v>Jimmy</v>
      </c>
      <c r="Q302" t="str">
        <f ca="1">IFERROR(__xludf.DUMMYFUNCTION("""COMPUTED_VALUE"""),"Good")</f>
        <v>Good</v>
      </c>
      <c r="R302" t="str">
        <f ca="1">IFERROR(__xludf.DUMMYFUNCTION("""COMPUTED_VALUE"""),"Good")</f>
        <v>Good</v>
      </c>
      <c r="S302" t="str">
        <f ca="1">IFERROR(__xludf.DUMMYFUNCTION("""COMPUTED_VALUE"""),"Good")</f>
        <v>Good</v>
      </c>
      <c r="T302" t="str">
        <f ca="1">IFERROR(__xludf.DUMMYFUNCTION("""COMPUTED_VALUE"""),"Good")</f>
        <v>Good</v>
      </c>
      <c r="U302" t="str">
        <f ca="1">IFERROR(__xludf.DUMMYFUNCTION("""COMPUTED_VALUE"""),"Good")</f>
        <v>Good</v>
      </c>
      <c r="V302" t="str">
        <f ca="1">IFERROR(__xludf.DUMMYFUNCTION("""COMPUTED_VALUE"""),"Good")</f>
        <v>Good</v>
      </c>
      <c r="W302" t="str">
        <f ca="1">IFERROR(__xludf.DUMMYFUNCTION("""COMPUTED_VALUE"""),"Good")</f>
        <v>Good</v>
      </c>
      <c r="X302" t="str">
        <f ca="1">IFERROR(__xludf.DUMMYFUNCTION("""COMPUTED_VALUE"""),"Good")</f>
        <v>Good</v>
      </c>
      <c r="Y302" t="str">
        <f ca="1">IFERROR(__xludf.DUMMYFUNCTION("""COMPUTED_VALUE"""),"Good")</f>
        <v>Good</v>
      </c>
      <c r="Z302" t="str">
        <f ca="1">IFERROR(__xludf.DUMMYFUNCTION("""COMPUTED_VALUE"""),"Good")</f>
        <v>Good</v>
      </c>
      <c r="AA302" t="str">
        <f ca="1">IFERROR(__xludf.DUMMYFUNCTION("""COMPUTED_VALUE"""),"Good")</f>
        <v>Good</v>
      </c>
      <c r="AB302" t="str">
        <f ca="1">IFERROR(__xludf.DUMMYFUNCTION("""COMPUTED_VALUE"""),"Good")</f>
        <v>Good</v>
      </c>
      <c r="AC302" t="str">
        <f ca="1">IFERROR(__xludf.DUMMYFUNCTION("""COMPUTED_VALUE"""),"Good")</f>
        <v>Good</v>
      </c>
      <c r="AE302" s="11"/>
      <c r="AF302" t="str">
        <v>Scott.Eastman@floridadep.gov</v>
      </c>
      <c r="AG302" s="17" t="s">
        <v>126</v>
      </c>
      <c r="AH302" s="12">
        <v>1430</v>
      </c>
      <c r="AI302" s="12" t="s">
        <v>853</v>
      </c>
      <c r="AJ302" s="19" t="s">
        <v>854</v>
      </c>
      <c r="AK302" s="20" t="str">
        <f>HYPERLINK("https://docs.google.com/document/d/1hNWRIRHrwQ2y_KjvuP6GF3lI-qpLwHP1zU8ba6Th2A8/edit?usp=drivesdk","James Tomazinis - 5/16/2019 10:00 AM")</f>
        <v>James Tomazinis - 5/16/2019 10:00 AM</v>
      </c>
      <c r="AL302" s="12" t="s">
        <v>855</v>
      </c>
    </row>
    <row r="303" spans="1:38" ht="12.75">
      <c r="A303" s="10">
        <f ca="1">IFERROR(__xludf.DUMMYFUNCTION("""COMPUTED_VALUE"""),43601.5255482407)</f>
        <v>43601.525548240701</v>
      </c>
      <c r="B303" s="11" t="str">
        <f ca="1">IFERROR(__xludf.DUMMYFUNCTION("""COMPUTED_VALUE"""),"Pamela Marcum")</f>
        <v>Pamela Marcum</v>
      </c>
      <c r="C303" t="str">
        <f ca="1">IFERROR(__xludf.DUMMYFUNCTION("""COMPUTED_VALUE"""),"Pamela.Marcum@dep.state.fl.us")</f>
        <v>Pamela.Marcum@dep.state.fl.us</v>
      </c>
      <c r="D303" t="str">
        <f ca="1">IFERROR(__xludf.DUMMYFUNCTION("""COMPUTED_VALUE"""),"Research/Nikki")</f>
        <v>Research/Nikki</v>
      </c>
      <c r="E303" t="str">
        <f ca="1">IFERROR(__xludf.DUMMYFUNCTION("""COMPUTED_VALUE"""),"Green Rd")</f>
        <v>Green Rd</v>
      </c>
      <c r="F303" s="13">
        <f ca="1">IFERROR(__xludf.DUMMYFUNCTION("""COMPUTED_VALUE"""),0.59375)</f>
        <v>0.59375</v>
      </c>
      <c r="G303" s="14">
        <f ca="1">IFERROR(__xludf.DUMMYFUNCTION("""COMPUTED_VALUE"""),43601)</f>
        <v>43601</v>
      </c>
      <c r="H303" t="str">
        <f ca="1">IFERROR(__xludf.DUMMYFUNCTION("""COMPUTED_VALUE"""),"Matanzas River - Butler area")</f>
        <v>Matanzas River - Butler area</v>
      </c>
      <c r="I303" s="15">
        <f ca="1">IFERROR(__xludf.DUMMYFUNCTION("""COMPUTED_VALUE"""),0.77083333333212)</f>
        <v>0.77083333333212001</v>
      </c>
      <c r="J303" s="16">
        <f ca="1">IFERROR(__xludf.DUMMYFUNCTION("""COMPUTED_VALUE"""),43601.7916666666)</f>
        <v>43601.791666666599</v>
      </c>
      <c r="K303" t="str">
        <f ca="1">IFERROR(__xludf.DUMMYFUNCTION("""COMPUTED_VALUE"""),"17ft Skill FL0642GW DEP07239")</f>
        <v>17ft Skill FL0642GW DEP07239</v>
      </c>
      <c r="M303" t="str">
        <f ca="1">IFERROR(__xludf.DUMMYFUNCTION("""COMPUTED_VALUE"""),"Ford F150 2008 - DEP18041 (SWMP Thing)")</f>
        <v>Ford F150 2008 - DEP18041 (SWMP Thing)</v>
      </c>
      <c r="N303" t="str">
        <f ca="1">IFERROR(__xludf.DUMMYFUNCTION("""COMPUTED_VALUE"""),"Pam Marcum, (480) 332-5414")</f>
        <v>Pam Marcum, (480) 332-5414</v>
      </c>
      <c r="O303" t="str">
        <f ca="1">IFERROR(__xludf.DUMMYFUNCTION("""COMPUTED_VALUE"""),"Nicole Peckham, Adrienne Breef-Pilz")</f>
        <v>Nicole Peckham, Adrienne Breef-Pilz</v>
      </c>
      <c r="P303" t="str">
        <f ca="1">IFERROR(__xludf.DUMMYFUNCTION("""COMPUTED_VALUE"""),"Pam")</f>
        <v>Pam</v>
      </c>
      <c r="Q303" t="str">
        <f ca="1">IFERROR(__xludf.DUMMYFUNCTION("""COMPUTED_VALUE"""),"Good")</f>
        <v>Good</v>
      </c>
      <c r="R303" t="str">
        <f ca="1">IFERROR(__xludf.DUMMYFUNCTION("""COMPUTED_VALUE"""),"Good")</f>
        <v>Good</v>
      </c>
      <c r="S303" t="str">
        <f ca="1">IFERROR(__xludf.DUMMYFUNCTION("""COMPUTED_VALUE"""),"Good")</f>
        <v>Good</v>
      </c>
      <c r="T303" t="str">
        <f ca="1">IFERROR(__xludf.DUMMYFUNCTION("""COMPUTED_VALUE"""),"Good")</f>
        <v>Good</v>
      </c>
      <c r="U303" t="str">
        <f ca="1">IFERROR(__xludf.DUMMYFUNCTION("""COMPUTED_VALUE"""),"Good")</f>
        <v>Good</v>
      </c>
      <c r="V303" t="str">
        <f ca="1">IFERROR(__xludf.DUMMYFUNCTION("""COMPUTED_VALUE"""),"Good")</f>
        <v>Good</v>
      </c>
      <c r="W303" t="str">
        <f ca="1">IFERROR(__xludf.DUMMYFUNCTION("""COMPUTED_VALUE"""),"Good")</f>
        <v>Good</v>
      </c>
      <c r="X303" t="str">
        <f ca="1">IFERROR(__xludf.DUMMYFUNCTION("""COMPUTED_VALUE"""),"Good")</f>
        <v>Good</v>
      </c>
      <c r="Y303" t="str">
        <f ca="1">IFERROR(__xludf.DUMMYFUNCTION("""COMPUTED_VALUE"""),"Good")</f>
        <v>Good</v>
      </c>
      <c r="Z303" t="str">
        <f ca="1">IFERROR(__xludf.DUMMYFUNCTION("""COMPUTED_VALUE"""),"Good")</f>
        <v>Good</v>
      </c>
      <c r="AA303" t="str">
        <f ca="1">IFERROR(__xludf.DUMMYFUNCTION("""COMPUTED_VALUE"""),"Good")</f>
        <v>Good</v>
      </c>
      <c r="AB303" t="str">
        <f ca="1">IFERROR(__xludf.DUMMYFUNCTION("""COMPUTED_VALUE"""),"Good")</f>
        <v>Good</v>
      </c>
      <c r="AC303" t="str">
        <f ca="1">IFERROR(__xludf.DUMMYFUNCTION("""COMPUTED_VALUE"""),"Good")</f>
        <v>Good</v>
      </c>
      <c r="AE303" s="11"/>
      <c r="AF303" t="str">
        <v>Nikki.Dix@floridadep.gov</v>
      </c>
      <c r="AG303" s="17" t="s">
        <v>41</v>
      </c>
      <c r="AH303" s="12">
        <v>1610</v>
      </c>
      <c r="AI303" s="12" t="s">
        <v>856</v>
      </c>
      <c r="AJ303" s="19" t="s">
        <v>857</v>
      </c>
      <c r="AK303" s="20" t="str">
        <f>HYPERLINK("https://docs.google.com/document/d/1jQmJ2nmws9NbG4unV8L7tknjhGikOp5Wp60WoX0r9SU/edit?usp=drivesdk","Pamela Marcum - 5/16/2019 2:15 PM")</f>
        <v>Pamela Marcum - 5/16/2019 2:15 PM</v>
      </c>
      <c r="AL303" s="12" t="s">
        <v>858</v>
      </c>
    </row>
    <row r="304" spans="1:38" ht="12.75">
      <c r="A304" s="10">
        <f ca="1">IFERROR(__xludf.DUMMYFUNCTION("""COMPUTED_VALUE"""),43602.5887956944)</f>
        <v>43602.588795694399</v>
      </c>
      <c r="B304" s="11" t="str">
        <f ca="1">IFERROR(__xludf.DUMMYFUNCTION("""COMPUTED_VALUE"""),"Pam Marcum")</f>
        <v>Pam Marcum</v>
      </c>
      <c r="C304" t="str">
        <f ca="1">IFERROR(__xludf.DUMMYFUNCTION("""COMPUTED_VALUE"""),"Pamela.Marcum@dep.state.fl.us")</f>
        <v>Pamela.Marcum@dep.state.fl.us</v>
      </c>
      <c r="D304" t="str">
        <f ca="1">IFERROR(__xludf.DUMMYFUNCTION("""COMPUTED_VALUE"""),"Research/Nikki")</f>
        <v>Research/Nikki</v>
      </c>
      <c r="E304" t="str">
        <f ca="1">IFERROR(__xludf.DUMMYFUNCTION("""COMPUTED_VALUE"""),"Green Rd")</f>
        <v>Green Rd</v>
      </c>
      <c r="F304" s="13">
        <f ca="1">IFERROR(__xludf.DUMMYFUNCTION("""COMPUTED_VALUE"""),0.58333333333212)</f>
        <v>0.58333333333212001</v>
      </c>
      <c r="G304" s="14">
        <f ca="1">IFERROR(__xludf.DUMMYFUNCTION("""COMPUTED_VALUE"""),43602)</f>
        <v>43602</v>
      </c>
      <c r="H304" t="str">
        <f ca="1">IFERROR(__xludf.DUMMYFUNCTION("""COMPUTED_VALUE"""),"Moses Flats")</f>
        <v>Moses Flats</v>
      </c>
      <c r="I304" s="15">
        <f ca="1">IFERROR(__xludf.DUMMYFUNCTION("""COMPUTED_VALUE"""),0.70833333333212)</f>
        <v>0.70833333333212001</v>
      </c>
      <c r="J304" s="16">
        <f ca="1">IFERROR(__xludf.DUMMYFUNCTION("""COMPUTED_VALUE"""),43602.7291666666)</f>
        <v>43602.729166666599</v>
      </c>
      <c r="K304" t="str">
        <f ca="1">IFERROR(__xludf.DUMMYFUNCTION("""COMPUTED_VALUE"""),"17ft Skill FL0642GW DEP07239")</f>
        <v>17ft Skill FL0642GW DEP07239</v>
      </c>
      <c r="M304" t="str">
        <f ca="1">IFERROR(__xludf.DUMMYFUNCTION("""COMPUTED_VALUE"""),"2018 F150 AP")</f>
        <v>2018 F150 AP</v>
      </c>
      <c r="N304" t="str">
        <f ca="1">IFERROR(__xludf.DUMMYFUNCTION("""COMPUTED_VALUE"""),"Pam Marcum, (480) 332-5414")</f>
        <v>Pam Marcum, (480) 332-5414</v>
      </c>
      <c r="O304" t="str">
        <f ca="1">IFERROR(__xludf.DUMMYFUNCTION("""COMPUTED_VALUE"""),"Nicole Peckham, Adrienne Breef-Pilz")</f>
        <v>Nicole Peckham, Adrienne Breef-Pilz</v>
      </c>
      <c r="P304" t="str">
        <f ca="1">IFERROR(__xludf.DUMMYFUNCTION("""COMPUTED_VALUE"""),"Pam")</f>
        <v>Pam</v>
      </c>
      <c r="Q304" t="str">
        <f ca="1">IFERROR(__xludf.DUMMYFUNCTION("""COMPUTED_VALUE"""),"Good")</f>
        <v>Good</v>
      </c>
      <c r="R304" t="str">
        <f ca="1">IFERROR(__xludf.DUMMYFUNCTION("""COMPUTED_VALUE"""),"Good")</f>
        <v>Good</v>
      </c>
      <c r="S304" t="str">
        <f ca="1">IFERROR(__xludf.DUMMYFUNCTION("""COMPUTED_VALUE"""),"Good")</f>
        <v>Good</v>
      </c>
      <c r="T304" t="str">
        <f ca="1">IFERROR(__xludf.DUMMYFUNCTION("""COMPUTED_VALUE"""),"Good")</f>
        <v>Good</v>
      </c>
      <c r="U304" t="str">
        <f ca="1">IFERROR(__xludf.DUMMYFUNCTION("""COMPUTED_VALUE"""),"Good")</f>
        <v>Good</v>
      </c>
      <c r="V304" t="str">
        <f ca="1">IFERROR(__xludf.DUMMYFUNCTION("""COMPUTED_VALUE"""),"Good")</f>
        <v>Good</v>
      </c>
      <c r="W304" t="str">
        <f ca="1">IFERROR(__xludf.DUMMYFUNCTION("""COMPUTED_VALUE"""),"Good")</f>
        <v>Good</v>
      </c>
      <c r="X304" t="str">
        <f ca="1">IFERROR(__xludf.DUMMYFUNCTION("""COMPUTED_VALUE"""),"Good")</f>
        <v>Good</v>
      </c>
      <c r="Y304" t="str">
        <f ca="1">IFERROR(__xludf.DUMMYFUNCTION("""COMPUTED_VALUE"""),"Good")</f>
        <v>Good</v>
      </c>
      <c r="Z304" t="str">
        <f ca="1">IFERROR(__xludf.DUMMYFUNCTION("""COMPUTED_VALUE"""),"Good")</f>
        <v>Good</v>
      </c>
      <c r="AA304" t="str">
        <f ca="1">IFERROR(__xludf.DUMMYFUNCTION("""COMPUTED_VALUE"""),"Good")</f>
        <v>Good</v>
      </c>
      <c r="AB304" t="str">
        <f ca="1">IFERROR(__xludf.DUMMYFUNCTION("""COMPUTED_VALUE"""),"Good")</f>
        <v>Good</v>
      </c>
      <c r="AC304" t="str">
        <f ca="1">IFERROR(__xludf.DUMMYFUNCTION("""COMPUTED_VALUE"""),"Good")</f>
        <v>Good</v>
      </c>
      <c r="AE304" s="11"/>
      <c r="AF304" t="str">
        <v>Nikki.Dix@floridadep.gov</v>
      </c>
      <c r="AG304" s="17" t="s">
        <v>41</v>
      </c>
      <c r="AH304" s="12">
        <v>1715</v>
      </c>
      <c r="AI304" s="12" t="s">
        <v>859</v>
      </c>
      <c r="AJ304" s="19" t="s">
        <v>860</v>
      </c>
      <c r="AK304" s="20" t="str">
        <f>HYPERLINK("https://docs.google.com/document/d/1nwRxq9QzMWOE6F4rVgHmRuocKZ9SkDOahsobebfl3uQ/edit?usp=drivesdk","Pam Marcum - 5/17/2019 2:00 PM")</f>
        <v>Pam Marcum - 5/17/2019 2:00 PM</v>
      </c>
      <c r="AL304" s="12" t="s">
        <v>861</v>
      </c>
    </row>
    <row r="305" spans="1:38" ht="12.75">
      <c r="A305" s="10">
        <f ca="1">IFERROR(__xludf.DUMMYFUNCTION("""COMPUTED_VALUE"""),43602.7053125578)</f>
        <v>43602.705312557802</v>
      </c>
      <c r="B305" s="11" t="str">
        <f ca="1">IFERROR(__xludf.DUMMYFUNCTION("""COMPUTED_VALUE"""),"James Tomazinis")</f>
        <v>James Tomazinis</v>
      </c>
      <c r="C305" t="str">
        <f ca="1">IFERROR(__xludf.DUMMYFUNCTION("""COMPUTED_VALUE"""),"james.tomazinis@floridadep.gov")</f>
        <v>james.tomazinis@floridadep.gov</v>
      </c>
      <c r="D305" t="str">
        <f ca="1">IFERROR(__xludf.DUMMYFUNCTION("""COMPUTED_VALUE"""),"Stewardship (Aquatic)")</f>
        <v>Stewardship (Aquatic)</v>
      </c>
      <c r="E305" t="str">
        <f ca="1">IFERROR(__xludf.DUMMYFUNCTION("""COMPUTED_VALUE"""),"Aunt Kates")</f>
        <v>Aunt Kates</v>
      </c>
      <c r="F305" s="13">
        <f ca="1">IFERROR(__xludf.DUMMYFUNCTION("""COMPUTED_VALUE"""),0.385416666667879)</f>
        <v>0.38541666666787899</v>
      </c>
      <c r="G305" s="14">
        <f ca="1">IFERROR(__xludf.DUMMYFUNCTION("""COMPUTED_VALUE"""),43603)</f>
        <v>43603</v>
      </c>
      <c r="H305" t="str">
        <f ca="1">IFERROR(__xludf.DUMMYFUNCTION("""COMPUTED_VALUE"""),"Tolomato River/Guana")</f>
        <v>Tolomato River/Guana</v>
      </c>
      <c r="I305" s="15">
        <f ca="1">IFERROR(__xludf.DUMMYFUNCTION("""COMPUTED_VALUE"""),0.58333333333212)</f>
        <v>0.58333333333212001</v>
      </c>
      <c r="J305" s="16"/>
      <c r="K305" t="str">
        <f ca="1">IFERROR(__xludf.DUMMYFUNCTION("""COMPUTED_VALUE"""),"23ft Skiff (Bertha) FL7972LJ DEP07613")</f>
        <v>23ft Skiff (Bertha) FL7972LJ DEP07613</v>
      </c>
      <c r="M305" t="str">
        <f ca="1">IFERROR(__xludf.DUMMYFUNCTION("""COMPUTED_VALUE"""),"Ford F150 2015 (White) - DEP21448")</f>
        <v>Ford F150 2015 (White) - DEP21448</v>
      </c>
      <c r="N305" t="str">
        <f ca="1">IFERROR(__xludf.DUMMYFUNCTION("""COMPUTED_VALUE"""),"Jimmy Tomazinis, (904) 547-0094")</f>
        <v>Jimmy Tomazinis, (904) 547-0094</v>
      </c>
      <c r="O305" t="str">
        <f ca="1">IFERROR(__xludf.DUMMYFUNCTION("""COMPUTED_VALUE"""),"Joe McCoy and students")</f>
        <v>Joe McCoy and students</v>
      </c>
      <c r="P305" t="str">
        <f ca="1">IFERROR(__xludf.DUMMYFUNCTION("""COMPUTED_VALUE"""),"Jimmy")</f>
        <v>Jimmy</v>
      </c>
      <c r="Q305" t="str">
        <f ca="1">IFERROR(__xludf.DUMMYFUNCTION("""COMPUTED_VALUE"""),"Good")</f>
        <v>Good</v>
      </c>
      <c r="R305" t="str">
        <f ca="1">IFERROR(__xludf.DUMMYFUNCTION("""COMPUTED_VALUE"""),"Good")</f>
        <v>Good</v>
      </c>
      <c r="S305" t="str">
        <f ca="1">IFERROR(__xludf.DUMMYFUNCTION("""COMPUTED_VALUE"""),"Good")</f>
        <v>Good</v>
      </c>
      <c r="T305" t="str">
        <f ca="1">IFERROR(__xludf.DUMMYFUNCTION("""COMPUTED_VALUE"""),"Good")</f>
        <v>Good</v>
      </c>
      <c r="U305" t="str">
        <f ca="1">IFERROR(__xludf.DUMMYFUNCTION("""COMPUTED_VALUE"""),"Good")</f>
        <v>Good</v>
      </c>
      <c r="V305" t="str">
        <f ca="1">IFERROR(__xludf.DUMMYFUNCTION("""COMPUTED_VALUE"""),"Good")</f>
        <v>Good</v>
      </c>
      <c r="W305" t="str">
        <f ca="1">IFERROR(__xludf.DUMMYFUNCTION("""COMPUTED_VALUE"""),"Good")</f>
        <v>Good</v>
      </c>
      <c r="X305" t="str">
        <f ca="1">IFERROR(__xludf.DUMMYFUNCTION("""COMPUTED_VALUE"""),"Good")</f>
        <v>Good</v>
      </c>
      <c r="Y305" t="str">
        <f ca="1">IFERROR(__xludf.DUMMYFUNCTION("""COMPUTED_VALUE"""),"Good")</f>
        <v>Good</v>
      </c>
      <c r="Z305" t="str">
        <f ca="1">IFERROR(__xludf.DUMMYFUNCTION("""COMPUTED_VALUE"""),"Good")</f>
        <v>Good</v>
      </c>
      <c r="AA305" t="str">
        <f ca="1">IFERROR(__xludf.DUMMYFUNCTION("""COMPUTED_VALUE"""),"Good")</f>
        <v>Good</v>
      </c>
      <c r="AB305" t="str">
        <f ca="1">IFERROR(__xludf.DUMMYFUNCTION("""COMPUTED_VALUE"""),"Good")</f>
        <v>Good</v>
      </c>
      <c r="AC305" t="str">
        <f ca="1">IFERROR(__xludf.DUMMYFUNCTION("""COMPUTED_VALUE"""),"Good")</f>
        <v>Good</v>
      </c>
      <c r="AE305" s="11"/>
      <c r="AF305" t="str">
        <v>Scott.Eastman@floridadep.gov</v>
      </c>
      <c r="AG305" s="17" t="s">
        <v>17</v>
      </c>
      <c r="AH305" s="12">
        <v>1430</v>
      </c>
      <c r="AI305" s="12" t="s">
        <v>862</v>
      </c>
      <c r="AJ305" s="19" t="s">
        <v>863</v>
      </c>
      <c r="AK305" s="20" t="str">
        <f>HYPERLINK("https://docs.google.com/document/d/1QBSxmJEW8haI9t5gOvOxhfJQdjnU8UExtzvNGSdRJeU/edit?usp=drivesdk","James Tomazinis - 5/18/2019 9:15 AM")</f>
        <v>James Tomazinis - 5/18/2019 9:15 AM</v>
      </c>
      <c r="AL305" s="12" t="s">
        <v>864</v>
      </c>
    </row>
    <row r="306" spans="1:38" ht="12.75">
      <c r="A306" s="10">
        <f ca="1">IFERROR(__xludf.DUMMYFUNCTION("""COMPUTED_VALUE"""),43605.3270063078)</f>
        <v>43605.327006307802</v>
      </c>
      <c r="B306" s="11" t="str">
        <f ca="1">IFERROR(__xludf.DUMMYFUNCTION("""COMPUTED_VALUE"""),"Silas Tanner")</f>
        <v>Silas Tanner</v>
      </c>
      <c r="C306" t="str">
        <f ca="1">IFERROR(__xludf.DUMMYFUNCTION("""COMPUTED_VALUE"""),"silas.tanner@dep.state.fl")</f>
        <v>silas.tanner@dep.state.fl</v>
      </c>
      <c r="D306" t="str">
        <f ca="1">IFERROR(__xludf.DUMMYFUNCTION("""COMPUTED_VALUE"""),"Research/Nikki")</f>
        <v>Research/Nikki</v>
      </c>
      <c r="E306" t="str">
        <f ca="1">IFERROR(__xludf.DUMMYFUNCTION("""COMPUTED_VALUE"""),"Vilano Landing")</f>
        <v>Vilano Landing</v>
      </c>
      <c r="F306" s="13">
        <f ca="1">IFERROR(__xludf.DUMMYFUNCTION("""COMPUTED_VALUE"""),0.416666666667879)</f>
        <v>0.41666666666787899</v>
      </c>
      <c r="G306" s="14">
        <f ca="1">IFERROR(__xludf.DUMMYFUNCTION("""COMPUTED_VALUE"""),43605)</f>
        <v>43605</v>
      </c>
      <c r="H306" t="str">
        <f ca="1">IFERROR(__xludf.DUMMYFUNCTION("""COMPUTED_VALUE"""),"ICW Hat Island platforms, Castillo, Salt Run")</f>
        <v>ICW Hat Island platforms, Castillo, Salt Run</v>
      </c>
      <c r="I306" s="15">
        <f ca="1">IFERROR(__xludf.DUMMYFUNCTION("""COMPUTED_VALUE"""),0.52083333333212)</f>
        <v>0.52083333333212001</v>
      </c>
      <c r="J306" s="16">
        <f ca="1">IFERROR(__xludf.DUMMYFUNCTION("""COMPUTED_VALUE"""),43605.53125)</f>
        <v>43605.53125</v>
      </c>
      <c r="K306" t="str">
        <f ca="1">IFERROR(__xludf.DUMMYFUNCTION("""COMPUTED_VALUE"""),"23ft Skiff (Bertha) FL7972LJ DEP07613")</f>
        <v>23ft Skiff (Bertha) FL7972LJ DEP07613</v>
      </c>
      <c r="M306" t="str">
        <f ca="1">IFERROR(__xludf.DUMMYFUNCTION("""COMPUTED_VALUE"""),"Ford F150 2015 (White) - DEP21448")</f>
        <v>Ford F150 2015 (White) - DEP21448</v>
      </c>
      <c r="N306" t="str">
        <f ca="1">IFERROR(__xludf.DUMMYFUNCTION("""COMPUTED_VALUE"""),"Shannon Dunnigan, (803) 727-5734, Silas Tanner, (904) 483-8423")</f>
        <v>Shannon Dunnigan, (803) 727-5734, Silas Tanner, (904) 483-8423</v>
      </c>
      <c r="O306" t="str">
        <f ca="1">IFERROR(__xludf.DUMMYFUNCTION("""COMPUTED_VALUE"""),"Maddy Paris, Molly Dent, Chris Kurtz, Cameron Rumsey")</f>
        <v>Maddy Paris, Molly Dent, Chris Kurtz, Cameron Rumsey</v>
      </c>
      <c r="P306" t="str">
        <f ca="1">IFERROR(__xludf.DUMMYFUNCTION("""COMPUTED_VALUE"""),"S. Dunnigan")</f>
        <v>S. Dunnigan</v>
      </c>
      <c r="Q306" t="str">
        <f ca="1">IFERROR(__xludf.DUMMYFUNCTION("""COMPUTED_VALUE"""),"Good")</f>
        <v>Good</v>
      </c>
      <c r="R306" t="str">
        <f ca="1">IFERROR(__xludf.DUMMYFUNCTION("""COMPUTED_VALUE"""),"Good")</f>
        <v>Good</v>
      </c>
      <c r="S306" t="str">
        <f ca="1">IFERROR(__xludf.DUMMYFUNCTION("""COMPUTED_VALUE"""),"Good")</f>
        <v>Good</v>
      </c>
      <c r="T306" t="str">
        <f ca="1">IFERROR(__xludf.DUMMYFUNCTION("""COMPUTED_VALUE"""),"Good")</f>
        <v>Good</v>
      </c>
      <c r="U306" t="str">
        <f ca="1">IFERROR(__xludf.DUMMYFUNCTION("""COMPUTED_VALUE"""),"Good")</f>
        <v>Good</v>
      </c>
      <c r="V306" t="str">
        <f ca="1">IFERROR(__xludf.DUMMYFUNCTION("""COMPUTED_VALUE"""),"Good")</f>
        <v>Good</v>
      </c>
      <c r="W306" t="str">
        <f ca="1">IFERROR(__xludf.DUMMYFUNCTION("""COMPUTED_VALUE"""),"Good")</f>
        <v>Good</v>
      </c>
      <c r="X306" t="str">
        <f ca="1">IFERROR(__xludf.DUMMYFUNCTION("""COMPUTED_VALUE"""),"Good")</f>
        <v>Good</v>
      </c>
      <c r="Y306" t="str">
        <f ca="1">IFERROR(__xludf.DUMMYFUNCTION("""COMPUTED_VALUE"""),"Good")</f>
        <v>Good</v>
      </c>
      <c r="Z306" t="str">
        <f ca="1">IFERROR(__xludf.DUMMYFUNCTION("""COMPUTED_VALUE"""),"Good")</f>
        <v>Good</v>
      </c>
      <c r="AA306" t="str">
        <f ca="1">IFERROR(__xludf.DUMMYFUNCTION("""COMPUTED_VALUE"""),"Good")</f>
        <v>Good</v>
      </c>
      <c r="AB306" t="str">
        <f ca="1">IFERROR(__xludf.DUMMYFUNCTION("""COMPUTED_VALUE"""),"Good")</f>
        <v>Good</v>
      </c>
      <c r="AC306" t="str">
        <f ca="1">IFERROR(__xludf.DUMMYFUNCTION("""COMPUTED_VALUE"""),"Good")</f>
        <v>Good</v>
      </c>
      <c r="AE306" s="11"/>
      <c r="AF306" t="str">
        <v>Nikki.Dix@floridadep.gov</v>
      </c>
      <c r="AG306" s="17" t="s">
        <v>17</v>
      </c>
      <c r="AH306" s="12">
        <v>1210</v>
      </c>
      <c r="AI306" s="12" t="s">
        <v>865</v>
      </c>
      <c r="AJ306" s="19" t="s">
        <v>866</v>
      </c>
      <c r="AK306" s="20" t="str">
        <f>HYPERLINK("https://docs.google.com/document/d/1QxaRdHvDAJbUR2d5Aif51DAoEGlkAzlCnhkf3ioW5X8/edit?usp=drivesdk","Silas Tanner - 5/20/2019 10:00 AM")</f>
        <v>Silas Tanner - 5/20/2019 10:00 AM</v>
      </c>
      <c r="AL306" s="12" t="s">
        <v>867</v>
      </c>
    </row>
    <row r="307" spans="1:38" ht="12.75">
      <c r="A307" s="10">
        <f ca="1">IFERROR(__xludf.DUMMYFUNCTION("""COMPUTED_VALUE"""),43605.3617204166)</f>
        <v>43605.3617204166</v>
      </c>
      <c r="B307" s="11" t="str">
        <f ca="1">IFERROR(__xludf.DUMMYFUNCTION("""COMPUTED_VALUE"""),"Jimmy Tomazinis")</f>
        <v>Jimmy Tomazinis</v>
      </c>
      <c r="C307" t="str">
        <f ca="1">IFERROR(__xludf.DUMMYFUNCTION("""COMPUTED_VALUE"""),"james.tomazinis@floridadep.gov")</f>
        <v>james.tomazinis@floridadep.gov</v>
      </c>
      <c r="D307" t="str">
        <f ca="1">IFERROR(__xludf.DUMMYFUNCTION("""COMPUTED_VALUE"""),"Stewardship (Aquatic)")</f>
        <v>Stewardship (Aquatic)</v>
      </c>
      <c r="E307" t="str">
        <f ca="1">IFERROR(__xludf.DUMMYFUNCTION("""COMPUTED_VALUE"""),"Palms Fish Camp, Nassauville")</f>
        <v>Palms Fish Camp, Nassauville</v>
      </c>
      <c r="F307" s="13">
        <f ca="1">IFERROR(__xludf.DUMMYFUNCTION("""COMPUTED_VALUE"""),0.4375)</f>
        <v>0.4375</v>
      </c>
      <c r="G307" s="14">
        <f ca="1">IFERROR(__xludf.DUMMYFUNCTION("""COMPUTED_VALUE"""),43605)</f>
        <v>43605</v>
      </c>
      <c r="H307" t="str">
        <f ca="1">IFERROR(__xludf.DUMMYFUNCTION("""COMPUTED_VALUE"""),"NEWQ sites")</f>
        <v>NEWQ sites</v>
      </c>
      <c r="I307" s="15">
        <f ca="1">IFERROR(__xludf.DUMMYFUNCTION("""COMPUTED_VALUE"""),0.70833333333212)</f>
        <v>0.70833333333212001</v>
      </c>
      <c r="J307" s="16"/>
      <c r="K307" t="str">
        <f ca="1">IFERROR(__xludf.DUMMYFUNCTION("""COMPUTED_VALUE"""),"17ft Skill FL0642GW DEP07239")</f>
        <v>17ft Skill FL0642GW DEP07239</v>
      </c>
      <c r="M307" t="str">
        <f ca="1">IFERROR(__xludf.DUMMYFUNCTION("""COMPUTED_VALUE"""),"Ford F150 2008 - DEP18041 (SWMP Thing)")</f>
        <v>Ford F150 2008 - DEP18041 (SWMP Thing)</v>
      </c>
      <c r="N307" t="str">
        <f ca="1">IFERROR(__xludf.DUMMYFUNCTION("""COMPUTED_VALUE"""),"Jimmy Tomazinis, (904) 547-0094, Scott Eastman")</f>
        <v>Jimmy Tomazinis, (904) 547-0094, Scott Eastman</v>
      </c>
      <c r="P307" t="str">
        <f ca="1">IFERROR(__xludf.DUMMYFUNCTION("""COMPUTED_VALUE"""),"Jimmy")</f>
        <v>Jimmy</v>
      </c>
      <c r="Q307" t="str">
        <f ca="1">IFERROR(__xludf.DUMMYFUNCTION("""COMPUTED_VALUE"""),"Good")</f>
        <v>Good</v>
      </c>
      <c r="R307" t="str">
        <f ca="1">IFERROR(__xludf.DUMMYFUNCTION("""COMPUTED_VALUE"""),"Good")</f>
        <v>Good</v>
      </c>
      <c r="S307" t="str">
        <f ca="1">IFERROR(__xludf.DUMMYFUNCTION("""COMPUTED_VALUE"""),"Good")</f>
        <v>Good</v>
      </c>
      <c r="T307" t="str">
        <f ca="1">IFERROR(__xludf.DUMMYFUNCTION("""COMPUTED_VALUE"""),"Good")</f>
        <v>Good</v>
      </c>
      <c r="U307" t="str">
        <f ca="1">IFERROR(__xludf.DUMMYFUNCTION("""COMPUTED_VALUE"""),"Good")</f>
        <v>Good</v>
      </c>
      <c r="V307" t="str">
        <f ca="1">IFERROR(__xludf.DUMMYFUNCTION("""COMPUTED_VALUE"""),"Good")</f>
        <v>Good</v>
      </c>
      <c r="W307" t="str">
        <f ca="1">IFERROR(__xludf.DUMMYFUNCTION("""COMPUTED_VALUE"""),"Good")</f>
        <v>Good</v>
      </c>
      <c r="X307" t="str">
        <f ca="1">IFERROR(__xludf.DUMMYFUNCTION("""COMPUTED_VALUE"""),"Good")</f>
        <v>Good</v>
      </c>
      <c r="Y307" t="str">
        <f ca="1">IFERROR(__xludf.DUMMYFUNCTION("""COMPUTED_VALUE"""),"Good")</f>
        <v>Good</v>
      </c>
      <c r="Z307" t="str">
        <f ca="1">IFERROR(__xludf.DUMMYFUNCTION("""COMPUTED_VALUE"""),"Good")</f>
        <v>Good</v>
      </c>
      <c r="AA307" t="str">
        <f ca="1">IFERROR(__xludf.DUMMYFUNCTION("""COMPUTED_VALUE"""),"Good")</f>
        <v>Good</v>
      </c>
      <c r="AB307" t="str">
        <f ca="1">IFERROR(__xludf.DUMMYFUNCTION("""COMPUTED_VALUE"""),"Good")</f>
        <v>Good</v>
      </c>
      <c r="AC307" t="str">
        <f ca="1">IFERROR(__xludf.DUMMYFUNCTION("""COMPUTED_VALUE"""),"Good")</f>
        <v>Good</v>
      </c>
      <c r="AE307" s="11"/>
      <c r="AF307" t="str">
        <v>Scott.Eastman@floridadep.gov</v>
      </c>
      <c r="AG307" s="17" t="s">
        <v>17</v>
      </c>
      <c r="AH307" s="12">
        <v>1620</v>
      </c>
      <c r="AI307" s="12" t="s">
        <v>868</v>
      </c>
      <c r="AJ307" s="19" t="s">
        <v>869</v>
      </c>
      <c r="AK307" s="20" t="str">
        <f>HYPERLINK("https://docs.google.com/document/d/10yd_QWoX4-uGTi1hSALQIVk7-NQdFiPnAMvkiRZydsQ/edit?usp=drivesdk","Jimmy Tomazinis - 5/20/2019 10:30 AM")</f>
        <v>Jimmy Tomazinis - 5/20/2019 10:30 AM</v>
      </c>
      <c r="AL307" s="12" t="s">
        <v>870</v>
      </c>
    </row>
    <row r="308" spans="1:38" ht="12.75">
      <c r="A308" s="10">
        <f ca="1">IFERROR(__xludf.DUMMYFUNCTION("""COMPUTED_VALUE"""),43606.344595625)</f>
        <v>43606.344595625</v>
      </c>
      <c r="B308" s="11" t="str">
        <f ca="1">IFERROR(__xludf.DUMMYFUNCTION("""COMPUTED_VALUE"""),"Pam Marcum")</f>
        <v>Pam Marcum</v>
      </c>
      <c r="C308" t="str">
        <f ca="1">IFERROR(__xludf.DUMMYFUNCTION("""COMPUTED_VALUE"""),"pamela.marcum@dep.state.fl.us")</f>
        <v>pamela.marcum@dep.state.fl.us</v>
      </c>
      <c r="D308" t="str">
        <f ca="1">IFERROR(__xludf.DUMMYFUNCTION("""COMPUTED_VALUE"""),"Research/Nikki")</f>
        <v>Research/Nikki</v>
      </c>
      <c r="E308" t="str">
        <f ca="1">IFERROR(__xludf.DUMMYFUNCTION("""COMPUTED_VALUE"""),"Shore")</f>
        <v>Shore</v>
      </c>
      <c r="F308" s="13">
        <f ca="1">IFERROR(__xludf.DUMMYFUNCTION("""COMPUTED_VALUE"""),0.34375)</f>
        <v>0.34375</v>
      </c>
      <c r="G308" s="14">
        <f ca="1">IFERROR(__xludf.DUMMYFUNCTION("""COMPUTED_VALUE"""),43606)</f>
        <v>43606</v>
      </c>
      <c r="H308" t="str">
        <f ca="1">IFERROR(__xludf.DUMMYFUNCTION("""COMPUTED_VALUE"""),"Gabbys Creek")</f>
        <v>Gabbys Creek</v>
      </c>
      <c r="I308" s="15">
        <f ca="1">IFERROR(__xludf.DUMMYFUNCTION("""COMPUTED_VALUE"""),0.70833333333212)</f>
        <v>0.70833333333212001</v>
      </c>
      <c r="J308" s="16">
        <f ca="1">IFERROR(__xludf.DUMMYFUNCTION("""COMPUTED_VALUE"""),43606.75)</f>
        <v>43606.75</v>
      </c>
      <c r="K308" t="str">
        <f ca="1">IFERROR(__xludf.DUMMYFUNCTION("""COMPUTED_VALUE"""),"20ft Sea Ark FL5351SJ UNF 2015")</f>
        <v>20ft Sea Ark FL5351SJ UNF 2015</v>
      </c>
      <c r="M308" t="str">
        <f ca="1">IFERROR(__xludf.DUMMYFUNCTION("""COMPUTED_VALUE"""),"Ford F150 2008 - DEP18041 (SWMP Thing)")</f>
        <v>Ford F150 2008 - DEP18041 (SWMP Thing)</v>
      </c>
      <c r="N308" t="str">
        <f ca="1">IFERROR(__xludf.DUMMYFUNCTION("""COMPUTED_VALUE"""),"Pam Marcum, (480) 332-5414, Matt Hayes")</f>
        <v>Pam Marcum, (480) 332-5414, Matt Hayes</v>
      </c>
      <c r="O308" t="str">
        <f ca="1">IFERROR(__xludf.DUMMYFUNCTION("""COMPUTED_VALUE"""),"Sam, Candy, Emily")</f>
        <v>Sam, Candy, Emily</v>
      </c>
      <c r="P308" t="str">
        <f ca="1">IFERROR(__xludf.DUMMYFUNCTION("""COMPUTED_VALUE"""),"Pam")</f>
        <v>Pam</v>
      </c>
      <c r="Q308" t="str">
        <f ca="1">IFERROR(__xludf.DUMMYFUNCTION("""COMPUTED_VALUE"""),"Good")</f>
        <v>Good</v>
      </c>
      <c r="R308" t="str">
        <f ca="1">IFERROR(__xludf.DUMMYFUNCTION("""COMPUTED_VALUE"""),"Good")</f>
        <v>Good</v>
      </c>
      <c r="S308" t="str">
        <f ca="1">IFERROR(__xludf.DUMMYFUNCTION("""COMPUTED_VALUE"""),"Good")</f>
        <v>Good</v>
      </c>
      <c r="T308" t="str">
        <f ca="1">IFERROR(__xludf.DUMMYFUNCTION("""COMPUTED_VALUE"""),"Good")</f>
        <v>Good</v>
      </c>
      <c r="U308" t="str">
        <f ca="1">IFERROR(__xludf.DUMMYFUNCTION("""COMPUTED_VALUE"""),"Good")</f>
        <v>Good</v>
      </c>
      <c r="V308" t="str">
        <f ca="1">IFERROR(__xludf.DUMMYFUNCTION("""COMPUTED_VALUE"""),"Good")</f>
        <v>Good</v>
      </c>
      <c r="W308" t="str">
        <f ca="1">IFERROR(__xludf.DUMMYFUNCTION("""COMPUTED_VALUE"""),"Good")</f>
        <v>Good</v>
      </c>
      <c r="X308" t="str">
        <f ca="1">IFERROR(__xludf.DUMMYFUNCTION("""COMPUTED_VALUE"""),"Good")</f>
        <v>Good</v>
      </c>
      <c r="Y308" t="str">
        <f ca="1">IFERROR(__xludf.DUMMYFUNCTION("""COMPUTED_VALUE"""),"Good")</f>
        <v>Good</v>
      </c>
      <c r="Z308" t="str">
        <f ca="1">IFERROR(__xludf.DUMMYFUNCTION("""COMPUTED_VALUE"""),"Good")</f>
        <v>Good</v>
      </c>
      <c r="AA308" t="str">
        <f ca="1">IFERROR(__xludf.DUMMYFUNCTION("""COMPUTED_VALUE"""),"Good")</f>
        <v>Good</v>
      </c>
      <c r="AB308" t="str">
        <f ca="1">IFERROR(__xludf.DUMMYFUNCTION("""COMPUTED_VALUE"""),"Good")</f>
        <v>Good</v>
      </c>
      <c r="AC308" t="str">
        <f ca="1">IFERROR(__xludf.DUMMYFUNCTION("""COMPUTED_VALUE"""),"Good")</f>
        <v>Good</v>
      </c>
      <c r="AE308" s="11"/>
      <c r="AF308" t="str">
        <v>Nikki.Dix@floridadep.gov</v>
      </c>
      <c r="AG308" s="17" t="s">
        <v>17</v>
      </c>
      <c r="AH308" s="12">
        <v>1300</v>
      </c>
      <c r="AI308" s="12" t="s">
        <v>871</v>
      </c>
      <c r="AJ308" s="19" t="s">
        <v>872</v>
      </c>
      <c r="AK308" s="20" t="str">
        <f>HYPERLINK("https://docs.google.com/document/d/1oALdN25ww9lJ48fXJMH1m20lIQx2AKySaSRbjgF26Cc/edit?usp=drivesdk","Pam Marcum - 5/21/2019 8:15 AM")</f>
        <v>Pam Marcum - 5/21/2019 8:15 AM</v>
      </c>
      <c r="AL308" s="12" t="s">
        <v>873</v>
      </c>
    </row>
    <row r="309" spans="1:38" ht="12.75">
      <c r="A309" s="10">
        <f ca="1">IFERROR(__xludf.DUMMYFUNCTION("""COMPUTED_VALUE"""),43606.347828287)</f>
        <v>43606.347828286998</v>
      </c>
      <c r="B309" s="11" t="str">
        <f ca="1">IFERROR(__xludf.DUMMYFUNCTION("""COMPUTED_VALUE"""),"Gabby Canas")</f>
        <v>Gabby Canas</v>
      </c>
      <c r="C309" t="str">
        <f ca="1">IFERROR(__xludf.DUMMYFUNCTION("""COMPUTED_VALUE"""),"Gabby.Canas@dep.state.fl.us")</f>
        <v>Gabby.Canas@dep.state.fl.us</v>
      </c>
      <c r="D309" t="str">
        <f ca="1">IFERROR(__xludf.DUMMYFUNCTION("""COMPUTED_VALUE"""),"Research/Nikki")</f>
        <v>Research/Nikki</v>
      </c>
      <c r="E309" t="str">
        <f ca="1">IFERROR(__xludf.DUMMYFUNCTION("""COMPUTED_VALUE"""),"Shore")</f>
        <v>Shore</v>
      </c>
      <c r="F309" s="13">
        <f ca="1">IFERROR(__xludf.DUMMYFUNCTION("""COMPUTED_VALUE"""),0.36458333333212)</f>
        <v>0.36458333333212001</v>
      </c>
      <c r="G309" s="14">
        <f ca="1">IFERROR(__xludf.DUMMYFUNCTION("""COMPUTED_VALUE"""),43606)</f>
        <v>43606</v>
      </c>
      <c r="H309" t="str">
        <f ca="1">IFERROR(__xludf.DUMMYFUNCTION("""COMPUTED_VALUE"""),"Gabbys Creek")</f>
        <v>Gabbys Creek</v>
      </c>
      <c r="I309" s="15">
        <f ca="1">IFERROR(__xludf.DUMMYFUNCTION("""COMPUTED_VALUE"""),0.70833333333212)</f>
        <v>0.70833333333212001</v>
      </c>
      <c r="J309" s="16">
        <f ca="1">IFERROR(__xludf.DUMMYFUNCTION("""COMPUTED_VALUE"""),43606.75)</f>
        <v>43606.75</v>
      </c>
      <c r="K309" t="str">
        <f ca="1">IFERROR(__xludf.DUMMYFUNCTION("""COMPUTED_VALUE"""),"23ft Skiff (Bertha) FL7972LJ DEP07613")</f>
        <v>23ft Skiff (Bertha) FL7972LJ DEP07613</v>
      </c>
      <c r="M309" t="str">
        <f ca="1">IFERROR(__xludf.DUMMYFUNCTION("""COMPUTED_VALUE"""),"Ford F150 2015 (White) - DEP21448")</f>
        <v>Ford F150 2015 (White) - DEP21448</v>
      </c>
      <c r="N309" t="str">
        <f ca="1">IFERROR(__xludf.DUMMYFUNCTION("""COMPUTED_VALUE"""),"Ches Vervake")</f>
        <v>Ches Vervake</v>
      </c>
      <c r="O309" t="str">
        <f ca="1">IFERROR(__xludf.DUMMYFUNCTION("""COMPUTED_VALUE"""),"Gabriela Canas, (904) 891-9743, Harris, Mark, Alex, Adam")</f>
        <v>Gabriela Canas, (904) 891-9743, Harris, Mark, Alex, Adam</v>
      </c>
      <c r="P309" t="str">
        <f ca="1">IFERROR(__xludf.DUMMYFUNCTION("""COMPUTED_VALUE"""),"Ches")</f>
        <v>Ches</v>
      </c>
      <c r="Q309" t="str">
        <f ca="1">IFERROR(__xludf.DUMMYFUNCTION("""COMPUTED_VALUE"""),"Good")</f>
        <v>Good</v>
      </c>
      <c r="R309" t="str">
        <f ca="1">IFERROR(__xludf.DUMMYFUNCTION("""COMPUTED_VALUE"""),"Good")</f>
        <v>Good</v>
      </c>
      <c r="S309" t="str">
        <f ca="1">IFERROR(__xludf.DUMMYFUNCTION("""COMPUTED_VALUE"""),"Good")</f>
        <v>Good</v>
      </c>
      <c r="T309" t="str">
        <f ca="1">IFERROR(__xludf.DUMMYFUNCTION("""COMPUTED_VALUE"""),"Good")</f>
        <v>Good</v>
      </c>
      <c r="U309" t="str">
        <f ca="1">IFERROR(__xludf.DUMMYFUNCTION("""COMPUTED_VALUE"""),"Good")</f>
        <v>Good</v>
      </c>
      <c r="V309" t="str">
        <f ca="1">IFERROR(__xludf.DUMMYFUNCTION("""COMPUTED_VALUE"""),"Good")</f>
        <v>Good</v>
      </c>
      <c r="W309" t="str">
        <f ca="1">IFERROR(__xludf.DUMMYFUNCTION("""COMPUTED_VALUE"""),"Good")</f>
        <v>Good</v>
      </c>
      <c r="X309" t="str">
        <f ca="1">IFERROR(__xludf.DUMMYFUNCTION("""COMPUTED_VALUE"""),"Good")</f>
        <v>Good</v>
      </c>
      <c r="Y309" t="str">
        <f ca="1">IFERROR(__xludf.DUMMYFUNCTION("""COMPUTED_VALUE"""),"Good")</f>
        <v>Good</v>
      </c>
      <c r="Z309" t="str">
        <f ca="1">IFERROR(__xludf.DUMMYFUNCTION("""COMPUTED_VALUE"""),"Good")</f>
        <v>Good</v>
      </c>
      <c r="AA309" t="str">
        <f ca="1">IFERROR(__xludf.DUMMYFUNCTION("""COMPUTED_VALUE"""),"Good")</f>
        <v>Good</v>
      </c>
      <c r="AB309" t="str">
        <f ca="1">IFERROR(__xludf.DUMMYFUNCTION("""COMPUTED_VALUE"""),"Good")</f>
        <v>Good</v>
      </c>
      <c r="AC309" t="str">
        <f ca="1">IFERROR(__xludf.DUMMYFUNCTION("""COMPUTED_VALUE"""),"Good")</f>
        <v>Good</v>
      </c>
      <c r="AE309" s="11"/>
      <c r="AF309" t="str">
        <v>Nikki.Dix@floridadep.gov</v>
      </c>
      <c r="AG309" s="17" t="s">
        <v>41</v>
      </c>
      <c r="AH309" s="12">
        <v>1613</v>
      </c>
      <c r="AI309" s="12" t="s">
        <v>874</v>
      </c>
      <c r="AJ309" s="19" t="s">
        <v>875</v>
      </c>
      <c r="AK309" s="20" t="str">
        <f>HYPERLINK("https://docs.google.com/document/d/1TGJKwqK7tl-baAbH_IHsAK1BxN4w_NGJpCrIFFEFTWI/edit?usp=drivesdk","Gabby Canas - 5/21/2019 8:45 AM")</f>
        <v>Gabby Canas - 5/21/2019 8:45 AM</v>
      </c>
      <c r="AL309" s="12" t="s">
        <v>876</v>
      </c>
    </row>
    <row r="310" spans="1:38" ht="12.75">
      <c r="A310" s="10">
        <f ca="1">IFERROR(__xludf.DUMMYFUNCTION("""COMPUTED_VALUE"""),43608.3005553819)</f>
        <v>43608.300555381902</v>
      </c>
      <c r="B310" s="11" t="str">
        <f ca="1">IFERROR(__xludf.DUMMYFUNCTION("""COMPUTED_VALUE"""),"Gabriela Canas")</f>
        <v>Gabriela Canas</v>
      </c>
      <c r="C310" t="str">
        <f ca="1">IFERROR(__xludf.DUMMYFUNCTION("""COMPUTED_VALUE"""),"gabriela.canas@dep.state.fl.us")</f>
        <v>gabriela.canas@dep.state.fl.us</v>
      </c>
      <c r="D310" t="str">
        <f ca="1">IFERROR(__xludf.DUMMYFUNCTION("""COMPUTED_VALUE"""),"Research/Nikki")</f>
        <v>Research/Nikki</v>
      </c>
      <c r="E310" t="str">
        <f ca="1">IFERROR(__xludf.DUMMYFUNCTION("""COMPUTED_VALUE"""),"Douglas crane")</f>
        <v>Douglas crane</v>
      </c>
      <c r="F310" s="13">
        <f ca="1">IFERROR(__xludf.DUMMYFUNCTION("""COMPUTED_VALUE"""),0.3125)</f>
        <v>0.3125</v>
      </c>
      <c r="G310" s="14">
        <f ca="1">IFERROR(__xludf.DUMMYFUNCTION("""COMPUTED_VALUE"""),43608)</f>
        <v>43608</v>
      </c>
      <c r="H310" t="str">
        <f ca="1">IFERROR(__xludf.DUMMYFUNCTION("""COMPUTED_VALUE"""),"Gabby creek")</f>
        <v>Gabby creek</v>
      </c>
      <c r="I310" s="15">
        <f ca="1">IFERROR(__xludf.DUMMYFUNCTION("""COMPUTED_VALUE"""),0.604166666667879)</f>
        <v>0.60416666666787899</v>
      </c>
      <c r="J310" s="16">
        <f ca="1">IFERROR(__xludf.DUMMYFUNCTION("""COMPUTED_VALUE"""),43608.6354166666)</f>
        <v>43608.635416666599</v>
      </c>
      <c r="K310" t="str">
        <f ca="1">IFERROR(__xludf.DUMMYFUNCTION("""COMPUTED_VALUE"""),"23ft Skiff (Bertha) FL7972LJ DEP07613")</f>
        <v>23ft Skiff (Bertha) FL7972LJ DEP07613</v>
      </c>
      <c r="M310" t="str">
        <f ca="1">IFERROR(__xludf.DUMMYFUNCTION("""COMPUTED_VALUE"""),"Ford F150 2015 (White) - DEP21448")</f>
        <v>Ford F150 2015 (White) - DEP21448</v>
      </c>
      <c r="N310" t="str">
        <f ca="1">IFERROR(__xludf.DUMMYFUNCTION("""COMPUTED_VALUE"""),"Matt Hayes")</f>
        <v>Matt Hayes</v>
      </c>
      <c r="O310" t="str">
        <f ca="1">IFERROR(__xludf.DUMMYFUNCTION("""COMPUTED_VALUE"""),"Gabriela Canas, (904) 891-9743")</f>
        <v>Gabriela Canas, (904) 891-9743</v>
      </c>
      <c r="P310" t="str">
        <f ca="1">IFERROR(__xludf.DUMMYFUNCTION("""COMPUTED_VALUE"""),"Matt Hayes")</f>
        <v>Matt Hayes</v>
      </c>
      <c r="Q310" t="str">
        <f ca="1">IFERROR(__xludf.DUMMYFUNCTION("""COMPUTED_VALUE"""),"Good")</f>
        <v>Good</v>
      </c>
      <c r="R310" t="str">
        <f ca="1">IFERROR(__xludf.DUMMYFUNCTION("""COMPUTED_VALUE"""),"Good")</f>
        <v>Good</v>
      </c>
      <c r="S310" t="str">
        <f ca="1">IFERROR(__xludf.DUMMYFUNCTION("""COMPUTED_VALUE"""),"Good")</f>
        <v>Good</v>
      </c>
      <c r="T310" t="str">
        <f ca="1">IFERROR(__xludf.DUMMYFUNCTION("""COMPUTED_VALUE"""),"Good")</f>
        <v>Good</v>
      </c>
      <c r="U310" t="str">
        <f ca="1">IFERROR(__xludf.DUMMYFUNCTION("""COMPUTED_VALUE"""),"Good")</f>
        <v>Good</v>
      </c>
      <c r="V310" t="str">
        <f ca="1">IFERROR(__xludf.DUMMYFUNCTION("""COMPUTED_VALUE"""),"Good")</f>
        <v>Good</v>
      </c>
      <c r="W310" t="str">
        <f ca="1">IFERROR(__xludf.DUMMYFUNCTION("""COMPUTED_VALUE"""),"Good")</f>
        <v>Good</v>
      </c>
      <c r="X310" t="str">
        <f ca="1">IFERROR(__xludf.DUMMYFUNCTION("""COMPUTED_VALUE"""),"Good")</f>
        <v>Good</v>
      </c>
      <c r="Y310" t="str">
        <f ca="1">IFERROR(__xludf.DUMMYFUNCTION("""COMPUTED_VALUE"""),"Good")</f>
        <v>Good</v>
      </c>
      <c r="Z310" t="str">
        <f ca="1">IFERROR(__xludf.DUMMYFUNCTION("""COMPUTED_VALUE"""),"Good")</f>
        <v>Good</v>
      </c>
      <c r="AA310" t="str">
        <f ca="1">IFERROR(__xludf.DUMMYFUNCTION("""COMPUTED_VALUE"""),"Good")</f>
        <v>Good</v>
      </c>
      <c r="AB310" t="str">
        <f ca="1">IFERROR(__xludf.DUMMYFUNCTION("""COMPUTED_VALUE"""),"Good")</f>
        <v>Good</v>
      </c>
      <c r="AC310" t="str">
        <f ca="1">IFERROR(__xludf.DUMMYFUNCTION("""COMPUTED_VALUE"""),"Good")</f>
        <v>Good</v>
      </c>
      <c r="AD310" t="str">
        <f ca="1">IFERROR(__xludf.DUMMYFUNCTION("""COMPUTED_VALUE"""),"Goos")</f>
        <v>Goos</v>
      </c>
      <c r="AE310" s="11" t="str">
        <f ca="1">IFERROR(__xludf.DUMMYFUNCTION("""COMPUTED_VALUE"""),"Good")</f>
        <v>Good</v>
      </c>
      <c r="AF310" t="str">
        <v>Nikki.Dix@floridadep.gov</v>
      </c>
      <c r="AG310" s="17" t="s">
        <v>58</v>
      </c>
      <c r="AH310" s="12">
        <v>1334</v>
      </c>
      <c r="AI310" s="12" t="s">
        <v>877</v>
      </c>
      <c r="AJ310" s="19" t="s">
        <v>878</v>
      </c>
      <c r="AK310" s="20" t="str">
        <f>HYPERLINK("https://docs.google.com/document/d/1AE-X1g5JwYwKIewk8HKwamVWj8F3gqOdlwE6ACEbgo8/edit?usp=drivesdk","Gabriela Canas - 5/23/2019 7:30 AM")</f>
        <v>Gabriela Canas - 5/23/2019 7:30 AM</v>
      </c>
      <c r="AL310" s="12" t="s">
        <v>879</v>
      </c>
    </row>
    <row r="311" spans="1:38" ht="12.75">
      <c r="A311" s="10">
        <f ca="1">IFERROR(__xludf.DUMMYFUNCTION("""COMPUTED_VALUE"""),43615.6975249884)</f>
        <v>43615.697524988398</v>
      </c>
      <c r="B311" s="11" t="str">
        <f ca="1">IFERROR(__xludf.DUMMYFUNCTION("""COMPUTED_VALUE"""),"Jimmy")</f>
        <v>Jimmy</v>
      </c>
      <c r="C311" t="str">
        <f ca="1">IFERROR(__xludf.DUMMYFUNCTION("""COMPUTED_VALUE"""),"james.tomazinis@floridadep.gov")</f>
        <v>james.tomazinis@floridadep.gov</v>
      </c>
      <c r="D311" t="str">
        <f ca="1">IFERROR(__xludf.DUMMYFUNCTION("""COMPUTED_VALUE"""),"Stewardship (Aquatic)")</f>
        <v>Stewardship (Aquatic)</v>
      </c>
      <c r="E311" t="str">
        <f ca="1">IFERROR(__xludf.DUMMYFUNCTION("""COMPUTED_VALUE"""),"Beach Blvd")</f>
        <v>Beach Blvd</v>
      </c>
      <c r="F311" s="13">
        <f ca="1">IFERROR(__xludf.DUMMYFUNCTION("""COMPUTED_VALUE"""),0.5625)</f>
        <v>0.5625</v>
      </c>
      <c r="G311" s="14">
        <f ca="1">IFERROR(__xludf.DUMMYFUNCTION("""COMPUTED_VALUE"""),43616)</f>
        <v>43616</v>
      </c>
      <c r="H311" t="str">
        <f ca="1">IFERROR(__xludf.DUMMYFUNCTION("""COMPUTED_VALUE"""),"Pablo and Sisters Creek")</f>
        <v>Pablo and Sisters Creek</v>
      </c>
      <c r="I311" s="15">
        <f ca="1">IFERROR(__xludf.DUMMYFUNCTION("""COMPUTED_VALUE"""),0.75)</f>
        <v>0.75</v>
      </c>
      <c r="J311" s="16"/>
      <c r="K311" t="str">
        <f ca="1">IFERROR(__xludf.DUMMYFUNCTION("""COMPUTED_VALUE"""),"23ft Skiff (Bertha) FL7972LJ DEP07613")</f>
        <v>23ft Skiff (Bertha) FL7972LJ DEP07613</v>
      </c>
      <c r="M311" t="str">
        <f ca="1">IFERROR(__xludf.DUMMYFUNCTION("""COMPUTED_VALUE"""),"Ford F250 2017 (Moby Dix) - DEP0021578")</f>
        <v>Ford F250 2017 (Moby Dix) - DEP0021578</v>
      </c>
      <c r="N311" t="str">
        <f ca="1">IFERROR(__xludf.DUMMYFUNCTION("""COMPUTED_VALUE"""),"Jimmy Tomazinis, (904) 547-0094")</f>
        <v>Jimmy Tomazinis, (904) 547-0094</v>
      </c>
      <c r="O311" t="str">
        <f ca="1">IFERROR(__xludf.DUMMYFUNCTION("""COMPUTED_VALUE"""),"Kelly Smith, Craig Hargis, Chris Kurtz")</f>
        <v>Kelly Smith, Craig Hargis, Chris Kurtz</v>
      </c>
      <c r="P311" t="str">
        <f ca="1">IFERROR(__xludf.DUMMYFUNCTION("""COMPUTED_VALUE"""),"Jimmy")</f>
        <v>Jimmy</v>
      </c>
      <c r="Q311" t="str">
        <f ca="1">IFERROR(__xludf.DUMMYFUNCTION("""COMPUTED_VALUE"""),"Good")</f>
        <v>Good</v>
      </c>
      <c r="R311" t="str">
        <f ca="1">IFERROR(__xludf.DUMMYFUNCTION("""COMPUTED_VALUE"""),"Good")</f>
        <v>Good</v>
      </c>
      <c r="S311" t="str">
        <f ca="1">IFERROR(__xludf.DUMMYFUNCTION("""COMPUTED_VALUE"""),"Good")</f>
        <v>Good</v>
      </c>
      <c r="T311" t="str">
        <f ca="1">IFERROR(__xludf.DUMMYFUNCTION("""COMPUTED_VALUE"""),"Good")</f>
        <v>Good</v>
      </c>
      <c r="U311" t="str">
        <f ca="1">IFERROR(__xludf.DUMMYFUNCTION("""COMPUTED_VALUE"""),"Good")</f>
        <v>Good</v>
      </c>
      <c r="V311" t="str">
        <f ca="1">IFERROR(__xludf.DUMMYFUNCTION("""COMPUTED_VALUE"""),"Good")</f>
        <v>Good</v>
      </c>
      <c r="W311" t="str">
        <f ca="1">IFERROR(__xludf.DUMMYFUNCTION("""COMPUTED_VALUE"""),"Good")</f>
        <v>Good</v>
      </c>
      <c r="X311" t="str">
        <f ca="1">IFERROR(__xludf.DUMMYFUNCTION("""COMPUTED_VALUE"""),"Good")</f>
        <v>Good</v>
      </c>
      <c r="Y311" t="str">
        <f ca="1">IFERROR(__xludf.DUMMYFUNCTION("""COMPUTED_VALUE"""),"Good")</f>
        <v>Good</v>
      </c>
      <c r="Z311" t="str">
        <f ca="1">IFERROR(__xludf.DUMMYFUNCTION("""COMPUTED_VALUE"""),"Good")</f>
        <v>Good</v>
      </c>
      <c r="AA311" t="str">
        <f ca="1">IFERROR(__xludf.DUMMYFUNCTION("""COMPUTED_VALUE"""),"Good")</f>
        <v>Good</v>
      </c>
      <c r="AB311" t="str">
        <f ca="1">IFERROR(__xludf.DUMMYFUNCTION("""COMPUTED_VALUE"""),"Good")</f>
        <v>Good</v>
      </c>
      <c r="AC311" t="str">
        <f ca="1">IFERROR(__xludf.DUMMYFUNCTION("""COMPUTED_VALUE"""),"Good")</f>
        <v>Good</v>
      </c>
      <c r="AE311" s="11"/>
      <c r="AF311" t="str">
        <v>Scott.Eastman@floridadep.gov</v>
      </c>
      <c r="AG311" s="17" t="s">
        <v>846</v>
      </c>
      <c r="AH311" s="12">
        <v>1800</v>
      </c>
      <c r="AI311" s="12" t="s">
        <v>880</v>
      </c>
      <c r="AJ311" s="19" t="s">
        <v>881</v>
      </c>
      <c r="AK311" s="20" t="str">
        <f>HYPERLINK("https://docs.google.com/document/d/1dCEu2hsgN4CNpOXcvJv99aq_Gid7YoqeBDIpSpkQ4nU/edit?usp=drivesdk","Jimmy - 5/31/2019 1:30 PM")</f>
        <v>Jimmy - 5/31/2019 1:30 PM</v>
      </c>
      <c r="AL311" s="12" t="s">
        <v>882</v>
      </c>
    </row>
    <row r="312" spans="1:38" ht="12.75">
      <c r="A312" s="10">
        <f ca="1">IFERROR(__xludf.DUMMYFUNCTION("""COMPUTED_VALUE"""),43616.3781636921)</f>
        <v>43616.378163692098</v>
      </c>
      <c r="B312" s="11" t="str">
        <f ca="1">IFERROR(__xludf.DUMMYFUNCTION("""COMPUTED_VALUE"""),"Pamela Marcum")</f>
        <v>Pamela Marcum</v>
      </c>
      <c r="C312" t="str">
        <f ca="1">IFERROR(__xludf.DUMMYFUNCTION("""COMPUTED_VALUE"""),"Pamela.Marcum@dep.state.fl.us")</f>
        <v>Pamela.Marcum@dep.state.fl.us</v>
      </c>
      <c r="D312" t="str">
        <f ca="1">IFERROR(__xludf.DUMMYFUNCTION("""COMPUTED_VALUE"""),"Research/Nikki")</f>
        <v>Research/Nikki</v>
      </c>
      <c r="E312" t="str">
        <f ca="1">IFERROR(__xludf.DUMMYFUNCTION("""COMPUTED_VALUE"""),"Lighthouse, Shore Dr, Green Rd")</f>
        <v>Lighthouse, Shore Dr, Green Rd</v>
      </c>
      <c r="F312" s="13">
        <f ca="1">IFERROR(__xludf.DUMMYFUNCTION("""COMPUTED_VALUE"""),0.416666666667879)</f>
        <v>0.41666666666787899</v>
      </c>
      <c r="G312" s="14">
        <f ca="1">IFERROR(__xludf.DUMMYFUNCTION("""COMPUTED_VALUE"""),43616)</f>
        <v>43616</v>
      </c>
      <c r="H312" t="str">
        <f ca="1">IFERROR(__xludf.DUMMYFUNCTION("""COMPUTED_VALUE"""),"Spat Trees")</f>
        <v>Spat Trees</v>
      </c>
      <c r="I312" s="15">
        <f ca="1">IFERROR(__xludf.DUMMYFUNCTION("""COMPUTED_VALUE"""),0.541666666667879)</f>
        <v>0.54166666666787899</v>
      </c>
      <c r="J312" s="16">
        <f ca="1">IFERROR(__xludf.DUMMYFUNCTION("""COMPUTED_VALUE"""),43616.7083333333)</f>
        <v>43616.708333333299</v>
      </c>
      <c r="K312" t="str">
        <f ca="1">IFERROR(__xludf.DUMMYFUNCTION("""COMPUTED_VALUE"""),"20ft Sea Ark FL5351SJ UNF 2015")</f>
        <v>20ft Sea Ark FL5351SJ UNF 2015</v>
      </c>
      <c r="M312" t="str">
        <f ca="1">IFERROR(__xludf.DUMMYFUNCTION("""COMPUTED_VALUE"""),"Ford F150 2008 - DEP18041 (SWMP Thing)")</f>
        <v>Ford F150 2008 - DEP18041 (SWMP Thing)</v>
      </c>
      <c r="N312" t="str">
        <f ca="1">IFERROR(__xludf.DUMMYFUNCTION("""COMPUTED_VALUE"""),"Pam Marcum, (480) 332-5414")</f>
        <v>Pam Marcum, (480) 332-5414</v>
      </c>
      <c r="O312" t="str">
        <f ca="1">IFERROR(__xludf.DUMMYFUNCTION("""COMPUTED_VALUE"""),"Alee Knoell")</f>
        <v>Alee Knoell</v>
      </c>
      <c r="P312" t="str">
        <f ca="1">IFERROR(__xludf.DUMMYFUNCTION("""COMPUTED_VALUE"""),"Pam")</f>
        <v>Pam</v>
      </c>
      <c r="Q312" t="str">
        <f ca="1">IFERROR(__xludf.DUMMYFUNCTION("""COMPUTED_VALUE"""),"Good")</f>
        <v>Good</v>
      </c>
      <c r="R312" t="str">
        <f ca="1">IFERROR(__xludf.DUMMYFUNCTION("""COMPUTED_VALUE"""),"Good")</f>
        <v>Good</v>
      </c>
      <c r="S312" t="str">
        <f ca="1">IFERROR(__xludf.DUMMYFUNCTION("""COMPUTED_VALUE"""),"Good")</f>
        <v>Good</v>
      </c>
      <c r="T312" t="str">
        <f ca="1">IFERROR(__xludf.DUMMYFUNCTION("""COMPUTED_VALUE"""),"Good")</f>
        <v>Good</v>
      </c>
      <c r="U312" t="str">
        <f ca="1">IFERROR(__xludf.DUMMYFUNCTION("""COMPUTED_VALUE"""),"Good")</f>
        <v>Good</v>
      </c>
      <c r="V312" t="str">
        <f ca="1">IFERROR(__xludf.DUMMYFUNCTION("""COMPUTED_VALUE"""),"Good")</f>
        <v>Good</v>
      </c>
      <c r="W312" t="str">
        <f ca="1">IFERROR(__xludf.DUMMYFUNCTION("""COMPUTED_VALUE"""),"Good")</f>
        <v>Good</v>
      </c>
      <c r="X312" t="str">
        <f ca="1">IFERROR(__xludf.DUMMYFUNCTION("""COMPUTED_VALUE"""),"Good")</f>
        <v>Good</v>
      </c>
      <c r="Y312" t="str">
        <f ca="1">IFERROR(__xludf.DUMMYFUNCTION("""COMPUTED_VALUE"""),"Good")</f>
        <v>Good</v>
      </c>
      <c r="Z312" t="str">
        <f ca="1">IFERROR(__xludf.DUMMYFUNCTION("""COMPUTED_VALUE"""),"Good")</f>
        <v>Good</v>
      </c>
      <c r="AA312" t="str">
        <f ca="1">IFERROR(__xludf.DUMMYFUNCTION("""COMPUTED_VALUE"""),"Good")</f>
        <v>Good</v>
      </c>
      <c r="AB312" t="str">
        <f ca="1">IFERROR(__xludf.DUMMYFUNCTION("""COMPUTED_VALUE"""),"Good")</f>
        <v>Good</v>
      </c>
      <c r="AC312" t="str">
        <f ca="1">IFERROR(__xludf.DUMMYFUNCTION("""COMPUTED_VALUE"""),"Good")</f>
        <v>Good</v>
      </c>
      <c r="AE312" s="11"/>
      <c r="AF312" t="str">
        <v>Nikki.Dix@floridadep.gov</v>
      </c>
      <c r="AG312" s="17" t="s">
        <v>58</v>
      </c>
      <c r="AH312" s="12">
        <v>1409</v>
      </c>
      <c r="AI312" s="12" t="s">
        <v>883</v>
      </c>
      <c r="AJ312" s="19" t="s">
        <v>884</v>
      </c>
      <c r="AK312" s="20" t="str">
        <f>HYPERLINK("https://docs.google.com/document/d/1Nk9n5eyGbsbIoXNmGFa0tJ56gRlGDnbkMU66Pzi_7zQ/edit?usp=drivesdk","Pamela Marcum - 5/31/2019 10:00 AM")</f>
        <v>Pamela Marcum - 5/31/2019 10:00 AM</v>
      </c>
      <c r="AL312" s="12" t="s">
        <v>885</v>
      </c>
    </row>
    <row r="313" spans="1:38" ht="12.75">
      <c r="A313" s="10">
        <f ca="1">IFERROR(__xludf.DUMMYFUNCTION("""COMPUTED_VALUE"""),43616.3794494907)</f>
        <v>43616.379449490698</v>
      </c>
      <c r="B313" s="11" t="str">
        <f ca="1">IFERROR(__xludf.DUMMYFUNCTION("""COMPUTED_VALUE"""),"Pamela Marcum")</f>
        <v>Pamela Marcum</v>
      </c>
      <c r="C313" t="str">
        <f ca="1">IFERROR(__xludf.DUMMYFUNCTION("""COMPUTED_VALUE"""),"Pamela.Marcum@dep.state.fl.us")</f>
        <v>Pamela.Marcum@dep.state.fl.us</v>
      </c>
      <c r="D313" t="str">
        <f ca="1">IFERROR(__xludf.DUMMYFUNCTION("""COMPUTED_VALUE"""),"Research/Nikki")</f>
        <v>Research/Nikki</v>
      </c>
      <c r="E313" t="str">
        <f ca="1">IFERROR(__xludf.DUMMYFUNCTION("""COMPUTED_VALUE"""),"Aunt Kate's")</f>
        <v>Aunt Kate's</v>
      </c>
      <c r="F313" s="13">
        <f ca="1">IFERROR(__xludf.DUMMYFUNCTION("""COMPUTED_VALUE"""),0.58333333333212)</f>
        <v>0.58333333333212001</v>
      </c>
      <c r="G313" s="14">
        <f ca="1">IFERROR(__xludf.DUMMYFUNCTION("""COMPUTED_VALUE"""),43616)</f>
        <v>43616</v>
      </c>
      <c r="H313" t="str">
        <f ca="1">IFERROR(__xludf.DUMMYFUNCTION("""COMPUTED_VALUE"""),"Guana/Tolomato")</f>
        <v>Guana/Tolomato</v>
      </c>
      <c r="I313" s="15">
        <f ca="1">IFERROR(__xludf.DUMMYFUNCTION("""COMPUTED_VALUE"""),0.70833333333212)</f>
        <v>0.70833333333212001</v>
      </c>
      <c r="J313" s="16">
        <f ca="1">IFERROR(__xludf.DUMMYFUNCTION("""COMPUTED_VALUE"""),43616.7291666666)</f>
        <v>43616.729166666599</v>
      </c>
      <c r="K313" t="str">
        <f ca="1">IFERROR(__xludf.DUMMYFUNCTION("""COMPUTED_VALUE"""),"20ft Sea Ark FL5351SJ UNF 2015")</f>
        <v>20ft Sea Ark FL5351SJ UNF 2015</v>
      </c>
      <c r="M313" t="str">
        <f ca="1">IFERROR(__xludf.DUMMYFUNCTION("""COMPUTED_VALUE"""),"Ford F150 2008 - DEP18041 (SWMP Thing)")</f>
        <v>Ford F150 2008 - DEP18041 (SWMP Thing)</v>
      </c>
      <c r="N313" t="str">
        <f ca="1">IFERROR(__xludf.DUMMYFUNCTION("""COMPUTED_VALUE"""),"Pam Marcum, (480) 332-5414")</f>
        <v>Pam Marcum, (480) 332-5414</v>
      </c>
      <c r="O313" t="str">
        <f ca="1">IFERROR(__xludf.DUMMYFUNCTION("""COMPUTED_VALUE"""),"Alee Knoell, Adrienne Breef-Pilz, Allison Noble")</f>
        <v>Alee Knoell, Adrienne Breef-Pilz, Allison Noble</v>
      </c>
      <c r="P313" t="str">
        <f ca="1">IFERROR(__xludf.DUMMYFUNCTION("""COMPUTED_VALUE"""),"Pam")</f>
        <v>Pam</v>
      </c>
      <c r="Q313" t="str">
        <f ca="1">IFERROR(__xludf.DUMMYFUNCTION("""COMPUTED_VALUE"""),"Good")</f>
        <v>Good</v>
      </c>
      <c r="R313" t="str">
        <f ca="1">IFERROR(__xludf.DUMMYFUNCTION("""COMPUTED_VALUE"""),"Good")</f>
        <v>Good</v>
      </c>
      <c r="S313" t="str">
        <f ca="1">IFERROR(__xludf.DUMMYFUNCTION("""COMPUTED_VALUE"""),"Good")</f>
        <v>Good</v>
      </c>
      <c r="T313" t="str">
        <f ca="1">IFERROR(__xludf.DUMMYFUNCTION("""COMPUTED_VALUE"""),"Good")</f>
        <v>Good</v>
      </c>
      <c r="U313" t="str">
        <f ca="1">IFERROR(__xludf.DUMMYFUNCTION("""COMPUTED_VALUE"""),"Good")</f>
        <v>Good</v>
      </c>
      <c r="V313" t="str">
        <f ca="1">IFERROR(__xludf.DUMMYFUNCTION("""COMPUTED_VALUE"""),"Good")</f>
        <v>Good</v>
      </c>
      <c r="W313" t="str">
        <f ca="1">IFERROR(__xludf.DUMMYFUNCTION("""COMPUTED_VALUE"""),"Good")</f>
        <v>Good</v>
      </c>
      <c r="X313" t="str">
        <f ca="1">IFERROR(__xludf.DUMMYFUNCTION("""COMPUTED_VALUE"""),"Good")</f>
        <v>Good</v>
      </c>
      <c r="Y313" t="str">
        <f ca="1">IFERROR(__xludf.DUMMYFUNCTION("""COMPUTED_VALUE"""),"Good")</f>
        <v>Good</v>
      </c>
      <c r="Z313" t="str">
        <f ca="1">IFERROR(__xludf.DUMMYFUNCTION("""COMPUTED_VALUE"""),"Good")</f>
        <v>Good</v>
      </c>
      <c r="AA313" t="str">
        <f ca="1">IFERROR(__xludf.DUMMYFUNCTION("""COMPUTED_VALUE"""),"Good")</f>
        <v>Good</v>
      </c>
      <c r="AB313" t="str">
        <f ca="1">IFERROR(__xludf.DUMMYFUNCTION("""COMPUTED_VALUE"""),"Good")</f>
        <v>Good</v>
      </c>
      <c r="AC313" t="str">
        <f ca="1">IFERROR(__xludf.DUMMYFUNCTION("""COMPUTED_VALUE"""),"Good")</f>
        <v>Good</v>
      </c>
      <c r="AE313" s="11"/>
      <c r="AF313" t="str">
        <v>Nikki.Dix@floridadep.gov</v>
      </c>
      <c r="AG313" s="17" t="s">
        <v>41</v>
      </c>
      <c r="AH313" s="12">
        <v>1736</v>
      </c>
      <c r="AI313" s="12" t="s">
        <v>886</v>
      </c>
      <c r="AJ313" s="19" t="s">
        <v>887</v>
      </c>
      <c r="AK313" s="20" t="str">
        <f>HYPERLINK("https://docs.google.com/document/d/1pj9crTN-CZHYzkL4JhT9dLlzLTPl3Fqv8RKEmTo6R1g/edit?usp=drivesdk","Pamela Marcum - 5/31/2019 2:00 PM")</f>
        <v>Pamela Marcum - 5/31/2019 2:00 PM</v>
      </c>
      <c r="AL313" s="12" t="s">
        <v>888</v>
      </c>
    </row>
    <row r="314" spans="1:38" ht="12.75">
      <c r="A314" s="10">
        <f ca="1">IFERROR(__xludf.DUMMYFUNCTION("""COMPUTED_VALUE"""),43619.3785992824)</f>
        <v>43619.378599282398</v>
      </c>
      <c r="B314" s="11" t="str">
        <f ca="1">IFERROR(__xludf.DUMMYFUNCTION("""COMPUTED_VALUE"""),"Jimmy")</f>
        <v>Jimmy</v>
      </c>
      <c r="C314" t="str">
        <f ca="1">IFERROR(__xludf.DUMMYFUNCTION("""COMPUTED_VALUE"""),"james.tomazinis@floridadep.gov")</f>
        <v>james.tomazinis@floridadep.gov</v>
      </c>
      <c r="D314" t="str">
        <f ca="1">IFERROR(__xludf.DUMMYFUNCTION("""COMPUTED_VALUE"""),"Stewardship (Aquatic)")</f>
        <v>Stewardship (Aquatic)</v>
      </c>
      <c r="E314" t="str">
        <f ca="1">IFERROR(__xludf.DUMMYFUNCTION("""COMPUTED_VALUE"""),"Guana Dam")</f>
        <v>Guana Dam</v>
      </c>
      <c r="F314" s="13">
        <f ca="1">IFERROR(__xludf.DUMMYFUNCTION("""COMPUTED_VALUE"""),0.42708333333212)</f>
        <v>0.42708333333212001</v>
      </c>
      <c r="G314" s="14">
        <f ca="1">IFERROR(__xludf.DUMMYFUNCTION("""COMPUTED_VALUE"""),43619)</f>
        <v>43619</v>
      </c>
      <c r="H314" t="str">
        <f ca="1">IFERROR(__xludf.DUMMYFUNCTION("""COMPUTED_VALUE"""),"Guana River WQ sites")</f>
        <v>Guana River WQ sites</v>
      </c>
      <c r="I314" s="15">
        <f ca="1">IFERROR(__xludf.DUMMYFUNCTION("""COMPUTED_VALUE"""),0.479166666667879)</f>
        <v>0.47916666666787899</v>
      </c>
      <c r="J314" s="16"/>
      <c r="K314" t="str">
        <f ca="1">IFERROR(__xludf.DUMMYFUNCTION("""COMPUTED_VALUE"""),"Jon Boat FL0484NP DEP06819")</f>
        <v>Jon Boat FL0484NP DEP06819</v>
      </c>
      <c r="M314" t="str">
        <f ca="1">IFERROR(__xludf.DUMMYFUNCTION("""COMPUTED_VALUE"""),"Ford F150 2015 (White) - DEP21448")</f>
        <v>Ford F150 2015 (White) - DEP21448</v>
      </c>
      <c r="N314" t="str">
        <f ca="1">IFERROR(__xludf.DUMMYFUNCTION("""COMPUTED_VALUE"""),"Jimmy Tomazinis, (904) 547-0094")</f>
        <v>Jimmy Tomazinis, (904) 547-0094</v>
      </c>
      <c r="O314" t="str">
        <f ca="1">IFERROR(__xludf.DUMMYFUNCTION("""COMPUTED_VALUE"""),"Chris Kurtz")</f>
        <v>Chris Kurtz</v>
      </c>
      <c r="P314" t="str">
        <f ca="1">IFERROR(__xludf.DUMMYFUNCTION("""COMPUTED_VALUE"""),"Jimmy")</f>
        <v>Jimmy</v>
      </c>
      <c r="Q314" t="str">
        <f ca="1">IFERROR(__xludf.DUMMYFUNCTION("""COMPUTED_VALUE"""),"Good")</f>
        <v>Good</v>
      </c>
      <c r="R314" t="str">
        <f ca="1">IFERROR(__xludf.DUMMYFUNCTION("""COMPUTED_VALUE"""),"Good")</f>
        <v>Good</v>
      </c>
      <c r="S314" t="str">
        <f ca="1">IFERROR(__xludf.DUMMYFUNCTION("""COMPUTED_VALUE"""),"Good")</f>
        <v>Good</v>
      </c>
      <c r="T314" t="str">
        <f ca="1">IFERROR(__xludf.DUMMYFUNCTION("""COMPUTED_VALUE"""),"Good")</f>
        <v>Good</v>
      </c>
      <c r="U314" t="str">
        <f ca="1">IFERROR(__xludf.DUMMYFUNCTION("""COMPUTED_VALUE"""),"Good")</f>
        <v>Good</v>
      </c>
      <c r="V314" t="str">
        <f ca="1">IFERROR(__xludf.DUMMYFUNCTION("""COMPUTED_VALUE"""),"Good")</f>
        <v>Good</v>
      </c>
      <c r="W314" t="str">
        <f ca="1">IFERROR(__xludf.DUMMYFUNCTION("""COMPUTED_VALUE"""),"Good")</f>
        <v>Good</v>
      </c>
      <c r="X314" t="str">
        <f ca="1">IFERROR(__xludf.DUMMYFUNCTION("""COMPUTED_VALUE"""),"Good")</f>
        <v>Good</v>
      </c>
      <c r="Y314" t="str">
        <f ca="1">IFERROR(__xludf.DUMMYFUNCTION("""COMPUTED_VALUE"""),"Good")</f>
        <v>Good</v>
      </c>
      <c r="Z314" t="str">
        <f ca="1">IFERROR(__xludf.DUMMYFUNCTION("""COMPUTED_VALUE"""),"Good")</f>
        <v>Good</v>
      </c>
      <c r="AA314" t="str">
        <f ca="1">IFERROR(__xludf.DUMMYFUNCTION("""COMPUTED_VALUE"""),"Good")</f>
        <v>Good</v>
      </c>
      <c r="AB314" t="str">
        <f ca="1">IFERROR(__xludf.DUMMYFUNCTION("""COMPUTED_VALUE"""),"Good")</f>
        <v>Good</v>
      </c>
      <c r="AC314" t="str">
        <f ca="1">IFERROR(__xludf.DUMMYFUNCTION("""COMPUTED_VALUE"""),"Good")</f>
        <v>Good</v>
      </c>
      <c r="AE314" s="11"/>
      <c r="AF314" t="str">
        <v>Scott.Eastman@floridadep.gov</v>
      </c>
      <c r="AG314" s="18"/>
      <c r="AI314" s="12" t="s">
        <v>889</v>
      </c>
      <c r="AJ314" s="19" t="s">
        <v>890</v>
      </c>
      <c r="AK314" s="20" t="str">
        <f>HYPERLINK("https://docs.google.com/document/d/14h26rC8fooKg2LUPrRqgDafgqZqTt7bXcBEoYTV6AwQ/edit?usp=drivesdk","Jimmy - 6/3/2019 10:15 AM")</f>
        <v>Jimmy - 6/3/2019 10:15 AM</v>
      </c>
      <c r="AL314" s="12" t="s">
        <v>891</v>
      </c>
    </row>
    <row r="315" spans="1:38" ht="12.75">
      <c r="A315" s="10">
        <f ca="1">IFERROR(__xludf.DUMMYFUNCTION("""COMPUTED_VALUE"""),43620.3746903819)</f>
        <v>43620.374690381897</v>
      </c>
      <c r="B315" s="11" t="str">
        <f ca="1">IFERROR(__xludf.DUMMYFUNCTION("""COMPUTED_VALUE"""),"Silas Tanner")</f>
        <v>Silas Tanner</v>
      </c>
      <c r="C315" t="str">
        <f ca="1">IFERROR(__xludf.DUMMYFUNCTION("""COMPUTED_VALUE"""),"silas.tanner@floridadep.gov")</f>
        <v>silas.tanner@floridadep.gov</v>
      </c>
      <c r="D315" t="str">
        <f ca="1">IFERROR(__xludf.DUMMYFUNCTION("""COMPUTED_VALUE"""),"Research/Nikki")</f>
        <v>Research/Nikki</v>
      </c>
      <c r="E315" t="str">
        <f ca="1">IFERROR(__xludf.DUMMYFUNCTION("""COMPUTED_VALUE"""),"Vilano Landing")</f>
        <v>Vilano Landing</v>
      </c>
      <c r="F315" s="13">
        <f ca="1">IFERROR(__xludf.DUMMYFUNCTION("""COMPUTED_VALUE"""),0.39583333333212)</f>
        <v>0.39583333333212001</v>
      </c>
      <c r="G315" s="14">
        <f ca="1">IFERROR(__xludf.DUMMYFUNCTION("""COMPUTED_VALUE"""),43620)</f>
        <v>43620</v>
      </c>
      <c r="H315" t="str">
        <f ca="1">IFERROR(__xludf.DUMMYFUNCTION("""COMPUTED_VALUE"""),"ICW SWMP sites")</f>
        <v>ICW SWMP sites</v>
      </c>
      <c r="I315" s="15">
        <f ca="1">IFERROR(__xludf.DUMMYFUNCTION("""COMPUTED_VALUE"""),0.604166666667879)</f>
        <v>0.60416666666787899</v>
      </c>
      <c r="J315" s="16">
        <f ca="1">IFERROR(__xludf.DUMMYFUNCTION("""COMPUTED_VALUE"""),43620.1145833333)</f>
        <v>43620.114583333299</v>
      </c>
      <c r="K315" t="str">
        <f ca="1">IFERROR(__xludf.DUMMYFUNCTION("""COMPUTED_VALUE"""),"23ft Skiff (Bertha) FL7972LJ DEP07613")</f>
        <v>23ft Skiff (Bertha) FL7972LJ DEP07613</v>
      </c>
      <c r="M315" t="str">
        <f ca="1">IFERROR(__xludf.DUMMYFUNCTION("""COMPUTED_VALUE"""),"Ford F150 2015 (White) - DEP21448")</f>
        <v>Ford F150 2015 (White) - DEP21448</v>
      </c>
      <c r="N315" t="str">
        <f ca="1">IFERROR(__xludf.DUMMYFUNCTION("""COMPUTED_VALUE"""),"Silas Tanner, (904) 483-8423")</f>
        <v>Silas Tanner, (904) 483-8423</v>
      </c>
      <c r="O315" t="str">
        <f ca="1">IFERROR(__xludf.DUMMYFUNCTION("""COMPUTED_VALUE"""),"Molly Dent, Chris Kirk, Alie Knolles")</f>
        <v>Molly Dent, Chris Kirk, Alie Knolles</v>
      </c>
      <c r="P315" t="str">
        <f ca="1">IFERROR(__xludf.DUMMYFUNCTION("""COMPUTED_VALUE"""),"S. Tanner")</f>
        <v>S. Tanner</v>
      </c>
      <c r="Q315" t="str">
        <f ca="1">IFERROR(__xludf.DUMMYFUNCTION("""COMPUTED_VALUE"""),"Good")</f>
        <v>Good</v>
      </c>
      <c r="R315" t="str">
        <f ca="1">IFERROR(__xludf.DUMMYFUNCTION("""COMPUTED_VALUE"""),"Good")</f>
        <v>Good</v>
      </c>
      <c r="S315" t="str">
        <f ca="1">IFERROR(__xludf.DUMMYFUNCTION("""COMPUTED_VALUE"""),"Good")</f>
        <v>Good</v>
      </c>
      <c r="T315" t="str">
        <f ca="1">IFERROR(__xludf.DUMMYFUNCTION("""COMPUTED_VALUE"""),"Good")</f>
        <v>Good</v>
      </c>
      <c r="U315" t="str">
        <f ca="1">IFERROR(__xludf.DUMMYFUNCTION("""COMPUTED_VALUE"""),"Good")</f>
        <v>Good</v>
      </c>
      <c r="V315" t="str">
        <f ca="1">IFERROR(__xludf.DUMMYFUNCTION("""COMPUTED_VALUE"""),"Good")</f>
        <v>Good</v>
      </c>
      <c r="W315" t="str">
        <f ca="1">IFERROR(__xludf.DUMMYFUNCTION("""COMPUTED_VALUE"""),"Good")</f>
        <v>Good</v>
      </c>
      <c r="X315" t="str">
        <f ca="1">IFERROR(__xludf.DUMMYFUNCTION("""COMPUTED_VALUE"""),"Good")</f>
        <v>Good</v>
      </c>
      <c r="Y315" t="str">
        <f ca="1">IFERROR(__xludf.DUMMYFUNCTION("""COMPUTED_VALUE"""),"Good")</f>
        <v>Good</v>
      </c>
      <c r="Z315" t="str">
        <f ca="1">IFERROR(__xludf.DUMMYFUNCTION("""COMPUTED_VALUE"""),"Good")</f>
        <v>Good</v>
      </c>
      <c r="AA315" t="str">
        <f ca="1">IFERROR(__xludf.DUMMYFUNCTION("""COMPUTED_VALUE"""),"Good")</f>
        <v>Good</v>
      </c>
      <c r="AB315" t="str">
        <f ca="1">IFERROR(__xludf.DUMMYFUNCTION("""COMPUTED_VALUE"""),"Good")</f>
        <v>Good</v>
      </c>
      <c r="AC315" t="str">
        <f ca="1">IFERROR(__xludf.DUMMYFUNCTION("""COMPUTED_VALUE"""),"Good")</f>
        <v>Good</v>
      </c>
      <c r="AE315" s="11"/>
      <c r="AF315" t="str">
        <v>Nikki.Dix@floridadep.gov</v>
      </c>
      <c r="AG315" s="17" t="s">
        <v>58</v>
      </c>
      <c r="AH315" s="12">
        <v>1425</v>
      </c>
      <c r="AI315" s="12" t="s">
        <v>892</v>
      </c>
      <c r="AJ315" s="19" t="s">
        <v>893</v>
      </c>
      <c r="AK315" s="20" t="str">
        <f>HYPERLINK("https://docs.google.com/document/d/1vYPfTu_pYzTS1kX81IUb2Yn5ePGYoFRClmcO458xK2w/edit?usp=drivesdk","Silas Tanner - 6/4/2019 9:30 AM")</f>
        <v>Silas Tanner - 6/4/2019 9:30 AM</v>
      </c>
      <c r="AL315" s="12" t="s">
        <v>894</v>
      </c>
    </row>
    <row r="316" spans="1:38" ht="12.75">
      <c r="A316" s="10">
        <f ca="1">IFERROR(__xludf.DUMMYFUNCTION("""COMPUTED_VALUE"""),43621.6039351851)</f>
        <v>43621.6039351851</v>
      </c>
      <c r="B316" s="11" t="str">
        <f ca="1">IFERROR(__xludf.DUMMYFUNCTION("""COMPUTED_VALUE"""),"Pam Marcum")</f>
        <v>Pam Marcum</v>
      </c>
      <c r="C316" t="str">
        <f ca="1">IFERROR(__xludf.DUMMYFUNCTION("""COMPUTED_VALUE"""),"Pamela.Marcum@Dep.state.fl.us")</f>
        <v>Pamela.Marcum@Dep.state.fl.us</v>
      </c>
      <c r="D316" t="str">
        <f ca="1">IFERROR(__xludf.DUMMYFUNCTION("""COMPUTED_VALUE"""),"Research/Nikki")</f>
        <v>Research/Nikki</v>
      </c>
      <c r="E316" t="str">
        <f ca="1">IFERROR(__xludf.DUMMYFUNCTION("""COMPUTED_VALUE"""),"Aunt Kate's")</f>
        <v>Aunt Kate's</v>
      </c>
      <c r="F316" s="13">
        <f ca="1">IFERROR(__xludf.DUMMYFUNCTION("""COMPUTED_VALUE"""),0.625)</f>
        <v>0.625</v>
      </c>
      <c r="G316" s="14">
        <f ca="1">IFERROR(__xludf.DUMMYFUNCTION("""COMPUTED_VALUE"""),43621)</f>
        <v>43621</v>
      </c>
      <c r="H316" t="str">
        <f ca="1">IFERROR(__xludf.DUMMYFUNCTION("""COMPUTED_VALUE"""),"Guana River and Pine Island")</f>
        <v>Guana River and Pine Island</v>
      </c>
      <c r="I316" s="15">
        <f ca="1">IFERROR(__xludf.DUMMYFUNCTION("""COMPUTED_VALUE"""),0.791666666667879)</f>
        <v>0.79166666666787899</v>
      </c>
      <c r="J316" s="16">
        <f ca="1">IFERROR(__xludf.DUMMYFUNCTION("""COMPUTED_VALUE"""),43621.8125)</f>
        <v>43621.8125</v>
      </c>
      <c r="K316" t="str">
        <f ca="1">IFERROR(__xludf.DUMMYFUNCTION("""COMPUTED_VALUE"""),"20ft Sea Ark FL5351SJ UNF 2015")</f>
        <v>20ft Sea Ark FL5351SJ UNF 2015</v>
      </c>
      <c r="M316" t="str">
        <f ca="1">IFERROR(__xludf.DUMMYFUNCTION("""COMPUTED_VALUE"""),"Ford F150 2008 - DEP18041 (SWMP Thing)")</f>
        <v>Ford F150 2008 - DEP18041 (SWMP Thing)</v>
      </c>
      <c r="N316" t="str">
        <f ca="1">IFERROR(__xludf.DUMMYFUNCTION("""COMPUTED_VALUE"""),"Pam Marcum, (480) 332-5414")</f>
        <v>Pam Marcum, (480) 332-5414</v>
      </c>
      <c r="O316" t="str">
        <f ca="1">IFERROR(__xludf.DUMMYFUNCTION("""COMPUTED_VALUE"""),"Adrienne Breek-Pilz, Nicole Peckham, Allison Noble")</f>
        <v>Adrienne Breek-Pilz, Nicole Peckham, Allison Noble</v>
      </c>
      <c r="P316" t="str">
        <f ca="1">IFERROR(__xludf.DUMMYFUNCTION("""COMPUTED_VALUE"""),"Pam")</f>
        <v>Pam</v>
      </c>
      <c r="Q316" t="str">
        <f ca="1">IFERROR(__xludf.DUMMYFUNCTION("""COMPUTED_VALUE"""),"Good")</f>
        <v>Good</v>
      </c>
      <c r="R316" t="str">
        <f ca="1">IFERROR(__xludf.DUMMYFUNCTION("""COMPUTED_VALUE"""),"Good")</f>
        <v>Good</v>
      </c>
      <c r="S316" t="str">
        <f ca="1">IFERROR(__xludf.DUMMYFUNCTION("""COMPUTED_VALUE"""),"Good")</f>
        <v>Good</v>
      </c>
      <c r="T316" t="str">
        <f ca="1">IFERROR(__xludf.DUMMYFUNCTION("""COMPUTED_VALUE"""),"Good")</f>
        <v>Good</v>
      </c>
      <c r="U316" t="str">
        <f ca="1">IFERROR(__xludf.DUMMYFUNCTION("""COMPUTED_VALUE"""),"Good")</f>
        <v>Good</v>
      </c>
      <c r="V316" t="str">
        <f ca="1">IFERROR(__xludf.DUMMYFUNCTION("""COMPUTED_VALUE"""),"Good")</f>
        <v>Good</v>
      </c>
      <c r="W316" t="str">
        <f ca="1">IFERROR(__xludf.DUMMYFUNCTION("""COMPUTED_VALUE"""),"Good")</f>
        <v>Good</v>
      </c>
      <c r="X316" t="str">
        <f ca="1">IFERROR(__xludf.DUMMYFUNCTION("""COMPUTED_VALUE"""),"Good")</f>
        <v>Good</v>
      </c>
      <c r="Y316" t="str">
        <f ca="1">IFERROR(__xludf.DUMMYFUNCTION("""COMPUTED_VALUE"""),"Good")</f>
        <v>Good</v>
      </c>
      <c r="Z316" t="str">
        <f ca="1">IFERROR(__xludf.DUMMYFUNCTION("""COMPUTED_VALUE"""),"Good")</f>
        <v>Good</v>
      </c>
      <c r="AA316" t="str">
        <f ca="1">IFERROR(__xludf.DUMMYFUNCTION("""COMPUTED_VALUE"""),"Good")</f>
        <v>Good</v>
      </c>
      <c r="AB316" t="str">
        <f ca="1">IFERROR(__xludf.DUMMYFUNCTION("""COMPUTED_VALUE"""),"Good")</f>
        <v>Good</v>
      </c>
      <c r="AC316" t="str">
        <f ca="1">IFERROR(__xludf.DUMMYFUNCTION("""COMPUTED_VALUE"""),"Good")</f>
        <v>Good</v>
      </c>
      <c r="AE316" s="11"/>
      <c r="AF316" t="str">
        <v>Nikki.Dix@floridadep.gov</v>
      </c>
      <c r="AG316" s="17" t="s">
        <v>41</v>
      </c>
      <c r="AH316" s="12">
        <v>1933</v>
      </c>
      <c r="AI316" s="12" t="s">
        <v>895</v>
      </c>
      <c r="AJ316" s="19" t="s">
        <v>896</v>
      </c>
      <c r="AK316" s="20" t="str">
        <f>HYPERLINK("https://docs.google.com/document/d/1qA0BXQylOFUw2Hvi7IhmXc7q1Hw-adob7CuuwLH6Z1g/edit?usp=drivesdk","Pam Marcum - 6/5/2019 3:00 PM")</f>
        <v>Pam Marcum - 6/5/2019 3:00 PM</v>
      </c>
      <c r="AL316" s="12" t="s">
        <v>897</v>
      </c>
    </row>
    <row r="317" spans="1:38" ht="12.75">
      <c r="A317" s="10">
        <f ca="1">IFERROR(__xludf.DUMMYFUNCTION("""COMPUTED_VALUE"""),43626.27949103)</f>
        <v>43626.27949103</v>
      </c>
      <c r="B317" s="11" t="str">
        <f ca="1">IFERROR(__xludf.DUMMYFUNCTION("""COMPUTED_VALUE"""),"Pam Marcum")</f>
        <v>Pam Marcum</v>
      </c>
      <c r="C317" t="str">
        <f ca="1">IFERROR(__xludf.DUMMYFUNCTION("""COMPUTED_VALUE"""),"Pamela.Marcum@dep.state.fl.us")</f>
        <v>Pamela.Marcum@dep.state.fl.us</v>
      </c>
      <c r="D317" t="str">
        <f ca="1">IFERROR(__xludf.DUMMYFUNCTION("""COMPUTED_VALUE"""),"Research/Nikki")</f>
        <v>Research/Nikki</v>
      </c>
      <c r="E317" t="str">
        <f ca="1">IFERROR(__xludf.DUMMYFUNCTION("""COMPUTED_VALUE"""),"Aunt Kate's")</f>
        <v>Aunt Kate's</v>
      </c>
      <c r="F317" s="13">
        <f ca="1">IFERROR(__xludf.DUMMYFUNCTION("""COMPUTED_VALUE"""),0.291666666667879)</f>
        <v>0.29166666666787899</v>
      </c>
      <c r="G317" s="14">
        <f ca="1">IFERROR(__xludf.DUMMYFUNCTION("""COMPUTED_VALUE"""),43626)</f>
        <v>43626</v>
      </c>
      <c r="H317" t="str">
        <f ca="1">IFERROR(__xludf.DUMMYFUNCTION("""COMPUTED_VALUE"""),"Pine Island")</f>
        <v>Pine Island</v>
      </c>
      <c r="I317" s="15">
        <f ca="1">IFERROR(__xludf.DUMMYFUNCTION("""COMPUTED_VALUE"""),0.58333333333212)</f>
        <v>0.58333333333212001</v>
      </c>
      <c r="J317" s="16">
        <f ca="1">IFERROR(__xludf.DUMMYFUNCTION("""COMPUTED_VALUE"""),43626.6041666666)</f>
        <v>43626.604166666599</v>
      </c>
      <c r="K317" t="str">
        <f ca="1">IFERROR(__xludf.DUMMYFUNCTION("""COMPUTED_VALUE"""),"F 20ft Sea Ark (Easy 200) FL8534PY DEP21451")</f>
        <v>F 20ft Sea Ark (Easy 200) FL8534PY DEP21451</v>
      </c>
      <c r="M317" t="str">
        <f ca="1">IFERROR(__xludf.DUMMYFUNCTION("""COMPUTED_VALUE"""),"Ford F250 2017 (Moby Dix) - DEP0021578")</f>
        <v>Ford F250 2017 (Moby Dix) - DEP0021578</v>
      </c>
      <c r="N317" t="str">
        <f ca="1">IFERROR(__xludf.DUMMYFUNCTION("""COMPUTED_VALUE"""),"Pam Marcum, (480) 332-5414, Mike Dickson")</f>
        <v>Pam Marcum, (480) 332-5414, Mike Dickson</v>
      </c>
      <c r="O317" t="str">
        <f ca="1">IFERROR(__xludf.DUMMYFUNCTION("""COMPUTED_VALUE"""),"Christine Angelini, Ray Grizzle, Patrick Norby, Molly Dent")</f>
        <v>Christine Angelini, Ray Grizzle, Patrick Norby, Molly Dent</v>
      </c>
      <c r="P317" t="str">
        <f ca="1">IFERROR(__xludf.DUMMYFUNCTION("""COMPUTED_VALUE"""),"Pam")</f>
        <v>Pam</v>
      </c>
      <c r="Q317" t="str">
        <f ca="1">IFERROR(__xludf.DUMMYFUNCTION("""COMPUTED_VALUE"""),"Good")</f>
        <v>Good</v>
      </c>
      <c r="R317" t="str">
        <f ca="1">IFERROR(__xludf.DUMMYFUNCTION("""COMPUTED_VALUE"""),"Good")</f>
        <v>Good</v>
      </c>
      <c r="S317" t="str">
        <f ca="1">IFERROR(__xludf.DUMMYFUNCTION("""COMPUTED_VALUE"""),"Good")</f>
        <v>Good</v>
      </c>
      <c r="T317" t="str">
        <f ca="1">IFERROR(__xludf.DUMMYFUNCTION("""COMPUTED_VALUE"""),"Good")</f>
        <v>Good</v>
      </c>
      <c r="U317" t="str">
        <f ca="1">IFERROR(__xludf.DUMMYFUNCTION("""COMPUTED_VALUE"""),"Good")</f>
        <v>Good</v>
      </c>
      <c r="V317" t="str">
        <f ca="1">IFERROR(__xludf.DUMMYFUNCTION("""COMPUTED_VALUE"""),"Good")</f>
        <v>Good</v>
      </c>
      <c r="W317" t="str">
        <f ca="1">IFERROR(__xludf.DUMMYFUNCTION("""COMPUTED_VALUE"""),"Good")</f>
        <v>Good</v>
      </c>
      <c r="X317" t="str">
        <f ca="1">IFERROR(__xludf.DUMMYFUNCTION("""COMPUTED_VALUE"""),"Good")</f>
        <v>Good</v>
      </c>
      <c r="Y317" t="str">
        <f ca="1">IFERROR(__xludf.DUMMYFUNCTION("""COMPUTED_VALUE"""),"Good")</f>
        <v>Good</v>
      </c>
      <c r="Z317" t="str">
        <f ca="1">IFERROR(__xludf.DUMMYFUNCTION("""COMPUTED_VALUE"""),"Good")</f>
        <v>Good</v>
      </c>
      <c r="AA317" t="str">
        <f ca="1">IFERROR(__xludf.DUMMYFUNCTION("""COMPUTED_VALUE"""),"Good")</f>
        <v>Good</v>
      </c>
      <c r="AB317" t="str">
        <f ca="1">IFERROR(__xludf.DUMMYFUNCTION("""COMPUTED_VALUE"""),"Good")</f>
        <v>Good</v>
      </c>
      <c r="AC317" t="str">
        <f ca="1">IFERROR(__xludf.DUMMYFUNCTION("""COMPUTED_VALUE"""),"Good")</f>
        <v>Good</v>
      </c>
      <c r="AE317" s="11"/>
      <c r="AF317" t="str">
        <v>Nikki.Dix@floridadep.gov</v>
      </c>
      <c r="AG317" s="17" t="s">
        <v>41</v>
      </c>
      <c r="AH317" s="12">
        <v>1408</v>
      </c>
      <c r="AI317" s="12" t="s">
        <v>898</v>
      </c>
      <c r="AJ317" s="19" t="s">
        <v>899</v>
      </c>
      <c r="AK317" s="20" t="str">
        <f>HYPERLINK("https://docs.google.com/document/d/15x4EVSZ10MXuaxM4ij4M29WzWjxQAM3oj70GOLrnxF0/edit?usp=drivesdk","Pam Marcum - 6/10/2019 7:00 AM")</f>
        <v>Pam Marcum - 6/10/2019 7:00 AM</v>
      </c>
      <c r="AL317" s="12" t="s">
        <v>900</v>
      </c>
    </row>
    <row r="318" spans="1:38" ht="12.75">
      <c r="A318" s="10">
        <f ca="1">IFERROR(__xludf.DUMMYFUNCTION("""COMPUTED_VALUE"""),43627.2833449421)</f>
        <v>43627.283344942101</v>
      </c>
      <c r="B318" s="11" t="str">
        <f ca="1">IFERROR(__xludf.DUMMYFUNCTION("""COMPUTED_VALUE"""),"Pamela Marcum")</f>
        <v>Pamela Marcum</v>
      </c>
      <c r="C318" t="str">
        <f ca="1">IFERROR(__xludf.DUMMYFUNCTION("""COMPUTED_VALUE"""),"Pamela.Marcum@dep.state.fl.us")</f>
        <v>Pamela.Marcum@dep.state.fl.us</v>
      </c>
      <c r="D318" t="str">
        <f ca="1">IFERROR(__xludf.DUMMYFUNCTION("""COMPUTED_VALUE"""),"Research/Nikki")</f>
        <v>Research/Nikki</v>
      </c>
      <c r="E318" t="str">
        <f ca="1">IFERROR(__xludf.DUMMYFUNCTION("""COMPUTED_VALUE"""),"Palm Valley")</f>
        <v>Palm Valley</v>
      </c>
      <c r="F318" s="13">
        <f ca="1">IFERROR(__xludf.DUMMYFUNCTION("""COMPUTED_VALUE"""),0.322916666667879)</f>
        <v>0.32291666666787899</v>
      </c>
      <c r="G318" s="14">
        <f ca="1">IFERROR(__xludf.DUMMYFUNCTION("""COMPUTED_VALUE"""),43627)</f>
        <v>43627</v>
      </c>
      <c r="H318" t="str">
        <f ca="1">IFERROR(__xludf.DUMMYFUNCTION("""COMPUTED_VALUE"""),"Pine Island")</f>
        <v>Pine Island</v>
      </c>
      <c r="I318" s="15">
        <f ca="1">IFERROR(__xludf.DUMMYFUNCTION("""COMPUTED_VALUE"""),0.58333333333212)</f>
        <v>0.58333333333212001</v>
      </c>
      <c r="J318" s="16">
        <f ca="1">IFERROR(__xludf.DUMMYFUNCTION("""COMPUTED_VALUE"""),43627.6041666666)</f>
        <v>43627.604166666599</v>
      </c>
      <c r="K318" t="str">
        <f ca="1">IFERROR(__xludf.DUMMYFUNCTION("""COMPUTED_VALUE"""),"F 20ft Sea Ark (Easy 200) FL8534PY DEP21451")</f>
        <v>F 20ft Sea Ark (Easy 200) FL8534PY DEP21451</v>
      </c>
      <c r="M318" t="str">
        <f ca="1">IFERROR(__xludf.DUMMYFUNCTION("""COMPUTED_VALUE"""),"Ford F250 2017 (Moby Dix) - DEP0021578")</f>
        <v>Ford F250 2017 (Moby Dix) - DEP0021578</v>
      </c>
      <c r="N318" t="str">
        <f ca="1">IFERROR(__xludf.DUMMYFUNCTION("""COMPUTED_VALUE"""),"Pam Marcum, (480) 332-5414, Mike Dickson")</f>
        <v>Pam Marcum, (480) 332-5414, Mike Dickson</v>
      </c>
      <c r="O318" t="str">
        <f ca="1">IFERROR(__xludf.DUMMYFUNCTION("""COMPUTED_VALUE"""),"Molly Dent, Pantrick Norby, Ray Grizzle")</f>
        <v>Molly Dent, Pantrick Norby, Ray Grizzle</v>
      </c>
      <c r="P318" t="str">
        <f ca="1">IFERROR(__xludf.DUMMYFUNCTION("""COMPUTED_VALUE"""),"Pam")</f>
        <v>Pam</v>
      </c>
      <c r="Q318" t="str">
        <f ca="1">IFERROR(__xludf.DUMMYFUNCTION("""COMPUTED_VALUE"""),"Good")</f>
        <v>Good</v>
      </c>
      <c r="R318" t="str">
        <f ca="1">IFERROR(__xludf.DUMMYFUNCTION("""COMPUTED_VALUE"""),"Good")</f>
        <v>Good</v>
      </c>
      <c r="S318" t="str">
        <f ca="1">IFERROR(__xludf.DUMMYFUNCTION("""COMPUTED_VALUE"""),"Good")</f>
        <v>Good</v>
      </c>
      <c r="T318" t="str">
        <f ca="1">IFERROR(__xludf.DUMMYFUNCTION("""COMPUTED_VALUE"""),"Good")</f>
        <v>Good</v>
      </c>
      <c r="U318" t="str">
        <f ca="1">IFERROR(__xludf.DUMMYFUNCTION("""COMPUTED_VALUE"""),"Good")</f>
        <v>Good</v>
      </c>
      <c r="V318" t="str">
        <f ca="1">IFERROR(__xludf.DUMMYFUNCTION("""COMPUTED_VALUE"""),"Good")</f>
        <v>Good</v>
      </c>
      <c r="W318" t="str">
        <f ca="1">IFERROR(__xludf.DUMMYFUNCTION("""COMPUTED_VALUE"""),"Good")</f>
        <v>Good</v>
      </c>
      <c r="X318" t="str">
        <f ca="1">IFERROR(__xludf.DUMMYFUNCTION("""COMPUTED_VALUE"""),"Good")</f>
        <v>Good</v>
      </c>
      <c r="Y318" t="str">
        <f ca="1">IFERROR(__xludf.DUMMYFUNCTION("""COMPUTED_VALUE"""),"Good")</f>
        <v>Good</v>
      </c>
      <c r="Z318" t="str">
        <f ca="1">IFERROR(__xludf.DUMMYFUNCTION("""COMPUTED_VALUE"""),"Good")</f>
        <v>Good</v>
      </c>
      <c r="AA318" t="str">
        <f ca="1">IFERROR(__xludf.DUMMYFUNCTION("""COMPUTED_VALUE"""),"Good")</f>
        <v>Good</v>
      </c>
      <c r="AB318" t="str">
        <f ca="1">IFERROR(__xludf.DUMMYFUNCTION("""COMPUTED_VALUE"""),"Good")</f>
        <v>Good</v>
      </c>
      <c r="AC318" t="str">
        <f ca="1">IFERROR(__xludf.DUMMYFUNCTION("""COMPUTED_VALUE"""),"Good")</f>
        <v>Good</v>
      </c>
      <c r="AE318" s="11"/>
      <c r="AF318" t="str">
        <v>Nikki.Dix@floridadep.gov</v>
      </c>
      <c r="AG318" s="17" t="s">
        <v>17</v>
      </c>
      <c r="AH318" s="12">
        <v>1430</v>
      </c>
      <c r="AI318" s="12" t="s">
        <v>901</v>
      </c>
      <c r="AJ318" s="19" t="s">
        <v>902</v>
      </c>
      <c r="AK318" s="20" t="str">
        <f>HYPERLINK("https://docs.google.com/document/d/1EYWgKjtFQfT6Aj2PtcKOQtTPMo2fy52Im86yup5t7eA/edit?usp=drivesdk","Pamela Marcum - 6/11/2019 7:45 AM")</f>
        <v>Pamela Marcum - 6/11/2019 7:45 AM</v>
      </c>
      <c r="AL318" s="12" t="s">
        <v>903</v>
      </c>
    </row>
    <row r="319" spans="1:38" ht="12.75">
      <c r="A319" s="10">
        <f ca="1">IFERROR(__xludf.DUMMYFUNCTION("""COMPUTED_VALUE"""),43628.3530285532)</f>
        <v>43628.353028553203</v>
      </c>
      <c r="B319" s="11" t="str">
        <f ca="1">IFERROR(__xludf.DUMMYFUNCTION("""COMPUTED_VALUE"""),"Jimmy")</f>
        <v>Jimmy</v>
      </c>
      <c r="C319" t="str">
        <f ca="1">IFERROR(__xludf.DUMMYFUNCTION("""COMPUTED_VALUE"""),"james.tomazinis@floridadep.gov")</f>
        <v>james.tomazinis@floridadep.gov</v>
      </c>
      <c r="D319" t="str">
        <f ca="1">IFERROR(__xludf.DUMMYFUNCTION("""COMPUTED_VALUE"""),"Stewardship (Aquatic)")</f>
        <v>Stewardship (Aquatic)</v>
      </c>
      <c r="E319" t="str">
        <f ca="1">IFERROR(__xludf.DUMMYFUNCTION("""COMPUTED_VALUE"""),"Vilano")</f>
        <v>Vilano</v>
      </c>
      <c r="F319" s="13">
        <f ca="1">IFERROR(__xludf.DUMMYFUNCTION("""COMPUTED_VALUE"""),0.385416666667879)</f>
        <v>0.38541666666787899</v>
      </c>
      <c r="G319" s="14">
        <f ca="1">IFERROR(__xludf.DUMMYFUNCTION("""COMPUTED_VALUE"""),43628)</f>
        <v>43628</v>
      </c>
      <c r="H319" t="str">
        <f ca="1">IFERROR(__xludf.DUMMYFUNCTION("""COMPUTED_VALUE"""),"Tolomato Nekton sites")</f>
        <v>Tolomato Nekton sites</v>
      </c>
      <c r="I319" s="15">
        <f ca="1">IFERROR(__xludf.DUMMYFUNCTION("""COMPUTED_VALUE"""),0.666666666667879)</f>
        <v>0.66666666666787899</v>
      </c>
      <c r="J319" s="16"/>
      <c r="K319" t="str">
        <f ca="1">IFERROR(__xludf.DUMMYFUNCTION("""COMPUTED_VALUE"""),"23ft Skiff (Bertha) FL7972LJ DEP07613")</f>
        <v>23ft Skiff (Bertha) FL7972LJ DEP07613</v>
      </c>
      <c r="M319" t="str">
        <f ca="1">IFERROR(__xludf.DUMMYFUNCTION("""COMPUTED_VALUE"""),"Ford F150 2015 (White) - DEP21448")</f>
        <v>Ford F150 2015 (White) - DEP21448</v>
      </c>
      <c r="N319" t="str">
        <f ca="1">IFERROR(__xludf.DUMMYFUNCTION("""COMPUTED_VALUE"""),"Jimmy Tomazinis, (904) 547-0094")</f>
        <v>Jimmy Tomazinis, (904) 547-0094</v>
      </c>
      <c r="O319" t="str">
        <f ca="1">IFERROR(__xludf.DUMMYFUNCTION("""COMPUTED_VALUE"""),"Jeff Finnan, Mary and Henry Mullin, Becky and Flagler student")</f>
        <v>Jeff Finnan, Mary and Henry Mullin, Becky and Flagler student</v>
      </c>
      <c r="P319" t="str">
        <f ca="1">IFERROR(__xludf.DUMMYFUNCTION("""COMPUTED_VALUE"""),"Jimmy")</f>
        <v>Jimmy</v>
      </c>
      <c r="Q319" t="str">
        <f ca="1">IFERROR(__xludf.DUMMYFUNCTION("""COMPUTED_VALUE"""),"Good")</f>
        <v>Good</v>
      </c>
      <c r="R319" t="str">
        <f ca="1">IFERROR(__xludf.DUMMYFUNCTION("""COMPUTED_VALUE"""),"Good")</f>
        <v>Good</v>
      </c>
      <c r="S319" t="str">
        <f ca="1">IFERROR(__xludf.DUMMYFUNCTION("""COMPUTED_VALUE"""),"Good")</f>
        <v>Good</v>
      </c>
      <c r="T319" t="str">
        <f ca="1">IFERROR(__xludf.DUMMYFUNCTION("""COMPUTED_VALUE"""),"Good")</f>
        <v>Good</v>
      </c>
      <c r="U319" t="str">
        <f ca="1">IFERROR(__xludf.DUMMYFUNCTION("""COMPUTED_VALUE"""),"Good")</f>
        <v>Good</v>
      </c>
      <c r="V319" t="str">
        <f ca="1">IFERROR(__xludf.DUMMYFUNCTION("""COMPUTED_VALUE"""),"Good")</f>
        <v>Good</v>
      </c>
      <c r="W319" t="str">
        <f ca="1">IFERROR(__xludf.DUMMYFUNCTION("""COMPUTED_VALUE"""),"Good")</f>
        <v>Good</v>
      </c>
      <c r="X319" t="str">
        <f ca="1">IFERROR(__xludf.DUMMYFUNCTION("""COMPUTED_VALUE"""),"Good")</f>
        <v>Good</v>
      </c>
      <c r="Y319" t="str">
        <f ca="1">IFERROR(__xludf.DUMMYFUNCTION("""COMPUTED_VALUE"""),"Good")</f>
        <v>Good</v>
      </c>
      <c r="Z319" t="str">
        <f ca="1">IFERROR(__xludf.DUMMYFUNCTION("""COMPUTED_VALUE"""),"Good")</f>
        <v>Good</v>
      </c>
      <c r="AA319" t="str">
        <f ca="1">IFERROR(__xludf.DUMMYFUNCTION("""COMPUTED_VALUE"""),"Good")</f>
        <v>Good</v>
      </c>
      <c r="AB319" t="str">
        <f ca="1">IFERROR(__xludf.DUMMYFUNCTION("""COMPUTED_VALUE"""),"Good")</f>
        <v>Good</v>
      </c>
      <c r="AC319" t="str">
        <f ca="1">IFERROR(__xludf.DUMMYFUNCTION("""COMPUTED_VALUE"""),"Good")</f>
        <v>Good</v>
      </c>
      <c r="AE319" s="11"/>
      <c r="AF319" t="str">
        <v>Scott.Eastman@floridadep.gov</v>
      </c>
      <c r="AG319" s="17" t="s">
        <v>17</v>
      </c>
      <c r="AH319" s="12">
        <v>1600</v>
      </c>
      <c r="AI319" s="12" t="s">
        <v>904</v>
      </c>
      <c r="AJ319" s="19" t="s">
        <v>905</v>
      </c>
      <c r="AK319" s="20" t="str">
        <f>HYPERLINK("https://docs.google.com/document/d/1nBWzBiDSsyiR3ju6LhrlU1ZVjn_PV5JBs4--S8E4a3Q/edit?usp=drivesdk","Jimmy - 6/12/2019 9:15 AM")</f>
        <v>Jimmy - 6/12/2019 9:15 AM</v>
      </c>
      <c r="AL319" s="12" t="s">
        <v>906</v>
      </c>
    </row>
    <row r="320" spans="1:38" ht="12.75">
      <c r="A320" s="10">
        <f ca="1">IFERROR(__xludf.DUMMYFUNCTION("""COMPUTED_VALUE"""),43629.4159146296)</f>
        <v>43629.415914629601</v>
      </c>
      <c r="B320" s="11" t="str">
        <f ca="1">IFERROR(__xludf.DUMMYFUNCTION("""COMPUTED_VALUE"""),"Jimmy")</f>
        <v>Jimmy</v>
      </c>
      <c r="C320" t="str">
        <f ca="1">IFERROR(__xludf.DUMMYFUNCTION("""COMPUTED_VALUE"""),"james.tomazinis@floridadep.gov")</f>
        <v>james.tomazinis@floridadep.gov</v>
      </c>
      <c r="D320" t="str">
        <f ca="1">IFERROR(__xludf.DUMMYFUNCTION("""COMPUTED_VALUE"""),"Stewardship (Aquatic)")</f>
        <v>Stewardship (Aquatic)</v>
      </c>
      <c r="E320" t="str">
        <f ca="1">IFERROR(__xludf.DUMMYFUNCTION("""COMPUTED_VALUE"""),"Vilano")</f>
        <v>Vilano</v>
      </c>
      <c r="F320" s="13">
        <f ca="1">IFERROR(__xludf.DUMMYFUNCTION("""COMPUTED_VALUE"""),0.4375)</f>
        <v>0.4375</v>
      </c>
      <c r="G320" s="14">
        <f ca="1">IFERROR(__xludf.DUMMYFUNCTION("""COMPUTED_VALUE"""),43629)</f>
        <v>43629</v>
      </c>
      <c r="H320" t="str">
        <f ca="1">IFERROR(__xludf.DUMMYFUNCTION("""COMPUTED_VALUE"""),"Tolomato Nekton sites")</f>
        <v>Tolomato Nekton sites</v>
      </c>
      <c r="I320" s="15">
        <f ca="1">IFERROR(__xludf.DUMMYFUNCTION("""COMPUTED_VALUE"""),0.6875)</f>
        <v>0.6875</v>
      </c>
      <c r="J320" s="16"/>
      <c r="K320" t="str">
        <f ca="1">IFERROR(__xludf.DUMMYFUNCTION("""COMPUTED_VALUE"""),"23ft Skiff (Bertha) FL7972LJ DEP07613")</f>
        <v>23ft Skiff (Bertha) FL7972LJ DEP07613</v>
      </c>
      <c r="M320" t="str">
        <f ca="1">IFERROR(__xludf.DUMMYFUNCTION("""COMPUTED_VALUE"""),"Ford F150 2015 (White) - DEP21448")</f>
        <v>Ford F150 2015 (White) - DEP21448</v>
      </c>
      <c r="N320" t="str">
        <f ca="1">IFERROR(__xludf.DUMMYFUNCTION("""COMPUTED_VALUE"""),"Jimmy Tomazinis, (904) 547-0094")</f>
        <v>Jimmy Tomazinis, (904) 547-0094</v>
      </c>
      <c r="O320" t="str">
        <f ca="1">IFERROR(__xludf.DUMMYFUNCTION("""COMPUTED_VALUE"""),"Chris Kurtz, Trevor, Henry, Liv, Dickson")</f>
        <v>Chris Kurtz, Trevor, Henry, Liv, Dickson</v>
      </c>
      <c r="P320" t="str">
        <f ca="1">IFERROR(__xludf.DUMMYFUNCTION("""COMPUTED_VALUE"""),"Jimmy")</f>
        <v>Jimmy</v>
      </c>
      <c r="Q320" t="str">
        <f ca="1">IFERROR(__xludf.DUMMYFUNCTION("""COMPUTED_VALUE"""),"Good")</f>
        <v>Good</v>
      </c>
      <c r="R320" t="str">
        <f ca="1">IFERROR(__xludf.DUMMYFUNCTION("""COMPUTED_VALUE"""),"Good")</f>
        <v>Good</v>
      </c>
      <c r="S320" t="str">
        <f ca="1">IFERROR(__xludf.DUMMYFUNCTION("""COMPUTED_VALUE"""),"Good")</f>
        <v>Good</v>
      </c>
      <c r="U320" t="str">
        <f ca="1">IFERROR(__xludf.DUMMYFUNCTION("""COMPUTED_VALUE"""),"Good")</f>
        <v>Good</v>
      </c>
      <c r="V320" t="str">
        <f ca="1">IFERROR(__xludf.DUMMYFUNCTION("""COMPUTED_VALUE"""),"Good")</f>
        <v>Good</v>
      </c>
      <c r="W320" t="str">
        <f ca="1">IFERROR(__xludf.DUMMYFUNCTION("""COMPUTED_VALUE"""),"Good")</f>
        <v>Good</v>
      </c>
      <c r="X320" t="str">
        <f ca="1">IFERROR(__xludf.DUMMYFUNCTION("""COMPUTED_VALUE"""),"Good")</f>
        <v>Good</v>
      </c>
      <c r="Y320" t="str">
        <f ca="1">IFERROR(__xludf.DUMMYFUNCTION("""COMPUTED_VALUE"""),"Good")</f>
        <v>Good</v>
      </c>
      <c r="Z320" t="str">
        <f ca="1">IFERROR(__xludf.DUMMYFUNCTION("""COMPUTED_VALUE"""),"Good")</f>
        <v>Good</v>
      </c>
      <c r="AA320" t="str">
        <f ca="1">IFERROR(__xludf.DUMMYFUNCTION("""COMPUTED_VALUE"""),"Good")</f>
        <v>Good</v>
      </c>
      <c r="AB320" t="str">
        <f ca="1">IFERROR(__xludf.DUMMYFUNCTION("""COMPUTED_VALUE"""),"Good")</f>
        <v>Good</v>
      </c>
      <c r="AC320" t="str">
        <f ca="1">IFERROR(__xludf.DUMMYFUNCTION("""COMPUTED_VALUE"""),"Good")</f>
        <v>Good</v>
      </c>
      <c r="AE320" s="11"/>
      <c r="AF320" t="str">
        <v>Scott.Eastman@floridadep.gov</v>
      </c>
      <c r="AG320" s="17" t="s">
        <v>21</v>
      </c>
      <c r="AI320" s="12" t="s">
        <v>907</v>
      </c>
      <c r="AJ320" s="19" t="s">
        <v>908</v>
      </c>
      <c r="AK320" s="20" t="str">
        <f>HYPERLINK("https://docs.google.com/document/d/164X_Qm-57KZWpDwSlzujouQd4VaB5hOiv035HofNRW4/edit?usp=drivesdk","Jimmy - 6/13/2019 10:30 AM")</f>
        <v>Jimmy - 6/13/2019 10:30 AM</v>
      </c>
      <c r="AL320" s="12" t="s">
        <v>909</v>
      </c>
    </row>
    <row r="321" spans="1:38" ht="12.75">
      <c r="A321" s="10">
        <f ca="1">IFERROR(__xludf.DUMMYFUNCTION("""COMPUTED_VALUE"""),43630.3589197916)</f>
        <v>43630.358919791601</v>
      </c>
      <c r="B321" s="11" t="str">
        <f ca="1">IFERROR(__xludf.DUMMYFUNCTION("""COMPUTED_VALUE"""),"Jimmy")</f>
        <v>Jimmy</v>
      </c>
      <c r="C321" t="str">
        <f ca="1">IFERROR(__xludf.DUMMYFUNCTION("""COMPUTED_VALUE"""),"james.tomazinis@floridadep.gov")</f>
        <v>james.tomazinis@floridadep.gov</v>
      </c>
      <c r="D321" t="str">
        <f ca="1">IFERROR(__xludf.DUMMYFUNCTION("""COMPUTED_VALUE"""),"Stewardship (Aquatic)")</f>
        <v>Stewardship (Aquatic)</v>
      </c>
      <c r="E321" t="str">
        <f ca="1">IFERROR(__xludf.DUMMYFUNCTION("""COMPUTED_VALUE"""),"Vilano")</f>
        <v>Vilano</v>
      </c>
      <c r="F321" s="13">
        <f ca="1">IFERROR(__xludf.DUMMYFUNCTION("""COMPUTED_VALUE"""),0.385416666667879)</f>
        <v>0.38541666666787899</v>
      </c>
      <c r="G321" s="14">
        <f ca="1">IFERROR(__xludf.DUMMYFUNCTION("""COMPUTED_VALUE"""),43630)</f>
        <v>43630</v>
      </c>
      <c r="H321" t="str">
        <f ca="1">IFERROR(__xludf.DUMMYFUNCTION("""COMPUTED_VALUE"""),"Matanzas Nekton sites")</f>
        <v>Matanzas Nekton sites</v>
      </c>
      <c r="I321" s="15">
        <f ca="1">IFERROR(__xludf.DUMMYFUNCTION("""COMPUTED_VALUE"""),0.6875)</f>
        <v>0.6875</v>
      </c>
      <c r="J321" s="16"/>
      <c r="K321" t="str">
        <f ca="1">IFERROR(__xludf.DUMMYFUNCTION("""COMPUTED_VALUE"""),"23ft Skiff (Bertha) FL7972LJ DEP07613")</f>
        <v>23ft Skiff (Bertha) FL7972LJ DEP07613</v>
      </c>
      <c r="M321" t="str">
        <f ca="1">IFERROR(__xludf.DUMMYFUNCTION("""COMPUTED_VALUE"""),"Ford F150 2015 (White) - DEP21448")</f>
        <v>Ford F150 2015 (White) - DEP21448</v>
      </c>
      <c r="N321" t="str">
        <f ca="1">IFERROR(__xludf.DUMMYFUNCTION("""COMPUTED_VALUE"""),"Jimmy Tomazinis, (904) 547-0094")</f>
        <v>Jimmy Tomazinis, (904) 547-0094</v>
      </c>
      <c r="O321" t="str">
        <f ca="1">IFERROR(__xludf.DUMMYFUNCTION("""COMPUTED_VALUE"""),"Jeff Finnan, Chris Kurtz, Trevor, Andy, Steve")</f>
        <v>Jeff Finnan, Chris Kurtz, Trevor, Andy, Steve</v>
      </c>
      <c r="P321" t="str">
        <f ca="1">IFERROR(__xludf.DUMMYFUNCTION("""COMPUTED_VALUE"""),"Jimmy")</f>
        <v>Jimmy</v>
      </c>
      <c r="Q321" t="str">
        <f ca="1">IFERROR(__xludf.DUMMYFUNCTION("""COMPUTED_VALUE"""),"Good")</f>
        <v>Good</v>
      </c>
      <c r="R321" t="str">
        <f ca="1">IFERROR(__xludf.DUMMYFUNCTION("""COMPUTED_VALUE"""),"Good")</f>
        <v>Good</v>
      </c>
      <c r="S321" t="str">
        <f ca="1">IFERROR(__xludf.DUMMYFUNCTION("""COMPUTED_VALUE"""),"Good")</f>
        <v>Good</v>
      </c>
      <c r="T321" t="str">
        <f ca="1">IFERROR(__xludf.DUMMYFUNCTION("""COMPUTED_VALUE"""),"Good")</f>
        <v>Good</v>
      </c>
      <c r="U321" t="str">
        <f ca="1">IFERROR(__xludf.DUMMYFUNCTION("""COMPUTED_VALUE"""),"Good")</f>
        <v>Good</v>
      </c>
      <c r="V321" t="str">
        <f ca="1">IFERROR(__xludf.DUMMYFUNCTION("""COMPUTED_VALUE"""),"Good")</f>
        <v>Good</v>
      </c>
      <c r="W321" t="str">
        <f ca="1">IFERROR(__xludf.DUMMYFUNCTION("""COMPUTED_VALUE"""),"Good")</f>
        <v>Good</v>
      </c>
      <c r="X321" t="str">
        <f ca="1">IFERROR(__xludf.DUMMYFUNCTION("""COMPUTED_VALUE"""),"Good")</f>
        <v>Good</v>
      </c>
      <c r="Y321" t="str">
        <f ca="1">IFERROR(__xludf.DUMMYFUNCTION("""COMPUTED_VALUE"""),"Good")</f>
        <v>Good</v>
      </c>
      <c r="Z321" t="str">
        <f ca="1">IFERROR(__xludf.DUMMYFUNCTION("""COMPUTED_VALUE"""),"Good")</f>
        <v>Good</v>
      </c>
      <c r="AA321" t="str">
        <f ca="1">IFERROR(__xludf.DUMMYFUNCTION("""COMPUTED_VALUE"""),"Good")</f>
        <v>Good</v>
      </c>
      <c r="AB321" t="str">
        <f ca="1">IFERROR(__xludf.DUMMYFUNCTION("""COMPUTED_VALUE"""),"Good")</f>
        <v>Good</v>
      </c>
      <c r="AC321" t="str">
        <f ca="1">IFERROR(__xludf.DUMMYFUNCTION("""COMPUTED_VALUE"""),"Good")</f>
        <v>Good</v>
      </c>
      <c r="AE321" s="11"/>
      <c r="AF321" t="str">
        <v>Scott.Eastman@floridadep.gov</v>
      </c>
      <c r="AG321" s="17" t="s">
        <v>21</v>
      </c>
      <c r="AI321" s="12" t="s">
        <v>910</v>
      </c>
      <c r="AJ321" s="19" t="s">
        <v>911</v>
      </c>
      <c r="AK321" s="20" t="str">
        <f>HYPERLINK("https://docs.google.com/document/d/1vh9SYwexF7o-MJsnwZb4b3TupfyrNa39KjhqGok5m9c/edit?usp=drivesdk","Jimmy - 6/14/2019 9:15 AM")</f>
        <v>Jimmy - 6/14/2019 9:15 AM</v>
      </c>
      <c r="AL321" s="12" t="s">
        <v>912</v>
      </c>
    </row>
    <row r="322" spans="1:38" ht="12.75">
      <c r="A322" s="10">
        <f ca="1">IFERROR(__xludf.DUMMYFUNCTION("""COMPUTED_VALUE"""),43633.7295344328)</f>
        <v>43633.729534432801</v>
      </c>
      <c r="B322" s="11" t="str">
        <f ca="1">IFERROR(__xludf.DUMMYFUNCTION("""COMPUTED_VALUE"""),"Silas Tanner")</f>
        <v>Silas Tanner</v>
      </c>
      <c r="C322" t="str">
        <f ca="1">IFERROR(__xludf.DUMMYFUNCTION("""COMPUTED_VALUE"""),"silas.tanner@floridadep.gov")</f>
        <v>silas.tanner@floridadep.gov</v>
      </c>
      <c r="D322" t="str">
        <f ca="1">IFERROR(__xludf.DUMMYFUNCTION("""COMPUTED_VALUE"""),"Research/Nikki")</f>
        <v>Research/Nikki</v>
      </c>
      <c r="E322" t="str">
        <f ca="1">IFERROR(__xludf.DUMMYFUNCTION("""COMPUTED_VALUE"""),"Douglas Crane boat ramp")</f>
        <v>Douglas Crane boat ramp</v>
      </c>
      <c r="F322" s="13">
        <f ca="1">IFERROR(__xludf.DUMMYFUNCTION("""COMPUTED_VALUE"""),0.354166666667879)</f>
        <v>0.35416666666787899</v>
      </c>
      <c r="G322" s="14">
        <f ca="1">IFERROR(__xludf.DUMMYFUNCTION("""COMPUTED_VALUE"""),43634)</f>
        <v>43634</v>
      </c>
      <c r="H322" t="str">
        <f ca="1">IFERROR(__xludf.DUMMYFUNCTION("""COMPUTED_VALUE"""),"ICW SWMP sites")</f>
        <v>ICW SWMP sites</v>
      </c>
      <c r="I322" s="15">
        <f ca="1">IFERROR(__xludf.DUMMYFUNCTION("""COMPUTED_VALUE"""),0.58333333333212)</f>
        <v>0.58333333333212001</v>
      </c>
      <c r="J322" s="16">
        <f ca="1">IFERROR(__xludf.DUMMYFUNCTION("""COMPUTED_VALUE"""),43633.6041666666)</f>
        <v>43633.604166666599</v>
      </c>
      <c r="K322" t="str">
        <f ca="1">IFERROR(__xludf.DUMMYFUNCTION("""COMPUTED_VALUE"""),"23ft Skiff (Bertha) FL7972LJ DEP07613")</f>
        <v>23ft Skiff (Bertha) FL7972LJ DEP07613</v>
      </c>
      <c r="M322" t="str">
        <f ca="1">IFERROR(__xludf.DUMMYFUNCTION("""COMPUTED_VALUE"""),"Ford F250 2017 (Moby Dix) - DEP0021578")</f>
        <v>Ford F250 2017 (Moby Dix) - DEP0021578</v>
      </c>
      <c r="N322" t="str">
        <f ca="1">IFERROR(__xludf.DUMMYFUNCTION("""COMPUTED_VALUE"""),"Silas Tanner, (904) 483-8423")</f>
        <v>Silas Tanner, (904) 483-8423</v>
      </c>
      <c r="O322" t="str">
        <f ca="1">IFERROR(__xludf.DUMMYFUNCTION("""COMPUTED_VALUE"""),"Remo Mondazi, Molly Dent")</f>
        <v>Remo Mondazi, Molly Dent</v>
      </c>
      <c r="P322" t="str">
        <f ca="1">IFERROR(__xludf.DUMMYFUNCTION("""COMPUTED_VALUE"""),"Silas Tanner")</f>
        <v>Silas Tanner</v>
      </c>
      <c r="Q322" t="str">
        <f ca="1">IFERROR(__xludf.DUMMYFUNCTION("""COMPUTED_VALUE"""),"Good")</f>
        <v>Good</v>
      </c>
      <c r="R322" t="str">
        <f ca="1">IFERROR(__xludf.DUMMYFUNCTION("""COMPUTED_VALUE"""),"Good")</f>
        <v>Good</v>
      </c>
      <c r="S322" t="str">
        <f ca="1">IFERROR(__xludf.DUMMYFUNCTION("""COMPUTED_VALUE"""),"Good")</f>
        <v>Good</v>
      </c>
      <c r="T322" t="str">
        <f ca="1">IFERROR(__xludf.DUMMYFUNCTION("""COMPUTED_VALUE"""),"Good")</f>
        <v>Good</v>
      </c>
      <c r="U322" t="str">
        <f ca="1">IFERROR(__xludf.DUMMYFUNCTION("""COMPUTED_VALUE"""),"Good")</f>
        <v>Good</v>
      </c>
      <c r="V322" t="str">
        <f ca="1">IFERROR(__xludf.DUMMYFUNCTION("""COMPUTED_VALUE"""),"Good")</f>
        <v>Good</v>
      </c>
      <c r="W322" t="str">
        <f ca="1">IFERROR(__xludf.DUMMYFUNCTION("""COMPUTED_VALUE"""),"Good")</f>
        <v>Good</v>
      </c>
      <c r="X322" t="str">
        <f ca="1">IFERROR(__xludf.DUMMYFUNCTION("""COMPUTED_VALUE"""),"Good")</f>
        <v>Good</v>
      </c>
      <c r="Y322" t="str">
        <f ca="1">IFERROR(__xludf.DUMMYFUNCTION("""COMPUTED_VALUE"""),"Good")</f>
        <v>Good</v>
      </c>
      <c r="Z322" t="str">
        <f ca="1">IFERROR(__xludf.DUMMYFUNCTION("""COMPUTED_VALUE"""),"Good")</f>
        <v>Good</v>
      </c>
      <c r="AA322" t="str">
        <f ca="1">IFERROR(__xludf.DUMMYFUNCTION("""COMPUTED_VALUE"""),"Good")</f>
        <v>Good</v>
      </c>
      <c r="AB322" t="str">
        <f ca="1">IFERROR(__xludf.DUMMYFUNCTION("""COMPUTED_VALUE"""),"Good")</f>
        <v>Good</v>
      </c>
      <c r="AC322" t="str">
        <f ca="1">IFERROR(__xludf.DUMMYFUNCTION("""COMPUTED_VALUE"""),"Good")</f>
        <v>Good</v>
      </c>
      <c r="AE322" s="11"/>
      <c r="AF322" t="str">
        <v>Nikki.Dix@floridadep.gov</v>
      </c>
      <c r="AG322" s="17" t="s">
        <v>113</v>
      </c>
      <c r="AH322" s="12">
        <v>1220</v>
      </c>
      <c r="AI322" s="12" t="s">
        <v>913</v>
      </c>
      <c r="AJ322" s="19" t="s">
        <v>914</v>
      </c>
      <c r="AK322" s="20" t="str">
        <f>HYPERLINK("https://docs.google.com/document/d/1qfUcmR9cqqC24YrVwYMSNWmDE13w6gaXtQiKLuEI16A/edit?usp=drivesdk","Silas Tanner - 6/18/2019 8:30 AM")</f>
        <v>Silas Tanner - 6/18/2019 8:30 AM</v>
      </c>
      <c r="AL322" s="12" t="s">
        <v>915</v>
      </c>
    </row>
    <row r="323" spans="1:38" ht="12.75">
      <c r="A323" s="10">
        <f ca="1">IFERROR(__xludf.DUMMYFUNCTION("""COMPUTED_VALUE"""),43634.3669941203)</f>
        <v>43634.366994120297</v>
      </c>
      <c r="B323" s="11" t="str">
        <f ca="1">IFERROR(__xludf.DUMMYFUNCTION("""COMPUTED_VALUE"""),"Jimmy")</f>
        <v>Jimmy</v>
      </c>
      <c r="C323" t="str">
        <f ca="1">IFERROR(__xludf.DUMMYFUNCTION("""COMPUTED_VALUE"""),"james.tomazinis@floridadep.gov")</f>
        <v>james.tomazinis@floridadep.gov</v>
      </c>
      <c r="D323" t="str">
        <f ca="1">IFERROR(__xludf.DUMMYFUNCTION("""COMPUTED_VALUE"""),"Stewardship (Aquatic)")</f>
        <v>Stewardship (Aquatic)</v>
      </c>
      <c r="E323" t="str">
        <f ca="1">IFERROR(__xludf.DUMMYFUNCTION("""COMPUTED_VALUE"""),"Whitney")</f>
        <v>Whitney</v>
      </c>
      <c r="F323" s="13">
        <f ca="1">IFERROR(__xludf.DUMMYFUNCTION("""COMPUTED_VALUE"""),0.416666666667879)</f>
        <v>0.41666666666787899</v>
      </c>
      <c r="G323" s="14">
        <f ca="1">IFERROR(__xludf.DUMMYFUNCTION("""COMPUTED_VALUE"""),43634)</f>
        <v>43634</v>
      </c>
      <c r="H323" t="str">
        <f ca="1">IFERROR(__xludf.DUMMYFUNCTION("""COMPUTED_VALUE"""),"Summerhaven")</f>
        <v>Summerhaven</v>
      </c>
      <c r="I323" s="15">
        <f ca="1">IFERROR(__xludf.DUMMYFUNCTION("""COMPUTED_VALUE"""),0.5625)</f>
        <v>0.5625</v>
      </c>
      <c r="J323" s="16"/>
      <c r="K323" t="str">
        <f ca="1">IFERROR(__xludf.DUMMYFUNCTION("""COMPUTED_VALUE"""),"Kayak(s), Canoe/Kayak Trailer DEP06086")</f>
        <v>Kayak(s), Canoe/Kayak Trailer DEP06086</v>
      </c>
      <c r="L323">
        <f ca="1">IFERROR(__xludf.DUMMYFUNCTION("""COMPUTED_VALUE"""),4)</f>
        <v>4</v>
      </c>
      <c r="M323" t="str">
        <f ca="1">IFERROR(__xludf.DUMMYFUNCTION("""COMPUTED_VALUE"""),"Ford F150 2015 (White) - DEP21448")</f>
        <v>Ford F150 2015 (White) - DEP21448</v>
      </c>
      <c r="N323" t="str">
        <f ca="1">IFERROR(__xludf.DUMMYFUNCTION("""COMPUTED_VALUE"""),"Jimmy Tomazinis, (904) 547-0094")</f>
        <v>Jimmy Tomazinis, (904) 547-0094</v>
      </c>
      <c r="O323" t="str">
        <f ca="1">IFERROR(__xludf.DUMMYFUNCTION("""COMPUTED_VALUE"""),"Pam Marcum, (480) 332-5414, Shannon Dunnigan, (803) 727-5734, Jessica Lee, Alee Knoell")</f>
        <v>Pam Marcum, (480) 332-5414, Shannon Dunnigan, (803) 727-5734, Jessica Lee, Alee Knoell</v>
      </c>
      <c r="P323" t="str">
        <f ca="1">IFERROR(__xludf.DUMMYFUNCTION("""COMPUTED_VALUE"""),"Jimmy")</f>
        <v>Jimmy</v>
      </c>
      <c r="Q323" t="str">
        <f ca="1">IFERROR(__xludf.DUMMYFUNCTION("""COMPUTED_VALUE"""),"Good")</f>
        <v>Good</v>
      </c>
      <c r="R323" t="str">
        <f ca="1">IFERROR(__xludf.DUMMYFUNCTION("""COMPUTED_VALUE"""),"Good")</f>
        <v>Good</v>
      </c>
      <c r="S323" t="str">
        <f ca="1">IFERROR(__xludf.DUMMYFUNCTION("""COMPUTED_VALUE"""),"Good")</f>
        <v>Good</v>
      </c>
      <c r="T323" t="str">
        <f ca="1">IFERROR(__xludf.DUMMYFUNCTION("""COMPUTED_VALUE"""),"Good")</f>
        <v>Good</v>
      </c>
      <c r="U323" t="str">
        <f ca="1">IFERROR(__xludf.DUMMYFUNCTION("""COMPUTED_VALUE"""),"Good")</f>
        <v>Good</v>
      </c>
      <c r="V323" t="str">
        <f ca="1">IFERROR(__xludf.DUMMYFUNCTION("""COMPUTED_VALUE"""),"Good")</f>
        <v>Good</v>
      </c>
      <c r="W323" t="str">
        <f ca="1">IFERROR(__xludf.DUMMYFUNCTION("""COMPUTED_VALUE"""),"Good")</f>
        <v>Good</v>
      </c>
      <c r="X323" t="str">
        <f ca="1">IFERROR(__xludf.DUMMYFUNCTION("""COMPUTED_VALUE"""),"Good")</f>
        <v>Good</v>
      </c>
      <c r="Y323" t="str">
        <f ca="1">IFERROR(__xludf.DUMMYFUNCTION("""COMPUTED_VALUE"""),"Good")</f>
        <v>Good</v>
      </c>
      <c r="Z323" t="str">
        <f ca="1">IFERROR(__xludf.DUMMYFUNCTION("""COMPUTED_VALUE"""),"Good")</f>
        <v>Good</v>
      </c>
      <c r="AA323" t="str">
        <f ca="1">IFERROR(__xludf.DUMMYFUNCTION("""COMPUTED_VALUE"""),"Good")</f>
        <v>Good</v>
      </c>
      <c r="AB323" t="str">
        <f ca="1">IFERROR(__xludf.DUMMYFUNCTION("""COMPUTED_VALUE"""),"Good")</f>
        <v>Good</v>
      </c>
      <c r="AC323" t="str">
        <f ca="1">IFERROR(__xludf.DUMMYFUNCTION("""COMPUTED_VALUE"""),"Good")</f>
        <v>Good</v>
      </c>
      <c r="AE323" s="11"/>
      <c r="AF323" t="str">
        <v>Scott.Eastman@floridadep.gov</v>
      </c>
      <c r="AG323" s="17" t="s">
        <v>113</v>
      </c>
      <c r="AH323" s="12">
        <v>1230</v>
      </c>
      <c r="AI323" s="12" t="s">
        <v>916</v>
      </c>
      <c r="AJ323" s="19" t="s">
        <v>917</v>
      </c>
      <c r="AK323" s="20" t="str">
        <f>HYPERLINK("https://docs.google.com/document/d/1YLWiNhI8NozGXmYo5gZ2IVUl2kOr9Ek5uLEd8Mb9Y4s/edit?usp=drivesdk","Jimmy - 6/18/2019 10:00 AM")</f>
        <v>Jimmy - 6/18/2019 10:00 AM</v>
      </c>
      <c r="AL323" s="12" t="s">
        <v>918</v>
      </c>
    </row>
    <row r="324" spans="1:38" ht="12.75">
      <c r="A324" s="10">
        <f ca="1">IFERROR(__xludf.DUMMYFUNCTION("""COMPUTED_VALUE"""),43634.6849399189)</f>
        <v>43634.684939918901</v>
      </c>
      <c r="B324" s="11" t="str">
        <f ca="1">IFERROR(__xludf.DUMMYFUNCTION("""COMPUTED_VALUE"""),"Jimmy")</f>
        <v>Jimmy</v>
      </c>
      <c r="C324" t="str">
        <f ca="1">IFERROR(__xludf.DUMMYFUNCTION("""COMPUTED_VALUE"""),"james.tomazinis@floridadep.gov")</f>
        <v>james.tomazinis@floridadep.gov</v>
      </c>
      <c r="D324" t="str">
        <f ca="1">IFERROR(__xludf.DUMMYFUNCTION("""COMPUTED_VALUE"""),"Stewardship (Aquatic)")</f>
        <v>Stewardship (Aquatic)</v>
      </c>
      <c r="E324" t="str">
        <f ca="1">IFERROR(__xludf.DUMMYFUNCTION("""COMPUTED_VALUE"""),"Whitney")</f>
        <v>Whitney</v>
      </c>
      <c r="F324" s="13">
        <f ca="1">IFERROR(__xludf.DUMMYFUNCTION("""COMPUTED_VALUE"""),0.385416666667879)</f>
        <v>0.38541666666787899</v>
      </c>
      <c r="G324" s="14">
        <f ca="1">IFERROR(__xludf.DUMMYFUNCTION("""COMPUTED_VALUE"""),43635)</f>
        <v>43635</v>
      </c>
      <c r="H324" t="str">
        <f ca="1">IFERROR(__xludf.DUMMYFUNCTION("""COMPUTED_VALUE"""),"Summerhaven")</f>
        <v>Summerhaven</v>
      </c>
      <c r="I324" s="15">
        <f ca="1">IFERROR(__xludf.DUMMYFUNCTION("""COMPUTED_VALUE"""),0.510416666667879)</f>
        <v>0.51041666666787899</v>
      </c>
      <c r="J324" s="16"/>
      <c r="K324" t="str">
        <f ca="1">IFERROR(__xludf.DUMMYFUNCTION("""COMPUTED_VALUE"""),"Kayak(s)")</f>
        <v>Kayak(s)</v>
      </c>
      <c r="L324">
        <f ca="1">IFERROR(__xludf.DUMMYFUNCTION("""COMPUTED_VALUE"""),2)</f>
        <v>2</v>
      </c>
      <c r="M324" t="str">
        <f ca="1">IFERROR(__xludf.DUMMYFUNCTION("""COMPUTED_VALUE"""),"Ford F150 2015 (White) - DEP21448")</f>
        <v>Ford F150 2015 (White) - DEP21448</v>
      </c>
      <c r="N324" t="str">
        <f ca="1">IFERROR(__xludf.DUMMYFUNCTION("""COMPUTED_VALUE"""),"Jimmy Tomazinis, (904) 547-0094")</f>
        <v>Jimmy Tomazinis, (904) 547-0094</v>
      </c>
      <c r="O324" t="str">
        <f ca="1">IFERROR(__xludf.DUMMYFUNCTION("""COMPUTED_VALUE"""),"Ashley Konon")</f>
        <v>Ashley Konon</v>
      </c>
      <c r="P324" t="str">
        <f ca="1">IFERROR(__xludf.DUMMYFUNCTION("""COMPUTED_VALUE"""),"Jimmy")</f>
        <v>Jimmy</v>
      </c>
      <c r="Q324" t="str">
        <f ca="1">IFERROR(__xludf.DUMMYFUNCTION("""COMPUTED_VALUE"""),"Good")</f>
        <v>Good</v>
      </c>
      <c r="R324" t="str">
        <f ca="1">IFERROR(__xludf.DUMMYFUNCTION("""COMPUTED_VALUE"""),"Good")</f>
        <v>Good</v>
      </c>
      <c r="S324" t="str">
        <f ca="1">IFERROR(__xludf.DUMMYFUNCTION("""COMPUTED_VALUE"""),"Good")</f>
        <v>Good</v>
      </c>
      <c r="T324" t="str">
        <f ca="1">IFERROR(__xludf.DUMMYFUNCTION("""COMPUTED_VALUE"""),"Good")</f>
        <v>Good</v>
      </c>
      <c r="U324" t="str">
        <f ca="1">IFERROR(__xludf.DUMMYFUNCTION("""COMPUTED_VALUE"""),"Good")</f>
        <v>Good</v>
      </c>
      <c r="V324" t="str">
        <f ca="1">IFERROR(__xludf.DUMMYFUNCTION("""COMPUTED_VALUE"""),"Good")</f>
        <v>Good</v>
      </c>
      <c r="W324" t="str">
        <f ca="1">IFERROR(__xludf.DUMMYFUNCTION("""COMPUTED_VALUE"""),"Good")</f>
        <v>Good</v>
      </c>
      <c r="X324" t="str">
        <f ca="1">IFERROR(__xludf.DUMMYFUNCTION("""COMPUTED_VALUE"""),"Good")</f>
        <v>Good</v>
      </c>
      <c r="Y324" t="str">
        <f ca="1">IFERROR(__xludf.DUMMYFUNCTION("""COMPUTED_VALUE"""),"Good")</f>
        <v>Good</v>
      </c>
      <c r="Z324" t="str">
        <f ca="1">IFERROR(__xludf.DUMMYFUNCTION("""COMPUTED_VALUE"""),"Good")</f>
        <v>Good</v>
      </c>
      <c r="AA324" t="str">
        <f ca="1">IFERROR(__xludf.DUMMYFUNCTION("""COMPUTED_VALUE"""),"Good")</f>
        <v>Good</v>
      </c>
      <c r="AB324" t="str">
        <f ca="1">IFERROR(__xludf.DUMMYFUNCTION("""COMPUTED_VALUE"""),"Good")</f>
        <v>Good</v>
      </c>
      <c r="AC324" t="str">
        <f ca="1">IFERROR(__xludf.DUMMYFUNCTION("""COMPUTED_VALUE"""),"Good")</f>
        <v>Good</v>
      </c>
      <c r="AE324" s="11"/>
      <c r="AF324" t="str">
        <v>Scott.Eastman@floridadep.gov</v>
      </c>
      <c r="AG324" s="17" t="s">
        <v>126</v>
      </c>
      <c r="AH324" s="12">
        <v>1150</v>
      </c>
      <c r="AI324" s="12" t="s">
        <v>919</v>
      </c>
      <c r="AJ324" s="19" t="s">
        <v>920</v>
      </c>
      <c r="AK324" s="20" t="str">
        <f>HYPERLINK("https://docs.google.com/document/d/1VJnXPJs-V6D3x8ovy_Zxak_KhMiACK6sxW9bc_Tpvk4/edit?usp=drivesdk","Jimmy - 6/19/2019 9:15 AM")</f>
        <v>Jimmy - 6/19/2019 9:15 AM</v>
      </c>
      <c r="AL324" s="12" t="s">
        <v>921</v>
      </c>
    </row>
    <row r="325" spans="1:38" ht="12.75">
      <c r="A325" s="10">
        <f ca="1">IFERROR(__xludf.DUMMYFUNCTION("""COMPUTED_VALUE"""),43635.7319902314)</f>
        <v>43635.731990231398</v>
      </c>
      <c r="B325" s="11" t="str">
        <f ca="1">IFERROR(__xludf.DUMMYFUNCTION("""COMPUTED_VALUE"""),"Jimmy")</f>
        <v>Jimmy</v>
      </c>
      <c r="C325" t="str">
        <f ca="1">IFERROR(__xludf.DUMMYFUNCTION("""COMPUTED_VALUE"""),"james.tomazinis@floridadep.gov")</f>
        <v>james.tomazinis@floridadep.gov</v>
      </c>
      <c r="D325" t="str">
        <f ca="1">IFERROR(__xludf.DUMMYFUNCTION("""COMPUTED_VALUE"""),"Stewardship (Aquatic)")</f>
        <v>Stewardship (Aquatic)</v>
      </c>
      <c r="E325" t="str">
        <f ca="1">IFERROR(__xludf.DUMMYFUNCTION("""COMPUTED_VALUE"""),"TBD")</f>
        <v>TBD</v>
      </c>
      <c r="F325" s="13">
        <f ca="1">IFERROR(__xludf.DUMMYFUNCTION("""COMPUTED_VALUE"""),0.416666666667879)</f>
        <v>0.41666666666787899</v>
      </c>
      <c r="G325" s="14">
        <f ca="1">IFERROR(__xludf.DUMMYFUNCTION("""COMPUTED_VALUE"""),43636)</f>
        <v>43636</v>
      </c>
      <c r="H325" t="str">
        <f ca="1">IFERROR(__xludf.DUMMYFUNCTION("""COMPUTED_VALUE"""),"Stetson row course")</f>
        <v>Stetson row course</v>
      </c>
      <c r="I325" s="15">
        <f ca="1">IFERROR(__xludf.DUMMYFUNCTION("""COMPUTED_VALUE"""),0.70833333333212)</f>
        <v>0.70833333333212001</v>
      </c>
      <c r="J325" s="16"/>
      <c r="N325" t="str">
        <f ca="1">IFERROR(__xludf.DUMMYFUNCTION("""COMPUTED_VALUE"""),"Jimmy Tomazinis, (904) 547-0094")</f>
        <v>Jimmy Tomazinis, (904) 547-0094</v>
      </c>
      <c r="O325" t="str">
        <f ca="1">IFERROR(__xludf.DUMMYFUNCTION("""COMPUTED_VALUE"""),"Ashley Konon")</f>
        <v>Ashley Konon</v>
      </c>
      <c r="P325" t="str">
        <f ca="1">IFERROR(__xludf.DUMMYFUNCTION("""COMPUTED_VALUE"""),"Jimmy")</f>
        <v>Jimmy</v>
      </c>
      <c r="Q325" t="str">
        <f ca="1">IFERROR(__xludf.DUMMYFUNCTION("""COMPUTED_VALUE"""),"Good")</f>
        <v>Good</v>
      </c>
      <c r="R325" t="str">
        <f ca="1">IFERROR(__xludf.DUMMYFUNCTION("""COMPUTED_VALUE"""),"Good")</f>
        <v>Good</v>
      </c>
      <c r="S325" t="str">
        <f ca="1">IFERROR(__xludf.DUMMYFUNCTION("""COMPUTED_VALUE"""),"Good")</f>
        <v>Good</v>
      </c>
      <c r="T325" t="str">
        <f ca="1">IFERROR(__xludf.DUMMYFUNCTION("""COMPUTED_VALUE"""),"Good")</f>
        <v>Good</v>
      </c>
      <c r="U325" t="str">
        <f ca="1">IFERROR(__xludf.DUMMYFUNCTION("""COMPUTED_VALUE"""),"Good")</f>
        <v>Good</v>
      </c>
      <c r="V325" t="str">
        <f ca="1">IFERROR(__xludf.DUMMYFUNCTION("""COMPUTED_VALUE"""),"Good")</f>
        <v>Good</v>
      </c>
      <c r="W325" t="str">
        <f ca="1">IFERROR(__xludf.DUMMYFUNCTION("""COMPUTED_VALUE"""),"Good")</f>
        <v>Good</v>
      </c>
      <c r="X325" t="str">
        <f ca="1">IFERROR(__xludf.DUMMYFUNCTION("""COMPUTED_VALUE"""),"Good")</f>
        <v>Good</v>
      </c>
      <c r="Y325" t="str">
        <f ca="1">IFERROR(__xludf.DUMMYFUNCTION("""COMPUTED_VALUE"""),"Good")</f>
        <v>Good</v>
      </c>
      <c r="Z325" t="str">
        <f ca="1">IFERROR(__xludf.DUMMYFUNCTION("""COMPUTED_VALUE"""),"Good")</f>
        <v>Good</v>
      </c>
      <c r="AA325" t="str">
        <f ca="1">IFERROR(__xludf.DUMMYFUNCTION("""COMPUTED_VALUE"""),"Good")</f>
        <v>Good</v>
      </c>
      <c r="AB325" t="str">
        <f ca="1">IFERROR(__xludf.DUMMYFUNCTION("""COMPUTED_VALUE"""),"Good")</f>
        <v>Good</v>
      </c>
      <c r="AC325" t="str">
        <f ca="1">IFERROR(__xludf.DUMMYFUNCTION("""COMPUTED_VALUE"""),"Good")</f>
        <v>Good</v>
      </c>
      <c r="AE325" s="11"/>
      <c r="AF325" t="str">
        <v>Scott.Eastman@floridadep.gov</v>
      </c>
      <c r="AG325" s="17" t="s">
        <v>444</v>
      </c>
      <c r="AH325" s="12">
        <v>1500</v>
      </c>
      <c r="AI325" s="12" t="s">
        <v>922</v>
      </c>
      <c r="AJ325" s="19" t="s">
        <v>923</v>
      </c>
      <c r="AK325" s="20" t="str">
        <f>HYPERLINK("https://docs.google.com/document/d/1LBlWKL2pKmxOCG6VVr5KzjV_Qs6EWYJnMRPZXBuCHyY/edit?usp=drivesdk","Jimmy - 6/20/2019 10:00 AM")</f>
        <v>Jimmy - 6/20/2019 10:00 AM</v>
      </c>
      <c r="AL325" s="12" t="s">
        <v>924</v>
      </c>
    </row>
    <row r="326" spans="1:38" ht="12.75">
      <c r="A326" s="10">
        <f ca="1">IFERROR(__xludf.DUMMYFUNCTION("""COMPUTED_VALUE"""),43642.3539188657)</f>
        <v>43642.353918865701</v>
      </c>
      <c r="B326" s="11" t="str">
        <f ca="1">IFERROR(__xludf.DUMMYFUNCTION("""COMPUTED_VALUE"""),"Silas Tanner")</f>
        <v>Silas Tanner</v>
      </c>
      <c r="C326" t="str">
        <f ca="1">IFERROR(__xludf.DUMMYFUNCTION("""COMPUTED_VALUE"""),"silas.tanner@floridadep.gov")</f>
        <v>silas.tanner@floridadep.gov</v>
      </c>
      <c r="D326" t="str">
        <f ca="1">IFERROR(__xludf.DUMMYFUNCTION("""COMPUTED_VALUE"""),"Research/Nikki")</f>
        <v>Research/Nikki</v>
      </c>
      <c r="E326" t="str">
        <f ca="1">IFERROR(__xludf.DUMMYFUNCTION("""COMPUTED_VALUE"""),"Crane ramp")</f>
        <v>Crane ramp</v>
      </c>
      <c r="F326" s="13">
        <f ca="1">IFERROR(__xludf.DUMMYFUNCTION("""COMPUTED_VALUE"""),0.39583333333212)</f>
        <v>0.39583333333212001</v>
      </c>
      <c r="G326" s="14">
        <f ca="1">IFERROR(__xludf.DUMMYFUNCTION("""COMPUTED_VALUE"""),43642)</f>
        <v>43642</v>
      </c>
      <c r="H326" t="str">
        <f ca="1">IFERROR(__xludf.DUMMYFUNCTION("""COMPUTED_VALUE"""),"ICW b/w Crane Ramp and Guana river")</f>
        <v>ICW b/w Crane Ramp and Guana river</v>
      </c>
      <c r="I326" s="15">
        <f ca="1">IFERROR(__xludf.DUMMYFUNCTION("""COMPUTED_VALUE"""),0.5)</f>
        <v>0.5</v>
      </c>
      <c r="J326" s="16">
        <f ca="1">IFERROR(__xludf.DUMMYFUNCTION("""COMPUTED_VALUE"""),43642.5208333333)</f>
        <v>43642.520833333299</v>
      </c>
      <c r="K326" t="str">
        <f ca="1">IFERROR(__xludf.DUMMYFUNCTION("""COMPUTED_VALUE"""),"20ft Sea Ark FL5351SJ UNF 2015")</f>
        <v>20ft Sea Ark FL5351SJ UNF 2015</v>
      </c>
      <c r="M326" t="str">
        <f ca="1">IFERROR(__xludf.DUMMYFUNCTION("""COMPUTED_VALUE"""),"Ford F250 2017 (Moby Dix) - DEP0021578")</f>
        <v>Ford F250 2017 (Moby Dix) - DEP0021578</v>
      </c>
      <c r="N326" t="str">
        <f ca="1">IFERROR(__xludf.DUMMYFUNCTION("""COMPUTED_VALUE"""),"Silas Tanner, (904) 483-8423")</f>
        <v>Silas Tanner, (904) 483-8423</v>
      </c>
      <c r="O326" t="str">
        <f ca="1">IFERROR(__xludf.DUMMYFUNCTION("""COMPUTED_VALUE"""),"Shane Pangle")</f>
        <v>Shane Pangle</v>
      </c>
      <c r="P326" t="str">
        <f ca="1">IFERROR(__xludf.DUMMYFUNCTION("""COMPUTED_VALUE"""),"S. Tanner")</f>
        <v>S. Tanner</v>
      </c>
      <c r="Q326" t="str">
        <f ca="1">IFERROR(__xludf.DUMMYFUNCTION("""COMPUTED_VALUE"""),"Good")</f>
        <v>Good</v>
      </c>
      <c r="R326" t="str">
        <f ca="1">IFERROR(__xludf.DUMMYFUNCTION("""COMPUTED_VALUE"""),"Good")</f>
        <v>Good</v>
      </c>
      <c r="S326" t="str">
        <f ca="1">IFERROR(__xludf.DUMMYFUNCTION("""COMPUTED_VALUE"""),"Good")</f>
        <v>Good</v>
      </c>
      <c r="T326" t="str">
        <f ca="1">IFERROR(__xludf.DUMMYFUNCTION("""COMPUTED_VALUE"""),"Good")</f>
        <v>Good</v>
      </c>
      <c r="U326" t="str">
        <f ca="1">IFERROR(__xludf.DUMMYFUNCTION("""COMPUTED_VALUE"""),"Good")</f>
        <v>Good</v>
      </c>
      <c r="V326" t="str">
        <f ca="1">IFERROR(__xludf.DUMMYFUNCTION("""COMPUTED_VALUE"""),"Good")</f>
        <v>Good</v>
      </c>
      <c r="W326" t="str">
        <f ca="1">IFERROR(__xludf.DUMMYFUNCTION("""COMPUTED_VALUE"""),"Good")</f>
        <v>Good</v>
      </c>
      <c r="X326" t="str">
        <f ca="1">IFERROR(__xludf.DUMMYFUNCTION("""COMPUTED_VALUE"""),"Good")</f>
        <v>Good</v>
      </c>
      <c r="Y326" t="str">
        <f ca="1">IFERROR(__xludf.DUMMYFUNCTION("""COMPUTED_VALUE"""),"Good")</f>
        <v>Good</v>
      </c>
      <c r="Z326" t="str">
        <f ca="1">IFERROR(__xludf.DUMMYFUNCTION("""COMPUTED_VALUE"""),"Good")</f>
        <v>Good</v>
      </c>
      <c r="AA326" t="str">
        <f ca="1">IFERROR(__xludf.DUMMYFUNCTION("""COMPUTED_VALUE"""),"Good")</f>
        <v>Good</v>
      </c>
      <c r="AB326" t="str">
        <f ca="1">IFERROR(__xludf.DUMMYFUNCTION("""COMPUTED_VALUE"""),"Good")</f>
        <v>Good</v>
      </c>
      <c r="AC326" t="str">
        <f ca="1">IFERROR(__xludf.DUMMYFUNCTION("""COMPUTED_VALUE"""),"Good")</f>
        <v>Good</v>
      </c>
      <c r="AE326" s="11"/>
      <c r="AF326" t="str">
        <v>Nikki.Dix@floridadep.gov</v>
      </c>
      <c r="AG326" s="17" t="s">
        <v>41</v>
      </c>
      <c r="AH326" s="12">
        <v>1157</v>
      </c>
      <c r="AI326" s="12" t="s">
        <v>925</v>
      </c>
      <c r="AJ326" s="19" t="s">
        <v>926</v>
      </c>
      <c r="AK326" s="20" t="str">
        <f>HYPERLINK("https://docs.google.com/document/d/1oFfq4LU7d1zTf_pe0yQ81_jHV2i5KQRSdELtjM6PJvU/edit?usp=drivesdk","Silas Tanner - 6/26/2019 9:30 AM")</f>
        <v>Silas Tanner - 6/26/2019 9:30 AM</v>
      </c>
      <c r="AL326" s="12" t="s">
        <v>927</v>
      </c>
    </row>
    <row r="327" spans="1:38" ht="12.75">
      <c r="A327" s="10">
        <f ca="1">IFERROR(__xludf.DUMMYFUNCTION("""COMPUTED_VALUE"""),43644.3969282523)</f>
        <v>43644.396928252303</v>
      </c>
      <c r="B327" s="11" t="str">
        <f ca="1">IFERROR(__xludf.DUMMYFUNCTION("""COMPUTED_VALUE"""),"Pam  Marcum")</f>
        <v>Pam  Marcum</v>
      </c>
      <c r="C327" t="str">
        <f ca="1">IFERROR(__xludf.DUMMYFUNCTION("""COMPUTED_VALUE"""),"pamela.marcum@dep.state.fl.us")</f>
        <v>pamela.marcum@dep.state.fl.us</v>
      </c>
      <c r="D327" t="str">
        <f ca="1">IFERROR(__xludf.DUMMYFUNCTION("""COMPUTED_VALUE"""),"Research/Nikki")</f>
        <v>Research/Nikki</v>
      </c>
      <c r="E327" t="str">
        <f ca="1">IFERROR(__xludf.DUMMYFUNCTION("""COMPUTED_VALUE"""),"Shore drive crane park")</f>
        <v>Shore drive crane park</v>
      </c>
      <c r="F327" s="13">
        <f ca="1">IFERROR(__xludf.DUMMYFUNCTION("""COMPUTED_VALUE"""),0.375)</f>
        <v>0.375</v>
      </c>
      <c r="G327" s="14">
        <f ca="1">IFERROR(__xludf.DUMMYFUNCTION("""COMPUTED_VALUE"""),43644)</f>
        <v>43644</v>
      </c>
      <c r="H327" t="str">
        <f ca="1">IFERROR(__xludf.DUMMYFUNCTION("""COMPUTED_VALUE"""),"Marsh Creek")</f>
        <v>Marsh Creek</v>
      </c>
      <c r="I327" s="15">
        <f ca="1">IFERROR(__xludf.DUMMYFUNCTION("""COMPUTED_VALUE"""),0.58333333333212)</f>
        <v>0.58333333333212001</v>
      </c>
      <c r="J327" s="16">
        <f ca="1">IFERROR(__xludf.DUMMYFUNCTION("""COMPUTED_VALUE"""),43644.625)</f>
        <v>43644.625</v>
      </c>
      <c r="K327" t="str">
        <f ca="1">IFERROR(__xludf.DUMMYFUNCTION("""COMPUTED_VALUE"""),"20ft Sea Ark FL5351SJ UNF 2015")</f>
        <v>20ft Sea Ark FL5351SJ UNF 2015</v>
      </c>
      <c r="M327" t="str">
        <f ca="1">IFERROR(__xludf.DUMMYFUNCTION("""COMPUTED_VALUE"""),"Ford F150 2015 (White) - DEP21448")</f>
        <v>Ford F150 2015 (White) - DEP21448</v>
      </c>
      <c r="N327" t="str">
        <f ca="1">IFERROR(__xludf.DUMMYFUNCTION("""COMPUTED_VALUE"""),"Pam Marcum, (480) 332-5414")</f>
        <v>Pam Marcum, (480) 332-5414</v>
      </c>
      <c r="O327" t="str">
        <f ca="1">IFERROR(__xludf.DUMMYFUNCTION("""COMPUTED_VALUE"""),"Gabby Canas, Alee Knoell")</f>
        <v>Gabby Canas, Alee Knoell</v>
      </c>
      <c r="P327" t="str">
        <f ca="1">IFERROR(__xludf.DUMMYFUNCTION("""COMPUTED_VALUE"""),"Pam &amp;  Gabby")</f>
        <v>Pam &amp;  Gabby</v>
      </c>
      <c r="Q327" t="str">
        <f ca="1">IFERROR(__xludf.DUMMYFUNCTION("""COMPUTED_VALUE"""),"Good")</f>
        <v>Good</v>
      </c>
      <c r="R327" t="str">
        <f ca="1">IFERROR(__xludf.DUMMYFUNCTION("""COMPUTED_VALUE"""),"Good")</f>
        <v>Good</v>
      </c>
      <c r="S327" t="str">
        <f ca="1">IFERROR(__xludf.DUMMYFUNCTION("""COMPUTED_VALUE"""),"Good")</f>
        <v>Good</v>
      </c>
      <c r="T327" t="str">
        <f ca="1">IFERROR(__xludf.DUMMYFUNCTION("""COMPUTED_VALUE"""),"Good")</f>
        <v>Good</v>
      </c>
      <c r="U327" t="str">
        <f ca="1">IFERROR(__xludf.DUMMYFUNCTION("""COMPUTED_VALUE"""),"Good")</f>
        <v>Good</v>
      </c>
      <c r="V327" t="str">
        <f ca="1">IFERROR(__xludf.DUMMYFUNCTION("""COMPUTED_VALUE"""),"Good")</f>
        <v>Good</v>
      </c>
      <c r="W327" t="str">
        <f ca="1">IFERROR(__xludf.DUMMYFUNCTION("""COMPUTED_VALUE"""),"Good")</f>
        <v>Good</v>
      </c>
      <c r="X327" t="str">
        <f ca="1">IFERROR(__xludf.DUMMYFUNCTION("""COMPUTED_VALUE"""),"Good")</f>
        <v>Good</v>
      </c>
      <c r="Y327" t="str">
        <f ca="1">IFERROR(__xludf.DUMMYFUNCTION("""COMPUTED_VALUE"""),"Good")</f>
        <v>Good</v>
      </c>
      <c r="Z327" t="str">
        <f ca="1">IFERROR(__xludf.DUMMYFUNCTION("""COMPUTED_VALUE"""),"Good")</f>
        <v>Good</v>
      </c>
      <c r="AA327" t="str">
        <f ca="1">IFERROR(__xludf.DUMMYFUNCTION("""COMPUTED_VALUE"""),"Good")</f>
        <v>Good</v>
      </c>
      <c r="AB327" t="str">
        <f ca="1">IFERROR(__xludf.DUMMYFUNCTION("""COMPUTED_VALUE"""),"Good")</f>
        <v>Good</v>
      </c>
      <c r="AC327" t="str">
        <f ca="1">IFERROR(__xludf.DUMMYFUNCTION("""COMPUTED_VALUE"""),"Good")</f>
        <v>Good</v>
      </c>
      <c r="AE327" s="11"/>
      <c r="AF327" t="str">
        <v>Nikki.Dix@floridadep.gov</v>
      </c>
      <c r="AG327" s="17" t="s">
        <v>113</v>
      </c>
      <c r="AH327" s="12">
        <v>1410</v>
      </c>
      <c r="AI327" s="12" t="s">
        <v>928</v>
      </c>
      <c r="AJ327" s="19" t="s">
        <v>929</v>
      </c>
      <c r="AK327" s="20" t="str">
        <f>HYPERLINK("https://docs.google.com/document/d/1KgtsJJKzhgVyGWsX20RlzbAQfyhax9XMYyQYU7_jT3Q/edit?usp=drivesdk","Pam  Marcum - 6/28/2019 9:00 AM")</f>
        <v>Pam  Marcum - 6/28/2019 9:00 AM</v>
      </c>
      <c r="AL327" s="12" t="s">
        <v>930</v>
      </c>
    </row>
    <row r="328" spans="1:38" ht="12.75">
      <c r="A328" s="10">
        <f ca="1">IFERROR(__xludf.DUMMYFUNCTION("""COMPUTED_VALUE"""),43647.5154639583)</f>
        <v>43647.515463958298</v>
      </c>
      <c r="B328" s="11" t="str">
        <f ca="1">IFERROR(__xludf.DUMMYFUNCTION("""COMPUTED_VALUE"""),"Pamela Marcum")</f>
        <v>Pamela Marcum</v>
      </c>
      <c r="C328" t="str">
        <f ca="1">IFERROR(__xludf.DUMMYFUNCTION("""COMPUTED_VALUE"""),"Pamela.Marcum@dep.state.fl.us")</f>
        <v>Pamela.Marcum@dep.state.fl.us</v>
      </c>
      <c r="D328" t="str">
        <f ca="1">IFERROR(__xludf.DUMMYFUNCTION("""COMPUTED_VALUE"""),"Research/Nikki")</f>
        <v>Research/Nikki</v>
      </c>
      <c r="E328" t="str">
        <f ca="1">IFERROR(__xludf.DUMMYFUNCTION("""COMPUTED_VALUE"""),"Aunt Kate's")</f>
        <v>Aunt Kate's</v>
      </c>
      <c r="F328" s="13">
        <f ca="1">IFERROR(__xludf.DUMMYFUNCTION("""COMPUTED_VALUE"""),0.541666666667879)</f>
        <v>0.54166666666787899</v>
      </c>
      <c r="G328" s="14">
        <f ca="1">IFERROR(__xludf.DUMMYFUNCTION("""COMPUTED_VALUE"""),43647)</f>
        <v>43647</v>
      </c>
      <c r="H328" t="str">
        <f ca="1">IFERROR(__xludf.DUMMYFUNCTION("""COMPUTED_VALUE"""),"Tolomato &amp; Guana Rivers")</f>
        <v>Tolomato &amp; Guana Rivers</v>
      </c>
      <c r="I328" s="15">
        <f ca="1">IFERROR(__xludf.DUMMYFUNCTION("""COMPUTED_VALUE"""),0.75)</f>
        <v>0.75</v>
      </c>
      <c r="J328" s="16">
        <f ca="1">IFERROR(__xludf.DUMMYFUNCTION("""COMPUTED_VALUE"""),43647.7708333333)</f>
        <v>43647.770833333299</v>
      </c>
      <c r="K328" t="str">
        <f ca="1">IFERROR(__xludf.DUMMYFUNCTION("""COMPUTED_VALUE"""),"20ft Sea Ark FL5351SJ UNF 2015")</f>
        <v>20ft Sea Ark FL5351SJ UNF 2015</v>
      </c>
      <c r="M328" t="str">
        <f ca="1">IFERROR(__xludf.DUMMYFUNCTION("""COMPUTED_VALUE"""),"Ford F150 2015 (White) - DEP21448")</f>
        <v>Ford F150 2015 (White) - DEP21448</v>
      </c>
      <c r="N328" t="str">
        <f ca="1">IFERROR(__xludf.DUMMYFUNCTION("""COMPUTED_VALUE"""),"Pam Marcum, (480) 332-5414")</f>
        <v>Pam Marcum, (480) 332-5414</v>
      </c>
      <c r="O328" t="str">
        <f ca="1">IFERROR(__xludf.DUMMYFUNCTION("""COMPUTED_VALUE"""),"Nicole Peckham, Adrienne Breef-Pilz")</f>
        <v>Nicole Peckham, Adrienne Breef-Pilz</v>
      </c>
      <c r="P328" t="str">
        <f ca="1">IFERROR(__xludf.DUMMYFUNCTION("""COMPUTED_VALUE"""),"Pam")</f>
        <v>Pam</v>
      </c>
      <c r="Q328" t="str">
        <f ca="1">IFERROR(__xludf.DUMMYFUNCTION("""COMPUTED_VALUE"""),"Good")</f>
        <v>Good</v>
      </c>
      <c r="R328" t="str">
        <f ca="1">IFERROR(__xludf.DUMMYFUNCTION("""COMPUTED_VALUE"""),"Good")</f>
        <v>Good</v>
      </c>
      <c r="S328" t="str">
        <f ca="1">IFERROR(__xludf.DUMMYFUNCTION("""COMPUTED_VALUE"""),"Good")</f>
        <v>Good</v>
      </c>
      <c r="T328" t="str">
        <f ca="1">IFERROR(__xludf.DUMMYFUNCTION("""COMPUTED_VALUE"""),"Good")</f>
        <v>Good</v>
      </c>
      <c r="U328" t="str">
        <f ca="1">IFERROR(__xludf.DUMMYFUNCTION("""COMPUTED_VALUE"""),"Good")</f>
        <v>Good</v>
      </c>
      <c r="V328" t="str">
        <f ca="1">IFERROR(__xludf.DUMMYFUNCTION("""COMPUTED_VALUE"""),"Good")</f>
        <v>Good</v>
      </c>
      <c r="W328" t="str">
        <f ca="1">IFERROR(__xludf.DUMMYFUNCTION("""COMPUTED_VALUE"""),"Good")</f>
        <v>Good</v>
      </c>
      <c r="X328" t="str">
        <f ca="1">IFERROR(__xludf.DUMMYFUNCTION("""COMPUTED_VALUE"""),"Good")</f>
        <v>Good</v>
      </c>
      <c r="Y328" t="str">
        <f ca="1">IFERROR(__xludf.DUMMYFUNCTION("""COMPUTED_VALUE"""),"Good")</f>
        <v>Good</v>
      </c>
      <c r="Z328" t="str">
        <f ca="1">IFERROR(__xludf.DUMMYFUNCTION("""COMPUTED_VALUE"""),"Good")</f>
        <v>Good</v>
      </c>
      <c r="AA328" t="str">
        <f ca="1">IFERROR(__xludf.DUMMYFUNCTION("""COMPUTED_VALUE"""),"Good")</f>
        <v>Good</v>
      </c>
      <c r="AB328" t="str">
        <f ca="1">IFERROR(__xludf.DUMMYFUNCTION("""COMPUTED_VALUE"""),"Good")</f>
        <v>Good</v>
      </c>
      <c r="AC328" t="str">
        <f ca="1">IFERROR(__xludf.DUMMYFUNCTION("""COMPUTED_VALUE"""),"Good")</f>
        <v>Good</v>
      </c>
      <c r="AE328" s="11"/>
      <c r="AF328" t="str">
        <v>Nikki.Dix@floridadep.gov</v>
      </c>
      <c r="AG328" s="17" t="s">
        <v>58</v>
      </c>
      <c r="AH328" s="12">
        <v>1815</v>
      </c>
      <c r="AI328" s="12" t="s">
        <v>931</v>
      </c>
      <c r="AJ328" s="19" t="s">
        <v>932</v>
      </c>
      <c r="AK328" s="20" t="str">
        <f>HYPERLINK("https://docs.google.com/document/d/1d2XWI0EjkYtmDxCVNlEHb93pARhb9WKgiaWv_9QPQ1I/edit?usp=drivesdk","Pamela Marcum - 7/1/2019 1:00 PM")</f>
        <v>Pamela Marcum - 7/1/2019 1:00 PM</v>
      </c>
      <c r="AL328" s="12" t="s">
        <v>933</v>
      </c>
    </row>
    <row r="329" spans="1:38" ht="12.75">
      <c r="A329" s="10">
        <f ca="1">IFERROR(__xludf.DUMMYFUNCTION("""COMPUTED_VALUE"""),43647.6634034722)</f>
        <v>43647.663403472201</v>
      </c>
      <c r="B329" s="11" t="str">
        <f ca="1">IFERROR(__xludf.DUMMYFUNCTION("""COMPUTED_VALUE"""),"S. Tanner")</f>
        <v>S. Tanner</v>
      </c>
      <c r="C329" t="str">
        <f ca="1">IFERROR(__xludf.DUMMYFUNCTION("""COMPUTED_VALUE"""),"silas.tanner@floridadep.gov")</f>
        <v>silas.tanner@floridadep.gov</v>
      </c>
      <c r="D329" t="str">
        <f ca="1">IFERROR(__xludf.DUMMYFUNCTION("""COMPUTED_VALUE"""),"Research/Shannon")</f>
        <v>Research/Shannon</v>
      </c>
      <c r="E329" t="str">
        <f ca="1">IFERROR(__xludf.DUMMYFUNCTION("""COMPUTED_VALUE"""),"Vilano Landing")</f>
        <v>Vilano Landing</v>
      </c>
      <c r="F329" s="13">
        <f ca="1">IFERROR(__xludf.DUMMYFUNCTION("""COMPUTED_VALUE"""),0.354166666667879)</f>
        <v>0.35416666666787899</v>
      </c>
      <c r="G329" s="14">
        <f ca="1">IFERROR(__xludf.DUMMYFUNCTION("""COMPUTED_VALUE"""),43648)</f>
        <v>43648</v>
      </c>
      <c r="H329" t="str">
        <f ca="1">IFERROR(__xludf.DUMMYFUNCTION("""COMPUTED_VALUE"""),"ICW - SWMP sites")</f>
        <v>ICW - SWMP sites</v>
      </c>
      <c r="I329" s="15">
        <f ca="1">IFERROR(__xludf.DUMMYFUNCTION("""COMPUTED_VALUE"""),0.52083333333212)</f>
        <v>0.52083333333212001</v>
      </c>
      <c r="J329" s="16">
        <f ca="1">IFERROR(__xludf.DUMMYFUNCTION("""COMPUTED_VALUE"""),43648.5416666666)</f>
        <v>43648.541666666599</v>
      </c>
      <c r="K329" t="str">
        <f ca="1">IFERROR(__xludf.DUMMYFUNCTION("""COMPUTED_VALUE"""),"20ft Sea Ark FL5351SJ UNF 2015")</f>
        <v>20ft Sea Ark FL5351SJ UNF 2015</v>
      </c>
      <c r="M329" t="str">
        <f ca="1">IFERROR(__xludf.DUMMYFUNCTION("""COMPUTED_VALUE"""),"Ford F150 2015 (White) - DEP21448")</f>
        <v>Ford F150 2015 (White) - DEP21448</v>
      </c>
      <c r="N329" t="str">
        <f ca="1">IFERROR(__xludf.DUMMYFUNCTION("""COMPUTED_VALUE"""),"Silas Tanner, (904) 483-8423, Remo Mondazzi")</f>
        <v>Silas Tanner, (904) 483-8423, Remo Mondazzi</v>
      </c>
      <c r="O329" t="str">
        <f ca="1">IFERROR(__xludf.DUMMYFUNCTION("""COMPUTED_VALUE"""),"Molly Dent")</f>
        <v>Molly Dent</v>
      </c>
      <c r="P329" t="str">
        <f ca="1">IFERROR(__xludf.DUMMYFUNCTION("""COMPUTED_VALUE"""),"S. Tanner")</f>
        <v>S. Tanner</v>
      </c>
      <c r="Q329" t="str">
        <f ca="1">IFERROR(__xludf.DUMMYFUNCTION("""COMPUTED_VALUE"""),"Good")</f>
        <v>Good</v>
      </c>
      <c r="R329" t="str">
        <f ca="1">IFERROR(__xludf.DUMMYFUNCTION("""COMPUTED_VALUE"""),"Good")</f>
        <v>Good</v>
      </c>
      <c r="S329" t="str">
        <f ca="1">IFERROR(__xludf.DUMMYFUNCTION("""COMPUTED_VALUE"""),"Good")</f>
        <v>Good</v>
      </c>
      <c r="T329" t="str">
        <f ca="1">IFERROR(__xludf.DUMMYFUNCTION("""COMPUTED_VALUE"""),"Good")</f>
        <v>Good</v>
      </c>
      <c r="U329" t="str">
        <f ca="1">IFERROR(__xludf.DUMMYFUNCTION("""COMPUTED_VALUE"""),"Good")</f>
        <v>Good</v>
      </c>
      <c r="V329" t="str">
        <f ca="1">IFERROR(__xludf.DUMMYFUNCTION("""COMPUTED_VALUE"""),"Good")</f>
        <v>Good</v>
      </c>
      <c r="W329" t="str">
        <f ca="1">IFERROR(__xludf.DUMMYFUNCTION("""COMPUTED_VALUE"""),"Good")</f>
        <v>Good</v>
      </c>
      <c r="X329" t="str">
        <f ca="1">IFERROR(__xludf.DUMMYFUNCTION("""COMPUTED_VALUE"""),"Good")</f>
        <v>Good</v>
      </c>
      <c r="Y329" t="str">
        <f ca="1">IFERROR(__xludf.DUMMYFUNCTION("""COMPUTED_VALUE"""),"Good")</f>
        <v>Good</v>
      </c>
      <c r="Z329" t="str">
        <f ca="1">IFERROR(__xludf.DUMMYFUNCTION("""COMPUTED_VALUE"""),"Good")</f>
        <v>Good</v>
      </c>
      <c r="AA329" t="str">
        <f ca="1">IFERROR(__xludf.DUMMYFUNCTION("""COMPUTED_VALUE"""),"Good")</f>
        <v>Good</v>
      </c>
      <c r="AB329" t="str">
        <f ca="1">IFERROR(__xludf.DUMMYFUNCTION("""COMPUTED_VALUE"""),"Good")</f>
        <v>Good</v>
      </c>
      <c r="AC329" t="str">
        <f ca="1">IFERROR(__xludf.DUMMYFUNCTION("""COMPUTED_VALUE"""),"Good")</f>
        <v>Good</v>
      </c>
      <c r="AE329" s="11"/>
      <c r="AF329" t="str">
        <v>Shannon.Dunnigan@floridadep.gov</v>
      </c>
      <c r="AG329" s="17" t="s">
        <v>507</v>
      </c>
      <c r="AH329" s="12">
        <v>1615</v>
      </c>
      <c r="AI329" s="12" t="s">
        <v>934</v>
      </c>
      <c r="AJ329" s="19" t="s">
        <v>935</v>
      </c>
      <c r="AK329" s="20" t="str">
        <f>HYPERLINK("https://docs.google.com/document/d/1O2axMQA5xDTQpskdWm80p09JuUPVL5tfWcrGdGzBO5k/edit?usp=drivesdk","S. Tanner - 7/2/2019 8:30 AM")</f>
        <v>S. Tanner - 7/2/2019 8:30 AM</v>
      </c>
      <c r="AL329" s="12" t="s">
        <v>936</v>
      </c>
    </row>
    <row r="330" spans="1:38" ht="12.75">
      <c r="A330" s="10">
        <f ca="1">IFERROR(__xludf.DUMMYFUNCTION("""COMPUTED_VALUE"""),43648.6842251967)</f>
        <v>43648.684225196703</v>
      </c>
      <c r="B330" s="11" t="str">
        <f ca="1">IFERROR(__xludf.DUMMYFUNCTION("""COMPUTED_VALUE"""),"Ruben Allen")</f>
        <v>Ruben Allen</v>
      </c>
      <c r="C330" t="str">
        <f ca="1">IFERROR(__xludf.DUMMYFUNCTION("""COMPUTED_VALUE"""),"Rubeall57@gmail.com")</f>
        <v>Rubeall57@gmail.com</v>
      </c>
      <c r="D330" t="str">
        <f ca="1">IFERROR(__xludf.DUMMYFUNCTION("""COMPUTED_VALUE"""),"Research/Pam")</f>
        <v>Research/Pam</v>
      </c>
      <c r="E330" t="str">
        <f ca="1">IFERROR(__xludf.DUMMYFUNCTION("""COMPUTED_VALUE"""),"St Augustine")</f>
        <v>St Augustine</v>
      </c>
      <c r="F330" s="13">
        <f ca="1">IFERROR(__xludf.DUMMYFUNCTION("""COMPUTED_VALUE"""),0.354166666667879)</f>
        <v>0.35416666666787899</v>
      </c>
      <c r="G330" s="14">
        <f ca="1">IFERROR(__xludf.DUMMYFUNCTION("""COMPUTED_VALUE"""),43649)</f>
        <v>43649</v>
      </c>
      <c r="H330" t="str">
        <f ca="1">IFERROR(__xludf.DUMMYFUNCTION("""COMPUTED_VALUE"""),"Intercoastal WW Pine Island and reutrn")</f>
        <v>Intercoastal WW Pine Island and reutrn</v>
      </c>
      <c r="I330" s="15">
        <f ca="1">IFERROR(__xludf.DUMMYFUNCTION("""COMPUTED_VALUE"""),0.479166666667879)</f>
        <v>0.47916666666787899</v>
      </c>
      <c r="J330" s="16">
        <f ca="1">IFERROR(__xludf.DUMMYFUNCTION("""COMPUTED_VALUE"""),43649.5)</f>
        <v>43649.5</v>
      </c>
      <c r="K330" t="str">
        <f ca="1">IFERROR(__xludf.DUMMYFUNCTION("""COMPUTED_VALUE"""),"20ft Sea Ark FL5351SJ UNF 2015")</f>
        <v>20ft Sea Ark FL5351SJ UNF 2015</v>
      </c>
      <c r="M330" t="str">
        <f ca="1">IFERROR(__xludf.DUMMYFUNCTION("""COMPUTED_VALUE"""),"Ford F150 2015 (White) - DEP21448")</f>
        <v>Ford F150 2015 (White) - DEP21448</v>
      </c>
      <c r="N330" t="str">
        <f ca="1">IFERROR(__xludf.DUMMYFUNCTION("""COMPUTED_VALUE"""),"Ruben Allen  (904) 860-0083")</f>
        <v>Ruben Allen  (904) 860-0083</v>
      </c>
      <c r="O330" t="str">
        <f ca="1">IFERROR(__xludf.DUMMYFUNCTION("""COMPUTED_VALUE"""),"Alee Knoell")</f>
        <v>Alee Knoell</v>
      </c>
      <c r="P330" t="str">
        <f ca="1">IFERROR(__xludf.DUMMYFUNCTION("""COMPUTED_VALUE"""),"Ruben Allen")</f>
        <v>Ruben Allen</v>
      </c>
      <c r="Q330" t="str">
        <f ca="1">IFERROR(__xludf.DUMMYFUNCTION("""COMPUTED_VALUE"""),"Good")</f>
        <v>Good</v>
      </c>
      <c r="R330" t="str">
        <f ca="1">IFERROR(__xludf.DUMMYFUNCTION("""COMPUTED_VALUE"""),"Good")</f>
        <v>Good</v>
      </c>
      <c r="S330" t="str">
        <f ca="1">IFERROR(__xludf.DUMMYFUNCTION("""COMPUTED_VALUE"""),"Good")</f>
        <v>Good</v>
      </c>
      <c r="T330" t="str">
        <f ca="1">IFERROR(__xludf.DUMMYFUNCTION("""COMPUTED_VALUE"""),"Good")</f>
        <v>Good</v>
      </c>
      <c r="U330" t="str">
        <f ca="1">IFERROR(__xludf.DUMMYFUNCTION("""COMPUTED_VALUE"""),"Good")</f>
        <v>Good</v>
      </c>
      <c r="V330" t="str">
        <f ca="1">IFERROR(__xludf.DUMMYFUNCTION("""COMPUTED_VALUE"""),"Good")</f>
        <v>Good</v>
      </c>
      <c r="W330" t="str">
        <f ca="1">IFERROR(__xludf.DUMMYFUNCTION("""COMPUTED_VALUE"""),"Good")</f>
        <v>Good</v>
      </c>
      <c r="X330" t="str">
        <f ca="1">IFERROR(__xludf.DUMMYFUNCTION("""COMPUTED_VALUE"""),"Good")</f>
        <v>Good</v>
      </c>
      <c r="Y330" t="str">
        <f ca="1">IFERROR(__xludf.DUMMYFUNCTION("""COMPUTED_VALUE"""),"Good")</f>
        <v>Good</v>
      </c>
      <c r="Z330" t="str">
        <f ca="1">IFERROR(__xludf.DUMMYFUNCTION("""COMPUTED_VALUE"""),"Good")</f>
        <v>Good</v>
      </c>
      <c r="AA330" t="str">
        <f ca="1">IFERROR(__xludf.DUMMYFUNCTION("""COMPUTED_VALUE"""),"Good")</f>
        <v>Good</v>
      </c>
      <c r="AB330" t="str">
        <f ca="1">IFERROR(__xludf.DUMMYFUNCTION("""COMPUTED_VALUE"""),"Good")</f>
        <v>Good</v>
      </c>
      <c r="AC330" t="str">
        <f ca="1">IFERROR(__xludf.DUMMYFUNCTION("""COMPUTED_VALUE"""),"Good")</f>
        <v>Good</v>
      </c>
      <c r="AD330" t="str">
        <f ca="1">IFERROR(__xludf.DUMMYFUNCTION("""COMPUTED_VALUE"""),"Yes")</f>
        <v>Yes</v>
      </c>
      <c r="AE330" s="11" t="str">
        <f ca="1">IFERROR(__xludf.DUMMYFUNCTION("""COMPUTED_VALUE"""),"Yes")</f>
        <v>Yes</v>
      </c>
      <c r="AF330" t="str">
        <v>Pamela.Marcum@floridadep.gov</v>
      </c>
      <c r="AG330" s="17" t="s">
        <v>507</v>
      </c>
      <c r="AH330" s="12">
        <v>1133</v>
      </c>
      <c r="AI330" s="12" t="s">
        <v>937</v>
      </c>
      <c r="AJ330" s="19" t="s">
        <v>938</v>
      </c>
      <c r="AK330" s="20" t="str">
        <f>HYPERLINK("https://docs.google.com/document/d/1Lj3Corcrdfv8NhADDnB5MnFLc80Lp1cbT2jtyOaAzZg/edit?usp=drivesdk","Ruben Allen - 7/3/2019 8:30 AM")</f>
        <v>Ruben Allen - 7/3/2019 8:30 AM</v>
      </c>
      <c r="AL330" s="12" t="s">
        <v>939</v>
      </c>
    </row>
    <row r="331" spans="1:38" ht="12.75">
      <c r="A331" s="10">
        <f ca="1">IFERROR(__xludf.DUMMYFUNCTION("""COMPUTED_VALUE"""),43649.5967778935)</f>
        <v>43649.596777893501</v>
      </c>
      <c r="B331" s="11" t="str">
        <f ca="1">IFERROR(__xludf.DUMMYFUNCTION("""COMPUTED_VALUE"""),"TEST")</f>
        <v>TEST</v>
      </c>
      <c r="C331" t="str">
        <f ca="1">IFERROR(__xludf.DUMMYFUNCTION("""COMPUTED_VALUE"""),"josephine.spearman@FloridaDEP.org")</f>
        <v>josephine.spearman@FloridaDEP.org</v>
      </c>
      <c r="D331" t="str">
        <f ca="1">IFERROR(__xludf.DUMMYFUNCTION("""COMPUTED_VALUE"""),"Education")</f>
        <v>Education</v>
      </c>
      <c r="E331" t="str">
        <f ca="1">IFERROR(__xludf.DUMMYFUNCTION("""COMPUTED_VALUE"""),"TEST")</f>
        <v>TEST</v>
      </c>
      <c r="F331" s="13">
        <f ca="1">IFERROR(__xludf.DUMMYFUNCTION("""COMPUTED_VALUE"""),0.625)</f>
        <v>0.625</v>
      </c>
      <c r="G331" s="14">
        <f ca="1">IFERROR(__xludf.DUMMYFUNCTION("""COMPUTED_VALUE"""),43649)</f>
        <v>43649</v>
      </c>
      <c r="H331" t="str">
        <f ca="1">IFERROR(__xludf.DUMMYFUNCTION("""COMPUTED_VALUE"""),"TEST")</f>
        <v>TEST</v>
      </c>
      <c r="I331" s="15">
        <f ca="1">IFERROR(__xludf.DUMMYFUNCTION("""COMPUTED_VALUE"""),0.64583333333212)</f>
        <v>0.64583333333212001</v>
      </c>
      <c r="J331" s="16">
        <f ca="1">IFERROR(__xludf.DUMMYFUNCTION("""COMPUTED_VALUE"""),43649.75)</f>
        <v>43649.75</v>
      </c>
      <c r="K331" t="str">
        <f ca="1">IFERROR(__xludf.DUMMYFUNCTION("""COMPUTED_VALUE"""),"Canoe(s)")</f>
        <v>Canoe(s)</v>
      </c>
      <c r="L331">
        <f ca="1">IFERROR(__xludf.DUMMYFUNCTION("""COMPUTED_VALUE"""),1)</f>
        <v>1</v>
      </c>
      <c r="M331" t="str">
        <f ca="1">IFERROR(__xludf.DUMMYFUNCTION("""COMPUTED_VALUE"""),"Ford F150 2008 - DEP18041 (SWMP Thing)")</f>
        <v>Ford F150 2008 - DEP18041 (SWMP Thing)</v>
      </c>
      <c r="N331" t="str">
        <f ca="1">IFERROR(__xludf.DUMMYFUNCTION("""COMPUTED_VALUE"""),"TEST")</f>
        <v>TEST</v>
      </c>
      <c r="O331" t="str">
        <f ca="1">IFERROR(__xludf.DUMMYFUNCTION("""COMPUTED_VALUE"""),"Josie Spearman, (386) 627-0816")</f>
        <v>Josie Spearman, (386) 627-0816</v>
      </c>
      <c r="P331" t="str">
        <f ca="1">IFERROR(__xludf.DUMMYFUNCTION("""COMPUTED_VALUE"""),"TEST")</f>
        <v>TEST</v>
      </c>
      <c r="Q331" t="str">
        <f ca="1">IFERROR(__xludf.DUMMYFUNCTION("""COMPUTED_VALUE"""),"Good")</f>
        <v>Good</v>
      </c>
      <c r="R331" t="str">
        <f ca="1">IFERROR(__xludf.DUMMYFUNCTION("""COMPUTED_VALUE"""),"Good")</f>
        <v>Good</v>
      </c>
      <c r="S331" t="str">
        <f ca="1">IFERROR(__xludf.DUMMYFUNCTION("""COMPUTED_VALUE"""),"Good")</f>
        <v>Good</v>
      </c>
      <c r="T331" t="str">
        <f ca="1">IFERROR(__xludf.DUMMYFUNCTION("""COMPUTED_VALUE"""),"Good")</f>
        <v>Good</v>
      </c>
      <c r="U331" t="str">
        <f ca="1">IFERROR(__xludf.DUMMYFUNCTION("""COMPUTED_VALUE"""),"Good")</f>
        <v>Good</v>
      </c>
      <c r="V331" t="str">
        <f ca="1">IFERROR(__xludf.DUMMYFUNCTION("""COMPUTED_VALUE"""),"Good")</f>
        <v>Good</v>
      </c>
      <c r="W331" t="str">
        <f ca="1">IFERROR(__xludf.DUMMYFUNCTION("""COMPUTED_VALUE"""),"Good")</f>
        <v>Good</v>
      </c>
      <c r="X331" t="str">
        <f ca="1">IFERROR(__xludf.DUMMYFUNCTION("""COMPUTED_VALUE"""),"Good")</f>
        <v>Good</v>
      </c>
      <c r="Y331" t="str">
        <f ca="1">IFERROR(__xludf.DUMMYFUNCTION("""COMPUTED_VALUE"""),"Good")</f>
        <v>Good</v>
      </c>
      <c r="Z331" t="str">
        <f ca="1">IFERROR(__xludf.DUMMYFUNCTION("""COMPUTED_VALUE"""),"Good")</f>
        <v>Good</v>
      </c>
      <c r="AA331" t="str">
        <f ca="1">IFERROR(__xludf.DUMMYFUNCTION("""COMPUTED_VALUE"""),"Good")</f>
        <v>Good</v>
      </c>
      <c r="AB331" t="str">
        <f ca="1">IFERROR(__xludf.DUMMYFUNCTION("""COMPUTED_VALUE"""),"Good")</f>
        <v>Good</v>
      </c>
      <c r="AC331" t="str">
        <f ca="1">IFERROR(__xludf.DUMMYFUNCTION("""COMPUTED_VALUE"""),"Good")</f>
        <v>Good</v>
      </c>
      <c r="AE331" s="11"/>
      <c r="AF331" t="str">
        <v>Kenneth.Rainer@floridadep.gov</v>
      </c>
      <c r="AG331" s="17"/>
      <c r="AI331" s="12" t="s">
        <v>940</v>
      </c>
      <c r="AJ331" s="19" t="s">
        <v>941</v>
      </c>
      <c r="AK331" s="20" t="str">
        <f>HYPERLINK("https://docs.google.com/document/d/1qXtK3oH7DmcQDkV7PcKHYbDz7zDrjKI0qG6ostGLO4o/edit?usp=drivesdk","TEST - 7/3/2019 3:00 PM")</f>
        <v>TEST - 7/3/2019 3:00 PM</v>
      </c>
      <c r="AL331" s="12" t="s">
        <v>942</v>
      </c>
    </row>
    <row r="332" spans="1:38" ht="12.75">
      <c r="A332" s="10">
        <f ca="1">IFERROR(__xludf.DUMMYFUNCTION("""COMPUTED_VALUE"""),43654.2844826851)</f>
        <v>43654.2844826851</v>
      </c>
      <c r="B332" s="11" t="str">
        <f ca="1">IFERROR(__xludf.DUMMYFUNCTION("""COMPUTED_VALUE"""),"Silas Tanner")</f>
        <v>Silas Tanner</v>
      </c>
      <c r="C332" t="str">
        <f ca="1">IFERROR(__xludf.DUMMYFUNCTION("""COMPUTED_VALUE"""),"silas.tanner@dep.state.fl")</f>
        <v>silas.tanner@dep.state.fl</v>
      </c>
      <c r="D332" t="str">
        <f ca="1">IFERROR(__xludf.DUMMYFUNCTION("""COMPUTED_VALUE"""),"Research/Nikki")</f>
        <v>Research/Nikki</v>
      </c>
      <c r="E332" t="str">
        <f ca="1">IFERROR(__xludf.DUMMYFUNCTION("""COMPUTED_VALUE"""),"Usina")</f>
        <v>Usina</v>
      </c>
      <c r="F332" s="13">
        <f ca="1">IFERROR(__xludf.DUMMYFUNCTION("""COMPUTED_VALUE"""),0.291666666667879)</f>
        <v>0.29166666666787899</v>
      </c>
      <c r="G332" s="14">
        <f ca="1">IFERROR(__xludf.DUMMYFUNCTION("""COMPUTED_VALUE"""),43654)</f>
        <v>43654</v>
      </c>
      <c r="H332" t="str">
        <f ca="1">IFERROR(__xludf.DUMMYFUNCTION("""COMPUTED_VALUE"""),"ICW Pine Island")</f>
        <v>ICW Pine Island</v>
      </c>
      <c r="I332" s="15">
        <f ca="1">IFERROR(__xludf.DUMMYFUNCTION("""COMPUTED_VALUE"""),0.625)</f>
        <v>0.625</v>
      </c>
      <c r="J332" s="16">
        <f ca="1">IFERROR(__xludf.DUMMYFUNCTION("""COMPUTED_VALUE"""),43654.6354166666)</f>
        <v>43654.635416666599</v>
      </c>
      <c r="K332" t="str">
        <f ca="1">IFERROR(__xludf.DUMMYFUNCTION("""COMPUTED_VALUE"""),"20ft Sea Ark FL5351SJ UNF 2015")</f>
        <v>20ft Sea Ark FL5351SJ UNF 2015</v>
      </c>
      <c r="M332" t="str">
        <f ca="1">IFERROR(__xludf.DUMMYFUNCTION("""COMPUTED_VALUE"""),"Ford F150 2015 (White) - DEP21448")</f>
        <v>Ford F150 2015 (White) - DEP21448</v>
      </c>
      <c r="N332" t="str">
        <f ca="1">IFERROR(__xludf.DUMMYFUNCTION("""COMPUTED_VALUE"""),"Silas Tanner, (904) 483-8423")</f>
        <v>Silas Tanner, (904) 483-8423</v>
      </c>
      <c r="O332" t="str">
        <f ca="1">IFERROR(__xludf.DUMMYFUNCTION("""COMPUTED_VALUE"""),"Gabriela Canas, (904) 891-9743, Melissa Southwell, Tyler Cooper-Kolb")</f>
        <v>Gabriela Canas, (904) 891-9743, Melissa Southwell, Tyler Cooper-Kolb</v>
      </c>
      <c r="P332" t="str">
        <f ca="1">IFERROR(__xludf.DUMMYFUNCTION("""COMPUTED_VALUE"""),"S. Tanner")</f>
        <v>S. Tanner</v>
      </c>
      <c r="Q332" t="str">
        <f ca="1">IFERROR(__xludf.DUMMYFUNCTION("""COMPUTED_VALUE"""),"Good")</f>
        <v>Good</v>
      </c>
      <c r="R332" t="str">
        <f ca="1">IFERROR(__xludf.DUMMYFUNCTION("""COMPUTED_VALUE"""),"Good")</f>
        <v>Good</v>
      </c>
      <c r="S332" t="str">
        <f ca="1">IFERROR(__xludf.DUMMYFUNCTION("""COMPUTED_VALUE"""),"Good")</f>
        <v>Good</v>
      </c>
      <c r="T332" t="str">
        <f ca="1">IFERROR(__xludf.DUMMYFUNCTION("""COMPUTED_VALUE"""),"Good")</f>
        <v>Good</v>
      </c>
      <c r="U332" t="str">
        <f ca="1">IFERROR(__xludf.DUMMYFUNCTION("""COMPUTED_VALUE"""),"Good")</f>
        <v>Good</v>
      </c>
      <c r="V332" t="str">
        <f ca="1">IFERROR(__xludf.DUMMYFUNCTION("""COMPUTED_VALUE"""),"Good")</f>
        <v>Good</v>
      </c>
      <c r="W332" t="str">
        <f ca="1">IFERROR(__xludf.DUMMYFUNCTION("""COMPUTED_VALUE"""),"Good")</f>
        <v>Good</v>
      </c>
      <c r="X332" t="str">
        <f ca="1">IFERROR(__xludf.DUMMYFUNCTION("""COMPUTED_VALUE"""),"Good")</f>
        <v>Good</v>
      </c>
      <c r="Y332" t="str">
        <f ca="1">IFERROR(__xludf.DUMMYFUNCTION("""COMPUTED_VALUE"""),"Good")</f>
        <v>Good</v>
      </c>
      <c r="Z332" t="str">
        <f ca="1">IFERROR(__xludf.DUMMYFUNCTION("""COMPUTED_VALUE"""),"Good")</f>
        <v>Good</v>
      </c>
      <c r="AA332" t="str">
        <f ca="1">IFERROR(__xludf.DUMMYFUNCTION("""COMPUTED_VALUE"""),"Good")</f>
        <v>Good</v>
      </c>
      <c r="AB332" t="str">
        <f ca="1">IFERROR(__xludf.DUMMYFUNCTION("""COMPUTED_VALUE"""),"Good")</f>
        <v>Good</v>
      </c>
      <c r="AC332" t="str">
        <f ca="1">IFERROR(__xludf.DUMMYFUNCTION("""COMPUTED_VALUE"""),"Good")</f>
        <v>Good</v>
      </c>
      <c r="AE332" s="11"/>
      <c r="AF332" t="str">
        <v>Nikki.Dix@floridadep.gov</v>
      </c>
      <c r="AG332" s="17" t="s">
        <v>41</v>
      </c>
      <c r="AH332" s="12">
        <v>920</v>
      </c>
      <c r="AI332" s="12" t="s">
        <v>943</v>
      </c>
      <c r="AJ332" s="19" t="s">
        <v>944</v>
      </c>
      <c r="AK332" s="20" t="str">
        <f>HYPERLINK("https://docs.google.com/document/d/1Obn3valZ5ZFWEdYba74PwGZ9qtkhWraIPZUu6aHGrnU/edit?usp=drivesdk","Silas Tanner - 7/8/2019 7:00 AM")</f>
        <v>Silas Tanner - 7/8/2019 7:00 AM</v>
      </c>
      <c r="AL332" s="12" t="s">
        <v>945</v>
      </c>
    </row>
    <row r="333" spans="1:38" ht="12.75">
      <c r="A333" s="10">
        <f ca="1">IFERROR(__xludf.DUMMYFUNCTION("""COMPUTED_VALUE"""),43655.461362118)</f>
        <v>43655.461362118003</v>
      </c>
      <c r="B333" s="11" t="str">
        <f ca="1">IFERROR(__xludf.DUMMYFUNCTION("""COMPUTED_VALUE"""),"Silas Tanner")</f>
        <v>Silas Tanner</v>
      </c>
      <c r="C333" t="str">
        <f ca="1">IFERROR(__xludf.DUMMYFUNCTION("""COMPUTED_VALUE"""),"silas.tanner@dep.state.fl")</f>
        <v>silas.tanner@dep.state.fl</v>
      </c>
      <c r="D333" t="str">
        <f ca="1">IFERROR(__xludf.DUMMYFUNCTION("""COMPUTED_VALUE"""),"Research/Nikki")</f>
        <v>Research/Nikki</v>
      </c>
      <c r="E333" t="str">
        <f ca="1">IFERROR(__xludf.DUMMYFUNCTION("""COMPUTED_VALUE"""),"Vilano landing")</f>
        <v>Vilano landing</v>
      </c>
      <c r="F333" s="13">
        <f ca="1">IFERROR(__xludf.DUMMYFUNCTION("""COMPUTED_VALUE"""),0.465277777777373)</f>
        <v>0.465277777777373</v>
      </c>
      <c r="G333" s="14">
        <f ca="1">IFERROR(__xludf.DUMMYFUNCTION("""COMPUTED_VALUE"""),43655)</f>
        <v>43655</v>
      </c>
      <c r="H333" t="str">
        <f ca="1">IFERROR(__xludf.DUMMYFUNCTION("""COMPUTED_VALUE"""),"ICW San Sebastian")</f>
        <v>ICW San Sebastian</v>
      </c>
      <c r="I333" s="15">
        <f ca="1">IFERROR(__xludf.DUMMYFUNCTION("""COMPUTED_VALUE"""),0.5625)</f>
        <v>0.5625</v>
      </c>
      <c r="J333" s="16">
        <f ca="1">IFERROR(__xludf.DUMMYFUNCTION("""COMPUTED_VALUE"""),43655.6041666666)</f>
        <v>43655.604166666599</v>
      </c>
      <c r="K333" t="str">
        <f ca="1">IFERROR(__xludf.DUMMYFUNCTION("""COMPUTED_VALUE"""),"20ft Sea Ark FL5351SJ UNF 2015")</f>
        <v>20ft Sea Ark FL5351SJ UNF 2015</v>
      </c>
      <c r="M333" t="str">
        <f ca="1">IFERROR(__xludf.DUMMYFUNCTION("""COMPUTED_VALUE"""),"Ford F150 2015 (White) - DEP21448")</f>
        <v>Ford F150 2015 (White) - DEP21448</v>
      </c>
      <c r="N333" t="str">
        <f ca="1">IFERROR(__xludf.DUMMYFUNCTION("""COMPUTED_VALUE"""),"Shannon Dunnigan, (803) 727-5734, Silas Tanner, (904) 483-8423")</f>
        <v>Shannon Dunnigan, (803) 727-5734, Silas Tanner, (904) 483-8423</v>
      </c>
      <c r="O333" t="str">
        <f ca="1">IFERROR(__xludf.DUMMYFUNCTION("""COMPUTED_VALUE"""),"Jessica Lee")</f>
        <v>Jessica Lee</v>
      </c>
      <c r="P333" t="str">
        <f ca="1">IFERROR(__xludf.DUMMYFUNCTION("""COMPUTED_VALUE"""),"S. Dunnigan")</f>
        <v>S. Dunnigan</v>
      </c>
      <c r="Q333" t="str">
        <f ca="1">IFERROR(__xludf.DUMMYFUNCTION("""COMPUTED_VALUE"""),"Good")</f>
        <v>Good</v>
      </c>
      <c r="R333" t="str">
        <f ca="1">IFERROR(__xludf.DUMMYFUNCTION("""COMPUTED_VALUE"""),"Good")</f>
        <v>Good</v>
      </c>
      <c r="S333" t="str">
        <f ca="1">IFERROR(__xludf.DUMMYFUNCTION("""COMPUTED_VALUE"""),"Good")</f>
        <v>Good</v>
      </c>
      <c r="T333" t="str">
        <f ca="1">IFERROR(__xludf.DUMMYFUNCTION("""COMPUTED_VALUE"""),"Good")</f>
        <v>Good</v>
      </c>
      <c r="U333" t="str">
        <f ca="1">IFERROR(__xludf.DUMMYFUNCTION("""COMPUTED_VALUE"""),"Good")</f>
        <v>Good</v>
      </c>
      <c r="V333" t="str">
        <f ca="1">IFERROR(__xludf.DUMMYFUNCTION("""COMPUTED_VALUE"""),"Good")</f>
        <v>Good</v>
      </c>
      <c r="W333" t="str">
        <f ca="1">IFERROR(__xludf.DUMMYFUNCTION("""COMPUTED_VALUE"""),"Good")</f>
        <v>Good</v>
      </c>
      <c r="X333" t="str">
        <f ca="1">IFERROR(__xludf.DUMMYFUNCTION("""COMPUTED_VALUE"""),"Good")</f>
        <v>Good</v>
      </c>
      <c r="Y333" t="str">
        <f ca="1">IFERROR(__xludf.DUMMYFUNCTION("""COMPUTED_VALUE"""),"Good")</f>
        <v>Good</v>
      </c>
      <c r="Z333" t="str">
        <f ca="1">IFERROR(__xludf.DUMMYFUNCTION("""COMPUTED_VALUE"""),"Good")</f>
        <v>Good</v>
      </c>
      <c r="AA333" t="str">
        <f ca="1">IFERROR(__xludf.DUMMYFUNCTION("""COMPUTED_VALUE"""),"Good")</f>
        <v>Good</v>
      </c>
      <c r="AB333" t="str">
        <f ca="1">IFERROR(__xludf.DUMMYFUNCTION("""COMPUTED_VALUE"""),"Good")</f>
        <v>Good</v>
      </c>
      <c r="AC333" t="str">
        <f ca="1">IFERROR(__xludf.DUMMYFUNCTION("""COMPUTED_VALUE"""),"Good")</f>
        <v>Good</v>
      </c>
      <c r="AE333" s="11"/>
      <c r="AF333" t="str">
        <v>Nikki.Dix@floridadep.gov</v>
      </c>
      <c r="AG333" s="17" t="s">
        <v>41</v>
      </c>
      <c r="AH333" s="12">
        <v>1215</v>
      </c>
      <c r="AI333" s="12" t="s">
        <v>946</v>
      </c>
      <c r="AJ333" s="19" t="s">
        <v>947</v>
      </c>
      <c r="AK333" s="20" t="str">
        <f>HYPERLINK("https://docs.google.com/document/d/1uTQ3cRptrbH2rU6bifYJQOp03goG-mR9xEJElr8rAvw/edit?usp=drivesdk","Silas Tanner - 7/9/2019 11:10 AM")</f>
        <v>Silas Tanner - 7/9/2019 11:10 AM</v>
      </c>
      <c r="AL333" s="12" t="s">
        <v>948</v>
      </c>
    </row>
    <row r="334" spans="1:38" ht="12.75">
      <c r="A334" s="10">
        <f ca="1">IFERROR(__xludf.DUMMYFUNCTION("""COMPUTED_VALUE"""),43657.3462833912)</f>
        <v>43657.346283391198</v>
      </c>
      <c r="B334" s="11" t="str">
        <f ca="1">IFERROR(__xludf.DUMMYFUNCTION("""COMPUTED_VALUE"""),"Jimmy")</f>
        <v>Jimmy</v>
      </c>
      <c r="C334" t="str">
        <f ca="1">IFERROR(__xludf.DUMMYFUNCTION("""COMPUTED_VALUE"""),"james.tomazinis@floridadep.gov")</f>
        <v>james.tomazinis@floridadep.gov</v>
      </c>
      <c r="D334" t="str">
        <f ca="1">IFERROR(__xludf.DUMMYFUNCTION("""COMPUTED_VALUE"""),"Stewardship (Aquatic)")</f>
        <v>Stewardship (Aquatic)</v>
      </c>
      <c r="E334" t="str">
        <f ca="1">IFERROR(__xludf.DUMMYFUNCTION("""COMPUTED_VALUE"""),"Vilano")</f>
        <v>Vilano</v>
      </c>
      <c r="F334" s="13">
        <f ca="1">IFERROR(__xludf.DUMMYFUNCTION("""COMPUTED_VALUE"""),0.385416666667879)</f>
        <v>0.38541666666787899</v>
      </c>
      <c r="G334" s="14">
        <f ca="1">IFERROR(__xludf.DUMMYFUNCTION("""COMPUTED_VALUE"""),43657)</f>
        <v>43657</v>
      </c>
      <c r="H334" t="str">
        <f ca="1">IFERROR(__xludf.DUMMYFUNCTION("""COMPUTED_VALUE"""),"Tolomato Nekton Sites")</f>
        <v>Tolomato Nekton Sites</v>
      </c>
      <c r="I334" s="15">
        <f ca="1">IFERROR(__xludf.DUMMYFUNCTION("""COMPUTED_VALUE"""),0.6875)</f>
        <v>0.6875</v>
      </c>
      <c r="J334" s="16"/>
      <c r="K334" t="str">
        <f ca="1">IFERROR(__xludf.DUMMYFUNCTION("""COMPUTED_VALUE"""),"23ft Skiff (Bertha) FL7972LJ DEP07613")</f>
        <v>23ft Skiff (Bertha) FL7972LJ DEP07613</v>
      </c>
      <c r="M334" t="str">
        <f ca="1">IFERROR(__xludf.DUMMYFUNCTION("""COMPUTED_VALUE"""),"Ford F150 2015 (White) - DEP21448")</f>
        <v>Ford F150 2015 (White) - DEP21448</v>
      </c>
      <c r="N334" t="str">
        <f ca="1">IFERROR(__xludf.DUMMYFUNCTION("""COMPUTED_VALUE"""),"Jimmy Tomazinis, (904) 547-0094")</f>
        <v>Jimmy Tomazinis, (904) 547-0094</v>
      </c>
      <c r="O334" t="str">
        <f ca="1">IFERROR(__xludf.DUMMYFUNCTION("""COMPUTED_VALUE"""),"Dickson, Amy, Jeff, Raymond")</f>
        <v>Dickson, Amy, Jeff, Raymond</v>
      </c>
      <c r="P334" t="str">
        <f ca="1">IFERROR(__xludf.DUMMYFUNCTION("""COMPUTED_VALUE"""),"Jimmy")</f>
        <v>Jimmy</v>
      </c>
      <c r="Q334" t="str">
        <f ca="1">IFERROR(__xludf.DUMMYFUNCTION("""COMPUTED_VALUE"""),"Good")</f>
        <v>Good</v>
      </c>
      <c r="R334" t="str">
        <f ca="1">IFERROR(__xludf.DUMMYFUNCTION("""COMPUTED_VALUE"""),"Good")</f>
        <v>Good</v>
      </c>
      <c r="S334" t="str">
        <f ca="1">IFERROR(__xludf.DUMMYFUNCTION("""COMPUTED_VALUE"""),"Good")</f>
        <v>Good</v>
      </c>
      <c r="T334" t="str">
        <f ca="1">IFERROR(__xludf.DUMMYFUNCTION("""COMPUTED_VALUE"""),"Good")</f>
        <v>Good</v>
      </c>
      <c r="U334" t="str">
        <f ca="1">IFERROR(__xludf.DUMMYFUNCTION("""COMPUTED_VALUE"""),"Good")</f>
        <v>Good</v>
      </c>
      <c r="V334" t="str">
        <f ca="1">IFERROR(__xludf.DUMMYFUNCTION("""COMPUTED_VALUE"""),"Good")</f>
        <v>Good</v>
      </c>
      <c r="W334" t="str">
        <f ca="1">IFERROR(__xludf.DUMMYFUNCTION("""COMPUTED_VALUE"""),"Good")</f>
        <v>Good</v>
      </c>
      <c r="X334" t="str">
        <f ca="1">IFERROR(__xludf.DUMMYFUNCTION("""COMPUTED_VALUE"""),"Good")</f>
        <v>Good</v>
      </c>
      <c r="Y334" t="str">
        <f ca="1">IFERROR(__xludf.DUMMYFUNCTION("""COMPUTED_VALUE"""),"Good")</f>
        <v>Good</v>
      </c>
      <c r="Z334" t="str">
        <f ca="1">IFERROR(__xludf.DUMMYFUNCTION("""COMPUTED_VALUE"""),"Good")</f>
        <v>Good</v>
      </c>
      <c r="AA334" t="str">
        <f ca="1">IFERROR(__xludf.DUMMYFUNCTION("""COMPUTED_VALUE"""),"Good")</f>
        <v>Good</v>
      </c>
      <c r="AB334" t="str">
        <f ca="1">IFERROR(__xludf.DUMMYFUNCTION("""COMPUTED_VALUE"""),"Good")</f>
        <v>Good</v>
      </c>
      <c r="AC334" t="str">
        <f ca="1">IFERROR(__xludf.DUMMYFUNCTION("""COMPUTED_VALUE"""),"Good")</f>
        <v>Good</v>
      </c>
      <c r="AE334" s="11"/>
      <c r="AF334" t="str">
        <v>Scott.Eastman@floridadep.gov</v>
      </c>
      <c r="AG334" s="17" t="s">
        <v>17</v>
      </c>
      <c r="AH334" s="12">
        <v>1550</v>
      </c>
      <c r="AI334" s="12" t="s">
        <v>949</v>
      </c>
      <c r="AJ334" s="19" t="s">
        <v>950</v>
      </c>
      <c r="AK334" s="20" t="str">
        <f>HYPERLINK("https://docs.google.com/document/d/1aBGvsEHCirIyyRknTERtRhpAFTNHS0JnXUlFaT1v4cE/edit?usp=drivesdk","Jimmy - 7/11/2019 9:15 AM")</f>
        <v>Jimmy - 7/11/2019 9:15 AM</v>
      </c>
      <c r="AL334" s="12" t="s">
        <v>951</v>
      </c>
    </row>
    <row r="335" spans="1:38" ht="12.75">
      <c r="A335" s="10">
        <f ca="1">IFERROR(__xludf.DUMMYFUNCTION("""COMPUTED_VALUE"""),43657.4189447916)</f>
        <v>43657.4189447916</v>
      </c>
      <c r="B335" s="11" t="str">
        <f ca="1">IFERROR(__xludf.DUMMYFUNCTION("""COMPUTED_VALUE"""),"Pam Marcum")</f>
        <v>Pam Marcum</v>
      </c>
      <c r="C335" t="str">
        <f ca="1">IFERROR(__xludf.DUMMYFUNCTION("""COMPUTED_VALUE"""),"Pamela.Marcum@dep.state.fl.us")</f>
        <v>Pamela.Marcum@dep.state.fl.us</v>
      </c>
      <c r="D335" t="str">
        <f ca="1">IFERROR(__xludf.DUMMYFUNCTION("""COMPUTED_VALUE"""),"Research/Nikki")</f>
        <v>Research/Nikki</v>
      </c>
      <c r="E335" t="str">
        <f ca="1">IFERROR(__xludf.DUMMYFUNCTION("""COMPUTED_VALUE"""),"Green Rd")</f>
        <v>Green Rd</v>
      </c>
      <c r="F335" s="13">
        <f ca="1">IFERROR(__xludf.DUMMYFUNCTION("""COMPUTED_VALUE"""),0.416666666667879)</f>
        <v>0.41666666666787899</v>
      </c>
      <c r="G335" s="14">
        <f ca="1">IFERROR(__xludf.DUMMYFUNCTION("""COMPUTED_VALUE"""),43657)</f>
        <v>43657</v>
      </c>
      <c r="H335" t="str">
        <f ca="1">IFERROR(__xludf.DUMMYFUNCTION("""COMPUTED_VALUE"""),"Devil's Elbow")</f>
        <v>Devil's Elbow</v>
      </c>
      <c r="I335" s="15">
        <f ca="1">IFERROR(__xludf.DUMMYFUNCTION("""COMPUTED_VALUE"""),0.58333333333212)</f>
        <v>0.58333333333212001</v>
      </c>
      <c r="J335" s="16">
        <f ca="1">IFERROR(__xludf.DUMMYFUNCTION("""COMPUTED_VALUE"""),43657.6041666666)</f>
        <v>43657.604166666599</v>
      </c>
      <c r="K335" t="str">
        <f ca="1">IFERROR(__xludf.DUMMYFUNCTION("""COMPUTED_VALUE"""),"17ft Skill FL0642GW DEP07239")</f>
        <v>17ft Skill FL0642GW DEP07239</v>
      </c>
      <c r="M335" t="str">
        <f ca="1">IFERROR(__xludf.DUMMYFUNCTION("""COMPUTED_VALUE"""),"2018 F150 AP truck")</f>
        <v>2018 F150 AP truck</v>
      </c>
      <c r="N335" t="str">
        <f ca="1">IFERROR(__xludf.DUMMYFUNCTION("""COMPUTED_VALUE"""),"Pam Marcum, (480) 332-5414")</f>
        <v>Pam Marcum, (480) 332-5414</v>
      </c>
      <c r="O335" t="str">
        <f ca="1">IFERROR(__xludf.DUMMYFUNCTION("""COMPUTED_VALUE"""),"Adrienne Breef-Pilz, Nicole Peckham, David Kimbro")</f>
        <v>Adrienne Breef-Pilz, Nicole Peckham, David Kimbro</v>
      </c>
      <c r="P335" t="str">
        <f ca="1">IFERROR(__xludf.DUMMYFUNCTION("""COMPUTED_VALUE"""),"Pam")</f>
        <v>Pam</v>
      </c>
      <c r="Q335" t="str">
        <f ca="1">IFERROR(__xludf.DUMMYFUNCTION("""COMPUTED_VALUE"""),"Good")</f>
        <v>Good</v>
      </c>
      <c r="R335" t="str">
        <f ca="1">IFERROR(__xludf.DUMMYFUNCTION("""COMPUTED_VALUE"""),"Good")</f>
        <v>Good</v>
      </c>
      <c r="S335" t="str">
        <f ca="1">IFERROR(__xludf.DUMMYFUNCTION("""COMPUTED_VALUE"""),"Good")</f>
        <v>Good</v>
      </c>
      <c r="T335" t="str">
        <f ca="1">IFERROR(__xludf.DUMMYFUNCTION("""COMPUTED_VALUE"""),"Good")</f>
        <v>Good</v>
      </c>
      <c r="U335" t="str">
        <f ca="1">IFERROR(__xludf.DUMMYFUNCTION("""COMPUTED_VALUE"""),"Good")</f>
        <v>Good</v>
      </c>
      <c r="V335" t="str">
        <f ca="1">IFERROR(__xludf.DUMMYFUNCTION("""COMPUTED_VALUE"""),"Good")</f>
        <v>Good</v>
      </c>
      <c r="W335" t="str">
        <f ca="1">IFERROR(__xludf.DUMMYFUNCTION("""COMPUTED_VALUE"""),"Good")</f>
        <v>Good</v>
      </c>
      <c r="X335" t="str">
        <f ca="1">IFERROR(__xludf.DUMMYFUNCTION("""COMPUTED_VALUE"""),"Good")</f>
        <v>Good</v>
      </c>
      <c r="Y335" t="str">
        <f ca="1">IFERROR(__xludf.DUMMYFUNCTION("""COMPUTED_VALUE"""),"Good")</f>
        <v>Good</v>
      </c>
      <c r="Z335" t="str">
        <f ca="1">IFERROR(__xludf.DUMMYFUNCTION("""COMPUTED_VALUE"""),"Good")</f>
        <v>Good</v>
      </c>
      <c r="AA335" t="str">
        <f ca="1">IFERROR(__xludf.DUMMYFUNCTION("""COMPUTED_VALUE"""),"Good")</f>
        <v>Good</v>
      </c>
      <c r="AB335" t="str">
        <f ca="1">IFERROR(__xludf.DUMMYFUNCTION("""COMPUTED_VALUE"""),"Good")</f>
        <v>Good</v>
      </c>
      <c r="AC335" t="str">
        <f ca="1">IFERROR(__xludf.DUMMYFUNCTION("""COMPUTED_VALUE"""),"Good")</f>
        <v>Good</v>
      </c>
      <c r="AE335" s="11"/>
      <c r="AF335" t="str">
        <v>Nikki.Dix@floridadep.gov</v>
      </c>
      <c r="AG335" s="17" t="s">
        <v>126</v>
      </c>
      <c r="AH335" s="12">
        <v>1450</v>
      </c>
      <c r="AI335" s="12" t="s">
        <v>952</v>
      </c>
      <c r="AJ335" s="19" t="s">
        <v>953</v>
      </c>
      <c r="AK335" s="20" t="str">
        <f>HYPERLINK("https://docs.google.com/document/d/1i930KaeCQlWUDAixF0akElGqD6KN0UM1R3AMA3CzBgU/edit?usp=drivesdk","Pam Marcum - 7/11/2019 10:00 AM")</f>
        <v>Pam Marcum - 7/11/2019 10:00 AM</v>
      </c>
      <c r="AL335" s="12" t="s">
        <v>954</v>
      </c>
    </row>
    <row r="336" spans="1:38" ht="12.75">
      <c r="A336" s="10">
        <f ca="1">IFERROR(__xludf.DUMMYFUNCTION("""COMPUTED_VALUE"""),43658.4197889814)</f>
        <v>43658.419788981402</v>
      </c>
      <c r="B336" s="11" t="str">
        <f ca="1">IFERROR(__xludf.DUMMYFUNCTION("""COMPUTED_VALUE"""),"Pamela Marcum")</f>
        <v>Pamela Marcum</v>
      </c>
      <c r="C336" t="str">
        <f ca="1">IFERROR(__xludf.DUMMYFUNCTION("""COMPUTED_VALUE"""),"pamela.marcum@Floridadep.gov")</f>
        <v>pamela.marcum@Floridadep.gov</v>
      </c>
      <c r="D336" t="str">
        <f ca="1">IFERROR(__xludf.DUMMYFUNCTION("""COMPUTED_VALUE"""),"Research/Nikki")</f>
        <v>Research/Nikki</v>
      </c>
      <c r="E336" t="str">
        <f ca="1">IFERROR(__xludf.DUMMYFUNCTION("""COMPUTED_VALUE"""),"Green rd")</f>
        <v>Green rd</v>
      </c>
      <c r="F336" s="13">
        <f ca="1">IFERROR(__xludf.DUMMYFUNCTION("""COMPUTED_VALUE"""),0.416666666667879)</f>
        <v>0.41666666666787899</v>
      </c>
      <c r="G336" s="14">
        <f ca="1">IFERROR(__xludf.DUMMYFUNCTION("""COMPUTED_VALUE"""),43658)</f>
        <v>43658</v>
      </c>
      <c r="H336" t="str">
        <f ca="1">IFERROR(__xludf.DUMMYFUNCTION("""COMPUTED_VALUE"""),"Moses flats")</f>
        <v>Moses flats</v>
      </c>
      <c r="I336" s="15">
        <f ca="1">IFERROR(__xludf.DUMMYFUNCTION("""COMPUTED_VALUE"""),0.666666666667879)</f>
        <v>0.66666666666787899</v>
      </c>
      <c r="J336" s="16">
        <f ca="1">IFERROR(__xludf.DUMMYFUNCTION("""COMPUTED_VALUE"""),43658.6875)</f>
        <v>43658.6875</v>
      </c>
      <c r="K336" t="str">
        <f ca="1">IFERROR(__xludf.DUMMYFUNCTION("""COMPUTED_VALUE"""),"17ft Skill FL0642GW DEP07239")</f>
        <v>17ft Skill FL0642GW DEP07239</v>
      </c>
      <c r="M336" t="str">
        <f ca="1">IFERROR(__xludf.DUMMYFUNCTION("""COMPUTED_VALUE"""),"2018 f150 AP")</f>
        <v>2018 f150 AP</v>
      </c>
      <c r="N336" t="str">
        <f ca="1">IFERROR(__xludf.DUMMYFUNCTION("""COMPUTED_VALUE"""),"Pam Marcum, (480) 332-5414")</f>
        <v>Pam Marcum, (480) 332-5414</v>
      </c>
      <c r="O336" t="str">
        <f ca="1">IFERROR(__xludf.DUMMYFUNCTION("""COMPUTED_VALUE"""),"Nicole Peckham, Adrienne Breef-Pilz, David Kimbro, Allison Noble")</f>
        <v>Nicole Peckham, Adrienne Breef-Pilz, David Kimbro, Allison Noble</v>
      </c>
      <c r="P336" t="str">
        <f ca="1">IFERROR(__xludf.DUMMYFUNCTION("""COMPUTED_VALUE"""),"Pam")</f>
        <v>Pam</v>
      </c>
      <c r="Q336" t="str">
        <f ca="1">IFERROR(__xludf.DUMMYFUNCTION("""COMPUTED_VALUE"""),"Good")</f>
        <v>Good</v>
      </c>
      <c r="R336" t="str">
        <f ca="1">IFERROR(__xludf.DUMMYFUNCTION("""COMPUTED_VALUE"""),"Good")</f>
        <v>Good</v>
      </c>
      <c r="S336" t="str">
        <f ca="1">IFERROR(__xludf.DUMMYFUNCTION("""COMPUTED_VALUE"""),"Good")</f>
        <v>Good</v>
      </c>
      <c r="T336" t="str">
        <f ca="1">IFERROR(__xludf.DUMMYFUNCTION("""COMPUTED_VALUE"""),"Good")</f>
        <v>Good</v>
      </c>
      <c r="U336" t="str">
        <f ca="1">IFERROR(__xludf.DUMMYFUNCTION("""COMPUTED_VALUE"""),"Good")</f>
        <v>Good</v>
      </c>
      <c r="V336" t="str">
        <f ca="1">IFERROR(__xludf.DUMMYFUNCTION("""COMPUTED_VALUE"""),"Good")</f>
        <v>Good</v>
      </c>
      <c r="W336" t="str">
        <f ca="1">IFERROR(__xludf.DUMMYFUNCTION("""COMPUTED_VALUE"""),"Good")</f>
        <v>Good</v>
      </c>
      <c r="X336" t="str">
        <f ca="1">IFERROR(__xludf.DUMMYFUNCTION("""COMPUTED_VALUE"""),"Good")</f>
        <v>Good</v>
      </c>
      <c r="Y336" t="str">
        <f ca="1">IFERROR(__xludf.DUMMYFUNCTION("""COMPUTED_VALUE"""),"Good")</f>
        <v>Good</v>
      </c>
      <c r="Z336" t="str">
        <f ca="1">IFERROR(__xludf.DUMMYFUNCTION("""COMPUTED_VALUE"""),"Good")</f>
        <v>Good</v>
      </c>
      <c r="AA336" t="str">
        <f ca="1">IFERROR(__xludf.DUMMYFUNCTION("""COMPUTED_VALUE"""),"Good")</f>
        <v>Good</v>
      </c>
      <c r="AB336" t="str">
        <f ca="1">IFERROR(__xludf.DUMMYFUNCTION("""COMPUTED_VALUE"""),"Good")</f>
        <v>Good</v>
      </c>
      <c r="AC336" t="str">
        <f ca="1">IFERROR(__xludf.DUMMYFUNCTION("""COMPUTED_VALUE"""),"Good")</f>
        <v>Good</v>
      </c>
      <c r="AE336" s="11"/>
      <c r="AF336" t="str">
        <v>Nikki.Dix@floridadep.gov</v>
      </c>
      <c r="AG336" s="17" t="s">
        <v>126</v>
      </c>
      <c r="AH336" s="12">
        <v>1435</v>
      </c>
      <c r="AI336" s="12" t="s">
        <v>955</v>
      </c>
      <c r="AJ336" s="19" t="s">
        <v>956</v>
      </c>
      <c r="AK336" s="20" t="str">
        <f>HYPERLINK("https://docs.google.com/document/d/1fsp2VE6J3eq1qlBaOs9_c3VwCKjWu0Kv5nHjHXrgkIw/edit?usp=drivesdk","Pamela Marcum - 7/12/2019 10:00 AM")</f>
        <v>Pamela Marcum - 7/12/2019 10:00 AM</v>
      </c>
      <c r="AL336" s="12" t="s">
        <v>957</v>
      </c>
    </row>
    <row r="337" spans="1:38" ht="12.75">
      <c r="A337" s="10">
        <f ca="1">IFERROR(__xludf.DUMMYFUNCTION("""COMPUTED_VALUE"""),43661.3104943749)</f>
        <v>43661.310494374899</v>
      </c>
      <c r="B337" s="11" t="str">
        <f ca="1">IFERROR(__xludf.DUMMYFUNCTION("""COMPUTED_VALUE"""),"S. Tanner")</f>
        <v>S. Tanner</v>
      </c>
      <c r="C337" t="str">
        <f ca="1">IFERROR(__xludf.DUMMYFUNCTION("""COMPUTED_VALUE"""),"silas.tanner@floridadep.gov")</f>
        <v>silas.tanner@floridadep.gov</v>
      </c>
      <c r="D337" t="str">
        <f ca="1">IFERROR(__xludf.DUMMYFUNCTION("""COMPUTED_VALUE"""),"Research/Nikki")</f>
        <v>Research/Nikki</v>
      </c>
      <c r="E337" t="str">
        <f ca="1">IFERROR(__xludf.DUMMYFUNCTION("""COMPUTED_VALUE"""),"Vilano landing")</f>
        <v>Vilano landing</v>
      </c>
      <c r="F337" s="13">
        <f ca="1">IFERROR(__xludf.DUMMYFUNCTION("""COMPUTED_VALUE"""),0.329861111109494)</f>
        <v>0.32986111110949401</v>
      </c>
      <c r="G337" s="14">
        <f ca="1">IFERROR(__xludf.DUMMYFUNCTION("""COMPUTED_VALUE"""),43661)</f>
        <v>43661</v>
      </c>
      <c r="H337" t="str">
        <f ca="1">IFERROR(__xludf.DUMMYFUNCTION("""COMPUTED_VALUE"""),"ICW SWMP sites")</f>
        <v>ICW SWMP sites</v>
      </c>
      <c r="I337" s="15">
        <f ca="1">IFERROR(__xludf.DUMMYFUNCTION("""COMPUTED_VALUE"""),0.541666666667879)</f>
        <v>0.54166666666787899</v>
      </c>
      <c r="J337" s="16">
        <f ca="1">IFERROR(__xludf.DUMMYFUNCTION("""COMPUTED_VALUE"""),43661.5625)</f>
        <v>43661.5625</v>
      </c>
      <c r="K337" t="str">
        <f ca="1">IFERROR(__xludf.DUMMYFUNCTION("""COMPUTED_VALUE"""),"23ft Skiff (Bertha) FL7972LJ DEP07613")</f>
        <v>23ft Skiff (Bertha) FL7972LJ DEP07613</v>
      </c>
      <c r="M337" t="str">
        <f ca="1">IFERROR(__xludf.DUMMYFUNCTION("""COMPUTED_VALUE"""),"Ford F150 2015 (White) - DEP21448")</f>
        <v>Ford F150 2015 (White) - DEP21448</v>
      </c>
      <c r="N337" t="str">
        <f ca="1">IFERROR(__xludf.DUMMYFUNCTION("""COMPUTED_VALUE"""),"Silas Tanner, (904) 483-8423")</f>
        <v>Silas Tanner, (904) 483-8423</v>
      </c>
      <c r="O337" t="str">
        <f ca="1">IFERROR(__xludf.DUMMYFUNCTION("""COMPUTED_VALUE"""),"Alee Kneoll, Jeff Finnan")</f>
        <v>Alee Kneoll, Jeff Finnan</v>
      </c>
      <c r="P337" t="str">
        <f ca="1">IFERROR(__xludf.DUMMYFUNCTION("""COMPUTED_VALUE"""),"S. Tanner")</f>
        <v>S. Tanner</v>
      </c>
      <c r="Q337" t="str">
        <f ca="1">IFERROR(__xludf.DUMMYFUNCTION("""COMPUTED_VALUE"""),"Good")</f>
        <v>Good</v>
      </c>
      <c r="R337" t="str">
        <f ca="1">IFERROR(__xludf.DUMMYFUNCTION("""COMPUTED_VALUE"""),"Good")</f>
        <v>Good</v>
      </c>
      <c r="S337" t="str">
        <f ca="1">IFERROR(__xludf.DUMMYFUNCTION("""COMPUTED_VALUE"""),"Good")</f>
        <v>Good</v>
      </c>
      <c r="T337" t="str">
        <f ca="1">IFERROR(__xludf.DUMMYFUNCTION("""COMPUTED_VALUE"""),"Good")</f>
        <v>Good</v>
      </c>
      <c r="U337" t="str">
        <f ca="1">IFERROR(__xludf.DUMMYFUNCTION("""COMPUTED_VALUE"""),"Good")</f>
        <v>Good</v>
      </c>
      <c r="V337" t="str">
        <f ca="1">IFERROR(__xludf.DUMMYFUNCTION("""COMPUTED_VALUE"""),"Good")</f>
        <v>Good</v>
      </c>
      <c r="W337" t="str">
        <f ca="1">IFERROR(__xludf.DUMMYFUNCTION("""COMPUTED_VALUE"""),"Good")</f>
        <v>Good</v>
      </c>
      <c r="X337" t="str">
        <f ca="1">IFERROR(__xludf.DUMMYFUNCTION("""COMPUTED_VALUE"""),"Good")</f>
        <v>Good</v>
      </c>
      <c r="Y337" t="str">
        <f ca="1">IFERROR(__xludf.DUMMYFUNCTION("""COMPUTED_VALUE"""),"Good")</f>
        <v>Good</v>
      </c>
      <c r="Z337" t="str">
        <f ca="1">IFERROR(__xludf.DUMMYFUNCTION("""COMPUTED_VALUE"""),"Good")</f>
        <v>Good</v>
      </c>
      <c r="AA337" t="str">
        <f ca="1">IFERROR(__xludf.DUMMYFUNCTION("""COMPUTED_VALUE"""),"Good")</f>
        <v>Good</v>
      </c>
      <c r="AB337" t="str">
        <f ca="1">IFERROR(__xludf.DUMMYFUNCTION("""COMPUTED_VALUE"""),"Good")</f>
        <v>Good</v>
      </c>
      <c r="AC337" t="str">
        <f ca="1">IFERROR(__xludf.DUMMYFUNCTION("""COMPUTED_VALUE"""),"Good")</f>
        <v>Good</v>
      </c>
      <c r="AE337" s="11"/>
      <c r="AF337" t="str">
        <v>Nikki.Dix@floridadep.gov</v>
      </c>
      <c r="AG337" s="17" t="s">
        <v>17</v>
      </c>
      <c r="AH337" s="12">
        <v>1230</v>
      </c>
      <c r="AI337" s="12" t="s">
        <v>958</v>
      </c>
      <c r="AJ337" s="19" t="s">
        <v>959</v>
      </c>
      <c r="AK337" s="20" t="str">
        <f>HYPERLINK("https://docs.google.com/document/d/1qfBh_O_GEYX9iCz3WJwlITP89zxKCd3VjFTCB8EEAZE/edit?usp=drivesdk","S. Tanner - 7/15/2019 7:55 AM")</f>
        <v>S. Tanner - 7/15/2019 7:55 AM</v>
      </c>
      <c r="AL337" s="12" t="s">
        <v>960</v>
      </c>
    </row>
    <row r="338" spans="1:38" ht="12.75">
      <c r="A338" s="10">
        <f ca="1">IFERROR(__xludf.DUMMYFUNCTION("""COMPUTED_VALUE"""),43662.6128608333)</f>
        <v>43662.612860833302</v>
      </c>
      <c r="B338" s="11" t="str">
        <f ca="1">IFERROR(__xludf.DUMMYFUNCTION("""COMPUTED_VALUE"""),"Jimmy")</f>
        <v>Jimmy</v>
      </c>
      <c r="C338" t="str">
        <f ca="1">IFERROR(__xludf.DUMMYFUNCTION("""COMPUTED_VALUE"""),"james.tomazinis@floridadep.gov")</f>
        <v>james.tomazinis@floridadep.gov</v>
      </c>
      <c r="D338" t="str">
        <f ca="1">IFERROR(__xludf.DUMMYFUNCTION("""COMPUTED_VALUE"""),"Stewardship (Aquatic)")</f>
        <v>Stewardship (Aquatic)</v>
      </c>
      <c r="E338" t="str">
        <f ca="1">IFERROR(__xludf.DUMMYFUNCTION("""COMPUTED_VALUE"""),"Goffinsville and Dee Dee Bartels")</f>
        <v>Goffinsville and Dee Dee Bartels</v>
      </c>
      <c r="F338" s="13">
        <f ca="1">IFERROR(__xludf.DUMMYFUNCTION("""COMPUTED_VALUE"""),0.40625)</f>
        <v>0.40625</v>
      </c>
      <c r="G338" s="14">
        <f ca="1">IFERROR(__xludf.DUMMYFUNCTION("""COMPUTED_VALUE"""),43662)</f>
        <v>43662</v>
      </c>
      <c r="H338" t="str">
        <f ca="1">IFERROR(__xludf.DUMMYFUNCTION("""COMPUTED_VALUE"""),"NEAP WQ sites")</f>
        <v>NEAP WQ sites</v>
      </c>
      <c r="I338" s="15">
        <f ca="1">IFERROR(__xludf.DUMMYFUNCTION("""COMPUTED_VALUE"""),0.666666666667879)</f>
        <v>0.66666666666787899</v>
      </c>
      <c r="J338" s="16"/>
      <c r="K338" t="str">
        <f ca="1">IFERROR(__xludf.DUMMYFUNCTION("""COMPUTED_VALUE"""),"23ft Skiff (Bertha) FL7972LJ DEP07613")</f>
        <v>23ft Skiff (Bertha) FL7972LJ DEP07613</v>
      </c>
      <c r="M338" t="str">
        <f ca="1">IFERROR(__xludf.DUMMYFUNCTION("""COMPUTED_VALUE"""),"Ford F150 2015 (White) - DEP21448")</f>
        <v>Ford F150 2015 (White) - DEP21448</v>
      </c>
      <c r="N338" t="str">
        <f ca="1">IFERROR(__xludf.DUMMYFUNCTION("""COMPUTED_VALUE"""),"Jimmy Tomazinis, (904) 547-0094")</f>
        <v>Jimmy Tomazinis, (904) 547-0094</v>
      </c>
      <c r="O338" t="str">
        <f ca="1">IFERROR(__xludf.DUMMYFUNCTION("""COMPUTED_VALUE"""),"Mike Darragh")</f>
        <v>Mike Darragh</v>
      </c>
      <c r="P338" t="str">
        <f ca="1">IFERROR(__xludf.DUMMYFUNCTION("""COMPUTED_VALUE"""),"Jimmy")</f>
        <v>Jimmy</v>
      </c>
      <c r="Q338" t="str">
        <f ca="1">IFERROR(__xludf.DUMMYFUNCTION("""COMPUTED_VALUE"""),"Good")</f>
        <v>Good</v>
      </c>
      <c r="R338" t="str">
        <f ca="1">IFERROR(__xludf.DUMMYFUNCTION("""COMPUTED_VALUE"""),"Good")</f>
        <v>Good</v>
      </c>
      <c r="S338" t="str">
        <f ca="1">IFERROR(__xludf.DUMMYFUNCTION("""COMPUTED_VALUE"""),"Good")</f>
        <v>Good</v>
      </c>
      <c r="T338" t="str">
        <f ca="1">IFERROR(__xludf.DUMMYFUNCTION("""COMPUTED_VALUE"""),"Good")</f>
        <v>Good</v>
      </c>
      <c r="U338" t="str">
        <f ca="1">IFERROR(__xludf.DUMMYFUNCTION("""COMPUTED_VALUE"""),"Good")</f>
        <v>Good</v>
      </c>
      <c r="V338" t="str">
        <f ca="1">IFERROR(__xludf.DUMMYFUNCTION("""COMPUTED_VALUE"""),"Good")</f>
        <v>Good</v>
      </c>
      <c r="W338" t="str">
        <f ca="1">IFERROR(__xludf.DUMMYFUNCTION("""COMPUTED_VALUE"""),"Good")</f>
        <v>Good</v>
      </c>
      <c r="X338" t="str">
        <f ca="1">IFERROR(__xludf.DUMMYFUNCTION("""COMPUTED_VALUE"""),"Good")</f>
        <v>Good</v>
      </c>
      <c r="Y338" t="str">
        <f ca="1">IFERROR(__xludf.DUMMYFUNCTION("""COMPUTED_VALUE"""),"Good")</f>
        <v>Good</v>
      </c>
      <c r="Z338" t="str">
        <f ca="1">IFERROR(__xludf.DUMMYFUNCTION("""COMPUTED_VALUE"""),"Good")</f>
        <v>Good</v>
      </c>
      <c r="AA338" t="str">
        <f ca="1">IFERROR(__xludf.DUMMYFUNCTION("""COMPUTED_VALUE"""),"Good")</f>
        <v>Good</v>
      </c>
      <c r="AB338" t="str">
        <f ca="1">IFERROR(__xludf.DUMMYFUNCTION("""COMPUTED_VALUE"""),"Good")</f>
        <v>Good</v>
      </c>
      <c r="AC338" t="str">
        <f ca="1">IFERROR(__xludf.DUMMYFUNCTION("""COMPUTED_VALUE"""),"Good")</f>
        <v>Good</v>
      </c>
      <c r="AE338" s="11"/>
      <c r="AF338" t="str">
        <v>Scott.Eastman@floridadep.gov</v>
      </c>
      <c r="AG338" s="18"/>
      <c r="AI338" s="12" t="s">
        <v>961</v>
      </c>
      <c r="AJ338" s="19" t="s">
        <v>962</v>
      </c>
      <c r="AK338" s="20" t="str">
        <f>HYPERLINK("https://docs.google.com/document/d/1ZCXGxgcM0SMf47GDz2P2nEKQwWPen_IopWAdo9gZUe8/edit?usp=drivesdk","Jimmy - 7/16/2019 9:45 AM")</f>
        <v>Jimmy - 7/16/2019 9:45 AM</v>
      </c>
      <c r="AL338" s="12" t="s">
        <v>963</v>
      </c>
    </row>
    <row r="339" spans="1:38" ht="12.75">
      <c r="A339" s="10">
        <f ca="1">IFERROR(__xludf.DUMMYFUNCTION("""COMPUTED_VALUE"""),43662.6170340162)</f>
        <v>43662.617034016199</v>
      </c>
      <c r="B339" s="11" t="str">
        <f ca="1">IFERROR(__xludf.DUMMYFUNCTION("""COMPUTED_VALUE"""),"Jimmy")</f>
        <v>Jimmy</v>
      </c>
      <c r="C339" t="str">
        <f ca="1">IFERROR(__xludf.DUMMYFUNCTION("""COMPUTED_VALUE"""),"james.tomazinis@floridadep.gov")</f>
        <v>james.tomazinis@floridadep.gov</v>
      </c>
      <c r="D339" t="str">
        <f ca="1">IFERROR(__xludf.DUMMYFUNCTION("""COMPUTED_VALUE"""),"Stewardship (Aquatic)")</f>
        <v>Stewardship (Aquatic)</v>
      </c>
      <c r="E339" t="str">
        <f ca="1">IFERROR(__xludf.DUMMYFUNCTION("""COMPUTED_VALUE"""),"Goffinsville and Dee Dee Bartels")</f>
        <v>Goffinsville and Dee Dee Bartels</v>
      </c>
      <c r="F339" s="13">
        <f ca="1">IFERROR(__xludf.DUMMYFUNCTION("""COMPUTED_VALUE"""),0.40625)</f>
        <v>0.40625</v>
      </c>
      <c r="G339" s="14">
        <f ca="1">IFERROR(__xludf.DUMMYFUNCTION("""COMPUTED_VALUE"""),43663)</f>
        <v>43663</v>
      </c>
      <c r="H339" t="str">
        <f ca="1">IFERROR(__xludf.DUMMYFUNCTION("""COMPUTED_VALUE"""),"NEAP WQ sites")</f>
        <v>NEAP WQ sites</v>
      </c>
      <c r="I339" s="15">
        <f ca="1">IFERROR(__xludf.DUMMYFUNCTION("""COMPUTED_VALUE"""),0.666666666667879)</f>
        <v>0.66666666666787899</v>
      </c>
      <c r="J339" s="16"/>
      <c r="K339" t="str">
        <f ca="1">IFERROR(__xludf.DUMMYFUNCTION("""COMPUTED_VALUE"""),"23ft Skiff (Bertha) FL7972LJ DEP07613")</f>
        <v>23ft Skiff (Bertha) FL7972LJ DEP07613</v>
      </c>
      <c r="M339" t="str">
        <f ca="1">IFERROR(__xludf.DUMMYFUNCTION("""COMPUTED_VALUE"""),"Ford F150 2015 (White) - DEP21448")</f>
        <v>Ford F150 2015 (White) - DEP21448</v>
      </c>
      <c r="N339" t="str">
        <f ca="1">IFERROR(__xludf.DUMMYFUNCTION("""COMPUTED_VALUE"""),"Jimmy Tomazinis, (904) 547-0094")</f>
        <v>Jimmy Tomazinis, (904) 547-0094</v>
      </c>
      <c r="O339" t="str">
        <f ca="1">IFERROR(__xludf.DUMMYFUNCTION("""COMPUTED_VALUE"""),"Mike Darragh")</f>
        <v>Mike Darragh</v>
      </c>
      <c r="P339" t="str">
        <f ca="1">IFERROR(__xludf.DUMMYFUNCTION("""COMPUTED_VALUE"""),"Jimmy")</f>
        <v>Jimmy</v>
      </c>
      <c r="Q339" t="str">
        <f ca="1">IFERROR(__xludf.DUMMYFUNCTION("""COMPUTED_VALUE"""),"Good")</f>
        <v>Good</v>
      </c>
      <c r="R339" t="str">
        <f ca="1">IFERROR(__xludf.DUMMYFUNCTION("""COMPUTED_VALUE"""),"Good")</f>
        <v>Good</v>
      </c>
      <c r="S339" t="str">
        <f ca="1">IFERROR(__xludf.DUMMYFUNCTION("""COMPUTED_VALUE"""),"Good")</f>
        <v>Good</v>
      </c>
      <c r="T339" t="str">
        <f ca="1">IFERROR(__xludf.DUMMYFUNCTION("""COMPUTED_VALUE"""),"Good")</f>
        <v>Good</v>
      </c>
      <c r="U339" t="str">
        <f ca="1">IFERROR(__xludf.DUMMYFUNCTION("""COMPUTED_VALUE"""),"Good")</f>
        <v>Good</v>
      </c>
      <c r="V339" t="str">
        <f ca="1">IFERROR(__xludf.DUMMYFUNCTION("""COMPUTED_VALUE"""),"Good")</f>
        <v>Good</v>
      </c>
      <c r="W339" t="str">
        <f ca="1">IFERROR(__xludf.DUMMYFUNCTION("""COMPUTED_VALUE"""),"Good")</f>
        <v>Good</v>
      </c>
      <c r="X339" t="str">
        <f ca="1">IFERROR(__xludf.DUMMYFUNCTION("""COMPUTED_VALUE"""),"Good")</f>
        <v>Good</v>
      </c>
      <c r="Y339" t="str">
        <f ca="1">IFERROR(__xludf.DUMMYFUNCTION("""COMPUTED_VALUE"""),"Good")</f>
        <v>Good</v>
      </c>
      <c r="Z339" t="str">
        <f ca="1">IFERROR(__xludf.DUMMYFUNCTION("""COMPUTED_VALUE"""),"Good")</f>
        <v>Good</v>
      </c>
      <c r="AA339" t="str">
        <f ca="1">IFERROR(__xludf.DUMMYFUNCTION("""COMPUTED_VALUE"""),"Good")</f>
        <v>Good</v>
      </c>
      <c r="AB339" t="str">
        <f ca="1">IFERROR(__xludf.DUMMYFUNCTION("""COMPUTED_VALUE"""),"Good")</f>
        <v>Good</v>
      </c>
      <c r="AC339" t="str">
        <f ca="1">IFERROR(__xludf.DUMMYFUNCTION("""COMPUTED_VALUE"""),"Good")</f>
        <v>Good</v>
      </c>
      <c r="AE339" s="11"/>
      <c r="AF339" t="str">
        <v>Scott.Eastman@floridadep.gov</v>
      </c>
      <c r="AG339" s="17" t="s">
        <v>17</v>
      </c>
      <c r="AH339" s="12">
        <v>1400</v>
      </c>
      <c r="AI339" s="12" t="s">
        <v>964</v>
      </c>
      <c r="AJ339" s="19" t="s">
        <v>965</v>
      </c>
      <c r="AK339" s="20" t="str">
        <f>HYPERLINK("https://docs.google.com/document/d/1fe-2hVqu4qRXiK7uZpdjNWbt09bbNO2CMjpLNLRqic4/edit?usp=drivesdk","Jimmy - 7/17/2019 9:45 AM")</f>
        <v>Jimmy - 7/17/2019 9:45 AM</v>
      </c>
      <c r="AL339" s="12" t="s">
        <v>966</v>
      </c>
    </row>
    <row r="340" spans="1:38" ht="12.75">
      <c r="A340" s="10">
        <f ca="1">IFERROR(__xludf.DUMMYFUNCTION("""COMPUTED_VALUE"""),43668.7308626273)</f>
        <v>43668.730862627301</v>
      </c>
      <c r="B340" s="11" t="str">
        <f ca="1">IFERROR(__xludf.DUMMYFUNCTION("""COMPUTED_VALUE"""),"Jimmy")</f>
        <v>Jimmy</v>
      </c>
      <c r="C340" t="str">
        <f ca="1">IFERROR(__xludf.DUMMYFUNCTION("""COMPUTED_VALUE"""),"james.tomazinis@floridadep.gov")</f>
        <v>james.tomazinis@floridadep.gov</v>
      </c>
      <c r="D340" t="str">
        <f ca="1">IFERROR(__xludf.DUMMYFUNCTION("""COMPUTED_VALUE"""),"Stewardship (Aquatic)")</f>
        <v>Stewardship (Aquatic)</v>
      </c>
      <c r="E340" t="str">
        <f ca="1">IFERROR(__xludf.DUMMYFUNCTION("""COMPUTED_VALUE"""),"Goffinsville Park")</f>
        <v>Goffinsville Park</v>
      </c>
      <c r="F340" s="13">
        <f ca="1">IFERROR(__xludf.DUMMYFUNCTION("""COMPUTED_VALUE"""),0.375)</f>
        <v>0.375</v>
      </c>
      <c r="G340" s="14">
        <f ca="1">IFERROR(__xludf.DUMMYFUNCTION("""COMPUTED_VALUE"""),43668)</f>
        <v>43668</v>
      </c>
      <c r="H340" t="str">
        <f ca="1">IFERROR(__xludf.DUMMYFUNCTION("""COMPUTED_VALUE"""),"Berg dock reef")</f>
        <v>Berg dock reef</v>
      </c>
      <c r="I340" s="15">
        <f ca="1">IFERROR(__xludf.DUMMYFUNCTION("""COMPUTED_VALUE"""),0.479166666667879)</f>
        <v>0.47916666666787899</v>
      </c>
      <c r="J340" s="16"/>
      <c r="K340" t="str">
        <f ca="1">IFERROR(__xludf.DUMMYFUNCTION("""COMPUTED_VALUE"""),"Jon Boat FL0484NP DEP06819")</f>
        <v>Jon Boat FL0484NP DEP06819</v>
      </c>
      <c r="M340" t="str">
        <f ca="1">IFERROR(__xludf.DUMMYFUNCTION("""COMPUTED_VALUE"""),"Ford F150 2015 (White) - DEP21448")</f>
        <v>Ford F150 2015 (White) - DEP21448</v>
      </c>
      <c r="N340" t="str">
        <f ca="1">IFERROR(__xludf.DUMMYFUNCTION("""COMPUTED_VALUE"""),"Jimmy Tomazinis, (904) 547-0094")</f>
        <v>Jimmy Tomazinis, (904) 547-0094</v>
      </c>
      <c r="O340" t="str">
        <f ca="1">IFERROR(__xludf.DUMMYFUNCTION("""COMPUTED_VALUE"""),"Cameron Ramsey")</f>
        <v>Cameron Ramsey</v>
      </c>
      <c r="P340" t="str">
        <f ca="1">IFERROR(__xludf.DUMMYFUNCTION("""COMPUTED_VALUE"""),"Jimmy")</f>
        <v>Jimmy</v>
      </c>
      <c r="Q340" t="str">
        <f ca="1">IFERROR(__xludf.DUMMYFUNCTION("""COMPUTED_VALUE"""),"Good")</f>
        <v>Good</v>
      </c>
      <c r="R340" t="str">
        <f ca="1">IFERROR(__xludf.DUMMYFUNCTION("""COMPUTED_VALUE"""),"Good")</f>
        <v>Good</v>
      </c>
      <c r="S340" t="str">
        <f ca="1">IFERROR(__xludf.DUMMYFUNCTION("""COMPUTED_VALUE"""),"Good")</f>
        <v>Good</v>
      </c>
      <c r="T340" t="str">
        <f ca="1">IFERROR(__xludf.DUMMYFUNCTION("""COMPUTED_VALUE"""),"Good")</f>
        <v>Good</v>
      </c>
      <c r="U340" t="str">
        <f ca="1">IFERROR(__xludf.DUMMYFUNCTION("""COMPUTED_VALUE"""),"Good")</f>
        <v>Good</v>
      </c>
      <c r="V340" t="str">
        <f ca="1">IFERROR(__xludf.DUMMYFUNCTION("""COMPUTED_VALUE"""),"Good")</f>
        <v>Good</v>
      </c>
      <c r="W340" t="str">
        <f ca="1">IFERROR(__xludf.DUMMYFUNCTION("""COMPUTED_VALUE"""),"Good")</f>
        <v>Good</v>
      </c>
      <c r="X340" t="str">
        <f ca="1">IFERROR(__xludf.DUMMYFUNCTION("""COMPUTED_VALUE"""),"Good")</f>
        <v>Good</v>
      </c>
      <c r="Y340" t="str">
        <f ca="1">IFERROR(__xludf.DUMMYFUNCTION("""COMPUTED_VALUE"""),"Good")</f>
        <v>Good</v>
      </c>
      <c r="Z340" t="str">
        <f ca="1">IFERROR(__xludf.DUMMYFUNCTION("""COMPUTED_VALUE"""),"Good")</f>
        <v>Good</v>
      </c>
      <c r="AA340" t="str">
        <f ca="1">IFERROR(__xludf.DUMMYFUNCTION("""COMPUTED_VALUE"""),"Good")</f>
        <v>Good</v>
      </c>
      <c r="AB340" t="str">
        <f ca="1">IFERROR(__xludf.DUMMYFUNCTION("""COMPUTED_VALUE"""),"Good")</f>
        <v>Good</v>
      </c>
      <c r="AC340" t="str">
        <f ca="1">IFERROR(__xludf.DUMMYFUNCTION("""COMPUTED_VALUE"""),"Good")</f>
        <v>Good</v>
      </c>
      <c r="AE340" s="11"/>
      <c r="AF340" t="str">
        <v>Scott.Eastman@floridadep.gov</v>
      </c>
      <c r="AG340" s="17" t="s">
        <v>17</v>
      </c>
      <c r="AH340" s="12">
        <v>1050</v>
      </c>
      <c r="AI340" s="12" t="s">
        <v>967</v>
      </c>
      <c r="AJ340" s="19" t="s">
        <v>968</v>
      </c>
      <c r="AK340" s="20" t="str">
        <f>HYPERLINK("https://docs.google.com/document/d/1MyR0KwbVK6DLOQXHSWopn30pPwPKufzUXd-DVwHJfoc/edit?usp=drivesdk","Jimmy - 7/22/2019 9:00 AM")</f>
        <v>Jimmy - 7/22/2019 9:00 AM</v>
      </c>
      <c r="AL340" s="12" t="s">
        <v>969</v>
      </c>
    </row>
    <row r="341" spans="1:38" ht="12.75">
      <c r="A341" s="10">
        <f ca="1">IFERROR(__xludf.DUMMYFUNCTION("""COMPUTED_VALUE"""),43670.2817512615)</f>
        <v>43670.2817512615</v>
      </c>
      <c r="B341" s="11" t="str">
        <f ca="1">IFERROR(__xludf.DUMMYFUNCTION("""COMPUTED_VALUE"""),"Pamela Marcum")</f>
        <v>Pamela Marcum</v>
      </c>
      <c r="C341" t="str">
        <f ca="1">IFERROR(__xludf.DUMMYFUNCTION("""COMPUTED_VALUE"""),"Pamela.Marcum@FloridaDEP.gov")</f>
        <v>Pamela.Marcum@FloridaDEP.gov</v>
      </c>
      <c r="D341" t="str">
        <f ca="1">IFERROR(__xludf.DUMMYFUNCTION("""COMPUTED_VALUE"""),"Research/Nikki")</f>
        <v>Research/Nikki</v>
      </c>
      <c r="E341" t="str">
        <f ca="1">IFERROR(__xludf.DUMMYFUNCTION("""COMPUTED_VALUE"""),"Aunt Kate's")</f>
        <v>Aunt Kate's</v>
      </c>
      <c r="F341" s="13">
        <f ca="1">IFERROR(__xludf.DUMMYFUNCTION("""COMPUTED_VALUE"""),0.291666666667879)</f>
        <v>0.29166666666787899</v>
      </c>
      <c r="G341" s="14">
        <f ca="1">IFERROR(__xludf.DUMMYFUNCTION("""COMPUTED_VALUE"""),43670)</f>
        <v>43670</v>
      </c>
      <c r="H341" t="str">
        <f ca="1">IFERROR(__xludf.DUMMYFUNCTION("""COMPUTED_VALUE"""),"Guana/Tolomato Rivers")</f>
        <v>Guana/Tolomato Rivers</v>
      </c>
      <c r="I341" s="15">
        <f ca="1">IFERROR(__xludf.DUMMYFUNCTION("""COMPUTED_VALUE"""),0.58333333333212)</f>
        <v>0.58333333333212001</v>
      </c>
      <c r="J341" s="16">
        <f ca="1">IFERROR(__xludf.DUMMYFUNCTION("""COMPUTED_VALUE"""),43670.6041666666)</f>
        <v>43670.604166666599</v>
      </c>
      <c r="K341" t="str">
        <f ca="1">IFERROR(__xludf.DUMMYFUNCTION("""COMPUTED_VALUE"""),"17ft Skill FL0642GW DEP07239")</f>
        <v>17ft Skill FL0642GW DEP07239</v>
      </c>
      <c r="M341" t="str">
        <f ca="1">IFERROR(__xludf.DUMMYFUNCTION("""COMPUTED_VALUE"""),"Ford F250 2017 (Moby Dix) - DEP0021578")</f>
        <v>Ford F250 2017 (Moby Dix) - DEP0021578</v>
      </c>
      <c r="N341" t="str">
        <f ca="1">IFERROR(__xludf.DUMMYFUNCTION("""COMPUTED_VALUE"""),"Pam Marcum, (480) 332-5414")</f>
        <v>Pam Marcum, (480) 332-5414</v>
      </c>
      <c r="O341" t="str">
        <f ca="1">IFERROR(__xludf.DUMMYFUNCTION("""COMPUTED_VALUE"""),"David Kimbro, Adrienne Breef-Pilz, Nicole Peckham, Allison Noble")</f>
        <v>David Kimbro, Adrienne Breef-Pilz, Nicole Peckham, Allison Noble</v>
      </c>
      <c r="P341" t="str">
        <f ca="1">IFERROR(__xludf.DUMMYFUNCTION("""COMPUTED_VALUE"""),"Pam")</f>
        <v>Pam</v>
      </c>
      <c r="Q341" t="str">
        <f ca="1">IFERROR(__xludf.DUMMYFUNCTION("""COMPUTED_VALUE"""),"Good")</f>
        <v>Good</v>
      </c>
      <c r="R341" t="str">
        <f ca="1">IFERROR(__xludf.DUMMYFUNCTION("""COMPUTED_VALUE"""),"Good")</f>
        <v>Good</v>
      </c>
      <c r="S341" t="str">
        <f ca="1">IFERROR(__xludf.DUMMYFUNCTION("""COMPUTED_VALUE"""),"Good")</f>
        <v>Good</v>
      </c>
      <c r="T341" t="str">
        <f ca="1">IFERROR(__xludf.DUMMYFUNCTION("""COMPUTED_VALUE"""),"Good")</f>
        <v>Good</v>
      </c>
      <c r="U341" t="str">
        <f ca="1">IFERROR(__xludf.DUMMYFUNCTION("""COMPUTED_VALUE"""),"Good")</f>
        <v>Good</v>
      </c>
      <c r="V341" t="str">
        <f ca="1">IFERROR(__xludf.DUMMYFUNCTION("""COMPUTED_VALUE"""),"Good")</f>
        <v>Good</v>
      </c>
      <c r="W341" t="str">
        <f ca="1">IFERROR(__xludf.DUMMYFUNCTION("""COMPUTED_VALUE"""),"Good")</f>
        <v>Good</v>
      </c>
      <c r="X341" t="str">
        <f ca="1">IFERROR(__xludf.DUMMYFUNCTION("""COMPUTED_VALUE"""),"Good")</f>
        <v>Good</v>
      </c>
      <c r="Y341" t="str">
        <f ca="1">IFERROR(__xludf.DUMMYFUNCTION("""COMPUTED_VALUE"""),"Good")</f>
        <v>Good</v>
      </c>
      <c r="Z341" t="str">
        <f ca="1">IFERROR(__xludf.DUMMYFUNCTION("""COMPUTED_VALUE"""),"Good")</f>
        <v>Good</v>
      </c>
      <c r="AA341" t="str">
        <f ca="1">IFERROR(__xludf.DUMMYFUNCTION("""COMPUTED_VALUE"""),"Good")</f>
        <v>Good</v>
      </c>
      <c r="AB341" t="str">
        <f ca="1">IFERROR(__xludf.DUMMYFUNCTION("""COMPUTED_VALUE"""),"Good")</f>
        <v>Good</v>
      </c>
      <c r="AC341" t="str">
        <f ca="1">IFERROR(__xludf.DUMMYFUNCTION("""COMPUTED_VALUE"""),"Good")</f>
        <v>Good</v>
      </c>
      <c r="AE341" s="11"/>
      <c r="AF341" t="str">
        <v>Nikki.Dix@floridadep.gov</v>
      </c>
      <c r="AG341" s="17" t="s">
        <v>17</v>
      </c>
      <c r="AH341" s="12">
        <v>1120</v>
      </c>
      <c r="AI341" s="12" t="s">
        <v>970</v>
      </c>
      <c r="AJ341" s="19" t="s">
        <v>971</v>
      </c>
      <c r="AK341" s="20" t="str">
        <f>HYPERLINK("https://docs.google.com/document/d/1DEEZagV5EBkLzROR_9oxeIWIQiNWeE6h9eGZvDKJGBc/edit?usp=drivesdk","Pamela Marcum - 7/24/2019 7:00 AM")</f>
        <v>Pamela Marcum - 7/24/2019 7:00 AM</v>
      </c>
      <c r="AL341" s="12" t="s">
        <v>972</v>
      </c>
    </row>
    <row r="342" spans="1:38" ht="12.75">
      <c r="A342" s="10">
        <f ca="1">IFERROR(__xludf.DUMMYFUNCTION("""COMPUTED_VALUE"""),43671.3202039236)</f>
        <v>43671.320203923598</v>
      </c>
      <c r="B342" s="11" t="str">
        <f ca="1">IFERROR(__xludf.DUMMYFUNCTION("""COMPUTED_VALUE"""),"Pamela Marcum")</f>
        <v>Pamela Marcum</v>
      </c>
      <c r="C342" t="str">
        <f ca="1">IFERROR(__xludf.DUMMYFUNCTION("""COMPUTED_VALUE"""),"Pamela.Marcum@FloridaDEP.gov")</f>
        <v>Pamela.Marcum@FloridaDEP.gov</v>
      </c>
      <c r="D342" t="str">
        <f ca="1">IFERROR(__xludf.DUMMYFUNCTION("""COMPUTED_VALUE"""),"Research/Nikki")</f>
        <v>Research/Nikki</v>
      </c>
      <c r="E342" t="str">
        <f ca="1">IFERROR(__xludf.DUMMYFUNCTION("""COMPUTED_VALUE"""),"Aunt Kate's")</f>
        <v>Aunt Kate's</v>
      </c>
      <c r="F342" s="13">
        <f ca="1">IFERROR(__xludf.DUMMYFUNCTION("""COMPUTED_VALUE"""),0.33333333333212)</f>
        <v>0.33333333333212001</v>
      </c>
      <c r="G342" s="14">
        <f ca="1">IFERROR(__xludf.DUMMYFUNCTION("""COMPUTED_VALUE"""),43671)</f>
        <v>43671</v>
      </c>
      <c r="H342" t="str">
        <f ca="1">IFERROR(__xludf.DUMMYFUNCTION("""COMPUTED_VALUE"""),"Guana River")</f>
        <v>Guana River</v>
      </c>
      <c r="I342" s="15">
        <f ca="1">IFERROR(__xludf.DUMMYFUNCTION("""COMPUTED_VALUE"""),0.541666666667879)</f>
        <v>0.54166666666787899</v>
      </c>
      <c r="J342" s="16">
        <f ca="1">IFERROR(__xludf.DUMMYFUNCTION("""COMPUTED_VALUE"""),43671.5625)</f>
        <v>43671.5625</v>
      </c>
      <c r="K342" t="str">
        <f ca="1">IFERROR(__xludf.DUMMYFUNCTION("""COMPUTED_VALUE"""),"17ft Skill FL0642GW DEP07239")</f>
        <v>17ft Skill FL0642GW DEP07239</v>
      </c>
      <c r="M342" t="str">
        <f ca="1">IFERROR(__xludf.DUMMYFUNCTION("""COMPUTED_VALUE"""),"Ford F250 2017 (Moby Dix) - DEP0021578")</f>
        <v>Ford F250 2017 (Moby Dix) - DEP0021578</v>
      </c>
      <c r="N342" t="str">
        <f ca="1">IFERROR(__xludf.DUMMYFUNCTION("""COMPUTED_VALUE"""),"Pam Marcum, (480) 332-5414")</f>
        <v>Pam Marcum, (480) 332-5414</v>
      </c>
      <c r="O342" t="str">
        <f ca="1">IFERROR(__xludf.DUMMYFUNCTION("""COMPUTED_VALUE"""),"David Kimbro, Nicole Peckham, Adrienne Breef-Pilz, Allison Noble")</f>
        <v>David Kimbro, Nicole Peckham, Adrienne Breef-Pilz, Allison Noble</v>
      </c>
      <c r="P342" t="str">
        <f ca="1">IFERROR(__xludf.DUMMYFUNCTION("""COMPUTED_VALUE"""),"Pam")</f>
        <v>Pam</v>
      </c>
      <c r="Q342" t="str">
        <f ca="1">IFERROR(__xludf.DUMMYFUNCTION("""COMPUTED_VALUE"""),"Good")</f>
        <v>Good</v>
      </c>
      <c r="R342" t="str">
        <f ca="1">IFERROR(__xludf.DUMMYFUNCTION("""COMPUTED_VALUE"""),"Good")</f>
        <v>Good</v>
      </c>
      <c r="S342" t="str">
        <f ca="1">IFERROR(__xludf.DUMMYFUNCTION("""COMPUTED_VALUE"""),"Good")</f>
        <v>Good</v>
      </c>
      <c r="T342" t="str">
        <f ca="1">IFERROR(__xludf.DUMMYFUNCTION("""COMPUTED_VALUE"""),"Good")</f>
        <v>Good</v>
      </c>
      <c r="U342" t="str">
        <f ca="1">IFERROR(__xludf.DUMMYFUNCTION("""COMPUTED_VALUE"""),"Good")</f>
        <v>Good</v>
      </c>
      <c r="V342" t="str">
        <f ca="1">IFERROR(__xludf.DUMMYFUNCTION("""COMPUTED_VALUE"""),"Good")</f>
        <v>Good</v>
      </c>
      <c r="W342" t="str">
        <f ca="1">IFERROR(__xludf.DUMMYFUNCTION("""COMPUTED_VALUE"""),"Good")</f>
        <v>Good</v>
      </c>
      <c r="X342" t="str">
        <f ca="1">IFERROR(__xludf.DUMMYFUNCTION("""COMPUTED_VALUE"""),"Good")</f>
        <v>Good</v>
      </c>
      <c r="Y342" t="str">
        <f ca="1">IFERROR(__xludf.DUMMYFUNCTION("""COMPUTED_VALUE"""),"Good")</f>
        <v>Good</v>
      </c>
      <c r="Z342" t="str">
        <f ca="1">IFERROR(__xludf.DUMMYFUNCTION("""COMPUTED_VALUE"""),"Good")</f>
        <v>Good</v>
      </c>
      <c r="AA342" t="str">
        <f ca="1">IFERROR(__xludf.DUMMYFUNCTION("""COMPUTED_VALUE"""),"Good")</f>
        <v>Good</v>
      </c>
      <c r="AB342" t="str">
        <f ca="1">IFERROR(__xludf.DUMMYFUNCTION("""COMPUTED_VALUE"""),"Good")</f>
        <v>Good</v>
      </c>
      <c r="AC342" t="str">
        <f ca="1">IFERROR(__xludf.DUMMYFUNCTION("""COMPUTED_VALUE"""),"Good")</f>
        <v>Good</v>
      </c>
      <c r="AE342" s="11"/>
      <c r="AF342" t="str">
        <v>Nikki.Dix@floridadep.gov</v>
      </c>
      <c r="AG342" s="17" t="s">
        <v>444</v>
      </c>
      <c r="AH342" s="12">
        <v>1145</v>
      </c>
      <c r="AI342" s="12" t="s">
        <v>973</v>
      </c>
      <c r="AJ342" s="19" t="s">
        <v>974</v>
      </c>
      <c r="AK342" s="20" t="str">
        <f>HYPERLINK("https://docs.google.com/document/d/1iIShRcHBMX9s2p9ixcmfD63N4BNpzZOhUMopEgZXVXU/edit?usp=drivesdk","Pamela Marcum - 7/25/2019 8:00 AM")</f>
        <v>Pamela Marcum - 7/25/2019 8:00 AM</v>
      </c>
      <c r="AL342" s="12" t="s">
        <v>975</v>
      </c>
    </row>
    <row r="343" spans="1:38" ht="12.75">
      <c r="A343" s="10">
        <f ca="1">IFERROR(__xludf.DUMMYFUNCTION("""COMPUTED_VALUE"""),43672.4374772916)</f>
        <v>43672.437477291598</v>
      </c>
      <c r="B343" s="11" t="str">
        <f ca="1">IFERROR(__xludf.DUMMYFUNCTION("""COMPUTED_VALUE"""),"Gabriela Canas")</f>
        <v>Gabriela Canas</v>
      </c>
      <c r="C343" t="str">
        <f ca="1">IFERROR(__xludf.DUMMYFUNCTION("""COMPUTED_VALUE"""),"gabriela.canas@dwp.state.fl.us")</f>
        <v>gabriela.canas@dwp.state.fl.us</v>
      </c>
      <c r="D343" t="str">
        <f ca="1">IFERROR(__xludf.DUMMYFUNCTION("""COMPUTED_VALUE"""),"Research/Nikki")</f>
        <v>Research/Nikki</v>
      </c>
      <c r="E343" t="str">
        <f ca="1">IFERROR(__xludf.DUMMYFUNCTION("""COMPUTED_VALUE"""),"Douglas crane")</f>
        <v>Douglas crane</v>
      </c>
      <c r="F343" s="13">
        <f ca="1">IFERROR(__xludf.DUMMYFUNCTION("""COMPUTED_VALUE"""),0.4375)</f>
        <v>0.4375</v>
      </c>
      <c r="G343" s="14">
        <f ca="1">IFERROR(__xludf.DUMMYFUNCTION("""COMPUTED_VALUE"""),43672)</f>
        <v>43672</v>
      </c>
      <c r="H343" t="str">
        <f ca="1">IFERROR(__xludf.DUMMYFUNCTION("""COMPUTED_VALUE"""),"Icw")</f>
        <v>Icw</v>
      </c>
      <c r="I343" s="15">
        <f ca="1">IFERROR(__xludf.DUMMYFUNCTION("""COMPUTED_VALUE"""),0.58333333333212)</f>
        <v>0.58333333333212001</v>
      </c>
      <c r="J343" s="16">
        <f ca="1">IFERROR(__xludf.DUMMYFUNCTION("""COMPUTED_VALUE"""),43672.125)</f>
        <v>43672.125</v>
      </c>
      <c r="K343" t="str">
        <f ca="1">IFERROR(__xludf.DUMMYFUNCTION("""COMPUTED_VALUE"""),"17ft Skill FL0642GW DEP07239")</f>
        <v>17ft Skill FL0642GW DEP07239</v>
      </c>
      <c r="M343" t="str">
        <f ca="1">IFERROR(__xludf.DUMMYFUNCTION("""COMPUTED_VALUE"""),"Ford F250 2017 (Moby Dix) - DEP0021578")</f>
        <v>Ford F250 2017 (Moby Dix) - DEP0021578</v>
      </c>
      <c r="N343" t="str">
        <f ca="1">IFERROR(__xludf.DUMMYFUNCTION("""COMPUTED_VALUE"""),"Pam Marcum, (480) 332-5414")</f>
        <v>Pam Marcum, (480) 332-5414</v>
      </c>
      <c r="O343" t="str">
        <f ca="1">IFERROR(__xludf.DUMMYFUNCTION("""COMPUTED_VALUE"""),"Gabriela Canas, (904) 891-9743, Alee knoell")</f>
        <v>Gabriela Canas, (904) 891-9743, Alee knoell</v>
      </c>
      <c r="P343" t="str">
        <f ca="1">IFERROR(__xludf.DUMMYFUNCTION("""COMPUTED_VALUE"""),"Pam marcum")</f>
        <v>Pam marcum</v>
      </c>
      <c r="Q343" t="str">
        <f ca="1">IFERROR(__xludf.DUMMYFUNCTION("""COMPUTED_VALUE"""),"Good")</f>
        <v>Good</v>
      </c>
      <c r="R343" t="str">
        <f ca="1">IFERROR(__xludf.DUMMYFUNCTION("""COMPUTED_VALUE"""),"Good")</f>
        <v>Good</v>
      </c>
      <c r="S343" t="str">
        <f ca="1">IFERROR(__xludf.DUMMYFUNCTION("""COMPUTED_VALUE"""),"Good")</f>
        <v>Good</v>
      </c>
      <c r="T343" t="str">
        <f ca="1">IFERROR(__xludf.DUMMYFUNCTION("""COMPUTED_VALUE"""),"Good")</f>
        <v>Good</v>
      </c>
      <c r="U343" t="str">
        <f ca="1">IFERROR(__xludf.DUMMYFUNCTION("""COMPUTED_VALUE"""),"Good")</f>
        <v>Good</v>
      </c>
      <c r="V343" t="str">
        <f ca="1">IFERROR(__xludf.DUMMYFUNCTION("""COMPUTED_VALUE"""),"Good")</f>
        <v>Good</v>
      </c>
      <c r="W343" t="str">
        <f ca="1">IFERROR(__xludf.DUMMYFUNCTION("""COMPUTED_VALUE"""),"Good")</f>
        <v>Good</v>
      </c>
      <c r="X343" t="str">
        <f ca="1">IFERROR(__xludf.DUMMYFUNCTION("""COMPUTED_VALUE"""),"Good")</f>
        <v>Good</v>
      </c>
      <c r="Y343" t="str">
        <f ca="1">IFERROR(__xludf.DUMMYFUNCTION("""COMPUTED_VALUE"""),"Good")</f>
        <v>Good</v>
      </c>
      <c r="Z343" t="str">
        <f ca="1">IFERROR(__xludf.DUMMYFUNCTION("""COMPUTED_VALUE"""),"Good")</f>
        <v>Good</v>
      </c>
      <c r="AA343" t="str">
        <f ca="1">IFERROR(__xludf.DUMMYFUNCTION("""COMPUTED_VALUE"""),"Good")</f>
        <v>Good</v>
      </c>
      <c r="AB343" t="str">
        <f ca="1">IFERROR(__xludf.DUMMYFUNCTION("""COMPUTED_VALUE"""),"Good")</f>
        <v>Good</v>
      </c>
      <c r="AC343" t="str">
        <f ca="1">IFERROR(__xludf.DUMMYFUNCTION("""COMPUTED_VALUE"""),"Good")</f>
        <v>Good</v>
      </c>
      <c r="AD343" t="str">
        <f ca="1">IFERROR(__xludf.DUMMYFUNCTION("""COMPUTED_VALUE"""),"Partly cloudy")</f>
        <v>Partly cloudy</v>
      </c>
      <c r="AE343" s="11" t="str">
        <f ca="1">IFERROR(__xludf.DUMMYFUNCTION("""COMPUTED_VALUE"""),"11:30low")</f>
        <v>11:30low</v>
      </c>
      <c r="AF343" t="str">
        <v>Nikki.Dix@floridadep.gov</v>
      </c>
      <c r="AG343" s="17" t="s">
        <v>54</v>
      </c>
      <c r="AH343" s="12" t="s">
        <v>976</v>
      </c>
      <c r="AI343" s="12" t="s">
        <v>977</v>
      </c>
      <c r="AJ343" s="19" t="s">
        <v>978</v>
      </c>
      <c r="AK343" s="20" t="str">
        <f>HYPERLINK("https://docs.google.com/document/d/19iCCJZ_O23GPhy55Pb4Tax0fp71UZC6HAdOjd8p_lds/edit?usp=drivesdk","Gabriela Canas - 7/26/2019 10:30 AM")</f>
        <v>Gabriela Canas - 7/26/2019 10:30 AM</v>
      </c>
      <c r="AL343" s="12" t="s">
        <v>979</v>
      </c>
    </row>
    <row r="344" spans="1:38" ht="12.75">
      <c r="A344" s="10">
        <f ca="1">IFERROR(__xludf.DUMMYFUNCTION("""COMPUTED_VALUE"""),43675.7244825925)</f>
        <v>43675.724482592501</v>
      </c>
      <c r="B344" s="11" t="str">
        <f ca="1">IFERROR(__xludf.DUMMYFUNCTION("""COMPUTED_VALUE"""),"Silas Tanner")</f>
        <v>Silas Tanner</v>
      </c>
      <c r="C344" t="str">
        <f ca="1">IFERROR(__xludf.DUMMYFUNCTION("""COMPUTED_VALUE"""),"silas.tanner@floridadep.gov")</f>
        <v>silas.tanner@floridadep.gov</v>
      </c>
      <c r="D344" t="str">
        <f ca="1">IFERROR(__xludf.DUMMYFUNCTION("""COMPUTED_VALUE"""),"Research/Nikki")</f>
        <v>Research/Nikki</v>
      </c>
      <c r="E344" t="str">
        <f ca="1">IFERROR(__xludf.DUMMYFUNCTION("""COMPUTED_VALUE"""),"Vilano landing")</f>
        <v>Vilano landing</v>
      </c>
      <c r="F344" s="13">
        <f ca="1">IFERROR(__xludf.DUMMYFUNCTION("""COMPUTED_VALUE"""),0.322916666667879)</f>
        <v>0.32291666666787899</v>
      </c>
      <c r="G344" s="14">
        <f ca="1">IFERROR(__xludf.DUMMYFUNCTION("""COMPUTED_VALUE"""),43676)</f>
        <v>43676</v>
      </c>
      <c r="H344" t="str">
        <f ca="1">IFERROR(__xludf.DUMMYFUNCTION("""COMPUTED_VALUE"""),"ICW SWMP sites &amp; spat oyster trees")</f>
        <v>ICW SWMP sites &amp; spat oyster trees</v>
      </c>
      <c r="I344" s="15">
        <f ca="1">IFERROR(__xludf.DUMMYFUNCTION("""COMPUTED_VALUE"""),0.697916666667879)</f>
        <v>0.69791666666787899</v>
      </c>
      <c r="J344" s="16">
        <f ca="1">IFERROR(__xludf.DUMMYFUNCTION("""COMPUTED_VALUE"""),43676.7083333333)</f>
        <v>43676.708333333299</v>
      </c>
      <c r="K344" t="str">
        <f ca="1">IFERROR(__xludf.DUMMYFUNCTION("""COMPUTED_VALUE"""),"23ft Skiff (Bertha) FL7972LJ DEP07613")</f>
        <v>23ft Skiff (Bertha) FL7972LJ DEP07613</v>
      </c>
      <c r="M344" t="str">
        <f ca="1">IFERROR(__xludf.DUMMYFUNCTION("""COMPUTED_VALUE"""),"Ford F250 2017 (Moby Dix) - DEP0021578")</f>
        <v>Ford F250 2017 (Moby Dix) - DEP0021578</v>
      </c>
      <c r="N344" t="str">
        <f ca="1">IFERROR(__xludf.DUMMYFUNCTION("""COMPUTED_VALUE"""),"Silas Tanner, (904) 483-8423")</f>
        <v>Silas Tanner, (904) 483-8423</v>
      </c>
      <c r="O344" t="str">
        <f ca="1">IFERROR(__xludf.DUMMYFUNCTION("""COMPUTED_VALUE"""),"Alee Knowles")</f>
        <v>Alee Knowles</v>
      </c>
      <c r="P344" t="str">
        <f ca="1">IFERROR(__xludf.DUMMYFUNCTION("""COMPUTED_VALUE"""),"S. Tanner")</f>
        <v>S. Tanner</v>
      </c>
      <c r="Q344" t="str">
        <f ca="1">IFERROR(__xludf.DUMMYFUNCTION("""COMPUTED_VALUE"""),"Good")</f>
        <v>Good</v>
      </c>
      <c r="R344" t="str">
        <f ca="1">IFERROR(__xludf.DUMMYFUNCTION("""COMPUTED_VALUE"""),"Good")</f>
        <v>Good</v>
      </c>
      <c r="S344" t="str">
        <f ca="1">IFERROR(__xludf.DUMMYFUNCTION("""COMPUTED_VALUE"""),"Good")</f>
        <v>Good</v>
      </c>
      <c r="T344" t="str">
        <f ca="1">IFERROR(__xludf.DUMMYFUNCTION("""COMPUTED_VALUE"""),"Good")</f>
        <v>Good</v>
      </c>
      <c r="U344" t="str">
        <f ca="1">IFERROR(__xludf.DUMMYFUNCTION("""COMPUTED_VALUE"""),"Good")</f>
        <v>Good</v>
      </c>
      <c r="V344" t="str">
        <f ca="1">IFERROR(__xludf.DUMMYFUNCTION("""COMPUTED_VALUE"""),"Good")</f>
        <v>Good</v>
      </c>
      <c r="W344" t="str">
        <f ca="1">IFERROR(__xludf.DUMMYFUNCTION("""COMPUTED_VALUE"""),"Good")</f>
        <v>Good</v>
      </c>
      <c r="X344" t="str">
        <f ca="1">IFERROR(__xludf.DUMMYFUNCTION("""COMPUTED_VALUE"""),"Good")</f>
        <v>Good</v>
      </c>
      <c r="Y344" t="str">
        <f ca="1">IFERROR(__xludf.DUMMYFUNCTION("""COMPUTED_VALUE"""),"Good")</f>
        <v>Good</v>
      </c>
      <c r="Z344" t="str">
        <f ca="1">IFERROR(__xludf.DUMMYFUNCTION("""COMPUTED_VALUE"""),"Good")</f>
        <v>Good</v>
      </c>
      <c r="AA344" t="str">
        <f ca="1">IFERROR(__xludf.DUMMYFUNCTION("""COMPUTED_VALUE"""),"Good")</f>
        <v>Good</v>
      </c>
      <c r="AB344" t="str">
        <f ca="1">IFERROR(__xludf.DUMMYFUNCTION("""COMPUTED_VALUE"""),"Good")</f>
        <v>Good</v>
      </c>
      <c r="AC344" t="str">
        <f ca="1">IFERROR(__xludf.DUMMYFUNCTION("""COMPUTED_VALUE"""),"Good")</f>
        <v>Good</v>
      </c>
      <c r="AE344" s="11"/>
      <c r="AF344" t="str">
        <v>Nikki.Dix@floridadep.gov</v>
      </c>
      <c r="AG344" s="17" t="s">
        <v>17</v>
      </c>
      <c r="AH344" s="12">
        <v>1530</v>
      </c>
      <c r="AI344" s="12" t="s">
        <v>980</v>
      </c>
      <c r="AJ344" s="19" t="s">
        <v>981</v>
      </c>
      <c r="AK344" s="20" t="str">
        <f>HYPERLINK("https://docs.google.com/document/d/1i6f7kHhOK6gs1CovzkHGRW2qcF_O4PSMw6GEfKJFoiI/edit?usp=drivesdk","Silas Tanner - 7/30/2019 7:45 AM")</f>
        <v>Silas Tanner - 7/30/2019 7:45 AM</v>
      </c>
      <c r="AL344" s="12" t="s">
        <v>982</v>
      </c>
    </row>
    <row r="345" spans="1:38" ht="12.75">
      <c r="A345" s="10">
        <f ca="1">IFERROR(__xludf.DUMMYFUNCTION("""COMPUTED_VALUE"""),43676.4616738657)</f>
        <v>43676.461673865699</v>
      </c>
      <c r="B345" s="11" t="str">
        <f ca="1">IFERROR(__xludf.DUMMYFUNCTION("""COMPUTED_VALUE"""),"Pamela Marcum")</f>
        <v>Pamela Marcum</v>
      </c>
      <c r="C345" t="str">
        <f ca="1">IFERROR(__xludf.DUMMYFUNCTION("""COMPUTED_VALUE"""),"pamela.marcum@floridadep.gov")</f>
        <v>pamela.marcum@floridadep.gov</v>
      </c>
      <c r="D345" t="str">
        <f ca="1">IFERROR(__xludf.DUMMYFUNCTION("""COMPUTED_VALUE"""),"Administration")</f>
        <v>Administration</v>
      </c>
      <c r="E345" t="str">
        <f ca="1">IFERROR(__xludf.DUMMYFUNCTION("""COMPUTED_VALUE"""),"Guana Dam")</f>
        <v>Guana Dam</v>
      </c>
      <c r="F345" s="13">
        <f ca="1">IFERROR(__xludf.DUMMYFUNCTION("""COMPUTED_VALUE"""),0.45833333333212)</f>
        <v>0.45833333333212001</v>
      </c>
      <c r="G345" s="14">
        <f ca="1">IFERROR(__xludf.DUMMYFUNCTION("""COMPUTED_VALUE"""),43676)</f>
        <v>43676</v>
      </c>
      <c r="H345" t="str">
        <f ca="1">IFERROR(__xludf.DUMMYFUNCTION("""COMPUTED_VALUE"""),"Guana tolomato rivers")</f>
        <v>Guana tolomato rivers</v>
      </c>
      <c r="I345" s="15">
        <f ca="1">IFERROR(__xludf.DUMMYFUNCTION("""COMPUTED_VALUE"""),0.58333333333212)</f>
        <v>0.58333333333212001</v>
      </c>
      <c r="J345" s="16">
        <f ca="1">IFERROR(__xludf.DUMMYFUNCTION("""COMPUTED_VALUE"""),43676.5833333333)</f>
        <v>43676.583333333299</v>
      </c>
      <c r="K345" t="str">
        <f ca="1">IFERROR(__xludf.DUMMYFUNCTION("""COMPUTED_VALUE"""),"Jon Boat FL0484NP DEP06819")</f>
        <v>Jon Boat FL0484NP DEP06819</v>
      </c>
      <c r="M345" t="str">
        <f ca="1">IFERROR(__xludf.DUMMYFUNCTION("""COMPUTED_VALUE"""),"Ford F150 2008 - DEP18041 (SWMP Thing)")</f>
        <v>Ford F150 2008 - DEP18041 (SWMP Thing)</v>
      </c>
      <c r="N345" t="str">
        <f ca="1">IFERROR(__xludf.DUMMYFUNCTION("""COMPUTED_VALUE"""),"Nikki Dix, (352) 219-4079, Pam Marcum, (480) 332-5414")</f>
        <v>Nikki Dix, (352) 219-4079, Pam Marcum, (480) 332-5414</v>
      </c>
      <c r="P345" t="str">
        <f ca="1">IFERROR(__xludf.DUMMYFUNCTION("""COMPUTED_VALUE"""),"Pam")</f>
        <v>Pam</v>
      </c>
      <c r="Q345" t="str">
        <f ca="1">IFERROR(__xludf.DUMMYFUNCTION("""COMPUTED_VALUE"""),"Good")</f>
        <v>Good</v>
      </c>
      <c r="R345" t="str">
        <f ca="1">IFERROR(__xludf.DUMMYFUNCTION("""COMPUTED_VALUE"""),"Good")</f>
        <v>Good</v>
      </c>
      <c r="S345" t="str">
        <f ca="1">IFERROR(__xludf.DUMMYFUNCTION("""COMPUTED_VALUE"""),"Good")</f>
        <v>Good</v>
      </c>
      <c r="T345" t="str">
        <f ca="1">IFERROR(__xludf.DUMMYFUNCTION("""COMPUTED_VALUE"""),"Good")</f>
        <v>Good</v>
      </c>
      <c r="U345" t="str">
        <f ca="1">IFERROR(__xludf.DUMMYFUNCTION("""COMPUTED_VALUE"""),"Good")</f>
        <v>Good</v>
      </c>
      <c r="V345" t="str">
        <f ca="1">IFERROR(__xludf.DUMMYFUNCTION("""COMPUTED_VALUE"""),"Good")</f>
        <v>Good</v>
      </c>
      <c r="W345" t="str">
        <f ca="1">IFERROR(__xludf.DUMMYFUNCTION("""COMPUTED_VALUE"""),"Good")</f>
        <v>Good</v>
      </c>
      <c r="X345" t="str">
        <f ca="1">IFERROR(__xludf.DUMMYFUNCTION("""COMPUTED_VALUE"""),"Good")</f>
        <v>Good</v>
      </c>
      <c r="Y345" t="str">
        <f ca="1">IFERROR(__xludf.DUMMYFUNCTION("""COMPUTED_VALUE"""),"Good")</f>
        <v>Good</v>
      </c>
      <c r="Z345" t="str">
        <f ca="1">IFERROR(__xludf.DUMMYFUNCTION("""COMPUTED_VALUE"""),"Good")</f>
        <v>Good</v>
      </c>
      <c r="AA345" t="str">
        <f ca="1">IFERROR(__xludf.DUMMYFUNCTION("""COMPUTED_VALUE"""),"Good")</f>
        <v>Good</v>
      </c>
      <c r="AB345" t="str">
        <f ca="1">IFERROR(__xludf.DUMMYFUNCTION("""COMPUTED_VALUE"""),"Good")</f>
        <v>Good</v>
      </c>
      <c r="AC345" t="str">
        <f ca="1">IFERROR(__xludf.DUMMYFUNCTION("""COMPUTED_VALUE"""),"Good")</f>
        <v>Good</v>
      </c>
      <c r="AE345" s="11"/>
      <c r="AF345" t="str">
        <v>Lia.Sansom@floridadep.gov</v>
      </c>
      <c r="AG345" s="17" t="s">
        <v>17</v>
      </c>
      <c r="AH345" s="12">
        <v>1300</v>
      </c>
      <c r="AI345" s="12" t="s">
        <v>983</v>
      </c>
      <c r="AJ345" s="19" t="s">
        <v>984</v>
      </c>
      <c r="AK345" s="20" t="str">
        <f>HYPERLINK("https://docs.google.com/document/d/1Id6Jld1KzxQlELFCsAZGsrQF5n3rtGtVgl9NJOHfP_4/edit?usp=drivesdk","Pamela Marcum - 7/30/2019 11:00 AM")</f>
        <v>Pamela Marcum - 7/30/2019 11:00 AM</v>
      </c>
      <c r="AL345" s="12" t="s">
        <v>985</v>
      </c>
    </row>
    <row r="346" spans="1:38" ht="12.75">
      <c r="A346" s="10">
        <f ca="1">IFERROR(__xludf.DUMMYFUNCTION("""COMPUTED_VALUE"""),43677.3534614004)</f>
        <v>43677.353461400402</v>
      </c>
      <c r="B346" s="11" t="str">
        <f ca="1">IFERROR(__xludf.DUMMYFUNCTION("""COMPUTED_VALUE"""),"James Tomazinis")</f>
        <v>James Tomazinis</v>
      </c>
      <c r="C346" t="str">
        <f ca="1">IFERROR(__xludf.DUMMYFUNCTION("""COMPUTED_VALUE"""),"james.tomazinis@floridadep.gov")</f>
        <v>james.tomazinis@floridadep.gov</v>
      </c>
      <c r="D346" t="str">
        <f ca="1">IFERROR(__xludf.DUMMYFUNCTION("""COMPUTED_VALUE"""),"Stewardship (Aquatic)")</f>
        <v>Stewardship (Aquatic)</v>
      </c>
      <c r="E346" t="str">
        <f ca="1">IFERROR(__xludf.DUMMYFUNCTION("""COMPUTED_VALUE"""),"Vilano")</f>
        <v>Vilano</v>
      </c>
      <c r="F346" s="13">
        <f ca="1">IFERROR(__xludf.DUMMYFUNCTION("""COMPUTED_VALUE"""),0.385416666667879)</f>
        <v>0.38541666666787899</v>
      </c>
      <c r="G346" s="14">
        <f ca="1">IFERROR(__xludf.DUMMYFUNCTION("""COMPUTED_VALUE"""),43677)</f>
        <v>43677</v>
      </c>
      <c r="H346" t="str">
        <f ca="1">IFERROR(__xludf.DUMMYFUNCTION("""COMPUTED_VALUE"""),"Matanzas nekton sites")</f>
        <v>Matanzas nekton sites</v>
      </c>
      <c r="I346" s="15">
        <f ca="1">IFERROR(__xludf.DUMMYFUNCTION("""COMPUTED_VALUE"""),0.70833333333212)</f>
        <v>0.70833333333212001</v>
      </c>
      <c r="J346" s="16"/>
      <c r="K346" t="str">
        <f ca="1">IFERROR(__xludf.DUMMYFUNCTION("""COMPUTED_VALUE"""),"23ft Skiff (Bertha) FL7972LJ DEP07613")</f>
        <v>23ft Skiff (Bertha) FL7972LJ DEP07613</v>
      </c>
      <c r="M346" t="str">
        <f ca="1">IFERROR(__xludf.DUMMYFUNCTION("""COMPUTED_VALUE"""),"Ford F250 2017 (Moby Dix) - DEP0021578")</f>
        <v>Ford F250 2017 (Moby Dix) - DEP0021578</v>
      </c>
      <c r="N346" t="str">
        <f ca="1">IFERROR(__xludf.DUMMYFUNCTION("""COMPUTED_VALUE"""),"Jimmy Tomazinis, (904) 547-0094")</f>
        <v>Jimmy Tomazinis, (904) 547-0094</v>
      </c>
      <c r="O346" t="str">
        <f ca="1">IFERROR(__xludf.DUMMYFUNCTION("""COMPUTED_VALUE"""),"Amy Brownfield, Alicia Bishop, Suzi Porterfield, Cameron Rumsey")</f>
        <v>Amy Brownfield, Alicia Bishop, Suzi Porterfield, Cameron Rumsey</v>
      </c>
      <c r="P346" t="str">
        <f ca="1">IFERROR(__xludf.DUMMYFUNCTION("""COMPUTED_VALUE"""),"Jimmy")</f>
        <v>Jimmy</v>
      </c>
      <c r="Q346" t="str">
        <f ca="1">IFERROR(__xludf.DUMMYFUNCTION("""COMPUTED_VALUE"""),"Good")</f>
        <v>Good</v>
      </c>
      <c r="R346" t="str">
        <f ca="1">IFERROR(__xludf.DUMMYFUNCTION("""COMPUTED_VALUE"""),"Good")</f>
        <v>Good</v>
      </c>
      <c r="S346" t="str">
        <f ca="1">IFERROR(__xludf.DUMMYFUNCTION("""COMPUTED_VALUE"""),"Good")</f>
        <v>Good</v>
      </c>
      <c r="T346" t="str">
        <f ca="1">IFERROR(__xludf.DUMMYFUNCTION("""COMPUTED_VALUE"""),"Good")</f>
        <v>Good</v>
      </c>
      <c r="U346" t="str">
        <f ca="1">IFERROR(__xludf.DUMMYFUNCTION("""COMPUTED_VALUE"""),"Good")</f>
        <v>Good</v>
      </c>
      <c r="V346" t="str">
        <f ca="1">IFERROR(__xludf.DUMMYFUNCTION("""COMPUTED_VALUE"""),"Good")</f>
        <v>Good</v>
      </c>
      <c r="W346" t="str">
        <f ca="1">IFERROR(__xludf.DUMMYFUNCTION("""COMPUTED_VALUE"""),"Good")</f>
        <v>Good</v>
      </c>
      <c r="X346" t="str">
        <f ca="1">IFERROR(__xludf.DUMMYFUNCTION("""COMPUTED_VALUE"""),"Good")</f>
        <v>Good</v>
      </c>
      <c r="Y346" t="str">
        <f ca="1">IFERROR(__xludf.DUMMYFUNCTION("""COMPUTED_VALUE"""),"Good")</f>
        <v>Good</v>
      </c>
      <c r="Z346" t="str">
        <f ca="1">IFERROR(__xludf.DUMMYFUNCTION("""COMPUTED_VALUE"""),"Good")</f>
        <v>Good</v>
      </c>
      <c r="AA346" t="str">
        <f ca="1">IFERROR(__xludf.DUMMYFUNCTION("""COMPUTED_VALUE"""),"Good")</f>
        <v>Good</v>
      </c>
      <c r="AB346" t="str">
        <f ca="1">IFERROR(__xludf.DUMMYFUNCTION("""COMPUTED_VALUE"""),"Good")</f>
        <v>Good</v>
      </c>
      <c r="AC346" t="str">
        <f ca="1">IFERROR(__xludf.DUMMYFUNCTION("""COMPUTED_VALUE"""),"Good")</f>
        <v>Good</v>
      </c>
      <c r="AE346" s="11"/>
      <c r="AF346" t="str">
        <v>Scott.Eastman@floridadep.gov</v>
      </c>
      <c r="AG346" s="17" t="s">
        <v>21</v>
      </c>
      <c r="AH346" s="12">
        <v>1800</v>
      </c>
      <c r="AI346" s="12" t="s">
        <v>986</v>
      </c>
      <c r="AJ346" s="19" t="s">
        <v>987</v>
      </c>
      <c r="AK346" s="20" t="str">
        <f>HYPERLINK("https://docs.google.com/document/d/1dcxw6xlXtPDlo4G3zVliHM7eYEMWU9U5ZU03DGzm4Y4/edit?usp=drivesdk","James Tomazinis - 7/31/2019 9:15 AM")</f>
        <v>James Tomazinis - 7/31/2019 9:15 AM</v>
      </c>
      <c r="AL346" s="12" t="s">
        <v>988</v>
      </c>
    </row>
    <row r="347" spans="1:38" ht="12.75">
      <c r="A347" s="10">
        <f ca="1">IFERROR(__xludf.DUMMYFUNCTION("""COMPUTED_VALUE"""),43678.598216192)</f>
        <v>43678.598216192098</v>
      </c>
      <c r="B347" s="11" t="str">
        <f ca="1">IFERROR(__xludf.DUMMYFUNCTION("""COMPUTED_VALUE"""),"Pam Marcum")</f>
        <v>Pam Marcum</v>
      </c>
      <c r="C347" t="str">
        <f ca="1">IFERROR(__xludf.DUMMYFUNCTION("""COMPUTED_VALUE"""),"Pamela.Marcum@floridadep.gov")</f>
        <v>Pamela.Marcum@floridadep.gov</v>
      </c>
      <c r="D347" t="str">
        <f ca="1">IFERROR(__xludf.DUMMYFUNCTION("""COMPUTED_VALUE"""),"Research/Nikki")</f>
        <v>Research/Nikki</v>
      </c>
      <c r="E347" t="str">
        <f ca="1">IFERROR(__xludf.DUMMYFUNCTION("""COMPUTED_VALUE"""),"Aunt Kate's")</f>
        <v>Aunt Kate's</v>
      </c>
      <c r="F347" s="13">
        <f ca="1">IFERROR(__xludf.DUMMYFUNCTION("""COMPUTED_VALUE"""),0.625)</f>
        <v>0.625</v>
      </c>
      <c r="G347" s="14">
        <f ca="1">IFERROR(__xludf.DUMMYFUNCTION("""COMPUTED_VALUE"""),43678)</f>
        <v>43678</v>
      </c>
      <c r="H347" t="str">
        <f ca="1">IFERROR(__xludf.DUMMYFUNCTION("""COMPUTED_VALUE"""),"Guana and Tolomato Rivers")</f>
        <v>Guana and Tolomato Rivers</v>
      </c>
      <c r="I347" s="15">
        <f ca="1">IFERROR(__xludf.DUMMYFUNCTION("""COMPUTED_VALUE"""),0.791666666667879)</f>
        <v>0.79166666666787899</v>
      </c>
      <c r="J347" s="16">
        <f ca="1">IFERROR(__xludf.DUMMYFUNCTION("""COMPUTED_VALUE"""),43678.8125)</f>
        <v>43678.8125</v>
      </c>
      <c r="K347" t="str">
        <f ca="1">IFERROR(__xludf.DUMMYFUNCTION("""COMPUTED_VALUE"""),"23ft Skiff (Bertha) FL7972LJ DEP07613")</f>
        <v>23ft Skiff (Bertha) FL7972LJ DEP07613</v>
      </c>
      <c r="M347" t="str">
        <f ca="1">IFERROR(__xludf.DUMMYFUNCTION("""COMPUTED_VALUE"""),"Ford F250 2017 (Moby Dix) - DEP0021578")</f>
        <v>Ford F250 2017 (Moby Dix) - DEP0021578</v>
      </c>
      <c r="N347" t="str">
        <f ca="1">IFERROR(__xludf.DUMMYFUNCTION("""COMPUTED_VALUE"""),"Pam Marcum, (480) 332-5414")</f>
        <v>Pam Marcum, (480) 332-5414</v>
      </c>
      <c r="O347" t="str">
        <f ca="1">IFERROR(__xludf.DUMMYFUNCTION("""COMPUTED_VALUE"""),"Adrienne Breef-Pilz, Nicole Peckham, Allison Noble")</f>
        <v>Adrienne Breef-Pilz, Nicole Peckham, Allison Noble</v>
      </c>
      <c r="P347" t="str">
        <f ca="1">IFERROR(__xludf.DUMMYFUNCTION("""COMPUTED_VALUE"""),"Pam")</f>
        <v>Pam</v>
      </c>
      <c r="Q347" t="str">
        <f ca="1">IFERROR(__xludf.DUMMYFUNCTION("""COMPUTED_VALUE"""),"Good")</f>
        <v>Good</v>
      </c>
      <c r="R347" t="str">
        <f ca="1">IFERROR(__xludf.DUMMYFUNCTION("""COMPUTED_VALUE"""),"Good")</f>
        <v>Good</v>
      </c>
      <c r="S347" t="str">
        <f ca="1">IFERROR(__xludf.DUMMYFUNCTION("""COMPUTED_VALUE"""),"Good")</f>
        <v>Good</v>
      </c>
      <c r="T347" t="str">
        <f ca="1">IFERROR(__xludf.DUMMYFUNCTION("""COMPUTED_VALUE"""),"Good")</f>
        <v>Good</v>
      </c>
      <c r="U347" t="str">
        <f ca="1">IFERROR(__xludf.DUMMYFUNCTION("""COMPUTED_VALUE"""),"Good")</f>
        <v>Good</v>
      </c>
      <c r="V347" t="str">
        <f ca="1">IFERROR(__xludf.DUMMYFUNCTION("""COMPUTED_VALUE"""),"Good")</f>
        <v>Good</v>
      </c>
      <c r="W347" t="str">
        <f ca="1">IFERROR(__xludf.DUMMYFUNCTION("""COMPUTED_VALUE"""),"Good")</f>
        <v>Good</v>
      </c>
      <c r="X347" t="str">
        <f ca="1">IFERROR(__xludf.DUMMYFUNCTION("""COMPUTED_VALUE"""),"Good")</f>
        <v>Good</v>
      </c>
      <c r="Y347" t="str">
        <f ca="1">IFERROR(__xludf.DUMMYFUNCTION("""COMPUTED_VALUE"""),"Good")</f>
        <v>Good</v>
      </c>
      <c r="Z347" t="str">
        <f ca="1">IFERROR(__xludf.DUMMYFUNCTION("""COMPUTED_VALUE"""),"Good")</f>
        <v>Good</v>
      </c>
      <c r="AA347" t="str">
        <f ca="1">IFERROR(__xludf.DUMMYFUNCTION("""COMPUTED_VALUE"""),"Good")</f>
        <v>Good</v>
      </c>
      <c r="AB347" t="str">
        <f ca="1">IFERROR(__xludf.DUMMYFUNCTION("""COMPUTED_VALUE"""),"Good")</f>
        <v>Good</v>
      </c>
      <c r="AC347" t="str">
        <f ca="1">IFERROR(__xludf.DUMMYFUNCTION("""COMPUTED_VALUE"""),"Good")</f>
        <v>Good</v>
      </c>
      <c r="AE347" s="11"/>
      <c r="AF347" t="str">
        <v>Nikki.Dix@floridadep.gov</v>
      </c>
      <c r="AG347" s="17" t="s">
        <v>41</v>
      </c>
      <c r="AH347" s="12">
        <v>1820</v>
      </c>
      <c r="AI347" s="12" t="s">
        <v>989</v>
      </c>
      <c r="AJ347" s="19" t="s">
        <v>990</v>
      </c>
      <c r="AK347" s="20" t="str">
        <f>HYPERLINK("https://docs.google.com/document/d/1jxJbOyJ-efuz4tHXDy8L3GTN2d42synPAf0a9KwhPj4/edit?usp=drivesdk","Pam Marcum - 8/1/2019 3:00 PM")</f>
        <v>Pam Marcum - 8/1/2019 3:00 PM</v>
      </c>
      <c r="AL347" s="12" t="s">
        <v>991</v>
      </c>
    </row>
    <row r="348" spans="1:38" ht="12.75">
      <c r="A348" s="10">
        <f ca="1">IFERROR(__xludf.DUMMYFUNCTION("""COMPUTED_VALUE"""),43682.5948932986)</f>
        <v>43682.594893298599</v>
      </c>
      <c r="B348" s="11" t="str">
        <f ca="1">IFERROR(__xludf.DUMMYFUNCTION("""COMPUTED_VALUE"""),"Jimmy")</f>
        <v>Jimmy</v>
      </c>
      <c r="C348" t="str">
        <f ca="1">IFERROR(__xludf.DUMMYFUNCTION("""COMPUTED_VALUE"""),"james.tomazinis@floridadep.gov")</f>
        <v>james.tomazinis@floridadep.gov</v>
      </c>
      <c r="D348" t="str">
        <f ca="1">IFERROR(__xludf.DUMMYFUNCTION("""COMPUTED_VALUE"""),"Stewardship (Aquatic)")</f>
        <v>Stewardship (Aquatic)</v>
      </c>
      <c r="E348" t="str">
        <f ca="1">IFERROR(__xludf.DUMMYFUNCTION("""COMPUTED_VALUE"""),"Vilano")</f>
        <v>Vilano</v>
      </c>
      <c r="F348" s="13">
        <f ca="1">IFERROR(__xludf.DUMMYFUNCTION("""COMPUTED_VALUE"""),0.375)</f>
        <v>0.375</v>
      </c>
      <c r="G348" s="14">
        <f ca="1">IFERROR(__xludf.DUMMYFUNCTION("""COMPUTED_VALUE"""),43683)</f>
        <v>43683</v>
      </c>
      <c r="H348" t="str">
        <f ca="1">IFERROR(__xludf.DUMMYFUNCTION("""COMPUTED_VALUE"""),"Tolomato Nekton sites")</f>
        <v>Tolomato Nekton sites</v>
      </c>
      <c r="I348" s="15">
        <f ca="1">IFERROR(__xludf.DUMMYFUNCTION("""COMPUTED_VALUE"""),0.666666666667879)</f>
        <v>0.66666666666787899</v>
      </c>
      <c r="J348" s="16"/>
      <c r="K348" t="str">
        <f ca="1">IFERROR(__xludf.DUMMYFUNCTION("""COMPUTED_VALUE"""),"23ft Skiff (Bertha) FL7972LJ DEP07613")</f>
        <v>23ft Skiff (Bertha) FL7972LJ DEP07613</v>
      </c>
      <c r="M348" t="str">
        <f ca="1">IFERROR(__xludf.DUMMYFUNCTION("""COMPUTED_VALUE"""),"Ford F150 2015 (White) - DEP21448")</f>
        <v>Ford F150 2015 (White) - DEP21448</v>
      </c>
      <c r="N348" t="str">
        <f ca="1">IFERROR(__xludf.DUMMYFUNCTION("""COMPUTED_VALUE"""),"Jimmy Tomazinis, (904) 547-0094")</f>
        <v>Jimmy Tomazinis, (904) 547-0094</v>
      </c>
      <c r="O348" t="str">
        <f ca="1">IFERROR(__xludf.DUMMYFUNCTION("""COMPUTED_VALUE"""),"Suzi, Matthew, Will, Andy, Molly, Cameron")</f>
        <v>Suzi, Matthew, Will, Andy, Molly, Cameron</v>
      </c>
      <c r="P348" t="str">
        <f ca="1">IFERROR(__xludf.DUMMYFUNCTION("""COMPUTED_VALUE"""),"Jimmy")</f>
        <v>Jimmy</v>
      </c>
      <c r="Q348" t="str">
        <f ca="1">IFERROR(__xludf.DUMMYFUNCTION("""COMPUTED_VALUE"""),"Good")</f>
        <v>Good</v>
      </c>
      <c r="R348" t="str">
        <f ca="1">IFERROR(__xludf.DUMMYFUNCTION("""COMPUTED_VALUE"""),"Good")</f>
        <v>Good</v>
      </c>
      <c r="S348" t="str">
        <f ca="1">IFERROR(__xludf.DUMMYFUNCTION("""COMPUTED_VALUE"""),"Good")</f>
        <v>Good</v>
      </c>
      <c r="T348" t="str">
        <f ca="1">IFERROR(__xludf.DUMMYFUNCTION("""COMPUTED_VALUE"""),"Good")</f>
        <v>Good</v>
      </c>
      <c r="U348" t="str">
        <f ca="1">IFERROR(__xludf.DUMMYFUNCTION("""COMPUTED_VALUE"""),"Good")</f>
        <v>Good</v>
      </c>
      <c r="V348" t="str">
        <f ca="1">IFERROR(__xludf.DUMMYFUNCTION("""COMPUTED_VALUE"""),"Good")</f>
        <v>Good</v>
      </c>
      <c r="W348" t="str">
        <f ca="1">IFERROR(__xludf.DUMMYFUNCTION("""COMPUTED_VALUE"""),"Good")</f>
        <v>Good</v>
      </c>
      <c r="X348" t="str">
        <f ca="1">IFERROR(__xludf.DUMMYFUNCTION("""COMPUTED_VALUE"""),"Good")</f>
        <v>Good</v>
      </c>
      <c r="Y348" t="str">
        <f ca="1">IFERROR(__xludf.DUMMYFUNCTION("""COMPUTED_VALUE"""),"Good")</f>
        <v>Good</v>
      </c>
      <c r="Z348" t="str">
        <f ca="1">IFERROR(__xludf.DUMMYFUNCTION("""COMPUTED_VALUE"""),"Good")</f>
        <v>Good</v>
      </c>
      <c r="AA348" t="str">
        <f ca="1">IFERROR(__xludf.DUMMYFUNCTION("""COMPUTED_VALUE"""),"Good")</f>
        <v>Good</v>
      </c>
      <c r="AB348" t="str">
        <f ca="1">IFERROR(__xludf.DUMMYFUNCTION("""COMPUTED_VALUE"""),"Good")</f>
        <v>Good</v>
      </c>
      <c r="AC348" t="str">
        <f ca="1">IFERROR(__xludf.DUMMYFUNCTION("""COMPUTED_VALUE"""),"Good")</f>
        <v>Good</v>
      </c>
      <c r="AE348" s="11"/>
      <c r="AF348" t="str">
        <v>Scott.Eastman@floridadep.gov</v>
      </c>
      <c r="AG348" s="18"/>
      <c r="AI348" s="12" t="s">
        <v>992</v>
      </c>
      <c r="AJ348" s="19" t="s">
        <v>993</v>
      </c>
      <c r="AK348" s="20" t="str">
        <f>HYPERLINK("https://docs.google.com/document/d/1E9aNIH6mCOOIwAQV51kZmcxa6B48JuJxjrm7UDpXd2w/edit?usp=drivesdk","Jimmy - 8/6/2019 9:00 AM")</f>
        <v>Jimmy - 8/6/2019 9:00 AM</v>
      </c>
      <c r="AL348" s="12" t="s">
        <v>994</v>
      </c>
    </row>
    <row r="349" spans="1:38" ht="12.75">
      <c r="A349" s="10">
        <f ca="1">IFERROR(__xludf.DUMMYFUNCTION("""COMPUTED_VALUE"""),43683.2852931481)</f>
        <v>43683.285293148103</v>
      </c>
      <c r="B349" s="11" t="str">
        <f ca="1">IFERROR(__xludf.DUMMYFUNCTION("""COMPUTED_VALUE"""),"Pam Marcum")</f>
        <v>Pam Marcum</v>
      </c>
      <c r="C349" t="str">
        <f ca="1">IFERROR(__xludf.DUMMYFUNCTION("""COMPUTED_VALUE"""),"Pamela.Marcum@floridadep.gov")</f>
        <v>Pamela.Marcum@floridadep.gov</v>
      </c>
      <c r="D349" t="str">
        <f ca="1">IFERROR(__xludf.DUMMYFUNCTION("""COMPUTED_VALUE"""),"Research/Nikki")</f>
        <v>Research/Nikki</v>
      </c>
      <c r="E349" t="str">
        <f ca="1">IFERROR(__xludf.DUMMYFUNCTION("""COMPUTED_VALUE"""),"Shore Dr")</f>
        <v>Shore Dr</v>
      </c>
      <c r="F349" s="13">
        <f ca="1">IFERROR(__xludf.DUMMYFUNCTION("""COMPUTED_VALUE"""),0.291666666667879)</f>
        <v>0.29166666666787899</v>
      </c>
      <c r="G349" s="14">
        <f ca="1">IFERROR(__xludf.DUMMYFUNCTION("""COMPUTED_VALUE"""),43683)</f>
        <v>43683</v>
      </c>
      <c r="H349" t="str">
        <f ca="1">IFERROR(__xludf.DUMMYFUNCTION("""COMPUTED_VALUE"""),"Gabby/marsh creek")</f>
        <v>Gabby/marsh creek</v>
      </c>
      <c r="I349" s="15">
        <f ca="1">IFERROR(__xludf.DUMMYFUNCTION("""COMPUTED_VALUE"""),0.58333333333212)</f>
        <v>0.58333333333212001</v>
      </c>
      <c r="J349" s="16">
        <f ca="1">IFERROR(__xludf.DUMMYFUNCTION("""COMPUTED_VALUE"""),43683.625)</f>
        <v>43683.625</v>
      </c>
      <c r="K349" t="str">
        <f ca="1">IFERROR(__xludf.DUMMYFUNCTION("""COMPUTED_VALUE"""),"17ft Skill FL0642GW DEP07239")</f>
        <v>17ft Skill FL0642GW DEP07239</v>
      </c>
      <c r="M349" t="str">
        <f ca="1">IFERROR(__xludf.DUMMYFUNCTION("""COMPUTED_VALUE"""),"Ford F250 2017 (Moby Dix) - DEP0021578")</f>
        <v>Ford F250 2017 (Moby Dix) - DEP0021578</v>
      </c>
      <c r="N349" t="str">
        <f ca="1">IFERROR(__xludf.DUMMYFUNCTION("""COMPUTED_VALUE"""),"Pam Marcum, (480) 332-5414")</f>
        <v>Pam Marcum, (480) 332-5414</v>
      </c>
      <c r="O349" t="str">
        <f ca="1">IFERROR(__xludf.DUMMYFUNCTION("""COMPUTED_VALUE"""),"Alee Knoell, Gabby Canas, Therese Adgie, Emily Geoghegan")</f>
        <v>Alee Knoell, Gabby Canas, Therese Adgie, Emily Geoghegan</v>
      </c>
      <c r="P349" t="str">
        <f ca="1">IFERROR(__xludf.DUMMYFUNCTION("""COMPUTED_VALUE"""),"Pam")</f>
        <v>Pam</v>
      </c>
      <c r="Q349" t="str">
        <f ca="1">IFERROR(__xludf.DUMMYFUNCTION("""COMPUTED_VALUE"""),"Good")</f>
        <v>Good</v>
      </c>
      <c r="R349" t="str">
        <f ca="1">IFERROR(__xludf.DUMMYFUNCTION("""COMPUTED_VALUE"""),"Good")</f>
        <v>Good</v>
      </c>
      <c r="S349" t="str">
        <f ca="1">IFERROR(__xludf.DUMMYFUNCTION("""COMPUTED_VALUE"""),"Good")</f>
        <v>Good</v>
      </c>
      <c r="T349" t="str">
        <f ca="1">IFERROR(__xludf.DUMMYFUNCTION("""COMPUTED_VALUE"""),"Good")</f>
        <v>Good</v>
      </c>
      <c r="U349" t="str">
        <f ca="1">IFERROR(__xludf.DUMMYFUNCTION("""COMPUTED_VALUE"""),"Good")</f>
        <v>Good</v>
      </c>
      <c r="V349" t="str">
        <f ca="1">IFERROR(__xludf.DUMMYFUNCTION("""COMPUTED_VALUE"""),"Good")</f>
        <v>Good</v>
      </c>
      <c r="W349" t="str">
        <f ca="1">IFERROR(__xludf.DUMMYFUNCTION("""COMPUTED_VALUE"""),"Good")</f>
        <v>Good</v>
      </c>
      <c r="X349" t="str">
        <f ca="1">IFERROR(__xludf.DUMMYFUNCTION("""COMPUTED_VALUE"""),"Good")</f>
        <v>Good</v>
      </c>
      <c r="Y349" t="str">
        <f ca="1">IFERROR(__xludf.DUMMYFUNCTION("""COMPUTED_VALUE"""),"Good")</f>
        <v>Good</v>
      </c>
      <c r="Z349" t="str">
        <f ca="1">IFERROR(__xludf.DUMMYFUNCTION("""COMPUTED_VALUE"""),"Good")</f>
        <v>Good</v>
      </c>
      <c r="AA349" t="str">
        <f ca="1">IFERROR(__xludf.DUMMYFUNCTION("""COMPUTED_VALUE"""),"Good")</f>
        <v>Good</v>
      </c>
      <c r="AB349" t="str">
        <f ca="1">IFERROR(__xludf.DUMMYFUNCTION("""COMPUTED_VALUE"""),"Good")</f>
        <v>Good</v>
      </c>
      <c r="AC349" t="str">
        <f ca="1">IFERROR(__xludf.DUMMYFUNCTION("""COMPUTED_VALUE"""),"Good")</f>
        <v>Good</v>
      </c>
      <c r="AE349" s="11"/>
      <c r="AF349" t="str">
        <v>Nikki.Dix@floridadep.gov</v>
      </c>
      <c r="AG349" s="17" t="s">
        <v>126</v>
      </c>
      <c r="AH349" s="12">
        <v>1358</v>
      </c>
      <c r="AI349" s="12" t="s">
        <v>995</v>
      </c>
      <c r="AJ349" s="19" t="s">
        <v>996</v>
      </c>
      <c r="AK349" s="20" t="str">
        <f>HYPERLINK("https://docs.google.com/document/d/1UHxq4c6sGkIXHA_Cj_Kx_dd2yABgFStnfCZ4va8AwCQ/edit?usp=drivesdk","Pam Marcum - 8/6/2019 7:00 AM")</f>
        <v>Pam Marcum - 8/6/2019 7:00 AM</v>
      </c>
      <c r="AL349" s="12" t="s">
        <v>997</v>
      </c>
    </row>
    <row r="350" spans="1:38" ht="12.75">
      <c r="A350" s="10">
        <f ca="1">IFERROR(__xludf.DUMMYFUNCTION("""COMPUTED_VALUE"""),43683.7021059606)</f>
        <v>43683.702105960598</v>
      </c>
      <c r="B350" s="11" t="str">
        <f ca="1">IFERROR(__xludf.DUMMYFUNCTION("""COMPUTED_VALUE"""),"Jimmy")</f>
        <v>Jimmy</v>
      </c>
      <c r="C350" t="str">
        <f ca="1">IFERROR(__xludf.DUMMYFUNCTION("""COMPUTED_VALUE"""),"james.tomazinis@floridadep.gov")</f>
        <v>james.tomazinis@floridadep.gov</v>
      </c>
      <c r="D350" t="str">
        <f ca="1">IFERROR(__xludf.DUMMYFUNCTION("""COMPUTED_VALUE"""),"Stewardship (Aquatic)")</f>
        <v>Stewardship (Aquatic)</v>
      </c>
      <c r="E350" t="str">
        <f ca="1">IFERROR(__xludf.DUMMYFUNCTION("""COMPUTED_VALUE"""),"Vilano")</f>
        <v>Vilano</v>
      </c>
      <c r="F350" s="13">
        <f ca="1">IFERROR(__xludf.DUMMYFUNCTION("""COMPUTED_VALUE"""),0.385416666667879)</f>
        <v>0.38541666666787899</v>
      </c>
      <c r="G350" s="14">
        <f ca="1">IFERROR(__xludf.DUMMYFUNCTION("""COMPUTED_VALUE"""),43684)</f>
        <v>43684</v>
      </c>
      <c r="H350" t="str">
        <f ca="1">IFERROR(__xludf.DUMMYFUNCTION("""COMPUTED_VALUE"""),"Tolomato and Matanzas Nekton Sites")</f>
        <v>Tolomato and Matanzas Nekton Sites</v>
      </c>
      <c r="I350" s="15">
        <f ca="1">IFERROR(__xludf.DUMMYFUNCTION("""COMPUTED_VALUE"""),0.666666666667879)</f>
        <v>0.66666666666787899</v>
      </c>
      <c r="J350" s="16"/>
      <c r="K350" t="str">
        <f ca="1">IFERROR(__xludf.DUMMYFUNCTION("""COMPUTED_VALUE"""),"23ft Skiff (Bertha) FL7972LJ DEP07613")</f>
        <v>23ft Skiff (Bertha) FL7972LJ DEP07613</v>
      </c>
      <c r="M350" t="str">
        <f ca="1">IFERROR(__xludf.DUMMYFUNCTION("""COMPUTED_VALUE"""),"Ford F150 2015 (White) - DEP21448")</f>
        <v>Ford F150 2015 (White) - DEP21448</v>
      </c>
      <c r="N350" t="str">
        <f ca="1">IFERROR(__xludf.DUMMYFUNCTION("""COMPUTED_VALUE"""),"Jimmy Tomazinis, (904) 547-0094")</f>
        <v>Jimmy Tomazinis, (904) 547-0094</v>
      </c>
      <c r="O350" t="str">
        <f ca="1">IFERROR(__xludf.DUMMYFUNCTION("""COMPUTED_VALUE"""),"Scott Eastman, (904) 501-9267, Suzi, Cameron, Zach, Jeff, Jim")</f>
        <v>Scott Eastman, (904) 501-9267, Suzi, Cameron, Zach, Jeff, Jim</v>
      </c>
      <c r="P350" t="str">
        <f ca="1">IFERROR(__xludf.DUMMYFUNCTION("""COMPUTED_VALUE"""),"Jimmy")</f>
        <v>Jimmy</v>
      </c>
      <c r="Q350" t="str">
        <f ca="1">IFERROR(__xludf.DUMMYFUNCTION("""COMPUTED_VALUE"""),"Good")</f>
        <v>Good</v>
      </c>
      <c r="R350" t="str">
        <f ca="1">IFERROR(__xludf.DUMMYFUNCTION("""COMPUTED_VALUE"""),"Good")</f>
        <v>Good</v>
      </c>
      <c r="S350" t="str">
        <f ca="1">IFERROR(__xludf.DUMMYFUNCTION("""COMPUTED_VALUE"""),"Good")</f>
        <v>Good</v>
      </c>
      <c r="T350" t="str">
        <f ca="1">IFERROR(__xludf.DUMMYFUNCTION("""COMPUTED_VALUE"""),"Good")</f>
        <v>Good</v>
      </c>
      <c r="U350" t="str">
        <f ca="1">IFERROR(__xludf.DUMMYFUNCTION("""COMPUTED_VALUE"""),"Good")</f>
        <v>Good</v>
      </c>
      <c r="V350" t="str">
        <f ca="1">IFERROR(__xludf.DUMMYFUNCTION("""COMPUTED_VALUE"""),"Good")</f>
        <v>Good</v>
      </c>
      <c r="W350" t="str">
        <f ca="1">IFERROR(__xludf.DUMMYFUNCTION("""COMPUTED_VALUE"""),"Good")</f>
        <v>Good</v>
      </c>
      <c r="X350" t="str">
        <f ca="1">IFERROR(__xludf.DUMMYFUNCTION("""COMPUTED_VALUE"""),"Good")</f>
        <v>Good</v>
      </c>
      <c r="Y350" t="str">
        <f ca="1">IFERROR(__xludf.DUMMYFUNCTION("""COMPUTED_VALUE"""),"Good")</f>
        <v>Good</v>
      </c>
      <c r="Z350" t="str">
        <f ca="1">IFERROR(__xludf.DUMMYFUNCTION("""COMPUTED_VALUE"""),"Good")</f>
        <v>Good</v>
      </c>
      <c r="AA350" t="str">
        <f ca="1">IFERROR(__xludf.DUMMYFUNCTION("""COMPUTED_VALUE"""),"Good")</f>
        <v>Good</v>
      </c>
      <c r="AB350" t="str">
        <f ca="1">IFERROR(__xludf.DUMMYFUNCTION("""COMPUTED_VALUE"""),"Good")</f>
        <v>Good</v>
      </c>
      <c r="AC350" t="str">
        <f ca="1">IFERROR(__xludf.DUMMYFUNCTION("""COMPUTED_VALUE"""),"Good")</f>
        <v>Good</v>
      </c>
      <c r="AE350" s="11"/>
      <c r="AF350" t="str">
        <v>Scott.Eastman@floridadep.gov</v>
      </c>
      <c r="AG350" s="17" t="s">
        <v>17</v>
      </c>
      <c r="AH350" s="12">
        <v>1430</v>
      </c>
      <c r="AI350" s="12" t="s">
        <v>998</v>
      </c>
      <c r="AJ350" s="19" t="s">
        <v>999</v>
      </c>
      <c r="AK350" s="20" t="str">
        <f>HYPERLINK("https://docs.google.com/document/d/1nsjrzaiK-XGxSSZHB42jsZNNYxbyV3RJtQXB9v-oEB4/edit?usp=drivesdk","Jimmy - 8/7/2019 9:15 AM")</f>
        <v>Jimmy - 8/7/2019 9:15 AM</v>
      </c>
      <c r="AL350" s="12" t="s">
        <v>1000</v>
      </c>
    </row>
    <row r="351" spans="1:38" ht="12.75">
      <c r="A351" s="10">
        <f ca="1">IFERROR(__xludf.DUMMYFUNCTION("""COMPUTED_VALUE"""),43684.68938728)</f>
        <v>43684.689387279999</v>
      </c>
      <c r="B351" s="11" t="str">
        <f ca="1">IFERROR(__xludf.DUMMYFUNCTION("""COMPUTED_VALUE"""),"Jimmy")</f>
        <v>Jimmy</v>
      </c>
      <c r="C351" t="str">
        <f ca="1">IFERROR(__xludf.DUMMYFUNCTION("""COMPUTED_VALUE"""),"james.tomazinis@floridadep.gov")</f>
        <v>james.tomazinis@floridadep.gov</v>
      </c>
      <c r="D351" t="str">
        <f ca="1">IFERROR(__xludf.DUMMYFUNCTION("""COMPUTED_VALUE"""),"Stewardship (Aquatic)")</f>
        <v>Stewardship (Aquatic)</v>
      </c>
      <c r="E351" t="str">
        <f ca="1">IFERROR(__xludf.DUMMYFUNCTION("""COMPUTED_VALUE"""),"Bings")</f>
        <v>Bings</v>
      </c>
      <c r="F351" s="13">
        <f ca="1">IFERROR(__xludf.DUMMYFUNCTION("""COMPUTED_VALUE"""),0.416666666667879)</f>
        <v>0.41666666666787899</v>
      </c>
      <c r="G351" s="14">
        <f ca="1">IFERROR(__xludf.DUMMYFUNCTION("""COMPUTED_VALUE"""),43685)</f>
        <v>43685</v>
      </c>
      <c r="H351" t="str">
        <f ca="1">IFERROR(__xludf.DUMMYFUNCTION("""COMPUTED_VALUE"""),"Matanzas Nekton sites")</f>
        <v>Matanzas Nekton sites</v>
      </c>
      <c r="I351" s="15">
        <f ca="1">IFERROR(__xludf.DUMMYFUNCTION("""COMPUTED_VALUE"""),0.666666666667879)</f>
        <v>0.66666666666787899</v>
      </c>
      <c r="J351" s="16"/>
      <c r="K351" t="str">
        <f ca="1">IFERROR(__xludf.DUMMYFUNCTION("""COMPUTED_VALUE"""),"23ft Skiff (Bertha) FL7972LJ DEP07613")</f>
        <v>23ft Skiff (Bertha) FL7972LJ DEP07613</v>
      </c>
      <c r="M351" t="str">
        <f ca="1">IFERROR(__xludf.DUMMYFUNCTION("""COMPUTED_VALUE"""),"Ford F150 2015 (White) - DEP21448")</f>
        <v>Ford F150 2015 (White) - DEP21448</v>
      </c>
      <c r="N351" t="str">
        <f ca="1">IFERROR(__xludf.DUMMYFUNCTION("""COMPUTED_VALUE"""),"Jimmy Tomazinis, (904) 547-0094")</f>
        <v>Jimmy Tomazinis, (904) 547-0094</v>
      </c>
      <c r="O351" t="str">
        <f ca="1">IFERROR(__xludf.DUMMYFUNCTION("""COMPUTED_VALUE"""),"Scott Eastman, (904) 501-9267, Suzi, Andy, Jeff, Cameron, ")</f>
        <v xml:space="preserve">Scott Eastman, (904) 501-9267, Suzi, Andy, Jeff, Cameron, </v>
      </c>
      <c r="P351" t="str">
        <f ca="1">IFERROR(__xludf.DUMMYFUNCTION("""COMPUTED_VALUE"""),"Jimmy")</f>
        <v>Jimmy</v>
      </c>
      <c r="Q351" t="str">
        <f ca="1">IFERROR(__xludf.DUMMYFUNCTION("""COMPUTED_VALUE"""),"Good")</f>
        <v>Good</v>
      </c>
      <c r="R351" t="str">
        <f ca="1">IFERROR(__xludf.DUMMYFUNCTION("""COMPUTED_VALUE"""),"Good")</f>
        <v>Good</v>
      </c>
      <c r="S351" t="str">
        <f ca="1">IFERROR(__xludf.DUMMYFUNCTION("""COMPUTED_VALUE"""),"Good")</f>
        <v>Good</v>
      </c>
      <c r="T351" t="str">
        <f ca="1">IFERROR(__xludf.DUMMYFUNCTION("""COMPUTED_VALUE"""),"Good")</f>
        <v>Good</v>
      </c>
      <c r="U351" t="str">
        <f ca="1">IFERROR(__xludf.DUMMYFUNCTION("""COMPUTED_VALUE"""),"Good")</f>
        <v>Good</v>
      </c>
      <c r="V351" t="str">
        <f ca="1">IFERROR(__xludf.DUMMYFUNCTION("""COMPUTED_VALUE"""),"Good")</f>
        <v>Good</v>
      </c>
      <c r="W351" t="str">
        <f ca="1">IFERROR(__xludf.DUMMYFUNCTION("""COMPUTED_VALUE"""),"Good")</f>
        <v>Good</v>
      </c>
      <c r="X351" t="str">
        <f ca="1">IFERROR(__xludf.DUMMYFUNCTION("""COMPUTED_VALUE"""),"Good")</f>
        <v>Good</v>
      </c>
      <c r="Y351" t="str">
        <f ca="1">IFERROR(__xludf.DUMMYFUNCTION("""COMPUTED_VALUE"""),"Good")</f>
        <v>Good</v>
      </c>
      <c r="Z351" t="str">
        <f ca="1">IFERROR(__xludf.DUMMYFUNCTION("""COMPUTED_VALUE"""),"Good")</f>
        <v>Good</v>
      </c>
      <c r="AA351" t="str">
        <f ca="1">IFERROR(__xludf.DUMMYFUNCTION("""COMPUTED_VALUE"""),"Good")</f>
        <v>Good</v>
      </c>
      <c r="AB351" t="str">
        <f ca="1">IFERROR(__xludf.DUMMYFUNCTION("""COMPUTED_VALUE"""),"Good")</f>
        <v>Good</v>
      </c>
      <c r="AC351" t="str">
        <f ca="1">IFERROR(__xludf.DUMMYFUNCTION("""COMPUTED_VALUE"""),"Good")</f>
        <v>Good</v>
      </c>
      <c r="AE351" s="11"/>
      <c r="AF351" t="str">
        <v>Scott.Eastman@floridadep.gov</v>
      </c>
      <c r="AG351" s="18"/>
      <c r="AI351" s="12" t="s">
        <v>1001</v>
      </c>
      <c r="AJ351" s="19" t="s">
        <v>1002</v>
      </c>
      <c r="AK351" s="20" t="str">
        <f>HYPERLINK("https://docs.google.com/document/d/1tLgUiv4bcn2V_cgRKNu_zZ5FGT2YBAuPzKuqiAXm0co/edit?usp=drivesdk","Jimmy - 8/8/2019 10:00 AM")</f>
        <v>Jimmy - 8/8/2019 10:00 AM</v>
      </c>
      <c r="AL351" s="12" t="s">
        <v>1003</v>
      </c>
    </row>
    <row r="352" spans="1:38" ht="12.75">
      <c r="A352" s="10">
        <f ca="1">IFERROR(__xludf.DUMMYFUNCTION("""COMPUTED_VALUE"""),43685.2918862731)</f>
        <v>43685.291886273102</v>
      </c>
      <c r="B352" s="11" t="str">
        <f ca="1">IFERROR(__xludf.DUMMYFUNCTION("""COMPUTED_VALUE"""),"Pamela Marcum")</f>
        <v>Pamela Marcum</v>
      </c>
      <c r="C352" t="str">
        <f ca="1">IFERROR(__xludf.DUMMYFUNCTION("""COMPUTED_VALUE"""),"pamela.marcum@floridadep.gov")</f>
        <v>pamela.marcum@floridadep.gov</v>
      </c>
      <c r="D352" t="str">
        <f ca="1">IFERROR(__xludf.DUMMYFUNCTION("""COMPUTED_VALUE"""),"Research/Nikki")</f>
        <v>Research/Nikki</v>
      </c>
      <c r="E352" t="str">
        <f ca="1">IFERROR(__xludf.DUMMYFUNCTION("""COMPUTED_VALUE"""),"210/Palm valley")</f>
        <v>210/Palm valley</v>
      </c>
      <c r="F352" s="13">
        <f ca="1">IFERROR(__xludf.DUMMYFUNCTION("""COMPUTED_VALUE"""),0.291666666667879)</f>
        <v>0.29166666666787899</v>
      </c>
      <c r="G352" s="14">
        <f ca="1">IFERROR(__xludf.DUMMYFUNCTION("""COMPUTED_VALUE"""),43685)</f>
        <v>43685</v>
      </c>
      <c r="H352" t="str">
        <f ca="1">IFERROR(__xludf.DUMMYFUNCTION("""COMPUTED_VALUE"""),"Pine island marsh site")</f>
        <v>Pine island marsh site</v>
      </c>
      <c r="I352" s="15">
        <f ca="1">IFERROR(__xludf.DUMMYFUNCTION("""COMPUTED_VALUE"""),0.58333333333212)</f>
        <v>0.58333333333212001</v>
      </c>
      <c r="J352" s="16">
        <f ca="1">IFERROR(__xludf.DUMMYFUNCTION("""COMPUTED_VALUE"""),43685.6041666666)</f>
        <v>43685.604166666599</v>
      </c>
      <c r="K352" t="str">
        <f ca="1">IFERROR(__xludf.DUMMYFUNCTION("""COMPUTED_VALUE"""),"17ft Skill FL0642GW DEP07239")</f>
        <v>17ft Skill FL0642GW DEP07239</v>
      </c>
      <c r="M352" t="str">
        <f ca="1">IFERROR(__xludf.DUMMYFUNCTION("""COMPUTED_VALUE"""),"Ford F250 2017 (Moby Dix) - DEP0021578")</f>
        <v>Ford F250 2017 (Moby Dix) - DEP0021578</v>
      </c>
      <c r="N352" t="str">
        <f ca="1">IFERROR(__xludf.DUMMYFUNCTION("""COMPUTED_VALUE"""),"Pam Marcum, (480) 332-5414")</f>
        <v>Pam Marcum, (480) 332-5414</v>
      </c>
      <c r="P352" t="str">
        <f ca="1">IFERROR(__xludf.DUMMYFUNCTION("""COMPUTED_VALUE"""),"Pam")</f>
        <v>Pam</v>
      </c>
      <c r="Q352" t="str">
        <f ca="1">IFERROR(__xludf.DUMMYFUNCTION("""COMPUTED_VALUE"""),"Good")</f>
        <v>Good</v>
      </c>
      <c r="R352" t="str">
        <f ca="1">IFERROR(__xludf.DUMMYFUNCTION("""COMPUTED_VALUE"""),"Good")</f>
        <v>Good</v>
      </c>
      <c r="S352" t="str">
        <f ca="1">IFERROR(__xludf.DUMMYFUNCTION("""COMPUTED_VALUE"""),"Good")</f>
        <v>Good</v>
      </c>
      <c r="T352" t="str">
        <f ca="1">IFERROR(__xludf.DUMMYFUNCTION("""COMPUTED_VALUE"""),"Good")</f>
        <v>Good</v>
      </c>
      <c r="U352" t="str">
        <f ca="1">IFERROR(__xludf.DUMMYFUNCTION("""COMPUTED_VALUE"""),"Good")</f>
        <v>Good</v>
      </c>
      <c r="V352" t="str">
        <f ca="1">IFERROR(__xludf.DUMMYFUNCTION("""COMPUTED_VALUE"""),"Good")</f>
        <v>Good</v>
      </c>
      <c r="W352" t="str">
        <f ca="1">IFERROR(__xludf.DUMMYFUNCTION("""COMPUTED_VALUE"""),"Good")</f>
        <v>Good</v>
      </c>
      <c r="X352" t="str">
        <f ca="1">IFERROR(__xludf.DUMMYFUNCTION("""COMPUTED_VALUE"""),"Good")</f>
        <v>Good</v>
      </c>
      <c r="Y352" t="str">
        <f ca="1">IFERROR(__xludf.DUMMYFUNCTION("""COMPUTED_VALUE"""),"Good")</f>
        <v>Good</v>
      </c>
      <c r="Z352" t="str">
        <f ca="1">IFERROR(__xludf.DUMMYFUNCTION("""COMPUTED_VALUE"""),"Good")</f>
        <v>Good</v>
      </c>
      <c r="AA352" t="str">
        <f ca="1">IFERROR(__xludf.DUMMYFUNCTION("""COMPUTED_VALUE"""),"Good")</f>
        <v>Good</v>
      </c>
      <c r="AB352" t="str">
        <f ca="1">IFERROR(__xludf.DUMMYFUNCTION("""COMPUTED_VALUE"""),"Good")</f>
        <v>Good</v>
      </c>
      <c r="AC352" t="str">
        <f ca="1">IFERROR(__xludf.DUMMYFUNCTION("""COMPUTED_VALUE"""),"Good")</f>
        <v>Good</v>
      </c>
      <c r="AE352" s="11"/>
      <c r="AF352" t="str">
        <v>Nikki.Dix@floridadep.gov</v>
      </c>
      <c r="AG352" s="17" t="s">
        <v>17</v>
      </c>
      <c r="AH352" s="12">
        <v>1415</v>
      </c>
      <c r="AI352" s="12" t="s">
        <v>1004</v>
      </c>
      <c r="AJ352" s="19" t="s">
        <v>1005</v>
      </c>
      <c r="AK352" s="20" t="str">
        <f>HYPERLINK("https://docs.google.com/document/d/1l4E_ZfLzH_eFlbh_M4aNR8syJtRhBDp7zPqitvKaIG0/edit?usp=drivesdk","Pamela Marcum - 8/8/2019 7:00 AM")</f>
        <v>Pamela Marcum - 8/8/2019 7:00 AM</v>
      </c>
      <c r="AL352" s="12" t="s">
        <v>1006</v>
      </c>
    </row>
    <row r="353" spans="1:38" ht="12.75">
      <c r="A353" s="10">
        <f ca="1">IFERROR(__xludf.DUMMYFUNCTION("""COMPUTED_VALUE"""),43686.4624131018)</f>
        <v>43686.462413101799</v>
      </c>
      <c r="B353" s="11" t="str">
        <f ca="1">IFERROR(__xludf.DUMMYFUNCTION("""COMPUTED_VALUE"""),"Pam Marcum")</f>
        <v>Pam Marcum</v>
      </c>
      <c r="C353" t="str">
        <f ca="1">IFERROR(__xludf.DUMMYFUNCTION("""COMPUTED_VALUE"""),"Pamela.Marcum@FloridaDEP.gov")</f>
        <v>Pamela.Marcum@FloridaDEP.gov</v>
      </c>
      <c r="D353" t="str">
        <f ca="1">IFERROR(__xludf.DUMMYFUNCTION("""COMPUTED_VALUE"""),"Research/Nikki")</f>
        <v>Research/Nikki</v>
      </c>
      <c r="E353" t="str">
        <f ca="1">IFERROR(__xludf.DUMMYFUNCTION("""COMPUTED_VALUE"""),"Palm Valley/201 Bridge")</f>
        <v>Palm Valley/201 Bridge</v>
      </c>
      <c r="F353" s="13">
        <f ca="1">IFERROR(__xludf.DUMMYFUNCTION("""COMPUTED_VALUE"""),0.479166666667879)</f>
        <v>0.47916666666787899</v>
      </c>
      <c r="G353" s="14">
        <f ca="1">IFERROR(__xludf.DUMMYFUNCTION("""COMPUTED_VALUE"""),43686)</f>
        <v>43686</v>
      </c>
      <c r="H353" t="str">
        <f ca="1">IFERROR(__xludf.DUMMYFUNCTION("""COMPUTED_VALUE"""),"Pine Island Marsh Site")</f>
        <v>Pine Island Marsh Site</v>
      </c>
      <c r="I353" s="15">
        <f ca="1">IFERROR(__xludf.DUMMYFUNCTION("""COMPUTED_VALUE"""),0.70833333333212)</f>
        <v>0.70833333333212001</v>
      </c>
      <c r="J353" s="16">
        <f ca="1">IFERROR(__xludf.DUMMYFUNCTION("""COMPUTED_VALUE"""),43686.7291666666)</f>
        <v>43686.729166666599</v>
      </c>
      <c r="K353" t="str">
        <f ca="1">IFERROR(__xludf.DUMMYFUNCTION("""COMPUTED_VALUE"""),"17ft Skill FL0642GW DEP07239")</f>
        <v>17ft Skill FL0642GW DEP07239</v>
      </c>
      <c r="M353" t="str">
        <f ca="1">IFERROR(__xludf.DUMMYFUNCTION("""COMPUTED_VALUE"""),"Ford F250 2017 (Moby Dix) - DEP0021578")</f>
        <v>Ford F250 2017 (Moby Dix) - DEP0021578</v>
      </c>
      <c r="N353" t="str">
        <f ca="1">IFERROR(__xludf.DUMMYFUNCTION("""COMPUTED_VALUE"""),"Pam Marcum, (480) 332-5414, Shannon Dunnigan, (803) 727-5734")</f>
        <v>Pam Marcum, (480) 332-5414, Shannon Dunnigan, (803) 727-5734</v>
      </c>
      <c r="P353" t="str">
        <f ca="1">IFERROR(__xludf.DUMMYFUNCTION("""COMPUTED_VALUE"""),"Pam")</f>
        <v>Pam</v>
      </c>
      <c r="Q353" t="str">
        <f ca="1">IFERROR(__xludf.DUMMYFUNCTION("""COMPUTED_VALUE"""),"Good")</f>
        <v>Good</v>
      </c>
      <c r="R353" t="str">
        <f ca="1">IFERROR(__xludf.DUMMYFUNCTION("""COMPUTED_VALUE"""),"Good")</f>
        <v>Good</v>
      </c>
      <c r="S353" t="str">
        <f ca="1">IFERROR(__xludf.DUMMYFUNCTION("""COMPUTED_VALUE"""),"Good")</f>
        <v>Good</v>
      </c>
      <c r="T353" t="str">
        <f ca="1">IFERROR(__xludf.DUMMYFUNCTION("""COMPUTED_VALUE"""),"Good")</f>
        <v>Good</v>
      </c>
      <c r="U353" t="str">
        <f ca="1">IFERROR(__xludf.DUMMYFUNCTION("""COMPUTED_VALUE"""),"Good")</f>
        <v>Good</v>
      </c>
      <c r="V353" t="str">
        <f ca="1">IFERROR(__xludf.DUMMYFUNCTION("""COMPUTED_VALUE"""),"Good")</f>
        <v>Good</v>
      </c>
      <c r="W353" t="str">
        <f ca="1">IFERROR(__xludf.DUMMYFUNCTION("""COMPUTED_VALUE"""),"Good")</f>
        <v>Good</v>
      </c>
      <c r="X353" t="str">
        <f ca="1">IFERROR(__xludf.DUMMYFUNCTION("""COMPUTED_VALUE"""),"Good")</f>
        <v>Good</v>
      </c>
      <c r="Y353" t="str">
        <f ca="1">IFERROR(__xludf.DUMMYFUNCTION("""COMPUTED_VALUE"""),"Good")</f>
        <v>Good</v>
      </c>
      <c r="Z353" t="str">
        <f ca="1">IFERROR(__xludf.DUMMYFUNCTION("""COMPUTED_VALUE"""),"Good")</f>
        <v>Good</v>
      </c>
      <c r="AA353" t="str">
        <f ca="1">IFERROR(__xludf.DUMMYFUNCTION("""COMPUTED_VALUE"""),"Good")</f>
        <v>Good</v>
      </c>
      <c r="AB353" t="str">
        <f ca="1">IFERROR(__xludf.DUMMYFUNCTION("""COMPUTED_VALUE"""),"Good")</f>
        <v>Good</v>
      </c>
      <c r="AC353" t="str">
        <f ca="1">IFERROR(__xludf.DUMMYFUNCTION("""COMPUTED_VALUE"""),"Good")</f>
        <v>Good</v>
      </c>
      <c r="AE353" s="11"/>
      <c r="AF353" t="str">
        <v>Nikki.Dix@floridadep.gov</v>
      </c>
      <c r="AG353" s="17" t="s">
        <v>41</v>
      </c>
      <c r="AH353" s="12">
        <v>1620</v>
      </c>
      <c r="AI353" s="12" t="s">
        <v>1007</v>
      </c>
      <c r="AJ353" s="19" t="s">
        <v>1008</v>
      </c>
      <c r="AK353" s="20" t="str">
        <f>HYPERLINK("https://docs.google.com/document/d/1YMJWkZrunPkqcijQlnoJEDDw7X8P59lFxv9qbVzbaSY/edit?usp=drivesdk","Pam Marcum - 8/9/2019 11:30 AM")</f>
        <v>Pam Marcum - 8/9/2019 11:30 AM</v>
      </c>
      <c r="AL353" s="12" t="s">
        <v>1009</v>
      </c>
    </row>
    <row r="354" spans="1:38" ht="12.75">
      <c r="A354" s="10">
        <f ca="1">IFERROR(__xludf.DUMMYFUNCTION("""COMPUTED_VALUE"""),43689.329892824)</f>
        <v>43689.329892823996</v>
      </c>
      <c r="B354" s="11" t="str">
        <f ca="1">IFERROR(__xludf.DUMMYFUNCTION("""COMPUTED_VALUE"""),"Jimmy")</f>
        <v>Jimmy</v>
      </c>
      <c r="C354" t="str">
        <f ca="1">IFERROR(__xludf.DUMMYFUNCTION("""COMPUTED_VALUE"""),"james.tomazinis@floridadep.gov")</f>
        <v>james.tomazinis@floridadep.gov</v>
      </c>
      <c r="D354" t="str">
        <f ca="1">IFERROR(__xludf.DUMMYFUNCTION("""COMPUTED_VALUE"""),"Stewardship (Aquatic)")</f>
        <v>Stewardship (Aquatic)</v>
      </c>
      <c r="E354" t="str">
        <f ca="1">IFERROR(__xludf.DUMMYFUNCTION("""COMPUTED_VALUE"""),"Guana Dam")</f>
        <v>Guana Dam</v>
      </c>
      <c r="F354" s="13">
        <f ca="1">IFERROR(__xludf.DUMMYFUNCTION("""COMPUTED_VALUE"""),0.354166666667879)</f>
        <v>0.35416666666787899</v>
      </c>
      <c r="G354" s="14">
        <f ca="1">IFERROR(__xludf.DUMMYFUNCTION("""COMPUTED_VALUE"""),43689)</f>
        <v>43689</v>
      </c>
      <c r="H354" t="str">
        <f ca="1">IFERROR(__xludf.DUMMYFUNCTION("""COMPUTED_VALUE"""),"Guana River WQ sites")</f>
        <v>Guana River WQ sites</v>
      </c>
      <c r="I354" s="15">
        <f ca="1">IFERROR(__xludf.DUMMYFUNCTION("""COMPUTED_VALUE"""),0.95833333333212)</f>
        <v>0.95833333333212001</v>
      </c>
      <c r="J354" s="16"/>
      <c r="K354" t="str">
        <f ca="1">IFERROR(__xludf.DUMMYFUNCTION("""COMPUTED_VALUE"""),"Jon Boat FL0484NP DEP06819")</f>
        <v>Jon Boat FL0484NP DEP06819</v>
      </c>
      <c r="M354" t="str">
        <f ca="1">IFERROR(__xludf.DUMMYFUNCTION("""COMPUTED_VALUE"""),"Ford F150 2015 (White) - DEP21448")</f>
        <v>Ford F150 2015 (White) - DEP21448</v>
      </c>
      <c r="N354" t="str">
        <f ca="1">IFERROR(__xludf.DUMMYFUNCTION("""COMPUTED_VALUE"""),"Jimmy Tomazinis, (904) 547-0094")</f>
        <v>Jimmy Tomazinis, (904) 547-0094</v>
      </c>
      <c r="O354" t="str">
        <f ca="1">IFERROR(__xludf.DUMMYFUNCTION("""COMPUTED_VALUE"""),"Jessica Lee")</f>
        <v>Jessica Lee</v>
      </c>
      <c r="P354" t="str">
        <f ca="1">IFERROR(__xludf.DUMMYFUNCTION("""COMPUTED_VALUE"""),"Jimmy")</f>
        <v>Jimmy</v>
      </c>
      <c r="Q354" t="str">
        <f ca="1">IFERROR(__xludf.DUMMYFUNCTION("""COMPUTED_VALUE"""),"Good")</f>
        <v>Good</v>
      </c>
      <c r="R354" t="str">
        <f ca="1">IFERROR(__xludf.DUMMYFUNCTION("""COMPUTED_VALUE"""),"Good")</f>
        <v>Good</v>
      </c>
      <c r="S354" t="str">
        <f ca="1">IFERROR(__xludf.DUMMYFUNCTION("""COMPUTED_VALUE"""),"Good")</f>
        <v>Good</v>
      </c>
      <c r="T354" t="str">
        <f ca="1">IFERROR(__xludf.DUMMYFUNCTION("""COMPUTED_VALUE"""),"Good")</f>
        <v>Good</v>
      </c>
      <c r="U354" t="str">
        <f ca="1">IFERROR(__xludf.DUMMYFUNCTION("""COMPUTED_VALUE"""),"Good")</f>
        <v>Good</v>
      </c>
      <c r="V354" t="str">
        <f ca="1">IFERROR(__xludf.DUMMYFUNCTION("""COMPUTED_VALUE"""),"Good")</f>
        <v>Good</v>
      </c>
      <c r="W354" t="str">
        <f ca="1">IFERROR(__xludf.DUMMYFUNCTION("""COMPUTED_VALUE"""),"Good")</f>
        <v>Good</v>
      </c>
      <c r="X354" t="str">
        <f ca="1">IFERROR(__xludf.DUMMYFUNCTION("""COMPUTED_VALUE"""),"Good")</f>
        <v>Good</v>
      </c>
      <c r="Y354" t="str">
        <f ca="1">IFERROR(__xludf.DUMMYFUNCTION("""COMPUTED_VALUE"""),"Good")</f>
        <v>Good</v>
      </c>
      <c r="Z354" t="str">
        <f ca="1">IFERROR(__xludf.DUMMYFUNCTION("""COMPUTED_VALUE"""),"Good")</f>
        <v>Good</v>
      </c>
      <c r="AA354" t="str">
        <f ca="1">IFERROR(__xludf.DUMMYFUNCTION("""COMPUTED_VALUE"""),"Good")</f>
        <v>Good</v>
      </c>
      <c r="AB354" t="str">
        <f ca="1">IFERROR(__xludf.DUMMYFUNCTION("""COMPUTED_VALUE"""),"Good")</f>
        <v>Good</v>
      </c>
      <c r="AC354" t="str">
        <f ca="1">IFERROR(__xludf.DUMMYFUNCTION("""COMPUTED_VALUE"""),"Good")</f>
        <v>Good</v>
      </c>
      <c r="AE354" s="11"/>
      <c r="AF354" t="str">
        <v>Scott.Eastman@floridadep.gov</v>
      </c>
      <c r="AG354" s="17" t="s">
        <v>444</v>
      </c>
      <c r="AH354" s="12">
        <v>1000</v>
      </c>
      <c r="AI354" s="12" t="s">
        <v>1010</v>
      </c>
      <c r="AJ354" s="19" t="s">
        <v>1011</v>
      </c>
      <c r="AK354" s="20" t="str">
        <f>HYPERLINK("https://docs.google.com/document/d/1mAuPt1x3SC6PF8ujlRcp2_FSebhAGV02h612BkmlcNs/edit?usp=drivesdk","Jimmy - 8/12/2019 8:30 AM")</f>
        <v>Jimmy - 8/12/2019 8:30 AM</v>
      </c>
      <c r="AL354" s="12" t="s">
        <v>1012</v>
      </c>
    </row>
    <row r="355" spans="1:38" ht="12.75">
      <c r="A355" s="10">
        <f ca="1">IFERROR(__xludf.DUMMYFUNCTION("""COMPUTED_VALUE"""),43689.6975800347)</f>
        <v>43689.697580034699</v>
      </c>
      <c r="B355" s="11" t="str">
        <f ca="1">IFERROR(__xludf.DUMMYFUNCTION("""COMPUTED_VALUE"""),"Jimmy")</f>
        <v>Jimmy</v>
      </c>
      <c r="C355" t="str">
        <f ca="1">IFERROR(__xludf.DUMMYFUNCTION("""COMPUTED_VALUE"""),"james.tomazinis@floridadep.gov")</f>
        <v>james.tomazinis@floridadep.gov</v>
      </c>
      <c r="D355" t="str">
        <f ca="1">IFERROR(__xludf.DUMMYFUNCTION("""COMPUTED_VALUE"""),"Stewardship (Aquatic)")</f>
        <v>Stewardship (Aquatic)</v>
      </c>
      <c r="E355" t="str">
        <f ca="1">IFERROR(__xludf.DUMMYFUNCTION("""COMPUTED_VALUE"""),"Dee Dee Bartels and Goffinsville Park")</f>
        <v>Dee Dee Bartels and Goffinsville Park</v>
      </c>
      <c r="F355" s="13">
        <f ca="1">IFERROR(__xludf.DUMMYFUNCTION("""COMPUTED_VALUE"""),0.291666666667879)</f>
        <v>0.29166666666787899</v>
      </c>
      <c r="G355" s="14">
        <f ca="1">IFERROR(__xludf.DUMMYFUNCTION("""COMPUTED_VALUE"""),43690)</f>
        <v>43690</v>
      </c>
      <c r="H355" t="str">
        <f ca="1">IFERROR(__xludf.DUMMYFUNCTION("""COMPUTED_VALUE"""),"NEAP WQ sites")</f>
        <v>NEAP WQ sites</v>
      </c>
      <c r="I355" s="15">
        <f ca="1">IFERROR(__xludf.DUMMYFUNCTION("""COMPUTED_VALUE"""),0.5)</f>
        <v>0.5</v>
      </c>
      <c r="J355" s="16"/>
      <c r="K355" t="str">
        <f ca="1">IFERROR(__xludf.DUMMYFUNCTION("""COMPUTED_VALUE"""),"17ft Skill FL0642GW DEP07239")</f>
        <v>17ft Skill FL0642GW DEP07239</v>
      </c>
      <c r="M355" t="str">
        <f ca="1">IFERROR(__xludf.DUMMYFUNCTION("""COMPUTED_VALUE"""),"Ford F150 2008 - DEP18041 (SWMP Thing)")</f>
        <v>Ford F150 2008 - DEP18041 (SWMP Thing)</v>
      </c>
      <c r="N355" t="str">
        <f ca="1">IFERROR(__xludf.DUMMYFUNCTION("""COMPUTED_VALUE"""),"Jimmy Tomazinis, (904) 547-0094")</f>
        <v>Jimmy Tomazinis, (904) 547-0094</v>
      </c>
      <c r="O355" t="str">
        <f ca="1">IFERROR(__xludf.DUMMYFUNCTION("""COMPUTED_VALUE"""),"TBD")</f>
        <v>TBD</v>
      </c>
      <c r="P355" t="str">
        <f ca="1">IFERROR(__xludf.DUMMYFUNCTION("""COMPUTED_VALUE"""),"Jimmy")</f>
        <v>Jimmy</v>
      </c>
      <c r="Q355" t="str">
        <f ca="1">IFERROR(__xludf.DUMMYFUNCTION("""COMPUTED_VALUE"""),"Good")</f>
        <v>Good</v>
      </c>
      <c r="R355" t="str">
        <f ca="1">IFERROR(__xludf.DUMMYFUNCTION("""COMPUTED_VALUE"""),"Good")</f>
        <v>Good</v>
      </c>
      <c r="S355" t="str">
        <f ca="1">IFERROR(__xludf.DUMMYFUNCTION("""COMPUTED_VALUE"""),"Good")</f>
        <v>Good</v>
      </c>
      <c r="T355" t="str">
        <f ca="1">IFERROR(__xludf.DUMMYFUNCTION("""COMPUTED_VALUE"""),"Good")</f>
        <v>Good</v>
      </c>
      <c r="U355" t="str">
        <f ca="1">IFERROR(__xludf.DUMMYFUNCTION("""COMPUTED_VALUE"""),"Good")</f>
        <v>Good</v>
      </c>
      <c r="V355" t="str">
        <f ca="1">IFERROR(__xludf.DUMMYFUNCTION("""COMPUTED_VALUE"""),"Good")</f>
        <v>Good</v>
      </c>
      <c r="W355" t="str">
        <f ca="1">IFERROR(__xludf.DUMMYFUNCTION("""COMPUTED_VALUE"""),"Good")</f>
        <v>Good</v>
      </c>
      <c r="X355" t="str">
        <f ca="1">IFERROR(__xludf.DUMMYFUNCTION("""COMPUTED_VALUE"""),"Good")</f>
        <v>Good</v>
      </c>
      <c r="Y355" t="str">
        <f ca="1">IFERROR(__xludf.DUMMYFUNCTION("""COMPUTED_VALUE"""),"Good")</f>
        <v>Good</v>
      </c>
      <c r="Z355" t="str">
        <f ca="1">IFERROR(__xludf.DUMMYFUNCTION("""COMPUTED_VALUE"""),"Good")</f>
        <v>Good</v>
      </c>
      <c r="AA355" t="str">
        <f ca="1">IFERROR(__xludf.DUMMYFUNCTION("""COMPUTED_VALUE"""),"Good")</f>
        <v>Good</v>
      </c>
      <c r="AB355" t="str">
        <f ca="1">IFERROR(__xludf.DUMMYFUNCTION("""COMPUTED_VALUE"""),"Good")</f>
        <v>Good</v>
      </c>
      <c r="AC355" t="str">
        <f ca="1">IFERROR(__xludf.DUMMYFUNCTION("""COMPUTED_VALUE"""),"Good")</f>
        <v>Good</v>
      </c>
      <c r="AE355" s="11"/>
      <c r="AF355" t="str">
        <v>Scott.Eastman@floridadep.gov</v>
      </c>
      <c r="AG355" s="17" t="s">
        <v>17</v>
      </c>
      <c r="AH355" s="12">
        <v>1215</v>
      </c>
      <c r="AI355" s="12" t="s">
        <v>1013</v>
      </c>
      <c r="AJ355" s="19" t="s">
        <v>1014</v>
      </c>
      <c r="AK355" s="20" t="str">
        <f>HYPERLINK("https://docs.google.com/a/gtmnerr.org/document/d/11Q1zngHv0-P5AsO1ZgZYteXWIjY4Pp94rg3HG76Vfhk/edit?usp=drivesdk","Jimmy - 8/13/2019 7:00 AM")</f>
        <v>Jimmy - 8/13/2019 7:00 AM</v>
      </c>
      <c r="AL355" s="12" t="s">
        <v>1015</v>
      </c>
    </row>
    <row r="356" spans="1:38" ht="12.75">
      <c r="A356" s="10">
        <f ca="1">IFERROR(__xludf.DUMMYFUNCTION("""COMPUTED_VALUE"""),43689.7481222799)</f>
        <v>43689.748122279998</v>
      </c>
      <c r="B356" s="11" t="str">
        <f ca="1">IFERROR(__xludf.DUMMYFUNCTION("""COMPUTED_VALUE"""),"Silas Tanner")</f>
        <v>Silas Tanner</v>
      </c>
      <c r="C356" t="str">
        <f ca="1">IFERROR(__xludf.DUMMYFUNCTION("""COMPUTED_VALUE"""),"silas.tanner@floridadep.gov")</f>
        <v>silas.tanner@floridadep.gov</v>
      </c>
      <c r="D356" t="str">
        <f ca="1">IFERROR(__xludf.DUMMYFUNCTION("""COMPUTED_VALUE"""),"Research/Nikki")</f>
        <v>Research/Nikki</v>
      </c>
      <c r="E356" t="str">
        <f ca="1">IFERROR(__xludf.DUMMYFUNCTION("""COMPUTED_VALUE"""),"Vilano Landing")</f>
        <v>Vilano Landing</v>
      </c>
      <c r="F356" s="13">
        <f ca="1">IFERROR(__xludf.DUMMYFUNCTION("""COMPUTED_VALUE"""),0.30208333333212)</f>
        <v>0.30208333333212001</v>
      </c>
      <c r="G356" s="14">
        <f ca="1">IFERROR(__xludf.DUMMYFUNCTION("""COMPUTED_VALUE"""),43690)</f>
        <v>43690</v>
      </c>
      <c r="H356" t="str">
        <f ca="1">IFERROR(__xludf.DUMMYFUNCTION("""COMPUTED_VALUE"""),"ICW SWMP sites")</f>
        <v>ICW SWMP sites</v>
      </c>
      <c r="I356" s="15">
        <f ca="1">IFERROR(__xludf.DUMMYFUNCTION("""COMPUTED_VALUE"""),0.55208333333212)</f>
        <v>0.55208333333212001</v>
      </c>
      <c r="J356" s="16">
        <f ca="1">IFERROR(__xludf.DUMMYFUNCTION("""COMPUTED_VALUE"""),43690.5729166666)</f>
        <v>43690.572916666599</v>
      </c>
      <c r="K356" t="str">
        <f ca="1">IFERROR(__xludf.DUMMYFUNCTION("""COMPUTED_VALUE"""),"23ft Skiff (Bertha) FL7972LJ DEP07613")</f>
        <v>23ft Skiff (Bertha) FL7972LJ DEP07613</v>
      </c>
      <c r="M356" t="str">
        <f ca="1">IFERROR(__xludf.DUMMYFUNCTION("""COMPUTED_VALUE"""),"Ford F250 2017 (Moby Dix) - DEP0021578")</f>
        <v>Ford F250 2017 (Moby Dix) - DEP0021578</v>
      </c>
      <c r="N356" t="str">
        <f ca="1">IFERROR(__xludf.DUMMYFUNCTION("""COMPUTED_VALUE"""),"Silas Tanner, (904) 483-8423")</f>
        <v>Silas Tanner, (904) 483-8423</v>
      </c>
      <c r="O356" t="str">
        <f ca="1">IFERROR(__xludf.DUMMYFUNCTION("""COMPUTED_VALUE"""),"Alee Knoell, Jeff Finnan")</f>
        <v>Alee Knoell, Jeff Finnan</v>
      </c>
      <c r="P356" t="str">
        <f ca="1">IFERROR(__xludf.DUMMYFUNCTION("""COMPUTED_VALUE"""),"S. Tanner")</f>
        <v>S. Tanner</v>
      </c>
      <c r="Q356" t="str">
        <f ca="1">IFERROR(__xludf.DUMMYFUNCTION("""COMPUTED_VALUE"""),"Good")</f>
        <v>Good</v>
      </c>
      <c r="R356" t="str">
        <f ca="1">IFERROR(__xludf.DUMMYFUNCTION("""COMPUTED_VALUE"""),"Good")</f>
        <v>Good</v>
      </c>
      <c r="S356" t="str">
        <f ca="1">IFERROR(__xludf.DUMMYFUNCTION("""COMPUTED_VALUE"""),"Good")</f>
        <v>Good</v>
      </c>
      <c r="T356" t="str">
        <f ca="1">IFERROR(__xludf.DUMMYFUNCTION("""COMPUTED_VALUE"""),"Good")</f>
        <v>Good</v>
      </c>
      <c r="U356" t="str">
        <f ca="1">IFERROR(__xludf.DUMMYFUNCTION("""COMPUTED_VALUE"""),"Good")</f>
        <v>Good</v>
      </c>
      <c r="V356" t="str">
        <f ca="1">IFERROR(__xludf.DUMMYFUNCTION("""COMPUTED_VALUE"""),"Good")</f>
        <v>Good</v>
      </c>
      <c r="W356" t="str">
        <f ca="1">IFERROR(__xludf.DUMMYFUNCTION("""COMPUTED_VALUE"""),"Good")</f>
        <v>Good</v>
      </c>
      <c r="X356" t="str">
        <f ca="1">IFERROR(__xludf.DUMMYFUNCTION("""COMPUTED_VALUE"""),"Good")</f>
        <v>Good</v>
      </c>
      <c r="Y356" t="str">
        <f ca="1">IFERROR(__xludf.DUMMYFUNCTION("""COMPUTED_VALUE"""),"Good")</f>
        <v>Good</v>
      </c>
      <c r="Z356" t="str">
        <f ca="1">IFERROR(__xludf.DUMMYFUNCTION("""COMPUTED_VALUE"""),"Good")</f>
        <v>Good</v>
      </c>
      <c r="AA356" t="str">
        <f ca="1">IFERROR(__xludf.DUMMYFUNCTION("""COMPUTED_VALUE"""),"Good")</f>
        <v>Good</v>
      </c>
      <c r="AB356" t="str">
        <f ca="1">IFERROR(__xludf.DUMMYFUNCTION("""COMPUTED_VALUE"""),"Good")</f>
        <v>Good</v>
      </c>
      <c r="AC356" t="str">
        <f ca="1">IFERROR(__xludf.DUMMYFUNCTION("""COMPUTED_VALUE"""),"Good")</f>
        <v>Good</v>
      </c>
      <c r="AE356" s="11"/>
      <c r="AF356" t="str">
        <v>Nikki.Dix@floridadep.gov</v>
      </c>
      <c r="AG356" s="17" t="s">
        <v>41</v>
      </c>
      <c r="AH356" s="12">
        <v>1152</v>
      </c>
      <c r="AI356" s="12" t="s">
        <v>1016</v>
      </c>
      <c r="AJ356" s="19" t="s">
        <v>1017</v>
      </c>
      <c r="AK356" s="20" t="str">
        <f>HYPERLINK("https://docs.google.com/document/d/1PSs6PJxfHNvQL0Gdx2FpaTy-9EKgmxmmCEUvK9qcJiU/edit?usp=drivesdk","Silas Tanner - 8/13/2019 7:15 AM")</f>
        <v>Silas Tanner - 8/13/2019 7:15 AM</v>
      </c>
      <c r="AL356" s="12" t="s">
        <v>1018</v>
      </c>
    </row>
    <row r="357" spans="1:38" ht="12.75">
      <c r="A357" s="10">
        <f ca="1">IFERROR(__xludf.DUMMYFUNCTION("""COMPUTED_VALUE"""),43697.2750235532)</f>
        <v>43697.2750235532</v>
      </c>
      <c r="B357" s="11" t="str">
        <f ca="1">IFERROR(__xludf.DUMMYFUNCTION("""COMPUTED_VALUE"""),"Pam Marcum")</f>
        <v>Pam Marcum</v>
      </c>
      <c r="C357" t="str">
        <f ca="1">IFERROR(__xludf.DUMMYFUNCTION("""COMPUTED_VALUE"""),"pamela.marcum@floridadep.gov")</f>
        <v>pamela.marcum@floridadep.gov</v>
      </c>
      <c r="D357" t="str">
        <f ca="1">IFERROR(__xludf.DUMMYFUNCTION("""COMPUTED_VALUE"""),"Research/Nikki")</f>
        <v>Research/Nikki</v>
      </c>
      <c r="E357" t="str">
        <f ca="1">IFERROR(__xludf.DUMMYFUNCTION("""COMPUTED_VALUE"""),"Shore")</f>
        <v>Shore</v>
      </c>
      <c r="F357" s="13">
        <f ca="1">IFERROR(__xludf.DUMMYFUNCTION("""COMPUTED_VALUE"""),0.27083333333212)</f>
        <v>0.27083333333212001</v>
      </c>
      <c r="G357" s="14">
        <f ca="1">IFERROR(__xludf.DUMMYFUNCTION("""COMPUTED_VALUE"""),43697)</f>
        <v>43697</v>
      </c>
      <c r="H357" t="str">
        <f ca="1">IFERROR(__xludf.DUMMYFUNCTION("""COMPUTED_VALUE"""),"Site 22")</f>
        <v>Site 22</v>
      </c>
      <c r="I357" s="15">
        <f ca="1">IFERROR(__xludf.DUMMYFUNCTION("""COMPUTED_VALUE"""),0.33333333333212)</f>
        <v>0.33333333333212001</v>
      </c>
      <c r="J357" s="16">
        <f ca="1">IFERROR(__xludf.DUMMYFUNCTION("""COMPUTED_VALUE"""),43697.3333333333)</f>
        <v>43697.333333333299</v>
      </c>
      <c r="K357" t="str">
        <f ca="1">IFERROR(__xludf.DUMMYFUNCTION("""COMPUTED_VALUE"""),"17ft Skill FL0642GW DEP07239")</f>
        <v>17ft Skill FL0642GW DEP07239</v>
      </c>
      <c r="M357" t="str">
        <f ca="1">IFERROR(__xludf.DUMMYFUNCTION("""COMPUTED_VALUE"""),"Ford F250 2017 (Moby Dix) - DEP0021578")</f>
        <v>Ford F250 2017 (Moby Dix) - DEP0021578</v>
      </c>
      <c r="N357" t="str">
        <f ca="1">IFERROR(__xludf.DUMMYFUNCTION("""COMPUTED_VALUE"""),"Pam Marcum, (480) 332-5414, Remo Mondazzi")</f>
        <v>Pam Marcum, (480) 332-5414, Remo Mondazzi</v>
      </c>
      <c r="P357" t="str">
        <f ca="1">IFERROR(__xludf.DUMMYFUNCTION("""COMPUTED_VALUE"""),"Pam")</f>
        <v>Pam</v>
      </c>
      <c r="Q357" t="str">
        <f ca="1">IFERROR(__xludf.DUMMYFUNCTION("""COMPUTED_VALUE"""),"Good")</f>
        <v>Good</v>
      </c>
      <c r="R357" t="str">
        <f ca="1">IFERROR(__xludf.DUMMYFUNCTION("""COMPUTED_VALUE"""),"Good")</f>
        <v>Good</v>
      </c>
      <c r="S357" t="str">
        <f ca="1">IFERROR(__xludf.DUMMYFUNCTION("""COMPUTED_VALUE"""),"Good")</f>
        <v>Good</v>
      </c>
      <c r="T357" t="str">
        <f ca="1">IFERROR(__xludf.DUMMYFUNCTION("""COMPUTED_VALUE"""),"Good")</f>
        <v>Good</v>
      </c>
      <c r="U357" t="str">
        <f ca="1">IFERROR(__xludf.DUMMYFUNCTION("""COMPUTED_VALUE"""),"Good")</f>
        <v>Good</v>
      </c>
      <c r="V357" t="str">
        <f ca="1">IFERROR(__xludf.DUMMYFUNCTION("""COMPUTED_VALUE"""),"Good")</f>
        <v>Good</v>
      </c>
      <c r="W357" t="str">
        <f ca="1">IFERROR(__xludf.DUMMYFUNCTION("""COMPUTED_VALUE"""),"Good")</f>
        <v>Good</v>
      </c>
      <c r="X357" t="str">
        <f ca="1">IFERROR(__xludf.DUMMYFUNCTION("""COMPUTED_VALUE"""),"Good")</f>
        <v>Good</v>
      </c>
      <c r="Y357" t="str">
        <f ca="1">IFERROR(__xludf.DUMMYFUNCTION("""COMPUTED_VALUE"""),"Good")</f>
        <v>Good</v>
      </c>
      <c r="Z357" t="str">
        <f ca="1">IFERROR(__xludf.DUMMYFUNCTION("""COMPUTED_VALUE"""),"Good")</f>
        <v>Good</v>
      </c>
      <c r="AA357" t="str">
        <f ca="1">IFERROR(__xludf.DUMMYFUNCTION("""COMPUTED_VALUE"""),"Good")</f>
        <v>Good</v>
      </c>
      <c r="AB357" t="str">
        <f ca="1">IFERROR(__xludf.DUMMYFUNCTION("""COMPUTED_VALUE"""),"Good")</f>
        <v>Good</v>
      </c>
      <c r="AC357" t="str">
        <f ca="1">IFERROR(__xludf.DUMMYFUNCTION("""COMPUTED_VALUE"""),"Good")</f>
        <v>Good</v>
      </c>
      <c r="AE357" s="11"/>
      <c r="AF357" t="str">
        <v>Nikki.Dix@floridadep.gov</v>
      </c>
      <c r="AG357" s="17" t="s">
        <v>17</v>
      </c>
      <c r="AH357" s="12">
        <v>850</v>
      </c>
      <c r="AI357" s="12" t="s">
        <v>1019</v>
      </c>
      <c r="AJ357" s="19" t="s">
        <v>1020</v>
      </c>
      <c r="AK357" s="20" t="str">
        <f>HYPERLINK("https://docs.google.com/document/d/1RWIKtoOaMeyPaIs4hJT3bwRUK1PkwCCzdMFo1k4GAxk/edit?usp=drivesdk","Pam Marcum - 8/20/2019 6:30 AM")</f>
        <v>Pam Marcum - 8/20/2019 6:30 AM</v>
      </c>
      <c r="AL357" s="12" t="s">
        <v>1021</v>
      </c>
    </row>
    <row r="358" spans="1:38" ht="12.75">
      <c r="A358" s="10">
        <f ca="1">IFERROR(__xludf.DUMMYFUNCTION("""COMPUTED_VALUE"""),43697.628050706)</f>
        <v>43697.628050706</v>
      </c>
      <c r="B358" s="11" t="str">
        <f ca="1">IFERROR(__xludf.DUMMYFUNCTION("""COMPUTED_VALUE"""),"Pam Marcum")</f>
        <v>Pam Marcum</v>
      </c>
      <c r="C358" t="str">
        <f ca="1">IFERROR(__xludf.DUMMYFUNCTION("""COMPUTED_VALUE"""),"pamela.marcum@floridadep.gov")</f>
        <v>pamela.marcum@floridadep.gov</v>
      </c>
      <c r="D358" t="str">
        <f ca="1">IFERROR(__xludf.DUMMYFUNCTION("""COMPUTED_VALUE"""),"Research/Nikki")</f>
        <v>Research/Nikki</v>
      </c>
      <c r="E358" t="str">
        <f ca="1">IFERROR(__xludf.DUMMYFUNCTION("""COMPUTED_VALUE"""),"Shore")</f>
        <v>Shore</v>
      </c>
      <c r="F358" s="13">
        <f ca="1">IFERROR(__xludf.DUMMYFUNCTION("""COMPUTED_VALUE"""),0.635416666667879)</f>
        <v>0.63541666666787899</v>
      </c>
      <c r="G358" s="14">
        <f ca="1">IFERROR(__xludf.DUMMYFUNCTION("""COMPUTED_VALUE"""),43697)</f>
        <v>43697</v>
      </c>
      <c r="H358" t="str">
        <f ca="1">IFERROR(__xludf.DUMMYFUNCTION("""COMPUTED_VALUE"""),"Site 22")</f>
        <v>Site 22</v>
      </c>
      <c r="I358" s="15">
        <f ca="1">IFERROR(__xludf.DUMMYFUNCTION("""COMPUTED_VALUE"""),0.70833333333212)</f>
        <v>0.70833333333212001</v>
      </c>
      <c r="J358" s="16">
        <f ca="1">IFERROR(__xludf.DUMMYFUNCTION("""COMPUTED_VALUE"""),43697.75)</f>
        <v>43697.75</v>
      </c>
      <c r="K358" t="str">
        <f ca="1">IFERROR(__xludf.DUMMYFUNCTION("""COMPUTED_VALUE"""),"17ft Skill FL0642GW DEP07239")</f>
        <v>17ft Skill FL0642GW DEP07239</v>
      </c>
      <c r="M358" t="str">
        <f ca="1">IFERROR(__xludf.DUMMYFUNCTION("""COMPUTED_VALUE"""),"Ford F250 2017 (Moby Dix) - DEP0021578")</f>
        <v>Ford F250 2017 (Moby Dix) - DEP0021578</v>
      </c>
      <c r="N358" t="str">
        <f ca="1">IFERROR(__xludf.DUMMYFUNCTION("""COMPUTED_VALUE"""),"Pam Marcum, (480) 332-5414, Remo Mondazzi")</f>
        <v>Pam Marcum, (480) 332-5414, Remo Mondazzi</v>
      </c>
      <c r="P358" t="str">
        <f ca="1">IFERROR(__xludf.DUMMYFUNCTION("""COMPUTED_VALUE"""),"Pam")</f>
        <v>Pam</v>
      </c>
      <c r="Q358" t="str">
        <f ca="1">IFERROR(__xludf.DUMMYFUNCTION("""COMPUTED_VALUE"""),"Good")</f>
        <v>Good</v>
      </c>
      <c r="R358" t="str">
        <f ca="1">IFERROR(__xludf.DUMMYFUNCTION("""COMPUTED_VALUE"""),"Good")</f>
        <v>Good</v>
      </c>
      <c r="S358" t="str">
        <f ca="1">IFERROR(__xludf.DUMMYFUNCTION("""COMPUTED_VALUE"""),"Good")</f>
        <v>Good</v>
      </c>
      <c r="T358" t="str">
        <f ca="1">IFERROR(__xludf.DUMMYFUNCTION("""COMPUTED_VALUE"""),"Good")</f>
        <v>Good</v>
      </c>
      <c r="U358" t="str">
        <f ca="1">IFERROR(__xludf.DUMMYFUNCTION("""COMPUTED_VALUE"""),"Good")</f>
        <v>Good</v>
      </c>
      <c r="V358" t="str">
        <f ca="1">IFERROR(__xludf.DUMMYFUNCTION("""COMPUTED_VALUE"""),"Good")</f>
        <v>Good</v>
      </c>
      <c r="W358" t="str">
        <f ca="1">IFERROR(__xludf.DUMMYFUNCTION("""COMPUTED_VALUE"""),"Good")</f>
        <v>Good</v>
      </c>
      <c r="X358" t="str">
        <f ca="1">IFERROR(__xludf.DUMMYFUNCTION("""COMPUTED_VALUE"""),"Good")</f>
        <v>Good</v>
      </c>
      <c r="Y358" t="str">
        <f ca="1">IFERROR(__xludf.DUMMYFUNCTION("""COMPUTED_VALUE"""),"Good")</f>
        <v>Good</v>
      </c>
      <c r="Z358" t="str">
        <f ca="1">IFERROR(__xludf.DUMMYFUNCTION("""COMPUTED_VALUE"""),"Good")</f>
        <v>Good</v>
      </c>
      <c r="AA358" t="str">
        <f ca="1">IFERROR(__xludf.DUMMYFUNCTION("""COMPUTED_VALUE"""),"Good")</f>
        <v>Good</v>
      </c>
      <c r="AB358" t="str">
        <f ca="1">IFERROR(__xludf.DUMMYFUNCTION("""COMPUTED_VALUE"""),"Good")</f>
        <v>Good</v>
      </c>
      <c r="AC358" t="str">
        <f ca="1">IFERROR(__xludf.DUMMYFUNCTION("""COMPUTED_VALUE"""),"Good")</f>
        <v>Good</v>
      </c>
      <c r="AE358" s="11"/>
      <c r="AF358" t="str">
        <v>Nikki.Dix@floridadep.gov</v>
      </c>
      <c r="AG358" s="17" t="s">
        <v>17</v>
      </c>
      <c r="AH358" s="12">
        <v>1630</v>
      </c>
      <c r="AI358" s="12" t="s">
        <v>1022</v>
      </c>
      <c r="AJ358" s="19" t="s">
        <v>1023</v>
      </c>
      <c r="AK358" s="20" t="str">
        <f>HYPERLINK("https://docs.google.com/document/d/1KcgaayyBJ7F6uQm0nvdHRmo9_83OCOz8oj2qRca9CDM/edit?usp=drivesdk","Pam Marcum - 8/20/2019 3:15 PM")</f>
        <v>Pam Marcum - 8/20/2019 3:15 PM</v>
      </c>
      <c r="AL358" s="12" t="s">
        <v>1024</v>
      </c>
    </row>
    <row r="359" spans="1:38" ht="12.75">
      <c r="A359" s="10">
        <f ca="1">IFERROR(__xludf.DUMMYFUNCTION("""COMPUTED_VALUE"""),43699.2457969675)</f>
        <v>43699.245796967502</v>
      </c>
      <c r="B359" s="11" t="str">
        <f ca="1">IFERROR(__xludf.DUMMYFUNCTION("""COMPUTED_VALUE"""),"Pam Marcum")</f>
        <v>Pam Marcum</v>
      </c>
      <c r="C359" t="str">
        <f ca="1">IFERROR(__xludf.DUMMYFUNCTION("""COMPUTED_VALUE"""),"Pamela.Marcum@floridadep.gov")</f>
        <v>Pamela.Marcum@floridadep.gov</v>
      </c>
      <c r="D359" t="str">
        <f ca="1">IFERROR(__xludf.DUMMYFUNCTION("""COMPUTED_VALUE"""),"Research/Nikki")</f>
        <v>Research/Nikki</v>
      </c>
      <c r="E359" t="str">
        <f ca="1">IFERROR(__xludf.DUMMYFUNCTION("""COMPUTED_VALUE"""),"Green Rd")</f>
        <v>Green Rd</v>
      </c>
      <c r="F359" s="13">
        <f ca="1">IFERROR(__xludf.DUMMYFUNCTION("""COMPUTED_VALUE"""),0.30208333333212)</f>
        <v>0.30208333333212001</v>
      </c>
      <c r="G359" s="14">
        <f ca="1">IFERROR(__xludf.DUMMYFUNCTION("""COMPUTED_VALUE"""),43699)</f>
        <v>43699</v>
      </c>
      <c r="H359" t="str">
        <f ca="1">IFERROR(__xludf.DUMMYFUNCTION("""COMPUTED_VALUE"""),"Moses Creek")</f>
        <v>Moses Creek</v>
      </c>
      <c r="I359" s="15">
        <f ca="1">IFERROR(__xludf.DUMMYFUNCTION("""COMPUTED_VALUE"""),0.58333333333212)</f>
        <v>0.58333333333212001</v>
      </c>
      <c r="J359" s="16">
        <f ca="1">IFERROR(__xludf.DUMMYFUNCTION("""COMPUTED_VALUE"""),43699.625)</f>
        <v>43699.625</v>
      </c>
      <c r="K359" t="str">
        <f ca="1">IFERROR(__xludf.DUMMYFUNCTION("""COMPUTED_VALUE"""),"F 20ft Sea Ark (Easy 200) FL8534PY DEP21451")</f>
        <v>F 20ft Sea Ark (Easy 200) FL8534PY DEP21451</v>
      </c>
      <c r="M359" t="str">
        <f ca="1">IFERROR(__xludf.DUMMYFUNCTION("""COMPUTED_VALUE"""),"Ford F250 2017 (Moby Dix) - DEP0021578")</f>
        <v>Ford F250 2017 (Moby Dix) - DEP0021578</v>
      </c>
      <c r="N359" t="str">
        <f ca="1">IFERROR(__xludf.DUMMYFUNCTION("""COMPUTED_VALUE"""),"Pam Marcum, (480) 332-5414")</f>
        <v>Pam Marcum, (480) 332-5414</v>
      </c>
      <c r="O359" t="str">
        <f ca="1">IFERROR(__xludf.DUMMYFUNCTION("""COMPUTED_VALUE"""),"Alee Knoell")</f>
        <v>Alee Knoell</v>
      </c>
      <c r="P359" t="str">
        <f ca="1">IFERROR(__xludf.DUMMYFUNCTION("""COMPUTED_VALUE"""),"Pam")</f>
        <v>Pam</v>
      </c>
      <c r="Q359" t="str">
        <f ca="1">IFERROR(__xludf.DUMMYFUNCTION("""COMPUTED_VALUE"""),"Good")</f>
        <v>Good</v>
      </c>
      <c r="R359" t="str">
        <f ca="1">IFERROR(__xludf.DUMMYFUNCTION("""COMPUTED_VALUE"""),"Good")</f>
        <v>Good</v>
      </c>
      <c r="S359" t="str">
        <f ca="1">IFERROR(__xludf.DUMMYFUNCTION("""COMPUTED_VALUE"""),"Good")</f>
        <v>Good</v>
      </c>
      <c r="T359" t="str">
        <f ca="1">IFERROR(__xludf.DUMMYFUNCTION("""COMPUTED_VALUE"""),"Good")</f>
        <v>Good</v>
      </c>
      <c r="U359" t="str">
        <f ca="1">IFERROR(__xludf.DUMMYFUNCTION("""COMPUTED_VALUE"""),"Good")</f>
        <v>Good</v>
      </c>
      <c r="V359" t="str">
        <f ca="1">IFERROR(__xludf.DUMMYFUNCTION("""COMPUTED_VALUE"""),"Good")</f>
        <v>Good</v>
      </c>
      <c r="W359" t="str">
        <f ca="1">IFERROR(__xludf.DUMMYFUNCTION("""COMPUTED_VALUE"""),"Good")</f>
        <v>Good</v>
      </c>
      <c r="X359" t="str">
        <f ca="1">IFERROR(__xludf.DUMMYFUNCTION("""COMPUTED_VALUE"""),"Good")</f>
        <v>Good</v>
      </c>
      <c r="Y359" t="str">
        <f ca="1">IFERROR(__xludf.DUMMYFUNCTION("""COMPUTED_VALUE"""),"Good")</f>
        <v>Good</v>
      </c>
      <c r="Z359" t="str">
        <f ca="1">IFERROR(__xludf.DUMMYFUNCTION("""COMPUTED_VALUE"""),"Good")</f>
        <v>Good</v>
      </c>
      <c r="AA359" t="str">
        <f ca="1">IFERROR(__xludf.DUMMYFUNCTION("""COMPUTED_VALUE"""),"Good")</f>
        <v>Good</v>
      </c>
      <c r="AB359" t="str">
        <f ca="1">IFERROR(__xludf.DUMMYFUNCTION("""COMPUTED_VALUE"""),"Good")</f>
        <v>Good</v>
      </c>
      <c r="AC359" t="str">
        <f ca="1">IFERROR(__xludf.DUMMYFUNCTION("""COMPUTED_VALUE"""),"Good")</f>
        <v>Good</v>
      </c>
      <c r="AE359" s="11"/>
      <c r="AF359" t="str">
        <v>Nikki.Dix@floridadep.gov</v>
      </c>
      <c r="AG359" s="17" t="s">
        <v>58</v>
      </c>
      <c r="AH359" s="12">
        <v>1443</v>
      </c>
      <c r="AI359" s="12" t="s">
        <v>1025</v>
      </c>
      <c r="AJ359" s="19" t="s">
        <v>1026</v>
      </c>
      <c r="AK359" s="20" t="str">
        <f>HYPERLINK("https://docs.google.com/document/d/117UlOtSgj_kq7O1HZU85eiTPSysmyUGc-U29QvcaS3M/edit?usp=drivesdk","Pam Marcum - 8/22/2019 7:15 AM")</f>
        <v>Pam Marcum - 8/22/2019 7:15 AM</v>
      </c>
      <c r="AL359" s="12" t="s">
        <v>1027</v>
      </c>
    </row>
    <row r="360" spans="1:38" ht="12.75">
      <c r="A360" s="10">
        <f ca="1">IFERROR(__xludf.DUMMYFUNCTION("""COMPUTED_VALUE"""),43700.3252907175)</f>
        <v>43700.325290717497</v>
      </c>
      <c r="B360" s="11" t="str">
        <f ca="1">IFERROR(__xludf.DUMMYFUNCTION("""COMPUTED_VALUE"""),"Pamela Marcum")</f>
        <v>Pamela Marcum</v>
      </c>
      <c r="C360" t="str">
        <f ca="1">IFERROR(__xludf.DUMMYFUNCTION("""COMPUTED_VALUE"""),"pamela.marcum@floridadep.gov")</f>
        <v>pamela.marcum@floridadep.gov</v>
      </c>
      <c r="D360" t="str">
        <f ca="1">IFERROR(__xludf.DUMMYFUNCTION("""COMPUTED_VALUE"""),"Research/Nikki")</f>
        <v>Research/Nikki</v>
      </c>
      <c r="E360" t="str">
        <f ca="1">IFERROR(__xludf.DUMMYFUNCTION("""COMPUTED_VALUE"""),"Green rd")</f>
        <v>Green rd</v>
      </c>
      <c r="F360" s="13">
        <f ca="1">IFERROR(__xludf.DUMMYFUNCTION("""COMPUTED_VALUE"""),0.322916666667879)</f>
        <v>0.32291666666787899</v>
      </c>
      <c r="G360" s="14">
        <f ca="1">IFERROR(__xludf.DUMMYFUNCTION("""COMPUTED_VALUE"""),43700)</f>
        <v>43700</v>
      </c>
      <c r="H360" t="str">
        <f ca="1">IFERROR(__xludf.DUMMYFUNCTION("""COMPUTED_VALUE"""),"Moses creek")</f>
        <v>Moses creek</v>
      </c>
      <c r="I360" s="15">
        <f ca="1">IFERROR(__xludf.DUMMYFUNCTION("""COMPUTED_VALUE"""),0.625)</f>
        <v>0.625</v>
      </c>
      <c r="J360" s="16">
        <f ca="1">IFERROR(__xludf.DUMMYFUNCTION("""COMPUTED_VALUE"""),43700.6666666666)</f>
        <v>43700.666666666599</v>
      </c>
      <c r="K360" t="str">
        <f ca="1">IFERROR(__xludf.DUMMYFUNCTION("""COMPUTED_VALUE"""),"F 20ft Sea Ark (Easy 200) FL8534PY DEP21451")</f>
        <v>F 20ft Sea Ark (Easy 200) FL8534PY DEP21451</v>
      </c>
      <c r="M360" t="str">
        <f ca="1">IFERROR(__xludf.DUMMYFUNCTION("""COMPUTED_VALUE"""),"Ford F250 2017 (Moby Dix) - DEP0021578")</f>
        <v>Ford F250 2017 (Moby Dix) - DEP0021578</v>
      </c>
      <c r="N360" t="str">
        <f ca="1">IFERROR(__xludf.DUMMYFUNCTION("""COMPUTED_VALUE"""),"Pam Marcum, (480) 332-5414, Shannon Dunnigan, (803) 727-5734, Silas Tanner, (904) 483-8423")</f>
        <v>Pam Marcum, (480) 332-5414, Shannon Dunnigan, (803) 727-5734, Silas Tanner, (904) 483-8423</v>
      </c>
      <c r="O360" t="str">
        <f ca="1">IFERROR(__xludf.DUMMYFUNCTION("""COMPUTED_VALUE"""),"Alee Knoell")</f>
        <v>Alee Knoell</v>
      </c>
      <c r="P360" t="str">
        <f ca="1">IFERROR(__xludf.DUMMYFUNCTION("""COMPUTED_VALUE"""),"Pam")</f>
        <v>Pam</v>
      </c>
      <c r="Q360" t="str">
        <f ca="1">IFERROR(__xludf.DUMMYFUNCTION("""COMPUTED_VALUE"""),"Good")</f>
        <v>Good</v>
      </c>
      <c r="R360" t="str">
        <f ca="1">IFERROR(__xludf.DUMMYFUNCTION("""COMPUTED_VALUE"""),"Good")</f>
        <v>Good</v>
      </c>
      <c r="S360" t="str">
        <f ca="1">IFERROR(__xludf.DUMMYFUNCTION("""COMPUTED_VALUE"""),"Good")</f>
        <v>Good</v>
      </c>
      <c r="T360" t="str">
        <f ca="1">IFERROR(__xludf.DUMMYFUNCTION("""COMPUTED_VALUE"""),"Good")</f>
        <v>Good</v>
      </c>
      <c r="U360" t="str">
        <f ca="1">IFERROR(__xludf.DUMMYFUNCTION("""COMPUTED_VALUE"""),"Good")</f>
        <v>Good</v>
      </c>
      <c r="V360" t="str">
        <f ca="1">IFERROR(__xludf.DUMMYFUNCTION("""COMPUTED_VALUE"""),"Good")</f>
        <v>Good</v>
      </c>
      <c r="W360" t="str">
        <f ca="1">IFERROR(__xludf.DUMMYFUNCTION("""COMPUTED_VALUE"""),"Good")</f>
        <v>Good</v>
      </c>
      <c r="X360" t="str">
        <f ca="1">IFERROR(__xludf.DUMMYFUNCTION("""COMPUTED_VALUE"""),"Good")</f>
        <v>Good</v>
      </c>
      <c r="Y360" t="str">
        <f ca="1">IFERROR(__xludf.DUMMYFUNCTION("""COMPUTED_VALUE"""),"Good")</f>
        <v>Good</v>
      </c>
      <c r="Z360" t="str">
        <f ca="1">IFERROR(__xludf.DUMMYFUNCTION("""COMPUTED_VALUE"""),"Good")</f>
        <v>Good</v>
      </c>
      <c r="AA360" t="str">
        <f ca="1">IFERROR(__xludf.DUMMYFUNCTION("""COMPUTED_VALUE"""),"Good")</f>
        <v>Good</v>
      </c>
      <c r="AB360" t="str">
        <f ca="1">IFERROR(__xludf.DUMMYFUNCTION("""COMPUTED_VALUE"""),"Good")</f>
        <v>Good</v>
      </c>
      <c r="AC360" t="str">
        <f ca="1">IFERROR(__xludf.DUMMYFUNCTION("""COMPUTED_VALUE"""),"Good")</f>
        <v>Good</v>
      </c>
      <c r="AE360" s="11"/>
      <c r="AF360" t="str">
        <v>Nikki.Dix@floridadep.gov</v>
      </c>
      <c r="AG360" s="17" t="s">
        <v>17</v>
      </c>
      <c r="AH360" s="12">
        <v>910</v>
      </c>
      <c r="AI360" s="12" t="s">
        <v>1028</v>
      </c>
      <c r="AJ360" s="19" t="s">
        <v>1029</v>
      </c>
      <c r="AK360" s="20" t="str">
        <f>HYPERLINK("https://docs.google.com/document/d/1sG4FS2pAmky1WC9QNvN3opCN2KZ3liAWKRz-jnsPPrY/edit?usp=drivesdk","Pamela Marcum - 8/23/2019 7:45 AM")</f>
        <v>Pamela Marcum - 8/23/2019 7:45 AM</v>
      </c>
      <c r="AL360" s="12" t="s">
        <v>1030</v>
      </c>
    </row>
    <row r="361" spans="1:38" ht="12.75">
      <c r="A361" s="10">
        <f ca="1">IFERROR(__xludf.DUMMYFUNCTION("""COMPUTED_VALUE"""),43704.3597691898)</f>
        <v>43704.359769189803</v>
      </c>
      <c r="B361" s="11" t="str">
        <f ca="1">IFERROR(__xludf.DUMMYFUNCTION("""COMPUTED_VALUE"""),"Pamela Marcum")</f>
        <v>Pamela Marcum</v>
      </c>
      <c r="C361" t="str">
        <f ca="1">IFERROR(__xludf.DUMMYFUNCTION("""COMPUTED_VALUE"""),"Pamela.Marcum@floridadep.gov")</f>
        <v>Pamela.Marcum@floridadep.gov</v>
      </c>
      <c r="D361" t="str">
        <f ca="1">IFERROR(__xludf.DUMMYFUNCTION("""COMPUTED_VALUE"""),"Research/Nikki")</f>
        <v>Research/Nikki</v>
      </c>
      <c r="E361" t="str">
        <f ca="1">IFERROR(__xludf.DUMMYFUNCTION("""COMPUTED_VALUE"""),"Green Rd")</f>
        <v>Green Rd</v>
      </c>
      <c r="F361" s="13">
        <f ca="1">IFERROR(__xludf.DUMMYFUNCTION("""COMPUTED_VALUE"""),0.39583333333212)</f>
        <v>0.39583333333212001</v>
      </c>
      <c r="G361" s="14">
        <f ca="1">IFERROR(__xludf.DUMMYFUNCTION("""COMPUTED_VALUE"""),43704)</f>
        <v>43704</v>
      </c>
      <c r="H361" t="str">
        <f ca="1">IFERROR(__xludf.DUMMYFUNCTION("""COMPUTED_VALUE"""),"Moses Creek")</f>
        <v>Moses Creek</v>
      </c>
      <c r="I361" s="15">
        <f ca="1">IFERROR(__xludf.DUMMYFUNCTION("""COMPUTED_VALUE"""),0.625)</f>
        <v>0.625</v>
      </c>
      <c r="J361" s="16">
        <f ca="1">IFERROR(__xludf.DUMMYFUNCTION("""COMPUTED_VALUE"""),43704.6666666666)</f>
        <v>43704.666666666599</v>
      </c>
      <c r="K361" t="str">
        <f ca="1">IFERROR(__xludf.DUMMYFUNCTION("""COMPUTED_VALUE"""),"17ft Skill FL0642GW DEP07239")</f>
        <v>17ft Skill FL0642GW DEP07239</v>
      </c>
      <c r="M361" t="str">
        <f ca="1">IFERROR(__xludf.DUMMYFUNCTION("""COMPUTED_VALUE"""),"Ford F150 2008 - DEP18041 (SWMP Thing)")</f>
        <v>Ford F150 2008 - DEP18041 (SWMP Thing)</v>
      </c>
      <c r="N361" t="str">
        <f ca="1">IFERROR(__xludf.DUMMYFUNCTION("""COMPUTED_VALUE"""),"Pam Marcum, (480) 332-5414")</f>
        <v>Pam Marcum, (480) 332-5414</v>
      </c>
      <c r="O361" t="str">
        <f ca="1">IFERROR(__xludf.DUMMYFUNCTION("""COMPUTED_VALUE"""),"Alee Knoell")</f>
        <v>Alee Knoell</v>
      </c>
      <c r="P361" t="str">
        <f ca="1">IFERROR(__xludf.DUMMYFUNCTION("""COMPUTED_VALUE"""),"Pam")</f>
        <v>Pam</v>
      </c>
      <c r="Q361" t="str">
        <f ca="1">IFERROR(__xludf.DUMMYFUNCTION("""COMPUTED_VALUE"""),"Good")</f>
        <v>Good</v>
      </c>
      <c r="R361" t="str">
        <f ca="1">IFERROR(__xludf.DUMMYFUNCTION("""COMPUTED_VALUE"""),"Good")</f>
        <v>Good</v>
      </c>
      <c r="S361" t="str">
        <f ca="1">IFERROR(__xludf.DUMMYFUNCTION("""COMPUTED_VALUE"""),"Good")</f>
        <v>Good</v>
      </c>
      <c r="T361" t="str">
        <f ca="1">IFERROR(__xludf.DUMMYFUNCTION("""COMPUTED_VALUE"""),"Good")</f>
        <v>Good</v>
      </c>
      <c r="U361" t="str">
        <f ca="1">IFERROR(__xludf.DUMMYFUNCTION("""COMPUTED_VALUE"""),"Good")</f>
        <v>Good</v>
      </c>
      <c r="V361" t="str">
        <f ca="1">IFERROR(__xludf.DUMMYFUNCTION("""COMPUTED_VALUE"""),"Good")</f>
        <v>Good</v>
      </c>
      <c r="W361" t="str">
        <f ca="1">IFERROR(__xludf.DUMMYFUNCTION("""COMPUTED_VALUE"""),"Good")</f>
        <v>Good</v>
      </c>
      <c r="X361" t="str">
        <f ca="1">IFERROR(__xludf.DUMMYFUNCTION("""COMPUTED_VALUE"""),"Good")</f>
        <v>Good</v>
      </c>
      <c r="Y361" t="str">
        <f ca="1">IFERROR(__xludf.DUMMYFUNCTION("""COMPUTED_VALUE"""),"Good")</f>
        <v>Good</v>
      </c>
      <c r="Z361" t="str">
        <f ca="1">IFERROR(__xludf.DUMMYFUNCTION("""COMPUTED_VALUE"""),"Good")</f>
        <v>Good</v>
      </c>
      <c r="AA361" t="str">
        <f ca="1">IFERROR(__xludf.DUMMYFUNCTION("""COMPUTED_VALUE"""),"Good")</f>
        <v>Good</v>
      </c>
      <c r="AB361" t="str">
        <f ca="1">IFERROR(__xludf.DUMMYFUNCTION("""COMPUTED_VALUE"""),"Good")</f>
        <v>Good</v>
      </c>
      <c r="AC361" t="str">
        <f ca="1">IFERROR(__xludf.DUMMYFUNCTION("""COMPUTED_VALUE"""),"Good")</f>
        <v>Good</v>
      </c>
      <c r="AE361" s="11"/>
      <c r="AF361" t="str">
        <v>Nikki.Dix@floridadep.gov</v>
      </c>
      <c r="AG361" s="17" t="s">
        <v>58</v>
      </c>
      <c r="AH361" s="12">
        <v>1523</v>
      </c>
      <c r="AI361" s="12" t="s">
        <v>1031</v>
      </c>
      <c r="AJ361" s="19" t="s">
        <v>1032</v>
      </c>
      <c r="AK361" s="20" t="str">
        <f>HYPERLINK("https://docs.google.com/document/d/17k__OhYheTr3nYbx5FarCqsKPH8rt5B5IyLMdHihyxo/edit?usp=drivesdk","Pamela Marcum - 8/27/2019 9:30 AM")</f>
        <v>Pamela Marcum - 8/27/2019 9:30 AM</v>
      </c>
      <c r="AL361" s="12" t="s">
        <v>1033</v>
      </c>
    </row>
    <row r="362" spans="1:38" ht="12.75">
      <c r="A362" s="10">
        <f ca="1">IFERROR(__xludf.DUMMYFUNCTION("""COMPUTED_VALUE"""),43705.2710619444)</f>
        <v>43705.271061944397</v>
      </c>
      <c r="B362" s="11" t="str">
        <f ca="1">IFERROR(__xludf.DUMMYFUNCTION("""COMPUTED_VALUE"""),"Silas Tanner")</f>
        <v>Silas Tanner</v>
      </c>
      <c r="C362" t="str">
        <f ca="1">IFERROR(__xludf.DUMMYFUNCTION("""COMPUTED_VALUE"""),"silas.tanner@floridadep.gov")</f>
        <v>silas.tanner@floridadep.gov</v>
      </c>
      <c r="D362" t="str">
        <f ca="1">IFERROR(__xludf.DUMMYFUNCTION("""COMPUTED_VALUE"""),"Research/Nikki")</f>
        <v>Research/Nikki</v>
      </c>
      <c r="E362" t="str">
        <f ca="1">IFERROR(__xludf.DUMMYFUNCTION("""COMPUTED_VALUE"""),"Vilano landing")</f>
        <v>Vilano landing</v>
      </c>
      <c r="F362" s="13">
        <f ca="1">IFERROR(__xludf.DUMMYFUNCTION("""COMPUTED_VALUE"""),0.30208333333212)</f>
        <v>0.30208333333212001</v>
      </c>
      <c r="G362" s="14">
        <f ca="1">IFERROR(__xludf.DUMMYFUNCTION("""COMPUTED_VALUE"""),43705)</f>
        <v>43705</v>
      </c>
      <c r="H362" t="str">
        <f ca="1">IFERROR(__xludf.DUMMYFUNCTION("""COMPUTED_VALUE"""),"ICW SWMP sites")</f>
        <v>ICW SWMP sites</v>
      </c>
      <c r="I362" s="15">
        <f ca="1">IFERROR(__xludf.DUMMYFUNCTION("""COMPUTED_VALUE"""),0.58333333333212)</f>
        <v>0.58333333333212001</v>
      </c>
      <c r="J362" s="16">
        <f ca="1">IFERROR(__xludf.DUMMYFUNCTION("""COMPUTED_VALUE"""),43705.53125)</f>
        <v>43705.53125</v>
      </c>
      <c r="K362" t="str">
        <f ca="1">IFERROR(__xludf.DUMMYFUNCTION("""COMPUTED_VALUE"""),"23ft Skiff (Bertha) FL7972LJ DEP07613")</f>
        <v>23ft Skiff (Bertha) FL7972LJ DEP07613</v>
      </c>
      <c r="M362" t="str">
        <f ca="1">IFERROR(__xludf.DUMMYFUNCTION("""COMPUTED_VALUE"""),"Ford F250 2017 (Moby Dix) - DEP0021578")</f>
        <v>Ford F250 2017 (Moby Dix) - DEP0021578</v>
      </c>
      <c r="N362" t="str">
        <f ca="1">IFERROR(__xludf.DUMMYFUNCTION("""COMPUTED_VALUE"""),"Silas Tanner, (904) 483-8423, Remo Mondazzi")</f>
        <v>Silas Tanner, (904) 483-8423, Remo Mondazzi</v>
      </c>
      <c r="P362" t="str">
        <f ca="1">IFERROR(__xludf.DUMMYFUNCTION("""COMPUTED_VALUE"""),"S. Tanner")</f>
        <v>S. Tanner</v>
      </c>
      <c r="Q362" t="str">
        <f ca="1">IFERROR(__xludf.DUMMYFUNCTION("""COMPUTED_VALUE"""),"Good")</f>
        <v>Good</v>
      </c>
      <c r="R362" t="str">
        <f ca="1">IFERROR(__xludf.DUMMYFUNCTION("""COMPUTED_VALUE"""),"Good")</f>
        <v>Good</v>
      </c>
      <c r="S362" t="str">
        <f ca="1">IFERROR(__xludf.DUMMYFUNCTION("""COMPUTED_VALUE"""),"Good")</f>
        <v>Good</v>
      </c>
      <c r="T362" t="str">
        <f ca="1">IFERROR(__xludf.DUMMYFUNCTION("""COMPUTED_VALUE"""),"Good")</f>
        <v>Good</v>
      </c>
      <c r="U362" t="str">
        <f ca="1">IFERROR(__xludf.DUMMYFUNCTION("""COMPUTED_VALUE"""),"Good")</f>
        <v>Good</v>
      </c>
      <c r="V362" t="str">
        <f ca="1">IFERROR(__xludf.DUMMYFUNCTION("""COMPUTED_VALUE"""),"Good")</f>
        <v>Good</v>
      </c>
      <c r="W362" t="str">
        <f ca="1">IFERROR(__xludf.DUMMYFUNCTION("""COMPUTED_VALUE"""),"Good")</f>
        <v>Good</v>
      </c>
      <c r="X362" t="str">
        <f ca="1">IFERROR(__xludf.DUMMYFUNCTION("""COMPUTED_VALUE"""),"Good")</f>
        <v>Good</v>
      </c>
      <c r="Y362" t="str">
        <f ca="1">IFERROR(__xludf.DUMMYFUNCTION("""COMPUTED_VALUE"""),"Good")</f>
        <v>Good</v>
      </c>
      <c r="Z362" t="str">
        <f ca="1">IFERROR(__xludf.DUMMYFUNCTION("""COMPUTED_VALUE"""),"Good")</f>
        <v>Good</v>
      </c>
      <c r="AA362" t="str">
        <f ca="1">IFERROR(__xludf.DUMMYFUNCTION("""COMPUTED_VALUE"""),"Good")</f>
        <v>Good</v>
      </c>
      <c r="AB362" t="str">
        <f ca="1">IFERROR(__xludf.DUMMYFUNCTION("""COMPUTED_VALUE"""),"Good")</f>
        <v>Good</v>
      </c>
      <c r="AC362" t="str">
        <f ca="1">IFERROR(__xludf.DUMMYFUNCTION("""COMPUTED_VALUE"""),"Good")</f>
        <v>Good</v>
      </c>
      <c r="AE362" s="11"/>
      <c r="AF362" t="str">
        <v>Nikki.Dix@floridadep.gov</v>
      </c>
      <c r="AG362" s="17" t="s">
        <v>41</v>
      </c>
      <c r="AH362" s="12">
        <v>1348</v>
      </c>
      <c r="AI362" s="12" t="s">
        <v>1034</v>
      </c>
      <c r="AJ362" s="19" t="s">
        <v>1035</v>
      </c>
      <c r="AK362" s="20" t="str">
        <f>HYPERLINK("https://docs.google.com/document/d/18J_oMGg9KxP1sUZubTUlVkgQbIimvibwL5Y_dskUwx4/edit?usp=drivesdk","Silas Tanner - 8/28/2019 7:15 AM")</f>
        <v>Silas Tanner - 8/28/2019 7:15 AM</v>
      </c>
      <c r="AL362" s="12" t="s">
        <v>1036</v>
      </c>
    </row>
    <row r="363" spans="1:38" ht="12.75">
      <c r="A363" s="10">
        <f ca="1">IFERROR(__xludf.DUMMYFUNCTION("""COMPUTED_VALUE"""),43705.4669039583)</f>
        <v>43705.466903958302</v>
      </c>
      <c r="B363" s="11" t="str">
        <f ca="1">IFERROR(__xludf.DUMMYFUNCTION("""COMPUTED_VALUE"""),"Alee knoell")</f>
        <v>Alee knoell</v>
      </c>
      <c r="C363" t="str">
        <f ca="1">IFERROR(__xludf.DUMMYFUNCTION("""COMPUTED_VALUE"""),"alee.knoell@floridadep.gov")</f>
        <v>alee.knoell@floridadep.gov</v>
      </c>
      <c r="D363" t="str">
        <f ca="1">IFERROR(__xludf.DUMMYFUNCTION("""COMPUTED_VALUE"""),"Research/Pam")</f>
        <v>Research/Pam</v>
      </c>
      <c r="E363" t="str">
        <f ca="1">IFERROR(__xludf.DUMMYFUNCTION("""COMPUTED_VALUE"""),"Vilano")</f>
        <v>Vilano</v>
      </c>
      <c r="F363" s="13">
        <f ca="1">IFERROR(__xludf.DUMMYFUNCTION("""COMPUTED_VALUE"""),0.479166666667879)</f>
        <v>0.47916666666787899</v>
      </c>
      <c r="G363" s="14">
        <f ca="1">IFERROR(__xludf.DUMMYFUNCTION("""COMPUTED_VALUE"""),43705)</f>
        <v>43705</v>
      </c>
      <c r="H363" t="str">
        <f ca="1">IFERROR(__xludf.DUMMYFUNCTION("""COMPUTED_VALUE"""),"Spat trees")</f>
        <v>Spat trees</v>
      </c>
      <c r="I363" s="15">
        <f ca="1">IFERROR(__xludf.DUMMYFUNCTION("""COMPUTED_VALUE"""),0.625)</f>
        <v>0.625</v>
      </c>
      <c r="J363" s="16">
        <f ca="1">IFERROR(__xludf.DUMMYFUNCTION("""COMPUTED_VALUE"""),43705.7291666666)</f>
        <v>43705.729166666599</v>
      </c>
      <c r="K363" t="str">
        <f ca="1">IFERROR(__xludf.DUMMYFUNCTION("""COMPUTED_VALUE"""),"17ft Skill FL0642GW DEP07239")</f>
        <v>17ft Skill FL0642GW DEP07239</v>
      </c>
      <c r="M363" t="str">
        <f ca="1">IFERROR(__xludf.DUMMYFUNCTION("""COMPUTED_VALUE"""),"Ford F150 2008 - DEP18041 (SWMP Thing)")</f>
        <v>Ford F150 2008 - DEP18041 (SWMP Thing)</v>
      </c>
      <c r="N363" t="str">
        <f ca="1">IFERROR(__xludf.DUMMYFUNCTION("""COMPUTED_VALUE"""),"Pam Marcum, (480) 332-5414")</f>
        <v>Pam Marcum, (480) 332-5414</v>
      </c>
      <c r="O363" t="str">
        <f ca="1">IFERROR(__xludf.DUMMYFUNCTION("""COMPUTED_VALUE"""),"Alee Knoell")</f>
        <v>Alee Knoell</v>
      </c>
      <c r="P363" t="str">
        <f ca="1">IFERROR(__xludf.DUMMYFUNCTION("""COMPUTED_VALUE"""),"Pam Marcum")</f>
        <v>Pam Marcum</v>
      </c>
      <c r="Q363" t="str">
        <f ca="1">IFERROR(__xludf.DUMMYFUNCTION("""COMPUTED_VALUE"""),"Good")</f>
        <v>Good</v>
      </c>
      <c r="R363" t="str">
        <f ca="1">IFERROR(__xludf.DUMMYFUNCTION("""COMPUTED_VALUE"""),"Good")</f>
        <v>Good</v>
      </c>
      <c r="S363" t="str">
        <f ca="1">IFERROR(__xludf.DUMMYFUNCTION("""COMPUTED_VALUE"""),"Good")</f>
        <v>Good</v>
      </c>
      <c r="T363" t="str">
        <f ca="1">IFERROR(__xludf.DUMMYFUNCTION("""COMPUTED_VALUE"""),"Good")</f>
        <v>Good</v>
      </c>
      <c r="U363" t="str">
        <f ca="1">IFERROR(__xludf.DUMMYFUNCTION("""COMPUTED_VALUE"""),"Good")</f>
        <v>Good</v>
      </c>
      <c r="V363" t="str">
        <f ca="1">IFERROR(__xludf.DUMMYFUNCTION("""COMPUTED_VALUE"""),"Good")</f>
        <v>Good</v>
      </c>
      <c r="W363" t="str">
        <f ca="1">IFERROR(__xludf.DUMMYFUNCTION("""COMPUTED_VALUE"""),"Good")</f>
        <v>Good</v>
      </c>
      <c r="X363" t="str">
        <f ca="1">IFERROR(__xludf.DUMMYFUNCTION("""COMPUTED_VALUE"""),"Good")</f>
        <v>Good</v>
      </c>
      <c r="Y363" t="str">
        <f ca="1">IFERROR(__xludf.DUMMYFUNCTION("""COMPUTED_VALUE"""),"Good")</f>
        <v>Good</v>
      </c>
      <c r="Z363" t="str">
        <f ca="1">IFERROR(__xludf.DUMMYFUNCTION("""COMPUTED_VALUE"""),"Good")</f>
        <v>Good</v>
      </c>
      <c r="AA363" t="str">
        <f ca="1">IFERROR(__xludf.DUMMYFUNCTION("""COMPUTED_VALUE"""),"Good")</f>
        <v>Good</v>
      </c>
      <c r="AB363" t="str">
        <f ca="1">IFERROR(__xludf.DUMMYFUNCTION("""COMPUTED_VALUE"""),"Good")</f>
        <v>Good</v>
      </c>
      <c r="AC363" t="str">
        <f ca="1">IFERROR(__xludf.DUMMYFUNCTION("""COMPUTED_VALUE"""),"Good")</f>
        <v>Good</v>
      </c>
      <c r="AE363" s="11"/>
      <c r="AF363" t="str">
        <v>Pamela.Marcum@floridadep.gov</v>
      </c>
      <c r="AG363" s="17" t="s">
        <v>17</v>
      </c>
      <c r="AH363" s="12">
        <v>1415</v>
      </c>
      <c r="AI363" s="12" t="s">
        <v>1037</v>
      </c>
      <c r="AJ363" s="19" t="s">
        <v>1038</v>
      </c>
      <c r="AK363" s="20" t="str">
        <f>HYPERLINK("https://docs.google.com/document/d/157atlnV4PfNUXltB_9nowSR6oPh6zVU7PPouDkoFvdw/edit?usp=drivesdk","Alee knoell - 8/28/2019 11:30 AM")</f>
        <v>Alee knoell - 8/28/2019 11:30 AM</v>
      </c>
      <c r="AL363" s="12" t="s">
        <v>1039</v>
      </c>
    </row>
    <row r="364" spans="1:38" ht="12.75">
      <c r="A364" s="10">
        <f ca="1">IFERROR(__xludf.DUMMYFUNCTION("""COMPUTED_VALUE"""),43717.7090765625)</f>
        <v>43717.709076562503</v>
      </c>
      <c r="B364" s="11" t="str">
        <f ca="1">IFERROR(__xludf.DUMMYFUNCTION("""COMPUTED_VALUE"""),"Jimmy Tomazinis")</f>
        <v>Jimmy Tomazinis</v>
      </c>
      <c r="C364" t="str">
        <f ca="1">IFERROR(__xludf.DUMMYFUNCTION("""COMPUTED_VALUE"""),"james.tomazinis@floridadep.gov")</f>
        <v>james.tomazinis@floridadep.gov</v>
      </c>
      <c r="D364" t="str">
        <f ca="1">IFERROR(__xludf.DUMMYFUNCTION("""COMPUTED_VALUE"""),"Stewardship (Aquatic)")</f>
        <v>Stewardship (Aquatic)</v>
      </c>
      <c r="E364" t="str">
        <f ca="1">IFERROR(__xludf.DUMMYFUNCTION("""COMPUTED_VALUE"""),"Guana Dam")</f>
        <v>Guana Dam</v>
      </c>
      <c r="F364" s="13">
        <f ca="1">IFERROR(__xludf.DUMMYFUNCTION("""COMPUTED_VALUE"""),0.33333333333212)</f>
        <v>0.33333333333212001</v>
      </c>
      <c r="G364" s="14">
        <f ca="1">IFERROR(__xludf.DUMMYFUNCTION("""COMPUTED_VALUE"""),33126)</f>
        <v>33126</v>
      </c>
      <c r="H364" t="str">
        <f ca="1">IFERROR(__xludf.DUMMYFUNCTION("""COMPUTED_VALUE"""),"Guana River WQ sites")</f>
        <v>Guana River WQ sites</v>
      </c>
      <c r="I364" s="15">
        <f ca="1">IFERROR(__xludf.DUMMYFUNCTION("""COMPUTED_VALUE"""),0.416666666667879)</f>
        <v>0.41666666666787899</v>
      </c>
      <c r="J364" s="16"/>
      <c r="K364" t="str">
        <f ca="1">IFERROR(__xludf.DUMMYFUNCTION("""COMPUTED_VALUE"""),"Jon Boat FL0484NP DEP06819")</f>
        <v>Jon Boat FL0484NP DEP06819</v>
      </c>
      <c r="M364" t="str">
        <f ca="1">IFERROR(__xludf.DUMMYFUNCTION("""COMPUTED_VALUE"""),"Ford F150 2015 (White) - DEP21448")</f>
        <v>Ford F150 2015 (White) - DEP21448</v>
      </c>
      <c r="N364" t="str">
        <f ca="1">IFERROR(__xludf.DUMMYFUNCTION("""COMPUTED_VALUE"""),"Jimmy Tomazinis, (904) 547-0094")</f>
        <v>Jimmy Tomazinis, (904) 547-0094</v>
      </c>
      <c r="O364" t="str">
        <f ca="1">IFERROR(__xludf.DUMMYFUNCTION("""COMPUTED_VALUE"""),"Jessica Lee")</f>
        <v>Jessica Lee</v>
      </c>
      <c r="P364" t="str">
        <f ca="1">IFERROR(__xludf.DUMMYFUNCTION("""COMPUTED_VALUE"""),"Jimmy")</f>
        <v>Jimmy</v>
      </c>
      <c r="Q364" t="str">
        <f ca="1">IFERROR(__xludf.DUMMYFUNCTION("""COMPUTED_VALUE"""),"Good")</f>
        <v>Good</v>
      </c>
      <c r="R364" t="str">
        <f ca="1">IFERROR(__xludf.DUMMYFUNCTION("""COMPUTED_VALUE"""),"Good")</f>
        <v>Good</v>
      </c>
      <c r="S364" t="str">
        <f ca="1">IFERROR(__xludf.DUMMYFUNCTION("""COMPUTED_VALUE"""),"Good")</f>
        <v>Good</v>
      </c>
      <c r="T364" t="str">
        <f ca="1">IFERROR(__xludf.DUMMYFUNCTION("""COMPUTED_VALUE"""),"Good")</f>
        <v>Good</v>
      </c>
      <c r="U364" t="str">
        <f ca="1">IFERROR(__xludf.DUMMYFUNCTION("""COMPUTED_VALUE"""),"Good")</f>
        <v>Good</v>
      </c>
      <c r="V364" t="str">
        <f ca="1">IFERROR(__xludf.DUMMYFUNCTION("""COMPUTED_VALUE"""),"Good")</f>
        <v>Good</v>
      </c>
      <c r="W364" t="str">
        <f ca="1">IFERROR(__xludf.DUMMYFUNCTION("""COMPUTED_VALUE"""),"Good")</f>
        <v>Good</v>
      </c>
      <c r="X364" t="str">
        <f ca="1">IFERROR(__xludf.DUMMYFUNCTION("""COMPUTED_VALUE"""),"Good")</f>
        <v>Good</v>
      </c>
      <c r="Y364" t="str">
        <f ca="1">IFERROR(__xludf.DUMMYFUNCTION("""COMPUTED_VALUE"""),"Good")</f>
        <v>Good</v>
      </c>
      <c r="Z364" t="str">
        <f ca="1">IFERROR(__xludf.DUMMYFUNCTION("""COMPUTED_VALUE"""),"Good")</f>
        <v>Good</v>
      </c>
      <c r="AA364" t="str">
        <f ca="1">IFERROR(__xludf.DUMMYFUNCTION("""COMPUTED_VALUE"""),"Good")</f>
        <v>Good</v>
      </c>
      <c r="AB364" t="str">
        <f ca="1">IFERROR(__xludf.DUMMYFUNCTION("""COMPUTED_VALUE"""),"Good")</f>
        <v>Good</v>
      </c>
      <c r="AC364" t="str">
        <f ca="1">IFERROR(__xludf.DUMMYFUNCTION("""COMPUTED_VALUE"""),"Good")</f>
        <v>Good</v>
      </c>
      <c r="AE364" s="11"/>
      <c r="AF364" t="str">
        <v>Scott.Eastman@floridadep.gov</v>
      </c>
      <c r="AG364" s="17" t="s">
        <v>21</v>
      </c>
      <c r="AH364" s="12">
        <v>930</v>
      </c>
      <c r="AI364" s="12" t="s">
        <v>1040</v>
      </c>
      <c r="AJ364" s="19" t="s">
        <v>1041</v>
      </c>
      <c r="AK364" s="20" t="str">
        <f>HYPERLINK("https://docs.google.com/document/d/15hEqU8nv3aRpQI8ho-4D11gMDcOtqzF6M5xm45xB7GM/edit?usp=drivesdk","Jimmy Tomazinis - 9/10/1990 8:00 AM")</f>
        <v>Jimmy Tomazinis - 9/10/1990 8:00 AM</v>
      </c>
      <c r="AL364" s="12" t="s">
        <v>1042</v>
      </c>
    </row>
    <row r="365" spans="1:38" ht="12.75">
      <c r="A365" s="10">
        <f ca="1">IFERROR(__xludf.DUMMYFUNCTION("""COMPUTED_VALUE"""),43718.7289914467)</f>
        <v>43718.728991446696</v>
      </c>
      <c r="B365" s="11" t="str">
        <f ca="1">IFERROR(__xludf.DUMMYFUNCTION("""COMPUTED_VALUE"""),"Jimmy Tomazinis")</f>
        <v>Jimmy Tomazinis</v>
      </c>
      <c r="C365" t="str">
        <f ca="1">IFERROR(__xludf.DUMMYFUNCTION("""COMPUTED_VALUE"""),"james.tomazinis@floridadep.gov")</f>
        <v>james.tomazinis@floridadep.gov</v>
      </c>
      <c r="D365" t="str">
        <f ca="1">IFERROR(__xludf.DUMMYFUNCTION("""COMPUTED_VALUE"""),"Stewardship (Aquatic)")</f>
        <v>Stewardship (Aquatic)</v>
      </c>
      <c r="E365" t="str">
        <f ca="1">IFERROR(__xludf.DUMMYFUNCTION("""COMPUTED_VALUE"""),"Dee Dee Bartels and Goffinsville Park")</f>
        <v>Dee Dee Bartels and Goffinsville Park</v>
      </c>
      <c r="F365" s="13">
        <f ca="1">IFERROR(__xludf.DUMMYFUNCTION("""COMPUTED_VALUE"""),0.3125)</f>
        <v>0.3125</v>
      </c>
      <c r="G365" s="14">
        <f ca="1">IFERROR(__xludf.DUMMYFUNCTION("""COMPUTED_VALUE"""),43719)</f>
        <v>43719</v>
      </c>
      <c r="H365" t="str">
        <f ca="1">IFERROR(__xludf.DUMMYFUNCTION("""COMPUTED_VALUE"""),"NEAP Nekton")</f>
        <v>NEAP Nekton</v>
      </c>
      <c r="I365" s="15">
        <f ca="1">IFERROR(__xludf.DUMMYFUNCTION("""COMPUTED_VALUE"""),0.541666666667879)</f>
        <v>0.54166666666787899</v>
      </c>
      <c r="J365" s="16"/>
      <c r="K365" t="str">
        <f ca="1">IFERROR(__xludf.DUMMYFUNCTION("""COMPUTED_VALUE"""),"17ft Skill FL0642GW DEP07239")</f>
        <v>17ft Skill FL0642GW DEP07239</v>
      </c>
      <c r="M365" t="str">
        <f ca="1">IFERROR(__xludf.DUMMYFUNCTION("""COMPUTED_VALUE"""),"Ford F150 2008 - DEP18041 (SWMP Thing)")</f>
        <v>Ford F150 2008 - DEP18041 (SWMP Thing)</v>
      </c>
      <c r="N365" t="str">
        <f ca="1">IFERROR(__xludf.DUMMYFUNCTION("""COMPUTED_VALUE"""),"Jimmy Tomazinis, (904) 547-0094")</f>
        <v>Jimmy Tomazinis, (904) 547-0094</v>
      </c>
      <c r="O365" t="str">
        <f ca="1">IFERROR(__xludf.DUMMYFUNCTION("""COMPUTED_VALUE"""),"Suzi Porterfield")</f>
        <v>Suzi Porterfield</v>
      </c>
      <c r="P365" t="str">
        <f ca="1">IFERROR(__xludf.DUMMYFUNCTION("""COMPUTED_VALUE"""),"Jimmy")</f>
        <v>Jimmy</v>
      </c>
      <c r="Q365" t="str">
        <f ca="1">IFERROR(__xludf.DUMMYFUNCTION("""COMPUTED_VALUE"""),"Good")</f>
        <v>Good</v>
      </c>
      <c r="R365" t="str">
        <f ca="1">IFERROR(__xludf.DUMMYFUNCTION("""COMPUTED_VALUE"""),"Good")</f>
        <v>Good</v>
      </c>
      <c r="S365" t="str">
        <f ca="1">IFERROR(__xludf.DUMMYFUNCTION("""COMPUTED_VALUE"""),"Good")</f>
        <v>Good</v>
      </c>
      <c r="T365" t="str">
        <f ca="1">IFERROR(__xludf.DUMMYFUNCTION("""COMPUTED_VALUE"""),"Good")</f>
        <v>Good</v>
      </c>
      <c r="U365" t="str">
        <f ca="1">IFERROR(__xludf.DUMMYFUNCTION("""COMPUTED_VALUE"""),"Good")</f>
        <v>Good</v>
      </c>
      <c r="V365" t="str">
        <f ca="1">IFERROR(__xludf.DUMMYFUNCTION("""COMPUTED_VALUE"""),"Good")</f>
        <v>Good</v>
      </c>
      <c r="W365" t="str">
        <f ca="1">IFERROR(__xludf.DUMMYFUNCTION("""COMPUTED_VALUE"""),"Good")</f>
        <v>Good</v>
      </c>
      <c r="X365" t="str">
        <f ca="1">IFERROR(__xludf.DUMMYFUNCTION("""COMPUTED_VALUE"""),"Good")</f>
        <v>Good</v>
      </c>
      <c r="Y365" t="str">
        <f ca="1">IFERROR(__xludf.DUMMYFUNCTION("""COMPUTED_VALUE"""),"Good")</f>
        <v>Good</v>
      </c>
      <c r="Z365" t="str">
        <f ca="1">IFERROR(__xludf.DUMMYFUNCTION("""COMPUTED_VALUE"""),"Good")</f>
        <v>Good</v>
      </c>
      <c r="AA365" t="str">
        <f ca="1">IFERROR(__xludf.DUMMYFUNCTION("""COMPUTED_VALUE"""),"Good")</f>
        <v>Good</v>
      </c>
      <c r="AB365" t="str">
        <f ca="1">IFERROR(__xludf.DUMMYFUNCTION("""COMPUTED_VALUE"""),"Good")</f>
        <v>Good</v>
      </c>
      <c r="AC365" t="str">
        <f ca="1">IFERROR(__xludf.DUMMYFUNCTION("""COMPUTED_VALUE"""),"Good")</f>
        <v>Good</v>
      </c>
      <c r="AE365" s="11"/>
      <c r="AF365" t="str">
        <v>Scott.Eastman@floridadep.gov</v>
      </c>
      <c r="AG365" s="17" t="s">
        <v>17</v>
      </c>
      <c r="AH365" s="12">
        <v>1540</v>
      </c>
      <c r="AI365" s="12" t="s">
        <v>1043</v>
      </c>
      <c r="AJ365" s="19" t="s">
        <v>1044</v>
      </c>
      <c r="AK365" s="20" t="str">
        <f>HYPERLINK("https://docs.google.com/document/d/14fkCLW9hj_7t4_UA1zwCoY5Xee29jCtOYN7O8CObxMM/edit?usp=drivesdk","Jimmy Tomazinis - 9/11/2019 7:30 AM")</f>
        <v>Jimmy Tomazinis - 9/11/2019 7:30 AM</v>
      </c>
      <c r="AL365" s="12" t="s">
        <v>1045</v>
      </c>
    </row>
    <row r="366" spans="1:38" ht="12.75">
      <c r="A366" s="10">
        <f ca="1">IFERROR(__xludf.DUMMYFUNCTION("""COMPUTED_VALUE"""),43719.2789330902)</f>
        <v>43719.278933090201</v>
      </c>
      <c r="B366" s="11" t="str">
        <f ca="1">IFERROR(__xludf.DUMMYFUNCTION("""COMPUTED_VALUE"""),"Silas Tanner")</f>
        <v>Silas Tanner</v>
      </c>
      <c r="C366" t="str">
        <f ca="1">IFERROR(__xludf.DUMMYFUNCTION("""COMPUTED_VALUE"""),"silas.tanner@flordiadep.gov")</f>
        <v>silas.tanner@flordiadep.gov</v>
      </c>
      <c r="D366" t="str">
        <f ca="1">IFERROR(__xludf.DUMMYFUNCTION("""COMPUTED_VALUE"""),"Research/Nikki")</f>
        <v>Research/Nikki</v>
      </c>
      <c r="E366" t="str">
        <f ca="1">IFERROR(__xludf.DUMMYFUNCTION("""COMPUTED_VALUE"""),"Vilano")</f>
        <v>Vilano</v>
      </c>
      <c r="F366" s="13">
        <f ca="1">IFERROR(__xludf.DUMMYFUNCTION("""COMPUTED_VALUE"""),0.291666666667879)</f>
        <v>0.29166666666787899</v>
      </c>
      <c r="G366" s="14">
        <f ca="1">IFERROR(__xludf.DUMMYFUNCTION("""COMPUTED_VALUE"""),43719)</f>
        <v>43719</v>
      </c>
      <c r="H366" t="str">
        <f ca="1">IFERROR(__xludf.DUMMYFUNCTION("""COMPUTED_VALUE"""),"ICW Swamp Sites")</f>
        <v>ICW Swamp Sites</v>
      </c>
      <c r="I366" s="15">
        <f ca="1">IFERROR(__xludf.DUMMYFUNCTION("""COMPUTED_VALUE"""),0.0208333333321206)</f>
        <v>2.0833333332120601E-2</v>
      </c>
      <c r="J366" s="16">
        <f ca="1">IFERROR(__xludf.DUMMYFUNCTION("""COMPUTED_VALUE"""),43719.0416666666)</f>
        <v>43719.041666666599</v>
      </c>
      <c r="K366" t="str">
        <f ca="1">IFERROR(__xludf.DUMMYFUNCTION("""COMPUTED_VALUE"""),"23ft Skiff (Bertha) FL7972LJ DEP07613")</f>
        <v>23ft Skiff (Bertha) FL7972LJ DEP07613</v>
      </c>
      <c r="M366" t="str">
        <f ca="1">IFERROR(__xludf.DUMMYFUNCTION("""COMPUTED_VALUE"""),"Ford F250 2017 (Moby Dix) - DEP0021578")</f>
        <v>Ford F250 2017 (Moby Dix) - DEP0021578</v>
      </c>
      <c r="N366" t="str">
        <f ca="1">IFERROR(__xludf.DUMMYFUNCTION("""COMPUTED_VALUE"""),"Silas Tanner, (904) 483-8423")</f>
        <v>Silas Tanner, (904) 483-8423</v>
      </c>
      <c r="O366" t="str">
        <f ca="1">IFERROR(__xludf.DUMMYFUNCTION("""COMPUTED_VALUE"""),"Alee knoell, Jeff finnan")</f>
        <v>Alee knoell, Jeff finnan</v>
      </c>
      <c r="P366" t="str">
        <f ca="1">IFERROR(__xludf.DUMMYFUNCTION("""COMPUTED_VALUE"""),"Silas tanner")</f>
        <v>Silas tanner</v>
      </c>
      <c r="Q366" t="str">
        <f ca="1">IFERROR(__xludf.DUMMYFUNCTION("""COMPUTED_VALUE"""),"Good")</f>
        <v>Good</v>
      </c>
      <c r="R366" t="str">
        <f ca="1">IFERROR(__xludf.DUMMYFUNCTION("""COMPUTED_VALUE"""),"Good")</f>
        <v>Good</v>
      </c>
      <c r="S366" t="str">
        <f ca="1">IFERROR(__xludf.DUMMYFUNCTION("""COMPUTED_VALUE"""),"Good")</f>
        <v>Good</v>
      </c>
      <c r="T366" t="str">
        <f ca="1">IFERROR(__xludf.DUMMYFUNCTION("""COMPUTED_VALUE"""),"Good")</f>
        <v>Good</v>
      </c>
      <c r="U366" t="str">
        <f ca="1">IFERROR(__xludf.DUMMYFUNCTION("""COMPUTED_VALUE"""),"Good")</f>
        <v>Good</v>
      </c>
      <c r="V366" t="str">
        <f ca="1">IFERROR(__xludf.DUMMYFUNCTION("""COMPUTED_VALUE"""),"Good")</f>
        <v>Good</v>
      </c>
      <c r="W366" t="str">
        <f ca="1">IFERROR(__xludf.DUMMYFUNCTION("""COMPUTED_VALUE"""),"Good")</f>
        <v>Good</v>
      </c>
      <c r="X366" t="str">
        <f ca="1">IFERROR(__xludf.DUMMYFUNCTION("""COMPUTED_VALUE"""),"Good")</f>
        <v>Good</v>
      </c>
      <c r="Y366" t="str">
        <f ca="1">IFERROR(__xludf.DUMMYFUNCTION("""COMPUTED_VALUE"""),"Good")</f>
        <v>Good</v>
      </c>
      <c r="Z366" t="str">
        <f ca="1">IFERROR(__xludf.DUMMYFUNCTION("""COMPUTED_VALUE"""),"Good")</f>
        <v>Good</v>
      </c>
      <c r="AA366" t="str">
        <f ca="1">IFERROR(__xludf.DUMMYFUNCTION("""COMPUTED_VALUE"""),"Good")</f>
        <v>Good</v>
      </c>
      <c r="AB366" t="str">
        <f ca="1">IFERROR(__xludf.DUMMYFUNCTION("""COMPUTED_VALUE"""),"Good")</f>
        <v>Good</v>
      </c>
      <c r="AC366" t="str">
        <f ca="1">IFERROR(__xludf.DUMMYFUNCTION("""COMPUTED_VALUE"""),"Good")</f>
        <v>Good</v>
      </c>
      <c r="AE366" s="11"/>
      <c r="AF366" t="str">
        <v>Nikki.Dix@floridadep.gov</v>
      </c>
      <c r="AG366" s="17" t="s">
        <v>17</v>
      </c>
      <c r="AH366" s="12">
        <v>1105</v>
      </c>
      <c r="AI366" s="12" t="s">
        <v>1046</v>
      </c>
      <c r="AJ366" s="19" t="s">
        <v>1047</v>
      </c>
      <c r="AK366" s="20" t="str">
        <f>HYPERLINK("https://docs.google.com/document/d/1PicdNXXQZ-9U5WxAltsBvLegzKfGcnA5Rh_W_l0A7Ss/edit?usp=drivesdk","Silas Tanner - 9/11/2019 7:00 AM")</f>
        <v>Silas Tanner - 9/11/2019 7:00 AM</v>
      </c>
      <c r="AL366" s="12" t="s">
        <v>1048</v>
      </c>
    </row>
    <row r="367" spans="1:38" ht="12.75">
      <c r="A367" s="10">
        <f ca="1">IFERROR(__xludf.DUMMYFUNCTION("""COMPUTED_VALUE"""),43724.2683099652)</f>
        <v>43724.268309965199</v>
      </c>
      <c r="B367" s="11" t="str">
        <f ca="1">IFERROR(__xludf.DUMMYFUNCTION("""COMPUTED_VALUE"""),"Pamela Marcum")</f>
        <v>Pamela Marcum</v>
      </c>
      <c r="C367" t="str">
        <f ca="1">IFERROR(__xludf.DUMMYFUNCTION("""COMPUTED_VALUE"""),"Pamela.Marcum@floridadep.gov")</f>
        <v>Pamela.Marcum@floridadep.gov</v>
      </c>
      <c r="D367" t="str">
        <f ca="1">IFERROR(__xludf.DUMMYFUNCTION("""COMPUTED_VALUE"""),"Research/Nikki")</f>
        <v>Research/Nikki</v>
      </c>
      <c r="E367" t="str">
        <f ca="1">IFERROR(__xludf.DUMMYFUNCTION("""COMPUTED_VALUE"""),"Faver-Dykes")</f>
        <v>Faver-Dykes</v>
      </c>
      <c r="F367" s="13">
        <f ca="1">IFERROR(__xludf.DUMMYFUNCTION("""COMPUTED_VALUE"""),0.3125)</f>
        <v>0.3125</v>
      </c>
      <c r="G367" s="14">
        <f ca="1">IFERROR(__xludf.DUMMYFUNCTION("""COMPUTED_VALUE"""),43724)</f>
        <v>43724</v>
      </c>
      <c r="H367" t="str">
        <f ca="1">IFERROR(__xludf.DUMMYFUNCTION("""COMPUTED_VALUE"""),"Pellicer Creek")</f>
        <v>Pellicer Creek</v>
      </c>
      <c r="I367" s="15">
        <f ca="1">IFERROR(__xludf.DUMMYFUNCTION("""COMPUTED_VALUE"""),0.58333333333212)</f>
        <v>0.58333333333212001</v>
      </c>
      <c r="J367" s="16">
        <f ca="1">IFERROR(__xludf.DUMMYFUNCTION("""COMPUTED_VALUE"""),43724.625)</f>
        <v>43724.625</v>
      </c>
      <c r="K367" t="str">
        <f ca="1">IFERROR(__xludf.DUMMYFUNCTION("""COMPUTED_VALUE"""),"17ft Skill FL0642GW DEP07239")</f>
        <v>17ft Skill FL0642GW DEP07239</v>
      </c>
      <c r="M367" t="str">
        <f ca="1">IFERROR(__xludf.DUMMYFUNCTION("""COMPUTED_VALUE"""),"Ford F150 2008 - DEP18041 (SWMP Thing)")</f>
        <v>Ford F150 2008 - DEP18041 (SWMP Thing)</v>
      </c>
      <c r="N367" t="str">
        <f ca="1">IFERROR(__xludf.DUMMYFUNCTION("""COMPUTED_VALUE"""),"Pam Marcum, (480) 332-5414")</f>
        <v>Pam Marcum, (480) 332-5414</v>
      </c>
      <c r="O367" t="str">
        <f ca="1">IFERROR(__xludf.DUMMYFUNCTION("""COMPUTED_VALUE"""),"Jay Leighton")</f>
        <v>Jay Leighton</v>
      </c>
      <c r="P367" t="str">
        <f ca="1">IFERROR(__xludf.DUMMYFUNCTION("""COMPUTED_VALUE"""),"Pam")</f>
        <v>Pam</v>
      </c>
      <c r="Q367" t="str">
        <f ca="1">IFERROR(__xludf.DUMMYFUNCTION("""COMPUTED_VALUE"""),"Good")</f>
        <v>Good</v>
      </c>
      <c r="R367" t="str">
        <f ca="1">IFERROR(__xludf.DUMMYFUNCTION("""COMPUTED_VALUE"""),"Good")</f>
        <v>Good</v>
      </c>
      <c r="S367" t="str">
        <f ca="1">IFERROR(__xludf.DUMMYFUNCTION("""COMPUTED_VALUE"""),"Good")</f>
        <v>Good</v>
      </c>
      <c r="T367" t="str">
        <f ca="1">IFERROR(__xludf.DUMMYFUNCTION("""COMPUTED_VALUE"""),"Good")</f>
        <v>Good</v>
      </c>
      <c r="U367" t="str">
        <f ca="1">IFERROR(__xludf.DUMMYFUNCTION("""COMPUTED_VALUE"""),"Good")</f>
        <v>Good</v>
      </c>
      <c r="V367" t="str">
        <f ca="1">IFERROR(__xludf.DUMMYFUNCTION("""COMPUTED_VALUE"""),"Good")</f>
        <v>Good</v>
      </c>
      <c r="W367" t="str">
        <f ca="1">IFERROR(__xludf.DUMMYFUNCTION("""COMPUTED_VALUE"""),"Good")</f>
        <v>Good</v>
      </c>
      <c r="X367" t="str">
        <f ca="1">IFERROR(__xludf.DUMMYFUNCTION("""COMPUTED_VALUE"""),"Good")</f>
        <v>Good</v>
      </c>
      <c r="Y367" t="str">
        <f ca="1">IFERROR(__xludf.DUMMYFUNCTION("""COMPUTED_VALUE"""),"Good")</f>
        <v>Good</v>
      </c>
      <c r="Z367" t="str">
        <f ca="1">IFERROR(__xludf.DUMMYFUNCTION("""COMPUTED_VALUE"""),"Good")</f>
        <v>Good</v>
      </c>
      <c r="AA367" t="str">
        <f ca="1">IFERROR(__xludf.DUMMYFUNCTION("""COMPUTED_VALUE"""),"Good")</f>
        <v>Good</v>
      </c>
      <c r="AB367" t="str">
        <f ca="1">IFERROR(__xludf.DUMMYFUNCTION("""COMPUTED_VALUE"""),"Good")</f>
        <v>Good</v>
      </c>
      <c r="AC367" t="str">
        <f ca="1">IFERROR(__xludf.DUMMYFUNCTION("""COMPUTED_VALUE"""),"Good")</f>
        <v>Good</v>
      </c>
      <c r="AE367" s="11"/>
      <c r="AF367" t="str">
        <v>Nikki.Dix@floridadep.gov</v>
      </c>
      <c r="AG367" s="17" t="s">
        <v>17</v>
      </c>
      <c r="AH367" s="12">
        <v>1130</v>
      </c>
      <c r="AI367" s="12" t="s">
        <v>1049</v>
      </c>
      <c r="AJ367" s="19" t="s">
        <v>1050</v>
      </c>
      <c r="AK367" s="20" t="str">
        <f>HYPERLINK("https://docs.google.com/document/d/113DLTrCCyaw_Y3on57xBfNQ45zZm907eJeve6z6J0rk/edit?usp=drivesdk","Pamela Marcum - 9/16/2019 7:30 AM")</f>
        <v>Pamela Marcum - 9/16/2019 7:30 AM</v>
      </c>
      <c r="AL367" s="12" t="s">
        <v>1051</v>
      </c>
    </row>
    <row r="368" spans="1:38" ht="12.75">
      <c r="A368" s="10">
        <f ca="1">IFERROR(__xludf.DUMMYFUNCTION("""COMPUTED_VALUE"""),43724.6874751967)</f>
        <v>43724.687475196697</v>
      </c>
      <c r="B368" s="11" t="str">
        <f ca="1">IFERROR(__xludf.DUMMYFUNCTION("""COMPUTED_VALUE"""),"Jimmy Tomazinis")</f>
        <v>Jimmy Tomazinis</v>
      </c>
      <c r="C368" t="str">
        <f ca="1">IFERROR(__xludf.DUMMYFUNCTION("""COMPUTED_VALUE"""),"james.tomazinis@floridadep.gov")</f>
        <v>james.tomazinis@floridadep.gov</v>
      </c>
      <c r="D368" t="str">
        <f ca="1">IFERROR(__xludf.DUMMYFUNCTION("""COMPUTED_VALUE"""),"Stewardship (Aquatic)")</f>
        <v>Stewardship (Aquatic)</v>
      </c>
      <c r="E368" t="str">
        <f ca="1">IFERROR(__xludf.DUMMYFUNCTION("""COMPUTED_VALUE"""),"Vilano")</f>
        <v>Vilano</v>
      </c>
      <c r="F368" s="13">
        <f ca="1">IFERROR(__xludf.DUMMYFUNCTION("""COMPUTED_VALUE"""),0.385416666667879)</f>
        <v>0.38541666666787899</v>
      </c>
      <c r="G368" s="14">
        <f ca="1">IFERROR(__xludf.DUMMYFUNCTION("""COMPUTED_VALUE"""),33133)</f>
        <v>33133</v>
      </c>
      <c r="H368" t="str">
        <f ca="1">IFERROR(__xludf.DUMMYFUNCTION("""COMPUTED_VALUE"""),"Tolomato Nekton sites")</f>
        <v>Tolomato Nekton sites</v>
      </c>
      <c r="I368" s="15">
        <f ca="1">IFERROR(__xludf.DUMMYFUNCTION("""COMPUTED_VALUE"""),0.666666666667879)</f>
        <v>0.66666666666787899</v>
      </c>
      <c r="J368" s="16"/>
      <c r="K368" t="str">
        <f ca="1">IFERROR(__xludf.DUMMYFUNCTION("""COMPUTED_VALUE"""),"23ft Skiff (Bertha) FL7972LJ DEP07613")</f>
        <v>23ft Skiff (Bertha) FL7972LJ DEP07613</v>
      </c>
      <c r="M368" t="str">
        <f ca="1">IFERROR(__xludf.DUMMYFUNCTION("""COMPUTED_VALUE"""),"Ford F150 2015 (White) - DEP21448")</f>
        <v>Ford F150 2015 (White) - DEP21448</v>
      </c>
      <c r="N368" t="str">
        <f ca="1">IFERROR(__xludf.DUMMYFUNCTION("""COMPUTED_VALUE"""),"Jimmy Tomazinis, (904) 547-0094")</f>
        <v>Jimmy Tomazinis, (904) 547-0094</v>
      </c>
      <c r="O368" t="str">
        <f ca="1">IFERROR(__xludf.DUMMYFUNCTION("""COMPUTED_VALUE"""),"Ed, Diane, Jackie, Jeff")</f>
        <v>Ed, Diane, Jackie, Jeff</v>
      </c>
      <c r="P368" t="str">
        <f ca="1">IFERROR(__xludf.DUMMYFUNCTION("""COMPUTED_VALUE"""),"Jimmy")</f>
        <v>Jimmy</v>
      </c>
      <c r="Q368" t="str">
        <f ca="1">IFERROR(__xludf.DUMMYFUNCTION("""COMPUTED_VALUE"""),"Good")</f>
        <v>Good</v>
      </c>
      <c r="R368" t="str">
        <f ca="1">IFERROR(__xludf.DUMMYFUNCTION("""COMPUTED_VALUE"""),"Good")</f>
        <v>Good</v>
      </c>
      <c r="S368" t="str">
        <f ca="1">IFERROR(__xludf.DUMMYFUNCTION("""COMPUTED_VALUE"""),"Good")</f>
        <v>Good</v>
      </c>
      <c r="T368" t="str">
        <f ca="1">IFERROR(__xludf.DUMMYFUNCTION("""COMPUTED_VALUE"""),"Good")</f>
        <v>Good</v>
      </c>
      <c r="U368" t="str">
        <f ca="1">IFERROR(__xludf.DUMMYFUNCTION("""COMPUTED_VALUE"""),"Good")</f>
        <v>Good</v>
      </c>
      <c r="V368" t="str">
        <f ca="1">IFERROR(__xludf.DUMMYFUNCTION("""COMPUTED_VALUE"""),"Good")</f>
        <v>Good</v>
      </c>
      <c r="W368" t="str">
        <f ca="1">IFERROR(__xludf.DUMMYFUNCTION("""COMPUTED_VALUE"""),"Good")</f>
        <v>Good</v>
      </c>
      <c r="X368" t="str">
        <f ca="1">IFERROR(__xludf.DUMMYFUNCTION("""COMPUTED_VALUE"""),"Good")</f>
        <v>Good</v>
      </c>
      <c r="Y368" t="str">
        <f ca="1">IFERROR(__xludf.DUMMYFUNCTION("""COMPUTED_VALUE"""),"Good")</f>
        <v>Good</v>
      </c>
      <c r="Z368" t="str">
        <f ca="1">IFERROR(__xludf.DUMMYFUNCTION("""COMPUTED_VALUE"""),"Good")</f>
        <v>Good</v>
      </c>
      <c r="AA368" t="str">
        <f ca="1">IFERROR(__xludf.DUMMYFUNCTION("""COMPUTED_VALUE"""),"Good")</f>
        <v>Good</v>
      </c>
      <c r="AB368" t="str">
        <f ca="1">IFERROR(__xludf.DUMMYFUNCTION("""COMPUTED_VALUE"""),"Good")</f>
        <v>Good</v>
      </c>
      <c r="AC368" t="str">
        <f ca="1">IFERROR(__xludf.DUMMYFUNCTION("""COMPUTED_VALUE"""),"Good")</f>
        <v>Good</v>
      </c>
      <c r="AE368" s="11"/>
      <c r="AF368" t="str">
        <v>Scott.Eastman@floridadep.gov</v>
      </c>
      <c r="AG368" s="17" t="s">
        <v>17</v>
      </c>
      <c r="AH368" s="12">
        <v>1635</v>
      </c>
      <c r="AI368" s="12" t="s">
        <v>1052</v>
      </c>
      <c r="AJ368" s="19" t="s">
        <v>1053</v>
      </c>
      <c r="AK368" s="20" t="str">
        <f>HYPERLINK("https://docs.google.com/document/d/1llt-6l9NzJX6gjQSBbMbdkVYI69LprJx27c3azv2kbo/edit?usp=drivesdk","Jimmy Tomazinis - 9/17/1990 9:15 AM")</f>
        <v>Jimmy Tomazinis - 9/17/1990 9:15 AM</v>
      </c>
      <c r="AL368" s="12" t="s">
        <v>1054</v>
      </c>
    </row>
    <row r="369" spans="1:38" ht="12.75">
      <c r="A369" s="10">
        <f ca="1">IFERROR(__xludf.DUMMYFUNCTION("""COMPUTED_VALUE"""),43725.3108275115)</f>
        <v>43725.310827511501</v>
      </c>
      <c r="B369" s="11" t="str">
        <f ca="1">IFERROR(__xludf.DUMMYFUNCTION("""COMPUTED_VALUE"""),"Pamela Marcum")</f>
        <v>Pamela Marcum</v>
      </c>
      <c r="C369" t="str">
        <f ca="1">IFERROR(__xludf.DUMMYFUNCTION("""COMPUTED_VALUE"""),"Pamela.Marcum@floridadep.gov")</f>
        <v>Pamela.Marcum@floridadep.gov</v>
      </c>
      <c r="D369" t="str">
        <f ca="1">IFERROR(__xludf.DUMMYFUNCTION("""COMPUTED_VALUE"""),"Research/Nikki")</f>
        <v>Research/Nikki</v>
      </c>
      <c r="E369" t="str">
        <f ca="1">IFERROR(__xludf.DUMMYFUNCTION("""COMPUTED_VALUE"""),"Faver dykes")</f>
        <v>Faver dykes</v>
      </c>
      <c r="F369" s="13">
        <f ca="1">IFERROR(__xludf.DUMMYFUNCTION("""COMPUTED_VALUE"""),0.30208333333212)</f>
        <v>0.30208333333212001</v>
      </c>
      <c r="G369" s="14">
        <f ca="1">IFERROR(__xludf.DUMMYFUNCTION("""COMPUTED_VALUE"""),43725)</f>
        <v>43725</v>
      </c>
      <c r="H369" t="str">
        <f ca="1">IFERROR(__xludf.DUMMYFUNCTION("""COMPUTED_VALUE"""),"Pellicer Creek")</f>
        <v>Pellicer Creek</v>
      </c>
      <c r="I369" s="15">
        <f ca="1">IFERROR(__xludf.DUMMYFUNCTION("""COMPUTED_VALUE"""),0.541666666667879)</f>
        <v>0.54166666666787899</v>
      </c>
      <c r="J369" s="16">
        <f ca="1">IFERROR(__xludf.DUMMYFUNCTION("""COMPUTED_VALUE"""),43725.6041666666)</f>
        <v>43725.604166666599</v>
      </c>
      <c r="K369" t="str">
        <f ca="1">IFERROR(__xludf.DUMMYFUNCTION("""COMPUTED_VALUE"""),"17ft Skill FL0642GW DEP07239")</f>
        <v>17ft Skill FL0642GW DEP07239</v>
      </c>
      <c r="M369" t="str">
        <f ca="1">IFERROR(__xludf.DUMMYFUNCTION("""COMPUTED_VALUE"""),"Ford F150 2008 - DEP18041 (SWMP Thing)")</f>
        <v>Ford F150 2008 - DEP18041 (SWMP Thing)</v>
      </c>
      <c r="N369" t="str">
        <f ca="1">IFERROR(__xludf.DUMMYFUNCTION("""COMPUTED_VALUE"""),"Pam Marcum, (480) 332-5414, Remo Mondazzi")</f>
        <v>Pam Marcum, (480) 332-5414, Remo Mondazzi</v>
      </c>
      <c r="P369" t="str">
        <f ca="1">IFERROR(__xludf.DUMMYFUNCTION("""COMPUTED_VALUE"""),"Pam")</f>
        <v>Pam</v>
      </c>
      <c r="Q369" t="str">
        <f ca="1">IFERROR(__xludf.DUMMYFUNCTION("""COMPUTED_VALUE"""),"Good")</f>
        <v>Good</v>
      </c>
      <c r="R369" t="str">
        <f ca="1">IFERROR(__xludf.DUMMYFUNCTION("""COMPUTED_VALUE"""),"Good")</f>
        <v>Good</v>
      </c>
      <c r="S369" t="str">
        <f ca="1">IFERROR(__xludf.DUMMYFUNCTION("""COMPUTED_VALUE"""),"Good")</f>
        <v>Good</v>
      </c>
      <c r="T369" t="str">
        <f ca="1">IFERROR(__xludf.DUMMYFUNCTION("""COMPUTED_VALUE"""),"Good")</f>
        <v>Good</v>
      </c>
      <c r="U369" t="str">
        <f ca="1">IFERROR(__xludf.DUMMYFUNCTION("""COMPUTED_VALUE"""),"Good")</f>
        <v>Good</v>
      </c>
      <c r="V369" t="str">
        <f ca="1">IFERROR(__xludf.DUMMYFUNCTION("""COMPUTED_VALUE"""),"Good")</f>
        <v>Good</v>
      </c>
      <c r="W369" t="str">
        <f ca="1">IFERROR(__xludf.DUMMYFUNCTION("""COMPUTED_VALUE"""),"Good")</f>
        <v>Good</v>
      </c>
      <c r="X369" t="str">
        <f ca="1">IFERROR(__xludf.DUMMYFUNCTION("""COMPUTED_VALUE"""),"Good")</f>
        <v>Good</v>
      </c>
      <c r="Y369" t="str">
        <f ca="1">IFERROR(__xludf.DUMMYFUNCTION("""COMPUTED_VALUE"""),"Good")</f>
        <v>Good</v>
      </c>
      <c r="Z369" t="str">
        <f ca="1">IFERROR(__xludf.DUMMYFUNCTION("""COMPUTED_VALUE"""),"Good")</f>
        <v>Good</v>
      </c>
      <c r="AA369" t="str">
        <f ca="1">IFERROR(__xludf.DUMMYFUNCTION("""COMPUTED_VALUE"""),"Good")</f>
        <v>Good</v>
      </c>
      <c r="AB369" t="str">
        <f ca="1">IFERROR(__xludf.DUMMYFUNCTION("""COMPUTED_VALUE"""),"Good")</f>
        <v>Good</v>
      </c>
      <c r="AC369" t="str">
        <f ca="1">IFERROR(__xludf.DUMMYFUNCTION("""COMPUTED_VALUE"""),"Good")</f>
        <v>Good</v>
      </c>
      <c r="AE369" s="11"/>
      <c r="AF369" t="str">
        <v>Nikki.Dix@floridadep.gov</v>
      </c>
      <c r="AG369" s="17" t="s">
        <v>58</v>
      </c>
      <c r="AH369" s="12">
        <v>1200</v>
      </c>
      <c r="AI369" s="12" t="s">
        <v>1055</v>
      </c>
      <c r="AJ369" s="19" t="s">
        <v>1056</v>
      </c>
      <c r="AK369" s="20" t="str">
        <f>HYPERLINK("https://docs.google.com/document/d/1CvkBjFbxX2vq9UR6Nu2rTcNsfr1a8UDMyRu0D7wuXhg/edit?usp=drivesdk","Pamela Marcum - 9/17/2019 7:15 AM")</f>
        <v>Pamela Marcum - 9/17/2019 7:15 AM</v>
      </c>
      <c r="AL369" s="12" t="s">
        <v>1057</v>
      </c>
    </row>
    <row r="370" spans="1:38" ht="12.75">
      <c r="A370" s="10">
        <f ca="1">IFERROR(__xludf.DUMMYFUNCTION("""COMPUTED_VALUE"""),43725.4155145023)</f>
        <v>43725.415514502303</v>
      </c>
      <c r="B370" s="11" t="str">
        <f ca="1">IFERROR(__xludf.DUMMYFUNCTION("""COMPUTED_VALUE"""),"Shannon Dunnigan")</f>
        <v>Shannon Dunnigan</v>
      </c>
      <c r="C370" t="str">
        <f ca="1">IFERROR(__xludf.DUMMYFUNCTION("""COMPUTED_VALUE"""),"shannon.dunnigan@dep.state.fl.us")</f>
        <v>shannon.dunnigan@dep.state.fl.us</v>
      </c>
      <c r="D370" t="str">
        <f ca="1">IFERROR(__xludf.DUMMYFUNCTION("""COMPUTED_VALUE"""),"Research/Nikki")</f>
        <v>Research/Nikki</v>
      </c>
      <c r="E370" t="str">
        <f ca="1">IFERROR(__xludf.DUMMYFUNCTION("""COMPUTED_VALUE"""),"Faver-Dykes")</f>
        <v>Faver-Dykes</v>
      </c>
      <c r="F370" s="13">
        <f ca="1">IFERROR(__xludf.DUMMYFUNCTION("""COMPUTED_VALUE"""),0.42708333333212)</f>
        <v>0.42708333333212001</v>
      </c>
      <c r="G370" s="14">
        <f ca="1">IFERROR(__xludf.DUMMYFUNCTION("""COMPUTED_VALUE"""),43725)</f>
        <v>43725</v>
      </c>
      <c r="H370" t="str">
        <f ca="1">IFERROR(__xludf.DUMMYFUNCTION("""COMPUTED_VALUE"""),"Pellicer flats")</f>
        <v>Pellicer flats</v>
      </c>
      <c r="I370" s="15">
        <f ca="1">IFERROR(__xludf.DUMMYFUNCTION("""COMPUTED_VALUE"""),0.541666666667879)</f>
        <v>0.54166666666787899</v>
      </c>
      <c r="J370" s="16">
        <f ca="1">IFERROR(__xludf.DUMMYFUNCTION("""COMPUTED_VALUE"""),43725.625)</f>
        <v>43725.625</v>
      </c>
      <c r="K370" t="str">
        <f ca="1">IFERROR(__xludf.DUMMYFUNCTION("""COMPUTED_VALUE"""),"20ft Sea Ark FL5351SJ UNF 2015")</f>
        <v>20ft Sea Ark FL5351SJ UNF 2015</v>
      </c>
      <c r="M370" t="str">
        <f ca="1">IFERROR(__xludf.DUMMYFUNCTION("""COMPUTED_VALUE"""),"Ford F250 2017 (Moby Dix) - DEP0021578")</f>
        <v>Ford F250 2017 (Moby Dix) - DEP0021578</v>
      </c>
      <c r="N370" t="str">
        <f ca="1">IFERROR(__xludf.DUMMYFUNCTION("""COMPUTED_VALUE"""),"Shannon Dunnigan, (803) 727-5734, Silas Tanner, (904) 483-8423")</f>
        <v>Shannon Dunnigan, (803) 727-5734, Silas Tanner, (904) 483-8423</v>
      </c>
      <c r="O370" t="str">
        <f ca="1">IFERROR(__xludf.DUMMYFUNCTION("""COMPUTED_VALUE"""),"Casey McClure")</f>
        <v>Casey McClure</v>
      </c>
      <c r="P370" t="str">
        <f ca="1">IFERROR(__xludf.DUMMYFUNCTION("""COMPUTED_VALUE"""),"Shannon")</f>
        <v>Shannon</v>
      </c>
      <c r="Q370" t="str">
        <f ca="1">IFERROR(__xludf.DUMMYFUNCTION("""COMPUTED_VALUE"""),"Good")</f>
        <v>Good</v>
      </c>
      <c r="R370" t="str">
        <f ca="1">IFERROR(__xludf.DUMMYFUNCTION("""COMPUTED_VALUE"""),"Good")</f>
        <v>Good</v>
      </c>
      <c r="S370" t="str">
        <f ca="1">IFERROR(__xludf.DUMMYFUNCTION("""COMPUTED_VALUE"""),"Good")</f>
        <v>Good</v>
      </c>
      <c r="T370" t="str">
        <f ca="1">IFERROR(__xludf.DUMMYFUNCTION("""COMPUTED_VALUE"""),"Good")</f>
        <v>Good</v>
      </c>
      <c r="U370" t="str">
        <f ca="1">IFERROR(__xludf.DUMMYFUNCTION("""COMPUTED_VALUE"""),"Good")</f>
        <v>Good</v>
      </c>
      <c r="V370" t="str">
        <f ca="1">IFERROR(__xludf.DUMMYFUNCTION("""COMPUTED_VALUE"""),"Good")</f>
        <v>Good</v>
      </c>
      <c r="W370" t="str">
        <f ca="1">IFERROR(__xludf.DUMMYFUNCTION("""COMPUTED_VALUE"""),"Good")</f>
        <v>Good</v>
      </c>
      <c r="X370" t="str">
        <f ca="1">IFERROR(__xludf.DUMMYFUNCTION("""COMPUTED_VALUE"""),"Good")</f>
        <v>Good</v>
      </c>
      <c r="Y370" t="str">
        <f ca="1">IFERROR(__xludf.DUMMYFUNCTION("""COMPUTED_VALUE"""),"Good")</f>
        <v>Good</v>
      </c>
      <c r="Z370" t="str">
        <f ca="1">IFERROR(__xludf.DUMMYFUNCTION("""COMPUTED_VALUE"""),"Good")</f>
        <v>Good</v>
      </c>
      <c r="AA370" t="str">
        <f ca="1">IFERROR(__xludf.DUMMYFUNCTION("""COMPUTED_VALUE"""),"Good")</f>
        <v>Good</v>
      </c>
      <c r="AB370" t="str">
        <f ca="1">IFERROR(__xludf.DUMMYFUNCTION("""COMPUTED_VALUE"""),"Good")</f>
        <v>Good</v>
      </c>
      <c r="AC370" t="str">
        <f ca="1">IFERROR(__xludf.DUMMYFUNCTION("""COMPUTED_VALUE"""),"Good")</f>
        <v>Good</v>
      </c>
      <c r="AE370" s="11"/>
      <c r="AF370" t="str">
        <v>Nikki.Dix@floridadep.gov</v>
      </c>
      <c r="AG370" s="17" t="s">
        <v>17</v>
      </c>
      <c r="AH370" s="12">
        <v>1140</v>
      </c>
      <c r="AI370" s="12" t="s">
        <v>1058</v>
      </c>
      <c r="AJ370" s="19" t="s">
        <v>1059</v>
      </c>
      <c r="AK370" s="20" t="str">
        <f>HYPERLINK("https://docs.google.com/document/d/11x0CkR3ktEFIujcLW_1aRWhBz7-fh-ehKWEqiRQ6-Bs/edit?usp=drivesdk","Shannon Dunnigan - 9/17/2019 10:15 AM")</f>
        <v>Shannon Dunnigan - 9/17/2019 10:15 AM</v>
      </c>
      <c r="AL370" s="12" t="s">
        <v>1060</v>
      </c>
    </row>
    <row r="371" spans="1:38" ht="12.75">
      <c r="A371" s="10">
        <f ca="1">IFERROR(__xludf.DUMMYFUNCTION("""COMPUTED_VALUE"""),43726.2680080671)</f>
        <v>43726.268008067098</v>
      </c>
      <c r="B371" s="11" t="str">
        <f ca="1">IFERROR(__xludf.DUMMYFUNCTION("""COMPUTED_VALUE"""),"Pam Marcum")</f>
        <v>Pam Marcum</v>
      </c>
      <c r="C371" t="str">
        <f ca="1">IFERROR(__xludf.DUMMYFUNCTION("""COMPUTED_VALUE"""),"Pamela.Marcum@floridadep.gov")</f>
        <v>Pamela.Marcum@floridadep.gov</v>
      </c>
      <c r="D371" t="str">
        <f ca="1">IFERROR(__xludf.DUMMYFUNCTION("""COMPUTED_VALUE"""),"Research/Nikki")</f>
        <v>Research/Nikki</v>
      </c>
      <c r="E371" t="str">
        <f ca="1">IFERROR(__xludf.DUMMYFUNCTION("""COMPUTED_VALUE"""),"Faver-Dykes")</f>
        <v>Faver-Dykes</v>
      </c>
      <c r="F371" s="13">
        <f ca="1">IFERROR(__xludf.DUMMYFUNCTION("""COMPUTED_VALUE"""),0.3125)</f>
        <v>0.3125</v>
      </c>
      <c r="G371" s="14">
        <f ca="1">IFERROR(__xludf.DUMMYFUNCTION("""COMPUTED_VALUE"""),43726)</f>
        <v>43726</v>
      </c>
      <c r="H371" t="str">
        <f ca="1">IFERROR(__xludf.DUMMYFUNCTION("""COMPUTED_VALUE"""),"Pellicer Creek")</f>
        <v>Pellicer Creek</v>
      </c>
      <c r="I371" s="15">
        <f ca="1">IFERROR(__xludf.DUMMYFUNCTION("""COMPUTED_VALUE"""),0.541666666667879)</f>
        <v>0.54166666666787899</v>
      </c>
      <c r="J371" s="16">
        <f ca="1">IFERROR(__xludf.DUMMYFUNCTION("""COMPUTED_VALUE"""),43726.6041666666)</f>
        <v>43726.604166666599</v>
      </c>
      <c r="K371" t="str">
        <f ca="1">IFERROR(__xludf.DUMMYFUNCTION("""COMPUTED_VALUE"""),"17ft Skill FL0642GW DEP07239")</f>
        <v>17ft Skill FL0642GW DEP07239</v>
      </c>
      <c r="M371" t="str">
        <f ca="1">IFERROR(__xludf.DUMMYFUNCTION("""COMPUTED_VALUE"""),"Ford F150 2008 - DEP18041 (SWMP Thing)")</f>
        <v>Ford F150 2008 - DEP18041 (SWMP Thing)</v>
      </c>
      <c r="N371" t="str">
        <f ca="1">IFERROR(__xludf.DUMMYFUNCTION("""COMPUTED_VALUE"""),"Pam Marcum, (480) 332-5414")</f>
        <v>Pam Marcum, (480) 332-5414</v>
      </c>
      <c r="O371" t="str">
        <f ca="1">IFERROR(__xludf.DUMMYFUNCTION("""COMPUTED_VALUE"""),"Jay Leighton")</f>
        <v>Jay Leighton</v>
      </c>
      <c r="P371" t="str">
        <f ca="1">IFERROR(__xludf.DUMMYFUNCTION("""COMPUTED_VALUE"""),"Pam")</f>
        <v>Pam</v>
      </c>
      <c r="Q371" t="str">
        <f ca="1">IFERROR(__xludf.DUMMYFUNCTION("""COMPUTED_VALUE"""),"Good")</f>
        <v>Good</v>
      </c>
      <c r="R371" t="str">
        <f ca="1">IFERROR(__xludf.DUMMYFUNCTION("""COMPUTED_VALUE"""),"Good")</f>
        <v>Good</v>
      </c>
      <c r="S371" t="str">
        <f ca="1">IFERROR(__xludf.DUMMYFUNCTION("""COMPUTED_VALUE"""),"Good")</f>
        <v>Good</v>
      </c>
      <c r="T371" t="str">
        <f ca="1">IFERROR(__xludf.DUMMYFUNCTION("""COMPUTED_VALUE"""),"Good")</f>
        <v>Good</v>
      </c>
      <c r="U371" t="str">
        <f ca="1">IFERROR(__xludf.DUMMYFUNCTION("""COMPUTED_VALUE"""),"Good")</f>
        <v>Good</v>
      </c>
      <c r="V371" t="str">
        <f ca="1">IFERROR(__xludf.DUMMYFUNCTION("""COMPUTED_VALUE"""),"Good")</f>
        <v>Good</v>
      </c>
      <c r="W371" t="str">
        <f ca="1">IFERROR(__xludf.DUMMYFUNCTION("""COMPUTED_VALUE"""),"Good")</f>
        <v>Good</v>
      </c>
      <c r="X371" t="str">
        <f ca="1">IFERROR(__xludf.DUMMYFUNCTION("""COMPUTED_VALUE"""),"Good")</f>
        <v>Good</v>
      </c>
      <c r="Y371" t="str">
        <f ca="1">IFERROR(__xludf.DUMMYFUNCTION("""COMPUTED_VALUE"""),"Good")</f>
        <v>Good</v>
      </c>
      <c r="Z371" t="str">
        <f ca="1">IFERROR(__xludf.DUMMYFUNCTION("""COMPUTED_VALUE"""),"Good")</f>
        <v>Good</v>
      </c>
      <c r="AA371" t="str">
        <f ca="1">IFERROR(__xludf.DUMMYFUNCTION("""COMPUTED_VALUE"""),"Good")</f>
        <v>Good</v>
      </c>
      <c r="AB371" t="str">
        <f ca="1">IFERROR(__xludf.DUMMYFUNCTION("""COMPUTED_VALUE"""),"Good")</f>
        <v>Good</v>
      </c>
      <c r="AC371" t="str">
        <f ca="1">IFERROR(__xludf.DUMMYFUNCTION("""COMPUTED_VALUE"""),"Good")</f>
        <v>Good</v>
      </c>
      <c r="AE371" s="11"/>
      <c r="AF371" t="str">
        <v>Nikki.Dix@floridadep.gov</v>
      </c>
      <c r="AG371" s="17" t="s">
        <v>17</v>
      </c>
      <c r="AH371" s="12">
        <v>1210</v>
      </c>
      <c r="AI371" s="12" t="s">
        <v>1061</v>
      </c>
      <c r="AJ371" s="19" t="s">
        <v>1062</v>
      </c>
      <c r="AK371" s="20" t="str">
        <f>HYPERLINK("https://docs.google.com/document/d/1waXJaaxuMbyg-WQ34-bf7iNATV2Cu-MmkLtMWtKzsvc/edit?usp=drivesdk","Pam Marcum - 9/18/2019 7:30 AM")</f>
        <v>Pam Marcum - 9/18/2019 7:30 AM</v>
      </c>
      <c r="AL371" s="12" t="s">
        <v>1063</v>
      </c>
    </row>
    <row r="372" spans="1:38" ht="12.75">
      <c r="A372" s="10">
        <f ca="1">IFERROR(__xludf.DUMMYFUNCTION("""COMPUTED_VALUE"""),43726.3751813657)</f>
        <v>43726.3751813657</v>
      </c>
      <c r="B372" s="11" t="str">
        <f ca="1">IFERROR(__xludf.DUMMYFUNCTION("""COMPUTED_VALUE"""),"Jimmy")</f>
        <v>Jimmy</v>
      </c>
      <c r="C372" t="str">
        <f ca="1">IFERROR(__xludf.DUMMYFUNCTION("""COMPUTED_VALUE"""),"james.tomazinis@floridadep.gov")</f>
        <v>james.tomazinis@floridadep.gov</v>
      </c>
      <c r="D372" t="str">
        <f ca="1">IFERROR(__xludf.DUMMYFUNCTION("""COMPUTED_VALUE"""),"Stewardship (Aquatic)")</f>
        <v>Stewardship (Aquatic)</v>
      </c>
      <c r="E372" t="str">
        <f ca="1">IFERROR(__xludf.DUMMYFUNCTION("""COMPUTED_VALUE"""),"Vilano")</f>
        <v>Vilano</v>
      </c>
      <c r="F372" s="13">
        <f ca="1">IFERROR(__xludf.DUMMYFUNCTION("""COMPUTED_VALUE"""),0.385416666667879)</f>
        <v>0.38541666666787899</v>
      </c>
      <c r="G372" s="14">
        <f ca="1">IFERROR(__xludf.DUMMYFUNCTION("""COMPUTED_VALUE"""),43726)</f>
        <v>43726</v>
      </c>
      <c r="H372" t="str">
        <f ca="1">IFERROR(__xludf.DUMMYFUNCTION("""COMPUTED_VALUE"""),"Nekton sites 9-20")</f>
        <v>Nekton sites 9-20</v>
      </c>
      <c r="I372" s="15">
        <f ca="1">IFERROR(__xludf.DUMMYFUNCTION("""COMPUTED_VALUE"""),0.666666666667879)</f>
        <v>0.66666666666787899</v>
      </c>
      <c r="J372" s="16"/>
      <c r="K372" t="str">
        <f ca="1">IFERROR(__xludf.DUMMYFUNCTION("""COMPUTED_VALUE"""),"23ft Skiff (Bertha) FL7972LJ DEP07613")</f>
        <v>23ft Skiff (Bertha) FL7972LJ DEP07613</v>
      </c>
      <c r="M372" t="str">
        <f ca="1">IFERROR(__xludf.DUMMYFUNCTION("""COMPUTED_VALUE"""),"Ford F150 2015 (White) - DEP21448")</f>
        <v>Ford F150 2015 (White) - DEP21448</v>
      </c>
      <c r="N372" t="str">
        <f ca="1">IFERROR(__xludf.DUMMYFUNCTION("""COMPUTED_VALUE"""),"Jimmy Tomazinis, (904) 547-0094")</f>
        <v>Jimmy Tomazinis, (904) 547-0094</v>
      </c>
      <c r="O372" t="str">
        <f ca="1">IFERROR(__xludf.DUMMYFUNCTION("""COMPUTED_VALUE"""),"Scott Eastman, (904) 501-9267, Suzi, Jeff, Casey, Spencer")</f>
        <v>Scott Eastman, (904) 501-9267, Suzi, Jeff, Casey, Spencer</v>
      </c>
      <c r="P372" t="str">
        <f ca="1">IFERROR(__xludf.DUMMYFUNCTION("""COMPUTED_VALUE"""),"Jimmy ")</f>
        <v xml:space="preserve">Jimmy </v>
      </c>
      <c r="Q372" t="str">
        <f ca="1">IFERROR(__xludf.DUMMYFUNCTION("""COMPUTED_VALUE"""),"Good")</f>
        <v>Good</v>
      </c>
      <c r="R372" t="str">
        <f ca="1">IFERROR(__xludf.DUMMYFUNCTION("""COMPUTED_VALUE"""),"Good")</f>
        <v>Good</v>
      </c>
      <c r="S372" t="str">
        <f ca="1">IFERROR(__xludf.DUMMYFUNCTION("""COMPUTED_VALUE"""),"Good")</f>
        <v>Good</v>
      </c>
      <c r="T372" t="str">
        <f ca="1">IFERROR(__xludf.DUMMYFUNCTION("""COMPUTED_VALUE"""),"Good")</f>
        <v>Good</v>
      </c>
      <c r="U372" t="str">
        <f ca="1">IFERROR(__xludf.DUMMYFUNCTION("""COMPUTED_VALUE"""),"Good")</f>
        <v>Good</v>
      </c>
      <c r="V372" t="str">
        <f ca="1">IFERROR(__xludf.DUMMYFUNCTION("""COMPUTED_VALUE"""),"Good")</f>
        <v>Good</v>
      </c>
      <c r="W372" t="str">
        <f ca="1">IFERROR(__xludf.DUMMYFUNCTION("""COMPUTED_VALUE"""),"Good")</f>
        <v>Good</v>
      </c>
      <c r="X372" t="str">
        <f ca="1">IFERROR(__xludf.DUMMYFUNCTION("""COMPUTED_VALUE"""),"Good")</f>
        <v>Good</v>
      </c>
      <c r="Y372" t="str">
        <f ca="1">IFERROR(__xludf.DUMMYFUNCTION("""COMPUTED_VALUE"""),"Good")</f>
        <v>Good</v>
      </c>
      <c r="Z372" t="str">
        <f ca="1">IFERROR(__xludf.DUMMYFUNCTION("""COMPUTED_VALUE"""),"Good")</f>
        <v>Good</v>
      </c>
      <c r="AA372" t="str">
        <f ca="1">IFERROR(__xludf.DUMMYFUNCTION("""COMPUTED_VALUE"""),"Good")</f>
        <v>Good</v>
      </c>
      <c r="AB372" t="str">
        <f ca="1">IFERROR(__xludf.DUMMYFUNCTION("""COMPUTED_VALUE"""),"Good")</f>
        <v>Good</v>
      </c>
      <c r="AC372" t="str">
        <f ca="1">IFERROR(__xludf.DUMMYFUNCTION("""COMPUTED_VALUE"""),"Good")</f>
        <v>Good</v>
      </c>
      <c r="AE372" s="11"/>
      <c r="AF372" t="str">
        <v>Scott.Eastman@floridadep.gov</v>
      </c>
      <c r="AG372" s="17" t="s">
        <v>17</v>
      </c>
      <c r="AH372" s="12">
        <v>1613</v>
      </c>
      <c r="AI372" s="12" t="s">
        <v>1064</v>
      </c>
      <c r="AJ372" s="19" t="s">
        <v>1065</v>
      </c>
      <c r="AK372" s="20" t="str">
        <f>HYPERLINK("https://docs.google.com/document/d/1VFwoXvxUp9esJMS9AjQJUjDLucKnSGwDdiqVmF5mxvQ/edit?usp=drivesdk","Jimmy - 9/18/2019 9:15 AM")</f>
        <v>Jimmy - 9/18/2019 9:15 AM</v>
      </c>
      <c r="AL372" s="12" t="s">
        <v>1066</v>
      </c>
    </row>
    <row r="373" spans="1:38" ht="12.75">
      <c r="A373" s="10">
        <f ca="1">IFERROR(__xludf.DUMMYFUNCTION("""COMPUTED_VALUE"""),43727.3344431018)</f>
        <v>43727.334443101798</v>
      </c>
      <c r="B373" s="11" t="str">
        <f ca="1">IFERROR(__xludf.DUMMYFUNCTION("""COMPUTED_VALUE"""),"Pamela Marcum")</f>
        <v>Pamela Marcum</v>
      </c>
      <c r="C373" t="str">
        <f ca="1">IFERROR(__xludf.DUMMYFUNCTION("""COMPUTED_VALUE"""),"Pamela.Marcum@floridadep.gov")</f>
        <v>Pamela.Marcum@floridadep.gov</v>
      </c>
      <c r="D373" t="str">
        <f ca="1">IFERROR(__xludf.DUMMYFUNCTION("""COMPUTED_VALUE"""),"Research/Nikki")</f>
        <v>Research/Nikki</v>
      </c>
      <c r="E373" t="str">
        <f ca="1">IFERROR(__xludf.DUMMYFUNCTION("""COMPUTED_VALUE"""),"Faver-Dykes")</f>
        <v>Faver-Dykes</v>
      </c>
      <c r="F373" s="13">
        <f ca="1">IFERROR(__xludf.DUMMYFUNCTION("""COMPUTED_VALUE"""),0.322916666667879)</f>
        <v>0.32291666666787899</v>
      </c>
      <c r="G373" s="14">
        <f ca="1">IFERROR(__xludf.DUMMYFUNCTION("""COMPUTED_VALUE"""),43727)</f>
        <v>43727</v>
      </c>
      <c r="H373" t="str">
        <f ca="1">IFERROR(__xludf.DUMMYFUNCTION("""COMPUTED_VALUE"""),"Pellicer Creek")</f>
        <v>Pellicer Creek</v>
      </c>
      <c r="I373" s="15">
        <f ca="1">IFERROR(__xludf.DUMMYFUNCTION("""COMPUTED_VALUE"""),0.541666666667879)</f>
        <v>0.54166666666787899</v>
      </c>
      <c r="J373" s="16">
        <f ca="1">IFERROR(__xludf.DUMMYFUNCTION("""COMPUTED_VALUE"""),43727.6041666666)</f>
        <v>43727.604166666599</v>
      </c>
      <c r="K373" t="str">
        <f ca="1">IFERROR(__xludf.DUMMYFUNCTION("""COMPUTED_VALUE"""),"17ft Skill FL0642GW DEP07239")</f>
        <v>17ft Skill FL0642GW DEP07239</v>
      </c>
      <c r="M373" t="str">
        <f ca="1">IFERROR(__xludf.DUMMYFUNCTION("""COMPUTED_VALUE"""),"Ford F150 2008 - DEP18041 (SWMP Thing)")</f>
        <v>Ford F150 2008 - DEP18041 (SWMP Thing)</v>
      </c>
      <c r="N373" t="str">
        <f ca="1">IFERROR(__xludf.DUMMYFUNCTION("""COMPUTED_VALUE"""),"Pam Marcum, (480) 332-5414, Remo Mondazzi")</f>
        <v>Pam Marcum, (480) 332-5414, Remo Mondazzi</v>
      </c>
      <c r="P373" t="str">
        <f ca="1">IFERROR(__xludf.DUMMYFUNCTION("""COMPUTED_VALUE"""),"Pam")</f>
        <v>Pam</v>
      </c>
      <c r="Q373" t="str">
        <f ca="1">IFERROR(__xludf.DUMMYFUNCTION("""COMPUTED_VALUE"""),"Good")</f>
        <v>Good</v>
      </c>
      <c r="R373" t="str">
        <f ca="1">IFERROR(__xludf.DUMMYFUNCTION("""COMPUTED_VALUE"""),"Good")</f>
        <v>Good</v>
      </c>
      <c r="S373" t="str">
        <f ca="1">IFERROR(__xludf.DUMMYFUNCTION("""COMPUTED_VALUE"""),"Good")</f>
        <v>Good</v>
      </c>
      <c r="T373" t="str">
        <f ca="1">IFERROR(__xludf.DUMMYFUNCTION("""COMPUTED_VALUE"""),"Good")</f>
        <v>Good</v>
      </c>
      <c r="U373" t="str">
        <f ca="1">IFERROR(__xludf.DUMMYFUNCTION("""COMPUTED_VALUE"""),"Good")</f>
        <v>Good</v>
      </c>
      <c r="V373" t="str">
        <f ca="1">IFERROR(__xludf.DUMMYFUNCTION("""COMPUTED_VALUE"""),"Good")</f>
        <v>Good</v>
      </c>
      <c r="W373" t="str">
        <f ca="1">IFERROR(__xludf.DUMMYFUNCTION("""COMPUTED_VALUE"""),"Good")</f>
        <v>Good</v>
      </c>
      <c r="X373" t="str">
        <f ca="1">IFERROR(__xludf.DUMMYFUNCTION("""COMPUTED_VALUE"""),"Good")</f>
        <v>Good</v>
      </c>
      <c r="Y373" t="str">
        <f ca="1">IFERROR(__xludf.DUMMYFUNCTION("""COMPUTED_VALUE"""),"Good")</f>
        <v>Good</v>
      </c>
      <c r="Z373" t="str">
        <f ca="1">IFERROR(__xludf.DUMMYFUNCTION("""COMPUTED_VALUE"""),"Good")</f>
        <v>Good</v>
      </c>
      <c r="AA373" t="str">
        <f ca="1">IFERROR(__xludf.DUMMYFUNCTION("""COMPUTED_VALUE"""),"Good")</f>
        <v>Good</v>
      </c>
      <c r="AB373" t="str">
        <f ca="1">IFERROR(__xludf.DUMMYFUNCTION("""COMPUTED_VALUE"""),"Good")</f>
        <v>Good</v>
      </c>
      <c r="AC373" t="str">
        <f ca="1">IFERROR(__xludf.DUMMYFUNCTION("""COMPUTED_VALUE"""),"Good")</f>
        <v>Good</v>
      </c>
      <c r="AE373" s="11"/>
      <c r="AF373" t="str">
        <v>Nikki.Dix@floridadep.gov</v>
      </c>
      <c r="AG373" s="17" t="s">
        <v>41</v>
      </c>
      <c r="AH373" s="12">
        <v>1155</v>
      </c>
      <c r="AI373" s="12" t="s">
        <v>1067</v>
      </c>
      <c r="AJ373" s="19" t="s">
        <v>1068</v>
      </c>
      <c r="AK373" s="20" t="str">
        <f>HYPERLINK("https://docs.google.com/document/d/17-ejbLkrYmuOCBKs8rnXdpzSNQId2GnwAk45L75Y62U/edit?usp=drivesdk","Pamela Marcum - 9/19/2019 7:45 AM")</f>
        <v>Pamela Marcum - 9/19/2019 7:45 AM</v>
      </c>
      <c r="AL373" s="12" t="s">
        <v>1069</v>
      </c>
    </row>
    <row r="374" spans="1:38" ht="12.75">
      <c r="A374" s="10">
        <f ca="1">IFERROR(__xludf.DUMMYFUNCTION("""COMPUTED_VALUE"""),43727.3491999768)</f>
        <v>43727.349199976801</v>
      </c>
      <c r="B374" s="11" t="str">
        <f ca="1">IFERROR(__xludf.DUMMYFUNCTION("""COMPUTED_VALUE"""),"Jimmy Tomazinis")</f>
        <v>Jimmy Tomazinis</v>
      </c>
      <c r="C374" t="str">
        <f ca="1">IFERROR(__xludf.DUMMYFUNCTION("""COMPUTED_VALUE"""),"james.tomazinis@floridadep.gov")</f>
        <v>james.tomazinis@floridadep.gov</v>
      </c>
      <c r="D374" t="str">
        <f ca="1">IFERROR(__xludf.DUMMYFUNCTION("""COMPUTED_VALUE"""),"Stewardship (Aquatic)")</f>
        <v>Stewardship (Aquatic)</v>
      </c>
      <c r="E374" t="str">
        <f ca="1">IFERROR(__xludf.DUMMYFUNCTION("""COMPUTED_VALUE"""),"Bings")</f>
        <v>Bings</v>
      </c>
      <c r="F374" s="13">
        <f ca="1">IFERROR(__xludf.DUMMYFUNCTION("""COMPUTED_VALUE"""),0.416666666667879)</f>
        <v>0.41666666666787899</v>
      </c>
      <c r="G374" s="14">
        <f ca="1">IFERROR(__xludf.DUMMYFUNCTION("""COMPUTED_VALUE"""),43727)</f>
        <v>43727</v>
      </c>
      <c r="H374" t="str">
        <f ca="1">IFERROR(__xludf.DUMMYFUNCTION("""COMPUTED_VALUE"""),"Nekton sites 15-20")</f>
        <v>Nekton sites 15-20</v>
      </c>
      <c r="I374" s="15">
        <f ca="1">IFERROR(__xludf.DUMMYFUNCTION("""COMPUTED_VALUE"""),0.666666666667879)</f>
        <v>0.66666666666787899</v>
      </c>
      <c r="J374" s="16"/>
      <c r="K374" t="str">
        <f ca="1">IFERROR(__xludf.DUMMYFUNCTION("""COMPUTED_VALUE"""),"23ft Skiff (Bertha) FL7972LJ DEP07613")</f>
        <v>23ft Skiff (Bertha) FL7972LJ DEP07613</v>
      </c>
      <c r="M374" t="str">
        <f ca="1">IFERROR(__xludf.DUMMYFUNCTION("""COMPUTED_VALUE"""),"Ford F150 2015 (White) - DEP21448")</f>
        <v>Ford F150 2015 (White) - DEP21448</v>
      </c>
      <c r="N374" t="str">
        <f ca="1">IFERROR(__xludf.DUMMYFUNCTION("""COMPUTED_VALUE"""),"Jimmy Tomazinis, (904) 547-0094")</f>
        <v>Jimmy Tomazinis, (904) 547-0094</v>
      </c>
      <c r="O374" t="str">
        <f ca="1">IFERROR(__xludf.DUMMYFUNCTION("""COMPUTED_VALUE"""),"Ed, Diane, Alicia, Zach, Suzi")</f>
        <v>Ed, Diane, Alicia, Zach, Suzi</v>
      </c>
      <c r="P374" t="str">
        <f ca="1">IFERROR(__xludf.DUMMYFUNCTION("""COMPUTED_VALUE"""),"Jimmy")</f>
        <v>Jimmy</v>
      </c>
      <c r="Q374" t="str">
        <f ca="1">IFERROR(__xludf.DUMMYFUNCTION("""COMPUTED_VALUE"""),"Good")</f>
        <v>Good</v>
      </c>
      <c r="R374" t="str">
        <f ca="1">IFERROR(__xludf.DUMMYFUNCTION("""COMPUTED_VALUE"""),"Good")</f>
        <v>Good</v>
      </c>
      <c r="S374" t="str">
        <f ca="1">IFERROR(__xludf.DUMMYFUNCTION("""COMPUTED_VALUE"""),"Good")</f>
        <v>Good</v>
      </c>
      <c r="T374" t="str">
        <f ca="1">IFERROR(__xludf.DUMMYFUNCTION("""COMPUTED_VALUE"""),"Good")</f>
        <v>Good</v>
      </c>
      <c r="U374" t="str">
        <f ca="1">IFERROR(__xludf.DUMMYFUNCTION("""COMPUTED_VALUE"""),"Good")</f>
        <v>Good</v>
      </c>
      <c r="V374" t="str">
        <f ca="1">IFERROR(__xludf.DUMMYFUNCTION("""COMPUTED_VALUE"""),"Good")</f>
        <v>Good</v>
      </c>
      <c r="W374" t="str">
        <f ca="1">IFERROR(__xludf.DUMMYFUNCTION("""COMPUTED_VALUE"""),"Good")</f>
        <v>Good</v>
      </c>
      <c r="X374" t="str">
        <f ca="1">IFERROR(__xludf.DUMMYFUNCTION("""COMPUTED_VALUE"""),"Good")</f>
        <v>Good</v>
      </c>
      <c r="Y374" t="str">
        <f ca="1">IFERROR(__xludf.DUMMYFUNCTION("""COMPUTED_VALUE"""),"Good")</f>
        <v>Good</v>
      </c>
      <c r="Z374" t="str">
        <f ca="1">IFERROR(__xludf.DUMMYFUNCTION("""COMPUTED_VALUE"""),"Good")</f>
        <v>Good</v>
      </c>
      <c r="AA374" t="str">
        <f ca="1">IFERROR(__xludf.DUMMYFUNCTION("""COMPUTED_VALUE"""),"Good")</f>
        <v>Good</v>
      </c>
      <c r="AB374" t="str">
        <f ca="1">IFERROR(__xludf.DUMMYFUNCTION("""COMPUTED_VALUE"""),"Good")</f>
        <v>Good</v>
      </c>
      <c r="AC374" t="str">
        <f ca="1">IFERROR(__xludf.DUMMYFUNCTION("""COMPUTED_VALUE"""),"Good")</f>
        <v>Good</v>
      </c>
      <c r="AE374" s="11"/>
      <c r="AF374" t="str">
        <v>Scott.Eastman@floridadep.gov</v>
      </c>
      <c r="AG374" s="17" t="s">
        <v>21</v>
      </c>
      <c r="AH374" s="12">
        <v>1550</v>
      </c>
      <c r="AI374" s="12" t="s">
        <v>1070</v>
      </c>
      <c r="AJ374" s="19" t="s">
        <v>1071</v>
      </c>
      <c r="AK374" s="20" t="str">
        <f>HYPERLINK("https://docs.google.com/document/d/1_ixFUqqY3pBFYyko_LJxme1mlZsxKkUiApejiVxk4Vk/edit?usp=drivesdk","Jimmy Tomazinis - 9/19/2019 10:00 AM")</f>
        <v>Jimmy Tomazinis - 9/19/2019 10:00 AM</v>
      </c>
      <c r="AL374" s="12" t="s">
        <v>1072</v>
      </c>
    </row>
    <row r="375" spans="1:38" ht="12.75">
      <c r="A375" s="10">
        <f ca="1">IFERROR(__xludf.DUMMYFUNCTION("""COMPUTED_VALUE"""),43727.4094179513)</f>
        <v>43727.409417951298</v>
      </c>
      <c r="B375" s="11" t="str">
        <f ca="1">IFERROR(__xludf.DUMMYFUNCTION("""COMPUTED_VALUE"""),"Silas Tanner")</f>
        <v>Silas Tanner</v>
      </c>
      <c r="C375" t="str">
        <f ca="1">IFERROR(__xludf.DUMMYFUNCTION("""COMPUTED_VALUE"""),"silas.tanner@floridadep.gov")</f>
        <v>silas.tanner@floridadep.gov</v>
      </c>
      <c r="D375" t="str">
        <f ca="1">IFERROR(__xludf.DUMMYFUNCTION("""COMPUTED_VALUE"""),"Research/Nikki")</f>
        <v>Research/Nikki</v>
      </c>
      <c r="E375" t="str">
        <f ca="1">IFERROR(__xludf.DUMMYFUNCTION("""COMPUTED_VALUE"""),"Faver Dykes SP")</f>
        <v>Faver Dykes SP</v>
      </c>
      <c r="F375" s="13">
        <f ca="1">IFERROR(__xludf.DUMMYFUNCTION("""COMPUTED_VALUE"""),0.409722222222626)</f>
        <v>0.409722222222626</v>
      </c>
      <c r="G375" s="14">
        <f ca="1">IFERROR(__xludf.DUMMYFUNCTION("""COMPUTED_VALUE"""),43727)</f>
        <v>43727</v>
      </c>
      <c r="H375" t="str">
        <f ca="1">IFERROR(__xludf.DUMMYFUNCTION("""COMPUTED_VALUE"""),"Pellicer Creek SWMP platforms")</f>
        <v>Pellicer Creek SWMP platforms</v>
      </c>
      <c r="I375" s="15">
        <f ca="1">IFERROR(__xludf.DUMMYFUNCTION("""COMPUTED_VALUE"""),0.5625)</f>
        <v>0.5625</v>
      </c>
      <c r="J375" s="16">
        <f ca="1">IFERROR(__xludf.DUMMYFUNCTION("""COMPUTED_VALUE"""),43727.6041666666)</f>
        <v>43727.604166666599</v>
      </c>
      <c r="K375" t="str">
        <f ca="1">IFERROR(__xludf.DUMMYFUNCTION("""COMPUTED_VALUE"""),"20ft Sea Ark FL5351SJ UNF 2015")</f>
        <v>20ft Sea Ark FL5351SJ UNF 2015</v>
      </c>
      <c r="M375" t="str">
        <f ca="1">IFERROR(__xludf.DUMMYFUNCTION("""COMPUTED_VALUE"""),"Ford F250 2017 (Moby Dix) - DEP0021578")</f>
        <v>Ford F250 2017 (Moby Dix) - DEP0021578</v>
      </c>
      <c r="N375" t="str">
        <f ca="1">IFERROR(__xludf.DUMMYFUNCTION("""COMPUTED_VALUE"""),"Shannon Dunnigan, (803) 727-5734, Silas Tanner, (904) 483-8423")</f>
        <v>Shannon Dunnigan, (803) 727-5734, Silas Tanner, (904) 483-8423</v>
      </c>
      <c r="O375" t="str">
        <f ca="1">IFERROR(__xludf.DUMMYFUNCTION("""COMPUTED_VALUE"""),"Casey McClure")</f>
        <v>Casey McClure</v>
      </c>
      <c r="P375" t="str">
        <f ca="1">IFERROR(__xludf.DUMMYFUNCTION("""COMPUTED_VALUE"""),"S. Dunnigan")</f>
        <v>S. Dunnigan</v>
      </c>
      <c r="Q375" t="str">
        <f ca="1">IFERROR(__xludf.DUMMYFUNCTION("""COMPUTED_VALUE"""),"Good")</f>
        <v>Good</v>
      </c>
      <c r="R375" t="str">
        <f ca="1">IFERROR(__xludf.DUMMYFUNCTION("""COMPUTED_VALUE"""),"Good")</f>
        <v>Good</v>
      </c>
      <c r="S375" t="str">
        <f ca="1">IFERROR(__xludf.DUMMYFUNCTION("""COMPUTED_VALUE"""),"Good")</f>
        <v>Good</v>
      </c>
      <c r="T375" t="str">
        <f ca="1">IFERROR(__xludf.DUMMYFUNCTION("""COMPUTED_VALUE"""),"Good")</f>
        <v>Good</v>
      </c>
      <c r="U375" t="str">
        <f ca="1">IFERROR(__xludf.DUMMYFUNCTION("""COMPUTED_VALUE"""),"Good")</f>
        <v>Good</v>
      </c>
      <c r="V375" t="str">
        <f ca="1">IFERROR(__xludf.DUMMYFUNCTION("""COMPUTED_VALUE"""),"Good")</f>
        <v>Good</v>
      </c>
      <c r="W375" t="str">
        <f ca="1">IFERROR(__xludf.DUMMYFUNCTION("""COMPUTED_VALUE"""),"Good")</f>
        <v>Good</v>
      </c>
      <c r="X375" t="str">
        <f ca="1">IFERROR(__xludf.DUMMYFUNCTION("""COMPUTED_VALUE"""),"Good")</f>
        <v>Good</v>
      </c>
      <c r="Y375" t="str">
        <f ca="1">IFERROR(__xludf.DUMMYFUNCTION("""COMPUTED_VALUE"""),"Good")</f>
        <v>Good</v>
      </c>
      <c r="Z375" t="str">
        <f ca="1">IFERROR(__xludf.DUMMYFUNCTION("""COMPUTED_VALUE"""),"Good")</f>
        <v>Good</v>
      </c>
      <c r="AA375" t="str">
        <f ca="1">IFERROR(__xludf.DUMMYFUNCTION("""COMPUTED_VALUE"""),"Good")</f>
        <v>Good</v>
      </c>
      <c r="AB375" t="str">
        <f ca="1">IFERROR(__xludf.DUMMYFUNCTION("""COMPUTED_VALUE"""),"Good")</f>
        <v>Good</v>
      </c>
      <c r="AC375" t="str">
        <f ca="1">IFERROR(__xludf.DUMMYFUNCTION("""COMPUTED_VALUE"""),"Good")</f>
        <v>Good</v>
      </c>
      <c r="AE375" s="11"/>
      <c r="AF375" t="str">
        <v>Nikki.Dix@floridadep.gov</v>
      </c>
      <c r="AG375" s="17" t="s">
        <v>41</v>
      </c>
      <c r="AH375" s="12">
        <v>1155</v>
      </c>
      <c r="AI375" s="12" t="s">
        <v>1073</v>
      </c>
      <c r="AJ375" s="19" t="s">
        <v>1074</v>
      </c>
      <c r="AK375" s="20" t="str">
        <f>HYPERLINK("https://docs.google.com/document/d/1XcVFZzDY85Qnprn6bdjN8xHXM896AB5RZfyIW2kUNRc/edit?usp=drivesdk","Silas Tanner - 9/19/2019 9:50 AM")</f>
        <v>Silas Tanner - 9/19/2019 9:50 AM</v>
      </c>
      <c r="AL375" s="12" t="s">
        <v>1075</v>
      </c>
    </row>
    <row r="376" spans="1:38" ht="12.75">
      <c r="A376" s="10">
        <f ca="1">IFERROR(__xludf.DUMMYFUNCTION("""COMPUTED_VALUE"""),43728.3088679629)</f>
        <v>43728.3088679629</v>
      </c>
      <c r="B376" s="11" t="str">
        <f ca="1">IFERROR(__xludf.DUMMYFUNCTION("""COMPUTED_VALUE"""),"Alexandria Knoell")</f>
        <v>Alexandria Knoell</v>
      </c>
      <c r="C376" t="str">
        <f ca="1">IFERROR(__xludf.DUMMYFUNCTION("""COMPUTED_VALUE"""),"alee.knoell@floridadep.gov")</f>
        <v>alee.knoell@floridadep.gov</v>
      </c>
      <c r="D376" t="str">
        <f ca="1">IFERROR(__xludf.DUMMYFUNCTION("""COMPUTED_VALUE"""),"Research/Nikki")</f>
        <v>Research/Nikki</v>
      </c>
      <c r="E376" t="str">
        <f ca="1">IFERROR(__xludf.DUMMYFUNCTION("""COMPUTED_VALUE"""),"Vilano")</f>
        <v>Vilano</v>
      </c>
      <c r="F376" s="13">
        <f ca="1">IFERROR(__xludf.DUMMYFUNCTION("""COMPUTED_VALUE"""),0.3125)</f>
        <v>0.3125</v>
      </c>
      <c r="G376" s="14">
        <f ca="1">IFERROR(__xludf.DUMMYFUNCTION("""COMPUTED_VALUE"""),43728)</f>
        <v>43728</v>
      </c>
      <c r="H376" t="str">
        <f ca="1">IFERROR(__xludf.DUMMYFUNCTION("""COMPUTED_VALUE"""),"Salt run")</f>
        <v>Salt run</v>
      </c>
      <c r="I376" s="15">
        <f ca="1">IFERROR(__xludf.DUMMYFUNCTION("""COMPUTED_VALUE"""),0.5)</f>
        <v>0.5</v>
      </c>
      <c r="J376" s="16">
        <f ca="1">IFERROR(__xludf.DUMMYFUNCTION("""COMPUTED_VALUE"""),43728.5416666666)</f>
        <v>43728.541666666599</v>
      </c>
      <c r="K376" t="str">
        <f ca="1">IFERROR(__xludf.DUMMYFUNCTION("""COMPUTED_VALUE"""),"20ft Sea Ark FL5351SJ UNF 2015")</f>
        <v>20ft Sea Ark FL5351SJ UNF 2015</v>
      </c>
      <c r="M376" t="str">
        <f ca="1">IFERROR(__xludf.DUMMYFUNCTION("""COMPUTED_VALUE"""),"Ford F250 2017 (Moby Dix) - DEP0021578")</f>
        <v>Ford F250 2017 (Moby Dix) - DEP0021578</v>
      </c>
      <c r="N376" t="str">
        <f ca="1">IFERROR(__xludf.DUMMYFUNCTION("""COMPUTED_VALUE"""),"Remo Mondazi")</f>
        <v>Remo Mondazi</v>
      </c>
      <c r="O376" t="str">
        <f ca="1">IFERROR(__xludf.DUMMYFUNCTION("""COMPUTED_VALUE"""),"Alee Knoell")</f>
        <v>Alee Knoell</v>
      </c>
      <c r="P376" t="str">
        <f ca="1">IFERROR(__xludf.DUMMYFUNCTION("""COMPUTED_VALUE"""),"Remo Mondazi")</f>
        <v>Remo Mondazi</v>
      </c>
      <c r="Q376" t="str">
        <f ca="1">IFERROR(__xludf.DUMMYFUNCTION("""COMPUTED_VALUE"""),"Good")</f>
        <v>Good</v>
      </c>
      <c r="R376" t="str">
        <f ca="1">IFERROR(__xludf.DUMMYFUNCTION("""COMPUTED_VALUE"""),"Good")</f>
        <v>Good</v>
      </c>
      <c r="S376" t="str">
        <f ca="1">IFERROR(__xludf.DUMMYFUNCTION("""COMPUTED_VALUE"""),"Good")</f>
        <v>Good</v>
      </c>
      <c r="T376" t="str">
        <f ca="1">IFERROR(__xludf.DUMMYFUNCTION("""COMPUTED_VALUE"""),"Good")</f>
        <v>Good</v>
      </c>
      <c r="U376" t="str">
        <f ca="1">IFERROR(__xludf.DUMMYFUNCTION("""COMPUTED_VALUE"""),"Good")</f>
        <v>Good</v>
      </c>
      <c r="V376" t="str">
        <f ca="1">IFERROR(__xludf.DUMMYFUNCTION("""COMPUTED_VALUE"""),"Good")</f>
        <v>Good</v>
      </c>
      <c r="W376" t="str">
        <f ca="1">IFERROR(__xludf.DUMMYFUNCTION("""COMPUTED_VALUE"""),"Good")</f>
        <v>Good</v>
      </c>
      <c r="X376" t="str">
        <f ca="1">IFERROR(__xludf.DUMMYFUNCTION("""COMPUTED_VALUE"""),"Good")</f>
        <v>Good</v>
      </c>
      <c r="Y376" t="str">
        <f ca="1">IFERROR(__xludf.DUMMYFUNCTION("""COMPUTED_VALUE"""),"Good")</f>
        <v>Good</v>
      </c>
      <c r="Z376" t="str">
        <f ca="1">IFERROR(__xludf.DUMMYFUNCTION("""COMPUTED_VALUE"""),"Good")</f>
        <v>Good</v>
      </c>
      <c r="AA376" t="str">
        <f ca="1">IFERROR(__xludf.DUMMYFUNCTION("""COMPUTED_VALUE"""),"Good")</f>
        <v>Good</v>
      </c>
      <c r="AB376" t="str">
        <f ca="1">IFERROR(__xludf.DUMMYFUNCTION("""COMPUTED_VALUE"""),"Good")</f>
        <v>Good</v>
      </c>
      <c r="AC376" t="str">
        <f ca="1">IFERROR(__xludf.DUMMYFUNCTION("""COMPUTED_VALUE"""),"Good")</f>
        <v>Good</v>
      </c>
      <c r="AE376" s="11"/>
      <c r="AF376" t="str">
        <v>Nikki.Dix@floridadep.gov</v>
      </c>
      <c r="AG376" s="17" t="s">
        <v>17</v>
      </c>
      <c r="AH376" s="12">
        <v>1040</v>
      </c>
      <c r="AI376" s="12" t="s">
        <v>1076</v>
      </c>
      <c r="AJ376" s="19" t="s">
        <v>1077</v>
      </c>
      <c r="AK376" s="20" t="str">
        <f>HYPERLINK("https://docs.google.com/document/d/17A4uRgXYnvF9AqyKS1BltihQdj9B2XvMFNMWZqS165M/edit?usp=drivesdk","Alexandria Knoell - 9/20/2019 7:30 AM")</f>
        <v>Alexandria Knoell - 9/20/2019 7:30 AM</v>
      </c>
      <c r="AL376" s="12" t="s">
        <v>1078</v>
      </c>
    </row>
    <row r="377" spans="1:38" ht="12.75">
      <c r="A377" s="10">
        <f ca="1">IFERROR(__xludf.DUMMYFUNCTION("""COMPUTED_VALUE"""),43731.3652323611)</f>
        <v>43731.365232361102</v>
      </c>
      <c r="B377" s="11" t="str">
        <f ca="1">IFERROR(__xludf.DUMMYFUNCTION("""COMPUTED_VALUE"""),"Silas Tanner")</f>
        <v>Silas Tanner</v>
      </c>
      <c r="C377" t="str">
        <f ca="1">IFERROR(__xludf.DUMMYFUNCTION("""COMPUTED_VALUE"""),"silas.tanner@floridadep.gov")</f>
        <v>silas.tanner@floridadep.gov</v>
      </c>
      <c r="D377" t="str">
        <f ca="1">IFERROR(__xludf.DUMMYFUNCTION("""COMPUTED_VALUE"""),"Research/Nikki")</f>
        <v>Research/Nikki</v>
      </c>
      <c r="E377" t="str">
        <f ca="1">IFERROR(__xludf.DUMMYFUNCTION("""COMPUTED_VALUE"""),"Palm Valley")</f>
        <v>Palm Valley</v>
      </c>
      <c r="F377" s="13">
        <f ca="1">IFERROR(__xludf.DUMMYFUNCTION("""COMPUTED_VALUE"""),0.365972222221898)</f>
        <v>0.36597222222189801</v>
      </c>
      <c r="G377" s="14">
        <f ca="1">IFERROR(__xludf.DUMMYFUNCTION("""COMPUTED_VALUE"""),43731)</f>
        <v>43731</v>
      </c>
      <c r="H377" t="str">
        <f ca="1">IFERROR(__xludf.DUMMYFUNCTION("""COMPUTED_VALUE"""),"Pine island swmp platforms")</f>
        <v>Pine island swmp platforms</v>
      </c>
      <c r="I377" s="15">
        <f ca="1">IFERROR(__xludf.DUMMYFUNCTION("""COMPUTED_VALUE"""),0.572916666667879)</f>
        <v>0.57291666666787899</v>
      </c>
      <c r="J377" s="16">
        <f ca="1">IFERROR(__xludf.DUMMYFUNCTION("""COMPUTED_VALUE"""),43731.5833333333)</f>
        <v>43731.583333333299</v>
      </c>
      <c r="K377" t="str">
        <f ca="1">IFERROR(__xludf.DUMMYFUNCTION("""COMPUTED_VALUE"""),"20ft Sea Ark FL5351SJ UNF 2015")</f>
        <v>20ft Sea Ark FL5351SJ UNF 2015</v>
      </c>
      <c r="M377" t="str">
        <f ca="1">IFERROR(__xludf.DUMMYFUNCTION("""COMPUTED_VALUE"""),"Ford F250 2017 (Moby Dix) - DEP0021578")</f>
        <v>Ford F250 2017 (Moby Dix) - DEP0021578</v>
      </c>
      <c r="N377" t="str">
        <f ca="1">IFERROR(__xludf.DUMMYFUNCTION("""COMPUTED_VALUE"""),"Shannon Dunnigan, (803) 727-5734, Silas Tanner, (904) 483-8423")</f>
        <v>Shannon Dunnigan, (803) 727-5734, Silas Tanner, (904) 483-8423</v>
      </c>
      <c r="O377" t="str">
        <f ca="1">IFERROR(__xludf.DUMMYFUNCTION("""COMPUTED_VALUE"""),"Sloan Stephens")</f>
        <v>Sloan Stephens</v>
      </c>
      <c r="P377" t="str">
        <f ca="1">IFERROR(__xludf.DUMMYFUNCTION("""COMPUTED_VALUE"""),"S. Dunnigan")</f>
        <v>S. Dunnigan</v>
      </c>
      <c r="Q377" t="str">
        <f ca="1">IFERROR(__xludf.DUMMYFUNCTION("""COMPUTED_VALUE"""),"Good")</f>
        <v>Good</v>
      </c>
      <c r="R377" t="str">
        <f ca="1">IFERROR(__xludf.DUMMYFUNCTION("""COMPUTED_VALUE"""),"Good")</f>
        <v>Good</v>
      </c>
      <c r="S377" t="str">
        <f ca="1">IFERROR(__xludf.DUMMYFUNCTION("""COMPUTED_VALUE"""),"Good")</f>
        <v>Good</v>
      </c>
      <c r="T377" t="str">
        <f ca="1">IFERROR(__xludf.DUMMYFUNCTION("""COMPUTED_VALUE"""),"Good")</f>
        <v>Good</v>
      </c>
      <c r="U377" t="str">
        <f ca="1">IFERROR(__xludf.DUMMYFUNCTION("""COMPUTED_VALUE"""),"Good")</f>
        <v>Good</v>
      </c>
      <c r="V377" t="str">
        <f ca="1">IFERROR(__xludf.DUMMYFUNCTION("""COMPUTED_VALUE"""),"Good")</f>
        <v>Good</v>
      </c>
      <c r="W377" t="str">
        <f ca="1">IFERROR(__xludf.DUMMYFUNCTION("""COMPUTED_VALUE"""),"Good")</f>
        <v>Good</v>
      </c>
      <c r="X377" t="str">
        <f ca="1">IFERROR(__xludf.DUMMYFUNCTION("""COMPUTED_VALUE"""),"Good")</f>
        <v>Good</v>
      </c>
      <c r="Y377" t="str">
        <f ca="1">IFERROR(__xludf.DUMMYFUNCTION("""COMPUTED_VALUE"""),"Good")</f>
        <v>Good</v>
      </c>
      <c r="Z377" t="str">
        <f ca="1">IFERROR(__xludf.DUMMYFUNCTION("""COMPUTED_VALUE"""),"Good")</f>
        <v>Good</v>
      </c>
      <c r="AA377" t="str">
        <f ca="1">IFERROR(__xludf.DUMMYFUNCTION("""COMPUTED_VALUE"""),"Good")</f>
        <v>Good</v>
      </c>
      <c r="AB377" t="str">
        <f ca="1">IFERROR(__xludf.DUMMYFUNCTION("""COMPUTED_VALUE"""),"Good")</f>
        <v>Good</v>
      </c>
      <c r="AC377" t="str">
        <f ca="1">IFERROR(__xludf.DUMMYFUNCTION("""COMPUTED_VALUE"""),"Good")</f>
        <v>Good</v>
      </c>
      <c r="AE377" s="11"/>
      <c r="AF377" t="str">
        <v>Nikki.Dix@floridadep.gov</v>
      </c>
      <c r="AG377" s="17" t="s">
        <v>17</v>
      </c>
      <c r="AH377" s="12">
        <v>1345</v>
      </c>
      <c r="AI377" s="12" t="s">
        <v>1079</v>
      </c>
      <c r="AJ377" s="19" t="s">
        <v>1080</v>
      </c>
      <c r="AK377" s="20" t="str">
        <f>HYPERLINK("https://docs.google.com/document/d/1A0N0MGKq44r4WVGGlz3AGJmeioeR0rtdAgdYTyR479E/edit?usp=drivesdk","Silas Tanner - 9/23/2019 8:47 AM")</f>
        <v>Silas Tanner - 9/23/2019 8:47 AM</v>
      </c>
      <c r="AL377" s="12" t="s">
        <v>1081</v>
      </c>
    </row>
    <row r="378" spans="1:38" ht="12.75">
      <c r="A378" s="10">
        <f ca="1">IFERROR(__xludf.DUMMYFUNCTION("""COMPUTED_VALUE"""),43734.3260501967)</f>
        <v>43734.326050196702</v>
      </c>
      <c r="B378" s="11" t="str">
        <f ca="1">IFERROR(__xludf.DUMMYFUNCTION("""COMPUTED_VALUE"""),"Silas Tanner")</f>
        <v>Silas Tanner</v>
      </c>
      <c r="C378" t="str">
        <f ca="1">IFERROR(__xludf.DUMMYFUNCTION("""COMPUTED_VALUE"""),"silas.tanner@Floridadep.gov")</f>
        <v>silas.tanner@Floridadep.gov</v>
      </c>
      <c r="D378" t="str">
        <f ca="1">IFERROR(__xludf.DUMMYFUNCTION("""COMPUTED_VALUE"""),"Research/Nikki")</f>
        <v>Research/Nikki</v>
      </c>
      <c r="E378" t="str">
        <f ca="1">IFERROR(__xludf.DUMMYFUNCTION("""COMPUTED_VALUE"""),"Crane")</f>
        <v>Crane</v>
      </c>
      <c r="F378" s="13">
        <f ca="1">IFERROR(__xludf.DUMMYFUNCTION("""COMPUTED_VALUE"""),0.326388888890505)</f>
        <v>0.32638888889050499</v>
      </c>
      <c r="G378" s="14">
        <f ca="1">IFERROR(__xludf.DUMMYFUNCTION("""COMPUTED_VALUE"""),43734)</f>
        <v>43734</v>
      </c>
      <c r="H378" t="str">
        <f ca="1">IFERROR(__xludf.DUMMYFUNCTION("""COMPUTED_VALUE"""),"ICW swmp sites")</f>
        <v>ICW swmp sites</v>
      </c>
      <c r="I378" s="15">
        <f ca="1">IFERROR(__xludf.DUMMYFUNCTION("""COMPUTED_VALUE"""),0.5625)</f>
        <v>0.5625</v>
      </c>
      <c r="J378" s="16">
        <f ca="1">IFERROR(__xludf.DUMMYFUNCTION("""COMPUTED_VALUE"""),43734.6458333333)</f>
        <v>43734.645833333299</v>
      </c>
      <c r="K378" t="str">
        <f ca="1">IFERROR(__xludf.DUMMYFUNCTION("""COMPUTED_VALUE"""),"23ft Skiff (Bertha) FL7972LJ DEP07613")</f>
        <v>23ft Skiff (Bertha) FL7972LJ DEP07613</v>
      </c>
      <c r="M378" t="str">
        <f ca="1">IFERROR(__xludf.DUMMYFUNCTION("""COMPUTED_VALUE"""),"Ford F250 2017 (Moby Dix) - DEP0021578")</f>
        <v>Ford F250 2017 (Moby Dix) - DEP0021578</v>
      </c>
      <c r="N378" t="str">
        <f ca="1">IFERROR(__xludf.DUMMYFUNCTION("""COMPUTED_VALUE"""),"Silas Tanner, (904) 483-8423, Remo Mondazzi")</f>
        <v>Silas Tanner, (904) 483-8423, Remo Mondazzi</v>
      </c>
      <c r="P378" t="str">
        <f ca="1">IFERROR(__xludf.DUMMYFUNCTION("""COMPUTED_VALUE"""),"S. Tanner")</f>
        <v>S. Tanner</v>
      </c>
      <c r="Q378" t="str">
        <f ca="1">IFERROR(__xludf.DUMMYFUNCTION("""COMPUTED_VALUE"""),"Good")</f>
        <v>Good</v>
      </c>
      <c r="R378" t="str">
        <f ca="1">IFERROR(__xludf.DUMMYFUNCTION("""COMPUTED_VALUE"""),"Good")</f>
        <v>Good</v>
      </c>
      <c r="S378" t="str">
        <f ca="1">IFERROR(__xludf.DUMMYFUNCTION("""COMPUTED_VALUE"""),"Good")</f>
        <v>Good</v>
      </c>
      <c r="T378" t="str">
        <f ca="1">IFERROR(__xludf.DUMMYFUNCTION("""COMPUTED_VALUE"""),"Good")</f>
        <v>Good</v>
      </c>
      <c r="U378" t="str">
        <f ca="1">IFERROR(__xludf.DUMMYFUNCTION("""COMPUTED_VALUE"""),"Good")</f>
        <v>Good</v>
      </c>
      <c r="V378" t="str">
        <f ca="1">IFERROR(__xludf.DUMMYFUNCTION("""COMPUTED_VALUE"""),"Good")</f>
        <v>Good</v>
      </c>
      <c r="W378" t="str">
        <f ca="1">IFERROR(__xludf.DUMMYFUNCTION("""COMPUTED_VALUE"""),"Good")</f>
        <v>Good</v>
      </c>
      <c r="X378" t="str">
        <f ca="1">IFERROR(__xludf.DUMMYFUNCTION("""COMPUTED_VALUE"""),"Good")</f>
        <v>Good</v>
      </c>
      <c r="Y378" t="str">
        <f ca="1">IFERROR(__xludf.DUMMYFUNCTION("""COMPUTED_VALUE"""),"Good")</f>
        <v>Good</v>
      </c>
      <c r="Z378" t="str">
        <f ca="1">IFERROR(__xludf.DUMMYFUNCTION("""COMPUTED_VALUE"""),"Good")</f>
        <v>Good</v>
      </c>
      <c r="AA378" t="str">
        <f ca="1">IFERROR(__xludf.DUMMYFUNCTION("""COMPUTED_VALUE"""),"Good")</f>
        <v>Good</v>
      </c>
      <c r="AB378" t="str">
        <f ca="1">IFERROR(__xludf.DUMMYFUNCTION("""COMPUTED_VALUE"""),"Good")</f>
        <v>Good</v>
      </c>
      <c r="AC378" t="str">
        <f ca="1">IFERROR(__xludf.DUMMYFUNCTION("""COMPUTED_VALUE"""),"Good")</f>
        <v>Good</v>
      </c>
      <c r="AE378" s="11"/>
      <c r="AF378" t="str">
        <v>Nikki.Dix@floridadep.gov</v>
      </c>
      <c r="AG378" s="17" t="s">
        <v>41</v>
      </c>
      <c r="AH378" s="12">
        <v>1120</v>
      </c>
      <c r="AI378" s="12" t="s">
        <v>1082</v>
      </c>
      <c r="AJ378" s="19" t="s">
        <v>1083</v>
      </c>
      <c r="AK378" s="20" t="str">
        <f>HYPERLINK("https://docs.google.com/document/d/1yjBfH6H6zIFAi5tn-uHL0_Gz62OBYgYXcoJvx0NpG70/edit?usp=drivesdk","Silas Tanner - 9/26/2019 7:50 AM")</f>
        <v>Silas Tanner - 9/26/2019 7:50 AM</v>
      </c>
      <c r="AL378" s="12" t="s">
        <v>1084</v>
      </c>
    </row>
    <row r="379" spans="1:38" ht="12.75">
      <c r="A379" s="10">
        <f ca="1">IFERROR(__xludf.DUMMYFUNCTION("""COMPUTED_VALUE"""),43734.455283912)</f>
        <v>43734.455283912001</v>
      </c>
      <c r="B379" s="11" t="str">
        <f ca="1">IFERROR(__xludf.DUMMYFUNCTION("""COMPUTED_VALUE"""),"Gabriela Canas")</f>
        <v>Gabriela Canas</v>
      </c>
      <c r="C379" t="str">
        <f ca="1">IFERROR(__xludf.DUMMYFUNCTION("""COMPUTED_VALUE"""),"n00836133@unf.edu")</f>
        <v>n00836133@unf.edu</v>
      </c>
      <c r="D379" t="str">
        <f ca="1">IFERROR(__xludf.DUMMYFUNCTION("""COMPUTED_VALUE"""),"Research/Nikki")</f>
        <v>Research/Nikki</v>
      </c>
      <c r="E379" t="str">
        <f ca="1">IFERROR(__xludf.DUMMYFUNCTION("""COMPUTED_VALUE"""),"Douglas crane")</f>
        <v>Douglas crane</v>
      </c>
      <c r="F379" s="13">
        <f ca="1">IFERROR(__xludf.DUMMYFUNCTION("""COMPUTED_VALUE"""),0.45833333333212)</f>
        <v>0.45833333333212001</v>
      </c>
      <c r="G379" s="14">
        <f ca="1">IFERROR(__xludf.DUMMYFUNCTION("""COMPUTED_VALUE"""),43734)</f>
        <v>43734</v>
      </c>
      <c r="H379" t="str">
        <f ca="1">IFERROR(__xludf.DUMMYFUNCTION("""COMPUTED_VALUE"""),"Gabby creek")</f>
        <v>Gabby creek</v>
      </c>
      <c r="I379" s="15">
        <f ca="1">IFERROR(__xludf.DUMMYFUNCTION("""COMPUTED_VALUE"""),0.166666666667879)</f>
        <v>0.16666666666787899</v>
      </c>
      <c r="J379" s="16">
        <f ca="1">IFERROR(__xludf.DUMMYFUNCTION("""COMPUTED_VALUE"""),43734.1875)</f>
        <v>43734.1875</v>
      </c>
      <c r="K379" t="str">
        <f ca="1">IFERROR(__xludf.DUMMYFUNCTION("""COMPUTED_VALUE"""),"20ft Sea Ark FL5351SJ UNF 2015")</f>
        <v>20ft Sea Ark FL5351SJ UNF 2015</v>
      </c>
      <c r="M379" t="str">
        <f ca="1">IFERROR(__xludf.DUMMYFUNCTION("""COMPUTED_VALUE"""),"Ford 4door dep07668")</f>
        <v>Ford 4door dep07668</v>
      </c>
      <c r="N379" t="str">
        <f ca="1">IFERROR(__xludf.DUMMYFUNCTION("""COMPUTED_VALUE"""),"Pam Marcum, (480) 332-5414")</f>
        <v>Pam Marcum, (480) 332-5414</v>
      </c>
      <c r="O379" t="str">
        <f ca="1">IFERROR(__xludf.DUMMYFUNCTION("""COMPUTED_VALUE"""),"Gabriela Canas, (904) 891-9743, Jess lee")</f>
        <v>Gabriela Canas, (904) 891-9743, Jess lee</v>
      </c>
      <c r="P379" t="str">
        <f ca="1">IFERROR(__xludf.DUMMYFUNCTION("""COMPUTED_VALUE"""),"Pam")</f>
        <v>Pam</v>
      </c>
      <c r="Q379" t="str">
        <f ca="1">IFERROR(__xludf.DUMMYFUNCTION("""COMPUTED_VALUE"""),"Good")</f>
        <v>Good</v>
      </c>
      <c r="R379" t="str">
        <f ca="1">IFERROR(__xludf.DUMMYFUNCTION("""COMPUTED_VALUE"""),"Good")</f>
        <v>Good</v>
      </c>
      <c r="S379" t="str">
        <f ca="1">IFERROR(__xludf.DUMMYFUNCTION("""COMPUTED_VALUE"""),"Good")</f>
        <v>Good</v>
      </c>
      <c r="T379" t="str">
        <f ca="1">IFERROR(__xludf.DUMMYFUNCTION("""COMPUTED_VALUE"""),"Good")</f>
        <v>Good</v>
      </c>
      <c r="U379" t="str">
        <f ca="1">IFERROR(__xludf.DUMMYFUNCTION("""COMPUTED_VALUE"""),"Good")</f>
        <v>Good</v>
      </c>
      <c r="V379" t="str">
        <f ca="1">IFERROR(__xludf.DUMMYFUNCTION("""COMPUTED_VALUE"""),"Good")</f>
        <v>Good</v>
      </c>
      <c r="W379" t="str">
        <f ca="1">IFERROR(__xludf.DUMMYFUNCTION("""COMPUTED_VALUE"""),"Good")</f>
        <v>Good</v>
      </c>
      <c r="X379" t="str">
        <f ca="1">IFERROR(__xludf.DUMMYFUNCTION("""COMPUTED_VALUE"""),"Good")</f>
        <v>Good</v>
      </c>
      <c r="Y379" t="str">
        <f ca="1">IFERROR(__xludf.DUMMYFUNCTION("""COMPUTED_VALUE"""),"Good")</f>
        <v>Good</v>
      </c>
      <c r="Z379" t="str">
        <f ca="1">IFERROR(__xludf.DUMMYFUNCTION("""COMPUTED_VALUE"""),"Good")</f>
        <v>Good</v>
      </c>
      <c r="AA379" t="str">
        <f ca="1">IFERROR(__xludf.DUMMYFUNCTION("""COMPUTED_VALUE"""),"Good")</f>
        <v>Good</v>
      </c>
      <c r="AB379" t="str">
        <f ca="1">IFERROR(__xludf.DUMMYFUNCTION("""COMPUTED_VALUE"""),"Good")</f>
        <v>Good</v>
      </c>
      <c r="AC379" t="str">
        <f ca="1">IFERROR(__xludf.DUMMYFUNCTION("""COMPUTED_VALUE"""),"Good")</f>
        <v>Good</v>
      </c>
      <c r="AE379" s="11"/>
      <c r="AF379" t="str">
        <v>Nikki.Dix@floridadep.gov</v>
      </c>
      <c r="AG379" s="17" t="s">
        <v>41</v>
      </c>
      <c r="AH379" s="12">
        <v>1608</v>
      </c>
      <c r="AI379" s="12" t="s">
        <v>1085</v>
      </c>
      <c r="AJ379" s="19" t="s">
        <v>1086</v>
      </c>
      <c r="AK379" s="20" t="str">
        <f>HYPERLINK("https://docs.google.com/document/d/1bJrBzE-p53jYgZXJ7d09hgLAWsK4ad1EDQSCTIFLbx8/edit?usp=drivesdk","Gabriela Canas - 9/26/2019 11:00 AM")</f>
        <v>Gabriela Canas - 9/26/2019 11:00 AM</v>
      </c>
      <c r="AL379" s="12" t="s">
        <v>1087</v>
      </c>
    </row>
    <row r="380" spans="1:38" ht="12.75">
      <c r="A380" s="10">
        <f ca="1">IFERROR(__xludf.DUMMYFUNCTION("""COMPUTED_VALUE"""),43738.627397824)</f>
        <v>43738.627397823999</v>
      </c>
      <c r="B380" s="11" t="str">
        <f ca="1">IFERROR(__xludf.DUMMYFUNCTION("""COMPUTED_VALUE"""),"Silas Tanner")</f>
        <v>Silas Tanner</v>
      </c>
      <c r="C380" t="str">
        <f ca="1">IFERROR(__xludf.DUMMYFUNCTION("""COMPUTED_VALUE"""),"silas.tanner@floridadep.gov")</f>
        <v>silas.tanner@floridadep.gov</v>
      </c>
      <c r="D380" t="str">
        <f ca="1">IFERROR(__xludf.DUMMYFUNCTION("""COMPUTED_VALUE"""),"Research/Nikki")</f>
        <v>Research/Nikki</v>
      </c>
      <c r="E380" t="str">
        <f ca="1">IFERROR(__xludf.DUMMYFUNCTION("""COMPUTED_VALUE"""),"Faver Dykes State Park")</f>
        <v>Faver Dykes State Park</v>
      </c>
      <c r="F380" s="13">
        <f ca="1">IFERROR(__xludf.DUMMYFUNCTION("""COMPUTED_VALUE"""),0.30208333333212)</f>
        <v>0.30208333333212001</v>
      </c>
      <c r="G380" s="14">
        <f ca="1">IFERROR(__xludf.DUMMYFUNCTION("""COMPUTED_VALUE"""),43739)</f>
        <v>43739</v>
      </c>
      <c r="H380" t="str">
        <f ca="1">IFERROR(__xludf.DUMMYFUNCTION("""COMPUTED_VALUE"""),"Pellicer Creek SWMP platforms")</f>
        <v>Pellicer Creek SWMP platforms</v>
      </c>
      <c r="I380" s="15">
        <f ca="1">IFERROR(__xludf.DUMMYFUNCTION("""COMPUTED_VALUE"""),0.52083333333212)</f>
        <v>0.52083333333212001</v>
      </c>
      <c r="J380" s="16">
        <f ca="1">IFERROR(__xludf.DUMMYFUNCTION("""COMPUTED_VALUE"""),43739.5729166666)</f>
        <v>43739.572916666599</v>
      </c>
      <c r="K380" t="str">
        <f ca="1">IFERROR(__xludf.DUMMYFUNCTION("""COMPUTED_VALUE"""),"20ft Sea Ark FL5351SJ UNF 2015")</f>
        <v>20ft Sea Ark FL5351SJ UNF 2015</v>
      </c>
      <c r="M380" t="str">
        <f ca="1">IFERROR(__xludf.DUMMYFUNCTION("""COMPUTED_VALUE"""),"Ford F250 2017 (Moby Dix) - DEP0021578")</f>
        <v>Ford F250 2017 (Moby Dix) - DEP0021578</v>
      </c>
      <c r="N380" t="str">
        <f ca="1">IFERROR(__xludf.DUMMYFUNCTION("""COMPUTED_VALUE"""),"Shannon Dunnigan, (803) 727-5734, Silas Tanner, (904) 483-8423")</f>
        <v>Shannon Dunnigan, (803) 727-5734, Silas Tanner, (904) 483-8423</v>
      </c>
      <c r="O380" t="str">
        <f ca="1">IFERROR(__xludf.DUMMYFUNCTION("""COMPUTED_VALUE"""),"Sloane Stephens")</f>
        <v>Sloane Stephens</v>
      </c>
      <c r="P380" t="str">
        <f ca="1">IFERROR(__xludf.DUMMYFUNCTION("""COMPUTED_VALUE"""),"S. Dunnigan")</f>
        <v>S. Dunnigan</v>
      </c>
      <c r="Q380" t="str">
        <f ca="1">IFERROR(__xludf.DUMMYFUNCTION("""COMPUTED_VALUE"""),"Good")</f>
        <v>Good</v>
      </c>
      <c r="R380" t="str">
        <f ca="1">IFERROR(__xludf.DUMMYFUNCTION("""COMPUTED_VALUE"""),"Good")</f>
        <v>Good</v>
      </c>
      <c r="S380" t="str">
        <f ca="1">IFERROR(__xludf.DUMMYFUNCTION("""COMPUTED_VALUE"""),"Good")</f>
        <v>Good</v>
      </c>
      <c r="T380" t="str">
        <f ca="1">IFERROR(__xludf.DUMMYFUNCTION("""COMPUTED_VALUE"""),"Good")</f>
        <v>Good</v>
      </c>
      <c r="U380" t="str">
        <f ca="1">IFERROR(__xludf.DUMMYFUNCTION("""COMPUTED_VALUE"""),"Good")</f>
        <v>Good</v>
      </c>
      <c r="V380" t="str">
        <f ca="1">IFERROR(__xludf.DUMMYFUNCTION("""COMPUTED_VALUE"""),"Good")</f>
        <v>Good</v>
      </c>
      <c r="W380" t="str">
        <f ca="1">IFERROR(__xludf.DUMMYFUNCTION("""COMPUTED_VALUE"""),"Good")</f>
        <v>Good</v>
      </c>
      <c r="X380" t="str">
        <f ca="1">IFERROR(__xludf.DUMMYFUNCTION("""COMPUTED_VALUE"""),"Good")</f>
        <v>Good</v>
      </c>
      <c r="Y380" t="str">
        <f ca="1">IFERROR(__xludf.DUMMYFUNCTION("""COMPUTED_VALUE"""),"Good")</f>
        <v>Good</v>
      </c>
      <c r="Z380" t="str">
        <f ca="1">IFERROR(__xludf.DUMMYFUNCTION("""COMPUTED_VALUE"""),"Good")</f>
        <v>Good</v>
      </c>
      <c r="AA380" t="str">
        <f ca="1">IFERROR(__xludf.DUMMYFUNCTION("""COMPUTED_VALUE"""),"Good")</f>
        <v>Good</v>
      </c>
      <c r="AB380" t="str">
        <f ca="1">IFERROR(__xludf.DUMMYFUNCTION("""COMPUTED_VALUE"""),"Good")</f>
        <v>Good</v>
      </c>
      <c r="AC380" t="str">
        <f ca="1">IFERROR(__xludf.DUMMYFUNCTION("""COMPUTED_VALUE"""),"Good")</f>
        <v>Good</v>
      </c>
      <c r="AE380" s="11"/>
      <c r="AF380" t="str">
        <v>Nikki.Dix@floridadep.gov</v>
      </c>
      <c r="AG380" s="17" t="s">
        <v>126</v>
      </c>
      <c r="AH380" s="12">
        <v>1035</v>
      </c>
      <c r="AI380" s="12" t="s">
        <v>1088</v>
      </c>
      <c r="AJ380" s="19" t="s">
        <v>1089</v>
      </c>
      <c r="AK380" s="20" t="str">
        <f>HYPERLINK("https://docs.google.com/document/d/1DbejGbhJM7OWl5fFkV9jQyRGb9Sziytoa1OTAioADpQ/edit?usp=drivesdk","Silas Tanner - 10/1/2019 7:15 AM")</f>
        <v>Silas Tanner - 10/1/2019 7:15 AM</v>
      </c>
      <c r="AL380" s="12" t="s">
        <v>1090</v>
      </c>
    </row>
    <row r="381" spans="1:38" ht="12.75">
      <c r="A381" s="10">
        <f ca="1">IFERROR(__xludf.DUMMYFUNCTION("""COMPUTED_VALUE"""),43739.534279618)</f>
        <v>43739.534279617998</v>
      </c>
      <c r="B381" s="11" t="str">
        <f ca="1">IFERROR(__xludf.DUMMYFUNCTION("""COMPUTED_VALUE"""),"Pam Marcum")</f>
        <v>Pam Marcum</v>
      </c>
      <c r="C381" t="str">
        <f ca="1">IFERROR(__xludf.DUMMYFUNCTION("""COMPUTED_VALUE"""),"Pamela.Marcum@FloridaDEP.gov")</f>
        <v>Pamela.Marcum@FloridaDEP.gov</v>
      </c>
      <c r="D381" t="str">
        <f ca="1">IFERROR(__xludf.DUMMYFUNCTION("""COMPUTED_VALUE"""),"Research/Nikki")</f>
        <v>Research/Nikki</v>
      </c>
      <c r="E381" t="str">
        <f ca="1">IFERROR(__xludf.DUMMYFUNCTION("""COMPUTED_VALUE"""),"Aunt Kate's")</f>
        <v>Aunt Kate's</v>
      </c>
      <c r="F381" s="13">
        <f ca="1">IFERROR(__xludf.DUMMYFUNCTION("""COMPUTED_VALUE"""),0.625)</f>
        <v>0.625</v>
      </c>
      <c r="G381" s="14">
        <f ca="1">IFERROR(__xludf.DUMMYFUNCTION("""COMPUTED_VALUE"""),43739)</f>
        <v>43739</v>
      </c>
      <c r="H381" t="str">
        <f ca="1">IFERROR(__xludf.DUMMYFUNCTION("""COMPUTED_VALUE"""),"Tolomato &amp; Guana Rivers")</f>
        <v>Tolomato &amp; Guana Rivers</v>
      </c>
      <c r="I381" s="15">
        <f ca="1">IFERROR(__xludf.DUMMYFUNCTION("""COMPUTED_VALUE"""),0.791666666667879)</f>
        <v>0.79166666666787899</v>
      </c>
      <c r="J381" s="16">
        <f ca="1">IFERROR(__xludf.DUMMYFUNCTION("""COMPUTED_VALUE"""),43739.8125)</f>
        <v>43739.8125</v>
      </c>
      <c r="K381" t="str">
        <f ca="1">IFERROR(__xludf.DUMMYFUNCTION("""COMPUTED_VALUE"""),"23ft Skiff (Bertha) FL7972LJ DEP07613")</f>
        <v>23ft Skiff (Bertha) FL7972LJ DEP07613</v>
      </c>
      <c r="M381" t="str">
        <f ca="1">IFERROR(__xludf.DUMMYFUNCTION("""COMPUTED_VALUE"""),"Ford F150 2010 (4 Door) - DEP07668")</f>
        <v>Ford F150 2010 (4 Door) - DEP07668</v>
      </c>
      <c r="N381" t="str">
        <f ca="1">IFERROR(__xludf.DUMMYFUNCTION("""COMPUTED_VALUE"""),"Pam Marcum, (480) 332-5414")</f>
        <v>Pam Marcum, (480) 332-5414</v>
      </c>
      <c r="O381" t="str">
        <f ca="1">IFERROR(__xludf.DUMMYFUNCTION("""COMPUTED_VALUE"""),"Adrienne Breef-Pilz, Kate")</f>
        <v>Adrienne Breef-Pilz, Kate</v>
      </c>
      <c r="P381" t="str">
        <f ca="1">IFERROR(__xludf.DUMMYFUNCTION("""COMPUTED_VALUE"""),"Pam")</f>
        <v>Pam</v>
      </c>
      <c r="Q381" t="str">
        <f ca="1">IFERROR(__xludf.DUMMYFUNCTION("""COMPUTED_VALUE"""),"Good")</f>
        <v>Good</v>
      </c>
      <c r="R381" t="str">
        <f ca="1">IFERROR(__xludf.DUMMYFUNCTION("""COMPUTED_VALUE"""),"Good")</f>
        <v>Good</v>
      </c>
      <c r="S381" t="str">
        <f ca="1">IFERROR(__xludf.DUMMYFUNCTION("""COMPUTED_VALUE"""),"Good")</f>
        <v>Good</v>
      </c>
      <c r="T381" t="str">
        <f ca="1">IFERROR(__xludf.DUMMYFUNCTION("""COMPUTED_VALUE"""),"Good")</f>
        <v>Good</v>
      </c>
      <c r="U381" t="str">
        <f ca="1">IFERROR(__xludf.DUMMYFUNCTION("""COMPUTED_VALUE"""),"Good")</f>
        <v>Good</v>
      </c>
      <c r="V381" t="str">
        <f ca="1">IFERROR(__xludf.DUMMYFUNCTION("""COMPUTED_VALUE"""),"Good")</f>
        <v>Good</v>
      </c>
      <c r="W381" t="str">
        <f ca="1">IFERROR(__xludf.DUMMYFUNCTION("""COMPUTED_VALUE"""),"Good")</f>
        <v>Good</v>
      </c>
      <c r="X381" t="str">
        <f ca="1">IFERROR(__xludf.DUMMYFUNCTION("""COMPUTED_VALUE"""),"Good")</f>
        <v>Good</v>
      </c>
      <c r="Y381" t="str">
        <f ca="1">IFERROR(__xludf.DUMMYFUNCTION("""COMPUTED_VALUE"""),"Good")</f>
        <v>Good</v>
      </c>
      <c r="Z381" t="str">
        <f ca="1">IFERROR(__xludf.DUMMYFUNCTION("""COMPUTED_VALUE"""),"Good")</f>
        <v>Good</v>
      </c>
      <c r="AA381" t="str">
        <f ca="1">IFERROR(__xludf.DUMMYFUNCTION("""COMPUTED_VALUE"""),"Good")</f>
        <v>Good</v>
      </c>
      <c r="AB381" t="str">
        <f ca="1">IFERROR(__xludf.DUMMYFUNCTION("""COMPUTED_VALUE"""),"Good")</f>
        <v>Good</v>
      </c>
      <c r="AC381" t="str">
        <f ca="1">IFERROR(__xludf.DUMMYFUNCTION("""COMPUTED_VALUE"""),"Good")</f>
        <v>Good</v>
      </c>
      <c r="AE381" s="11"/>
      <c r="AF381" t="str">
        <v>Nikki.Dix@floridadep.gov</v>
      </c>
      <c r="AG381" s="17" t="s">
        <v>41</v>
      </c>
      <c r="AH381" s="12">
        <v>1855</v>
      </c>
      <c r="AI381" s="12" t="s">
        <v>1091</v>
      </c>
      <c r="AJ381" s="19" t="s">
        <v>1092</v>
      </c>
      <c r="AK381" s="20" t="str">
        <f>HYPERLINK("https://docs.google.com/document/d/1qIaFzaKCnPb1lZek9agDPwVAvyZMEizaSV_xR-V6yDE/edit?usp=drivesdk","Pam Marcum - 10/1/2019 3:00 PM")</f>
        <v>Pam Marcum - 10/1/2019 3:00 PM</v>
      </c>
      <c r="AL381" s="12" t="s">
        <v>1093</v>
      </c>
    </row>
    <row r="382" spans="1:38" ht="12.75">
      <c r="A382" s="10">
        <f ca="1">IFERROR(__xludf.DUMMYFUNCTION("""COMPUTED_VALUE"""),43739.542672581)</f>
        <v>43739.542672581003</v>
      </c>
      <c r="B382" s="11" t="str">
        <f ca="1">IFERROR(__xludf.DUMMYFUNCTION("""COMPUTED_VALUE"""),"Alexandria Knoell")</f>
        <v>Alexandria Knoell</v>
      </c>
      <c r="C382" t="str">
        <f ca="1">IFERROR(__xludf.DUMMYFUNCTION("""COMPUTED_VALUE"""),"alee.knoell@floridadep.gov")</f>
        <v>alee.knoell@floridadep.gov</v>
      </c>
      <c r="D382" t="str">
        <f ca="1">IFERROR(__xludf.DUMMYFUNCTION("""COMPUTED_VALUE"""),"Research/Pam")</f>
        <v>Research/Pam</v>
      </c>
      <c r="E382" t="str">
        <f ca="1">IFERROR(__xludf.DUMMYFUNCTION("""COMPUTED_VALUE"""),"Shore Dr.")</f>
        <v>Shore Dr.</v>
      </c>
      <c r="F382" s="13">
        <f ca="1">IFERROR(__xludf.DUMMYFUNCTION("""COMPUTED_VALUE"""),0.58333333333212)</f>
        <v>0.58333333333212001</v>
      </c>
      <c r="G382" s="24">
        <f ca="1">IFERROR(__xludf.DUMMYFUNCTION("""COMPUTED_VALUE"""),43740)</f>
        <v>43740</v>
      </c>
      <c r="H382" t="str">
        <f ca="1">IFERROR(__xludf.DUMMYFUNCTION("""COMPUTED_VALUE"""),"Matanzas River")</f>
        <v>Matanzas River</v>
      </c>
      <c r="I382" s="15">
        <f ca="1">IFERROR(__xludf.DUMMYFUNCTION("""COMPUTED_VALUE"""),0.75)</f>
        <v>0.75</v>
      </c>
      <c r="J382" s="16">
        <f ca="1">IFERROR(__xludf.DUMMYFUNCTION("""COMPUTED_VALUE"""),43740.7708333333)</f>
        <v>43740.770833333299</v>
      </c>
      <c r="K382" t="str">
        <f ca="1">IFERROR(__xludf.DUMMYFUNCTION("""COMPUTED_VALUE"""),"17ft Skiff (Marsha) FL0642GW DEP07239")</f>
        <v>17ft Skiff (Marsha) FL0642GW DEP07239</v>
      </c>
      <c r="M382" t="str">
        <f ca="1">IFERROR(__xludf.DUMMYFUNCTION("""COMPUTED_VALUE"""),"Ford F150 2015 (White) - DEP21448")</f>
        <v>Ford F150 2015 (White) - DEP21448</v>
      </c>
      <c r="N382" t="str">
        <f ca="1">IFERROR(__xludf.DUMMYFUNCTION("""COMPUTED_VALUE"""),"Remo Mondazzi")</f>
        <v>Remo Mondazzi</v>
      </c>
      <c r="O382" t="str">
        <f ca="1">IFERROR(__xludf.DUMMYFUNCTION("""COMPUTED_VALUE"""),"Alee Knoell, (619) 750-4833")</f>
        <v>Alee Knoell, (619) 750-4833</v>
      </c>
      <c r="P382" t="str">
        <f ca="1">IFERROR(__xludf.DUMMYFUNCTION("""COMPUTED_VALUE"""),"Remo Mondazzi")</f>
        <v>Remo Mondazzi</v>
      </c>
      <c r="Q382" t="str">
        <f ca="1">IFERROR(__xludf.DUMMYFUNCTION("""COMPUTED_VALUE"""),"By checking here, you certify that you have checked all of the items listed")</f>
        <v>By checking here, you certify that you have checked all of the items listed</v>
      </c>
      <c r="AE382" s="11"/>
      <c r="AF382" t="str">
        <v>Pamela.Marcum@floridadep.gov</v>
      </c>
      <c r="AG382" s="17" t="s">
        <v>139</v>
      </c>
      <c r="AH382" s="12">
        <v>1830</v>
      </c>
      <c r="AI382" s="12" t="s">
        <v>1094</v>
      </c>
      <c r="AJ382" s="19" t="s">
        <v>1095</v>
      </c>
      <c r="AK382" s="20" t="str">
        <f>HYPERLINK("https://docs.google.com/document/d/1Z3xYCrnpat_lvHHxFDMS8j1Zd0EyO6PwPk4_SrgvZEg/edit?usp=drivesdk","Alexandria Knoell - 10/2/2019 2:00 PM")</f>
        <v>Alexandria Knoell - 10/2/2019 2:00 PM</v>
      </c>
      <c r="AL382" s="12" t="s">
        <v>1096</v>
      </c>
    </row>
    <row r="383" spans="1:38" ht="12.75">
      <c r="A383" s="10">
        <f ca="1">IFERROR(__xludf.DUMMYFUNCTION("""COMPUTED_VALUE"""),43740.3126736342)</f>
        <v>43740.312673634202</v>
      </c>
      <c r="B383" s="11" t="str">
        <f ca="1">IFERROR(__xludf.DUMMYFUNCTION("""COMPUTED_VALUE"""),"Shannon Dunnigan")</f>
        <v>Shannon Dunnigan</v>
      </c>
      <c r="C383" t="str">
        <f ca="1">IFERROR(__xludf.DUMMYFUNCTION("""COMPUTED_VALUE"""),"shannon.dunnigan@floridadep.gov")</f>
        <v>shannon.dunnigan@floridadep.gov</v>
      </c>
      <c r="D383" t="str">
        <f ca="1">IFERROR(__xludf.DUMMYFUNCTION("""COMPUTED_VALUE"""),"Research/Nikki")</f>
        <v>Research/Nikki</v>
      </c>
      <c r="E383" t="str">
        <f ca="1">IFERROR(__xludf.DUMMYFUNCTION("""COMPUTED_VALUE"""),"Bings Landing")</f>
        <v>Bings Landing</v>
      </c>
      <c r="F383" s="13">
        <f ca="1">IFERROR(__xludf.DUMMYFUNCTION("""COMPUTED_VALUE"""),0.319444444445252)</f>
        <v>0.319444444445252</v>
      </c>
      <c r="G383" s="14">
        <f ca="1">IFERROR(__xludf.DUMMYFUNCTION("""COMPUTED_VALUE"""),43740)</f>
        <v>43740</v>
      </c>
      <c r="H383" t="str">
        <f ca="1">IFERROR(__xludf.DUMMYFUNCTION("""COMPUTED_VALUE"""),"Washington Oaks veg platforms")</f>
        <v>Washington Oaks veg platforms</v>
      </c>
      <c r="I383" s="15">
        <f ca="1">IFERROR(__xludf.DUMMYFUNCTION("""COMPUTED_VALUE"""),0.541666666667879)</f>
        <v>0.54166666666787899</v>
      </c>
      <c r="J383" s="16">
        <f ca="1">IFERROR(__xludf.DUMMYFUNCTION("""COMPUTED_VALUE"""),43740.6458333333)</f>
        <v>43740.645833333299</v>
      </c>
      <c r="K383" t="str">
        <f ca="1">IFERROR(__xludf.DUMMYFUNCTION("""COMPUTED_VALUE"""),"20ft Sea Ark FL5351SJ UNF 2015")</f>
        <v>20ft Sea Ark FL5351SJ UNF 2015</v>
      </c>
      <c r="M383" t="str">
        <f ca="1">IFERROR(__xludf.DUMMYFUNCTION("""COMPUTED_VALUE"""),"Ford F250 2017 (Moby Dix) - DEP0021578")</f>
        <v>Ford F250 2017 (Moby Dix) - DEP0021578</v>
      </c>
      <c r="N383" t="str">
        <f ca="1">IFERROR(__xludf.DUMMYFUNCTION("""COMPUTED_VALUE"""),"Shannon Dunnigan, (803) 727-5734, Silas Tanner, (904) 483-8423")</f>
        <v>Shannon Dunnigan, (803) 727-5734, Silas Tanner, (904) 483-8423</v>
      </c>
      <c r="O383" t="str">
        <f ca="1">IFERROR(__xludf.DUMMYFUNCTION("""COMPUTED_VALUE"""),"Alee Knoell, (619) 750-4833, Casey McClure")</f>
        <v>Alee Knoell, (619) 750-4833, Casey McClure</v>
      </c>
      <c r="P383" t="str">
        <f ca="1">IFERROR(__xludf.DUMMYFUNCTION("""COMPUTED_VALUE"""),"Shannon")</f>
        <v>Shannon</v>
      </c>
      <c r="Q383" t="str">
        <f ca="1">IFERROR(__xludf.DUMMYFUNCTION("""COMPUTED_VALUE"""),"By checking here, you certify that you have checked all of the items listed")</f>
        <v>By checking here, you certify that you have checked all of the items listed</v>
      </c>
      <c r="AE383" s="11"/>
      <c r="AF383" t="str">
        <v>Nikki.Dix@floridadep.gov</v>
      </c>
      <c r="AG383" s="17" t="s">
        <v>41</v>
      </c>
      <c r="AH383" s="12">
        <v>1105</v>
      </c>
      <c r="AI383" s="12" t="s">
        <v>1097</v>
      </c>
      <c r="AJ383" s="19" t="s">
        <v>1098</v>
      </c>
      <c r="AK383" s="20" t="str">
        <f>HYPERLINK("https://docs.google.com/document/d/1c3oIBDOSh2u6pFvXb4E_3APsR9Lem7S_3eSczmJQrGg/edit?usp=drivesdk","Shannon Dunnigan - 10/2/2019 7:40 AM")</f>
        <v>Shannon Dunnigan - 10/2/2019 7:40 AM</v>
      </c>
      <c r="AL383" s="12" t="s">
        <v>1099</v>
      </c>
    </row>
    <row r="384" spans="1:38" ht="12.75">
      <c r="A384" s="10">
        <f ca="1">IFERROR(__xludf.DUMMYFUNCTION("""COMPUTED_VALUE"""),43740.3404119328)</f>
        <v>43740.340411932797</v>
      </c>
      <c r="B384" s="11" t="str">
        <f ca="1">IFERROR(__xludf.DUMMYFUNCTION("""COMPUTED_VALUE"""),"Pamela Marcum")</f>
        <v>Pamela Marcum</v>
      </c>
      <c r="C384" t="str">
        <f ca="1">IFERROR(__xludf.DUMMYFUNCTION("""COMPUTED_VALUE"""),"Pamela.Marcum@floridadep.gov")</f>
        <v>Pamela.Marcum@floridadep.gov</v>
      </c>
      <c r="D384" t="str">
        <f ca="1">IFERROR(__xludf.DUMMYFUNCTION("""COMPUTED_VALUE"""),"Research/Nikki")</f>
        <v>Research/Nikki</v>
      </c>
      <c r="E384" t="str">
        <f ca="1">IFERROR(__xludf.DUMMYFUNCTION("""COMPUTED_VALUE"""),"Faver dykes")</f>
        <v>Faver dykes</v>
      </c>
      <c r="F384" s="13">
        <f ca="1">IFERROR(__xludf.DUMMYFUNCTION("""COMPUTED_VALUE"""),0.33333333333212)</f>
        <v>0.33333333333212001</v>
      </c>
      <c r="G384" s="14">
        <f ca="1">IFERROR(__xludf.DUMMYFUNCTION("""COMPUTED_VALUE"""),43740)</f>
        <v>43740</v>
      </c>
      <c r="H384" t="str">
        <f ca="1">IFERROR(__xludf.DUMMYFUNCTION("""COMPUTED_VALUE"""),"Upper pellicer creek")</f>
        <v>Upper pellicer creek</v>
      </c>
      <c r="I384" s="15">
        <f ca="1">IFERROR(__xludf.DUMMYFUNCTION("""COMPUTED_VALUE"""),0.541666666667879)</f>
        <v>0.54166666666787899</v>
      </c>
      <c r="J384" s="16">
        <f ca="1">IFERROR(__xludf.DUMMYFUNCTION("""COMPUTED_VALUE"""),43740.6041666666)</f>
        <v>43740.604166666599</v>
      </c>
      <c r="K384" t="str">
        <f ca="1">IFERROR(__xludf.DUMMYFUNCTION("""COMPUTED_VALUE"""),"17ft Skiff (Marsha) FL0642GW DEP07239")</f>
        <v>17ft Skiff (Marsha) FL0642GW DEP07239</v>
      </c>
      <c r="M384" t="str">
        <f ca="1">IFERROR(__xludf.DUMMYFUNCTION("""COMPUTED_VALUE"""),"Ford F150 2015 (White) - DEP21448")</f>
        <v>Ford F150 2015 (White) - DEP21448</v>
      </c>
      <c r="N384" t="str">
        <f ca="1">IFERROR(__xludf.DUMMYFUNCTION("""COMPUTED_VALUE"""),"Pam Marcum, (480) 332-5414")</f>
        <v>Pam Marcum, (480) 332-5414</v>
      </c>
      <c r="O384" t="str">
        <f ca="1">IFERROR(__xludf.DUMMYFUNCTION("""COMPUTED_VALUE"""),"Jay")</f>
        <v>Jay</v>
      </c>
      <c r="P384" t="str">
        <f ca="1">IFERROR(__xludf.DUMMYFUNCTION("""COMPUTED_VALUE"""),"Pam")</f>
        <v>Pam</v>
      </c>
      <c r="Q384" t="str">
        <f ca="1">IFERROR(__xludf.DUMMYFUNCTION("""COMPUTED_VALUE"""),"By checking here, you certify that you have checked all of the items listed")</f>
        <v>By checking here, you certify that you have checked all of the items listed</v>
      </c>
      <c r="AE384" s="11"/>
      <c r="AF384" t="str">
        <v>Nikki.Dix@floridadep.gov</v>
      </c>
      <c r="AG384" s="17" t="s">
        <v>113</v>
      </c>
      <c r="AH384" s="12">
        <v>1203</v>
      </c>
      <c r="AI384" s="12" t="s">
        <v>1100</v>
      </c>
      <c r="AJ384" s="19" t="s">
        <v>1101</v>
      </c>
      <c r="AK384" s="20" t="str">
        <f>HYPERLINK("https://docs.google.com/document/d/1xJ9T5reUjpXl3feP0fqVH6FQi3ovB4PsTEfdY2ZNAcA/edit?usp=drivesdk","Pamela Marcum - 10/2/2019 8:00 AM")</f>
        <v>Pamela Marcum - 10/2/2019 8:00 AM</v>
      </c>
      <c r="AL384" s="12" t="s">
        <v>1102</v>
      </c>
    </row>
    <row r="385" spans="1:38" ht="12.75">
      <c r="A385" s="10">
        <f ca="1">IFERROR(__xludf.DUMMYFUNCTION("""COMPUTED_VALUE"""),43741.2966648842)</f>
        <v>43741.296664884198</v>
      </c>
      <c r="B385" s="11" t="str">
        <f ca="1">IFERROR(__xludf.DUMMYFUNCTION("""COMPUTED_VALUE"""),"Alexandria Knoell")</f>
        <v>Alexandria Knoell</v>
      </c>
      <c r="C385" t="str">
        <f ca="1">IFERROR(__xludf.DUMMYFUNCTION("""COMPUTED_VALUE"""),"alee.knoell@floridadep.gov")</f>
        <v>alee.knoell@floridadep.gov</v>
      </c>
      <c r="D385" t="str">
        <f ca="1">IFERROR(__xludf.DUMMYFUNCTION("""COMPUTED_VALUE"""),"Research/Pam")</f>
        <v>Research/Pam</v>
      </c>
      <c r="E385" t="str">
        <f ca="1">IFERROR(__xludf.DUMMYFUNCTION("""COMPUTED_VALUE"""),"Lighthouse")</f>
        <v>Lighthouse</v>
      </c>
      <c r="F385" s="13">
        <f ca="1">IFERROR(__xludf.DUMMYFUNCTION("""COMPUTED_VALUE"""),0.3125)</f>
        <v>0.3125</v>
      </c>
      <c r="G385" s="14">
        <f ca="1">IFERROR(__xludf.DUMMYFUNCTION("""COMPUTED_VALUE"""),43741)</f>
        <v>43741</v>
      </c>
      <c r="H385" t="str">
        <f ca="1">IFERROR(__xludf.DUMMYFUNCTION("""COMPUTED_VALUE"""),"Salt Run")</f>
        <v>Salt Run</v>
      </c>
      <c r="I385" s="15">
        <f ca="1">IFERROR(__xludf.DUMMYFUNCTION("""COMPUTED_VALUE"""),0.416666666667879)</f>
        <v>0.41666666666787899</v>
      </c>
      <c r="J385" s="16">
        <f ca="1">IFERROR(__xludf.DUMMYFUNCTION("""COMPUTED_VALUE"""),43740.4166666666)</f>
        <v>43740.416666666599</v>
      </c>
      <c r="K385" t="str">
        <f ca="1">IFERROR(__xludf.DUMMYFUNCTION("""COMPUTED_VALUE"""),"17ft Skiff (Marsha) FL0642GW DEP07239")</f>
        <v>17ft Skiff (Marsha) FL0642GW DEP07239</v>
      </c>
      <c r="M385" t="str">
        <f ca="1">IFERROR(__xludf.DUMMYFUNCTION("""COMPUTED_VALUE"""),"Ford F150 2015 (White) - DEP21448")</f>
        <v>Ford F150 2015 (White) - DEP21448</v>
      </c>
      <c r="N385" t="str">
        <f ca="1">IFERROR(__xludf.DUMMYFUNCTION("""COMPUTED_VALUE"""),"Pam Marcum, (480) 332-5414")</f>
        <v>Pam Marcum, (480) 332-5414</v>
      </c>
      <c r="O385" t="str">
        <f ca="1">IFERROR(__xludf.DUMMYFUNCTION("""COMPUTED_VALUE"""),"Alee Knoell, (619) 750-4833")</f>
        <v>Alee Knoell, (619) 750-4833</v>
      </c>
      <c r="P385" t="str">
        <f ca="1">IFERROR(__xludf.DUMMYFUNCTION("""COMPUTED_VALUE"""),"Pam Marcum")</f>
        <v>Pam Marcum</v>
      </c>
      <c r="Q385" t="str">
        <f ca="1">IFERROR(__xludf.DUMMYFUNCTION("""COMPUTED_VALUE"""),"By checking here, you certify that you have checked all of the items listed")</f>
        <v>By checking here, you certify that you have checked all of the items listed</v>
      </c>
      <c r="AE385" s="11"/>
      <c r="AF385" t="str">
        <v>Pamela.Marcum@floridadep.gov</v>
      </c>
      <c r="AG385" s="17" t="s">
        <v>139</v>
      </c>
      <c r="AH385" s="12">
        <v>830</v>
      </c>
      <c r="AI385" s="12" t="s">
        <v>1103</v>
      </c>
      <c r="AJ385" s="19" t="s">
        <v>1104</v>
      </c>
      <c r="AK385" s="20" t="str">
        <f>HYPERLINK("https://docs.google.com/document/d/1gzBZ5HfQJnnJWXvG5NS6oS9z2fy4WrO3XnzB6x8mkYc/edit?usp=drivesdk","&lt;&lt;YOUR NAME&gt;&gt; - &lt;&lt;Date you plan to launch&gt;&gt; &lt;&lt;Time you plan to launch&gt;&gt;")</f>
        <v>&lt;&lt;YOUR NAME&gt;&gt; - &lt;&lt;Date you plan to launch&gt;&gt; &lt;&lt;Time you plan to launch&gt;&gt;</v>
      </c>
      <c r="AL385" s="12" t="s">
        <v>1105</v>
      </c>
    </row>
    <row r="386" spans="1:38" ht="12.75">
      <c r="A386" s="10">
        <f ca="1">IFERROR(__xludf.DUMMYFUNCTION("""COMPUTED_VALUE"""),43741.3611558449)</f>
        <v>43741.361155844897</v>
      </c>
      <c r="B386" s="11" t="str">
        <f ca="1">IFERROR(__xludf.DUMMYFUNCTION("""COMPUTED_VALUE"""),"Alexandria Knoell")</f>
        <v>Alexandria Knoell</v>
      </c>
      <c r="C386" t="str">
        <f ca="1">IFERROR(__xludf.DUMMYFUNCTION("""COMPUTED_VALUE"""),"alee.knoell@floridadep.gov")</f>
        <v>alee.knoell@floridadep.gov</v>
      </c>
      <c r="D386" t="str">
        <f ca="1">IFERROR(__xludf.DUMMYFUNCTION("""COMPUTED_VALUE"""),"Research/Nikki")</f>
        <v>Research/Nikki</v>
      </c>
      <c r="E386" t="str">
        <f ca="1">IFERROR(__xludf.DUMMYFUNCTION("""COMPUTED_VALUE"""),"Green road")</f>
        <v>Green road</v>
      </c>
      <c r="F386" s="13">
        <f ca="1">IFERROR(__xludf.DUMMYFUNCTION("""COMPUTED_VALUE"""),0.375)</f>
        <v>0.375</v>
      </c>
      <c r="G386" s="14">
        <f ca="1">IFERROR(__xludf.DUMMYFUNCTION("""COMPUTED_VALUE"""),43741)</f>
        <v>43741</v>
      </c>
      <c r="H386" t="str">
        <f ca="1">IFERROR(__xludf.DUMMYFUNCTION("""COMPUTED_VALUE"""),"Devils elbow")</f>
        <v>Devils elbow</v>
      </c>
      <c r="I386" s="15">
        <f ca="1">IFERROR(__xludf.DUMMYFUNCTION("""COMPUTED_VALUE"""),0.416666666667879)</f>
        <v>0.41666666666787899</v>
      </c>
      <c r="J386" s="16">
        <f ca="1">IFERROR(__xludf.DUMMYFUNCTION("""COMPUTED_VALUE"""),43741.6666666666)</f>
        <v>43741.666666666599</v>
      </c>
      <c r="K386" t="str">
        <f ca="1">IFERROR(__xludf.DUMMYFUNCTION("""COMPUTED_VALUE"""),"17ft Skiff (Marsha) FL0642GW DEP07239")</f>
        <v>17ft Skiff (Marsha) FL0642GW DEP07239</v>
      </c>
      <c r="M386" t="str">
        <f ca="1">IFERROR(__xludf.DUMMYFUNCTION("""COMPUTED_VALUE"""),"Ford F150 2015 (White) - DEP21448")</f>
        <v>Ford F150 2015 (White) - DEP21448</v>
      </c>
      <c r="N386" t="str">
        <f ca="1">IFERROR(__xludf.DUMMYFUNCTION("""COMPUTED_VALUE"""),"Pam Marcum, (480) 332-5414")</f>
        <v>Pam Marcum, (480) 332-5414</v>
      </c>
      <c r="O386" t="str">
        <f ca="1">IFERROR(__xludf.DUMMYFUNCTION("""COMPUTED_VALUE"""),"Alee Knoell, (619) 750-4833")</f>
        <v>Alee Knoell, (619) 750-4833</v>
      </c>
      <c r="P386" t="str">
        <f ca="1">IFERROR(__xludf.DUMMYFUNCTION("""COMPUTED_VALUE"""),"Pam marcum")</f>
        <v>Pam marcum</v>
      </c>
      <c r="Q386" t="str">
        <f ca="1">IFERROR(__xludf.DUMMYFUNCTION("""COMPUTED_VALUE"""),"By checking here, you certify that you have checked all of the items listed")</f>
        <v>By checking here, you certify that you have checked all of the items listed</v>
      </c>
      <c r="AE386" s="11"/>
      <c r="AF386" t="str">
        <v>Nikki.Dix@floridadep.gov</v>
      </c>
      <c r="AG386" s="17" t="s">
        <v>139</v>
      </c>
      <c r="AH386" s="12">
        <v>1030</v>
      </c>
      <c r="AI386" s="12" t="s">
        <v>1106</v>
      </c>
      <c r="AJ386" s="19" t="s">
        <v>1107</v>
      </c>
      <c r="AK386" s="20" t="str">
        <f>HYPERLINK("https://docs.google.com/document/d/1BAinsbnizosXnxABViaWb-GWFCx3cHjCFySCLmnYpts/edit?usp=drivesdk","&lt;&lt;YOUR NAME&gt;&gt; - &lt;&lt;Date you plan to launch&gt;&gt; &lt;&lt;Time you plan to launch&gt;&gt;")</f>
        <v>&lt;&lt;YOUR NAME&gt;&gt; - &lt;&lt;Date you plan to launch&gt;&gt; &lt;&lt;Time you plan to launch&gt;&gt;</v>
      </c>
      <c r="AL386" s="12" t="s">
        <v>1108</v>
      </c>
    </row>
    <row r="387" spans="1:38" ht="12.75">
      <c r="A387" s="10">
        <f ca="1">IFERROR(__xludf.DUMMYFUNCTION("""COMPUTED_VALUE"""),43741.4444476851)</f>
        <v>43741.444447685099</v>
      </c>
      <c r="B387" s="11" t="str">
        <f ca="1">IFERROR(__xludf.DUMMYFUNCTION("""COMPUTED_VALUE"""),"Alexandria Knoell")</f>
        <v>Alexandria Knoell</v>
      </c>
      <c r="C387" t="str">
        <f ca="1">IFERROR(__xludf.DUMMYFUNCTION("""COMPUTED_VALUE"""),"alee.knoell@floridadep.gov")</f>
        <v>alee.knoell@floridadep.gov</v>
      </c>
      <c r="D387" t="str">
        <f ca="1">IFERROR(__xludf.DUMMYFUNCTION("""COMPUTED_VALUE"""),"Research/Nikki")</f>
        <v>Research/Nikki</v>
      </c>
      <c r="E387" t="str">
        <f ca="1">IFERROR(__xludf.DUMMYFUNCTION("""COMPUTED_VALUE"""),"Faver dykes")</f>
        <v>Faver dykes</v>
      </c>
      <c r="F387" s="13">
        <f ca="1">IFERROR(__xludf.DUMMYFUNCTION("""COMPUTED_VALUE"""),0.95833333333212)</f>
        <v>0.95833333333212001</v>
      </c>
      <c r="G387" s="14">
        <f ca="1">IFERROR(__xludf.DUMMYFUNCTION("""COMPUTED_VALUE"""),43741)</f>
        <v>43741</v>
      </c>
      <c r="H387" t="str">
        <f ca="1">IFERROR(__xludf.DUMMYFUNCTION("""COMPUTED_VALUE"""),"Pelicer Creek")</f>
        <v>Pelicer Creek</v>
      </c>
      <c r="I387" s="15">
        <f ca="1">IFERROR(__xludf.DUMMYFUNCTION("""COMPUTED_VALUE"""),0.666666666667879)</f>
        <v>0.66666666666787899</v>
      </c>
      <c r="J387" s="16">
        <f ca="1">IFERROR(__xludf.DUMMYFUNCTION("""COMPUTED_VALUE"""),43741.7083333333)</f>
        <v>43741.708333333299</v>
      </c>
      <c r="K387" t="str">
        <f ca="1">IFERROR(__xludf.DUMMYFUNCTION("""COMPUTED_VALUE"""),"17ft Skiff (Marsha) FL0642GW DEP07239")</f>
        <v>17ft Skiff (Marsha) FL0642GW DEP07239</v>
      </c>
      <c r="M387" t="str">
        <f ca="1">IFERROR(__xludf.DUMMYFUNCTION("""COMPUTED_VALUE"""),"Ford F150 2015 (White) - DEP21448")</f>
        <v>Ford F150 2015 (White) - DEP21448</v>
      </c>
      <c r="N387" t="str">
        <f ca="1">IFERROR(__xludf.DUMMYFUNCTION("""COMPUTED_VALUE"""),"Pam Marcum, (480) 332-5414")</f>
        <v>Pam Marcum, (480) 332-5414</v>
      </c>
      <c r="O387" t="str">
        <f ca="1">IFERROR(__xludf.DUMMYFUNCTION("""COMPUTED_VALUE"""),"Alee Knoell, (619) 750-4833")</f>
        <v>Alee Knoell, (619) 750-4833</v>
      </c>
      <c r="P387" t="str">
        <f ca="1">IFERROR(__xludf.DUMMYFUNCTION("""COMPUTED_VALUE"""),"Pam marcum")</f>
        <v>Pam marcum</v>
      </c>
      <c r="Q387" t="str">
        <f ca="1">IFERROR(__xludf.DUMMYFUNCTION("""COMPUTED_VALUE"""),"By checking here, you certify that you have checked all of the items listed")</f>
        <v>By checking here, you certify that you have checked all of the items listed</v>
      </c>
      <c r="AE387" s="11"/>
      <c r="AF387" t="str">
        <v>Nikki.Dix@floridadep.gov</v>
      </c>
      <c r="AG387" s="17" t="s">
        <v>1109</v>
      </c>
      <c r="AH387" s="12">
        <v>1402</v>
      </c>
      <c r="AI387" s="12" t="s">
        <v>1110</v>
      </c>
      <c r="AJ387" s="19" t="s">
        <v>1111</v>
      </c>
      <c r="AK387" s="20" t="str">
        <f>HYPERLINK("https://docs.google.com/document/d/1LTJH8ulRvbXzhhYPuyDroEp7Q2546Kpw3GyUZ3Rj3OQ/edit?usp=drivesdk","&lt;&lt;YOUR NAME&gt;&gt; - &lt;&lt;Date you plan to launch&gt;&gt; &lt;&lt;Time you plan to launch&gt;&gt;")</f>
        <v>&lt;&lt;YOUR NAME&gt;&gt; - &lt;&lt;Date you plan to launch&gt;&gt; &lt;&lt;Time you plan to launch&gt;&gt;</v>
      </c>
      <c r="AL387" s="12" t="s">
        <v>1112</v>
      </c>
    </row>
    <row r="388" spans="1:38" ht="12.75">
      <c r="A388" s="10">
        <f ca="1">IFERROR(__xludf.DUMMYFUNCTION("""COMPUTED_VALUE"""),43741.4647743981)</f>
        <v>43741.464774398097</v>
      </c>
      <c r="B388" s="11" t="str">
        <f ca="1">IFERROR(__xludf.DUMMYFUNCTION("""COMPUTED_VALUE"""),"Pam Marcum")</f>
        <v>Pam Marcum</v>
      </c>
      <c r="C388" t="str">
        <f ca="1">IFERROR(__xludf.DUMMYFUNCTION("""COMPUTED_VALUE"""),"pamela.marcum@floridadep.gov")</f>
        <v>pamela.marcum@floridadep.gov</v>
      </c>
      <c r="D388" t="str">
        <f ca="1">IFERROR(__xludf.DUMMYFUNCTION("""COMPUTED_VALUE"""),"Research/Nikki")</f>
        <v>Research/Nikki</v>
      </c>
      <c r="E388" t="str">
        <f ca="1">IFERROR(__xludf.DUMMYFUNCTION("""COMPUTED_VALUE"""),"Faver Dykes")</f>
        <v>Faver Dykes</v>
      </c>
      <c r="F388" s="13">
        <f ca="1">IFERROR(__xludf.DUMMYFUNCTION("""COMPUTED_VALUE"""),0.46875)</f>
        <v>0.46875</v>
      </c>
      <c r="G388" s="14">
        <f ca="1">IFERROR(__xludf.DUMMYFUNCTION("""COMPUTED_VALUE"""),43741)</f>
        <v>43741</v>
      </c>
      <c r="H388" t="str">
        <f ca="1">IFERROR(__xludf.DUMMYFUNCTION("""COMPUTED_VALUE"""),"Pellicer Creek")</f>
        <v>Pellicer Creek</v>
      </c>
      <c r="I388" s="15">
        <f ca="1">IFERROR(__xludf.DUMMYFUNCTION("""COMPUTED_VALUE"""),0.625)</f>
        <v>0.625</v>
      </c>
      <c r="J388" s="16">
        <f ca="1">IFERROR(__xludf.DUMMYFUNCTION("""COMPUTED_VALUE"""),43741.6875)</f>
        <v>43741.6875</v>
      </c>
      <c r="K388" t="str">
        <f ca="1">IFERROR(__xludf.DUMMYFUNCTION("""COMPUTED_VALUE"""),"17ft Skiff (Marsha) FL0642GW DEP07239")</f>
        <v>17ft Skiff (Marsha) FL0642GW DEP07239</v>
      </c>
      <c r="M388" t="str">
        <f ca="1">IFERROR(__xludf.DUMMYFUNCTION("""COMPUTED_VALUE"""),"Ford F150 2015 (White) - DEP21448")</f>
        <v>Ford F150 2015 (White) - DEP21448</v>
      </c>
      <c r="N388" t="str">
        <f ca="1">IFERROR(__xludf.DUMMYFUNCTION("""COMPUTED_VALUE"""),"Pam Marcum, (480) 332-5414")</f>
        <v>Pam Marcum, (480) 332-5414</v>
      </c>
      <c r="O388" t="str">
        <f ca="1">IFERROR(__xludf.DUMMYFUNCTION("""COMPUTED_VALUE"""),"Alee Knoell, (619) 750-4833")</f>
        <v>Alee Knoell, (619) 750-4833</v>
      </c>
      <c r="P388" t="str">
        <f ca="1">IFERROR(__xludf.DUMMYFUNCTION("""COMPUTED_VALUE"""),"Pam")</f>
        <v>Pam</v>
      </c>
      <c r="Q388" t="str">
        <f ca="1">IFERROR(__xludf.DUMMYFUNCTION("""COMPUTED_VALUE"""),"By checking here, you certify that you have checked all of the items listed")</f>
        <v>By checking here, you certify that you have checked all of the items listed</v>
      </c>
      <c r="AE388" s="11"/>
      <c r="AF388" t="str">
        <v>Nikki.Dix@floridadep.gov</v>
      </c>
      <c r="AG388" s="17" t="s">
        <v>1109</v>
      </c>
      <c r="AH388" s="12">
        <v>1402</v>
      </c>
      <c r="AI388" s="12" t="s">
        <v>1113</v>
      </c>
      <c r="AJ388" s="19" t="s">
        <v>1114</v>
      </c>
      <c r="AK388" s="20" t="str">
        <f>HYPERLINK("https://docs.google.com/document/d/1CnmyIB1CMEK3y8oTsG8VVvIk28_ZM3rcS_hbz0BaXpM/edit?usp=drivesdk","&lt;&lt;YOUR NAME&gt;&gt; - &lt;&lt;Date you plan to launch&gt;&gt; &lt;&lt;Time you plan to launch&gt;&gt;")</f>
        <v>&lt;&lt;YOUR NAME&gt;&gt; - &lt;&lt;Date you plan to launch&gt;&gt; &lt;&lt;Time you plan to launch&gt;&gt;</v>
      </c>
      <c r="AL388" s="12" t="s">
        <v>1115</v>
      </c>
    </row>
    <row r="389" spans="1:38" ht="12.75">
      <c r="A389" s="10">
        <f ca="1">IFERROR(__xludf.DUMMYFUNCTION("""COMPUTED_VALUE"""),43741.4851649537)</f>
        <v>43741.485164953701</v>
      </c>
      <c r="B389" s="11" t="str">
        <f ca="1">IFERROR(__xludf.DUMMYFUNCTION("""COMPUTED_VALUE"""),"Silas Tanner")</f>
        <v>Silas Tanner</v>
      </c>
      <c r="C389" t="str">
        <f ca="1">IFERROR(__xludf.DUMMYFUNCTION("""COMPUTED_VALUE"""),"silas.tanner@floridadep.gov")</f>
        <v>silas.tanner@floridadep.gov</v>
      </c>
      <c r="D389" t="str">
        <f ca="1">IFERROR(__xludf.DUMMYFUNCTION("""COMPUTED_VALUE"""),"Research/Nikki")</f>
        <v>Research/Nikki</v>
      </c>
      <c r="E389" t="str">
        <f ca="1">IFERROR(__xludf.DUMMYFUNCTION("""COMPUTED_VALUE"""),"Palm Valley 210")</f>
        <v>Palm Valley 210</v>
      </c>
      <c r="F389" s="13">
        <f ca="1">IFERROR(__xludf.DUMMYFUNCTION("""COMPUTED_VALUE"""),0.322916666667879)</f>
        <v>0.32291666666787899</v>
      </c>
      <c r="G389" s="14">
        <f ca="1">IFERROR(__xludf.DUMMYFUNCTION("""COMPUTED_VALUE"""),43741)</f>
        <v>43741</v>
      </c>
      <c r="H389" t="str">
        <f ca="1">IFERROR(__xludf.DUMMYFUNCTION("""COMPUTED_VALUE"""),"Pine Island platforms")</f>
        <v>Pine Island platforms</v>
      </c>
      <c r="I389" s="15">
        <f ca="1">IFERROR(__xludf.DUMMYFUNCTION("""COMPUTED_VALUE"""),0.50069444444307)</f>
        <v>0.50069444444306999</v>
      </c>
      <c r="J389" s="16">
        <f ca="1">IFERROR(__xludf.DUMMYFUNCTION("""COMPUTED_VALUE"""),43741.5208333333)</f>
        <v>43741.520833333299</v>
      </c>
      <c r="K389" t="str">
        <f ca="1">IFERROR(__xludf.DUMMYFUNCTION("""COMPUTED_VALUE"""),"20ft Sea Ark FL5351SJ UNF 2015")</f>
        <v>20ft Sea Ark FL5351SJ UNF 2015</v>
      </c>
      <c r="M389" t="str">
        <f ca="1">IFERROR(__xludf.DUMMYFUNCTION("""COMPUTED_VALUE"""),"Ford F250 2017 (Moby Dix) - DEP0021578")</f>
        <v>Ford F250 2017 (Moby Dix) - DEP0021578</v>
      </c>
      <c r="N389" t="str">
        <f ca="1">IFERROR(__xludf.DUMMYFUNCTION("""COMPUTED_VALUE"""),"Shannon Dunnigan, (803) 727-5734, Silas Tanner, (904) 483-8423")</f>
        <v>Shannon Dunnigan, (803) 727-5734, Silas Tanner, (904) 483-8423</v>
      </c>
      <c r="O389" t="str">
        <f ca="1">IFERROR(__xludf.DUMMYFUNCTION("""COMPUTED_VALUE"""),"Abby Kuhn")</f>
        <v>Abby Kuhn</v>
      </c>
      <c r="P389" t="str">
        <f ca="1">IFERROR(__xludf.DUMMYFUNCTION("""COMPUTED_VALUE"""),"S Dunnigan")</f>
        <v>S Dunnigan</v>
      </c>
      <c r="Q389" t="str">
        <f ca="1">IFERROR(__xludf.DUMMYFUNCTION("""COMPUTED_VALUE"""),"By checking here, you certify that you have checked all of the items listed")</f>
        <v>By checking here, you certify that you have checked all of the items listed</v>
      </c>
      <c r="AE389" s="11"/>
      <c r="AF389" t="str">
        <v>Nikki.Dix@floridadep.gov</v>
      </c>
      <c r="AG389" s="17" t="s">
        <v>17</v>
      </c>
      <c r="AH389" s="12">
        <v>1220</v>
      </c>
      <c r="AI389" s="12" t="s">
        <v>1116</v>
      </c>
      <c r="AJ389" s="19" t="s">
        <v>1117</v>
      </c>
      <c r="AK389" s="20" t="str">
        <f>HYPERLINK("https://docs.google.com/document/d/1qxj8kHphmaIWg1tKrIOUvKkGlR3JL7DkmWriw0FlSr0/edit?usp=drivesdk","&lt;&lt;YOUR NAME&gt;&gt; - &lt;&lt;Date you plan to launch&gt;&gt; &lt;&lt;Time you plan to launch&gt;&gt;")</f>
        <v>&lt;&lt;YOUR NAME&gt;&gt; - &lt;&lt;Date you plan to launch&gt;&gt; &lt;&lt;Time you plan to launch&gt;&gt;</v>
      </c>
      <c r="AL389" s="12" t="s">
        <v>1118</v>
      </c>
    </row>
    <row r="390" spans="1:38" ht="12.75">
      <c r="A390" s="10">
        <f ca="1">IFERROR(__xludf.DUMMYFUNCTION("""COMPUTED_VALUE"""),43741.7135236226)</f>
        <v>43741.713523622602</v>
      </c>
      <c r="B390" s="11" t="str">
        <f ca="1">IFERROR(__xludf.DUMMYFUNCTION("""COMPUTED_VALUE"""),"Pamela Marcum")</f>
        <v>Pamela Marcum</v>
      </c>
      <c r="C390" t="str">
        <f ca="1">IFERROR(__xludf.DUMMYFUNCTION("""COMPUTED_VALUE"""),"Pamela.Marcum@floridadep.gov")</f>
        <v>Pamela.Marcum@floridadep.gov</v>
      </c>
      <c r="D390" t="str">
        <f ca="1">IFERROR(__xludf.DUMMYFUNCTION("""COMPUTED_VALUE"""),"Research/Nikki")</f>
        <v>Research/Nikki</v>
      </c>
      <c r="E390" t="str">
        <f ca="1">IFERROR(__xludf.DUMMYFUNCTION("""COMPUTED_VALUE"""),"Moses Creek Dock")</f>
        <v>Moses Creek Dock</v>
      </c>
      <c r="F390" s="13">
        <f ca="1">IFERROR(__xludf.DUMMYFUNCTION("""COMPUTED_VALUE"""),0.33333333333212)</f>
        <v>0.33333333333212001</v>
      </c>
      <c r="G390" s="14">
        <f ca="1">IFERROR(__xludf.DUMMYFUNCTION("""COMPUTED_VALUE"""),43742)</f>
        <v>43742</v>
      </c>
      <c r="H390" t="str">
        <f ca="1">IFERROR(__xludf.DUMMYFUNCTION("""COMPUTED_VALUE"""),"Moses Creek")</f>
        <v>Moses Creek</v>
      </c>
      <c r="I390" s="15">
        <f ca="1">IFERROR(__xludf.DUMMYFUNCTION("""COMPUTED_VALUE"""),0.58333333333212)</f>
        <v>0.58333333333212001</v>
      </c>
      <c r="J390" s="16">
        <f ca="1">IFERROR(__xludf.DUMMYFUNCTION("""COMPUTED_VALUE"""),43742.625)</f>
        <v>43742.625</v>
      </c>
      <c r="K390" t="str">
        <f ca="1">IFERROR(__xludf.DUMMYFUNCTION("""COMPUTED_VALUE"""),"Canoe(s), Kayak(s)")</f>
        <v>Canoe(s), Kayak(s)</v>
      </c>
      <c r="L390">
        <f ca="1">IFERROR(__xludf.DUMMYFUNCTION("""COMPUTED_VALUE"""),3)</f>
        <v>3</v>
      </c>
      <c r="M390" t="str">
        <f ca="1">IFERROR(__xludf.DUMMYFUNCTION("""COMPUTED_VALUE"""),"Ford F250 2017 (Moby Dix) - DEP0021578")</f>
        <v>Ford F250 2017 (Moby Dix) - DEP0021578</v>
      </c>
      <c r="N390" t="str">
        <f ca="1">IFERROR(__xludf.DUMMYFUNCTION("""COMPUTED_VALUE"""),"Pam Marcum, (480) 332-5414, Shannon Dunnigan, (803) 727-5734, Silas Tanner, (904) 483-8423, Alee Knoell")</f>
        <v>Pam Marcum, (480) 332-5414, Shannon Dunnigan, (803) 727-5734, Silas Tanner, (904) 483-8423, Alee Knoell</v>
      </c>
      <c r="P390" t="str">
        <f ca="1">IFERROR(__xludf.DUMMYFUNCTION("""COMPUTED_VALUE"""),"Silas")</f>
        <v>Silas</v>
      </c>
      <c r="Q390" t="str">
        <f ca="1">IFERROR(__xludf.DUMMYFUNCTION("""COMPUTED_VALUE"""),"By checking here, you certify that you have checked all of the items listed")</f>
        <v>By checking here, you certify that you have checked all of the items listed</v>
      </c>
      <c r="AE390" s="11"/>
      <c r="AF390" t="str">
        <v>Nikki.Dix@floridadep.gov</v>
      </c>
      <c r="AG390" s="17" t="s">
        <v>58</v>
      </c>
      <c r="AH390" s="12">
        <v>1403</v>
      </c>
      <c r="AI390" s="12" t="s">
        <v>1119</v>
      </c>
      <c r="AJ390" s="19" t="s">
        <v>1120</v>
      </c>
      <c r="AK390" s="20" t="str">
        <f>HYPERLINK("https://docs.google.com/document/d/1a_HZ0U1E4XkOCKRPrQgoKZZY19dqXs-pCBV4X0YTWX8/edit?usp=drivesdk","Pamela Marcum - 10/4/2019 8:00 AM")</f>
        <v>Pamela Marcum - 10/4/2019 8:00 AM</v>
      </c>
      <c r="AL390" s="12" t="s">
        <v>1121</v>
      </c>
    </row>
    <row r="391" spans="1:38" ht="12.75">
      <c r="A391" s="10">
        <f ca="1">IFERROR(__xludf.DUMMYFUNCTION("""COMPUTED_VALUE"""),43742.2672958564)</f>
        <v>43742.2672958564</v>
      </c>
      <c r="B391" s="11" t="str">
        <f ca="1">IFERROR(__xludf.DUMMYFUNCTION("""COMPUTED_VALUE"""),"Silas Tanner")</f>
        <v>Silas Tanner</v>
      </c>
      <c r="C391" t="str">
        <f ca="1">IFERROR(__xludf.DUMMYFUNCTION("""COMPUTED_VALUE"""),"silas.tanner@floridadep.gov")</f>
        <v>silas.tanner@floridadep.gov</v>
      </c>
      <c r="D391" t="str">
        <f ca="1">IFERROR(__xludf.DUMMYFUNCTION("""COMPUTED_VALUE"""),"Research/Nikki")</f>
        <v>Research/Nikki</v>
      </c>
      <c r="E391" t="str">
        <f ca="1">IFERROR(__xludf.DUMMYFUNCTION("""COMPUTED_VALUE"""),"Moses Creek floating dock")</f>
        <v>Moses Creek floating dock</v>
      </c>
      <c r="F391" s="13">
        <f ca="1">IFERROR(__xludf.DUMMYFUNCTION("""COMPUTED_VALUE"""),0.33333333333212)</f>
        <v>0.33333333333212001</v>
      </c>
      <c r="G391" s="14">
        <f ca="1">IFERROR(__xludf.DUMMYFUNCTION("""COMPUTED_VALUE"""),43742)</f>
        <v>43742</v>
      </c>
      <c r="H391" t="str">
        <f ca="1">IFERROR(__xludf.DUMMYFUNCTION("""COMPUTED_VALUE"""),"Moses Creek SWMP platforms")</f>
        <v>Moses Creek SWMP platforms</v>
      </c>
      <c r="I391" s="15">
        <f ca="1">IFERROR(__xludf.DUMMYFUNCTION("""COMPUTED_VALUE"""),0.5625)</f>
        <v>0.5625</v>
      </c>
      <c r="J391" s="16">
        <f ca="1">IFERROR(__xludf.DUMMYFUNCTION("""COMPUTED_VALUE"""),43742.6041666666)</f>
        <v>43742.604166666599</v>
      </c>
      <c r="K391" t="str">
        <f ca="1">IFERROR(__xludf.DUMMYFUNCTION("""COMPUTED_VALUE"""),"Canoe(s), Kayak(s), Canoe/Kayak Trailer DEP06086")</f>
        <v>Canoe(s), Kayak(s), Canoe/Kayak Trailer DEP06086</v>
      </c>
      <c r="L391">
        <f ca="1">IFERROR(__xludf.DUMMYFUNCTION("""COMPUTED_VALUE"""),3)</f>
        <v>3</v>
      </c>
      <c r="M391" t="str">
        <f ca="1">IFERROR(__xludf.DUMMYFUNCTION("""COMPUTED_VALUE"""),"Ford F250 2017 (Moby Dix) - DEP0021578")</f>
        <v>Ford F250 2017 (Moby Dix) - DEP0021578</v>
      </c>
      <c r="N391" t="str">
        <f ca="1">IFERROR(__xludf.DUMMYFUNCTION("""COMPUTED_VALUE"""),"Pam Marcum, (480) 332-5414, Shannon Dunnigan, (803) 727-5734, Silas Tanner, (904) 483-8423")</f>
        <v>Pam Marcum, (480) 332-5414, Shannon Dunnigan, (803) 727-5734, Silas Tanner, (904) 483-8423</v>
      </c>
      <c r="O391" t="str">
        <f ca="1">IFERROR(__xludf.DUMMYFUNCTION("""COMPUTED_VALUE"""),"Alee Knoell, (619) 750-4833, Casey McClure")</f>
        <v>Alee Knoell, (619) 750-4833, Casey McClure</v>
      </c>
      <c r="P391" t="str">
        <f ca="1">IFERROR(__xludf.DUMMYFUNCTION("""COMPUTED_VALUE"""),"S. Dunnigan")</f>
        <v>S. Dunnigan</v>
      </c>
      <c r="Q391" t="str">
        <f ca="1">IFERROR(__xludf.DUMMYFUNCTION("""COMPUTED_VALUE"""),"By checking here, you certify that you have checked all of the items listed")</f>
        <v>By checking here, you certify that you have checked all of the items listed</v>
      </c>
      <c r="AE391" s="11"/>
      <c r="AF391" t="str">
        <v>Nikki.Dix@floridadep.gov</v>
      </c>
      <c r="AG391" s="17" t="s">
        <v>17</v>
      </c>
      <c r="AH391" s="12">
        <v>1430</v>
      </c>
      <c r="AI391" s="12" t="s">
        <v>1122</v>
      </c>
      <c r="AJ391" s="19" t="s">
        <v>1123</v>
      </c>
      <c r="AK391" s="20" t="str">
        <f>HYPERLINK("https://docs.google.com/document/d/1JowoqJjlGGOkTTrpZAL3e8PWLUS-yZZHWCQCIh7zT0w/edit?usp=drivesdk","Silas Tanner - 10/4/2019 8:00 AM")</f>
        <v>Silas Tanner - 10/4/2019 8:00 AM</v>
      </c>
      <c r="AL391" s="12" t="s">
        <v>1124</v>
      </c>
    </row>
    <row r="392" spans="1:38" ht="12.75">
      <c r="A392" s="10">
        <f ca="1">IFERROR(__xludf.DUMMYFUNCTION("""COMPUTED_VALUE"""),43746.367207662)</f>
        <v>43746.367207661999</v>
      </c>
      <c r="B392" s="11" t="str">
        <f ca="1">IFERROR(__xludf.DUMMYFUNCTION("""COMPUTED_VALUE"""),"Silas Tanner")</f>
        <v>Silas Tanner</v>
      </c>
      <c r="C392" t="str">
        <f ca="1">IFERROR(__xludf.DUMMYFUNCTION("""COMPUTED_VALUE"""),"silas.tanner@floridadep.gov")</f>
        <v>silas.tanner@floridadep.gov</v>
      </c>
      <c r="D392" t="str">
        <f ca="1">IFERROR(__xludf.DUMMYFUNCTION("""COMPUTED_VALUE"""),"Research/Nikki")</f>
        <v>Research/Nikki</v>
      </c>
      <c r="E392" t="str">
        <f ca="1">IFERROR(__xludf.DUMMYFUNCTION("""COMPUTED_VALUE"""),"Usina Ramp - Aunt Kate's")</f>
        <v>Usina Ramp - Aunt Kate's</v>
      </c>
      <c r="F392" s="13">
        <f ca="1">IFERROR(__xludf.DUMMYFUNCTION("""COMPUTED_VALUE"""),0.385416666667879)</f>
        <v>0.38541666666787899</v>
      </c>
      <c r="G392" s="14">
        <f ca="1">IFERROR(__xludf.DUMMYFUNCTION("""COMPUTED_VALUE"""),43746)</f>
        <v>43746</v>
      </c>
      <c r="H392" t="str">
        <f ca="1">IFERROR(__xludf.DUMMYFUNCTION("""COMPUTED_VALUE"""),"Hat Island monitoring platforms")</f>
        <v>Hat Island monitoring platforms</v>
      </c>
      <c r="I392" s="15">
        <f ca="1">IFERROR(__xludf.DUMMYFUNCTION("""COMPUTED_VALUE"""),0.61458333333212)</f>
        <v>0.61458333333212001</v>
      </c>
      <c r="J392" s="16">
        <f ca="1">IFERROR(__xludf.DUMMYFUNCTION("""COMPUTED_VALUE"""),43746.625)</f>
        <v>43746.625</v>
      </c>
      <c r="K392" t="str">
        <f ca="1">IFERROR(__xludf.DUMMYFUNCTION("""COMPUTED_VALUE"""),"20ft Sea Ark FL5351SJ UNF 2015")</f>
        <v>20ft Sea Ark FL5351SJ UNF 2015</v>
      </c>
      <c r="M392" t="str">
        <f ca="1">IFERROR(__xludf.DUMMYFUNCTION("""COMPUTED_VALUE"""),"Ford F250 2017 (Moby Dix) - DEP0021578")</f>
        <v>Ford F250 2017 (Moby Dix) - DEP0021578</v>
      </c>
      <c r="N392" t="str">
        <f ca="1">IFERROR(__xludf.DUMMYFUNCTION("""COMPUTED_VALUE"""),"Shannon Dunnigan, (803) 727-5734, Silas Tanner, (904) 483-8423")</f>
        <v>Shannon Dunnigan, (803) 727-5734, Silas Tanner, (904) 483-8423</v>
      </c>
      <c r="O392" t="str">
        <f ca="1">IFERROR(__xludf.DUMMYFUNCTION("""COMPUTED_VALUE"""),"Casey McClure")</f>
        <v>Casey McClure</v>
      </c>
      <c r="P392" t="str">
        <f ca="1">IFERROR(__xludf.DUMMYFUNCTION("""COMPUTED_VALUE"""),"S. Dunnigan")</f>
        <v>S. Dunnigan</v>
      </c>
      <c r="Q392" t="str">
        <f ca="1">IFERROR(__xludf.DUMMYFUNCTION("""COMPUTED_VALUE"""),"By checking here, you certify that you have checked all of the items listed")</f>
        <v>By checking here, you certify that you have checked all of the items listed</v>
      </c>
      <c r="AD392" t="str">
        <f ca="1">IFERROR(__xludf.DUMMYFUNCTION("""COMPUTED_VALUE"""),"not great")</f>
        <v>not great</v>
      </c>
      <c r="AE392" s="11"/>
      <c r="AF392" t="str">
        <v>Nikki.Dix@floridadep.gov</v>
      </c>
      <c r="AG392" s="17" t="s">
        <v>41</v>
      </c>
      <c r="AH392" s="12">
        <v>1530</v>
      </c>
      <c r="AI392" s="12" t="s">
        <v>1125</v>
      </c>
      <c r="AJ392" s="19" t="s">
        <v>1126</v>
      </c>
      <c r="AK392" s="20" t="str">
        <f>HYPERLINK("https://docs.google.com/document/d/1Weo71KyE42pJv6eQho_VuZl_I_N1oT_tQDYaPUWJgXg/edit?usp=drivesdk","Silas Tanner - 10/8/2019 9:15 AM")</f>
        <v>Silas Tanner - 10/8/2019 9:15 AM</v>
      </c>
      <c r="AL392" s="12" t="s">
        <v>1127</v>
      </c>
    </row>
    <row r="393" spans="1:38" ht="12.75">
      <c r="A393" s="10">
        <f ca="1">IFERROR(__xludf.DUMMYFUNCTION("""COMPUTED_VALUE"""),43747.420042743)</f>
        <v>43747.420042742997</v>
      </c>
      <c r="B393" s="11" t="str">
        <f ca="1">IFERROR(__xludf.DUMMYFUNCTION("""COMPUTED_VALUE"""),"Shannon Dunnigan")</f>
        <v>Shannon Dunnigan</v>
      </c>
      <c r="C393" t="str">
        <f ca="1">IFERROR(__xludf.DUMMYFUNCTION("""COMPUTED_VALUE"""),"shannon.dunnigan@floridadep.gov")</f>
        <v>shannon.dunnigan@floridadep.gov</v>
      </c>
      <c r="D393" t="str">
        <f ca="1">IFERROR(__xludf.DUMMYFUNCTION("""COMPUTED_VALUE"""),"Research/Nikki")</f>
        <v>Research/Nikki</v>
      </c>
      <c r="E393" t="str">
        <f ca="1">IFERROR(__xludf.DUMMYFUNCTION("""COMPUTED_VALUE"""),"Aunt Kate’s")</f>
        <v>Aunt Kate’s</v>
      </c>
      <c r="F393" s="13">
        <f ca="1">IFERROR(__xludf.DUMMYFUNCTION("""COMPUTED_VALUE"""),0.4375)</f>
        <v>0.4375</v>
      </c>
      <c r="G393" s="14">
        <f ca="1">IFERROR(__xludf.DUMMYFUNCTION("""COMPUTED_VALUE"""),43747)</f>
        <v>43747</v>
      </c>
      <c r="H393" t="str">
        <f ca="1">IFERROR(__xludf.DUMMYFUNCTION("""COMPUTED_VALUE"""),"Hat Island veg platforms")</f>
        <v>Hat Island veg platforms</v>
      </c>
      <c r="I393" s="15">
        <f ca="1">IFERROR(__xludf.DUMMYFUNCTION("""COMPUTED_VALUE"""),0.625)</f>
        <v>0.625</v>
      </c>
      <c r="J393" s="16">
        <f ca="1">IFERROR(__xludf.DUMMYFUNCTION("""COMPUTED_VALUE"""),43747.6666666666)</f>
        <v>43747.666666666599</v>
      </c>
      <c r="K393" t="str">
        <f ca="1">IFERROR(__xludf.DUMMYFUNCTION("""COMPUTED_VALUE"""),"20ft Sea Ark FL5351SJ UNF 2015")</f>
        <v>20ft Sea Ark FL5351SJ UNF 2015</v>
      </c>
      <c r="M393" t="str">
        <f ca="1">IFERROR(__xludf.DUMMYFUNCTION("""COMPUTED_VALUE"""),"Ford F250 2017 (Moby Dix) - DEP0021578")</f>
        <v>Ford F250 2017 (Moby Dix) - DEP0021578</v>
      </c>
      <c r="N393" t="str">
        <f ca="1">IFERROR(__xludf.DUMMYFUNCTION("""COMPUTED_VALUE"""),"Shannon Dunnigan, (803) 727-5734, Silas Tanner, (904) 483-8423")</f>
        <v>Shannon Dunnigan, (803) 727-5734, Silas Tanner, (904) 483-8423</v>
      </c>
      <c r="P393" t="str">
        <f ca="1">IFERROR(__xludf.DUMMYFUNCTION("""COMPUTED_VALUE"""),"Shannon ")</f>
        <v xml:space="preserve">Shannon </v>
      </c>
      <c r="Q393" t="str">
        <f ca="1">IFERROR(__xludf.DUMMYFUNCTION("""COMPUTED_VALUE"""),"All items in working order")</f>
        <v>All items in working order</v>
      </c>
      <c r="AE393" s="11"/>
      <c r="AF393" t="str">
        <v>Nikki.Dix@floridadep.gov</v>
      </c>
      <c r="AG393" s="17" t="s">
        <v>58</v>
      </c>
      <c r="AH393" s="12">
        <v>1314</v>
      </c>
      <c r="AI393" s="12" t="s">
        <v>1128</v>
      </c>
      <c r="AJ393" s="19" t="s">
        <v>1129</v>
      </c>
      <c r="AK393" s="20" t="str">
        <f>HYPERLINK("https://docs.google.com/document/d/1Nkj7T_FeDiyVW9nQImrjvRaLtq2W7lwf3wsxD_brvdg/edit?usp=drivesdk","Shannon Dunnigan - 10/9/2019 10:30 AM")</f>
        <v>Shannon Dunnigan - 10/9/2019 10:30 AM</v>
      </c>
      <c r="AL393" s="12" t="s">
        <v>1130</v>
      </c>
    </row>
    <row r="394" spans="1:38" ht="12.75">
      <c r="A394" s="10">
        <f ca="1">IFERROR(__xludf.DUMMYFUNCTION("""COMPUTED_VALUE"""),43748.2878087037)</f>
        <v>43748.287808703702</v>
      </c>
      <c r="B394" s="11" t="str">
        <f ca="1">IFERROR(__xludf.DUMMYFUNCTION("""COMPUTED_VALUE"""),"Pam Marcum")</f>
        <v>Pam Marcum</v>
      </c>
      <c r="C394" t="str">
        <f ca="1">IFERROR(__xludf.DUMMYFUNCTION("""COMPUTED_VALUE"""),"Pamela.Marcum@dep.state.fl.us")</f>
        <v>Pamela.Marcum@dep.state.fl.us</v>
      </c>
      <c r="D394" t="str">
        <f ca="1">IFERROR(__xludf.DUMMYFUNCTION("""COMPUTED_VALUE"""),"Research/Nikki")</f>
        <v>Research/Nikki</v>
      </c>
      <c r="E394" t="str">
        <f ca="1">IFERROR(__xludf.DUMMYFUNCTION("""COMPUTED_VALUE"""),"Faver-Dykes State Park")</f>
        <v>Faver-Dykes State Park</v>
      </c>
      <c r="F394" s="13">
        <f ca="1">IFERROR(__xludf.DUMMYFUNCTION("""COMPUTED_VALUE"""),0.34375)</f>
        <v>0.34375</v>
      </c>
      <c r="G394" s="14">
        <f ca="1">IFERROR(__xludf.DUMMYFUNCTION("""COMPUTED_VALUE"""),43748)</f>
        <v>43748</v>
      </c>
      <c r="H394" t="str">
        <f ca="1">IFERROR(__xludf.DUMMYFUNCTION("""COMPUTED_VALUE"""),"Pellicer Creek mouth")</f>
        <v>Pellicer Creek mouth</v>
      </c>
      <c r="I394" s="15">
        <f ca="1">IFERROR(__xludf.DUMMYFUNCTION("""COMPUTED_VALUE"""),0.541666666667879)</f>
        <v>0.54166666666787899</v>
      </c>
      <c r="J394" s="16">
        <f ca="1">IFERROR(__xludf.DUMMYFUNCTION("""COMPUTED_VALUE"""),43748.5833333333)</f>
        <v>43748.583333333299</v>
      </c>
      <c r="K394" t="str">
        <f ca="1">IFERROR(__xludf.DUMMYFUNCTION("""COMPUTED_VALUE"""),"17ft Skiff (Marsha) FL0642GW DEP07239")</f>
        <v>17ft Skiff (Marsha) FL0642GW DEP07239</v>
      </c>
      <c r="M394" t="str">
        <f ca="1">IFERROR(__xludf.DUMMYFUNCTION("""COMPUTED_VALUE"""),"Ford F150 2010 (4 Door) - DEP07668")</f>
        <v>Ford F150 2010 (4 Door) - DEP07668</v>
      </c>
      <c r="N394" t="str">
        <f ca="1">IFERROR(__xludf.DUMMYFUNCTION("""COMPUTED_VALUE"""),"Pam Marcum, (480) 332-5414")</f>
        <v>Pam Marcum, (480) 332-5414</v>
      </c>
      <c r="O394" t="str">
        <f ca="1">IFERROR(__xludf.DUMMYFUNCTION("""COMPUTED_VALUE"""),"Vincent McClure")</f>
        <v>Vincent McClure</v>
      </c>
      <c r="P394" t="str">
        <f ca="1">IFERROR(__xludf.DUMMYFUNCTION("""COMPUTED_VALUE"""),"Pam")</f>
        <v>Pam</v>
      </c>
      <c r="Q394" t="str">
        <f ca="1">IFERROR(__xludf.DUMMYFUNCTION("""COMPUTED_VALUE"""),"All items in working order")</f>
        <v>All items in working order</v>
      </c>
      <c r="AE394" s="11"/>
      <c r="AF394" t="str">
        <v>Nikki.Dix@floridadep.gov</v>
      </c>
      <c r="AG394" s="17" t="s">
        <v>17</v>
      </c>
      <c r="AH394" s="12">
        <v>1400</v>
      </c>
      <c r="AI394" s="12" t="s">
        <v>1131</v>
      </c>
      <c r="AJ394" s="19" t="s">
        <v>1132</v>
      </c>
      <c r="AK394" s="20" t="str">
        <f>HYPERLINK("https://docs.google.com/document/d/1R67aWa6YbeD9LJQCyYhLFFgo-n7BFuc4yGofXLj2i4s/edit?usp=drivesdk","Pam Marcum - 10/10/2019 8:15 AM")</f>
        <v>Pam Marcum - 10/10/2019 8:15 AM</v>
      </c>
      <c r="AL394" s="12" t="s">
        <v>1133</v>
      </c>
    </row>
    <row r="395" spans="1:38" ht="12.75">
      <c r="A395" s="10">
        <f ca="1">IFERROR(__xludf.DUMMYFUNCTION("""COMPUTED_VALUE"""),43748.6385233449)</f>
        <v>43748.638523344896</v>
      </c>
      <c r="B395" s="11" t="str">
        <f ca="1">IFERROR(__xludf.DUMMYFUNCTION("""COMPUTED_VALUE"""),"Silas Tanner")</f>
        <v>Silas Tanner</v>
      </c>
      <c r="C395" t="str">
        <f ca="1">IFERROR(__xludf.DUMMYFUNCTION("""COMPUTED_VALUE"""),"silas.tanner@floridadep.gov")</f>
        <v>silas.tanner@floridadep.gov</v>
      </c>
      <c r="D395" t="str">
        <f ca="1">IFERROR(__xludf.DUMMYFUNCTION("""COMPUTED_VALUE"""),"Research/Nikki")</f>
        <v>Research/Nikki</v>
      </c>
      <c r="E395" t="str">
        <f ca="1">IFERROR(__xludf.DUMMYFUNCTION("""COMPUTED_VALUE"""),"Faver Dykes dock")</f>
        <v>Faver Dykes dock</v>
      </c>
      <c r="F395" s="13">
        <f ca="1">IFERROR(__xludf.DUMMYFUNCTION("""COMPUTED_VALUE"""),0.638888888890505)</f>
        <v>0.63888888889050499</v>
      </c>
      <c r="G395" s="14">
        <f ca="1">IFERROR(__xludf.DUMMYFUNCTION("""COMPUTED_VALUE"""),43748)</f>
        <v>43748</v>
      </c>
      <c r="H395" t="str">
        <f ca="1">IFERROR(__xludf.DUMMYFUNCTION("""COMPUTED_VALUE"""),"Pellicer Creek platforms")</f>
        <v>Pellicer Creek platforms</v>
      </c>
      <c r="I395" s="15">
        <f ca="1">IFERROR(__xludf.DUMMYFUNCTION("""COMPUTED_VALUE"""),0.697916666667879)</f>
        <v>0.69791666666787899</v>
      </c>
      <c r="J395" s="16">
        <f ca="1">IFERROR(__xludf.DUMMYFUNCTION("""COMPUTED_VALUE"""),43748.7395833333)</f>
        <v>43748.739583333299</v>
      </c>
      <c r="K395" t="str">
        <f ca="1">IFERROR(__xludf.DUMMYFUNCTION("""COMPUTED_VALUE"""),"20ft Sea Ark FL5351SJ UNF 2015")</f>
        <v>20ft Sea Ark FL5351SJ UNF 2015</v>
      </c>
      <c r="M395" t="str">
        <f ca="1">IFERROR(__xludf.DUMMYFUNCTION("""COMPUTED_VALUE"""),"Ford F250 2017 (Moby Dix) - DEP0021578")</f>
        <v>Ford F250 2017 (Moby Dix) - DEP0021578</v>
      </c>
      <c r="N395" t="str">
        <f ca="1">IFERROR(__xludf.DUMMYFUNCTION("""COMPUTED_VALUE"""),"Shannon Dunnigan, (803) 727-5734, Silas Tanner, (904) 483-8423")</f>
        <v>Shannon Dunnigan, (803) 727-5734, Silas Tanner, (904) 483-8423</v>
      </c>
      <c r="P395" t="str">
        <f ca="1">IFERROR(__xludf.DUMMYFUNCTION("""COMPUTED_VALUE"""),"Dunnigan")</f>
        <v>Dunnigan</v>
      </c>
      <c r="Q395" t="str">
        <f ca="1">IFERROR(__xludf.DUMMYFUNCTION("""COMPUTED_VALUE"""),"All items in working order")</f>
        <v>All items in working order</v>
      </c>
      <c r="AE395" s="11"/>
      <c r="AF395" t="str">
        <v>Nikki.Dix@floridadep.gov</v>
      </c>
      <c r="AG395" s="17" t="s">
        <v>17</v>
      </c>
      <c r="AH395" s="12">
        <v>1615</v>
      </c>
      <c r="AI395" s="12" t="s">
        <v>1134</v>
      </c>
      <c r="AJ395" s="19" t="s">
        <v>1135</v>
      </c>
      <c r="AK395" s="20" t="str">
        <f>HYPERLINK("https://docs.google.com/document/d/1i0dCUy4yeQ9EZHTLMk-Eqs7L_Kd-gV0olElUP-cbPpQ/edit?usp=drivesdk","Silas Tanner - 10/10/2019 3:20 PM")</f>
        <v>Silas Tanner - 10/10/2019 3:20 PM</v>
      </c>
      <c r="AL395" s="12" t="s">
        <v>1136</v>
      </c>
    </row>
    <row r="396" spans="1:38" ht="12.75">
      <c r="A396" s="10">
        <f ca="1">IFERROR(__xludf.DUMMYFUNCTION("""COMPUTED_VALUE"""),43752.3751652546)</f>
        <v>43752.375165254598</v>
      </c>
      <c r="B396" s="11" t="str">
        <f ca="1">IFERROR(__xludf.DUMMYFUNCTION("""COMPUTED_VALUE"""),"Jimmy Tomazinis")</f>
        <v>Jimmy Tomazinis</v>
      </c>
      <c r="C396" t="str">
        <f ca="1">IFERROR(__xludf.DUMMYFUNCTION("""COMPUTED_VALUE"""),"james.tomazinis@floridadep.gov")</f>
        <v>james.tomazinis@floridadep.gov</v>
      </c>
      <c r="D396" t="str">
        <f ca="1">IFERROR(__xludf.DUMMYFUNCTION("""COMPUTED_VALUE"""),"Stewardship (Aquatic)")</f>
        <v>Stewardship (Aquatic)</v>
      </c>
      <c r="E396" t="str">
        <f ca="1">IFERROR(__xludf.DUMMYFUNCTION("""COMPUTED_VALUE"""),"Dee Dee Bartels and Goffinsville Park")</f>
        <v>Dee Dee Bartels and Goffinsville Park</v>
      </c>
      <c r="F396" s="13">
        <f ca="1">IFERROR(__xludf.DUMMYFUNCTION("""COMPUTED_VALUE"""),0.416666666667879)</f>
        <v>0.41666666666787899</v>
      </c>
      <c r="G396" s="14">
        <f ca="1">IFERROR(__xludf.DUMMYFUNCTION("""COMPUTED_VALUE"""),43752)</f>
        <v>43752</v>
      </c>
      <c r="H396" t="str">
        <f ca="1">IFERROR(__xludf.DUMMYFUNCTION("""COMPUTED_VALUE"""),"NEAP WQ sites")</f>
        <v>NEAP WQ sites</v>
      </c>
      <c r="I396" s="15">
        <f ca="1">IFERROR(__xludf.DUMMYFUNCTION("""COMPUTED_VALUE"""),0.625)</f>
        <v>0.625</v>
      </c>
      <c r="J396" s="16"/>
      <c r="K396" t="str">
        <f ca="1">IFERROR(__xludf.DUMMYFUNCTION("""COMPUTED_VALUE"""),"17ft Skiff (Marsha) FL0642GW DEP07239")</f>
        <v>17ft Skiff (Marsha) FL0642GW DEP07239</v>
      </c>
      <c r="M396" t="str">
        <f ca="1">IFERROR(__xludf.DUMMYFUNCTION("""COMPUTED_VALUE"""),"Ford F150 2008 (SWMP Thing) - DEP18041")</f>
        <v>Ford F150 2008 (SWMP Thing) - DEP18041</v>
      </c>
      <c r="N396" t="str">
        <f ca="1">IFERROR(__xludf.DUMMYFUNCTION("""COMPUTED_VALUE"""),"Jimmy Tomazinis, (904) 547-0094")</f>
        <v>Jimmy Tomazinis, (904) 547-0094</v>
      </c>
      <c r="O396" t="str">
        <f ca="1">IFERROR(__xludf.DUMMYFUNCTION("""COMPUTED_VALUE"""),"Suzi")</f>
        <v>Suzi</v>
      </c>
      <c r="P396" t="str">
        <f ca="1">IFERROR(__xludf.DUMMYFUNCTION("""COMPUTED_VALUE"""),"Jimmy")</f>
        <v>Jimmy</v>
      </c>
      <c r="Q396" t="str">
        <f ca="1">IFERROR(__xludf.DUMMYFUNCTION("""COMPUTED_VALUE"""),"All items in working order")</f>
        <v>All items in working order</v>
      </c>
      <c r="AE396" s="11"/>
      <c r="AF396" t="str">
        <v>Scott.Eastman@floridadep.gov</v>
      </c>
      <c r="AG396" s="17" t="s">
        <v>17</v>
      </c>
      <c r="AH396" s="12">
        <v>1445</v>
      </c>
      <c r="AI396" s="12" t="s">
        <v>1137</v>
      </c>
      <c r="AJ396" s="19" t="s">
        <v>1138</v>
      </c>
      <c r="AK396" s="20" t="str">
        <f>HYPERLINK("https://docs.google.com/document/d/1_OnavftpgaDV9tNWiIoIvKJWpdcg19g3rscONyVRkDo/edit?usp=drivesdk","Jimmy Tomazinis - 10/14/2019 10:00 AM")</f>
        <v>Jimmy Tomazinis - 10/14/2019 10:00 AM</v>
      </c>
      <c r="AL396" s="12" t="s">
        <v>1139</v>
      </c>
    </row>
    <row r="397" spans="1:38" ht="12.75">
      <c r="A397" s="10">
        <f ca="1">IFERROR(__xludf.DUMMYFUNCTION("""COMPUTED_VALUE"""),43752.3763751388)</f>
        <v>43752.376375138803</v>
      </c>
      <c r="B397" s="11" t="str">
        <f ca="1">IFERROR(__xludf.DUMMYFUNCTION("""COMPUTED_VALUE"""),"Scott Eastman")</f>
        <v>Scott Eastman</v>
      </c>
      <c r="C397" t="str">
        <f ca="1">IFERROR(__xludf.DUMMYFUNCTION("""COMPUTED_VALUE"""),"scott.eastman@floridadep.gov")</f>
        <v>scott.eastman@floridadep.gov</v>
      </c>
      <c r="D397" t="str">
        <f ca="1">IFERROR(__xludf.DUMMYFUNCTION("""COMPUTED_VALUE"""),"Stewardship (Aquatic)")</f>
        <v>Stewardship (Aquatic)</v>
      </c>
      <c r="E397" t="str">
        <f ca="1">IFERROR(__xludf.DUMMYFUNCTION("""COMPUTED_VALUE"""),"Guana Dam")</f>
        <v>Guana Dam</v>
      </c>
      <c r="F397" s="13">
        <f ca="1">IFERROR(__xludf.DUMMYFUNCTION("""COMPUTED_VALUE"""),0.4375)</f>
        <v>0.4375</v>
      </c>
      <c r="G397" s="14">
        <f ca="1">IFERROR(__xludf.DUMMYFUNCTION("""COMPUTED_VALUE"""),43752)</f>
        <v>43752</v>
      </c>
      <c r="H397" t="str">
        <f ca="1">IFERROR(__xludf.DUMMYFUNCTION("""COMPUTED_VALUE"""),"Guana River WQ sites")</f>
        <v>Guana River WQ sites</v>
      </c>
      <c r="I397" s="15">
        <f ca="1">IFERROR(__xludf.DUMMYFUNCTION("""COMPUTED_VALUE"""),0.5)</f>
        <v>0.5</v>
      </c>
      <c r="J397" s="16"/>
      <c r="K397" t="str">
        <f ca="1">IFERROR(__xludf.DUMMYFUNCTION("""COMPUTED_VALUE"""),"Jon Boat FL0484NP DEP06819")</f>
        <v>Jon Boat FL0484NP DEP06819</v>
      </c>
      <c r="M397" t="str">
        <f ca="1">IFERROR(__xludf.DUMMYFUNCTION("""COMPUTED_VALUE"""),"Ford F150 2015 (White) - DEP21448")</f>
        <v>Ford F150 2015 (White) - DEP21448</v>
      </c>
      <c r="N397" t="str">
        <f ca="1">IFERROR(__xludf.DUMMYFUNCTION("""COMPUTED_VALUE"""),"Scott Eastman, (904) 501-9267")</f>
        <v>Scott Eastman, (904) 501-9267</v>
      </c>
      <c r="O397" t="str">
        <f ca="1">IFERROR(__xludf.DUMMYFUNCTION("""COMPUTED_VALUE"""),"Jessica Lee")</f>
        <v>Jessica Lee</v>
      </c>
      <c r="P397" t="str">
        <f ca="1">IFERROR(__xludf.DUMMYFUNCTION("""COMPUTED_VALUE"""),"Scott")</f>
        <v>Scott</v>
      </c>
      <c r="Q397" t="str">
        <f ca="1">IFERROR(__xludf.DUMMYFUNCTION("""COMPUTED_VALUE"""),"All items in working order")</f>
        <v>All items in working order</v>
      </c>
      <c r="AE397" s="11"/>
      <c r="AF397" t="str">
        <v>Scott.Eastman@floridadep.gov</v>
      </c>
      <c r="AG397" s="25" t="s">
        <v>17</v>
      </c>
      <c r="AH397" s="12">
        <v>1200</v>
      </c>
      <c r="AI397" s="12" t="s">
        <v>1140</v>
      </c>
      <c r="AJ397" s="19" t="s">
        <v>1141</v>
      </c>
      <c r="AK397" s="20" t="str">
        <f>HYPERLINK("https://docs.google.com/document/d/1T1xgt2ahMRDccE_WEFm_45PLgPC27Ub_s2m5i78_c2Q/edit?usp=drivesdk","Scott Eastman - 10/14/2019 10:30 AM")</f>
        <v>Scott Eastman - 10/14/2019 10:30 AM</v>
      </c>
      <c r="AL397" s="12" t="s">
        <v>1142</v>
      </c>
    </row>
    <row r="398" spans="1:38" ht="12.75">
      <c r="A398" s="10">
        <f ca="1">IFERROR(__xludf.DUMMYFUNCTION("""COMPUTED_VALUE"""),43753.3658085416)</f>
        <v>43753.365808541603</v>
      </c>
      <c r="B398" s="11" t="str">
        <f ca="1">IFERROR(__xludf.DUMMYFUNCTION("""COMPUTED_VALUE"""),"Silas Tanner")</f>
        <v>Silas Tanner</v>
      </c>
      <c r="C398" t="str">
        <f ca="1">IFERROR(__xludf.DUMMYFUNCTION("""COMPUTED_VALUE"""),"silas.tanner@floridadep.gov")</f>
        <v>silas.tanner@floridadep.gov</v>
      </c>
      <c r="D398" t="str">
        <f ca="1">IFERROR(__xludf.DUMMYFUNCTION("""COMPUTED_VALUE"""),"Research/Nikki")</f>
        <v>Research/Nikki</v>
      </c>
      <c r="E398" t="str">
        <f ca="1">IFERROR(__xludf.DUMMYFUNCTION("""COMPUTED_VALUE"""),"Vilano Landing")</f>
        <v>Vilano Landing</v>
      </c>
      <c r="F398" s="13">
        <f ca="1">IFERROR(__xludf.DUMMYFUNCTION("""COMPUTED_VALUE"""),0.39583333333212)</f>
        <v>0.39583333333212001</v>
      </c>
      <c r="G398" s="14">
        <f ca="1">IFERROR(__xludf.DUMMYFUNCTION("""COMPUTED_VALUE"""),43753)</f>
        <v>43753</v>
      </c>
      <c r="H398" t="str">
        <f ca="1">IFERROR(__xludf.DUMMYFUNCTION("""COMPUTED_VALUE"""),"ICW SWMP sites")</f>
        <v>ICW SWMP sites</v>
      </c>
      <c r="I398" s="15">
        <f ca="1">IFERROR(__xludf.DUMMYFUNCTION("""COMPUTED_VALUE"""),0.604166666667879)</f>
        <v>0.60416666666787899</v>
      </c>
      <c r="J398" s="16">
        <f ca="1">IFERROR(__xludf.DUMMYFUNCTION("""COMPUTED_VALUE"""),43753.625)</f>
        <v>43753.625</v>
      </c>
      <c r="K398" t="str">
        <f ca="1">IFERROR(__xludf.DUMMYFUNCTION("""COMPUTED_VALUE"""),"23ft Skiff (Bertha) FL7972LJ DEP07613")</f>
        <v>23ft Skiff (Bertha) FL7972LJ DEP07613</v>
      </c>
      <c r="M398" t="str">
        <f ca="1">IFERROR(__xludf.DUMMYFUNCTION("""COMPUTED_VALUE"""),"Ford F150 2015 (White) - DEP21448")</f>
        <v>Ford F150 2015 (White) - DEP21448</v>
      </c>
      <c r="N398" t="str">
        <f ca="1">IFERROR(__xludf.DUMMYFUNCTION("""COMPUTED_VALUE"""),"Silas Tanner, (904) 483-8423")</f>
        <v>Silas Tanner, (904) 483-8423</v>
      </c>
      <c r="O398" t="str">
        <f ca="1">IFERROR(__xludf.DUMMYFUNCTION("""COMPUTED_VALUE"""),"Alee Knoell, (619) 750-4833, Sloane Stephens, Esther Duffy")</f>
        <v>Alee Knoell, (619) 750-4833, Sloane Stephens, Esther Duffy</v>
      </c>
      <c r="P398" t="str">
        <f ca="1">IFERROR(__xludf.DUMMYFUNCTION("""COMPUTED_VALUE"""),"Silas Tanner")</f>
        <v>Silas Tanner</v>
      </c>
      <c r="Q398" t="str">
        <f ca="1">IFERROR(__xludf.DUMMYFUNCTION("""COMPUTED_VALUE"""),"All items in working order")</f>
        <v>All items in working order</v>
      </c>
      <c r="AE398" s="11"/>
      <c r="AF398" t="str">
        <v>Nikki.Dix@floridadep.gov</v>
      </c>
      <c r="AG398" s="17" t="s">
        <v>41</v>
      </c>
      <c r="AH398" s="12">
        <v>1436</v>
      </c>
      <c r="AI398" s="12" t="s">
        <v>1143</v>
      </c>
      <c r="AJ398" s="19" t="s">
        <v>1144</v>
      </c>
      <c r="AK398" s="20" t="str">
        <f>HYPERLINK("https://docs.google.com/document/d/13H-CpRkpjg-LceS1ZdSkL48440YBkAfc0YrhA4v9dnk/edit?usp=drivesdk","Silas Tanner - 10/15/2019 9:30 AM")</f>
        <v>Silas Tanner - 10/15/2019 9:30 AM</v>
      </c>
      <c r="AL398" s="12" t="s">
        <v>1145</v>
      </c>
    </row>
    <row r="399" spans="1:38" ht="12.75">
      <c r="A399" s="10">
        <f ca="1">IFERROR(__xludf.DUMMYFUNCTION("""COMPUTED_VALUE"""),43753.575940162)</f>
        <v>43753.575940162002</v>
      </c>
      <c r="B399" s="11" t="str">
        <f ca="1">IFERROR(__xludf.DUMMYFUNCTION("""COMPUTED_VALUE"""),"Jessica Lee")</f>
        <v>Jessica Lee</v>
      </c>
      <c r="C399" t="str">
        <f ca="1">IFERROR(__xludf.DUMMYFUNCTION("""COMPUTED_VALUE"""),"jessica.lee@dep.state.fl.us")</f>
        <v>jessica.lee@dep.state.fl.us</v>
      </c>
      <c r="D399" t="str">
        <f ca="1">IFERROR(__xludf.DUMMYFUNCTION("""COMPUTED_VALUE"""),"Research/Shannon")</f>
        <v>Research/Shannon</v>
      </c>
      <c r="E399" t="str">
        <f ca="1">IFERROR(__xludf.DUMMYFUNCTION("""COMPUTED_VALUE"""),"Guana River Rd")</f>
        <v>Guana River Rd</v>
      </c>
      <c r="F399" s="13">
        <f ca="1">IFERROR(__xludf.DUMMYFUNCTION("""COMPUTED_VALUE"""),0.5)</f>
        <v>0.5</v>
      </c>
      <c r="G399" s="14">
        <f ca="1">IFERROR(__xludf.DUMMYFUNCTION("""COMPUTED_VALUE"""),43754)</f>
        <v>43754</v>
      </c>
      <c r="H399" t="str">
        <f ca="1">IFERROR(__xludf.DUMMYFUNCTION("""COMPUTED_VALUE"""),"Guana River")</f>
        <v>Guana River</v>
      </c>
      <c r="I399" s="15">
        <f ca="1">IFERROR(__xludf.DUMMYFUNCTION("""COMPUTED_VALUE"""),0.5625)</f>
        <v>0.5625</v>
      </c>
      <c r="J399" s="16">
        <f ca="1">IFERROR(__xludf.DUMMYFUNCTION("""COMPUTED_VALUE"""),43754.5729166666)</f>
        <v>43754.572916666599</v>
      </c>
      <c r="K399" t="str">
        <f ca="1">IFERROR(__xludf.DUMMYFUNCTION("""COMPUTED_VALUE"""),"Jon Boat FL0484NP DEP06819")</f>
        <v>Jon Boat FL0484NP DEP06819</v>
      </c>
      <c r="M399" t="str">
        <f ca="1">IFERROR(__xludf.DUMMYFUNCTION("""COMPUTED_VALUE"""),"Ford F150 2015 (White) - DEP21448")</f>
        <v>Ford F150 2015 (White) - DEP21448</v>
      </c>
      <c r="N399" t="str">
        <f ca="1">IFERROR(__xludf.DUMMYFUNCTION("""COMPUTED_VALUE"""),"Nikki Dix, (352) 219-4079")</f>
        <v>Nikki Dix, (352) 219-4079</v>
      </c>
      <c r="P399" t="str">
        <f ca="1">IFERROR(__xludf.DUMMYFUNCTION("""COMPUTED_VALUE"""),"Nikki")</f>
        <v>Nikki</v>
      </c>
      <c r="Q399" t="str">
        <f ca="1">IFERROR(__xludf.DUMMYFUNCTION("""COMPUTED_VALUE"""),"All items in working order")</f>
        <v>All items in working order</v>
      </c>
      <c r="AE399" s="11"/>
      <c r="AF399" t="str">
        <v>Shannon.Dunnigan@floridadep.gov</v>
      </c>
      <c r="AG399" s="18"/>
      <c r="AI399" s="12" t="s">
        <v>1146</v>
      </c>
      <c r="AJ399" s="19" t="s">
        <v>1147</v>
      </c>
      <c r="AK399" s="20" t="str">
        <f>HYPERLINK("https://docs.google.com/document/d/1QYU0K6Bg_b60Qb0JUgvwx83i12Fa5B9QcOUKDlg8KR4/edit?usp=drivesdk","Jessica Lee - 10/16/2019 12:00 PM")</f>
        <v>Jessica Lee - 10/16/2019 12:00 PM</v>
      </c>
      <c r="AL399" s="12" t="s">
        <v>1148</v>
      </c>
    </row>
    <row r="400" spans="1:38" ht="12.75">
      <c r="A400" s="10">
        <f ca="1">IFERROR(__xludf.DUMMYFUNCTION("""COMPUTED_VALUE"""),43755.2852054976)</f>
        <v>43755.285205497603</v>
      </c>
      <c r="B400" s="11" t="str">
        <f ca="1">IFERROR(__xludf.DUMMYFUNCTION("""COMPUTED_VALUE"""),"Pam Marcum")</f>
        <v>Pam Marcum</v>
      </c>
      <c r="C400" t="str">
        <f ca="1">IFERROR(__xludf.DUMMYFUNCTION("""COMPUTED_VALUE"""),"Pamela.Marcum@dep.state.fl.us")</f>
        <v>Pamela.Marcum@dep.state.fl.us</v>
      </c>
      <c r="D400" t="str">
        <f ca="1">IFERROR(__xludf.DUMMYFUNCTION("""COMPUTED_VALUE"""),"Research/Nikki")</f>
        <v>Research/Nikki</v>
      </c>
      <c r="E400" t="str">
        <f ca="1">IFERROR(__xludf.DUMMYFUNCTION("""COMPUTED_VALUE"""),"Faver Dykes State Park")</f>
        <v>Faver Dykes State Park</v>
      </c>
      <c r="F400" s="13">
        <f ca="1">IFERROR(__xludf.DUMMYFUNCTION("""COMPUTED_VALUE"""),0.34375)</f>
        <v>0.34375</v>
      </c>
      <c r="G400" s="14">
        <f ca="1">IFERROR(__xludf.DUMMYFUNCTION("""COMPUTED_VALUE"""),43755)</f>
        <v>43755</v>
      </c>
      <c r="H400" t="str">
        <f ca="1">IFERROR(__xludf.DUMMYFUNCTION("""COMPUTED_VALUE"""),"Pellicer Mouth")</f>
        <v>Pellicer Mouth</v>
      </c>
      <c r="I400" s="15">
        <f ca="1">IFERROR(__xludf.DUMMYFUNCTION("""COMPUTED_VALUE"""),0.58333333333212)</f>
        <v>0.58333333333212001</v>
      </c>
      <c r="J400" s="16">
        <f ca="1">IFERROR(__xludf.DUMMYFUNCTION("""COMPUTED_VALUE"""),43755.6458333333)</f>
        <v>43755.645833333299</v>
      </c>
      <c r="K400" t="str">
        <f ca="1">IFERROR(__xludf.DUMMYFUNCTION("""COMPUTED_VALUE"""),"17ft Skiff (Marsha) FL0642GW DEP07239")</f>
        <v>17ft Skiff (Marsha) FL0642GW DEP07239</v>
      </c>
      <c r="M400" t="str">
        <f ca="1">IFERROR(__xludf.DUMMYFUNCTION("""COMPUTED_VALUE"""),"Ford F150 2008 (SWMP Thing) - DEP18041")</f>
        <v>Ford F150 2008 (SWMP Thing) - DEP18041</v>
      </c>
      <c r="N400" t="str">
        <f ca="1">IFERROR(__xludf.DUMMYFUNCTION("""COMPUTED_VALUE"""),"Pam Marcum, (480) 332-5414")</f>
        <v>Pam Marcum, (480) 332-5414</v>
      </c>
      <c r="O400" t="str">
        <f ca="1">IFERROR(__xludf.DUMMYFUNCTION("""COMPUTED_VALUE"""),"Alee Knoell, (619) 750-4833")</f>
        <v>Alee Knoell, (619) 750-4833</v>
      </c>
      <c r="P400" t="str">
        <f ca="1">IFERROR(__xludf.DUMMYFUNCTION("""COMPUTED_VALUE"""),"Pam")</f>
        <v>Pam</v>
      </c>
      <c r="Q400" t="str">
        <f ca="1">IFERROR(__xludf.DUMMYFUNCTION("""COMPUTED_VALUE"""),"All items in working order")</f>
        <v>All items in working order</v>
      </c>
      <c r="AE400" s="11"/>
      <c r="AF400" t="str">
        <v>Nikki.Dix@floridadep.gov</v>
      </c>
      <c r="AG400" s="17" t="s">
        <v>17</v>
      </c>
      <c r="AH400" s="12">
        <v>1230</v>
      </c>
      <c r="AI400" s="12" t="s">
        <v>1149</v>
      </c>
      <c r="AJ400" s="19" t="s">
        <v>1150</v>
      </c>
      <c r="AK400" s="20" t="str">
        <f>HYPERLINK("https://docs.google.com/document/d/1al6pBTAEsUyBSpAntmTSWLZzNIag_kw43aas-BmHQso/edit?usp=drivesdk","Pam Marcum - 10/17/2019 8:15 AM")</f>
        <v>Pam Marcum - 10/17/2019 8:15 AM</v>
      </c>
      <c r="AL400" s="12" t="s">
        <v>1151</v>
      </c>
    </row>
    <row r="401" spans="1:38" ht="12.75">
      <c r="A401" s="10">
        <f ca="1">IFERROR(__xludf.DUMMYFUNCTION("""COMPUTED_VALUE"""),43759.3443963078)</f>
        <v>43759.344396307803</v>
      </c>
      <c r="B401" s="11" t="str">
        <f ca="1">IFERROR(__xludf.DUMMYFUNCTION("""COMPUTED_VALUE"""),"Silas Tanner")</f>
        <v>Silas Tanner</v>
      </c>
      <c r="C401" t="str">
        <f ca="1">IFERROR(__xludf.DUMMYFUNCTION("""COMPUTED_VALUE"""),"silas.tanner@floridadep.gov")</f>
        <v>silas.tanner@floridadep.gov</v>
      </c>
      <c r="D401" t="str">
        <f ca="1">IFERROR(__xludf.DUMMYFUNCTION("""COMPUTED_VALUE"""),"Research/Nikki")</f>
        <v>Research/Nikki</v>
      </c>
      <c r="E401" t="str">
        <f ca="1">IFERROR(__xludf.DUMMYFUNCTION("""COMPUTED_VALUE"""),"Faver Dykes State Park")</f>
        <v>Faver Dykes State Park</v>
      </c>
      <c r="F401" s="13">
        <f ca="1">IFERROR(__xludf.DUMMYFUNCTION("""COMPUTED_VALUE"""),0.45833333333212)</f>
        <v>0.45833333333212001</v>
      </c>
      <c r="G401" s="14">
        <f ca="1">IFERROR(__xludf.DUMMYFUNCTION("""COMPUTED_VALUE"""),43759)</f>
        <v>43759</v>
      </c>
      <c r="H401" t="str">
        <f ca="1">IFERROR(__xludf.DUMMYFUNCTION("""COMPUTED_VALUE"""),"Pellicer Creek SWMP platforms")</f>
        <v>Pellicer Creek SWMP platforms</v>
      </c>
      <c r="I401" s="15">
        <f ca="1">IFERROR(__xludf.DUMMYFUNCTION("""COMPUTED_VALUE"""),0.58333333333212)</f>
        <v>0.58333333333212001</v>
      </c>
      <c r="J401" s="16">
        <f ca="1">IFERROR(__xludf.DUMMYFUNCTION("""COMPUTED_VALUE"""),43759.6458333333)</f>
        <v>43759.645833333299</v>
      </c>
      <c r="K401" t="str">
        <f ca="1">IFERROR(__xludf.DUMMYFUNCTION("""COMPUTED_VALUE"""),"20ft Sea Ark FL5351SJ UNF 2015")</f>
        <v>20ft Sea Ark FL5351SJ UNF 2015</v>
      </c>
      <c r="M401" t="str">
        <f ca="1">IFERROR(__xludf.DUMMYFUNCTION("""COMPUTED_VALUE"""),"Ford F250 2017 (Moby Dix) - DEP0021578")</f>
        <v>Ford F250 2017 (Moby Dix) - DEP0021578</v>
      </c>
      <c r="N401" t="str">
        <f ca="1">IFERROR(__xludf.DUMMYFUNCTION("""COMPUTED_VALUE"""),"Shannon Dunnigan, (803) 727-5734, Silas Tanner, (904) 483-8423")</f>
        <v>Shannon Dunnigan, (803) 727-5734, Silas Tanner, (904) 483-8423</v>
      </c>
      <c r="O401" t="str">
        <f ca="1">IFERROR(__xludf.DUMMYFUNCTION("""COMPUTED_VALUE"""),"Casey McClure")</f>
        <v>Casey McClure</v>
      </c>
      <c r="P401" t="str">
        <f ca="1">IFERROR(__xludf.DUMMYFUNCTION("""COMPUTED_VALUE"""),"S. Dunnigan")</f>
        <v>S. Dunnigan</v>
      </c>
      <c r="Q401" t="str">
        <f ca="1">IFERROR(__xludf.DUMMYFUNCTION("""COMPUTED_VALUE"""),"All items in working order")</f>
        <v>All items in working order</v>
      </c>
      <c r="AE401" s="11"/>
      <c r="AF401" t="str">
        <v>Nikki.Dix@floridadep.gov</v>
      </c>
      <c r="AG401" s="17" t="s">
        <v>17</v>
      </c>
      <c r="AH401" s="12">
        <v>1320</v>
      </c>
      <c r="AI401" s="12" t="s">
        <v>1152</v>
      </c>
      <c r="AJ401" s="19" t="s">
        <v>1153</v>
      </c>
      <c r="AK401" s="20" t="str">
        <f>HYPERLINK("https://docs.google.com/document/d/1n-LG2HTy2qCWVs8L1YdkpPeRR8p2QgvCem4gUFsY-ls/edit?usp=drivesdk","Silas Tanner - 10/21/2019 11:00 AM")</f>
        <v>Silas Tanner - 10/21/2019 11:00 AM</v>
      </c>
      <c r="AL401" s="12" t="s">
        <v>1154</v>
      </c>
    </row>
    <row r="402" spans="1:38" ht="12.75">
      <c r="A402" s="10">
        <f ca="1">IFERROR(__xludf.DUMMYFUNCTION("""COMPUTED_VALUE"""),43760.4055693865)</f>
        <v>43760.405569386501</v>
      </c>
      <c r="B402" s="11" t="str">
        <f ca="1">IFERROR(__xludf.DUMMYFUNCTION("""COMPUTED_VALUE"""),"Pam Marcum")</f>
        <v>Pam Marcum</v>
      </c>
      <c r="C402" t="str">
        <f ca="1">IFERROR(__xludf.DUMMYFUNCTION("""COMPUTED_VALUE"""),"Pamela.Marcum@FloridaDEP.gov")</f>
        <v>Pamela.Marcum@FloridaDEP.gov</v>
      </c>
      <c r="D402" t="str">
        <f ca="1">IFERROR(__xludf.DUMMYFUNCTION("""COMPUTED_VALUE"""),"Research/Nikki")</f>
        <v>Research/Nikki</v>
      </c>
      <c r="E402" t="str">
        <f ca="1">IFERROR(__xludf.DUMMYFUNCTION("""COMPUTED_VALUE"""),"Faver-Dykes")</f>
        <v>Faver-Dykes</v>
      </c>
      <c r="F402" s="13">
        <f ca="1">IFERROR(__xludf.DUMMYFUNCTION("""COMPUTED_VALUE"""),0.479166666667879)</f>
        <v>0.47916666666787899</v>
      </c>
      <c r="G402" s="14">
        <f ca="1">IFERROR(__xludf.DUMMYFUNCTION("""COMPUTED_VALUE"""),43760)</f>
        <v>43760</v>
      </c>
      <c r="H402" t="str">
        <f ca="1">IFERROR(__xludf.DUMMYFUNCTION("""COMPUTED_VALUE"""),"Pellicer Middle")</f>
        <v>Pellicer Middle</v>
      </c>
      <c r="I402" s="15">
        <f ca="1">IFERROR(__xludf.DUMMYFUNCTION("""COMPUTED_VALUE"""),0.625)</f>
        <v>0.625</v>
      </c>
      <c r="J402" s="16">
        <f ca="1">IFERROR(__xludf.DUMMYFUNCTION("""COMPUTED_VALUE"""),43760.6875)</f>
        <v>43760.6875</v>
      </c>
      <c r="K402" t="str">
        <f ca="1">IFERROR(__xludf.DUMMYFUNCTION("""COMPUTED_VALUE"""),"17ft Skiff (Marsha) FL0642GW DEP07239")</f>
        <v>17ft Skiff (Marsha) FL0642GW DEP07239</v>
      </c>
      <c r="M402" t="str">
        <f ca="1">IFERROR(__xludf.DUMMYFUNCTION("""COMPUTED_VALUE"""),"Ford F150 2008 (SWMP Thing) - DEP18041")</f>
        <v>Ford F150 2008 (SWMP Thing) - DEP18041</v>
      </c>
      <c r="N402" t="str">
        <f ca="1">IFERROR(__xludf.DUMMYFUNCTION("""COMPUTED_VALUE"""),"Pam Marcum, (480) 332-5414")</f>
        <v>Pam Marcum, (480) 332-5414</v>
      </c>
      <c r="O402" t="str">
        <f ca="1">IFERROR(__xludf.DUMMYFUNCTION("""COMPUTED_VALUE"""),"Stephen Brown")</f>
        <v>Stephen Brown</v>
      </c>
      <c r="P402" t="str">
        <f ca="1">IFERROR(__xludf.DUMMYFUNCTION("""COMPUTED_VALUE"""),"Pam")</f>
        <v>Pam</v>
      </c>
      <c r="Q402" t="str">
        <f ca="1">IFERROR(__xludf.DUMMYFUNCTION("""COMPUTED_VALUE"""),"All items in working order")</f>
        <v>All items in working order</v>
      </c>
      <c r="AE402" s="11"/>
      <c r="AF402" t="str">
        <v>Nikki.Dix@floridadep.gov</v>
      </c>
      <c r="AG402" s="17" t="s">
        <v>58</v>
      </c>
      <c r="AH402" s="12">
        <v>1426</v>
      </c>
      <c r="AI402" s="12" t="s">
        <v>1155</v>
      </c>
      <c r="AJ402" s="19" t="s">
        <v>1156</v>
      </c>
      <c r="AK402" s="20" t="str">
        <f>HYPERLINK("https://docs.google.com/document/d/1Y7vwOzLhn0eXI5u7d9d732R4pzu7_c-q0K5-TwlcbW0/edit?usp=drivesdk","Pam Marcum - 10/22/2019 11:30 AM")</f>
        <v>Pam Marcum - 10/22/2019 11:30 AM</v>
      </c>
      <c r="AL402" s="12" t="s">
        <v>1157</v>
      </c>
    </row>
    <row r="403" spans="1:38" ht="12.75">
      <c r="A403" s="10">
        <f ca="1">IFERROR(__xludf.DUMMYFUNCTION("""COMPUTED_VALUE"""),43761.5109808217)</f>
        <v>43761.510980821702</v>
      </c>
      <c r="B403" s="11" t="str">
        <f ca="1">IFERROR(__xludf.DUMMYFUNCTION("""COMPUTED_VALUE"""),"Pam Marcum")</f>
        <v>Pam Marcum</v>
      </c>
      <c r="C403" t="str">
        <f ca="1">IFERROR(__xludf.DUMMYFUNCTION("""COMPUTED_VALUE"""),"pamela.marcum@floridadep.gov")</f>
        <v>pamela.marcum@floridadep.gov</v>
      </c>
      <c r="D403" t="str">
        <f ca="1">IFERROR(__xludf.DUMMYFUNCTION("""COMPUTED_VALUE"""),"Research/Nikki")</f>
        <v>Research/Nikki</v>
      </c>
      <c r="E403" t="str">
        <f ca="1">IFERROR(__xludf.DUMMYFUNCTION("""COMPUTED_VALUE"""),"Faver dykes")</f>
        <v>Faver dykes</v>
      </c>
      <c r="F403" s="13">
        <f ca="1">IFERROR(__xludf.DUMMYFUNCTION("""COMPUTED_VALUE"""),0.52083333333212)</f>
        <v>0.52083333333212001</v>
      </c>
      <c r="G403" s="14">
        <f ca="1">IFERROR(__xludf.DUMMYFUNCTION("""COMPUTED_VALUE"""),43761)</f>
        <v>43761</v>
      </c>
      <c r="H403" t="str">
        <f ca="1">IFERROR(__xludf.DUMMYFUNCTION("""COMPUTED_VALUE"""),"Upper pellicer creek")</f>
        <v>Upper pellicer creek</v>
      </c>
      <c r="I403" s="15">
        <f ca="1">IFERROR(__xludf.DUMMYFUNCTION("""COMPUTED_VALUE"""),0.625)</f>
        <v>0.625</v>
      </c>
      <c r="J403" s="16">
        <f ca="1">IFERROR(__xludf.DUMMYFUNCTION("""COMPUTED_VALUE"""),43761.6666666666)</f>
        <v>43761.666666666599</v>
      </c>
      <c r="K403" t="str">
        <f ca="1">IFERROR(__xludf.DUMMYFUNCTION("""COMPUTED_VALUE"""),"17ft Skiff (Marsha) FL0642GW DEP07239")</f>
        <v>17ft Skiff (Marsha) FL0642GW DEP07239</v>
      </c>
      <c r="M403" t="str">
        <f ca="1">IFERROR(__xludf.DUMMYFUNCTION("""COMPUTED_VALUE"""),"Ford F150 2008 (SWMP Thing) - DEP18041")</f>
        <v>Ford F150 2008 (SWMP Thing) - DEP18041</v>
      </c>
      <c r="N403" t="str">
        <f ca="1">IFERROR(__xludf.DUMMYFUNCTION("""COMPUTED_VALUE"""),"Pam Marcum, (480) 332-5414")</f>
        <v>Pam Marcum, (480) 332-5414</v>
      </c>
      <c r="O403" t="str">
        <f ca="1">IFERROR(__xludf.DUMMYFUNCTION("""COMPUTED_VALUE"""),"Alee Knoell, (619) 750-4833, Esther duffy")</f>
        <v>Alee Knoell, (619) 750-4833, Esther duffy</v>
      </c>
      <c r="P403" t="str">
        <f ca="1">IFERROR(__xludf.DUMMYFUNCTION("""COMPUTED_VALUE"""),"Pam")</f>
        <v>Pam</v>
      </c>
      <c r="Q403" t="str">
        <f ca="1">IFERROR(__xludf.DUMMYFUNCTION("""COMPUTED_VALUE"""),"All items in working order")</f>
        <v>All items in working order</v>
      </c>
      <c r="AE403" s="11"/>
      <c r="AF403" t="str">
        <v>Nikki.Dix@floridadep.gov</v>
      </c>
      <c r="AG403" s="17" t="s">
        <v>17</v>
      </c>
      <c r="AH403" s="12">
        <v>1500</v>
      </c>
      <c r="AI403" s="12" t="s">
        <v>1158</v>
      </c>
      <c r="AJ403" s="19" t="s">
        <v>1159</v>
      </c>
      <c r="AK403" s="20" t="str">
        <f>HYPERLINK("https://docs.google.com/document/d/1yjeYvgPYir5ZjPhpr6dgyr3QLWQtzniq9SwDgTcD6K4/edit?usp=drivesdk","Pam Marcum - 10/23/2019 12:30 PM")</f>
        <v>Pam Marcum - 10/23/2019 12:30 PM</v>
      </c>
      <c r="AL403" s="12" t="s">
        <v>1160</v>
      </c>
    </row>
    <row r="404" spans="1:38" ht="12.75">
      <c r="A404" s="10">
        <f ca="1">IFERROR(__xludf.DUMMYFUNCTION("""COMPUTED_VALUE"""),43762.3654085185)</f>
        <v>43762.365408518497</v>
      </c>
      <c r="B404" s="11" t="str">
        <f ca="1">IFERROR(__xludf.DUMMYFUNCTION("""COMPUTED_VALUE"""),"Jimmy Tomazinis")</f>
        <v>Jimmy Tomazinis</v>
      </c>
      <c r="C404" t="str">
        <f ca="1">IFERROR(__xludf.DUMMYFUNCTION("""COMPUTED_VALUE"""),"james.tomazinis@floridadep.gov")</f>
        <v>james.tomazinis@floridadep.gov</v>
      </c>
      <c r="D404" t="str">
        <f ca="1">IFERROR(__xludf.DUMMYFUNCTION("""COMPUTED_VALUE"""),"Stewardship (Aquatic)")</f>
        <v>Stewardship (Aquatic)</v>
      </c>
      <c r="E404" t="str">
        <f ca="1">IFERROR(__xludf.DUMMYFUNCTION("""COMPUTED_VALUE"""),"Vilano")</f>
        <v>Vilano</v>
      </c>
      <c r="F404" s="13">
        <f ca="1">IFERROR(__xludf.DUMMYFUNCTION("""COMPUTED_VALUE"""),0.385416666667879)</f>
        <v>0.38541666666787899</v>
      </c>
      <c r="G404" s="14">
        <f ca="1">IFERROR(__xludf.DUMMYFUNCTION("""COMPUTED_VALUE"""),43762)</f>
        <v>43762</v>
      </c>
      <c r="H404" t="str">
        <f ca="1">IFERROR(__xludf.DUMMYFUNCTION("""COMPUTED_VALUE"""),"Tolomato nekton sites")</f>
        <v>Tolomato nekton sites</v>
      </c>
      <c r="I404" s="15">
        <f ca="1">IFERROR(__xludf.DUMMYFUNCTION("""COMPUTED_VALUE"""),0.666666666667879)</f>
        <v>0.66666666666787899</v>
      </c>
      <c r="J404" s="16"/>
      <c r="K404" t="str">
        <f ca="1">IFERROR(__xludf.DUMMYFUNCTION("""COMPUTED_VALUE"""),"23ft Skiff (Bertha) FL7972LJ DEP07613")</f>
        <v>23ft Skiff (Bertha) FL7972LJ DEP07613</v>
      </c>
      <c r="M404" t="str">
        <f ca="1">IFERROR(__xludf.DUMMYFUNCTION("""COMPUTED_VALUE"""),"Ford F150 2015 (White) - DEP21448")</f>
        <v>Ford F150 2015 (White) - DEP21448</v>
      </c>
      <c r="N404" t="str">
        <f ca="1">IFERROR(__xludf.DUMMYFUNCTION("""COMPUTED_VALUE"""),"Jimmy Tomazinis, (904) 547-0094")</f>
        <v>Jimmy Tomazinis, (904) 547-0094</v>
      </c>
      <c r="O404" t="str">
        <f ca="1">IFERROR(__xludf.DUMMYFUNCTION("""COMPUTED_VALUE"""),"Suzi, Carl, Zach, Alex, Brian")</f>
        <v>Suzi, Carl, Zach, Alex, Brian</v>
      </c>
      <c r="P404" t="str">
        <f ca="1">IFERROR(__xludf.DUMMYFUNCTION("""COMPUTED_VALUE"""),"Jimmy")</f>
        <v>Jimmy</v>
      </c>
      <c r="Q404" t="str">
        <f ca="1">IFERROR(__xludf.DUMMYFUNCTION("""COMPUTED_VALUE"""),"All items in working order")</f>
        <v>All items in working order</v>
      </c>
      <c r="AE404" s="11"/>
      <c r="AF404" t="str">
        <v>Scott.Eastman@floridadep.gov</v>
      </c>
      <c r="AG404" s="17" t="s">
        <v>41</v>
      </c>
      <c r="AH404" s="12">
        <v>1630</v>
      </c>
      <c r="AI404" s="12" t="s">
        <v>1161</v>
      </c>
      <c r="AJ404" s="19" t="s">
        <v>1162</v>
      </c>
      <c r="AK404" s="20" t="str">
        <f>HYPERLINK("https://docs.google.com/document/d/1_FZkLDX6cpRq0sc7kubw9q1L4r-RNeHr1SqbZ9kcYEw/edit?usp=drivesdk","Jimmy Tomazinis - 10/24/2019 9:15 AM")</f>
        <v>Jimmy Tomazinis - 10/24/2019 9:15 AM</v>
      </c>
      <c r="AL404" s="12" t="s">
        <v>1163</v>
      </c>
    </row>
    <row r="405" spans="1:38" ht="12.75">
      <c r="A405" s="10">
        <f ca="1">IFERROR(__xludf.DUMMYFUNCTION("""COMPUTED_VALUE"""),43762.6260196875)</f>
        <v>43762.626019687501</v>
      </c>
      <c r="B405" s="11" t="str">
        <f ca="1">IFERROR(__xludf.DUMMYFUNCTION("""COMPUTED_VALUE"""),"Pam Marcum")</f>
        <v>Pam Marcum</v>
      </c>
      <c r="C405" t="str">
        <f ca="1">IFERROR(__xludf.DUMMYFUNCTION("""COMPUTED_VALUE"""),"pamela.marcum@floridadep.gov")</f>
        <v>pamela.marcum@floridadep.gov</v>
      </c>
      <c r="D405" t="str">
        <f ca="1">IFERROR(__xludf.DUMMYFUNCTION("""COMPUTED_VALUE"""),"Research/Nikki")</f>
        <v>Research/Nikki</v>
      </c>
      <c r="E405" t="str">
        <f ca="1">IFERROR(__xludf.DUMMYFUNCTION("""COMPUTED_VALUE"""),"Faver dykes")</f>
        <v>Faver dykes</v>
      </c>
      <c r="F405" s="13">
        <f ca="1">IFERROR(__xludf.DUMMYFUNCTION("""COMPUTED_VALUE"""),0.604166666667879)</f>
        <v>0.60416666666787899</v>
      </c>
      <c r="G405" s="14">
        <f ca="1">IFERROR(__xludf.DUMMYFUNCTION("""COMPUTED_VALUE"""),43762)</f>
        <v>43762</v>
      </c>
      <c r="H405" t="str">
        <f ca="1">IFERROR(__xludf.DUMMYFUNCTION("""COMPUTED_VALUE"""),"Lower pellicer creek")</f>
        <v>Lower pellicer creek</v>
      </c>
      <c r="I405" s="15">
        <f ca="1">IFERROR(__xludf.DUMMYFUNCTION("""COMPUTED_VALUE"""),0.70833333333212)</f>
        <v>0.70833333333212001</v>
      </c>
      <c r="J405" s="16">
        <f ca="1">IFERROR(__xludf.DUMMYFUNCTION("""COMPUTED_VALUE"""),43762.75)</f>
        <v>43762.75</v>
      </c>
      <c r="K405" t="str">
        <f ca="1">IFERROR(__xludf.DUMMYFUNCTION("""COMPUTED_VALUE"""),"17ft Skiff (Marsha) FL0642GW DEP07239")</f>
        <v>17ft Skiff (Marsha) FL0642GW DEP07239</v>
      </c>
      <c r="M405" t="str">
        <f ca="1">IFERROR(__xludf.DUMMYFUNCTION("""COMPUTED_VALUE"""),"Ford F150 2008 (SWMP Thing) - DEP18041")</f>
        <v>Ford F150 2008 (SWMP Thing) - DEP18041</v>
      </c>
      <c r="N405" t="str">
        <f ca="1">IFERROR(__xludf.DUMMYFUNCTION("""COMPUTED_VALUE"""),"Pam Marcum, (480) 332-5414")</f>
        <v>Pam Marcum, (480) 332-5414</v>
      </c>
      <c r="O405" t="str">
        <f ca="1">IFERROR(__xludf.DUMMYFUNCTION("""COMPUTED_VALUE"""),"Alee Knoell, (619) 750-4833, Summer Manestar")</f>
        <v>Alee Knoell, (619) 750-4833, Summer Manestar</v>
      </c>
      <c r="P405" t="str">
        <f ca="1">IFERROR(__xludf.DUMMYFUNCTION("""COMPUTED_VALUE"""),"Pam")</f>
        <v>Pam</v>
      </c>
      <c r="Q405" t="str">
        <f ca="1">IFERROR(__xludf.DUMMYFUNCTION("""COMPUTED_VALUE"""),"All items in working order")</f>
        <v>All items in working order</v>
      </c>
      <c r="AE405" s="11"/>
      <c r="AF405" t="str">
        <v>Nikki.Dix@floridadep.gov</v>
      </c>
      <c r="AG405" s="17" t="s">
        <v>41</v>
      </c>
      <c r="AH405" s="12">
        <v>1815</v>
      </c>
      <c r="AI405" s="12" t="s">
        <v>1164</v>
      </c>
      <c r="AJ405" s="19" t="s">
        <v>1165</v>
      </c>
      <c r="AK405" s="20" t="str">
        <f>HYPERLINK("https://docs.google.com/document/d/1tSD6e648rzgMuzDP9hhqwOSc2wFY4LzC4gX0xMLr3mM/edit?usp=drivesdk","Pam Marcum - 10/24/2019 2:30 PM")</f>
        <v>Pam Marcum - 10/24/2019 2:30 PM</v>
      </c>
      <c r="AL405" s="12" t="s">
        <v>1166</v>
      </c>
    </row>
    <row r="406" spans="1:38" ht="12.75">
      <c r="A406" s="10">
        <f ca="1">IFERROR(__xludf.DUMMYFUNCTION("""COMPUTED_VALUE"""),43767.3258060763)</f>
        <v>43767.325806076296</v>
      </c>
      <c r="B406" s="11" t="str">
        <f ca="1">IFERROR(__xludf.DUMMYFUNCTION("""COMPUTED_VALUE"""),"Pam Marcum")</f>
        <v>Pam Marcum</v>
      </c>
      <c r="C406" t="str">
        <f ca="1">IFERROR(__xludf.DUMMYFUNCTION("""COMPUTED_VALUE"""),"pamela.marcum@floridadep.gov")</f>
        <v>pamela.marcum@floridadep.gov</v>
      </c>
      <c r="D406" t="str">
        <f ca="1">IFERROR(__xludf.DUMMYFUNCTION("""COMPUTED_VALUE"""),"Research/Nikki")</f>
        <v>Research/Nikki</v>
      </c>
      <c r="E406" t="str">
        <f ca="1">IFERROR(__xludf.DUMMYFUNCTION("""COMPUTED_VALUE"""),"Faver Dukes")</f>
        <v>Faver Dukes</v>
      </c>
      <c r="F406" s="13">
        <f ca="1">IFERROR(__xludf.DUMMYFUNCTION("""COMPUTED_VALUE"""),0.322916666667879)</f>
        <v>0.32291666666787899</v>
      </c>
      <c r="G406" s="14">
        <f ca="1">IFERROR(__xludf.DUMMYFUNCTION("""COMPUTED_VALUE"""),43767)</f>
        <v>43767</v>
      </c>
      <c r="H406" t="str">
        <f ca="1">IFERROR(__xludf.DUMMYFUNCTION("""COMPUTED_VALUE"""),"Pellicer Creek mouth")</f>
        <v>Pellicer Creek mouth</v>
      </c>
      <c r="I406" s="15">
        <f ca="1">IFERROR(__xludf.DUMMYFUNCTION("""COMPUTED_VALUE"""),0.5)</f>
        <v>0.5</v>
      </c>
      <c r="J406" s="16">
        <f ca="1">IFERROR(__xludf.DUMMYFUNCTION("""COMPUTED_VALUE"""),43767.5416666666)</f>
        <v>43767.541666666599</v>
      </c>
      <c r="K406" t="str">
        <f ca="1">IFERROR(__xludf.DUMMYFUNCTION("""COMPUTED_VALUE"""),"17ft Skiff (Marsha) FL0642GW DEP07239")</f>
        <v>17ft Skiff (Marsha) FL0642GW DEP07239</v>
      </c>
      <c r="M406" t="str">
        <f ca="1">IFERROR(__xludf.DUMMYFUNCTION("""COMPUTED_VALUE"""),"Ford F150 2015 (White) - DEP21448")</f>
        <v>Ford F150 2015 (White) - DEP21448</v>
      </c>
      <c r="N406" t="str">
        <f ca="1">IFERROR(__xludf.DUMMYFUNCTION("""COMPUTED_VALUE"""),"Pam Marcum, (480) 332-5414")</f>
        <v>Pam Marcum, (480) 332-5414</v>
      </c>
      <c r="O406" t="str">
        <f ca="1">IFERROR(__xludf.DUMMYFUNCTION("""COMPUTED_VALUE"""),"Jeff Finnan")</f>
        <v>Jeff Finnan</v>
      </c>
      <c r="P406" t="str">
        <f ca="1">IFERROR(__xludf.DUMMYFUNCTION("""COMPUTED_VALUE"""),"Pam")</f>
        <v>Pam</v>
      </c>
      <c r="Q406" t="str">
        <f ca="1">IFERROR(__xludf.DUMMYFUNCTION("""COMPUTED_VALUE"""),"All items in working order")</f>
        <v>All items in working order</v>
      </c>
      <c r="AE406" s="11"/>
      <c r="AF406" t="str">
        <v>Nikki.Dix@floridadep.gov</v>
      </c>
      <c r="AG406" s="17" t="s">
        <v>17</v>
      </c>
      <c r="AH406" s="12">
        <v>1015</v>
      </c>
      <c r="AI406" s="12" t="s">
        <v>1167</v>
      </c>
      <c r="AJ406" s="19" t="s">
        <v>1168</v>
      </c>
      <c r="AK406" s="20" t="str">
        <f>HYPERLINK("https://docs.google.com/document/d/1W0MUnKo0pddoDkyInqukilZfM2lV6gT-z8ANRIvhfzc/edit?usp=drivesdk","Pam Marcum - 10/29/2019 7:45 AM")</f>
        <v>Pam Marcum - 10/29/2019 7:45 AM</v>
      </c>
      <c r="AL406" s="12" t="s">
        <v>1169</v>
      </c>
    </row>
    <row r="407" spans="1:38" ht="12.75">
      <c r="A407" s="10">
        <f ca="1">IFERROR(__xludf.DUMMYFUNCTION("""COMPUTED_VALUE"""),43767.3392833564)</f>
        <v>43767.339283356399</v>
      </c>
      <c r="B407" s="11" t="str">
        <f ca="1">IFERROR(__xludf.DUMMYFUNCTION("""COMPUTED_VALUE"""),"Silas Tanner")</f>
        <v>Silas Tanner</v>
      </c>
      <c r="C407" t="str">
        <f ca="1">IFERROR(__xludf.DUMMYFUNCTION("""COMPUTED_VALUE"""),"Silas.tanner@Floridadep.gov")</f>
        <v>Silas.tanner@Floridadep.gov</v>
      </c>
      <c r="D407" t="str">
        <f ca="1">IFERROR(__xludf.DUMMYFUNCTION("""COMPUTED_VALUE"""),"Research/Nikki")</f>
        <v>Research/Nikki</v>
      </c>
      <c r="E407" t="str">
        <f ca="1">IFERROR(__xludf.DUMMYFUNCTION("""COMPUTED_VALUE"""),"Crane ramp")</f>
        <v>Crane ramp</v>
      </c>
      <c r="F407" s="13">
        <f ca="1">IFERROR(__xludf.DUMMYFUNCTION("""COMPUTED_VALUE"""),0.354166666667879)</f>
        <v>0.35416666666787899</v>
      </c>
      <c r="G407" s="14">
        <f ca="1">IFERROR(__xludf.DUMMYFUNCTION("""COMPUTED_VALUE"""),43767)</f>
        <v>43767</v>
      </c>
      <c r="H407" t="str">
        <f ca="1">IFERROR(__xludf.DUMMYFUNCTION("""COMPUTED_VALUE"""),"Icw SWMP sites")</f>
        <v>Icw SWMP sites</v>
      </c>
      <c r="I407" s="15">
        <f ca="1">IFERROR(__xludf.DUMMYFUNCTION("""COMPUTED_VALUE"""),0.5625)</f>
        <v>0.5625</v>
      </c>
      <c r="J407" s="16">
        <f ca="1">IFERROR(__xludf.DUMMYFUNCTION("""COMPUTED_VALUE"""),43767.5833333333)</f>
        <v>43767.583333333299</v>
      </c>
      <c r="K407" t="str">
        <f ca="1">IFERROR(__xludf.DUMMYFUNCTION("""COMPUTED_VALUE"""),"23ft Skiff (Bertha) FL7972LJ DEP07613")</f>
        <v>23ft Skiff (Bertha) FL7972LJ DEP07613</v>
      </c>
      <c r="M407" t="str">
        <f ca="1">IFERROR(__xludf.DUMMYFUNCTION("""COMPUTED_VALUE"""),"Ford F250 2017 (Moby Dix) - DEP0021578")</f>
        <v>Ford F250 2017 (Moby Dix) - DEP0021578</v>
      </c>
      <c r="N407" t="str">
        <f ca="1">IFERROR(__xludf.DUMMYFUNCTION("""COMPUTED_VALUE"""),"Silas Tanner, (904) 483-8423, Remo Mondazzi")</f>
        <v>Silas Tanner, (904) 483-8423, Remo Mondazzi</v>
      </c>
      <c r="P407" t="str">
        <f ca="1">IFERROR(__xludf.DUMMYFUNCTION("""COMPUTED_VALUE"""),"S. Tanner")</f>
        <v>S. Tanner</v>
      </c>
      <c r="Q407" t="str">
        <f ca="1">IFERROR(__xludf.DUMMYFUNCTION("""COMPUTED_VALUE"""),"All items in working order")</f>
        <v>All items in working order</v>
      </c>
      <c r="AE407" s="11"/>
      <c r="AF407" t="str">
        <v>Nikki.Dix@floridadep.gov</v>
      </c>
      <c r="AG407" s="17" t="s">
        <v>17</v>
      </c>
      <c r="AH407" s="12">
        <v>1220</v>
      </c>
      <c r="AI407" s="12" t="s">
        <v>1170</v>
      </c>
      <c r="AJ407" s="19" t="s">
        <v>1171</v>
      </c>
      <c r="AK407" s="20" t="str">
        <f>HYPERLINK("https://docs.google.com/document/d/1lEUCZ8jzWthvDEXI6Yb01Db7gioIfBmZbkRci61BKvw/edit?usp=drivesdk","Silas Tanner - 10/29/2019 8:30 AM")</f>
        <v>Silas Tanner - 10/29/2019 8:30 AM</v>
      </c>
      <c r="AL407" s="12" t="s">
        <v>1172</v>
      </c>
    </row>
    <row r="408" spans="1:38" ht="12.75">
      <c r="A408" s="10">
        <f ca="1">IFERROR(__xludf.DUMMYFUNCTION("""COMPUTED_VALUE"""),43768.3448084259)</f>
        <v>43768.3448084259</v>
      </c>
      <c r="B408" s="11" t="str">
        <f ca="1">IFERROR(__xludf.DUMMYFUNCTION("""COMPUTED_VALUE"""),"Alexandria Knoell")</f>
        <v>Alexandria Knoell</v>
      </c>
      <c r="C408" t="str">
        <f ca="1">IFERROR(__xludf.DUMMYFUNCTION("""COMPUTED_VALUE"""),"alee.knoell@floridadep.gov")</f>
        <v>alee.knoell@floridadep.gov</v>
      </c>
      <c r="D408" t="str">
        <f ca="1">IFERROR(__xludf.DUMMYFUNCTION("""COMPUTED_VALUE"""),"Research/Nikki")</f>
        <v>Research/Nikki</v>
      </c>
      <c r="E408" t="str">
        <f ca="1">IFERROR(__xludf.DUMMYFUNCTION("""COMPUTED_VALUE"""),"Pellicer")</f>
        <v>Pellicer</v>
      </c>
      <c r="F408" s="13">
        <f ca="1">IFERROR(__xludf.DUMMYFUNCTION("""COMPUTED_VALUE"""),0.34375)</f>
        <v>0.34375</v>
      </c>
      <c r="G408" s="14">
        <f ca="1">IFERROR(__xludf.DUMMYFUNCTION("""COMPUTED_VALUE"""),43768)</f>
        <v>43768</v>
      </c>
      <c r="H408" t="str">
        <f ca="1">IFERROR(__xludf.DUMMYFUNCTION("""COMPUTED_VALUE"""),"Pellicer")</f>
        <v>Pellicer</v>
      </c>
      <c r="I408" s="15">
        <f ca="1">IFERROR(__xludf.DUMMYFUNCTION("""COMPUTED_VALUE"""),0.5625)</f>
        <v>0.5625</v>
      </c>
      <c r="J408" s="16">
        <f ca="1">IFERROR(__xludf.DUMMYFUNCTION("""COMPUTED_VALUE"""),43768.625)</f>
        <v>43768.625</v>
      </c>
      <c r="K408" t="str">
        <f ca="1">IFERROR(__xludf.DUMMYFUNCTION("""COMPUTED_VALUE"""),"F 20ft Sea Ark (Easy 200) FL8534PY DEP21451")</f>
        <v>F 20ft Sea Ark (Easy 200) FL8534PY DEP21451</v>
      </c>
      <c r="M408" t="str">
        <f ca="1">IFERROR(__xludf.DUMMYFUNCTION("""COMPUTED_VALUE"""),"Ford F150 2015 (White) - DEP21448")</f>
        <v>Ford F150 2015 (White) - DEP21448</v>
      </c>
      <c r="N408" t="str">
        <f ca="1">IFERROR(__xludf.DUMMYFUNCTION("""COMPUTED_VALUE"""),"Pam Marcum, (480) 332-5414")</f>
        <v>Pam Marcum, (480) 332-5414</v>
      </c>
      <c r="O408" t="str">
        <f ca="1">IFERROR(__xludf.DUMMYFUNCTION("""COMPUTED_VALUE"""),"Alee Knoell, (619) 750-4833, Zack Lepera")</f>
        <v>Alee Knoell, (619) 750-4833, Zack Lepera</v>
      </c>
      <c r="P408" t="str">
        <f ca="1">IFERROR(__xludf.DUMMYFUNCTION("""COMPUTED_VALUE"""),"Pam Marcum")</f>
        <v>Pam Marcum</v>
      </c>
      <c r="Q408" t="str">
        <f ca="1">IFERROR(__xludf.DUMMYFUNCTION("""COMPUTED_VALUE"""),"All items in working order")</f>
        <v>All items in working order</v>
      </c>
      <c r="AE408" s="11"/>
      <c r="AF408" t="str">
        <v>Nikki.Dix@floridadep.gov</v>
      </c>
      <c r="AG408" s="17" t="s">
        <v>444</v>
      </c>
      <c r="AH408" s="12">
        <v>1153</v>
      </c>
      <c r="AI408" s="12" t="s">
        <v>1173</v>
      </c>
      <c r="AJ408" s="19" t="s">
        <v>1174</v>
      </c>
      <c r="AK408" s="20" t="str">
        <f>HYPERLINK("https://docs.google.com/document/d/1h83vbiy0qIUMEJu9na-S6xILq_JKNVe8nRk6se4XBmI/edit?usp=drivesdk","Alexandria Knoell - 10/30/2019 8:15 AM")</f>
        <v>Alexandria Knoell - 10/30/2019 8:15 AM</v>
      </c>
      <c r="AL408" s="12" t="s">
        <v>1175</v>
      </c>
    </row>
    <row r="409" spans="1:38" ht="12.75">
      <c r="A409" s="10">
        <f ca="1">IFERROR(__xludf.DUMMYFUNCTION("""COMPUTED_VALUE"""),43768.3741718981)</f>
        <v>43768.374171898096</v>
      </c>
      <c r="B409" s="11" t="str">
        <f ca="1">IFERROR(__xludf.DUMMYFUNCTION("""COMPUTED_VALUE"""),"Jimmy Tomazinis")</f>
        <v>Jimmy Tomazinis</v>
      </c>
      <c r="C409" t="str">
        <f ca="1">IFERROR(__xludf.DUMMYFUNCTION("""COMPUTED_VALUE"""),"james.tomazinis@floridadep.gov")</f>
        <v>james.tomazinis@floridadep.gov</v>
      </c>
      <c r="D409" t="str">
        <f ca="1">IFERROR(__xludf.DUMMYFUNCTION("""COMPUTED_VALUE"""),"Stewardship (Aquatic)")</f>
        <v>Stewardship (Aquatic)</v>
      </c>
      <c r="E409" t="str">
        <f ca="1">IFERROR(__xludf.DUMMYFUNCTION("""COMPUTED_VALUE"""),"Vilano")</f>
        <v>Vilano</v>
      </c>
      <c r="F409" s="13">
        <f ca="1">IFERROR(__xludf.DUMMYFUNCTION("""COMPUTED_VALUE"""),0.385416666667879)</f>
        <v>0.38541666666787899</v>
      </c>
      <c r="G409" s="14">
        <f ca="1">IFERROR(__xludf.DUMMYFUNCTION("""COMPUTED_VALUE"""),43768)</f>
        <v>43768</v>
      </c>
      <c r="H409" t="str">
        <f ca="1">IFERROR(__xludf.DUMMYFUNCTION("""COMPUTED_VALUE"""),"Matanzas Nekton sites")</f>
        <v>Matanzas Nekton sites</v>
      </c>
      <c r="I409" s="15">
        <f ca="1">IFERROR(__xludf.DUMMYFUNCTION("""COMPUTED_VALUE"""),0.666666666667879)</f>
        <v>0.66666666666787899</v>
      </c>
      <c r="J409" s="16"/>
      <c r="K409" t="str">
        <f ca="1">IFERROR(__xludf.DUMMYFUNCTION("""COMPUTED_VALUE"""),"23ft Skiff (Bertha) FL7972LJ DEP07613")</f>
        <v>23ft Skiff (Bertha) FL7972LJ DEP07613</v>
      </c>
      <c r="M409" t="str">
        <f ca="1">IFERROR(__xludf.DUMMYFUNCTION("""COMPUTED_VALUE"""),"Ford F250 2017 (Moby Dix) - DEP0021578")</f>
        <v>Ford F250 2017 (Moby Dix) - DEP0021578</v>
      </c>
      <c r="N409" t="str">
        <f ca="1">IFERROR(__xludf.DUMMYFUNCTION("""COMPUTED_VALUE"""),"Jimmy Tomazinis, (904) 547-0094, Ruben Allen")</f>
        <v>Jimmy Tomazinis, (904) 547-0094, Ruben Allen</v>
      </c>
      <c r="O409" t="str">
        <f ca="1">IFERROR(__xludf.DUMMYFUNCTION("""COMPUTED_VALUE"""),"Suzi, Adrienne, Steve, Scott at some point")</f>
        <v>Suzi, Adrienne, Steve, Scott at some point</v>
      </c>
      <c r="P409" t="str">
        <f ca="1">IFERROR(__xludf.DUMMYFUNCTION("""COMPUTED_VALUE"""),"Jimmy")</f>
        <v>Jimmy</v>
      </c>
      <c r="Q409" t="str">
        <f ca="1">IFERROR(__xludf.DUMMYFUNCTION("""COMPUTED_VALUE"""),"All items in working order")</f>
        <v>All items in working order</v>
      </c>
      <c r="AE409" s="11"/>
      <c r="AF409" t="str">
        <v>Scott.Eastman@floridadep.gov</v>
      </c>
      <c r="AG409" s="18"/>
      <c r="AI409" s="12" t="s">
        <v>1176</v>
      </c>
      <c r="AJ409" s="19" t="s">
        <v>1177</v>
      </c>
      <c r="AK409" s="20" t="str">
        <f>HYPERLINK("https://docs.google.com/document/d/15j64OI3l-9JOaYM-CSUcSma3Xa3KxC0IETHE3a7jyMY/edit?usp=drivesdk","Jimmy Tomazinis - 10/30/2019 9:15 AM")</f>
        <v>Jimmy Tomazinis - 10/30/2019 9:15 AM</v>
      </c>
      <c r="AL409" s="12" t="s">
        <v>1178</v>
      </c>
    </row>
    <row r="410" spans="1:38" ht="12.75">
      <c r="A410" s="10">
        <f ca="1">IFERROR(__xludf.DUMMYFUNCTION("""COMPUTED_VALUE"""),43768.6949684259)</f>
        <v>43768.694968425902</v>
      </c>
      <c r="B410" s="11" t="str">
        <f ca="1">IFERROR(__xludf.DUMMYFUNCTION("""COMPUTED_VALUE"""),"Jimmy Tomazinis")</f>
        <v>Jimmy Tomazinis</v>
      </c>
      <c r="C410" t="str">
        <f ca="1">IFERROR(__xludf.DUMMYFUNCTION("""COMPUTED_VALUE"""),"james.tomazinis@floridadep.gov")</f>
        <v>james.tomazinis@floridadep.gov</v>
      </c>
      <c r="D410" t="str">
        <f ca="1">IFERROR(__xludf.DUMMYFUNCTION("""COMPUTED_VALUE"""),"Stewardship (Aquatic)")</f>
        <v>Stewardship (Aquatic)</v>
      </c>
      <c r="E410" t="str">
        <f ca="1">IFERROR(__xludf.DUMMYFUNCTION("""COMPUTED_VALUE"""),"Bings")</f>
        <v>Bings</v>
      </c>
      <c r="F410" s="13">
        <f ca="1">IFERROR(__xludf.DUMMYFUNCTION("""COMPUTED_VALUE"""),0.416666666667879)</f>
        <v>0.41666666666787899</v>
      </c>
      <c r="G410" s="14">
        <f ca="1">IFERROR(__xludf.DUMMYFUNCTION("""COMPUTED_VALUE"""),43769)</f>
        <v>43769</v>
      </c>
      <c r="H410" t="str">
        <f ca="1">IFERROR(__xludf.DUMMYFUNCTION("""COMPUTED_VALUE"""),"Matanzas nekton sites")</f>
        <v>Matanzas nekton sites</v>
      </c>
      <c r="I410" s="15">
        <f ca="1">IFERROR(__xludf.DUMMYFUNCTION("""COMPUTED_VALUE"""),0.541666666667879)</f>
        <v>0.54166666666787899</v>
      </c>
      <c r="J410" s="16"/>
      <c r="K410" t="str">
        <f ca="1">IFERROR(__xludf.DUMMYFUNCTION("""COMPUTED_VALUE"""),"23ft Skiff (Bertha) FL7972LJ DEP07613")</f>
        <v>23ft Skiff (Bertha) FL7972LJ DEP07613</v>
      </c>
      <c r="M410" t="str">
        <f ca="1">IFERROR(__xludf.DUMMYFUNCTION("""COMPUTED_VALUE"""),"Ford F250 2017 (Moby Dix) - DEP0021578")</f>
        <v>Ford F250 2017 (Moby Dix) - DEP0021578</v>
      </c>
      <c r="N410" t="str">
        <f ca="1">IFERROR(__xludf.DUMMYFUNCTION("""COMPUTED_VALUE"""),"Jimmy Tomazinis, (904) 547-0094")</f>
        <v>Jimmy Tomazinis, (904) 547-0094</v>
      </c>
      <c r="O410" t="str">
        <f ca="1">IFERROR(__xludf.DUMMYFUNCTION("""COMPUTED_VALUE"""),"Scott, Suzi, Adrienne")</f>
        <v>Scott, Suzi, Adrienne</v>
      </c>
      <c r="P410" t="str">
        <f ca="1">IFERROR(__xludf.DUMMYFUNCTION("""COMPUTED_VALUE"""),"Jimmy")</f>
        <v>Jimmy</v>
      </c>
      <c r="Q410" t="str">
        <f ca="1">IFERROR(__xludf.DUMMYFUNCTION("""COMPUTED_VALUE"""),"All items in working order")</f>
        <v>All items in working order</v>
      </c>
      <c r="AE410" s="11"/>
      <c r="AF410" t="str">
        <v>Scott.Eastman@floridadep.gov</v>
      </c>
      <c r="AG410" s="17" t="s">
        <v>58</v>
      </c>
      <c r="AH410" s="12">
        <v>1423</v>
      </c>
      <c r="AI410" s="12" t="s">
        <v>1179</v>
      </c>
      <c r="AJ410" s="19" t="s">
        <v>1180</v>
      </c>
      <c r="AK410" s="20" t="str">
        <f>HYPERLINK("https://docs.google.com/document/d/1BjOP-8VPoeoJ2NRkI-tiC7P49H282nx17wHC2CG2JIc/edit?usp=drivesdk","Jimmy Tomazinis - 10/31/2019 10:00 AM")</f>
        <v>Jimmy Tomazinis - 10/31/2019 10:00 AM</v>
      </c>
      <c r="AL410" s="12" t="s">
        <v>1181</v>
      </c>
    </row>
    <row r="411" spans="1:38" ht="12.75">
      <c r="A411" s="10">
        <f ca="1">IFERROR(__xludf.DUMMYFUNCTION("""COMPUTED_VALUE"""),43769.4022413425)</f>
        <v>43769.402241342497</v>
      </c>
      <c r="B411" s="11" t="str">
        <f ca="1">IFERROR(__xludf.DUMMYFUNCTION("""COMPUTED_VALUE"""),"Pam Marcum")</f>
        <v>Pam Marcum</v>
      </c>
      <c r="C411" t="str">
        <f ca="1">IFERROR(__xludf.DUMMYFUNCTION("""COMPUTED_VALUE"""),"pamela.marcum@floridadep.gov")</f>
        <v>pamela.marcum@floridadep.gov</v>
      </c>
      <c r="D411" t="str">
        <f ca="1">IFERROR(__xludf.DUMMYFUNCTION("""COMPUTED_VALUE"""),"Research/Nikki")</f>
        <v>Research/Nikki</v>
      </c>
      <c r="E411" t="str">
        <f ca="1">IFERROR(__xludf.DUMMYFUNCTION("""COMPUTED_VALUE"""),"Faver dykes")</f>
        <v>Faver dykes</v>
      </c>
      <c r="F411" s="13">
        <f ca="1">IFERROR(__xludf.DUMMYFUNCTION("""COMPUTED_VALUE"""),0.39583333333212)</f>
        <v>0.39583333333212001</v>
      </c>
      <c r="G411" s="14">
        <f ca="1">IFERROR(__xludf.DUMMYFUNCTION("""COMPUTED_VALUE"""),43769)</f>
        <v>43769</v>
      </c>
      <c r="H411" t="str">
        <f ca="1">IFERROR(__xludf.DUMMYFUNCTION("""COMPUTED_VALUE"""),"Pellicer transects")</f>
        <v>Pellicer transects</v>
      </c>
      <c r="I411" s="15">
        <f ca="1">IFERROR(__xludf.DUMMYFUNCTION("""COMPUTED_VALUE"""),0.58333333333212)</f>
        <v>0.58333333333212001</v>
      </c>
      <c r="J411" s="16">
        <f ca="1">IFERROR(__xludf.DUMMYFUNCTION("""COMPUTED_VALUE"""),43769.6458333333)</f>
        <v>43769.645833333299</v>
      </c>
      <c r="K411" t="str">
        <f ca="1">IFERROR(__xludf.DUMMYFUNCTION("""COMPUTED_VALUE"""),"F 20ft Sea Ark (Easy 200) FL8534PY DEP21451")</f>
        <v>F 20ft Sea Ark (Easy 200) FL8534PY DEP21451</v>
      </c>
      <c r="M411" t="str">
        <f ca="1">IFERROR(__xludf.DUMMYFUNCTION("""COMPUTED_VALUE"""),"Ford F150 2015 (White) - DEP21448")</f>
        <v>Ford F150 2015 (White) - DEP21448</v>
      </c>
      <c r="N411" t="str">
        <f ca="1">IFERROR(__xludf.DUMMYFUNCTION("""COMPUTED_VALUE"""),"Pam Marcum, (480) 332-5414")</f>
        <v>Pam Marcum, (480) 332-5414</v>
      </c>
      <c r="O411" t="str">
        <f ca="1">IFERROR(__xludf.DUMMYFUNCTION("""COMPUTED_VALUE"""),"Alee Knoell, (619) 750-4833, Steve Brown")</f>
        <v>Alee Knoell, (619) 750-4833, Steve Brown</v>
      </c>
      <c r="P411" t="str">
        <f ca="1">IFERROR(__xludf.DUMMYFUNCTION("""COMPUTED_VALUE"""),"Pam")</f>
        <v>Pam</v>
      </c>
      <c r="Q411" t="str">
        <f ca="1">IFERROR(__xludf.DUMMYFUNCTION("""COMPUTED_VALUE"""),"All items in working order")</f>
        <v>All items in working order</v>
      </c>
      <c r="AE411" s="11"/>
      <c r="AF411" t="str">
        <v>Nikki.Dix@floridadep.gov</v>
      </c>
      <c r="AG411" s="17" t="s">
        <v>58</v>
      </c>
      <c r="AH411" s="12">
        <v>1320</v>
      </c>
      <c r="AI411" s="12" t="s">
        <v>1182</v>
      </c>
      <c r="AJ411" s="19" t="s">
        <v>1183</v>
      </c>
      <c r="AK411" s="20" t="str">
        <f>HYPERLINK("https://docs.google.com/document/d/1_d5fECny22GGiNZdf1tqjhG5JV1OTtPAjBfXMp_UcRA/edit?usp=drivesdk","Pam Marcum - 10/31/2019 9:30 AM")</f>
        <v>Pam Marcum - 10/31/2019 9:30 AM</v>
      </c>
      <c r="AL411" s="12" t="s">
        <v>1184</v>
      </c>
    </row>
    <row r="412" spans="1:38" ht="12.75">
      <c r="A412" s="10">
        <f ca="1">IFERROR(__xludf.DUMMYFUNCTION("""COMPUTED_VALUE"""),43770.3579817476)</f>
        <v>43770.357981747598</v>
      </c>
      <c r="B412" s="11" t="str">
        <f ca="1">IFERROR(__xludf.DUMMYFUNCTION("""COMPUTED_VALUE"""),"Gabriela Canas")</f>
        <v>Gabriela Canas</v>
      </c>
      <c r="C412" t="str">
        <f ca="1">IFERROR(__xludf.DUMMYFUNCTION("""COMPUTED_VALUE"""),"n00836133@unf.edu")</f>
        <v>n00836133@unf.edu</v>
      </c>
      <c r="D412" t="str">
        <f ca="1">IFERROR(__xludf.DUMMYFUNCTION("""COMPUTED_VALUE"""),"Research/Nikki")</f>
        <v>Research/Nikki</v>
      </c>
      <c r="E412" t="str">
        <f ca="1">IFERROR(__xludf.DUMMYFUNCTION("""COMPUTED_VALUE"""),"Douglas crane")</f>
        <v>Douglas crane</v>
      </c>
      <c r="F412" s="13">
        <f ca="1">IFERROR(__xludf.DUMMYFUNCTION("""COMPUTED_VALUE"""),0.375)</f>
        <v>0.375</v>
      </c>
      <c r="G412" s="14">
        <f ca="1">IFERROR(__xludf.DUMMYFUNCTION("""COMPUTED_VALUE"""),43770)</f>
        <v>43770</v>
      </c>
      <c r="H412" t="str">
        <f ca="1">IFERROR(__xludf.DUMMYFUNCTION("""COMPUTED_VALUE"""),"WETFEET middle site")</f>
        <v>WETFEET middle site</v>
      </c>
      <c r="I412" s="15">
        <f ca="1">IFERROR(__xludf.DUMMYFUNCTION("""COMPUTED_VALUE"""),0.625)</f>
        <v>0.625</v>
      </c>
      <c r="J412" s="16">
        <f ca="1">IFERROR(__xludf.DUMMYFUNCTION("""COMPUTED_VALUE"""),43770.6666666666)</f>
        <v>43770.666666666599</v>
      </c>
      <c r="K412" t="str">
        <f ca="1">IFERROR(__xludf.DUMMYFUNCTION("""COMPUTED_VALUE"""),"23ft Skiff (Bertha) FL7972LJ DEP07613")</f>
        <v>23ft Skiff (Bertha) FL7972LJ DEP07613</v>
      </c>
      <c r="M412" t="str">
        <f ca="1">IFERROR(__xludf.DUMMYFUNCTION("""COMPUTED_VALUE"""),"Ford F250 2017 (Moby Dix) - DEP0021578")</f>
        <v>Ford F250 2017 (Moby Dix) - DEP0021578</v>
      </c>
      <c r="N412" t="str">
        <f ca="1">IFERROR(__xludf.DUMMYFUNCTION("""COMPUTED_VALUE"""),"Pam Marcum, (480) 332-5414")</f>
        <v>Pam Marcum, (480) 332-5414</v>
      </c>
      <c r="O412" t="str">
        <f ca="1">IFERROR(__xludf.DUMMYFUNCTION("""COMPUTED_VALUE"""),"Gabriela Canas, (904) 891-9743")</f>
        <v>Gabriela Canas, (904) 891-9743</v>
      </c>
      <c r="P412" t="str">
        <f ca="1">IFERROR(__xludf.DUMMYFUNCTION("""COMPUTED_VALUE"""),"Pam")</f>
        <v>Pam</v>
      </c>
      <c r="Q412" t="str">
        <f ca="1">IFERROR(__xludf.DUMMYFUNCTION("""COMPUTED_VALUE"""),"All items in working order")</f>
        <v>All items in working order</v>
      </c>
      <c r="AE412" s="11"/>
      <c r="AF412" t="str">
        <v>Nikki.Dix@floridadep.gov</v>
      </c>
      <c r="AG412" s="17" t="s">
        <v>58</v>
      </c>
      <c r="AH412" s="12">
        <v>1230</v>
      </c>
      <c r="AI412" s="12" t="s">
        <v>1185</v>
      </c>
      <c r="AJ412" s="19" t="s">
        <v>1186</v>
      </c>
      <c r="AK412" s="20" t="str">
        <f>HYPERLINK("https://docs.google.com/document/d/1prWMueONgldddFzfRPQ9ygSaRH4jgTMVx9qL2sHIQOE/edit?usp=drivesdk","Gabriela Canas - 11/1/2019 9:00 AM")</f>
        <v>Gabriela Canas - 11/1/2019 9:00 AM</v>
      </c>
      <c r="AL412" s="12" t="s">
        <v>1187</v>
      </c>
    </row>
    <row r="413" spans="1:38" ht="12.75">
      <c r="A413" s="10">
        <f ca="1">IFERROR(__xludf.DUMMYFUNCTION("""COMPUTED_VALUE"""),43772.2947935069)</f>
        <v>43772.294793506902</v>
      </c>
      <c r="B413" s="11" t="str">
        <f ca="1">IFERROR(__xludf.DUMMYFUNCTION("""COMPUTED_VALUE"""),"Ruben Allen")</f>
        <v>Ruben Allen</v>
      </c>
      <c r="C413" t="str">
        <f ca="1">IFERROR(__xludf.DUMMYFUNCTION("""COMPUTED_VALUE"""),"rubeall57@gmail.com")</f>
        <v>rubeall57@gmail.com</v>
      </c>
      <c r="D413" t="str">
        <f ca="1">IFERROR(__xludf.DUMMYFUNCTION("""COMPUTED_VALUE"""),"Administration")</f>
        <v>Administration</v>
      </c>
      <c r="E413" t="str">
        <f ca="1">IFERROR(__xludf.DUMMYFUNCTION("""COMPUTED_VALUE"""),"Vilano")</f>
        <v>Vilano</v>
      </c>
      <c r="F413" s="13">
        <f ca="1">IFERROR(__xludf.DUMMYFUNCTION("""COMPUTED_VALUE"""),0.3125)</f>
        <v>0.3125</v>
      </c>
      <c r="G413" s="14">
        <f ca="1">IFERROR(__xludf.DUMMYFUNCTION("""COMPUTED_VALUE"""),43773)</f>
        <v>43773</v>
      </c>
      <c r="H413" t="str">
        <f ca="1">IFERROR(__xludf.DUMMYFUNCTION("""COMPUTED_VALUE"""),"Spat Run")</f>
        <v>Spat Run</v>
      </c>
      <c r="I413" s="15">
        <f ca="1">IFERROR(__xludf.DUMMYFUNCTION("""COMPUTED_VALUE"""),0.625)</f>
        <v>0.625</v>
      </c>
      <c r="J413" s="16">
        <f ca="1">IFERROR(__xludf.DUMMYFUNCTION("""COMPUTED_VALUE"""),43773.6458333333)</f>
        <v>43773.645833333299</v>
      </c>
      <c r="K413" t="str">
        <f ca="1">IFERROR(__xludf.DUMMYFUNCTION("""COMPUTED_VALUE"""),"F 20ft Sea Ark (Easy 200) FL8534PY DEP21451")</f>
        <v>F 20ft Sea Ark (Easy 200) FL8534PY DEP21451</v>
      </c>
      <c r="M413" t="str">
        <f ca="1">IFERROR(__xludf.DUMMYFUNCTION("""COMPUTED_VALUE"""),"Ford F150 2015 (White) - DEP21448")</f>
        <v>Ford F150 2015 (White) - DEP21448</v>
      </c>
      <c r="N413" t="str">
        <f ca="1">IFERROR(__xludf.DUMMYFUNCTION("""COMPUTED_VALUE"""),"Ruben Allen")</f>
        <v>Ruben Allen</v>
      </c>
      <c r="O413" t="str">
        <f ca="1">IFERROR(__xludf.DUMMYFUNCTION("""COMPUTED_VALUE"""),"Alee Knoell, (619) 750-4833")</f>
        <v>Alee Knoell, (619) 750-4833</v>
      </c>
      <c r="P413" t="str">
        <f ca="1">IFERROR(__xludf.DUMMYFUNCTION("""COMPUTED_VALUE"""),"Ruben Allen")</f>
        <v>Ruben Allen</v>
      </c>
      <c r="Q413" t="str">
        <f ca="1">IFERROR(__xludf.DUMMYFUNCTION("""COMPUTED_VALUE"""),"All items in working order")</f>
        <v>All items in working order</v>
      </c>
      <c r="AD413" t="str">
        <f ca="1">IFERROR(__xludf.DUMMYFUNCTION("""COMPUTED_VALUE"""),"Partly to mostly cloudy")</f>
        <v>Partly to mostly cloudy</v>
      </c>
      <c r="AE413" s="11" t="str">
        <f ca="1">IFERROR(__xludf.DUMMYFUNCTION("""COMPUTED_VALUE"""),"Tides good")</f>
        <v>Tides good</v>
      </c>
      <c r="AF413" t="str">
        <v>Lia.Sansom@floridadep.gov</v>
      </c>
      <c r="AG413" s="18"/>
      <c r="AI413" s="12" t="s">
        <v>1188</v>
      </c>
      <c r="AJ413" s="19" t="s">
        <v>1189</v>
      </c>
      <c r="AK413" s="20" t="str">
        <f>HYPERLINK("https://docs.google.com/document/d/15IRTJxlG3VjfsXhPDtxtYTDiALUXkRoyVsHI6xd9aOE/edit?usp=drivesdk","Ruben Allen - 11/4/2019 7:30 AM")</f>
        <v>Ruben Allen - 11/4/2019 7:30 AM</v>
      </c>
      <c r="AL413" s="12" t="s">
        <v>1190</v>
      </c>
    </row>
    <row r="414" spans="1:38" ht="12.75">
      <c r="A414" s="10">
        <f ca="1">IFERROR(__xludf.DUMMYFUNCTION("""COMPUTED_VALUE"""),43773.3092853703)</f>
        <v>43773.309285370298</v>
      </c>
      <c r="B414" s="11" t="str">
        <f ca="1">IFERROR(__xludf.DUMMYFUNCTION("""COMPUTED_VALUE"""),"Pam Marcum")</f>
        <v>Pam Marcum</v>
      </c>
      <c r="C414" t="str">
        <f ca="1">IFERROR(__xludf.DUMMYFUNCTION("""COMPUTED_VALUE"""),"pamela.marcum@floridadep.gov")</f>
        <v>pamela.marcum@floridadep.gov</v>
      </c>
      <c r="D414" t="str">
        <f ca="1">IFERROR(__xludf.DUMMYFUNCTION("""COMPUTED_VALUE"""),"Administration")</f>
        <v>Administration</v>
      </c>
      <c r="E414" t="str">
        <f ca="1">IFERROR(__xludf.DUMMYFUNCTION("""COMPUTED_VALUE"""),"Aunt Kate's")</f>
        <v>Aunt Kate's</v>
      </c>
      <c r="F414" s="13">
        <f ca="1">IFERROR(__xludf.DUMMYFUNCTION("""COMPUTED_VALUE"""),0.305555555554747)</f>
        <v>0.305555555554747</v>
      </c>
      <c r="G414" s="14">
        <f ca="1">IFERROR(__xludf.DUMMYFUNCTION("""COMPUTED_VALUE"""),43773)</f>
        <v>43773</v>
      </c>
      <c r="H414" t="str">
        <f ca="1">IFERROR(__xludf.DUMMYFUNCTION("""COMPUTED_VALUE"""),"Tolomato and Guana Rivers")</f>
        <v>Tolomato and Guana Rivers</v>
      </c>
      <c r="I414" s="15">
        <f ca="1">IFERROR(__xludf.DUMMYFUNCTION("""COMPUTED_VALUE"""),0.58333333333212)</f>
        <v>0.58333333333212001</v>
      </c>
      <c r="J414" s="16">
        <f ca="1">IFERROR(__xludf.DUMMYFUNCTION("""COMPUTED_VALUE"""),43773.6041666666)</f>
        <v>43773.604166666599</v>
      </c>
      <c r="K414" t="str">
        <f ca="1">IFERROR(__xludf.DUMMYFUNCTION("""COMPUTED_VALUE"""),"23ft Skiff (Bertha) FL7972LJ DEP07613")</f>
        <v>23ft Skiff (Bertha) FL7972LJ DEP07613</v>
      </c>
      <c r="M414" t="str">
        <f ca="1">IFERROR(__xludf.DUMMYFUNCTION("""COMPUTED_VALUE"""),"Ford F250 2017 (Moby Dix) - DEP0021578")</f>
        <v>Ford F250 2017 (Moby Dix) - DEP0021578</v>
      </c>
      <c r="N414" t="str">
        <f ca="1">IFERROR(__xludf.DUMMYFUNCTION("""COMPUTED_VALUE"""),"Pam Marcum, (480) 332-5414")</f>
        <v>Pam Marcum, (480) 332-5414</v>
      </c>
      <c r="O414" t="str">
        <f ca="1">IFERROR(__xludf.DUMMYFUNCTION("""COMPUTED_VALUE"""),"Adrienne Breef-Pilz")</f>
        <v>Adrienne Breef-Pilz</v>
      </c>
      <c r="P414" t="str">
        <f ca="1">IFERROR(__xludf.DUMMYFUNCTION("""COMPUTED_VALUE"""),"Pam")</f>
        <v>Pam</v>
      </c>
      <c r="Q414" t="str">
        <f ca="1">IFERROR(__xludf.DUMMYFUNCTION("""COMPUTED_VALUE"""),"All items in working order")</f>
        <v>All items in working order</v>
      </c>
      <c r="AE414" s="11"/>
      <c r="AF414" t="str">
        <v>Lia.Sansom@floridadep.gov</v>
      </c>
      <c r="AG414" s="17" t="s">
        <v>17</v>
      </c>
      <c r="AH414" s="12">
        <v>1135</v>
      </c>
      <c r="AI414" s="12" t="s">
        <v>1191</v>
      </c>
      <c r="AJ414" s="19" t="s">
        <v>1192</v>
      </c>
      <c r="AK414" s="20" t="str">
        <f>HYPERLINK("https://docs.google.com/document/d/1M7xpibvSmVbgcBf-KshDdhZJdbWlKw_O9smFLdfK_xY/edit?usp=drivesdk","Pam Marcum - 11/4/2019 7:20 AM")</f>
        <v>Pam Marcum - 11/4/2019 7:20 AM</v>
      </c>
      <c r="AL414" s="12" t="s">
        <v>1193</v>
      </c>
    </row>
    <row r="415" spans="1:38" ht="12.75">
      <c r="A415" s="10">
        <f ca="1">IFERROR(__xludf.DUMMYFUNCTION("""COMPUTED_VALUE"""),43773.7043937037)</f>
        <v>43773.704393703701</v>
      </c>
      <c r="B415" s="11" t="str">
        <f ca="1">IFERROR(__xludf.DUMMYFUNCTION("""COMPUTED_VALUE"""),"Jimmy Tomazinis")</f>
        <v>Jimmy Tomazinis</v>
      </c>
      <c r="C415" t="str">
        <f ca="1">IFERROR(__xludf.DUMMYFUNCTION("""COMPUTED_VALUE"""),"james.tomazinis@floridadep.gov")</f>
        <v>james.tomazinis@floridadep.gov</v>
      </c>
      <c r="D415" t="str">
        <f ca="1">IFERROR(__xludf.DUMMYFUNCTION("""COMPUTED_VALUE"""),"Stewardship (Aquatic)")</f>
        <v>Stewardship (Aquatic)</v>
      </c>
      <c r="E415" t="str">
        <f ca="1">IFERROR(__xludf.DUMMYFUNCTION("""COMPUTED_VALUE"""),"Vilano")</f>
        <v>Vilano</v>
      </c>
      <c r="F415" s="13">
        <f ca="1">IFERROR(__xludf.DUMMYFUNCTION("""COMPUTED_VALUE"""),0.385416666667879)</f>
        <v>0.38541666666787899</v>
      </c>
      <c r="G415" s="14">
        <f ca="1">IFERROR(__xludf.DUMMYFUNCTION("""COMPUTED_VALUE"""),43774)</f>
        <v>43774</v>
      </c>
      <c r="H415" t="str">
        <f ca="1">IFERROR(__xludf.DUMMYFUNCTION("""COMPUTED_VALUE"""),"Tolomato Nekton")</f>
        <v>Tolomato Nekton</v>
      </c>
      <c r="I415" s="15">
        <f ca="1">IFERROR(__xludf.DUMMYFUNCTION("""COMPUTED_VALUE"""),0.666666666667879)</f>
        <v>0.66666666666787899</v>
      </c>
      <c r="J415" s="16"/>
      <c r="K415" t="str">
        <f ca="1">IFERROR(__xludf.DUMMYFUNCTION("""COMPUTED_VALUE"""),"23ft Skiff (Bertha) FL7972LJ DEP07613")</f>
        <v>23ft Skiff (Bertha) FL7972LJ DEP07613</v>
      </c>
      <c r="M415" t="str">
        <f ca="1">IFERROR(__xludf.DUMMYFUNCTION("""COMPUTED_VALUE"""),"Ford F150 2015 (White) - DEP21448")</f>
        <v>Ford F150 2015 (White) - DEP21448</v>
      </c>
      <c r="N415" t="str">
        <f ca="1">IFERROR(__xludf.DUMMYFUNCTION("""COMPUTED_VALUE"""),"Jimmy Tomazinis, (904) 547-0094")</f>
        <v>Jimmy Tomazinis, (904) 547-0094</v>
      </c>
      <c r="O415" t="str">
        <f ca="1">IFERROR(__xludf.DUMMYFUNCTION("""COMPUTED_VALUE"""),"Suzi, Carl, Jeff, Pam")</f>
        <v>Suzi, Carl, Jeff, Pam</v>
      </c>
      <c r="P415" t="str">
        <f ca="1">IFERROR(__xludf.DUMMYFUNCTION("""COMPUTED_VALUE"""),"Jimmy")</f>
        <v>Jimmy</v>
      </c>
      <c r="Q415" t="str">
        <f ca="1">IFERROR(__xludf.DUMMYFUNCTION("""COMPUTED_VALUE"""),"All items in working order")</f>
        <v>All items in working order</v>
      </c>
      <c r="AE415" s="11"/>
      <c r="AF415" t="str">
        <v>Scott.Eastman@floridadep.gov</v>
      </c>
      <c r="AG415" s="17" t="s">
        <v>17</v>
      </c>
      <c r="AH415" s="12">
        <v>1616</v>
      </c>
      <c r="AI415" s="12" t="s">
        <v>1194</v>
      </c>
      <c r="AJ415" s="19" t="s">
        <v>1195</v>
      </c>
      <c r="AK415" s="20" t="str">
        <f>HYPERLINK("https://docs.google.com/document/d/1CRc4j6HLo0xqlKMTTNdvh8YrHb0mUQt_MH11cR4wB04/edit?usp=drivesdk","Jimmy Tomazinis - 11/5/2019 9:15 AM")</f>
        <v>Jimmy Tomazinis - 11/5/2019 9:15 AM</v>
      </c>
      <c r="AL415" s="12" t="s">
        <v>1196</v>
      </c>
    </row>
    <row r="416" spans="1:38" ht="12.75">
      <c r="A416" s="10">
        <f ca="1">IFERROR(__xludf.DUMMYFUNCTION("""COMPUTED_VALUE"""),43774.3451016203)</f>
        <v>43774.345101620303</v>
      </c>
      <c r="B416" s="11" t="str">
        <f ca="1">IFERROR(__xludf.DUMMYFUNCTION("""COMPUTED_VALUE"""),"Pam Marcum")</f>
        <v>Pam Marcum</v>
      </c>
      <c r="C416" t="str">
        <f ca="1">IFERROR(__xludf.DUMMYFUNCTION("""COMPUTED_VALUE"""),"Pamela.Marcum@FloridaDEP.gov")</f>
        <v>Pamela.Marcum@FloridaDEP.gov</v>
      </c>
      <c r="D416" t="str">
        <f ca="1">IFERROR(__xludf.DUMMYFUNCTION("""COMPUTED_VALUE"""),"Administration")</f>
        <v>Administration</v>
      </c>
      <c r="E416" t="str">
        <f ca="1">IFERROR(__xludf.DUMMYFUNCTION("""COMPUTED_VALUE"""),"Shore Drive")</f>
        <v>Shore Drive</v>
      </c>
      <c r="F416" s="13">
        <f ca="1">IFERROR(__xludf.DUMMYFUNCTION("""COMPUTED_VALUE"""),0.375)</f>
        <v>0.375</v>
      </c>
      <c r="G416" s="14">
        <f ca="1">IFERROR(__xludf.DUMMYFUNCTION("""COMPUTED_VALUE"""),43774)</f>
        <v>43774</v>
      </c>
      <c r="H416" t="str">
        <f ca="1">IFERROR(__xludf.DUMMYFUNCTION("""COMPUTED_VALUE"""),"312 Bridge")</f>
        <v>312 Bridge</v>
      </c>
      <c r="I416" s="15">
        <f ca="1">IFERROR(__xludf.DUMMYFUNCTION("""COMPUTED_VALUE"""),0.39583333333212)</f>
        <v>0.39583333333212001</v>
      </c>
      <c r="J416" s="16">
        <f ca="1">IFERROR(__xludf.DUMMYFUNCTION("""COMPUTED_VALUE"""),43774.4166666666)</f>
        <v>43774.416666666599</v>
      </c>
      <c r="K416" t="str">
        <f ca="1">IFERROR(__xludf.DUMMYFUNCTION("""COMPUTED_VALUE"""),"Jon Boat FL FL5992RR DEP21634")</f>
        <v>Jon Boat FL FL5992RR DEP21634</v>
      </c>
      <c r="M416" t="str">
        <f ca="1">IFERROR(__xludf.DUMMYFUNCTION("""COMPUTED_VALUE"""),"Ford F150 2008 (SWMP Thing) - DEP18041")</f>
        <v>Ford F150 2008 (SWMP Thing) - DEP18041</v>
      </c>
      <c r="N416" t="str">
        <f ca="1">IFERROR(__xludf.DUMMYFUNCTION("""COMPUTED_VALUE"""),"Pam Marcum, (480) 332-5414")</f>
        <v>Pam Marcum, (480) 332-5414</v>
      </c>
      <c r="O416" t="str">
        <f ca="1">IFERROR(__xludf.DUMMYFUNCTION("""COMPUTED_VALUE"""),"Alee Knoell, (619) 750-4833")</f>
        <v>Alee Knoell, (619) 750-4833</v>
      </c>
      <c r="P416" t="str">
        <f ca="1">IFERROR(__xludf.DUMMYFUNCTION("""COMPUTED_VALUE"""),"Pam")</f>
        <v>Pam</v>
      </c>
      <c r="Q416" t="str">
        <f ca="1">IFERROR(__xludf.DUMMYFUNCTION("""COMPUTED_VALUE"""),"All items in working order")</f>
        <v>All items in working order</v>
      </c>
      <c r="AE416" s="11"/>
      <c r="AF416" t="str">
        <v>Lia.Sansom@floridadep.gov</v>
      </c>
      <c r="AG416" s="17" t="s">
        <v>17</v>
      </c>
      <c r="AH416" s="12">
        <v>955</v>
      </c>
      <c r="AI416" s="12" t="s">
        <v>1197</v>
      </c>
      <c r="AJ416" s="19" t="s">
        <v>1198</v>
      </c>
      <c r="AK416" s="20" t="str">
        <f>HYPERLINK("https://docs.google.com/document/d/18_-rvKQZAj4zj-xu5XIOunNjjc1B25_eNVm9KFoW9Dk/edit?usp=drivesdk","Pam Marcum - 11/5/2019 9:00 AM")</f>
        <v>Pam Marcum - 11/5/2019 9:00 AM</v>
      </c>
      <c r="AL416" s="12" t="s">
        <v>1199</v>
      </c>
    </row>
    <row r="417" spans="1:38" ht="12.75">
      <c r="A417" s="10">
        <f ca="1">IFERROR(__xludf.DUMMYFUNCTION("""COMPUTED_VALUE"""),43775.3986388194)</f>
        <v>43775.398638819403</v>
      </c>
      <c r="B417" s="11" t="str">
        <f ca="1">IFERROR(__xludf.DUMMYFUNCTION("""COMPUTED_VALUE"""),"Jimmy Tomazinis")</f>
        <v>Jimmy Tomazinis</v>
      </c>
      <c r="C417" t="str">
        <f ca="1">IFERROR(__xludf.DUMMYFUNCTION("""COMPUTED_VALUE"""),"james.tomazinis@floridadep.gov")</f>
        <v>james.tomazinis@floridadep.gov</v>
      </c>
      <c r="D417" t="str">
        <f ca="1">IFERROR(__xludf.DUMMYFUNCTION("""COMPUTED_VALUE"""),"Stewardship (Aquatic)")</f>
        <v>Stewardship (Aquatic)</v>
      </c>
      <c r="E417" t="str">
        <f ca="1">IFERROR(__xludf.DUMMYFUNCTION("""COMPUTED_VALUE"""),"Vilano")</f>
        <v>Vilano</v>
      </c>
      <c r="F417" s="13">
        <f ca="1">IFERROR(__xludf.DUMMYFUNCTION("""COMPUTED_VALUE"""),0.39583333333212)</f>
        <v>0.39583333333212001</v>
      </c>
      <c r="G417" s="14">
        <f ca="1">IFERROR(__xludf.DUMMYFUNCTION("""COMPUTED_VALUE"""),43775)</f>
        <v>43775</v>
      </c>
      <c r="H417" t="str">
        <f ca="1">IFERROR(__xludf.DUMMYFUNCTION("""COMPUTED_VALUE"""),"Nekton sites")</f>
        <v>Nekton sites</v>
      </c>
      <c r="I417" s="15">
        <f ca="1">IFERROR(__xludf.DUMMYFUNCTION("""COMPUTED_VALUE"""),0.666666666667879)</f>
        <v>0.66666666666787899</v>
      </c>
      <c r="J417" s="16"/>
      <c r="K417" t="str">
        <f ca="1">IFERROR(__xludf.DUMMYFUNCTION("""COMPUTED_VALUE"""),"23ft Skiff (Bertha) FL7972LJ DEP07613")</f>
        <v>23ft Skiff (Bertha) FL7972LJ DEP07613</v>
      </c>
      <c r="M417" t="str">
        <f ca="1">IFERROR(__xludf.DUMMYFUNCTION("""COMPUTED_VALUE"""),"Ford F150 2015 (White) - DEP21448")</f>
        <v>Ford F150 2015 (White) - DEP21448</v>
      </c>
      <c r="N417" t="str">
        <f ca="1">IFERROR(__xludf.DUMMYFUNCTION("""COMPUTED_VALUE"""),"Jimmy Tomazinis, (904) 547-0094")</f>
        <v>Jimmy Tomazinis, (904) 547-0094</v>
      </c>
      <c r="O417" t="str">
        <f ca="1">IFERROR(__xludf.DUMMYFUNCTION("""COMPUTED_VALUE"""),"Suzi, Guenter, Alex, Jeff")</f>
        <v>Suzi, Guenter, Alex, Jeff</v>
      </c>
      <c r="P417" t="str">
        <f ca="1">IFERROR(__xludf.DUMMYFUNCTION("""COMPUTED_VALUE"""),"Jimmy")</f>
        <v>Jimmy</v>
      </c>
      <c r="Q417" t="str">
        <f ca="1">IFERROR(__xludf.DUMMYFUNCTION("""COMPUTED_VALUE"""),"All items in working order")</f>
        <v>All items in working order</v>
      </c>
      <c r="AE417" s="11"/>
      <c r="AF417" t="str">
        <v>Scott.Eastman@floridadep.gov</v>
      </c>
      <c r="AG417" s="17" t="s">
        <v>17</v>
      </c>
      <c r="AH417" s="12">
        <v>1600</v>
      </c>
      <c r="AI417" s="12" t="s">
        <v>1200</v>
      </c>
      <c r="AJ417" s="19" t="s">
        <v>1201</v>
      </c>
      <c r="AK417" s="20" t="str">
        <f>HYPERLINK("https://docs.google.com/document/d/1hRHCgSxbnv7hu6DeHUy5JI5pBcEgXO0l_jaGUl_e9dU/edit?usp=drivesdk","Jimmy Tomazinis - 11/6/2019 9:30 AM")</f>
        <v>Jimmy Tomazinis - 11/6/2019 9:30 AM</v>
      </c>
      <c r="AL417" s="12" t="s">
        <v>1202</v>
      </c>
    </row>
    <row r="418" spans="1:38" ht="12.75">
      <c r="A418" s="10">
        <f ca="1">IFERROR(__xludf.DUMMYFUNCTION("""COMPUTED_VALUE"""),43776.3551572337)</f>
        <v>43776.355157233702</v>
      </c>
      <c r="B418" s="11" t="str">
        <f ca="1">IFERROR(__xludf.DUMMYFUNCTION("""COMPUTED_VALUE"""),"Jimmy Tomazinis")</f>
        <v>Jimmy Tomazinis</v>
      </c>
      <c r="C418" t="str">
        <f ca="1">IFERROR(__xludf.DUMMYFUNCTION("""COMPUTED_VALUE"""),"james.tomazinis@floridadep.gov")</f>
        <v>james.tomazinis@floridadep.gov</v>
      </c>
      <c r="D418" t="str">
        <f ca="1">IFERROR(__xludf.DUMMYFUNCTION("""COMPUTED_VALUE"""),"Stewardship (Aquatic)")</f>
        <v>Stewardship (Aquatic)</v>
      </c>
      <c r="E418" t="str">
        <f ca="1">IFERROR(__xludf.DUMMYFUNCTION("""COMPUTED_VALUE"""),"Bings")</f>
        <v>Bings</v>
      </c>
      <c r="F418" s="13">
        <f ca="1">IFERROR(__xludf.DUMMYFUNCTION("""COMPUTED_VALUE"""),0.42708333333212)</f>
        <v>0.42708333333212001</v>
      </c>
      <c r="G418" s="14">
        <f ca="1">IFERROR(__xludf.DUMMYFUNCTION("""COMPUTED_VALUE"""),43776)</f>
        <v>43776</v>
      </c>
      <c r="H418" t="str">
        <f ca="1">IFERROR(__xludf.DUMMYFUNCTION("""COMPUTED_VALUE"""),"Matanzas nekton")</f>
        <v>Matanzas nekton</v>
      </c>
      <c r="I418" s="15">
        <f ca="1">IFERROR(__xludf.DUMMYFUNCTION("""COMPUTED_VALUE"""),0.625)</f>
        <v>0.625</v>
      </c>
      <c r="J418" s="16"/>
      <c r="K418" t="str">
        <f ca="1">IFERROR(__xludf.DUMMYFUNCTION("""COMPUTED_VALUE"""),"23ft Skiff (Bertha) FL7972LJ DEP07613")</f>
        <v>23ft Skiff (Bertha) FL7972LJ DEP07613</v>
      </c>
      <c r="M418" t="str">
        <f ca="1">IFERROR(__xludf.DUMMYFUNCTION("""COMPUTED_VALUE"""),"Ford F150 2015 (White) - DEP21448")</f>
        <v>Ford F150 2015 (White) - DEP21448</v>
      </c>
      <c r="N418" t="str">
        <f ca="1">IFERROR(__xludf.DUMMYFUNCTION("""COMPUTED_VALUE"""),"Pam Marcum, (480) 332-5414, Jimmy Tomazinis, (904) 547-0094")</f>
        <v>Pam Marcum, (480) 332-5414, Jimmy Tomazinis, (904) 547-0094</v>
      </c>
      <c r="O418" t="str">
        <f ca="1">IFERROR(__xludf.DUMMYFUNCTION("""COMPUTED_VALUE"""),"Suzi, Alicia, Jackie, Diane, Alex")</f>
        <v>Suzi, Alicia, Jackie, Diane, Alex</v>
      </c>
      <c r="P418" t="str">
        <f ca="1">IFERROR(__xludf.DUMMYFUNCTION("""COMPUTED_VALUE"""),"Jimmy")</f>
        <v>Jimmy</v>
      </c>
      <c r="Q418" t="str">
        <f ca="1">IFERROR(__xludf.DUMMYFUNCTION("""COMPUTED_VALUE"""),"All items in working order")</f>
        <v>All items in working order</v>
      </c>
      <c r="AE418" s="11"/>
      <c r="AF418" t="str">
        <v>Scott.Eastman@floridadep.gov</v>
      </c>
      <c r="AG418" s="17" t="s">
        <v>126</v>
      </c>
      <c r="AH418" s="12">
        <v>1535</v>
      </c>
      <c r="AI418" s="12" t="s">
        <v>1203</v>
      </c>
      <c r="AJ418" s="19" t="s">
        <v>1204</v>
      </c>
      <c r="AK418" s="20" t="str">
        <f>HYPERLINK("https://docs.google.com/document/d/1Sf_4ILjN5K-5V3F6cTF8vBnLuPZyBmGl95mM0XiRX78/edit?usp=drivesdk","Jimmy Tomazinis - 11/7/2019 10:15 AM")</f>
        <v>Jimmy Tomazinis - 11/7/2019 10:15 AM</v>
      </c>
      <c r="AL418" s="12" t="s">
        <v>1205</v>
      </c>
    </row>
    <row r="419" spans="1:38" ht="12.75">
      <c r="A419" s="10">
        <f ca="1">IFERROR(__xludf.DUMMYFUNCTION("""COMPUTED_VALUE"""),43781.3072086805)</f>
        <v>43781.307208680497</v>
      </c>
      <c r="B419" s="11" t="str">
        <f ca="1">IFERROR(__xludf.DUMMYFUNCTION("""COMPUTED_VALUE"""),"Silas Tanner")</f>
        <v>Silas Tanner</v>
      </c>
      <c r="C419" t="str">
        <f ca="1">IFERROR(__xludf.DUMMYFUNCTION("""COMPUTED_VALUE"""),"silas.tanner@floridadep.gov")</f>
        <v>silas.tanner@floridadep.gov</v>
      </c>
      <c r="D419" t="str">
        <f ca="1">IFERROR(__xludf.DUMMYFUNCTION("""COMPUTED_VALUE"""),"Research/Nikki")</f>
        <v>Research/Nikki</v>
      </c>
      <c r="E419" t="str">
        <f ca="1">IFERROR(__xludf.DUMMYFUNCTION("""COMPUTED_VALUE"""),"Vilano Landing")</f>
        <v>Vilano Landing</v>
      </c>
      <c r="F419" s="13">
        <f ca="1">IFERROR(__xludf.DUMMYFUNCTION("""COMPUTED_VALUE"""),0.34375)</f>
        <v>0.34375</v>
      </c>
      <c r="G419" s="14">
        <f ca="1">IFERROR(__xludf.DUMMYFUNCTION("""COMPUTED_VALUE"""),43781)</f>
        <v>43781</v>
      </c>
      <c r="H419" t="str">
        <f ca="1">IFERROR(__xludf.DUMMYFUNCTION("""COMPUTED_VALUE"""),"ICW SWMP sites")</f>
        <v>ICW SWMP sites</v>
      </c>
      <c r="I419" s="15">
        <f ca="1">IFERROR(__xludf.DUMMYFUNCTION("""COMPUTED_VALUE"""),0.5625)</f>
        <v>0.5625</v>
      </c>
      <c r="J419" s="16">
        <f ca="1">IFERROR(__xludf.DUMMYFUNCTION("""COMPUTED_VALUE"""),43781.5833333333)</f>
        <v>43781.583333333299</v>
      </c>
      <c r="K419" t="str">
        <f ca="1">IFERROR(__xludf.DUMMYFUNCTION("""COMPUTED_VALUE"""),"23ft Skiff (Bertha) FL7972LJ DEP07613")</f>
        <v>23ft Skiff (Bertha) FL7972LJ DEP07613</v>
      </c>
      <c r="M419" t="str">
        <f ca="1">IFERROR(__xludf.DUMMYFUNCTION("""COMPUTED_VALUE"""),"Ford F150 2015 (White) - DEP21448")</f>
        <v>Ford F150 2015 (White) - DEP21448</v>
      </c>
      <c r="N419" t="str">
        <f ca="1">IFERROR(__xludf.DUMMYFUNCTION("""COMPUTED_VALUE"""),"Silas Tanner, (904) 483-8423")</f>
        <v>Silas Tanner, (904) 483-8423</v>
      </c>
      <c r="O419" t="str">
        <f ca="1">IFERROR(__xludf.DUMMYFUNCTION("""COMPUTED_VALUE"""),"Alee Knoell, (619) 750-4833, Jeff Finnan")</f>
        <v>Alee Knoell, (619) 750-4833, Jeff Finnan</v>
      </c>
      <c r="P419" t="str">
        <f ca="1">IFERROR(__xludf.DUMMYFUNCTION("""COMPUTED_VALUE"""),"Silas Tanner")</f>
        <v>Silas Tanner</v>
      </c>
      <c r="Q419" t="str">
        <f ca="1">IFERROR(__xludf.DUMMYFUNCTION("""COMPUTED_VALUE"""),"All items in working order")</f>
        <v>All items in working order</v>
      </c>
      <c r="AE419" s="11"/>
      <c r="AF419" t="str">
        <v>Nikki.Dix@floridadep.gov</v>
      </c>
      <c r="AG419" s="17" t="s">
        <v>17</v>
      </c>
      <c r="AH419" s="12">
        <v>1305</v>
      </c>
      <c r="AI419" s="12" t="s">
        <v>1206</v>
      </c>
      <c r="AJ419" s="19" t="s">
        <v>1207</v>
      </c>
      <c r="AK419" s="20" t="str">
        <f>HYPERLINK("https://docs.google.com/document/d/1TTDgJwN76xiXWyDlFbbKJxZHE_M1_FnRC9jx-Hp0QS4/edit?usp=drivesdk","Silas Tanner - 11/12/2019 8:15 AM")</f>
        <v>Silas Tanner - 11/12/2019 8:15 AM</v>
      </c>
      <c r="AL419" s="12" t="s">
        <v>1208</v>
      </c>
    </row>
    <row r="420" spans="1:38" ht="12.75">
      <c r="A420" s="10">
        <f ca="1">IFERROR(__xludf.DUMMYFUNCTION("""COMPUTED_VALUE"""),43781.3447200463)</f>
        <v>43781.344720046298</v>
      </c>
      <c r="B420" s="11" t="str">
        <f ca="1">IFERROR(__xludf.DUMMYFUNCTION("""COMPUTED_VALUE"""),"Jimmy Tomazinis")</f>
        <v>Jimmy Tomazinis</v>
      </c>
      <c r="C420" t="str">
        <f ca="1">IFERROR(__xludf.DUMMYFUNCTION("""COMPUTED_VALUE"""),"james.tomazinis@floridadep.gov")</f>
        <v>james.tomazinis@floridadep.gov</v>
      </c>
      <c r="D420" t="str">
        <f ca="1">IFERROR(__xludf.DUMMYFUNCTION("""COMPUTED_VALUE"""),"Stewardship (Aquatic)")</f>
        <v>Stewardship (Aquatic)</v>
      </c>
      <c r="E420" t="str">
        <f ca="1">IFERROR(__xludf.DUMMYFUNCTION("""COMPUTED_VALUE"""),"Dam")</f>
        <v>Dam</v>
      </c>
      <c r="F420" s="13">
        <f ca="1">IFERROR(__xludf.DUMMYFUNCTION("""COMPUTED_VALUE"""),0.36458333333212)</f>
        <v>0.36458333333212001</v>
      </c>
      <c r="G420" s="14">
        <f ca="1">IFERROR(__xludf.DUMMYFUNCTION("""COMPUTED_VALUE"""),43781)</f>
        <v>43781</v>
      </c>
      <c r="H420" t="str">
        <f ca="1">IFERROR(__xludf.DUMMYFUNCTION("""COMPUTED_VALUE"""),"Guana WQ sites")</f>
        <v>Guana WQ sites</v>
      </c>
      <c r="I420" s="15">
        <f ca="1">IFERROR(__xludf.DUMMYFUNCTION("""COMPUTED_VALUE"""),0.4375)</f>
        <v>0.4375</v>
      </c>
      <c r="J420" s="16"/>
      <c r="K420" t="str">
        <f ca="1">IFERROR(__xludf.DUMMYFUNCTION("""COMPUTED_VALUE"""),"Jon Boat FL0484NP DEP06819")</f>
        <v>Jon Boat FL0484NP DEP06819</v>
      </c>
      <c r="M420" t="str">
        <f ca="1">IFERROR(__xludf.DUMMYFUNCTION("""COMPUTED_VALUE"""),"TBD")</f>
        <v>TBD</v>
      </c>
      <c r="N420" t="str">
        <f ca="1">IFERROR(__xludf.DUMMYFUNCTION("""COMPUTED_VALUE"""),"Jimmy Tomazinis, (904) 547-0094")</f>
        <v>Jimmy Tomazinis, (904) 547-0094</v>
      </c>
      <c r="O420" t="str">
        <f ca="1">IFERROR(__xludf.DUMMYFUNCTION("""COMPUTED_VALUE"""),"Jessica Lee")</f>
        <v>Jessica Lee</v>
      </c>
      <c r="P420" t="str">
        <f ca="1">IFERROR(__xludf.DUMMYFUNCTION("""COMPUTED_VALUE"""),"Jimmy")</f>
        <v>Jimmy</v>
      </c>
      <c r="Q420" t="str">
        <f ca="1">IFERROR(__xludf.DUMMYFUNCTION("""COMPUTED_VALUE"""),"All items in working order")</f>
        <v>All items in working order</v>
      </c>
      <c r="AE420" s="11"/>
      <c r="AF420" t="str">
        <v>Scott.Eastman@floridadep.gov</v>
      </c>
      <c r="AG420" s="17" t="s">
        <v>17</v>
      </c>
      <c r="AH420" s="12">
        <v>1030</v>
      </c>
      <c r="AI420" s="12" t="s">
        <v>1209</v>
      </c>
      <c r="AJ420" s="19" t="s">
        <v>1210</v>
      </c>
      <c r="AK420" s="20" t="str">
        <f>HYPERLINK("https://docs.google.com/document/d/1osvIdgKYUEM3b9J7rEXHR3TOqEWzRRqJwFNEr4ZGZwk/edit?usp=drivesdk","Jimmy Tomazinis - 11/12/2019 8:45 AM")</f>
        <v>Jimmy Tomazinis - 11/12/2019 8:45 AM</v>
      </c>
      <c r="AL420" s="12" t="s">
        <v>1211</v>
      </c>
    </row>
    <row r="421" spans="1:38" ht="12.75">
      <c r="A421" s="10">
        <f ca="1">IFERROR(__xludf.DUMMYFUNCTION("""COMPUTED_VALUE"""),43781.7121816088)</f>
        <v>43781.712181608797</v>
      </c>
      <c r="B421" s="11" t="str">
        <f ca="1">IFERROR(__xludf.DUMMYFUNCTION("""COMPUTED_VALUE"""),"Jimmy Tomazinis")</f>
        <v>Jimmy Tomazinis</v>
      </c>
      <c r="C421" t="str">
        <f ca="1">IFERROR(__xludf.DUMMYFUNCTION("""COMPUTED_VALUE"""),"james.tomazinis@floridadep.gov")</f>
        <v>james.tomazinis@floridadep.gov</v>
      </c>
      <c r="D421" t="str">
        <f ca="1">IFERROR(__xludf.DUMMYFUNCTION("""COMPUTED_VALUE"""),"Stewardship (Aquatic)")</f>
        <v>Stewardship (Aquatic)</v>
      </c>
      <c r="E421" t="str">
        <f ca="1">IFERROR(__xludf.DUMMYFUNCTION("""COMPUTED_VALUE"""),"Dee Dee Bartels and Nassauville")</f>
        <v>Dee Dee Bartels and Nassauville</v>
      </c>
      <c r="F421" s="13">
        <f ca="1">IFERROR(__xludf.DUMMYFUNCTION("""COMPUTED_VALUE"""),0.39583333333212)</f>
        <v>0.39583333333212001</v>
      </c>
      <c r="G421" s="14">
        <f ca="1">IFERROR(__xludf.DUMMYFUNCTION("""COMPUTED_VALUE"""),43782)</f>
        <v>43782</v>
      </c>
      <c r="H421" t="str">
        <f ca="1">IFERROR(__xludf.DUMMYFUNCTION("""COMPUTED_VALUE"""),"NEAP WQ sites")</f>
        <v>NEAP WQ sites</v>
      </c>
      <c r="I421" s="15">
        <f ca="1">IFERROR(__xludf.DUMMYFUNCTION("""COMPUTED_VALUE"""),0.625)</f>
        <v>0.625</v>
      </c>
      <c r="J421" s="16"/>
      <c r="K421" t="str">
        <f ca="1">IFERROR(__xludf.DUMMYFUNCTION("""COMPUTED_VALUE"""),"17ft Skiff (Marsha) FL0642GW DEP07239")</f>
        <v>17ft Skiff (Marsha) FL0642GW DEP07239</v>
      </c>
      <c r="M421" t="str">
        <f ca="1">IFERROR(__xludf.DUMMYFUNCTION("""COMPUTED_VALUE"""),"Ford F150 2015 (White) - DEP21448")</f>
        <v>Ford F150 2015 (White) - DEP21448</v>
      </c>
      <c r="N421" t="str">
        <f ca="1">IFERROR(__xludf.DUMMYFUNCTION("""COMPUTED_VALUE"""),"Scott Eastman, (904) 501-9267, Jimmy Tomazinis, (904) 547-0094")</f>
        <v>Scott Eastman, (904) 501-9267, Jimmy Tomazinis, (904) 547-0094</v>
      </c>
      <c r="P421" t="str">
        <f ca="1">IFERROR(__xludf.DUMMYFUNCTION("""COMPUTED_VALUE"""),"Jimmy")</f>
        <v>Jimmy</v>
      </c>
      <c r="Q421" t="str">
        <f ca="1">IFERROR(__xludf.DUMMYFUNCTION("""COMPUTED_VALUE"""),"All items in working order")</f>
        <v>All items in working order</v>
      </c>
      <c r="AE421" s="11"/>
      <c r="AF421" t="str">
        <v>Scott.Eastman@floridadep.gov</v>
      </c>
      <c r="AG421" s="17" t="s">
        <v>17</v>
      </c>
      <c r="AH421" s="12">
        <v>1030</v>
      </c>
      <c r="AI421" s="12" t="s">
        <v>1212</v>
      </c>
      <c r="AJ421" s="19" t="s">
        <v>1213</v>
      </c>
      <c r="AK421" s="20" t="str">
        <f>HYPERLINK("https://docs.google.com/document/d/1Fqg_cuyQPGZb6fNX36CPl90RsxTwCIBXz0rmsCxC0Bw/edit?usp=drivesdk","Jimmy Tomazinis - 11/13/2019 9:30 AM")</f>
        <v>Jimmy Tomazinis - 11/13/2019 9:30 AM</v>
      </c>
      <c r="AL421" s="12" t="s">
        <v>1214</v>
      </c>
    </row>
    <row r="422" spans="1:38" ht="12.75">
      <c r="A422" s="10">
        <f ca="1">IFERROR(__xludf.DUMMYFUNCTION("""COMPUTED_VALUE"""),43788.5871205092)</f>
        <v>43788.587120509197</v>
      </c>
      <c r="B422" s="11" t="str">
        <f ca="1">IFERROR(__xludf.DUMMYFUNCTION("""COMPUTED_VALUE"""),"Jessica Lee")</f>
        <v>Jessica Lee</v>
      </c>
      <c r="C422" t="str">
        <f ca="1">IFERROR(__xludf.DUMMYFUNCTION("""COMPUTED_VALUE"""),"jmcupp099@gmail.com")</f>
        <v>jmcupp099@gmail.com</v>
      </c>
      <c r="D422" t="str">
        <f ca="1">IFERROR(__xludf.DUMMYFUNCTION("""COMPUTED_VALUE"""),"Research/Nikki")</f>
        <v>Research/Nikki</v>
      </c>
      <c r="E422" t="str">
        <f ca="1">IFERROR(__xludf.DUMMYFUNCTION("""COMPUTED_VALUE"""),"Guana River")</f>
        <v>Guana River</v>
      </c>
      <c r="F422" s="13">
        <f ca="1">IFERROR(__xludf.DUMMYFUNCTION("""COMPUTED_VALUE"""),0.604166666667879)</f>
        <v>0.60416666666787899</v>
      </c>
      <c r="G422" s="14">
        <f ca="1">IFERROR(__xludf.DUMMYFUNCTION("""COMPUTED_VALUE"""),43788)</f>
        <v>43788</v>
      </c>
      <c r="H422" t="str">
        <f ca="1">IFERROR(__xludf.DUMMYFUNCTION("""COMPUTED_VALUE"""),"Guana River")</f>
        <v>Guana River</v>
      </c>
      <c r="I422" s="15">
        <f ca="1">IFERROR(__xludf.DUMMYFUNCTION("""COMPUTED_VALUE"""),0.652777777777373)</f>
        <v>0.652777777777373</v>
      </c>
      <c r="J422" s="16">
        <f ca="1">IFERROR(__xludf.DUMMYFUNCTION("""COMPUTED_VALUE"""),43788.6979166666)</f>
        <v>43788.697916666599</v>
      </c>
      <c r="K422" t="str">
        <f ca="1">IFERROR(__xludf.DUMMYFUNCTION("""COMPUTED_VALUE"""),"Jon Boat FL0484NP DEP06819")</f>
        <v>Jon Boat FL0484NP DEP06819</v>
      </c>
      <c r="M422" t="str">
        <f ca="1">IFERROR(__xludf.DUMMYFUNCTION("""COMPUTED_VALUE"""),"Ford F150 2008 (SWMP Thing) - DEP18041")</f>
        <v>Ford F150 2008 (SWMP Thing) - DEP18041</v>
      </c>
      <c r="N422" t="str">
        <f ca="1">IFERROR(__xludf.DUMMYFUNCTION("""COMPUTED_VALUE"""),"Pam Marcum, (480) 332-5414")</f>
        <v>Pam Marcum, (480) 332-5414</v>
      </c>
      <c r="P422" t="str">
        <f ca="1">IFERROR(__xludf.DUMMYFUNCTION("""COMPUTED_VALUE"""),"Pam")</f>
        <v>Pam</v>
      </c>
      <c r="Q422" t="str">
        <f ca="1">IFERROR(__xludf.DUMMYFUNCTION("""COMPUTED_VALUE"""),"All items in working order")</f>
        <v>All items in working order</v>
      </c>
      <c r="AE422" s="11"/>
      <c r="AF422" t="str">
        <v>Nikki.Dix@floridadep.gov</v>
      </c>
      <c r="AG422" s="18"/>
      <c r="AI422" s="12" t="s">
        <v>1215</v>
      </c>
      <c r="AJ422" s="19" t="s">
        <v>1216</v>
      </c>
      <c r="AK422" s="20" t="str">
        <f>HYPERLINK("https://docs.google.com/document/d/128yGHiKh6RHRa87fgjOY9jOg9ivCVWoJzv7lAX_ujHQ/edit?usp=drivesdk","Jessica Lee - 11/19/2019 2:30 PM")</f>
        <v>Jessica Lee - 11/19/2019 2:30 PM</v>
      </c>
      <c r="AL422" s="12" t="s">
        <v>1217</v>
      </c>
    </row>
    <row r="423" spans="1:38" ht="12.75">
      <c r="A423" s="10">
        <f ca="1">IFERROR(__xludf.DUMMYFUNCTION("""COMPUTED_VALUE"""),43790.5747189814)</f>
        <v>43790.574718981399</v>
      </c>
      <c r="B423" s="11" t="str">
        <f ca="1">IFERROR(__xludf.DUMMYFUNCTION("""COMPUTED_VALUE"""),"Jessica Lee")</f>
        <v>Jessica Lee</v>
      </c>
      <c r="C423" t="str">
        <f ca="1">IFERROR(__xludf.DUMMYFUNCTION("""COMPUTED_VALUE"""),"jmcupp099@gmail.com")</f>
        <v>jmcupp099@gmail.com</v>
      </c>
      <c r="D423" t="str">
        <f ca="1">IFERROR(__xludf.DUMMYFUNCTION("""COMPUTED_VALUE"""),"Research/Pam")</f>
        <v>Research/Pam</v>
      </c>
      <c r="E423" t="str">
        <f ca="1">IFERROR(__xludf.DUMMYFUNCTION("""COMPUTED_VALUE"""),"Six Mile")</f>
        <v>Six Mile</v>
      </c>
      <c r="F423" s="13">
        <f ca="1">IFERROR(__xludf.DUMMYFUNCTION("""COMPUTED_VALUE"""),0.354166666667879)</f>
        <v>0.35416666666787899</v>
      </c>
      <c r="G423" s="14">
        <f ca="1">IFERROR(__xludf.DUMMYFUNCTION("""COMPUTED_VALUE"""),43791)</f>
        <v>43791</v>
      </c>
      <c r="H423" t="str">
        <f ca="1">IFERROR(__xludf.DUMMYFUNCTION("""COMPUTED_VALUE"""),"North Guana Lake")</f>
        <v>North Guana Lake</v>
      </c>
      <c r="I423" s="15">
        <f ca="1">IFERROR(__xludf.DUMMYFUNCTION("""COMPUTED_VALUE"""),0.625)</f>
        <v>0.625</v>
      </c>
      <c r="J423" s="16">
        <f ca="1">IFERROR(__xludf.DUMMYFUNCTION("""COMPUTED_VALUE"""),43791.6458333333)</f>
        <v>43791.645833333299</v>
      </c>
      <c r="K423" t="str">
        <f ca="1">IFERROR(__xludf.DUMMYFUNCTION("""COMPUTED_VALUE"""),"Kayak(s)")</f>
        <v>Kayak(s)</v>
      </c>
      <c r="M423" t="str">
        <f ca="1">IFERROR(__xludf.DUMMYFUNCTION("""COMPUTED_VALUE"""),"Ford F150 2008 (SWMP Thing) - DEP18041")</f>
        <v>Ford F150 2008 (SWMP Thing) - DEP18041</v>
      </c>
      <c r="N423" t="str">
        <f ca="1">IFERROR(__xludf.DUMMYFUNCTION("""COMPUTED_VALUE"""),"Jessica Lee")</f>
        <v>Jessica Lee</v>
      </c>
      <c r="O423" t="str">
        <f ca="1">IFERROR(__xludf.DUMMYFUNCTION("""COMPUTED_VALUE"""),"Bella")</f>
        <v>Bella</v>
      </c>
      <c r="P423" t="str">
        <f ca="1">IFERROR(__xludf.DUMMYFUNCTION("""COMPUTED_VALUE"""),"Jessica Lee")</f>
        <v>Jessica Lee</v>
      </c>
      <c r="Q423" t="str">
        <f ca="1">IFERROR(__xludf.DUMMYFUNCTION("""COMPUTED_VALUE"""),"All items in working order")</f>
        <v>All items in working order</v>
      </c>
      <c r="AE423" s="11"/>
      <c r="AF423" t="str">
        <v>Pamela.Marcum@floridadep.gov</v>
      </c>
      <c r="AG423" s="17" t="s">
        <v>17</v>
      </c>
      <c r="AH423" s="12">
        <v>1405</v>
      </c>
      <c r="AI423" s="12" t="s">
        <v>1218</v>
      </c>
      <c r="AJ423" s="19" t="s">
        <v>1219</v>
      </c>
      <c r="AK423" s="20" t="str">
        <f>HYPERLINK("https://docs.google.com/document/d/17Sljgu1FaFjQKGdaD1c81vRCgs0R4l8zXXHwviylLbc/edit?usp=drivesdk","Jessica Lee - 11/22/2019 8:30 AM")</f>
        <v>Jessica Lee - 11/22/2019 8:30 AM</v>
      </c>
      <c r="AL423" s="12" t="s">
        <v>1220</v>
      </c>
    </row>
    <row r="424" spans="1:38" ht="12.75">
      <c r="A424" s="10">
        <f ca="1">IFERROR(__xludf.DUMMYFUNCTION("""COMPUTED_VALUE"""),43791.5421493634)</f>
        <v>43791.542149363398</v>
      </c>
      <c r="B424" s="11" t="str">
        <f ca="1">IFERROR(__xludf.DUMMYFUNCTION("""COMPUTED_VALUE"""),"Gabriela Canas")</f>
        <v>Gabriela Canas</v>
      </c>
      <c r="C424" t="str">
        <f ca="1">IFERROR(__xludf.DUMMYFUNCTION("""COMPUTED_VALUE"""),"n00836133@unf.edu")</f>
        <v>n00836133@unf.edu</v>
      </c>
      <c r="D424" t="str">
        <f ca="1">IFERROR(__xludf.DUMMYFUNCTION("""COMPUTED_VALUE"""),"Research/Nikki")</f>
        <v>Research/Nikki</v>
      </c>
      <c r="E424" t="str">
        <f ca="1">IFERROR(__xludf.DUMMYFUNCTION("""COMPUTED_VALUE"""),"Douglas crane")</f>
        <v>Douglas crane</v>
      </c>
      <c r="F424" s="13">
        <f ca="1">IFERROR(__xludf.DUMMYFUNCTION("""COMPUTED_VALUE"""),0.5625)</f>
        <v>0.5625</v>
      </c>
      <c r="G424" s="14">
        <f ca="1">IFERROR(__xludf.DUMMYFUNCTION("""COMPUTED_VALUE"""),43791)</f>
        <v>43791</v>
      </c>
      <c r="H424" t="str">
        <f ca="1">IFERROR(__xludf.DUMMYFUNCTION("""COMPUTED_VALUE"""),"WETFEET middle site")</f>
        <v>WETFEET middle site</v>
      </c>
      <c r="I424" s="15">
        <f ca="1">IFERROR(__xludf.DUMMYFUNCTION("""COMPUTED_VALUE"""),0.6875)</f>
        <v>0.6875</v>
      </c>
      <c r="J424" s="16">
        <f ca="1">IFERROR(__xludf.DUMMYFUNCTION("""COMPUTED_VALUE"""),43791.2083333333)</f>
        <v>43791.208333333299</v>
      </c>
      <c r="K424" t="str">
        <f ca="1">IFERROR(__xludf.DUMMYFUNCTION("""COMPUTED_VALUE"""),"20ft Sea Ark FL5351SJ UNF 2015")</f>
        <v>20ft Sea Ark FL5351SJ UNF 2015</v>
      </c>
      <c r="M424" t="str">
        <f ca="1">IFERROR(__xludf.DUMMYFUNCTION("""COMPUTED_VALUE"""),"Ford F150 2015 (White) - DEP21448")</f>
        <v>Ford F150 2015 (White) - DEP21448</v>
      </c>
      <c r="N424" t="str">
        <f ca="1">IFERROR(__xludf.DUMMYFUNCTION("""COMPUTED_VALUE"""),"Pam Marcum, (480) 332-5414")</f>
        <v>Pam Marcum, (480) 332-5414</v>
      </c>
      <c r="O424" t="str">
        <f ca="1">IFERROR(__xludf.DUMMYFUNCTION("""COMPUTED_VALUE"""),"Gabriela Canas, (904) 891-9743")</f>
        <v>Gabriela Canas, (904) 891-9743</v>
      </c>
      <c r="P424" t="str">
        <f ca="1">IFERROR(__xludf.DUMMYFUNCTION("""COMPUTED_VALUE"""),"Pam")</f>
        <v>Pam</v>
      </c>
      <c r="Q424" t="str">
        <f ca="1">IFERROR(__xludf.DUMMYFUNCTION("""COMPUTED_VALUE"""),"All items in working order")</f>
        <v>All items in working order</v>
      </c>
      <c r="AE424" s="11"/>
      <c r="AF424" t="str">
        <v>Nikki.Dix@floridadep.gov</v>
      </c>
      <c r="AG424" s="18"/>
      <c r="AI424" s="12" t="s">
        <v>1221</v>
      </c>
      <c r="AJ424" s="19" t="s">
        <v>1222</v>
      </c>
      <c r="AK424" s="20" t="str">
        <f>HYPERLINK("https://docs.google.com/document/d/1t6d4J_pxyGT889qf1VeYKuL_8J9rkyvXI5kFVzGtp5A/edit?usp=drivesdk","Gabriela Canas - 11/22/2019 1:30 PM")</f>
        <v>Gabriela Canas - 11/22/2019 1:30 PM</v>
      </c>
      <c r="AL424" s="12" t="s">
        <v>1223</v>
      </c>
    </row>
    <row r="425" spans="1:38" ht="12.75">
      <c r="A425" s="10">
        <f ca="1">IFERROR(__xludf.DUMMYFUNCTION("""COMPUTED_VALUE"""),43791.5780676851)</f>
        <v>43791.578067685099</v>
      </c>
      <c r="B425" s="11" t="str">
        <f ca="1">IFERROR(__xludf.DUMMYFUNCTION("""COMPUTED_VALUE"""),"Gabriela Canas")</f>
        <v>Gabriela Canas</v>
      </c>
      <c r="C425" t="str">
        <f ca="1">IFERROR(__xludf.DUMMYFUNCTION("""COMPUTED_VALUE"""),"n00836133@unf.edu")</f>
        <v>n00836133@unf.edu</v>
      </c>
      <c r="D425" t="str">
        <f ca="1">IFERROR(__xludf.DUMMYFUNCTION("""COMPUTED_VALUE"""),"Research/Nikki")</f>
        <v>Research/Nikki</v>
      </c>
      <c r="E425" t="str">
        <f ca="1">IFERROR(__xludf.DUMMYFUNCTION("""COMPUTED_VALUE"""),"Douglas crane")</f>
        <v>Douglas crane</v>
      </c>
      <c r="F425" s="13">
        <f ca="1">IFERROR(__xludf.DUMMYFUNCTION("""COMPUTED_VALUE"""),0.572916666667879)</f>
        <v>0.57291666666787899</v>
      </c>
      <c r="G425" s="14">
        <f ca="1">IFERROR(__xludf.DUMMYFUNCTION("""COMPUTED_VALUE"""),43791)</f>
        <v>43791</v>
      </c>
      <c r="H425" t="str">
        <f ca="1">IFERROR(__xludf.DUMMYFUNCTION("""COMPUTED_VALUE"""),"WETFEET middle")</f>
        <v>WETFEET middle</v>
      </c>
      <c r="I425" s="15">
        <f ca="1">IFERROR(__xludf.DUMMYFUNCTION("""COMPUTED_VALUE"""),0.6875)</f>
        <v>0.6875</v>
      </c>
      <c r="J425" s="16">
        <f ca="1">IFERROR(__xludf.DUMMYFUNCTION("""COMPUTED_VALUE"""),43791.71875)</f>
        <v>43791.71875</v>
      </c>
      <c r="K425" t="str">
        <f ca="1">IFERROR(__xludf.DUMMYFUNCTION("""COMPUTED_VALUE"""),"20ft Sea Ark FL5351SJ UNF 2015")</f>
        <v>20ft Sea Ark FL5351SJ UNF 2015</v>
      </c>
      <c r="M425" t="str">
        <f ca="1">IFERROR(__xludf.DUMMYFUNCTION("""COMPUTED_VALUE"""),"Ford F150 2015 (White) - DEP21448")</f>
        <v>Ford F150 2015 (White) - DEP21448</v>
      </c>
      <c r="N425" t="str">
        <f ca="1">IFERROR(__xludf.DUMMYFUNCTION("""COMPUTED_VALUE"""),"Pam Marcum, (480) 332-5414")</f>
        <v>Pam Marcum, (480) 332-5414</v>
      </c>
      <c r="O425" t="str">
        <f ca="1">IFERROR(__xludf.DUMMYFUNCTION("""COMPUTED_VALUE"""),"Gabriela Canas, (904) 891-9743")</f>
        <v>Gabriela Canas, (904) 891-9743</v>
      </c>
      <c r="P425" t="str">
        <f ca="1">IFERROR(__xludf.DUMMYFUNCTION("""COMPUTED_VALUE"""),"Pam")</f>
        <v>Pam</v>
      </c>
      <c r="Q425" t="str">
        <f ca="1">IFERROR(__xludf.DUMMYFUNCTION("""COMPUTED_VALUE"""),"All items in working order")</f>
        <v>All items in working order</v>
      </c>
      <c r="AE425" s="11"/>
      <c r="AF425" t="str">
        <v>Nikki.Dix@floridadep.gov</v>
      </c>
      <c r="AG425" s="18"/>
      <c r="AI425" s="12" t="s">
        <v>1224</v>
      </c>
      <c r="AJ425" s="19" t="s">
        <v>1225</v>
      </c>
      <c r="AK425" s="20" t="str">
        <f>HYPERLINK("https://docs.google.com/document/d/1ZdD5urJCsgWVyivnfEYQGGfYEd6NlfeS7KymF33zbS8/edit?usp=drivesdk","Gabriela Canas - 11/22/2019 1:45 PM")</f>
        <v>Gabriela Canas - 11/22/2019 1:45 PM</v>
      </c>
      <c r="AL425" s="12" t="s">
        <v>1226</v>
      </c>
    </row>
    <row r="426" spans="1:38" ht="12.75">
      <c r="A426" s="10">
        <f ca="1">IFERROR(__xludf.DUMMYFUNCTION("""COMPUTED_VALUE"""),43794.6603322106)</f>
        <v>43794.660332210602</v>
      </c>
      <c r="B426" s="11" t="str">
        <f ca="1">IFERROR(__xludf.DUMMYFUNCTION("""COMPUTED_VALUE"""),"Jimmy Tomazinis")</f>
        <v>Jimmy Tomazinis</v>
      </c>
      <c r="C426" t="str">
        <f ca="1">IFERROR(__xludf.DUMMYFUNCTION("""COMPUTED_VALUE"""),"james.tomazinis@floridadep.gov")</f>
        <v>james.tomazinis@floridadep.gov</v>
      </c>
      <c r="D426" t="str">
        <f ca="1">IFERROR(__xludf.DUMMYFUNCTION("""COMPUTED_VALUE"""),"Stewardship (Aquatic)")</f>
        <v>Stewardship (Aquatic)</v>
      </c>
      <c r="E426" t="str">
        <f ca="1">IFERROR(__xludf.DUMMYFUNCTION("""COMPUTED_VALUE"""),"Dee Dee Bartels, Nassauville")</f>
        <v>Dee Dee Bartels, Nassauville</v>
      </c>
      <c r="F426" s="13">
        <f ca="1">IFERROR(__xludf.DUMMYFUNCTION("""COMPUTED_VALUE"""),0.375)</f>
        <v>0.375</v>
      </c>
      <c r="G426" s="14">
        <f ca="1">IFERROR(__xludf.DUMMYFUNCTION("""COMPUTED_VALUE"""),43795)</f>
        <v>43795</v>
      </c>
      <c r="H426" t="str">
        <f ca="1">IFERROR(__xludf.DUMMYFUNCTION("""COMPUTED_VALUE"""),"NEAP Nekton sites")</f>
        <v>NEAP Nekton sites</v>
      </c>
      <c r="I426" s="15">
        <f ca="1">IFERROR(__xludf.DUMMYFUNCTION("""COMPUTED_VALUE"""),0.625)</f>
        <v>0.625</v>
      </c>
      <c r="J426" s="16"/>
      <c r="K426" t="str">
        <f ca="1">IFERROR(__xludf.DUMMYFUNCTION("""COMPUTED_VALUE"""),"17ft Skiff (Marsha) FL0642GW DEP07239")</f>
        <v>17ft Skiff (Marsha) FL0642GW DEP07239</v>
      </c>
      <c r="M426" t="str">
        <f ca="1">IFERROR(__xludf.DUMMYFUNCTION("""COMPUTED_VALUE"""),"Ford F150 2015 (White) - DEP21448")</f>
        <v>Ford F150 2015 (White) - DEP21448</v>
      </c>
      <c r="N426" t="str">
        <f ca="1">IFERROR(__xludf.DUMMYFUNCTION("""COMPUTED_VALUE"""),"Jimmy Tomazinis, (904) 547-0094")</f>
        <v>Jimmy Tomazinis, (904) 547-0094</v>
      </c>
      <c r="O426" t="str">
        <f ca="1">IFERROR(__xludf.DUMMYFUNCTION("""COMPUTED_VALUE"""),"Caitlyn Tomazinis")</f>
        <v>Caitlyn Tomazinis</v>
      </c>
      <c r="P426" t="str">
        <f ca="1">IFERROR(__xludf.DUMMYFUNCTION("""COMPUTED_VALUE"""),"Jimmy")</f>
        <v>Jimmy</v>
      </c>
      <c r="Q426" t="str">
        <f ca="1">IFERROR(__xludf.DUMMYFUNCTION("""COMPUTED_VALUE"""),"All items in working order")</f>
        <v>All items in working order</v>
      </c>
      <c r="AE426" s="11"/>
      <c r="AF426" t="str">
        <v>Scott.Eastman@floridadep.gov</v>
      </c>
      <c r="AG426" s="18"/>
      <c r="AI426" s="12" t="s">
        <v>1227</v>
      </c>
      <c r="AJ426" s="19" t="s">
        <v>1228</v>
      </c>
      <c r="AK426" s="20" t="str">
        <f>HYPERLINK("https://docs.google.com/document/d/1lpL-hACJ0SZheqs2xwrGh_IJID2VnoX1qU7kXTxNXF4/edit?usp=drivesdk","Jimmy Tomazinis - 11/26/2019 9:00 AM")</f>
        <v>Jimmy Tomazinis - 11/26/2019 9:00 AM</v>
      </c>
      <c r="AL426" s="12" t="s">
        <v>1229</v>
      </c>
    </row>
    <row r="427" spans="1:38" ht="12.75">
      <c r="A427" s="10">
        <f ca="1">IFERROR(__xludf.DUMMYFUNCTION("""COMPUTED_VALUE"""),43795.3958962615)</f>
        <v>43795.3958962615</v>
      </c>
      <c r="B427" s="11" t="str">
        <f ca="1">IFERROR(__xludf.DUMMYFUNCTION("""COMPUTED_VALUE"""),"Silas Tanner")</f>
        <v>Silas Tanner</v>
      </c>
      <c r="C427" t="str">
        <f ca="1">IFERROR(__xludf.DUMMYFUNCTION("""COMPUTED_VALUE"""),"silas.tanner@floridadep.gov")</f>
        <v>silas.tanner@floridadep.gov</v>
      </c>
      <c r="D427" t="str">
        <f ca="1">IFERROR(__xludf.DUMMYFUNCTION("""COMPUTED_VALUE"""),"Research/Nikki")</f>
        <v>Research/Nikki</v>
      </c>
      <c r="E427" t="str">
        <f ca="1">IFERROR(__xludf.DUMMYFUNCTION("""COMPUTED_VALUE"""),"Crane")</f>
        <v>Crane</v>
      </c>
      <c r="F427" s="13">
        <f ca="1">IFERROR(__xludf.DUMMYFUNCTION("""COMPUTED_VALUE"""),0.40625)</f>
        <v>0.40625</v>
      </c>
      <c r="G427" s="14">
        <f ca="1">IFERROR(__xludf.DUMMYFUNCTION("""COMPUTED_VALUE"""),43795)</f>
        <v>43795</v>
      </c>
      <c r="H427" t="str">
        <f ca="1">IFERROR(__xludf.DUMMYFUNCTION("""COMPUTED_VALUE"""),"ICW SWMP sites")</f>
        <v>ICW SWMP sites</v>
      </c>
      <c r="I427" s="15">
        <f ca="1">IFERROR(__xludf.DUMMYFUNCTION("""COMPUTED_VALUE"""),0.604166666667879)</f>
        <v>0.60416666666787899</v>
      </c>
      <c r="J427" s="16">
        <f ca="1">IFERROR(__xludf.DUMMYFUNCTION("""COMPUTED_VALUE"""),43795.6875)</f>
        <v>43795.6875</v>
      </c>
      <c r="K427" t="str">
        <f ca="1">IFERROR(__xludf.DUMMYFUNCTION("""COMPUTED_VALUE"""),"23ft Skiff (Bertha) FL7972LJ DEP07613")</f>
        <v>23ft Skiff (Bertha) FL7972LJ DEP07613</v>
      </c>
      <c r="M427" t="str">
        <f ca="1">IFERROR(__xludf.DUMMYFUNCTION("""COMPUTED_VALUE"""),"Ford F250 2017 (Moby Dix) - DEP0021578")</f>
        <v>Ford F250 2017 (Moby Dix) - DEP0021578</v>
      </c>
      <c r="N427" t="str">
        <f ca="1">IFERROR(__xludf.DUMMYFUNCTION("""COMPUTED_VALUE"""),"Silas Tanner, (904) 483-8423, Remo Mondazzi")</f>
        <v>Silas Tanner, (904) 483-8423, Remo Mondazzi</v>
      </c>
      <c r="P427" t="str">
        <f ca="1">IFERROR(__xludf.DUMMYFUNCTION("""COMPUTED_VALUE"""),"Silas Tanner")</f>
        <v>Silas Tanner</v>
      </c>
      <c r="Q427" t="str">
        <f ca="1">IFERROR(__xludf.DUMMYFUNCTION("""COMPUTED_VALUE"""),"All items in working order")</f>
        <v>All items in working order</v>
      </c>
      <c r="AE427" s="11"/>
      <c r="AF427" t="str">
        <v>Nikki.Dix@floridadep.gov</v>
      </c>
      <c r="AG427" s="17" t="s">
        <v>126</v>
      </c>
      <c r="AH427" s="12">
        <v>1410</v>
      </c>
      <c r="AI427" s="12" t="s">
        <v>1230</v>
      </c>
      <c r="AJ427" s="19" t="s">
        <v>1231</v>
      </c>
      <c r="AK427" s="20" t="str">
        <f>HYPERLINK("https://docs.google.com/document/d/1VaWJIE3K1kYxS9ekiUDrgSvi82MS4ihWUVx1sk6R0Yk/edit?usp=drivesdk","Silas Tanner - 11/26/2019 9:45 AM")</f>
        <v>Silas Tanner - 11/26/2019 9:45 AM</v>
      </c>
      <c r="AL427" s="12" t="s">
        <v>1232</v>
      </c>
    </row>
    <row r="428" spans="1:38" ht="12.75">
      <c r="A428" s="10">
        <f ca="1">IFERROR(__xludf.DUMMYFUNCTION("""COMPUTED_VALUE"""),43795.838383449)</f>
        <v>43795.838383449001</v>
      </c>
      <c r="B428" s="11" t="str">
        <f ca="1">IFERROR(__xludf.DUMMYFUNCTION("""COMPUTED_VALUE"""),"Test")</f>
        <v>Test</v>
      </c>
      <c r="C428" t="str">
        <f ca="1">IFERROR(__xludf.DUMMYFUNCTION("""COMPUTED_VALUE"""),"pamela.macum@floridadep.gov")</f>
        <v>pamela.macum@floridadep.gov</v>
      </c>
      <c r="D428" t="str">
        <f ca="1">IFERROR(__xludf.DUMMYFUNCTION("""COMPUTED_VALUE"""),"Research/Pam")</f>
        <v>Research/Pam</v>
      </c>
      <c r="E428" t="str">
        <f ca="1">IFERROR(__xludf.DUMMYFUNCTION("""COMPUTED_VALUE"""),"Test")</f>
        <v>Test</v>
      </c>
      <c r="F428" s="13">
        <f ca="1">IFERROR(__xludf.DUMMYFUNCTION("""COMPUTED_VALUE"""),0)</f>
        <v>0</v>
      </c>
      <c r="G428" s="14">
        <f ca="1">IFERROR(__xludf.DUMMYFUNCTION("""COMPUTED_VALUE"""),43796)</f>
        <v>43796</v>
      </c>
      <c r="H428" t="str">
        <f ca="1">IFERROR(__xludf.DUMMYFUNCTION("""COMPUTED_VALUE"""),"Test")</f>
        <v>Test</v>
      </c>
      <c r="I428" s="15">
        <f ca="1">IFERROR(__xludf.DUMMYFUNCTION("""COMPUTED_VALUE"""),0)</f>
        <v>0</v>
      </c>
      <c r="J428" s="16">
        <f ca="1">IFERROR(__xludf.DUMMYFUNCTION("""COMPUTED_VALUE"""),43796)</f>
        <v>43796</v>
      </c>
      <c r="K428" t="str">
        <f ca="1">IFERROR(__xludf.DUMMYFUNCTION("""COMPUTED_VALUE"""),"Test")</f>
        <v>Test</v>
      </c>
      <c r="M428" t="str">
        <f ca="1">IFERROR(__xludf.DUMMYFUNCTION("""COMPUTED_VALUE"""),"Test")</f>
        <v>Test</v>
      </c>
      <c r="Q428" t="str">
        <f ca="1">IFERROR(__xludf.DUMMYFUNCTION("""COMPUTED_VALUE"""),"All items in working order")</f>
        <v>All items in working order</v>
      </c>
      <c r="AE428" s="11"/>
      <c r="AF428" t="str">
        <v>Pamela.Marcum@floridadep.gov</v>
      </c>
      <c r="AG428" s="18"/>
      <c r="AI428" s="12" t="s">
        <v>1233</v>
      </c>
      <c r="AJ428" s="19" t="s">
        <v>1234</v>
      </c>
      <c r="AK428" s="20" t="str">
        <f>HYPERLINK("https://docs.google.com/document/d/1gYnYcrd2vVUnyywSfLpzSXQMaeBhGeh-LmrYZ9gNiQs/edit?usp=drivesdk","Test - 11/27/2019 12:00 AM")</f>
        <v>Test - 11/27/2019 12:00 AM</v>
      </c>
      <c r="AL428" s="12" t="s">
        <v>1235</v>
      </c>
    </row>
    <row r="429" spans="1:38" ht="12.75">
      <c r="A429" s="10">
        <f ca="1">IFERROR(__xludf.DUMMYFUNCTION("""COMPUTED_VALUE"""),43801.6885784953)</f>
        <v>43801.688578495297</v>
      </c>
      <c r="B429" s="11" t="str">
        <f ca="1">IFERROR(__xludf.DUMMYFUNCTION("""COMPUTED_VALUE"""),"Jimmy Tomazinis")</f>
        <v>Jimmy Tomazinis</v>
      </c>
      <c r="C429" t="str">
        <f ca="1">IFERROR(__xludf.DUMMYFUNCTION("""COMPUTED_VALUE"""),"james.tomazinis@floridadep.gov")</f>
        <v>james.tomazinis@floridadep.gov</v>
      </c>
      <c r="D429" t="str">
        <f ca="1">IFERROR(__xludf.DUMMYFUNCTION("""COMPUTED_VALUE"""),"Stewardship (Aquatic)")</f>
        <v>Stewardship (Aquatic)</v>
      </c>
      <c r="E429" t="str">
        <f ca="1">IFERROR(__xludf.DUMMYFUNCTION("""COMPUTED_VALUE"""),"Vilano")</f>
        <v>Vilano</v>
      </c>
      <c r="F429" s="13">
        <f ca="1">IFERROR(__xludf.DUMMYFUNCTION("""COMPUTED_VALUE"""),0.385416666667879)</f>
        <v>0.38541666666787899</v>
      </c>
      <c r="G429" s="14">
        <f ca="1">IFERROR(__xludf.DUMMYFUNCTION("""COMPUTED_VALUE"""),43802)</f>
        <v>43802</v>
      </c>
      <c r="H429" t="str">
        <f ca="1">IFERROR(__xludf.DUMMYFUNCTION("""COMPUTED_VALUE"""),"Tolomato nekton sites")</f>
        <v>Tolomato nekton sites</v>
      </c>
      <c r="I429" s="15">
        <f ca="1">IFERROR(__xludf.DUMMYFUNCTION("""COMPUTED_VALUE"""),0.666666666667879)</f>
        <v>0.66666666666787899</v>
      </c>
      <c r="J429" s="16"/>
      <c r="K429" t="str">
        <f ca="1">IFERROR(__xludf.DUMMYFUNCTION("""COMPUTED_VALUE"""),"23ft Skiff (Bertha) FL7972LJ DEP07613")</f>
        <v>23ft Skiff (Bertha) FL7972LJ DEP07613</v>
      </c>
      <c r="M429" t="str">
        <f ca="1">IFERROR(__xludf.DUMMYFUNCTION("""COMPUTED_VALUE"""),"Ford F150 2015 (White) - DEP21448")</f>
        <v>Ford F150 2015 (White) - DEP21448</v>
      </c>
      <c r="N429" t="str">
        <f ca="1">IFERROR(__xludf.DUMMYFUNCTION("""COMPUTED_VALUE"""),"Jimmy Tomazinis, (904) 547-0094")</f>
        <v>Jimmy Tomazinis, (904) 547-0094</v>
      </c>
      <c r="O429" t="str">
        <f ca="1">IFERROR(__xludf.DUMMYFUNCTION("""COMPUTED_VALUE"""),"Mike, Jeff, Pam, Suzi, Diane")</f>
        <v>Mike, Jeff, Pam, Suzi, Diane</v>
      </c>
      <c r="P429" t="str">
        <f ca="1">IFERROR(__xludf.DUMMYFUNCTION("""COMPUTED_VALUE"""),"Jimmy")</f>
        <v>Jimmy</v>
      </c>
      <c r="Q429" t="str">
        <f ca="1">IFERROR(__xludf.DUMMYFUNCTION("""COMPUTED_VALUE"""),"All items in working order")</f>
        <v>All items in working order</v>
      </c>
      <c r="AE429" s="11"/>
      <c r="AF429" t="str">
        <v>Scott.Eastman@floridadep.gov</v>
      </c>
      <c r="AG429" s="17" t="s">
        <v>17</v>
      </c>
      <c r="AH429" s="12">
        <v>1600</v>
      </c>
      <c r="AI429" s="12" t="s">
        <v>1236</v>
      </c>
      <c r="AJ429" s="19" t="s">
        <v>1237</v>
      </c>
      <c r="AK429" s="20" t="str">
        <f>HYPERLINK("https://docs.google.com/document/d/1lKFj_Q6V3_7Ks5Z3aYgaiu-zNZ1Tcvga3effVH7ur7o/edit?usp=drivesdk","Jimmy Tomazinis - 12/3/2019 9:15 AM")</f>
        <v>Jimmy Tomazinis - 12/3/2019 9:15 AM</v>
      </c>
      <c r="AL429" s="12" t="s">
        <v>1238</v>
      </c>
    </row>
    <row r="430" spans="1:38" ht="12.75">
      <c r="A430" s="10">
        <f ca="1">IFERROR(__xludf.DUMMYFUNCTION("""COMPUTED_VALUE"""),43803.3621040509)</f>
        <v>43803.362104050902</v>
      </c>
      <c r="B430" s="11" t="str">
        <f ca="1">IFERROR(__xludf.DUMMYFUNCTION("""COMPUTED_VALUE"""),"Jimmy Tomazinis")</f>
        <v>Jimmy Tomazinis</v>
      </c>
      <c r="C430" t="str">
        <f ca="1">IFERROR(__xludf.DUMMYFUNCTION("""COMPUTED_VALUE"""),"james.tomazinis@floridadep.gov")</f>
        <v>james.tomazinis@floridadep.gov</v>
      </c>
      <c r="D430" t="str">
        <f ca="1">IFERROR(__xludf.DUMMYFUNCTION("""COMPUTED_VALUE"""),"Stewardship (Aquatic)")</f>
        <v>Stewardship (Aquatic)</v>
      </c>
      <c r="E430" t="str">
        <f ca="1">IFERROR(__xludf.DUMMYFUNCTION("""COMPUTED_VALUE"""),"Vilano")</f>
        <v>Vilano</v>
      </c>
      <c r="F430" s="13">
        <f ca="1">IFERROR(__xludf.DUMMYFUNCTION("""COMPUTED_VALUE"""),0.385416666667879)</f>
        <v>0.38541666666787899</v>
      </c>
      <c r="G430" s="14">
        <f ca="1">IFERROR(__xludf.DUMMYFUNCTION("""COMPUTED_VALUE"""),43803)</f>
        <v>43803</v>
      </c>
      <c r="H430" t="str">
        <f ca="1">IFERROR(__xludf.DUMMYFUNCTION("""COMPUTED_VALUE"""),"Tolomato and Matanzas")</f>
        <v>Tolomato and Matanzas</v>
      </c>
      <c r="I430" s="15">
        <f ca="1">IFERROR(__xludf.DUMMYFUNCTION("""COMPUTED_VALUE"""),0.666666666667879)</f>
        <v>0.66666666666787899</v>
      </c>
      <c r="J430" s="16"/>
      <c r="K430" t="str">
        <f ca="1">IFERROR(__xludf.DUMMYFUNCTION("""COMPUTED_VALUE"""),"23ft Skiff (Bertha) FL7972LJ DEP07613")</f>
        <v>23ft Skiff (Bertha) FL7972LJ DEP07613</v>
      </c>
      <c r="M430" t="str">
        <f ca="1">IFERROR(__xludf.DUMMYFUNCTION("""COMPUTED_VALUE"""),"Ford F150 2015 (White) - DEP21448")</f>
        <v>Ford F150 2015 (White) - DEP21448</v>
      </c>
      <c r="N430" t="str">
        <f ca="1">IFERROR(__xludf.DUMMYFUNCTION("""COMPUTED_VALUE"""),"Jimmy Tomazinis, (904) 547-0094, Ruben")</f>
        <v>Jimmy Tomazinis, (904) 547-0094, Ruben</v>
      </c>
      <c r="O430" t="str">
        <f ca="1">IFERROR(__xludf.DUMMYFUNCTION("""COMPUTED_VALUE"""),"Jeff, Jordan, Steve, Suzi")</f>
        <v>Jeff, Jordan, Steve, Suzi</v>
      </c>
      <c r="P430" t="str">
        <f ca="1">IFERROR(__xludf.DUMMYFUNCTION("""COMPUTED_VALUE"""),"Jimmy")</f>
        <v>Jimmy</v>
      </c>
      <c r="Q430" t="str">
        <f ca="1">IFERROR(__xludf.DUMMYFUNCTION("""COMPUTED_VALUE"""),"All items in working order")</f>
        <v>All items in working order</v>
      </c>
      <c r="AE430" s="11"/>
      <c r="AF430" t="str">
        <v>Scott.Eastman@floridadep.gov</v>
      </c>
      <c r="AG430" s="17" t="s">
        <v>17</v>
      </c>
      <c r="AH430" s="12">
        <v>1605</v>
      </c>
      <c r="AI430" s="12" t="s">
        <v>1239</v>
      </c>
      <c r="AJ430" s="19" t="s">
        <v>1240</v>
      </c>
      <c r="AK430" s="20" t="str">
        <f>HYPERLINK("https://docs.google.com/document/d/172vVxwop84YvNDb_72vQKInQJ2qcjf8BrLZ6GTgNcTo/edit?usp=drivesdk","Jimmy Tomazinis - 12/4/2019 9:15 AM")</f>
        <v>Jimmy Tomazinis - 12/4/2019 9:15 AM</v>
      </c>
      <c r="AL430" s="12" t="s">
        <v>1241</v>
      </c>
    </row>
    <row r="431" spans="1:38" ht="12.75">
      <c r="A431" s="10">
        <f ca="1">IFERROR(__xludf.DUMMYFUNCTION("""COMPUTED_VALUE"""),43804.3251582175)</f>
        <v>43804.3251582175</v>
      </c>
      <c r="B431" s="11" t="str">
        <f ca="1">IFERROR(__xludf.DUMMYFUNCTION("""COMPUTED_VALUE"""),"Alexandria Knoell")</f>
        <v>Alexandria Knoell</v>
      </c>
      <c r="C431" t="str">
        <f ca="1">IFERROR(__xludf.DUMMYFUNCTION("""COMPUTED_VALUE"""),"alee.knoell@floridadep.gov")</f>
        <v>alee.knoell@floridadep.gov</v>
      </c>
      <c r="D431" t="str">
        <f ca="1">IFERROR(__xludf.DUMMYFUNCTION("""COMPUTED_VALUE"""),"Research/Nikki")</f>
        <v>Research/Nikki</v>
      </c>
      <c r="E431" t="str">
        <f ca="1">IFERROR(__xludf.DUMMYFUNCTION("""COMPUTED_VALUE"""),"Aunt Kate’s 7:30, Shore 11, Green road 12")</f>
        <v>Aunt Kate’s 7:30, Shore 11, Green road 12</v>
      </c>
      <c r="F431" s="13">
        <f ca="1">IFERROR(__xludf.DUMMYFUNCTION("""COMPUTED_VALUE"""),0.322916666667879)</f>
        <v>0.32291666666787899</v>
      </c>
      <c r="G431" s="14">
        <f ca="1">IFERROR(__xludf.DUMMYFUNCTION("""COMPUTED_VALUE"""),43804)</f>
        <v>43804</v>
      </c>
      <c r="H431" t="str">
        <f ca="1">IFERROR(__xludf.DUMMYFUNCTION("""COMPUTED_VALUE"""),"Spat trees")</f>
        <v>Spat trees</v>
      </c>
      <c r="I431" s="15">
        <f ca="1">IFERROR(__xludf.DUMMYFUNCTION("""COMPUTED_VALUE"""),0.58333333333212)</f>
        <v>0.58333333333212001</v>
      </c>
      <c r="J431" s="16">
        <f ca="1">IFERROR(__xludf.DUMMYFUNCTION("""COMPUTED_VALUE"""),43804.6458333333)</f>
        <v>43804.645833333299</v>
      </c>
      <c r="K431" t="str">
        <f ca="1">IFERROR(__xludf.DUMMYFUNCTION("""COMPUTED_VALUE"""),"20ft Sea Ark FL5351SJ UNF 2015")</f>
        <v>20ft Sea Ark FL5351SJ UNF 2015</v>
      </c>
      <c r="M431" t="str">
        <f ca="1">IFERROR(__xludf.DUMMYFUNCTION("""COMPUTED_VALUE"""),"Ford F150 2008 (SWMP Thing) - DEP18041")</f>
        <v>Ford F150 2008 (SWMP Thing) - DEP18041</v>
      </c>
      <c r="N431" t="str">
        <f ca="1">IFERROR(__xludf.DUMMYFUNCTION("""COMPUTED_VALUE"""),"Pam Marcum, (480) 332-5414")</f>
        <v>Pam Marcum, (480) 332-5414</v>
      </c>
      <c r="O431" t="str">
        <f ca="1">IFERROR(__xludf.DUMMYFUNCTION("""COMPUTED_VALUE"""),"Alee Knoell, (619) 750-4833")</f>
        <v>Alee Knoell, (619) 750-4833</v>
      </c>
      <c r="P431" t="str">
        <f ca="1">IFERROR(__xludf.DUMMYFUNCTION("""COMPUTED_VALUE"""),"Pam marcum")</f>
        <v>Pam marcum</v>
      </c>
      <c r="Q431" t="str">
        <f ca="1">IFERROR(__xludf.DUMMYFUNCTION("""COMPUTED_VALUE"""),"All items in working order")</f>
        <v>All items in working order</v>
      </c>
      <c r="AE431" s="11"/>
      <c r="AF431" t="str">
        <v>Nikki.Dix@floridadep.gov</v>
      </c>
      <c r="AG431" s="17" t="s">
        <v>17</v>
      </c>
      <c r="AH431" s="12">
        <v>1405</v>
      </c>
      <c r="AI431" s="12" t="s">
        <v>1242</v>
      </c>
      <c r="AJ431" s="19" t="s">
        <v>1243</v>
      </c>
      <c r="AK431" s="20" t="str">
        <f>HYPERLINK("https://docs.google.com/document/d/163XConguxRmfEJiz0qqtWQl8czIMwg0PZ_dbBQWiVoE/edit?usp=drivesdk","Alexandria Knoell - 12/5/2019 7:45 AM")</f>
        <v>Alexandria Knoell - 12/5/2019 7:45 AM</v>
      </c>
      <c r="AL431" s="12" t="s">
        <v>1244</v>
      </c>
    </row>
    <row r="432" spans="1:38" ht="12.75">
      <c r="A432" s="10">
        <f ca="1">IFERROR(__xludf.DUMMYFUNCTION("""COMPUTED_VALUE"""),43804.3575345949)</f>
        <v>43804.357534594899</v>
      </c>
      <c r="B432" s="11" t="str">
        <f ca="1">IFERROR(__xludf.DUMMYFUNCTION("""COMPUTED_VALUE"""),"Jimmy Tomazinis")</f>
        <v>Jimmy Tomazinis</v>
      </c>
      <c r="C432" t="str">
        <f ca="1">IFERROR(__xludf.DUMMYFUNCTION("""COMPUTED_VALUE"""),"james.tomazinis@floridadep.gov")</f>
        <v>james.tomazinis@floridadep.gov</v>
      </c>
      <c r="D432" t="str">
        <f ca="1">IFERROR(__xludf.DUMMYFUNCTION("""COMPUTED_VALUE"""),"Stewardship (Aquatic)")</f>
        <v>Stewardship (Aquatic)</v>
      </c>
      <c r="E432" t="str">
        <f ca="1">IFERROR(__xludf.DUMMYFUNCTION("""COMPUTED_VALUE"""),"Bings")</f>
        <v>Bings</v>
      </c>
      <c r="F432" s="13">
        <f ca="1">IFERROR(__xludf.DUMMYFUNCTION("""COMPUTED_VALUE"""),0.416666666667879)</f>
        <v>0.41666666666787899</v>
      </c>
      <c r="G432" s="14">
        <f ca="1">IFERROR(__xludf.DUMMYFUNCTION("""COMPUTED_VALUE"""),43804)</f>
        <v>43804</v>
      </c>
      <c r="H432" t="str">
        <f ca="1">IFERROR(__xludf.DUMMYFUNCTION("""COMPUTED_VALUE"""),"Matanzas Nekton sites")</f>
        <v>Matanzas Nekton sites</v>
      </c>
      <c r="I432" s="15">
        <f ca="1">IFERROR(__xludf.DUMMYFUNCTION("""COMPUTED_VALUE"""),0.58333333333212)</f>
        <v>0.58333333333212001</v>
      </c>
      <c r="J432" s="16"/>
      <c r="K432" t="str">
        <f ca="1">IFERROR(__xludf.DUMMYFUNCTION("""COMPUTED_VALUE"""),"23ft Skiff (Bertha) FL7972LJ DEP07613")</f>
        <v>23ft Skiff (Bertha) FL7972LJ DEP07613</v>
      </c>
      <c r="M432" t="str">
        <f ca="1">IFERROR(__xludf.DUMMYFUNCTION("""COMPUTED_VALUE"""),"Ford F150 2015 (White) - DEP21448")</f>
        <v>Ford F150 2015 (White) - DEP21448</v>
      </c>
      <c r="N432" t="str">
        <f ca="1">IFERROR(__xludf.DUMMYFUNCTION("""COMPUTED_VALUE"""),"Jimmy Tomazinis, (904) 547-0094, Ruben Allen")</f>
        <v>Jimmy Tomazinis, (904) 547-0094, Ruben Allen</v>
      </c>
      <c r="O432" t="str">
        <f ca="1">IFERROR(__xludf.DUMMYFUNCTION("""COMPUTED_VALUE"""),"Suzi, Diane")</f>
        <v>Suzi, Diane</v>
      </c>
      <c r="P432" t="str">
        <f ca="1">IFERROR(__xludf.DUMMYFUNCTION("""COMPUTED_VALUE"""),"Jimmy")</f>
        <v>Jimmy</v>
      </c>
      <c r="Q432" t="str">
        <f ca="1">IFERROR(__xludf.DUMMYFUNCTION("""COMPUTED_VALUE"""),"All items in working order")</f>
        <v>All items in working order</v>
      </c>
      <c r="AE432" s="11"/>
      <c r="AF432" t="str">
        <v>Scott.Eastman@floridadep.gov</v>
      </c>
      <c r="AG432" s="18"/>
      <c r="AI432" s="12" t="s">
        <v>1245</v>
      </c>
      <c r="AJ432" s="19" t="s">
        <v>1246</v>
      </c>
      <c r="AK432" s="20" t="str">
        <f>HYPERLINK("https://docs.google.com/document/d/1_EblonXbm1yhjT1MEa_-F031_IGkFPSW7vWvu5Hsklg/edit?usp=drivesdk","Jimmy Tomazinis - 12/5/2019 10:00 AM")</f>
        <v>Jimmy Tomazinis - 12/5/2019 10:00 AM</v>
      </c>
      <c r="AL432" s="12" t="s">
        <v>1247</v>
      </c>
    </row>
    <row r="433" spans="1:38" ht="12.75">
      <c r="A433" s="10">
        <f ca="1">IFERROR(__xludf.DUMMYFUNCTION("""COMPUTED_VALUE"""),43808.5568662037)</f>
        <v>43808.556866203697</v>
      </c>
      <c r="B433" s="11" t="str">
        <f ca="1">IFERROR(__xludf.DUMMYFUNCTION("""COMPUTED_VALUE"""),"J Silas Tanner")</f>
        <v>J Silas Tanner</v>
      </c>
      <c r="C433" t="str">
        <f ca="1">IFERROR(__xludf.DUMMYFUNCTION("""COMPUTED_VALUE"""),"silas.tanner@floridadep.gov")</f>
        <v>silas.tanner@floridadep.gov</v>
      </c>
      <c r="D433" t="str">
        <f ca="1">IFERROR(__xludf.DUMMYFUNCTION("""COMPUTED_VALUE"""),"Research/Shannon")</f>
        <v>Research/Shannon</v>
      </c>
      <c r="E433" t="str">
        <f ca="1">IFERROR(__xludf.DUMMYFUNCTION("""COMPUTED_VALUE"""),"Vilano Landing")</f>
        <v>Vilano Landing</v>
      </c>
      <c r="F433" s="13">
        <f ca="1">IFERROR(__xludf.DUMMYFUNCTION("""COMPUTED_VALUE"""),0.30208333333212)</f>
        <v>0.30208333333212001</v>
      </c>
      <c r="G433" s="14">
        <f ca="1">IFERROR(__xludf.DUMMYFUNCTION("""COMPUTED_VALUE"""),43809)</f>
        <v>43809</v>
      </c>
      <c r="H433" t="str">
        <f ca="1">IFERROR(__xludf.DUMMYFUNCTION("""COMPUTED_VALUE"""),"ICW SWMP Sites")</f>
        <v>ICW SWMP Sites</v>
      </c>
      <c r="I433" s="15">
        <f ca="1">IFERROR(__xludf.DUMMYFUNCTION("""COMPUTED_VALUE"""),0.52083333333212)</f>
        <v>0.52083333333212001</v>
      </c>
      <c r="J433" s="16">
        <f ca="1">IFERROR(__xludf.DUMMYFUNCTION("""COMPUTED_VALUE"""),43809.5416666666)</f>
        <v>43809.541666666599</v>
      </c>
      <c r="K433" t="str">
        <f ca="1">IFERROR(__xludf.DUMMYFUNCTION("""COMPUTED_VALUE"""),"23ft Skiff (Bertha) FL7972LJ DEP07613")</f>
        <v>23ft Skiff (Bertha) FL7972LJ DEP07613</v>
      </c>
      <c r="M433" t="str">
        <f ca="1">IFERROR(__xludf.DUMMYFUNCTION("""COMPUTED_VALUE"""),"Ford F250 2017 (Moby Dix) - DEP0021578")</f>
        <v>Ford F250 2017 (Moby Dix) - DEP0021578</v>
      </c>
      <c r="N433" t="str">
        <f ca="1">IFERROR(__xludf.DUMMYFUNCTION("""COMPUTED_VALUE"""),"Silas Tanner, (904) 483-8423")</f>
        <v>Silas Tanner, (904) 483-8423</v>
      </c>
      <c r="O433" t="str">
        <f ca="1">IFERROR(__xludf.DUMMYFUNCTION("""COMPUTED_VALUE"""),"Casey McClure")</f>
        <v>Casey McClure</v>
      </c>
      <c r="P433" t="str">
        <f ca="1">IFERROR(__xludf.DUMMYFUNCTION("""COMPUTED_VALUE"""),"S. Tanner")</f>
        <v>S. Tanner</v>
      </c>
      <c r="Q433" t="str">
        <f ca="1">IFERROR(__xludf.DUMMYFUNCTION("""COMPUTED_VALUE"""),"All items in working order")</f>
        <v>All items in working order</v>
      </c>
      <c r="AE433" s="11"/>
      <c r="AF433" t="str">
        <v>Shannon.Dunnigan@floridadep.gov</v>
      </c>
      <c r="AG433" s="17" t="s">
        <v>17</v>
      </c>
      <c r="AH433" s="12">
        <v>1135</v>
      </c>
      <c r="AI433" s="12" t="s">
        <v>1248</v>
      </c>
      <c r="AJ433" s="19" t="s">
        <v>1249</v>
      </c>
      <c r="AK433" s="20" t="str">
        <f>HYPERLINK("https://docs.google.com/document/d/1kHlAOqzXYOdFmF5mwK116zmtf-WGoNyKYM7eg3XI8fI/edit?usp=drivesdk","J Silas Tanner - 12/10/2019 7:15 AM")</f>
        <v>J Silas Tanner - 12/10/2019 7:15 AM</v>
      </c>
      <c r="AL433" s="12" t="s">
        <v>1250</v>
      </c>
    </row>
    <row r="434" spans="1:38" ht="12.75">
      <c r="A434" s="10">
        <f ca="1">IFERROR(__xludf.DUMMYFUNCTION("""COMPUTED_VALUE"""),43810.3050582291)</f>
        <v>43810.305058229103</v>
      </c>
      <c r="B434" s="11" t="str">
        <f ca="1">IFERROR(__xludf.DUMMYFUNCTION("""COMPUTED_VALUE"""),"Jimmy Tomazinis")</f>
        <v>Jimmy Tomazinis</v>
      </c>
      <c r="C434" t="str">
        <f ca="1">IFERROR(__xludf.DUMMYFUNCTION("""COMPUTED_VALUE"""),"james.tomazinis@floridadep.gov")</f>
        <v>james.tomazinis@floridadep.gov</v>
      </c>
      <c r="D434" t="str">
        <f ca="1">IFERROR(__xludf.DUMMYFUNCTION("""COMPUTED_VALUE"""),"Stewardship (Aquatic)")</f>
        <v>Stewardship (Aquatic)</v>
      </c>
      <c r="E434" t="str">
        <f ca="1">IFERROR(__xludf.DUMMYFUNCTION("""COMPUTED_VALUE"""),"Dee dee bartels, Nassauville")</f>
        <v>Dee dee bartels, Nassauville</v>
      </c>
      <c r="F434" s="13">
        <f ca="1">IFERROR(__xludf.DUMMYFUNCTION("""COMPUTED_VALUE"""),0.375)</f>
        <v>0.375</v>
      </c>
      <c r="G434" s="14">
        <f ca="1">IFERROR(__xludf.DUMMYFUNCTION("""COMPUTED_VALUE"""),43810)</f>
        <v>43810</v>
      </c>
      <c r="H434" t="str">
        <f ca="1">IFERROR(__xludf.DUMMYFUNCTION("""COMPUTED_VALUE"""),"NEAP WQ sites")</f>
        <v>NEAP WQ sites</v>
      </c>
      <c r="I434" s="15">
        <f ca="1">IFERROR(__xludf.DUMMYFUNCTION("""COMPUTED_VALUE"""),0.58333333333212)</f>
        <v>0.58333333333212001</v>
      </c>
      <c r="J434" s="16"/>
      <c r="K434" t="str">
        <f ca="1">IFERROR(__xludf.DUMMYFUNCTION("""COMPUTED_VALUE"""),"17ft Skiff (Marsha) FL0642GW DEP07239")</f>
        <v>17ft Skiff (Marsha) FL0642GW DEP07239</v>
      </c>
      <c r="M434" t="str">
        <f ca="1">IFERROR(__xludf.DUMMYFUNCTION("""COMPUTED_VALUE"""),"Ford F150 2008 (SWMP Thing) - DEP18041")</f>
        <v>Ford F150 2008 (SWMP Thing) - DEP18041</v>
      </c>
      <c r="N434" t="str">
        <f ca="1">IFERROR(__xludf.DUMMYFUNCTION("""COMPUTED_VALUE"""),"Jimmy Tomazinis, (904) 547-0094")</f>
        <v>Jimmy Tomazinis, (904) 547-0094</v>
      </c>
      <c r="O434" t="str">
        <f ca="1">IFERROR(__xludf.DUMMYFUNCTION("""COMPUTED_VALUE"""),"Suzi, Alicia")</f>
        <v>Suzi, Alicia</v>
      </c>
      <c r="P434" t="str">
        <f ca="1">IFERROR(__xludf.DUMMYFUNCTION("""COMPUTED_VALUE"""),"Jimmy")</f>
        <v>Jimmy</v>
      </c>
      <c r="Q434" t="str">
        <f ca="1">IFERROR(__xludf.DUMMYFUNCTION("""COMPUTED_VALUE"""),"All items in working order")</f>
        <v>All items in working order</v>
      </c>
      <c r="AE434" s="11"/>
      <c r="AF434" t="str">
        <v>Scott.Eastman@floridadep.gov</v>
      </c>
      <c r="AG434" s="17" t="s">
        <v>17</v>
      </c>
      <c r="AH434" s="12">
        <v>1255</v>
      </c>
      <c r="AI434" s="12" t="s">
        <v>1251</v>
      </c>
      <c r="AJ434" s="19" t="s">
        <v>1252</v>
      </c>
      <c r="AK434" s="20" t="str">
        <f>HYPERLINK("https://docs.google.com/document/d/1IKbSBBabOKlmi4SgTvDk2__OUMhoNNZui34H6pmKKbs/edit?usp=drivesdk","Jimmy Tomazinis - 12/11/2019 9:00 AM")</f>
        <v>Jimmy Tomazinis - 12/11/2019 9:00 AM</v>
      </c>
      <c r="AL434" s="12" t="s">
        <v>1253</v>
      </c>
    </row>
    <row r="435" spans="1:38" ht="12.75">
      <c r="A435" s="10">
        <f ca="1">IFERROR(__xludf.DUMMYFUNCTION("""COMPUTED_VALUE"""),43815.3718841666)</f>
        <v>43815.371884166598</v>
      </c>
      <c r="B435" s="11" t="str">
        <f ca="1">IFERROR(__xludf.DUMMYFUNCTION("""COMPUTED_VALUE"""),"Shannon Dunnigan")</f>
        <v>Shannon Dunnigan</v>
      </c>
      <c r="C435" t="str">
        <f ca="1">IFERROR(__xludf.DUMMYFUNCTION("""COMPUTED_VALUE"""),"shannon.dunnigan@floridadep.gov")</f>
        <v>shannon.dunnigan@floridadep.gov</v>
      </c>
      <c r="D435" t="str">
        <f ca="1">IFERROR(__xludf.DUMMYFUNCTION("""COMPUTED_VALUE"""),"Research/Nikki")</f>
        <v>Research/Nikki</v>
      </c>
      <c r="E435" t="str">
        <f ca="1">IFERROR(__xludf.DUMMYFUNCTION("""COMPUTED_VALUE"""),"Moses")</f>
        <v>Moses</v>
      </c>
      <c r="F435" s="13">
        <f ca="1">IFERROR(__xludf.DUMMYFUNCTION("""COMPUTED_VALUE"""),0.385416666667879)</f>
        <v>0.38541666666787899</v>
      </c>
      <c r="G435" s="14">
        <f ca="1">IFERROR(__xludf.DUMMYFUNCTION("""COMPUTED_VALUE"""),43815)</f>
        <v>43815</v>
      </c>
      <c r="H435" t="str">
        <f ca="1">IFERROR(__xludf.DUMMYFUNCTION("""COMPUTED_VALUE"""),"Moses platforms")</f>
        <v>Moses platforms</v>
      </c>
      <c r="I435" s="15">
        <f ca="1">IFERROR(__xludf.DUMMYFUNCTION("""COMPUTED_VALUE"""),0.46875)</f>
        <v>0.46875</v>
      </c>
      <c r="J435" s="16">
        <f ca="1">IFERROR(__xludf.DUMMYFUNCTION("""COMPUTED_VALUE"""),43815.5416666666)</f>
        <v>43815.541666666599</v>
      </c>
      <c r="K435" t="str">
        <f ca="1">IFERROR(__xludf.DUMMYFUNCTION("""COMPUTED_VALUE"""),"Kayak(s)")</f>
        <v>Kayak(s)</v>
      </c>
      <c r="L435">
        <f ca="1">IFERROR(__xludf.DUMMYFUNCTION("""COMPUTED_VALUE"""),1)</f>
        <v>1</v>
      </c>
      <c r="M435" t="str">
        <f ca="1">IFERROR(__xludf.DUMMYFUNCTION("""COMPUTED_VALUE"""),"Ford F250 2017 (Moby Dix) - DEP0021578")</f>
        <v>Ford F250 2017 (Moby Dix) - DEP0021578</v>
      </c>
      <c r="N435" t="str">
        <f ca="1">IFERROR(__xludf.DUMMYFUNCTION("""COMPUTED_VALUE"""),"Shannon Dunnigan, (803) 727-5734, Silas Tanner, (904) 483-8423")</f>
        <v>Shannon Dunnigan, (803) 727-5734, Silas Tanner, (904) 483-8423</v>
      </c>
      <c r="P435" t="str">
        <f ca="1">IFERROR(__xludf.DUMMYFUNCTION("""COMPUTED_VALUE"""),"Shannon")</f>
        <v>Shannon</v>
      </c>
      <c r="Q435" t="str">
        <f ca="1">IFERROR(__xludf.DUMMYFUNCTION("""COMPUTED_VALUE"""),"All items in working order")</f>
        <v>All items in working order</v>
      </c>
      <c r="AE435" s="11"/>
      <c r="AF435" t="str">
        <v>Nikki.Dix@floridadep.gov</v>
      </c>
      <c r="AG435" s="17" t="s">
        <v>17</v>
      </c>
      <c r="AH435" s="12">
        <v>1145</v>
      </c>
      <c r="AI435" s="12" t="s">
        <v>1254</v>
      </c>
      <c r="AJ435" s="19" t="s">
        <v>1255</v>
      </c>
      <c r="AK435" s="20" t="str">
        <f>HYPERLINK("https://docs.google.com/document/d/1qZ-a0BeL3hRyRq4l3YXrwKyyqKN5gkchWbLgF1XfHNo/edit?usp=drivesdk","Shannon Dunnigan - 12/16/2019 9:15 AM")</f>
        <v>Shannon Dunnigan - 12/16/2019 9:15 AM</v>
      </c>
      <c r="AL435" s="12" t="s">
        <v>1256</v>
      </c>
    </row>
    <row r="436" spans="1:38" ht="12.75">
      <c r="A436" s="10">
        <f ca="1">IFERROR(__xludf.DUMMYFUNCTION("""COMPUTED_VALUE"""),43815.506977905)</f>
        <v>43815.506977905003</v>
      </c>
      <c r="B436" s="11" t="str">
        <f ca="1">IFERROR(__xludf.DUMMYFUNCTION("""COMPUTED_VALUE"""),"Jimmy Tomazinis")</f>
        <v>Jimmy Tomazinis</v>
      </c>
      <c r="C436" t="str">
        <f ca="1">IFERROR(__xludf.DUMMYFUNCTION("""COMPUTED_VALUE"""),"james.tomazinis@floridadep.gov")</f>
        <v>james.tomazinis@floridadep.gov</v>
      </c>
      <c r="D436" t="str">
        <f ca="1">IFERROR(__xludf.DUMMYFUNCTION("""COMPUTED_VALUE"""),"Stewardship (Aquatic)")</f>
        <v>Stewardship (Aquatic)</v>
      </c>
      <c r="E436" t="str">
        <f ca="1">IFERROR(__xludf.DUMMYFUNCTION("""COMPUTED_VALUE"""),"Guana Dam")</f>
        <v>Guana Dam</v>
      </c>
      <c r="F436" s="13">
        <f ca="1">IFERROR(__xludf.DUMMYFUNCTION("""COMPUTED_VALUE"""),0.53125)</f>
        <v>0.53125</v>
      </c>
      <c r="G436" s="14">
        <f ca="1">IFERROR(__xludf.DUMMYFUNCTION("""COMPUTED_VALUE"""),43815)</f>
        <v>43815</v>
      </c>
      <c r="H436" t="str">
        <f ca="1">IFERROR(__xludf.DUMMYFUNCTION("""COMPUTED_VALUE"""),"Guana WQ sites")</f>
        <v>Guana WQ sites</v>
      </c>
      <c r="I436" s="15">
        <f ca="1">IFERROR(__xludf.DUMMYFUNCTION("""COMPUTED_VALUE"""),0.61458333333212)</f>
        <v>0.61458333333212001</v>
      </c>
      <c r="J436" s="16"/>
      <c r="K436" t="str">
        <f ca="1">IFERROR(__xludf.DUMMYFUNCTION("""COMPUTED_VALUE"""),"Jon Boat FL0484NP DEP06819")</f>
        <v>Jon Boat FL0484NP DEP06819</v>
      </c>
      <c r="M436" t="str">
        <f ca="1">IFERROR(__xludf.DUMMYFUNCTION("""COMPUTED_VALUE"""),"Ford F150 2015 (White) - DEP21448")</f>
        <v>Ford F150 2015 (White) - DEP21448</v>
      </c>
      <c r="N436" t="str">
        <f ca="1">IFERROR(__xludf.DUMMYFUNCTION("""COMPUTED_VALUE"""),"Jimmy Tomazinis, (904) 547-0094")</f>
        <v>Jimmy Tomazinis, (904) 547-0094</v>
      </c>
      <c r="O436" t="str">
        <f ca="1">IFERROR(__xludf.DUMMYFUNCTION("""COMPUTED_VALUE"""),"Jess, ")</f>
        <v xml:space="preserve">Jess, </v>
      </c>
      <c r="P436" t="str">
        <f ca="1">IFERROR(__xludf.DUMMYFUNCTION("""COMPUTED_VALUE"""),"Jimmy")</f>
        <v>Jimmy</v>
      </c>
      <c r="Q436" t="str">
        <f ca="1">IFERROR(__xludf.DUMMYFUNCTION("""COMPUTED_VALUE"""),"All items in working order")</f>
        <v>All items in working order</v>
      </c>
      <c r="AE436" s="11"/>
      <c r="AF436" t="str">
        <v>Scott.Eastman@floridadep.gov</v>
      </c>
      <c r="AG436" s="17" t="s">
        <v>17</v>
      </c>
      <c r="AH436" s="12">
        <v>1420</v>
      </c>
      <c r="AI436" s="12" t="s">
        <v>1257</v>
      </c>
      <c r="AJ436" s="19" t="s">
        <v>1258</v>
      </c>
      <c r="AK436" s="20" t="str">
        <f>HYPERLINK("https://docs.google.com/document/d/1OPJyWfnlaorB8XlVsMWimPBNc-pOQRB-7mepBOTyZ_U/edit?usp=drivesdk","Jimmy Tomazinis - 12/16/2019 12:45 PM")</f>
        <v>Jimmy Tomazinis - 12/16/2019 12:45 PM</v>
      </c>
      <c r="AL436" s="12" t="s">
        <v>1259</v>
      </c>
    </row>
    <row r="437" spans="1:38" ht="12.75">
      <c r="A437" s="10">
        <f ca="1">IFERROR(__xludf.DUMMYFUNCTION("""COMPUTED_VALUE"""),43817.407601574)</f>
        <v>43817.407601573999</v>
      </c>
      <c r="B437" s="11" t="str">
        <f ca="1">IFERROR(__xludf.DUMMYFUNCTION("""COMPUTED_VALUE"""),"Silas Tanner")</f>
        <v>Silas Tanner</v>
      </c>
      <c r="C437" t="str">
        <f ca="1">IFERROR(__xludf.DUMMYFUNCTION("""COMPUTED_VALUE"""),"silas.tanner@floridadep.gov")</f>
        <v>silas.tanner@floridadep.gov</v>
      </c>
      <c r="D437" t="str">
        <f ca="1">IFERROR(__xludf.DUMMYFUNCTION("""COMPUTED_VALUE"""),"Research/Nikki")</f>
        <v>Research/Nikki</v>
      </c>
      <c r="E437" t="str">
        <f ca="1">IFERROR(__xludf.DUMMYFUNCTION("""COMPUTED_VALUE"""),"Green Road ramp, Crane ramp, Aunt Kate's")</f>
        <v>Green Road ramp, Crane ramp, Aunt Kate's</v>
      </c>
      <c r="F437" s="13">
        <f ca="1">IFERROR(__xludf.DUMMYFUNCTION("""COMPUTED_VALUE"""),0.45833333333212)</f>
        <v>0.45833333333212001</v>
      </c>
      <c r="G437" s="14">
        <f ca="1">IFERROR(__xludf.DUMMYFUNCTION("""COMPUTED_VALUE"""),43817)</f>
        <v>43817</v>
      </c>
      <c r="H437" t="str">
        <f ca="1">IFERROR(__xludf.DUMMYFUNCTION("""COMPUTED_VALUE"""),"ICW SWMP sites")</f>
        <v>ICW SWMP sites</v>
      </c>
      <c r="I437" s="15">
        <f ca="1">IFERROR(__xludf.DUMMYFUNCTION("""COMPUTED_VALUE"""),0.625)</f>
        <v>0.625</v>
      </c>
      <c r="J437" s="16">
        <f ca="1">IFERROR(__xludf.DUMMYFUNCTION("""COMPUTED_VALUE"""),43817.6354166666)</f>
        <v>43817.635416666599</v>
      </c>
      <c r="K437" t="str">
        <f ca="1">IFERROR(__xludf.DUMMYFUNCTION("""COMPUTED_VALUE"""),"20ft Sea Ark FL5351SJ UNF 2015")</f>
        <v>20ft Sea Ark FL5351SJ UNF 2015</v>
      </c>
      <c r="M437" t="str">
        <f ca="1">IFERROR(__xludf.DUMMYFUNCTION("""COMPUTED_VALUE"""),"Ford F250 2017 (Moby Dix) - DEP0021578")</f>
        <v>Ford F250 2017 (Moby Dix) - DEP0021578</v>
      </c>
      <c r="N437" t="str">
        <f ca="1">IFERROR(__xludf.DUMMYFUNCTION("""COMPUTED_VALUE"""),"Shannon Dunnigan, (803) 727-5734, Silas Tanner, (904) 483-8423")</f>
        <v>Shannon Dunnigan, (803) 727-5734, Silas Tanner, (904) 483-8423</v>
      </c>
      <c r="P437" t="str">
        <f ca="1">IFERROR(__xludf.DUMMYFUNCTION("""COMPUTED_VALUE"""),"S. Dunnigan")</f>
        <v>S. Dunnigan</v>
      </c>
      <c r="Q437" t="str">
        <f ca="1">IFERROR(__xludf.DUMMYFUNCTION("""COMPUTED_VALUE"""),"All items in working order")</f>
        <v>All items in working order</v>
      </c>
      <c r="AE437" s="11"/>
      <c r="AF437" t="str">
        <v>Nikki.Dix@floridadep.gov</v>
      </c>
      <c r="AG437" s="17" t="s">
        <v>58</v>
      </c>
      <c r="AH437" s="12">
        <v>1400</v>
      </c>
      <c r="AI437" s="12" t="s">
        <v>1260</v>
      </c>
      <c r="AJ437" s="19" t="s">
        <v>1261</v>
      </c>
      <c r="AK437" s="20" t="str">
        <f>HYPERLINK("https://docs.google.com/document/d/1LC1IYvAnDIH6sgJDDdHDIbOJPCKDdI8tSBH5EYeaN9I/edit?usp=drivesdk","Silas Tanner - 12/18/2019 11:00 AM")</f>
        <v>Silas Tanner - 12/18/2019 11:00 AM</v>
      </c>
      <c r="AL437" s="12" t="s">
        <v>1262</v>
      </c>
    </row>
    <row r="438" spans="1:38" ht="12.75">
      <c r="A438" s="10">
        <f ca="1">IFERROR(__xludf.DUMMYFUNCTION("""COMPUTED_VALUE"""),43818.4073518518)</f>
        <v>43818.407351851798</v>
      </c>
      <c r="B438" s="11" t="str">
        <f ca="1">IFERROR(__xludf.DUMMYFUNCTION("""COMPUTED_VALUE"""),"J Silas Tanner")</f>
        <v>J Silas Tanner</v>
      </c>
      <c r="C438" t="str">
        <f ca="1">IFERROR(__xludf.DUMMYFUNCTION("""COMPUTED_VALUE"""),"silas.tanner@floridadep.gov")</f>
        <v>silas.tanner@floridadep.gov</v>
      </c>
      <c r="D438" t="str">
        <f ca="1">IFERROR(__xludf.DUMMYFUNCTION("""COMPUTED_VALUE"""),"Research/Nikki")</f>
        <v>Research/Nikki</v>
      </c>
      <c r="E438" t="str">
        <f ca="1">IFERROR(__xludf.DUMMYFUNCTION("""COMPUTED_VALUE"""),"Palm Valley")</f>
        <v>Palm Valley</v>
      </c>
      <c r="F438" s="13">
        <f ca="1">IFERROR(__xludf.DUMMYFUNCTION("""COMPUTED_VALUE"""),0.42708333333212)</f>
        <v>0.42708333333212001</v>
      </c>
      <c r="G438" s="14">
        <f ca="1">IFERROR(__xludf.DUMMYFUNCTION("""COMPUTED_VALUE"""),43818)</f>
        <v>43818</v>
      </c>
      <c r="H438" t="str">
        <f ca="1">IFERROR(__xludf.DUMMYFUNCTION("""COMPUTED_VALUE"""),"Pine Island SWMP site")</f>
        <v>Pine Island SWMP site</v>
      </c>
      <c r="I438" s="15">
        <f ca="1">IFERROR(__xludf.DUMMYFUNCTION("""COMPUTED_VALUE"""),0.48958333333212)</f>
        <v>0.48958333333212001</v>
      </c>
      <c r="J438" s="16">
        <f ca="1">IFERROR(__xludf.DUMMYFUNCTION("""COMPUTED_VALUE"""),43818.5006944444)</f>
        <v>43818.500694444403</v>
      </c>
      <c r="K438" t="str">
        <f ca="1">IFERROR(__xludf.DUMMYFUNCTION("""COMPUTED_VALUE"""),"20ft Sea Ark FL5351SJ UNF 2015")</f>
        <v>20ft Sea Ark FL5351SJ UNF 2015</v>
      </c>
      <c r="M438" t="str">
        <f ca="1">IFERROR(__xludf.DUMMYFUNCTION("""COMPUTED_VALUE"""),"Ford F250 2017 (Moby Dix) - DEP0021578")</f>
        <v>Ford F250 2017 (Moby Dix) - DEP0021578</v>
      </c>
      <c r="N438" t="str">
        <f ca="1">IFERROR(__xludf.DUMMYFUNCTION("""COMPUTED_VALUE"""),"Silas Tanner, (904) 483-8423")</f>
        <v>Silas Tanner, (904) 483-8423</v>
      </c>
      <c r="O438" t="str">
        <f ca="1">IFERROR(__xludf.DUMMYFUNCTION("""COMPUTED_VALUE"""),"Alee Knoell, (619) 750-4833")</f>
        <v>Alee Knoell, (619) 750-4833</v>
      </c>
      <c r="P438" t="str">
        <f ca="1">IFERROR(__xludf.DUMMYFUNCTION("""COMPUTED_VALUE"""),"Tanner")</f>
        <v>Tanner</v>
      </c>
      <c r="Q438" t="str">
        <f ca="1">IFERROR(__xludf.DUMMYFUNCTION("""COMPUTED_VALUE"""),"All items in working order")</f>
        <v>All items in working order</v>
      </c>
      <c r="AE438" s="11"/>
      <c r="AF438" t="str">
        <v>Nikki.Dix@floridadep.gov</v>
      </c>
      <c r="AG438" s="17" t="s">
        <v>507</v>
      </c>
      <c r="AH438" s="12">
        <v>1130</v>
      </c>
      <c r="AI438" s="12" t="s">
        <v>1263</v>
      </c>
      <c r="AJ438" s="19" t="s">
        <v>1264</v>
      </c>
      <c r="AK438" s="20" t="str">
        <f>HYPERLINK("https://docs.google.com/document/d/1txL1NkJIk-erA6B1p-O-zeeuqlFx5VgDXw_om0hByYQ/edit?usp=drivesdk","J Silas Tanner - 12/19/2019 10:15 AM")</f>
        <v>J Silas Tanner - 12/19/2019 10:15 AM</v>
      </c>
      <c r="AL438" s="12" t="s">
        <v>1265</v>
      </c>
    </row>
    <row r="439" spans="1:38" ht="12.75">
      <c r="A439" s="10">
        <f ca="1">IFERROR(__xludf.DUMMYFUNCTION("""COMPUTED_VALUE"""),43818.4263698032)</f>
        <v>43818.426369803201</v>
      </c>
      <c r="B439" s="11" t="str">
        <f ca="1">IFERROR(__xludf.DUMMYFUNCTION("""COMPUTED_VALUE"""),"Gabriela Canas")</f>
        <v>Gabriela Canas</v>
      </c>
      <c r="C439" t="str">
        <f ca="1">IFERROR(__xludf.DUMMYFUNCTION("""COMPUTED_VALUE"""),"n00836133@unf.edu")</f>
        <v>n00836133@unf.edu</v>
      </c>
      <c r="D439" t="str">
        <f ca="1">IFERROR(__xludf.DUMMYFUNCTION("""COMPUTED_VALUE"""),"Research/Nikki")</f>
        <v>Research/Nikki</v>
      </c>
      <c r="E439" t="str">
        <f ca="1">IFERROR(__xludf.DUMMYFUNCTION("""COMPUTED_VALUE"""),"Douglas crane")</f>
        <v>Douglas crane</v>
      </c>
      <c r="F439" s="13">
        <f ca="1">IFERROR(__xludf.DUMMYFUNCTION("""COMPUTED_VALUE"""),0.45833333333212)</f>
        <v>0.45833333333212001</v>
      </c>
      <c r="G439" s="14">
        <f ca="1">IFERROR(__xludf.DUMMYFUNCTION("""COMPUTED_VALUE"""),43818)</f>
        <v>43818</v>
      </c>
      <c r="H439" t="str">
        <f ca="1">IFERROR(__xludf.DUMMYFUNCTION("""COMPUTED_VALUE"""),"WETFEET middle site")</f>
        <v>WETFEET middle site</v>
      </c>
      <c r="I439" s="15">
        <f ca="1">IFERROR(__xludf.DUMMYFUNCTION("""COMPUTED_VALUE"""),0.58333333333212)</f>
        <v>0.58333333333212001</v>
      </c>
      <c r="J439" s="16">
        <f ca="1">IFERROR(__xludf.DUMMYFUNCTION("""COMPUTED_VALUE"""),43818.6145833333)</f>
        <v>43818.614583333299</v>
      </c>
      <c r="K439" t="str">
        <f ca="1">IFERROR(__xludf.DUMMYFUNCTION("""COMPUTED_VALUE"""),"17ft Skiff (Marsha) FL0642GW DEP07239")</f>
        <v>17ft Skiff (Marsha) FL0642GW DEP07239</v>
      </c>
      <c r="M439" t="str">
        <f ca="1">IFERROR(__xludf.DUMMYFUNCTION("""COMPUTED_VALUE"""),"Ford F150 2008 (SWMP Thing) - DEP18041")</f>
        <v>Ford F150 2008 (SWMP Thing) - DEP18041</v>
      </c>
      <c r="N439" t="str">
        <f ca="1">IFERROR(__xludf.DUMMYFUNCTION("""COMPUTED_VALUE"""),"Pam Marcum, (480) 332-5414")</f>
        <v>Pam Marcum, (480) 332-5414</v>
      </c>
      <c r="O439" t="str">
        <f ca="1">IFERROR(__xludf.DUMMYFUNCTION("""COMPUTED_VALUE"""),"Gabriela Canas, (904) 891-9743")</f>
        <v>Gabriela Canas, (904) 891-9743</v>
      </c>
      <c r="P439" t="str">
        <f ca="1">IFERROR(__xludf.DUMMYFUNCTION("""COMPUTED_VALUE"""),"Pam")</f>
        <v>Pam</v>
      </c>
      <c r="Q439" t="str">
        <f ca="1">IFERROR(__xludf.DUMMYFUNCTION("""COMPUTED_VALUE"""),"All items in working order")</f>
        <v>All items in working order</v>
      </c>
      <c r="AE439" s="11"/>
      <c r="AF439" t="str">
        <v>Nikki.Dix@floridadep.gov</v>
      </c>
      <c r="AG439" s="17" t="s">
        <v>58</v>
      </c>
      <c r="AH439" s="12">
        <v>1340</v>
      </c>
      <c r="AI439" s="12" t="s">
        <v>1266</v>
      </c>
      <c r="AJ439" s="19" t="s">
        <v>1267</v>
      </c>
      <c r="AK439" s="20" t="str">
        <f>HYPERLINK("https://docs.google.com/document/d/1NN0E003fhNBJAqT_4wA1n1fHv_OIrnwXZ5Cod5eNRaQ/edit?usp=drivesdk","Gabriela Canas - 12/19/2019 11:00 AM")</f>
        <v>Gabriela Canas - 12/19/2019 11:00 AM</v>
      </c>
      <c r="AL439" s="12" t="s">
        <v>1268</v>
      </c>
    </row>
    <row r="440" spans="1:38" ht="12.75">
      <c r="A440" s="10">
        <f ca="1">IFERROR(__xludf.DUMMYFUNCTION("""COMPUTED_VALUE"""),43819.5861927662)</f>
        <v>43819.586192766197</v>
      </c>
      <c r="B440" s="11" t="str">
        <f ca="1">IFERROR(__xludf.DUMMYFUNCTION("""COMPUTED_VALUE"""),"Jessica Lee")</f>
        <v>Jessica Lee</v>
      </c>
      <c r="C440" t="str">
        <f ca="1">IFERROR(__xludf.DUMMYFUNCTION("""COMPUTED_VALUE"""),"jessica.lee@FloridaDEP.gov")</f>
        <v>jessica.lee@FloridaDEP.gov</v>
      </c>
      <c r="D440" t="str">
        <f ca="1">IFERROR(__xludf.DUMMYFUNCTION("""COMPUTED_VALUE"""),"Research/Nikki")</f>
        <v>Research/Nikki</v>
      </c>
      <c r="E440" t="str">
        <f ca="1">IFERROR(__xludf.DUMMYFUNCTION("""COMPUTED_VALUE"""),"Guana")</f>
        <v>Guana</v>
      </c>
      <c r="F440" s="13">
        <f ca="1">IFERROR(__xludf.DUMMYFUNCTION("""COMPUTED_VALUE"""),0.291666666667879)</f>
        <v>0.29166666666787899</v>
      </c>
      <c r="G440" s="14">
        <f ca="1">IFERROR(__xludf.DUMMYFUNCTION("""COMPUTED_VALUE"""),43822)</f>
        <v>43822</v>
      </c>
      <c r="H440" t="str">
        <f ca="1">IFERROR(__xludf.DUMMYFUNCTION("""COMPUTED_VALUE"""),"Guana River")</f>
        <v>Guana River</v>
      </c>
      <c r="I440" s="15">
        <f ca="1">IFERROR(__xludf.DUMMYFUNCTION("""COMPUTED_VALUE"""),0.354166666667879)</f>
        <v>0.35416666666787899</v>
      </c>
      <c r="J440" s="16">
        <f ca="1">IFERROR(__xludf.DUMMYFUNCTION("""COMPUTED_VALUE"""),43822.375)</f>
        <v>43822.375</v>
      </c>
      <c r="K440" t="str">
        <f ca="1">IFERROR(__xludf.DUMMYFUNCTION("""COMPUTED_VALUE"""),"Jon Boat FL0484NP DEP06819")</f>
        <v>Jon Boat FL0484NP DEP06819</v>
      </c>
      <c r="M440" t="str">
        <f ca="1">IFERROR(__xludf.DUMMYFUNCTION("""COMPUTED_VALUE"""),"Ford F150 2015 (White) - DEP21448")</f>
        <v>Ford F150 2015 (White) - DEP21448</v>
      </c>
      <c r="N440" t="str">
        <f ca="1">IFERROR(__xludf.DUMMYFUNCTION("""COMPUTED_VALUE"""),"Jimmy Tomazinis, (904) 547-0094")</f>
        <v>Jimmy Tomazinis, (904) 547-0094</v>
      </c>
      <c r="O440" t="str">
        <f ca="1">IFERROR(__xludf.DUMMYFUNCTION("""COMPUTED_VALUE"""),"Jessica Lee")</f>
        <v>Jessica Lee</v>
      </c>
      <c r="P440" t="str">
        <f ca="1">IFERROR(__xludf.DUMMYFUNCTION("""COMPUTED_VALUE"""),"Jessica Lee")</f>
        <v>Jessica Lee</v>
      </c>
      <c r="Q440" t="str">
        <f ca="1">IFERROR(__xludf.DUMMYFUNCTION("""COMPUTED_VALUE"""),"All items in working order")</f>
        <v>All items in working order</v>
      </c>
      <c r="AE440" s="11"/>
      <c r="AF440" t="str">
        <v>Nikki.Dix@floridadep.gov</v>
      </c>
      <c r="AG440" s="18"/>
      <c r="AI440" s="12" t="s">
        <v>1269</v>
      </c>
      <c r="AJ440" s="19" t="s">
        <v>1270</v>
      </c>
      <c r="AK440" s="20" t="str">
        <f>HYPERLINK("https://docs.google.com/document/d/1zuFEsKkrq9M6ZGAYBwp5wojo8R4vd7PN6fTx65IXQLA/edit?usp=drivesdk","Jessica Lee - 12/23/2019 7:00 AM")</f>
        <v>Jessica Lee - 12/23/2019 7:00 AM</v>
      </c>
      <c r="AL440" s="12" t="s">
        <v>1271</v>
      </c>
    </row>
    <row r="441" spans="1:38" ht="12.75">
      <c r="A441" s="10">
        <f ca="1">IFERROR(__xludf.DUMMYFUNCTION("""COMPUTED_VALUE"""),43829.4694525463)</f>
        <v>43829.469452546298</v>
      </c>
      <c r="B441" s="11" t="str">
        <f ca="1">IFERROR(__xludf.DUMMYFUNCTION("""COMPUTED_VALUE"""),"Jessica Lee")</f>
        <v>Jessica Lee</v>
      </c>
      <c r="C441" t="str">
        <f ca="1">IFERROR(__xludf.DUMMYFUNCTION("""COMPUTED_VALUE"""),"jessica.lee@FloridaDEP.gov")</f>
        <v>jessica.lee@FloridaDEP.gov</v>
      </c>
      <c r="D441" t="str">
        <f ca="1">IFERROR(__xludf.DUMMYFUNCTION("""COMPUTED_VALUE"""),"Research/Nikki")</f>
        <v>Research/Nikki</v>
      </c>
      <c r="E441" t="str">
        <f ca="1">IFERROR(__xludf.DUMMYFUNCTION("""COMPUTED_VALUE"""),"Guana River")</f>
        <v>Guana River</v>
      </c>
      <c r="F441" s="13">
        <f ca="1">IFERROR(__xludf.DUMMYFUNCTION("""COMPUTED_VALUE"""),0.5)</f>
        <v>0.5</v>
      </c>
      <c r="G441" s="14">
        <f ca="1">IFERROR(__xludf.DUMMYFUNCTION("""COMPUTED_VALUE"""),43829)</f>
        <v>43829</v>
      </c>
      <c r="H441" t="str">
        <f ca="1">IFERROR(__xludf.DUMMYFUNCTION("""COMPUTED_VALUE"""),"Guana River")</f>
        <v>Guana River</v>
      </c>
      <c r="I441" s="15">
        <f ca="1">IFERROR(__xludf.DUMMYFUNCTION("""COMPUTED_VALUE"""),0.541666666667879)</f>
        <v>0.54166666666787899</v>
      </c>
      <c r="J441" s="16">
        <f ca="1">IFERROR(__xludf.DUMMYFUNCTION("""COMPUTED_VALUE"""),43829.5520833333)</f>
        <v>43829.552083333299</v>
      </c>
      <c r="K441" t="str">
        <f ca="1">IFERROR(__xludf.DUMMYFUNCTION("""COMPUTED_VALUE"""),"Jon Boat FL0484NP DEP06819")</f>
        <v>Jon Boat FL0484NP DEP06819</v>
      </c>
      <c r="M441" t="str">
        <f ca="1">IFERROR(__xludf.DUMMYFUNCTION("""COMPUTED_VALUE"""),"Ford F150 2015 (White) - DEP21448")</f>
        <v>Ford F150 2015 (White) - DEP21448</v>
      </c>
      <c r="N441" t="str">
        <f ca="1">IFERROR(__xludf.DUMMYFUNCTION("""COMPUTED_VALUE"""),"Jimmy Tomazinis, (904) 547-0094")</f>
        <v>Jimmy Tomazinis, (904) 547-0094</v>
      </c>
      <c r="P441" t="str">
        <f ca="1">IFERROR(__xludf.DUMMYFUNCTION("""COMPUTED_VALUE"""),"Jessica Lee")</f>
        <v>Jessica Lee</v>
      </c>
      <c r="Q441" t="str">
        <f ca="1">IFERROR(__xludf.DUMMYFUNCTION("""COMPUTED_VALUE"""),"All items in working order")</f>
        <v>All items in working order</v>
      </c>
      <c r="AE441" s="11"/>
      <c r="AF441" t="str">
        <v>Nikki.Dix@floridadep.gov</v>
      </c>
      <c r="AG441" s="17" t="s">
        <v>17</v>
      </c>
      <c r="AH441" s="12">
        <v>1340</v>
      </c>
      <c r="AI441" s="12" t="s">
        <v>1272</v>
      </c>
      <c r="AJ441" s="19" t="s">
        <v>1273</v>
      </c>
      <c r="AK441" s="20" t="str">
        <f>HYPERLINK("https://docs.google.com/document/d/1sv52haYJAAYeV34nrDRRcelkEHhfK9YUVlfLYziSVak/edit?usp=drivesdk","Jessica Lee - 12/30/2019 12:00 PM")</f>
        <v>Jessica Lee - 12/30/2019 12:00 PM</v>
      </c>
      <c r="AL441" s="12" t="s">
        <v>1274</v>
      </c>
    </row>
    <row r="442" spans="1:38" ht="12.75">
      <c r="A442" s="10">
        <f ca="1">IFERROR(__xludf.DUMMYFUNCTION("""COMPUTED_VALUE"""),43835.6229489814)</f>
        <v>43835.6229489814</v>
      </c>
      <c r="B442" s="11" t="str">
        <f ca="1">IFERROR(__xludf.DUMMYFUNCTION("""COMPUTED_VALUE"""),"Ruben Allen")</f>
        <v>Ruben Allen</v>
      </c>
      <c r="C442" t="str">
        <f ca="1">IFERROR(__xludf.DUMMYFUNCTION("""COMPUTED_VALUE"""),"rubeall57@gmail.com")</f>
        <v>rubeall57@gmail.com</v>
      </c>
      <c r="D442" t="str">
        <f ca="1">IFERROR(__xludf.DUMMYFUNCTION("""COMPUTED_VALUE"""),"Research/Pam")</f>
        <v>Research/Pam</v>
      </c>
      <c r="E442" t="str">
        <f ca="1">IFERROR(__xludf.DUMMYFUNCTION("""COMPUTED_VALUE"""),"Vilano")</f>
        <v>Vilano</v>
      </c>
      <c r="F442" s="13"/>
      <c r="G442" s="14">
        <f ca="1">IFERROR(__xludf.DUMMYFUNCTION("""COMPUTED_VALUE"""),43836)</f>
        <v>43836</v>
      </c>
      <c r="H442" t="str">
        <f ca="1">IFERROR(__xludf.DUMMYFUNCTION("""COMPUTED_VALUE"""),"Southern Spat Run")</f>
        <v>Southern Spat Run</v>
      </c>
      <c r="I442" s="15">
        <f ca="1">IFERROR(__xludf.DUMMYFUNCTION("""COMPUTED_VALUE"""),0.666666666667879)</f>
        <v>0.66666666666787899</v>
      </c>
      <c r="J442" s="16">
        <f ca="1">IFERROR(__xludf.DUMMYFUNCTION("""COMPUTED_VALUE"""),43836.6875)</f>
        <v>43836.6875</v>
      </c>
      <c r="K442" t="str">
        <f ca="1">IFERROR(__xludf.DUMMYFUNCTION("""COMPUTED_VALUE"""),"F 20ft Sea Ark (Easy 200) FL8534PY DEP21451")</f>
        <v>F 20ft Sea Ark (Easy 200) FL8534PY DEP21451</v>
      </c>
      <c r="M442" t="str">
        <f ca="1">IFERROR(__xludf.DUMMYFUNCTION("""COMPUTED_VALUE"""),"Ford F150 2015 (White) - DEP21448")</f>
        <v>Ford F150 2015 (White) - DEP21448</v>
      </c>
      <c r="O442" t="str">
        <f ca="1">IFERROR(__xludf.DUMMYFUNCTION("""COMPUTED_VALUE"""),"Alee Knoell, (619) 750-4833")</f>
        <v>Alee Knoell, (619) 750-4833</v>
      </c>
      <c r="P442" t="str">
        <f ca="1">IFERROR(__xludf.DUMMYFUNCTION("""COMPUTED_VALUE"""),"Ruben Allen")</f>
        <v>Ruben Allen</v>
      </c>
      <c r="Q442" t="str">
        <f ca="1">IFERROR(__xludf.DUMMYFUNCTION("""COMPUTED_VALUE"""),"All items in working order")</f>
        <v>All items in working order</v>
      </c>
      <c r="AD442" t="str">
        <f ca="1">IFERROR(__xludf.DUMMYFUNCTION("""COMPUTED_VALUE"""),"Yes")</f>
        <v>Yes</v>
      </c>
      <c r="AE442" s="11" t="str">
        <f ca="1">IFERROR(__xludf.DUMMYFUNCTION("""COMPUTED_VALUE"""),"Yes")</f>
        <v>Yes</v>
      </c>
      <c r="AF442" t="str">
        <v>Pamela.Marcum@floridadep.gov</v>
      </c>
      <c r="AG442" s="18"/>
    </row>
    <row r="443" spans="1:38" ht="12.75">
      <c r="A443" s="10">
        <f ca="1">IFERROR(__xludf.DUMMYFUNCTION("""COMPUTED_VALUE"""),43836.3958056481)</f>
        <v>43836.395805648099</v>
      </c>
      <c r="B443" s="11" t="str">
        <f ca="1">IFERROR(__xludf.DUMMYFUNCTION("""COMPUTED_VALUE"""),"Pamela Marcum")</f>
        <v>Pamela Marcum</v>
      </c>
      <c r="C443" t="str">
        <f ca="1">IFERROR(__xludf.DUMMYFUNCTION("""COMPUTED_VALUE"""),"Pamela.Marcum@dep.state.fl.us")</f>
        <v>Pamela.Marcum@dep.state.fl.us</v>
      </c>
      <c r="D443" t="str">
        <f ca="1">IFERROR(__xludf.DUMMYFUNCTION("""COMPUTED_VALUE"""),"Research/Nikki")</f>
        <v>Research/Nikki</v>
      </c>
      <c r="E443" t="str">
        <f ca="1">IFERROR(__xludf.DUMMYFUNCTION("""COMPUTED_VALUE"""),"Usina/Aunt Kate's")</f>
        <v>Usina/Aunt Kate's</v>
      </c>
      <c r="F443" s="13">
        <f ca="1">IFERROR(__xludf.DUMMYFUNCTION("""COMPUTED_VALUE"""),0.4375)</f>
        <v>0.4375</v>
      </c>
      <c r="G443" s="14">
        <f ca="1">IFERROR(__xludf.DUMMYFUNCTION("""COMPUTED_VALUE"""),43836)</f>
        <v>43836</v>
      </c>
      <c r="H443" t="str">
        <f ca="1">IFERROR(__xludf.DUMMYFUNCTION("""COMPUTED_VALUE"""),"Tolomato &amp; Guana Rivers")</f>
        <v>Tolomato &amp; Guana Rivers</v>
      </c>
      <c r="I443" s="15">
        <f ca="1">IFERROR(__xludf.DUMMYFUNCTION("""COMPUTED_VALUE"""),0.5625)</f>
        <v>0.5625</v>
      </c>
      <c r="J443" s="16">
        <f ca="1">IFERROR(__xludf.DUMMYFUNCTION("""COMPUTED_VALUE"""),43836.5833333333)</f>
        <v>43836.583333333299</v>
      </c>
      <c r="K443" t="str">
        <f ca="1">IFERROR(__xludf.DUMMYFUNCTION("""COMPUTED_VALUE"""),"17ft Skiff (Marsha) FL0642GW DEP07239")</f>
        <v>17ft Skiff (Marsha) FL0642GW DEP07239</v>
      </c>
      <c r="M443" t="str">
        <f ca="1">IFERROR(__xludf.DUMMYFUNCTION("""COMPUTED_VALUE"""),"Ford F250 2017 (Moby Dix) - DEP0021578")</f>
        <v>Ford F250 2017 (Moby Dix) - DEP0021578</v>
      </c>
      <c r="N443" t="str">
        <f ca="1">IFERROR(__xludf.DUMMYFUNCTION("""COMPUTED_VALUE"""),"Pam Marcum, (480) 332-5414")</f>
        <v>Pam Marcum, (480) 332-5414</v>
      </c>
      <c r="O443" t="str">
        <f ca="1">IFERROR(__xludf.DUMMYFUNCTION("""COMPUTED_VALUE"""),"Brian Alexander")</f>
        <v>Brian Alexander</v>
      </c>
      <c r="P443" t="str">
        <f ca="1">IFERROR(__xludf.DUMMYFUNCTION("""COMPUTED_VALUE"""),"Pam")</f>
        <v>Pam</v>
      </c>
      <c r="Q443" t="str">
        <f ca="1">IFERROR(__xludf.DUMMYFUNCTION("""COMPUTED_VALUE"""),"All items in working order")</f>
        <v>All items in working order</v>
      </c>
      <c r="AE443" s="11"/>
      <c r="AF443" t="str">
        <v>Nikki.Dix@floridadep.gov</v>
      </c>
      <c r="AG443" s="18"/>
    </row>
    <row r="444" spans="1:38" ht="12.75">
      <c r="A444" s="10">
        <f ca="1">IFERROR(__xludf.DUMMYFUNCTION("""COMPUTED_VALUE"""),43837.278942743)</f>
        <v>43837.278942743003</v>
      </c>
      <c r="B444" s="11" t="str">
        <f ca="1">IFERROR(__xludf.DUMMYFUNCTION("""COMPUTED_VALUE"""),"Jessica Lee")</f>
        <v>Jessica Lee</v>
      </c>
      <c r="C444" t="str">
        <f ca="1">IFERROR(__xludf.DUMMYFUNCTION("""COMPUTED_VALUE"""),"jessica.lee@FloridaDEP.gov")</f>
        <v>jessica.lee@FloridaDEP.gov</v>
      </c>
      <c r="D444" t="str">
        <f ca="1">IFERROR(__xludf.DUMMYFUNCTION("""COMPUTED_VALUE"""),"Research/Nikki")</f>
        <v>Research/Nikki</v>
      </c>
      <c r="E444" t="str">
        <f ca="1">IFERROR(__xludf.DUMMYFUNCTION("""COMPUTED_VALUE"""),"Guana River")</f>
        <v>Guana River</v>
      </c>
      <c r="F444" s="13">
        <f ca="1">IFERROR(__xludf.DUMMYFUNCTION("""COMPUTED_VALUE"""),0.291666666667879)</f>
        <v>0.29166666666787899</v>
      </c>
      <c r="G444" s="14">
        <f ca="1">IFERROR(__xludf.DUMMYFUNCTION("""COMPUTED_VALUE"""),43837)</f>
        <v>43837</v>
      </c>
      <c r="H444" t="str">
        <f ca="1">IFERROR(__xludf.DUMMYFUNCTION("""COMPUTED_VALUE"""),"Guana River")</f>
        <v>Guana River</v>
      </c>
      <c r="I444" s="15">
        <f ca="1">IFERROR(__xludf.DUMMYFUNCTION("""COMPUTED_VALUE"""),0.34375)</f>
        <v>0.34375</v>
      </c>
      <c r="J444" s="16">
        <f ca="1">IFERROR(__xludf.DUMMYFUNCTION("""COMPUTED_VALUE"""),43837.3541666666)</f>
        <v>43837.354166666599</v>
      </c>
      <c r="K444" t="str">
        <f ca="1">IFERROR(__xludf.DUMMYFUNCTION("""COMPUTED_VALUE"""),"Jon Boat FL0484NP DEP06819")</f>
        <v>Jon Boat FL0484NP DEP06819</v>
      </c>
      <c r="M444" t="str">
        <f ca="1">IFERROR(__xludf.DUMMYFUNCTION("""COMPUTED_VALUE"""),"Ford F150 2015 (White) - DEP21448")</f>
        <v>Ford F150 2015 (White) - DEP21448</v>
      </c>
      <c r="N444" t="str">
        <f ca="1">IFERROR(__xludf.DUMMYFUNCTION("""COMPUTED_VALUE"""),"Silas Tanner, (904) 483-8423")</f>
        <v>Silas Tanner, (904) 483-8423</v>
      </c>
      <c r="P444" t="str">
        <f ca="1">IFERROR(__xludf.DUMMYFUNCTION("""COMPUTED_VALUE"""),"Jessica Lee")</f>
        <v>Jessica Lee</v>
      </c>
      <c r="Q444" t="str">
        <f ca="1">IFERROR(__xludf.DUMMYFUNCTION("""COMPUTED_VALUE"""),"All items in working order")</f>
        <v>All items in working order</v>
      </c>
      <c r="AE444" s="11"/>
      <c r="AF444" t="str">
        <v>Nikki.Dix@floridadep.gov</v>
      </c>
      <c r="AG444" s="18"/>
    </row>
    <row r="445" spans="1:38" ht="12.75">
      <c r="A445" s="10">
        <f ca="1">IFERROR(__xludf.DUMMYFUNCTION("""COMPUTED_VALUE"""),43838.4070417708)</f>
        <v>43838.407041770799</v>
      </c>
      <c r="B445" s="11" t="str">
        <f ca="1">IFERROR(__xludf.DUMMYFUNCTION("""COMPUTED_VALUE"""),"Shannon Dunnigan")</f>
        <v>Shannon Dunnigan</v>
      </c>
      <c r="C445" t="str">
        <f ca="1">IFERROR(__xludf.DUMMYFUNCTION("""COMPUTED_VALUE"""),"shannon.dunnigan@dep.state.fl.us")</f>
        <v>shannon.dunnigan@dep.state.fl.us</v>
      </c>
      <c r="D445" t="str">
        <f ca="1">IFERROR(__xludf.DUMMYFUNCTION("""COMPUTED_VALUE"""),"Research/Nikki")</f>
        <v>Research/Nikki</v>
      </c>
      <c r="E445" t="str">
        <f ca="1">IFERROR(__xludf.DUMMYFUNCTION("""COMPUTED_VALUE"""),"Shore Drive")</f>
        <v>Shore Drive</v>
      </c>
      <c r="F445" s="13">
        <f ca="1">IFERROR(__xludf.DUMMYFUNCTION("""COMPUTED_VALUE"""),0.40625)</f>
        <v>0.40625</v>
      </c>
      <c r="G445" s="14">
        <f ca="1">IFERROR(__xludf.DUMMYFUNCTION("""COMPUTED_VALUE"""),43838)</f>
        <v>43838</v>
      </c>
      <c r="H445" t="str">
        <f ca="1">IFERROR(__xludf.DUMMYFUNCTION("""COMPUTED_VALUE"""),"Site 22")</f>
        <v>Site 22</v>
      </c>
      <c r="I445" s="15">
        <f ca="1">IFERROR(__xludf.DUMMYFUNCTION("""COMPUTED_VALUE"""),0.541666666667879)</f>
        <v>0.54166666666787899</v>
      </c>
      <c r="J445" s="16">
        <f ca="1">IFERROR(__xludf.DUMMYFUNCTION("""COMPUTED_VALUE"""),43838.5833333333)</f>
        <v>43838.583333333299</v>
      </c>
      <c r="K445" t="str">
        <f ca="1">IFERROR(__xludf.DUMMYFUNCTION("""COMPUTED_VALUE"""),"20ft Sea Ark FL5351SJ UNF 2015")</f>
        <v>20ft Sea Ark FL5351SJ UNF 2015</v>
      </c>
      <c r="M445" t="str">
        <f ca="1">IFERROR(__xludf.DUMMYFUNCTION("""COMPUTED_VALUE"""),"Ford F250 2017 (Moby Dix) - DEP0021578")</f>
        <v>Ford F250 2017 (Moby Dix) - DEP0021578</v>
      </c>
      <c r="N445" t="str">
        <f ca="1">IFERROR(__xludf.DUMMYFUNCTION("""COMPUTED_VALUE"""),"Shannon Dunnigan, (803) 727-5734, Silas Tanner, (904) 483-8423")</f>
        <v>Shannon Dunnigan, (803) 727-5734, Silas Tanner, (904) 483-8423</v>
      </c>
      <c r="P445" t="str">
        <f ca="1">IFERROR(__xludf.DUMMYFUNCTION("""COMPUTED_VALUE"""),"Shannon")</f>
        <v>Shannon</v>
      </c>
      <c r="Q445" t="str">
        <f ca="1">IFERROR(__xludf.DUMMYFUNCTION("""COMPUTED_VALUE"""),"All items in working order")</f>
        <v>All items in working order</v>
      </c>
      <c r="AE445" s="11"/>
      <c r="AF445" t="str">
        <v>Nikki.Dix@floridadep.gov</v>
      </c>
      <c r="AG445" s="18"/>
    </row>
    <row r="446" spans="1:38" ht="12.75">
      <c r="A446" s="10">
        <f ca="1">IFERROR(__xludf.DUMMYFUNCTION("""COMPUTED_VALUE"""),43839.5763841435)</f>
        <v>43839.576384143496</v>
      </c>
      <c r="B446" s="11" t="str">
        <f ca="1">IFERROR(__xludf.DUMMYFUNCTION("""COMPUTED_VALUE"""),"Jessica Lee")</f>
        <v>Jessica Lee</v>
      </c>
      <c r="C446" t="str">
        <f ca="1">IFERROR(__xludf.DUMMYFUNCTION("""COMPUTED_VALUE"""),"jessica.lee@FloridaDEP.gov")</f>
        <v>jessica.lee@FloridaDEP.gov</v>
      </c>
      <c r="D446" t="str">
        <f ca="1">IFERROR(__xludf.DUMMYFUNCTION("""COMPUTED_VALUE"""),"Research/Nikki")</f>
        <v>Research/Nikki</v>
      </c>
      <c r="E446" t="str">
        <f ca="1">IFERROR(__xludf.DUMMYFUNCTION("""COMPUTED_VALUE"""),"Guana River")</f>
        <v>Guana River</v>
      </c>
      <c r="F446" s="13">
        <f ca="1">IFERROR(__xludf.DUMMYFUNCTION("""COMPUTED_VALUE"""),0.39583333333212)</f>
        <v>0.39583333333212001</v>
      </c>
      <c r="G446" s="14">
        <f ca="1">IFERROR(__xludf.DUMMYFUNCTION("""COMPUTED_VALUE"""),43840)</f>
        <v>43840</v>
      </c>
      <c r="H446" t="str">
        <f ca="1">IFERROR(__xludf.DUMMYFUNCTION("""COMPUTED_VALUE"""),"Guana River")</f>
        <v>Guana River</v>
      </c>
      <c r="I446" s="15">
        <f ca="1">IFERROR(__xludf.DUMMYFUNCTION("""COMPUTED_VALUE"""),0.947916666667879)</f>
        <v>0.94791666666787899</v>
      </c>
      <c r="J446" s="16">
        <f ca="1">IFERROR(__xludf.DUMMYFUNCTION("""COMPUTED_VALUE"""),43840.5833333333)</f>
        <v>43840.583333333299</v>
      </c>
      <c r="K446" t="str">
        <f ca="1">IFERROR(__xludf.DUMMYFUNCTION("""COMPUTED_VALUE"""),"Jon Boat FL0484NP DEP06819")</f>
        <v>Jon Boat FL0484NP DEP06819</v>
      </c>
      <c r="M446" t="str">
        <f ca="1">IFERROR(__xludf.DUMMYFUNCTION("""COMPUTED_VALUE"""),"Ford F150 2015 (White) - DEP21448")</f>
        <v>Ford F150 2015 (White) - DEP21448</v>
      </c>
      <c r="N446" t="str">
        <f ca="1">IFERROR(__xludf.DUMMYFUNCTION("""COMPUTED_VALUE"""),"Jimmy Tomazinis, (904) 547-0094")</f>
        <v>Jimmy Tomazinis, (904) 547-0094</v>
      </c>
      <c r="P446" t="str">
        <f ca="1">IFERROR(__xludf.DUMMYFUNCTION("""COMPUTED_VALUE"""),"Jessica Lee")</f>
        <v>Jessica Lee</v>
      </c>
      <c r="Q446" t="str">
        <f ca="1">IFERROR(__xludf.DUMMYFUNCTION("""COMPUTED_VALUE"""),"All items in working order")</f>
        <v>All items in working order</v>
      </c>
      <c r="AE446" s="11"/>
      <c r="AF446" t="str">
        <v>Nikki.Dix@floridadep.gov</v>
      </c>
      <c r="AG446" s="18"/>
    </row>
    <row r="447" spans="1:38" ht="12.75">
      <c r="A447" s="10">
        <f ca="1">IFERROR(__xludf.DUMMYFUNCTION("""COMPUTED_VALUE"""),43842.903670706)</f>
        <v>43842.903670706</v>
      </c>
      <c r="B447" s="11" t="str">
        <f ca="1">IFERROR(__xludf.DUMMYFUNCTION("""COMPUTED_VALUE"""),"James Tomazinis")</f>
        <v>James Tomazinis</v>
      </c>
      <c r="C447" t="str">
        <f ca="1">IFERROR(__xludf.DUMMYFUNCTION("""COMPUTED_VALUE"""),"james.tomazinis@floridadep.gov")</f>
        <v>james.tomazinis@floridadep.gov</v>
      </c>
      <c r="D447" t="str">
        <f ca="1">IFERROR(__xludf.DUMMYFUNCTION("""COMPUTED_VALUE"""),"Stewardship (Aquatic)")</f>
        <v>Stewardship (Aquatic)</v>
      </c>
      <c r="E447" t="str">
        <f ca="1">IFERROR(__xludf.DUMMYFUNCTION("""COMPUTED_VALUE"""),"Dee Dee Bartels and Goffinsville Park")</f>
        <v>Dee Dee Bartels and Goffinsville Park</v>
      </c>
      <c r="F447" s="13">
        <f ca="1">IFERROR(__xludf.DUMMYFUNCTION("""COMPUTED_VALUE"""),0.4375)</f>
        <v>0.4375</v>
      </c>
      <c r="G447" s="14">
        <f ca="1">IFERROR(__xludf.DUMMYFUNCTION("""COMPUTED_VALUE"""),43843)</f>
        <v>43843</v>
      </c>
      <c r="H447" t="str">
        <f ca="1">IFERROR(__xludf.DUMMYFUNCTION("""COMPUTED_VALUE"""),"NEAP WQ sites")</f>
        <v>NEAP WQ sites</v>
      </c>
      <c r="I447" s="15">
        <f ca="1">IFERROR(__xludf.DUMMYFUNCTION("""COMPUTED_VALUE"""),0.625)</f>
        <v>0.625</v>
      </c>
      <c r="J447" s="16"/>
      <c r="K447" t="str">
        <f ca="1">IFERROR(__xludf.DUMMYFUNCTION("""COMPUTED_VALUE"""),"17ft Skiff (Marsha) FL0642GW DEP07239")</f>
        <v>17ft Skiff (Marsha) FL0642GW DEP07239</v>
      </c>
      <c r="M447" t="str">
        <f ca="1">IFERROR(__xludf.DUMMYFUNCTION("""COMPUTED_VALUE"""),"Ford F150 2018 (AP) - DEP21637")</f>
        <v>Ford F150 2018 (AP) - DEP21637</v>
      </c>
      <c r="N447" t="str">
        <f ca="1">IFERROR(__xludf.DUMMYFUNCTION("""COMPUTED_VALUE"""),"Scott Eastman, (904) 501-9267, Jimmy Tomazinis, (904) 547-0094")</f>
        <v>Scott Eastman, (904) 501-9267, Jimmy Tomazinis, (904) 547-0094</v>
      </c>
      <c r="O447" t="str">
        <f ca="1">IFERROR(__xludf.DUMMYFUNCTION("""COMPUTED_VALUE"""),"Suzi")</f>
        <v>Suzi</v>
      </c>
      <c r="P447" t="str">
        <f ca="1">IFERROR(__xludf.DUMMYFUNCTION("""COMPUTED_VALUE"""),"Jimmy")</f>
        <v>Jimmy</v>
      </c>
      <c r="Q447" t="str">
        <f ca="1">IFERROR(__xludf.DUMMYFUNCTION("""COMPUTED_VALUE"""),"All items in working order")</f>
        <v>All items in working order</v>
      </c>
      <c r="AE447" s="11"/>
      <c r="AF447" t="str">
        <v>Scott.Eastman@floridadep.gov</v>
      </c>
      <c r="AG447" s="18"/>
    </row>
    <row r="448" spans="1:38" ht="12.75">
      <c r="A448" s="10">
        <f ca="1">IFERROR(__xludf.DUMMYFUNCTION("""COMPUTED_VALUE"""),43843.394855)</f>
        <v>43843.394854999999</v>
      </c>
      <c r="B448" s="11" t="str">
        <f ca="1">IFERROR(__xludf.DUMMYFUNCTION("""COMPUTED_VALUE"""),"Silas Tanner")</f>
        <v>Silas Tanner</v>
      </c>
      <c r="C448" t="str">
        <f ca="1">IFERROR(__xludf.DUMMYFUNCTION("""COMPUTED_VALUE"""),"silas.tanner@floridadep.gov")</f>
        <v>silas.tanner@floridadep.gov</v>
      </c>
      <c r="D448" t="str">
        <f ca="1">IFERROR(__xludf.DUMMYFUNCTION("""COMPUTED_VALUE"""),"Research/Nikki")</f>
        <v>Research/Nikki</v>
      </c>
      <c r="E448" t="str">
        <f ca="1">IFERROR(__xludf.DUMMYFUNCTION("""COMPUTED_VALUE"""),"Vilano Landing")</f>
        <v>Vilano Landing</v>
      </c>
      <c r="F448" s="13">
        <f ca="1">IFERROR(__xludf.DUMMYFUNCTION("""COMPUTED_VALUE"""),0.399305555554747)</f>
        <v>0.399305555554747</v>
      </c>
      <c r="G448" s="14">
        <f ca="1">IFERROR(__xludf.DUMMYFUNCTION("""COMPUTED_VALUE"""),43843)</f>
        <v>43843</v>
      </c>
      <c r="H448" t="str">
        <f ca="1">IFERROR(__xludf.DUMMYFUNCTION("""COMPUTED_VALUE"""),"ICW SWMP sites")</f>
        <v>ICW SWMP sites</v>
      </c>
      <c r="I448" s="15">
        <f ca="1">IFERROR(__xludf.DUMMYFUNCTION("""COMPUTED_VALUE"""),0.61458333333212)</f>
        <v>0.61458333333212001</v>
      </c>
      <c r="J448" s="16">
        <f ca="1">IFERROR(__xludf.DUMMYFUNCTION("""COMPUTED_VALUE"""),43843.6354166666)</f>
        <v>43843.635416666599</v>
      </c>
      <c r="K448" t="str">
        <f ca="1">IFERROR(__xludf.DUMMYFUNCTION("""COMPUTED_VALUE"""),"23ft Skiff (Bertha) FL7972LJ DEP07613")</f>
        <v>23ft Skiff (Bertha) FL7972LJ DEP07613</v>
      </c>
      <c r="M448" t="str">
        <f ca="1">IFERROR(__xludf.DUMMYFUNCTION("""COMPUTED_VALUE"""),"Ford F150 2015 (White) - DEP21448")</f>
        <v>Ford F150 2015 (White) - DEP21448</v>
      </c>
      <c r="N448" t="str">
        <f ca="1">IFERROR(__xludf.DUMMYFUNCTION("""COMPUTED_VALUE"""),"Silas Tanner, (904) 483-8423")</f>
        <v>Silas Tanner, (904) 483-8423</v>
      </c>
      <c r="O448" t="str">
        <f ca="1">IFERROR(__xludf.DUMMYFUNCTION("""COMPUTED_VALUE"""),"Alee Knoell, (619) 750-4833, Ellen Leroy Reed")</f>
        <v>Alee Knoell, (619) 750-4833, Ellen Leroy Reed</v>
      </c>
      <c r="P448" t="str">
        <f ca="1">IFERROR(__xludf.DUMMYFUNCTION("""COMPUTED_VALUE"""),"Tanner")</f>
        <v>Tanner</v>
      </c>
      <c r="Q448" t="str">
        <f ca="1">IFERROR(__xludf.DUMMYFUNCTION("""COMPUTED_VALUE"""),"All items in working order")</f>
        <v>All items in working order</v>
      </c>
      <c r="AE448" s="11"/>
      <c r="AF448" t="str">
        <v>Nikki.Dix@floridadep.gov</v>
      </c>
      <c r="AG448" s="18"/>
    </row>
    <row r="449" spans="1:33" ht="12.75">
      <c r="A449" s="10">
        <f ca="1">IFERROR(__xludf.DUMMYFUNCTION("""COMPUTED_VALUE"""),43843.4153924074)</f>
        <v>43843.415392407398</v>
      </c>
      <c r="B449" s="11" t="str">
        <f ca="1">IFERROR(__xludf.DUMMYFUNCTION("""COMPUTED_VALUE"""),"Gabriela Canas")</f>
        <v>Gabriela Canas</v>
      </c>
      <c r="C449" t="str">
        <f ca="1">IFERROR(__xludf.DUMMYFUNCTION("""COMPUTED_VALUE"""),"n00836133@unf.edu")</f>
        <v>n00836133@unf.edu</v>
      </c>
      <c r="D449" t="str">
        <f ca="1">IFERROR(__xludf.DUMMYFUNCTION("""COMPUTED_VALUE"""),"Research/Nikki")</f>
        <v>Research/Nikki</v>
      </c>
      <c r="E449" t="str">
        <f ca="1">IFERROR(__xludf.DUMMYFUNCTION("""COMPUTED_VALUE"""),"Douglas crane")</f>
        <v>Douglas crane</v>
      </c>
      <c r="F449" s="13">
        <f ca="1">IFERROR(__xludf.DUMMYFUNCTION("""COMPUTED_VALUE"""),0.3125)</f>
        <v>0.3125</v>
      </c>
      <c r="G449" s="14">
        <f ca="1">IFERROR(__xludf.DUMMYFUNCTION("""COMPUTED_VALUE"""),43843)</f>
        <v>43843</v>
      </c>
      <c r="H449" t="str">
        <f ca="1">IFERROR(__xludf.DUMMYFUNCTION("""COMPUTED_VALUE"""),"WETFEET. Middle site ")</f>
        <v xml:space="preserve">WETFEET. Middle site </v>
      </c>
      <c r="I449" s="15">
        <f ca="1">IFERROR(__xludf.DUMMYFUNCTION("""COMPUTED_VALUE"""),0.0416666666678793)</f>
        <v>4.1666666667879299E-2</v>
      </c>
      <c r="J449" s="16">
        <f ca="1">IFERROR(__xludf.DUMMYFUNCTION("""COMPUTED_VALUE"""),43843.25)</f>
        <v>43843.25</v>
      </c>
      <c r="K449" t="str">
        <f ca="1">IFERROR(__xludf.DUMMYFUNCTION("""COMPUTED_VALUE"""),"20ft Sea Ark FL5351SJ UNF 2015")</f>
        <v>20ft Sea Ark FL5351SJ UNF 2015</v>
      </c>
      <c r="M449" t="str">
        <f ca="1">IFERROR(__xludf.DUMMYFUNCTION("""COMPUTED_VALUE"""),"Ford F150 2010 (4 Door) - DEP07668")</f>
        <v>Ford F150 2010 (4 Door) - DEP07668</v>
      </c>
      <c r="N449" t="str">
        <f ca="1">IFERROR(__xludf.DUMMYFUNCTION("""COMPUTED_VALUE"""),"Pam Marcum, (480) 332-5414")</f>
        <v>Pam Marcum, (480) 332-5414</v>
      </c>
      <c r="O449" t="str">
        <f ca="1">IFERROR(__xludf.DUMMYFUNCTION("""COMPUTED_VALUE"""),"Gabriela Canas, (904) 891-9743, Ches verveak, Harris stevens")</f>
        <v>Gabriela Canas, (904) 891-9743, Ches verveak, Harris stevens</v>
      </c>
      <c r="P449" t="str">
        <f ca="1">IFERROR(__xludf.DUMMYFUNCTION("""COMPUTED_VALUE"""),"Pam marcum")</f>
        <v>Pam marcum</v>
      </c>
      <c r="Q449" t="str">
        <f ca="1">IFERROR(__xludf.DUMMYFUNCTION("""COMPUTED_VALUE"""),"All items in working order")</f>
        <v>All items in working order</v>
      </c>
      <c r="AE449" s="11"/>
      <c r="AF449" t="str">
        <v>Nikki.Dix@floridadep.gov</v>
      </c>
      <c r="AG449" s="18"/>
    </row>
    <row r="450" spans="1:33" ht="12.75">
      <c r="A450" s="10">
        <f ca="1">IFERROR(__xludf.DUMMYFUNCTION("""COMPUTED_VALUE"""),43844.3026042939)</f>
        <v>43844.302604293902</v>
      </c>
      <c r="B450" s="11" t="str">
        <f ca="1">IFERROR(__xludf.DUMMYFUNCTION("""COMPUTED_VALUE"""),"Pam Marcum")</f>
        <v>Pam Marcum</v>
      </c>
      <c r="C450" t="str">
        <f ca="1">IFERROR(__xludf.DUMMYFUNCTION("""COMPUTED_VALUE"""),"pamela.marcum@dep.state.fl.us")</f>
        <v>pamela.marcum@dep.state.fl.us</v>
      </c>
      <c r="D450" t="str">
        <f ca="1">IFERROR(__xludf.DUMMYFUNCTION("""COMPUTED_VALUE"""),"Research/Nikki")</f>
        <v>Research/Nikki</v>
      </c>
      <c r="E450" t="str">
        <f ca="1">IFERROR(__xludf.DUMMYFUNCTION("""COMPUTED_VALUE"""),"Shore Dr - Crane Park")</f>
        <v>Shore Dr - Crane Park</v>
      </c>
      <c r="F450" s="13">
        <f ca="1">IFERROR(__xludf.DUMMYFUNCTION("""COMPUTED_VALUE"""),0.291666666667879)</f>
        <v>0.29166666666787899</v>
      </c>
      <c r="G450" s="14">
        <f ca="1">IFERROR(__xludf.DUMMYFUNCTION("""COMPUTED_VALUE"""),43844)</f>
        <v>43844</v>
      </c>
      <c r="H450" t="str">
        <f ca="1">IFERROR(__xludf.DUMMYFUNCTION("""COMPUTED_VALUE"""),"Gabby Creek")</f>
        <v>Gabby Creek</v>
      </c>
      <c r="I450" s="15">
        <f ca="1">IFERROR(__xludf.DUMMYFUNCTION("""COMPUTED_VALUE"""),0.625)</f>
        <v>0.625</v>
      </c>
      <c r="J450" s="16">
        <f ca="1">IFERROR(__xludf.DUMMYFUNCTION("""COMPUTED_VALUE"""),43844.6666666666)</f>
        <v>43844.666666666599</v>
      </c>
      <c r="K450" t="str">
        <f ca="1">IFERROR(__xludf.DUMMYFUNCTION("""COMPUTED_VALUE"""),"20ft Sea Ark FL5351SJ UNF 2015")</f>
        <v>20ft Sea Ark FL5351SJ UNF 2015</v>
      </c>
      <c r="M450" t="str">
        <f ca="1">IFERROR(__xludf.DUMMYFUNCTION("""COMPUTED_VALUE"""),"Ford F150 2010 (4 Door) - DEP07668")</f>
        <v>Ford F150 2010 (4 Door) - DEP07668</v>
      </c>
      <c r="N450" t="str">
        <f ca="1">IFERROR(__xludf.DUMMYFUNCTION("""COMPUTED_VALUE"""),"Pam Marcum, (480) 332-5414")</f>
        <v>Pam Marcum, (480) 332-5414</v>
      </c>
      <c r="O450" t="str">
        <f ca="1">IFERROR(__xludf.DUMMYFUNCTION("""COMPUTED_VALUE"""),"Ches Veevaeke, Harris Stevens")</f>
        <v>Ches Veevaeke, Harris Stevens</v>
      </c>
      <c r="P450" t="str">
        <f ca="1">IFERROR(__xludf.DUMMYFUNCTION("""COMPUTED_VALUE"""),"Pam")</f>
        <v>Pam</v>
      </c>
      <c r="Q450" t="str">
        <f ca="1">IFERROR(__xludf.DUMMYFUNCTION("""COMPUTED_VALUE"""),"All items in working order")</f>
        <v>All items in working order</v>
      </c>
      <c r="AE450" s="11"/>
      <c r="AF450" t="str">
        <v>Nikki.Dix@floridadep.gov</v>
      </c>
      <c r="AG450" s="18"/>
    </row>
    <row r="451" spans="1:33" ht="12.75">
      <c r="A451" s="10">
        <f ca="1">IFERROR(__xludf.DUMMYFUNCTION("""COMPUTED_VALUE"""),43845.4215770833)</f>
        <v>43845.421577083303</v>
      </c>
      <c r="B451" s="11" t="str">
        <f ca="1">IFERROR(__xludf.DUMMYFUNCTION("""COMPUTED_VALUE"""),"Alexandria Knoell")</f>
        <v>Alexandria Knoell</v>
      </c>
      <c r="C451" t="str">
        <f ca="1">IFERROR(__xludf.DUMMYFUNCTION("""COMPUTED_VALUE"""),"alee.knoell@floridadep.gov")</f>
        <v>alee.knoell@floridadep.gov</v>
      </c>
      <c r="D451" t="str">
        <f ca="1">IFERROR(__xludf.DUMMYFUNCTION("""COMPUTED_VALUE"""),"Research/Nikki")</f>
        <v>Research/Nikki</v>
      </c>
      <c r="E451" t="str">
        <f ca="1">IFERROR(__xludf.DUMMYFUNCTION("""COMPUTED_VALUE"""),"Faver dykes")</f>
        <v>Faver dykes</v>
      </c>
      <c r="F451" s="13">
        <f ca="1">IFERROR(__xludf.DUMMYFUNCTION("""COMPUTED_VALUE"""),0.416666666667879)</f>
        <v>0.41666666666787899</v>
      </c>
      <c r="G451" s="14">
        <f ca="1">IFERROR(__xludf.DUMMYFUNCTION("""COMPUTED_VALUE"""),43845)</f>
        <v>43845</v>
      </c>
      <c r="H451" t="str">
        <f ca="1">IFERROR(__xludf.DUMMYFUNCTION("""COMPUTED_VALUE"""),"SSAM platforms")</f>
        <v>SSAM platforms</v>
      </c>
      <c r="I451" s="15">
        <f ca="1">IFERROR(__xludf.DUMMYFUNCTION("""COMPUTED_VALUE"""),0.5)</f>
        <v>0.5</v>
      </c>
      <c r="J451" s="16">
        <f ca="1">IFERROR(__xludf.DUMMYFUNCTION("""COMPUTED_VALUE"""),43845.5833333333)</f>
        <v>43845.583333333299</v>
      </c>
      <c r="K451" t="str">
        <f ca="1">IFERROR(__xludf.DUMMYFUNCTION("""COMPUTED_VALUE"""),"23ft Skiff (Bertha) FL7972LJ DEP07613")</f>
        <v>23ft Skiff (Bertha) FL7972LJ DEP07613</v>
      </c>
      <c r="M451" t="str">
        <f ca="1">IFERROR(__xludf.DUMMYFUNCTION("""COMPUTED_VALUE"""),"Ford F150 2015 (White) - DEP21448")</f>
        <v>Ford F150 2015 (White) - DEP21448</v>
      </c>
      <c r="N451" t="str">
        <f ca="1">IFERROR(__xludf.DUMMYFUNCTION("""COMPUTED_VALUE"""),"Pam Marcum, (480) 332-5414")</f>
        <v>Pam Marcum, (480) 332-5414</v>
      </c>
      <c r="O451" t="str">
        <f ca="1">IFERROR(__xludf.DUMMYFUNCTION("""COMPUTED_VALUE"""),"Alee Knoell, (619) 750-4833, Josie, Candace, Eric, Andrew")</f>
        <v>Alee Knoell, (619) 750-4833, Josie, Candace, Eric, Andrew</v>
      </c>
      <c r="P451" t="str">
        <f ca="1">IFERROR(__xludf.DUMMYFUNCTION("""COMPUTED_VALUE"""),"Pam marcum")</f>
        <v>Pam marcum</v>
      </c>
      <c r="Q451" t="str">
        <f ca="1">IFERROR(__xludf.DUMMYFUNCTION("""COMPUTED_VALUE"""),"All items in working order")</f>
        <v>All items in working order</v>
      </c>
      <c r="AE451" s="11"/>
      <c r="AF451" t="str">
        <v>Nikki.Dix@floridadep.gov</v>
      </c>
      <c r="AG451" s="18"/>
    </row>
    <row r="452" spans="1:33" ht="12.75">
      <c r="A452" s="10">
        <f ca="1">IFERROR(__xludf.DUMMYFUNCTION("""COMPUTED_VALUE"""),43846.3996117013)</f>
        <v>43846.399611701301</v>
      </c>
      <c r="B452" s="11" t="str">
        <f ca="1">IFERROR(__xludf.DUMMYFUNCTION("""COMPUTED_VALUE"""),"J Silas Tanner")</f>
        <v>J Silas Tanner</v>
      </c>
      <c r="C452" t="str">
        <f ca="1">IFERROR(__xludf.DUMMYFUNCTION("""COMPUTED_VALUE"""),"silas.tanner@floridadep.gov")</f>
        <v>silas.tanner@floridadep.gov</v>
      </c>
      <c r="D452" t="str">
        <f ca="1">IFERROR(__xludf.DUMMYFUNCTION("""COMPUTED_VALUE"""),"Research/Nikki")</f>
        <v>Research/Nikki</v>
      </c>
      <c r="E452" t="str">
        <f ca="1">IFERROR(__xludf.DUMMYFUNCTION("""COMPUTED_VALUE"""),"Crane")</f>
        <v>Crane</v>
      </c>
      <c r="F452" s="13">
        <f ca="1">IFERROR(__xludf.DUMMYFUNCTION("""COMPUTED_VALUE"""),0.45833333333212)</f>
        <v>0.45833333333212001</v>
      </c>
      <c r="G452" s="14">
        <f ca="1">IFERROR(__xludf.DUMMYFUNCTION("""COMPUTED_VALUE"""),43846)</f>
        <v>43846</v>
      </c>
      <c r="H452" t="str">
        <f ca="1">IFERROR(__xludf.DUMMYFUNCTION("""COMPUTED_VALUE"""),"SWMP Site 22 platforms")</f>
        <v>SWMP Site 22 platforms</v>
      </c>
      <c r="I452" s="15">
        <f ca="1">IFERROR(__xludf.DUMMYFUNCTION("""COMPUTED_VALUE"""),0.666666666667879)</f>
        <v>0.66666666666787899</v>
      </c>
      <c r="J452" s="16">
        <f ca="1">IFERROR(__xludf.DUMMYFUNCTION("""COMPUTED_VALUE"""),43846.6875)</f>
        <v>43846.6875</v>
      </c>
      <c r="K452" t="str">
        <f ca="1">IFERROR(__xludf.DUMMYFUNCTION("""COMPUTED_VALUE"""),"20ft Sea Ark FL5351SJ UNF 2015")</f>
        <v>20ft Sea Ark FL5351SJ UNF 2015</v>
      </c>
      <c r="M452" t="str">
        <f ca="1">IFERROR(__xludf.DUMMYFUNCTION("""COMPUTED_VALUE"""),"Ford F250 2017 (Moby Dix) - DEP0021578")</f>
        <v>Ford F250 2017 (Moby Dix) - DEP0021578</v>
      </c>
      <c r="N452" t="str">
        <f ca="1">IFERROR(__xludf.DUMMYFUNCTION("""COMPUTED_VALUE"""),"Silas Tanner, (904) 483-8423")</f>
        <v>Silas Tanner, (904) 483-8423</v>
      </c>
      <c r="O452" t="str">
        <f ca="1">IFERROR(__xludf.DUMMYFUNCTION("""COMPUTED_VALUE"""),"Jessica Lee, Chris Blanco")</f>
        <v>Jessica Lee, Chris Blanco</v>
      </c>
      <c r="P452" t="str">
        <f ca="1">IFERROR(__xludf.DUMMYFUNCTION("""COMPUTED_VALUE"""),"Tanner")</f>
        <v>Tanner</v>
      </c>
      <c r="Q452" t="str">
        <f ca="1">IFERROR(__xludf.DUMMYFUNCTION("""COMPUTED_VALUE"""),"All items in working order")</f>
        <v>All items in working order</v>
      </c>
      <c r="AE452" s="11"/>
      <c r="AF452" t="str">
        <v>Nikki.Dix@floridadep.gov</v>
      </c>
      <c r="AG452" s="18"/>
    </row>
    <row r="453" spans="1:33" ht="12.75">
      <c r="A453" s="10">
        <f ca="1">IFERROR(__xludf.DUMMYFUNCTION("""COMPUTED_VALUE"""),43847.2892713888)</f>
        <v>43847.2892713888</v>
      </c>
      <c r="B453" s="11" t="str">
        <f ca="1">IFERROR(__xludf.DUMMYFUNCTION("""COMPUTED_VALUE"""),"Jimmy Tomazinis")</f>
        <v>Jimmy Tomazinis</v>
      </c>
      <c r="C453" t="str">
        <f ca="1">IFERROR(__xludf.DUMMYFUNCTION("""COMPUTED_VALUE"""),"james.tomazinis@floridadep.gov")</f>
        <v>james.tomazinis@floridadep.gov</v>
      </c>
      <c r="D453" t="str">
        <f ca="1">IFERROR(__xludf.DUMMYFUNCTION("""COMPUTED_VALUE"""),"Stewardship (Aquatic)")</f>
        <v>Stewardship (Aquatic)</v>
      </c>
      <c r="E453" t="str">
        <f ca="1">IFERROR(__xludf.DUMMYFUNCTION("""COMPUTED_VALUE"""),"Beach Blvd")</f>
        <v>Beach Blvd</v>
      </c>
      <c r="F453" s="13">
        <f ca="1">IFERROR(__xludf.DUMMYFUNCTION("""COMPUTED_VALUE"""),0.375)</f>
        <v>0.375</v>
      </c>
      <c r="G453" s="14">
        <f ca="1">IFERROR(__xludf.DUMMYFUNCTION("""COMPUTED_VALUE"""),43847)</f>
        <v>43847</v>
      </c>
      <c r="H453" t="str">
        <f ca="1">IFERROR(__xludf.DUMMYFUNCTION("""COMPUTED_VALUE"""),"Webb Property")</f>
        <v>Webb Property</v>
      </c>
      <c r="I453" s="15">
        <f ca="1">IFERROR(__xludf.DUMMYFUNCTION("""COMPUTED_VALUE"""),0.58333333333212)</f>
        <v>0.58333333333212001</v>
      </c>
      <c r="J453" s="16"/>
      <c r="K453" t="str">
        <f ca="1">IFERROR(__xludf.DUMMYFUNCTION("""COMPUTED_VALUE"""),"23ft Skiff (Bertha) FL7972LJ DEP07613")</f>
        <v>23ft Skiff (Bertha) FL7972LJ DEP07613</v>
      </c>
      <c r="M453" t="str">
        <f ca="1">IFERROR(__xludf.DUMMYFUNCTION("""COMPUTED_VALUE"""),"Ford F150 2018 (AP) - DEP21637")</f>
        <v>Ford F150 2018 (AP) - DEP21637</v>
      </c>
      <c r="N453" t="str">
        <f ca="1">IFERROR(__xludf.DUMMYFUNCTION("""COMPUTED_VALUE"""),"Scott Eastman, (904) 501-9267, Jimmy Tomazinis, (904) 547-0094")</f>
        <v>Scott Eastman, (904) 501-9267, Jimmy Tomazinis, (904) 547-0094</v>
      </c>
      <c r="O453" t="str">
        <f ca="1">IFERROR(__xludf.DUMMYFUNCTION("""COMPUTED_VALUE"""),"Kelly Smith, Hunter Mathews, Craig Hargis")</f>
        <v>Kelly Smith, Hunter Mathews, Craig Hargis</v>
      </c>
      <c r="P453" t="str">
        <f ca="1">IFERROR(__xludf.DUMMYFUNCTION("""COMPUTED_VALUE"""),"Jimmy")</f>
        <v>Jimmy</v>
      </c>
      <c r="Q453" t="str">
        <f ca="1">IFERROR(__xludf.DUMMYFUNCTION("""COMPUTED_VALUE"""),"All items in working order")</f>
        <v>All items in working order</v>
      </c>
      <c r="AE453" s="11"/>
      <c r="AF453" t="str">
        <v>Scott.Eastman@floridadep.gov</v>
      </c>
      <c r="AG453" s="18"/>
    </row>
    <row r="454" spans="1:33" ht="12.75">
      <c r="A454" s="10">
        <f ca="1">IFERROR(__xludf.DUMMYFUNCTION("""COMPUTED_VALUE"""),43853.4871665856)</f>
        <v>43853.487166585597</v>
      </c>
      <c r="B454" s="11" t="str">
        <f ca="1">IFERROR(__xludf.DUMMYFUNCTION("""COMPUTED_VALUE"""),"Pam Marcum")</f>
        <v>Pam Marcum</v>
      </c>
      <c r="C454" t="str">
        <f ca="1">IFERROR(__xludf.DUMMYFUNCTION("""COMPUTED_VALUE"""),"Pamela.Marcum@FloridaDEP.gov")</f>
        <v>Pamela.Marcum@FloridaDEP.gov</v>
      </c>
      <c r="D454" t="str">
        <f ca="1">IFERROR(__xludf.DUMMYFUNCTION("""COMPUTED_VALUE"""),"Research/Nikki")</f>
        <v>Research/Nikki</v>
      </c>
      <c r="E454" t="str">
        <f ca="1">IFERROR(__xludf.DUMMYFUNCTION("""COMPUTED_VALUE"""),"Green Rd")</f>
        <v>Green Rd</v>
      </c>
      <c r="F454" s="13">
        <f ca="1">IFERROR(__xludf.DUMMYFUNCTION("""COMPUTED_VALUE"""),0.541666666667879)</f>
        <v>0.54166666666787899</v>
      </c>
      <c r="G454" s="14">
        <f ca="1">IFERROR(__xludf.DUMMYFUNCTION("""COMPUTED_VALUE"""),43853)</f>
        <v>43853</v>
      </c>
      <c r="H454" t="str">
        <f ca="1">IFERROR(__xludf.DUMMYFUNCTION("""COMPUTED_VALUE"""),"Moses flats")</f>
        <v>Moses flats</v>
      </c>
      <c r="I454" s="15">
        <f ca="1">IFERROR(__xludf.DUMMYFUNCTION("""COMPUTED_VALUE"""),0.6875)</f>
        <v>0.6875</v>
      </c>
      <c r="J454" s="16">
        <f ca="1">IFERROR(__xludf.DUMMYFUNCTION("""COMPUTED_VALUE"""),43853.7291666666)</f>
        <v>43853.729166666599</v>
      </c>
      <c r="K454" t="str">
        <f ca="1">IFERROR(__xludf.DUMMYFUNCTION("""COMPUTED_VALUE"""),"20ft Sea Ark FL5351SJ UNF 2015")</f>
        <v>20ft Sea Ark FL5351SJ UNF 2015</v>
      </c>
      <c r="M454" t="str">
        <f ca="1">IFERROR(__xludf.DUMMYFUNCTION("""COMPUTED_VALUE"""),"Ford F250 2017 (Moby Dix) - DEP0021578")</f>
        <v>Ford F250 2017 (Moby Dix) - DEP0021578</v>
      </c>
      <c r="N454" t="str">
        <f ca="1">IFERROR(__xludf.DUMMYFUNCTION("""COMPUTED_VALUE"""),"Pam Marcum, (480) 332-5414")</f>
        <v>Pam Marcum, (480) 332-5414</v>
      </c>
      <c r="O454" t="str">
        <f ca="1">IFERROR(__xludf.DUMMYFUNCTION("""COMPUTED_VALUE"""),"Alee Knoell, (619) 750-4833, Steve Brown, Chris Blanco, Adrienne Breef-Pilz")</f>
        <v>Alee Knoell, (619) 750-4833, Steve Brown, Chris Blanco, Adrienne Breef-Pilz</v>
      </c>
      <c r="P454" t="str">
        <f ca="1">IFERROR(__xludf.DUMMYFUNCTION("""COMPUTED_VALUE"""),"Pam")</f>
        <v>Pam</v>
      </c>
      <c r="Q454" t="str">
        <f ca="1">IFERROR(__xludf.DUMMYFUNCTION("""COMPUTED_VALUE"""),"All items in working order")</f>
        <v>All items in working order</v>
      </c>
      <c r="AE454" s="11"/>
      <c r="AF454" t="str">
        <v>Nikki.Dix@floridadep.gov</v>
      </c>
      <c r="AG454" s="18"/>
    </row>
    <row r="455" spans="1:33" ht="12.75">
      <c r="A455" s="10">
        <f ca="1">IFERROR(__xludf.DUMMYFUNCTION("""COMPUTED_VALUE"""),43854.4641476736)</f>
        <v>43854.4641476736</v>
      </c>
      <c r="B455" s="11" t="str">
        <f ca="1">IFERROR(__xludf.DUMMYFUNCTION("""COMPUTED_VALUE"""),"Pam Marcum")</f>
        <v>Pam Marcum</v>
      </c>
      <c r="C455" t="str">
        <f ca="1">IFERROR(__xludf.DUMMYFUNCTION("""COMPUTED_VALUE"""),"Pamela.Marcum@FloridaDEP.gov")</f>
        <v>Pamela.Marcum@FloridaDEP.gov</v>
      </c>
      <c r="D455" t="str">
        <f ca="1">IFERROR(__xludf.DUMMYFUNCTION("""COMPUTED_VALUE"""),"Research/Nikki")</f>
        <v>Research/Nikki</v>
      </c>
      <c r="E455" t="str">
        <f ca="1">IFERROR(__xludf.DUMMYFUNCTION("""COMPUTED_VALUE"""),"Vilano")</f>
        <v>Vilano</v>
      </c>
      <c r="F455" s="13">
        <f ca="1">IFERROR(__xludf.DUMMYFUNCTION("""COMPUTED_VALUE"""),0.5625)</f>
        <v>0.5625</v>
      </c>
      <c r="G455" s="14">
        <f ca="1">IFERROR(__xludf.DUMMYFUNCTION("""COMPUTED_VALUE"""),43854)</f>
        <v>43854</v>
      </c>
      <c r="H455" t="str">
        <f ca="1">IFERROR(__xludf.DUMMYFUNCTION("""COMPUTED_VALUE"""),"San Sebastian")</f>
        <v>San Sebastian</v>
      </c>
      <c r="I455" s="15">
        <f ca="1">IFERROR(__xludf.DUMMYFUNCTION("""COMPUTED_VALUE"""),0.6875)</f>
        <v>0.6875</v>
      </c>
      <c r="J455" s="16">
        <f ca="1">IFERROR(__xludf.DUMMYFUNCTION("""COMPUTED_VALUE"""),43854.7083333333)</f>
        <v>43854.708333333299</v>
      </c>
      <c r="K455" t="str">
        <f ca="1">IFERROR(__xludf.DUMMYFUNCTION("""COMPUTED_VALUE"""),"20ft Sea Ark FL5351SJ UNF 2015")</f>
        <v>20ft Sea Ark FL5351SJ UNF 2015</v>
      </c>
      <c r="M455" t="str">
        <f ca="1">IFERROR(__xludf.DUMMYFUNCTION("""COMPUTED_VALUE"""),"Ford F250 2017 (Moby Dix) - DEP0021578")</f>
        <v>Ford F250 2017 (Moby Dix) - DEP0021578</v>
      </c>
      <c r="N455" t="str">
        <f ca="1">IFERROR(__xludf.DUMMYFUNCTION("""COMPUTED_VALUE"""),"Pam Marcum, (480) 332-5414")</f>
        <v>Pam Marcum, (480) 332-5414</v>
      </c>
      <c r="O455" t="str">
        <f ca="1">IFERROR(__xludf.DUMMYFUNCTION("""COMPUTED_VALUE"""),"Alee Knoell, (619) 750-4833, Shelby Harrell, Pam Korchun, Rick Fitzgerald")</f>
        <v>Alee Knoell, (619) 750-4833, Shelby Harrell, Pam Korchun, Rick Fitzgerald</v>
      </c>
      <c r="P455" t="str">
        <f ca="1">IFERROR(__xludf.DUMMYFUNCTION("""COMPUTED_VALUE"""),"Pam")</f>
        <v>Pam</v>
      </c>
      <c r="Q455" t="str">
        <f ca="1">IFERROR(__xludf.DUMMYFUNCTION("""COMPUTED_VALUE"""),"All items in working order")</f>
        <v>All items in working order</v>
      </c>
      <c r="AE455" s="11"/>
      <c r="AF455" t="str">
        <v>Nikki.Dix@floridadep.gov</v>
      </c>
      <c r="AG455" s="18"/>
    </row>
    <row r="456" spans="1:33" ht="12.75">
      <c r="A456" s="10">
        <f ca="1">IFERROR(__xludf.DUMMYFUNCTION("""COMPUTED_VALUE"""),43858.3418286111)</f>
        <v>43858.341828611097</v>
      </c>
      <c r="B456" s="11" t="str">
        <f ca="1">IFERROR(__xludf.DUMMYFUNCTION("""COMPUTED_VALUE"""),"Silas Tanner")</f>
        <v>Silas Tanner</v>
      </c>
      <c r="C456" t="str">
        <f ca="1">IFERROR(__xludf.DUMMYFUNCTION("""COMPUTED_VALUE"""),"silas.tanner@floridadep.gov")</f>
        <v>silas.tanner@floridadep.gov</v>
      </c>
      <c r="D456" t="str">
        <f ca="1">IFERROR(__xludf.DUMMYFUNCTION("""COMPUTED_VALUE"""),"Research/Nikki")</f>
        <v>Research/Nikki</v>
      </c>
      <c r="E456" t="str">
        <f ca="1">IFERROR(__xludf.DUMMYFUNCTION("""COMPUTED_VALUE"""),"Vilano Landing")</f>
        <v>Vilano Landing</v>
      </c>
      <c r="F456" s="13">
        <f ca="1">IFERROR(__xludf.DUMMYFUNCTION("""COMPUTED_VALUE"""),0.39583333333212)</f>
        <v>0.39583333333212001</v>
      </c>
      <c r="G456" s="14">
        <f ca="1">IFERROR(__xludf.DUMMYFUNCTION("""COMPUTED_VALUE"""),43858)</f>
        <v>43858</v>
      </c>
      <c r="H456" t="str">
        <f ca="1">IFERROR(__xludf.DUMMYFUNCTION("""COMPUTED_VALUE"""),"ICW SWMP sites")</f>
        <v>ICW SWMP sites</v>
      </c>
      <c r="I456" s="15">
        <f ca="1">IFERROR(__xludf.DUMMYFUNCTION("""COMPUTED_VALUE"""),0.604166666667879)</f>
        <v>0.60416666666787899</v>
      </c>
      <c r="J456" s="16">
        <f ca="1">IFERROR(__xludf.DUMMYFUNCTION("""COMPUTED_VALUE"""),43858.6458333333)</f>
        <v>43858.645833333299</v>
      </c>
      <c r="K456" t="str">
        <f ca="1">IFERROR(__xludf.DUMMYFUNCTION("""COMPUTED_VALUE"""),"20ft Sea Ark FL5351SJ UNF 2015")</f>
        <v>20ft Sea Ark FL5351SJ UNF 2015</v>
      </c>
      <c r="M456" t="str">
        <f ca="1">IFERROR(__xludf.DUMMYFUNCTION("""COMPUTED_VALUE"""),"Ford F250 2017 (Moby Dix) - DEP0021578")</f>
        <v>Ford F250 2017 (Moby Dix) - DEP0021578</v>
      </c>
      <c r="N456" t="str">
        <f ca="1">IFERROR(__xludf.DUMMYFUNCTION("""COMPUTED_VALUE"""),"Silas Tanner, (904) 483-8423, Remo Mondazzi")</f>
        <v>Silas Tanner, (904) 483-8423, Remo Mondazzi</v>
      </c>
      <c r="P456" t="str">
        <f ca="1">IFERROR(__xludf.DUMMYFUNCTION("""COMPUTED_VALUE"""),"Silas Tanner")</f>
        <v>Silas Tanner</v>
      </c>
      <c r="Q456" t="str">
        <f ca="1">IFERROR(__xludf.DUMMYFUNCTION("""COMPUTED_VALUE"""),"All items in working order")</f>
        <v>All items in working order</v>
      </c>
      <c r="AE456" s="11"/>
      <c r="AF456" t="str">
        <v>Nikki.Dix@floridadep.gov</v>
      </c>
      <c r="AG456" s="18"/>
    </row>
    <row r="457" spans="1:33" ht="12.75">
      <c r="A457" s="10">
        <f ca="1">IFERROR(__xludf.DUMMYFUNCTION("""COMPUTED_VALUE"""),43858.362899456)</f>
        <v>43858.362899455999</v>
      </c>
      <c r="B457" s="11" t="str">
        <f ca="1">IFERROR(__xludf.DUMMYFUNCTION("""COMPUTED_VALUE"""),"Jimmy Tomazinis")</f>
        <v>Jimmy Tomazinis</v>
      </c>
      <c r="C457" t="str">
        <f ca="1">IFERROR(__xludf.DUMMYFUNCTION("""COMPUTED_VALUE"""),"james.tomazinis@floridadep.gov")</f>
        <v>james.tomazinis@floridadep.gov</v>
      </c>
      <c r="D457" t="str">
        <f ca="1">IFERROR(__xludf.DUMMYFUNCTION("""COMPUTED_VALUE"""),"Stewardship (Aquatic)")</f>
        <v>Stewardship (Aquatic)</v>
      </c>
      <c r="E457" t="str">
        <f ca="1">IFERROR(__xludf.DUMMYFUNCTION("""COMPUTED_VALUE"""),"Guana Dam")</f>
        <v>Guana Dam</v>
      </c>
      <c r="F457" s="13">
        <f ca="1">IFERROR(__xludf.DUMMYFUNCTION("""COMPUTED_VALUE"""),0.39583333333212)</f>
        <v>0.39583333333212001</v>
      </c>
      <c r="G457" s="14">
        <f ca="1">IFERROR(__xludf.DUMMYFUNCTION("""COMPUTED_VALUE"""),43858)</f>
        <v>43858</v>
      </c>
      <c r="H457" t="str">
        <f ca="1">IFERROR(__xludf.DUMMYFUNCTION("""COMPUTED_VALUE"""),"Guana Lake and River WQ sites")</f>
        <v>Guana Lake and River WQ sites</v>
      </c>
      <c r="I457" s="15">
        <f ca="1">IFERROR(__xludf.DUMMYFUNCTION("""COMPUTED_VALUE"""),0.625)</f>
        <v>0.625</v>
      </c>
      <c r="J457" s="16"/>
      <c r="K457" t="str">
        <f ca="1">IFERROR(__xludf.DUMMYFUNCTION("""COMPUTED_VALUE"""),"FWC mud boat")</f>
        <v>FWC mud boat</v>
      </c>
      <c r="M457" t="str">
        <f ca="1">IFERROR(__xludf.DUMMYFUNCTION("""COMPUTED_VALUE"""),"Ford F150 2018 (AP) - DEP21637")</f>
        <v>Ford F150 2018 (AP) - DEP21637</v>
      </c>
      <c r="N457" t="str">
        <f ca="1">IFERROR(__xludf.DUMMYFUNCTION("""COMPUTED_VALUE"""),"Jimmy Tomazinis, (904) 547-0094")</f>
        <v>Jimmy Tomazinis, (904) 547-0094</v>
      </c>
      <c r="O457" t="str">
        <f ca="1">IFERROR(__xludf.DUMMYFUNCTION("""COMPUTED_VALUE"""),"Jessica Lee")</f>
        <v>Jessica Lee</v>
      </c>
      <c r="P457" t="str">
        <f ca="1">IFERROR(__xludf.DUMMYFUNCTION("""COMPUTED_VALUE"""),"Jimmy")</f>
        <v>Jimmy</v>
      </c>
      <c r="Q457" t="str">
        <f ca="1">IFERROR(__xludf.DUMMYFUNCTION("""COMPUTED_VALUE"""),"All items in working order")</f>
        <v>All items in working order</v>
      </c>
      <c r="AE457" s="11"/>
      <c r="AF457" t="str">
        <v>Scott.Eastman@floridadep.gov</v>
      </c>
      <c r="AG457" s="18"/>
    </row>
    <row r="458" spans="1:33" ht="12.75">
      <c r="A458" s="10">
        <f ca="1">IFERROR(__xludf.DUMMYFUNCTION("""COMPUTED_VALUE"""),43861.2612169907)</f>
        <v>43861.261216990701</v>
      </c>
      <c r="B458" s="11" t="str">
        <f ca="1">IFERROR(__xludf.DUMMYFUNCTION("""COMPUTED_VALUE"""),"Pam Marcum")</f>
        <v>Pam Marcum</v>
      </c>
      <c r="C458" t="str">
        <f ca="1">IFERROR(__xludf.DUMMYFUNCTION("""COMPUTED_VALUE"""),"Pamela.Marcum@FloridaDEP.gov")</f>
        <v>Pamela.Marcum@FloridaDEP.gov</v>
      </c>
      <c r="D458" t="str">
        <f ca="1">IFERROR(__xludf.DUMMYFUNCTION("""COMPUTED_VALUE"""),"Research/Nikki")</f>
        <v>Research/Nikki</v>
      </c>
      <c r="E458" t="str">
        <f ca="1">IFERROR(__xludf.DUMMYFUNCTION("""COMPUTED_VALUE"""),"Butler")</f>
        <v>Butler</v>
      </c>
      <c r="F458" s="13">
        <f ca="1">IFERROR(__xludf.DUMMYFUNCTION("""COMPUTED_VALUE"""),0.291666666667879)</f>
        <v>0.29166666666787899</v>
      </c>
      <c r="G458" s="14">
        <f ca="1">IFERROR(__xludf.DUMMYFUNCTION("""COMPUTED_VALUE"""),43861)</f>
        <v>43861</v>
      </c>
      <c r="H458" t="str">
        <f ca="1">IFERROR(__xludf.DUMMYFUNCTION("""COMPUTED_VALUE"""),"Moses/Butler Flats")</f>
        <v>Moses/Butler Flats</v>
      </c>
      <c r="I458" s="15">
        <f ca="1">IFERROR(__xludf.DUMMYFUNCTION("""COMPUTED_VALUE"""),0.45833333333212)</f>
        <v>0.45833333333212001</v>
      </c>
      <c r="J458" s="16">
        <f ca="1">IFERROR(__xludf.DUMMYFUNCTION("""COMPUTED_VALUE"""),43861.625)</f>
        <v>43861.625</v>
      </c>
      <c r="K458" t="str">
        <f ca="1">IFERROR(__xludf.DUMMYFUNCTION("""COMPUTED_VALUE"""),"20ft Sea Ark FL5351SJ UNF 2015")</f>
        <v>20ft Sea Ark FL5351SJ UNF 2015</v>
      </c>
      <c r="M458" t="str">
        <f ca="1">IFERROR(__xludf.DUMMYFUNCTION("""COMPUTED_VALUE"""),"Ford F250 2017 (Moby Dix) - DEP0021578")</f>
        <v>Ford F250 2017 (Moby Dix) - DEP0021578</v>
      </c>
      <c r="N458" t="str">
        <f ca="1">IFERROR(__xludf.DUMMYFUNCTION("""COMPUTED_VALUE"""),"Pam Marcum, (480) 332-5414")</f>
        <v>Pam Marcum, (480) 332-5414</v>
      </c>
      <c r="O458" t="str">
        <f ca="1">IFERROR(__xludf.DUMMYFUNCTION("""COMPUTED_VALUE"""),"Alee Knoell, (619) 750-4833, Adrienne Breef-Pilz, Chris Blanco")</f>
        <v>Alee Knoell, (619) 750-4833, Adrienne Breef-Pilz, Chris Blanco</v>
      </c>
      <c r="P458" t="str">
        <f ca="1">IFERROR(__xludf.DUMMYFUNCTION("""COMPUTED_VALUE"""),"Pam")</f>
        <v>Pam</v>
      </c>
      <c r="Q458" t="str">
        <f ca="1">IFERROR(__xludf.DUMMYFUNCTION("""COMPUTED_VALUE"""),"All items in working order")</f>
        <v>All items in working order</v>
      </c>
      <c r="AE458" s="11"/>
      <c r="AF458" t="str">
        <v>Nikki.Dix@floridadep.gov</v>
      </c>
      <c r="AG458" s="18"/>
    </row>
    <row r="459" spans="1:33" ht="12.75">
      <c r="A459" s="10">
        <f ca="1">IFERROR(__xludf.DUMMYFUNCTION("""COMPUTED_VALUE"""),43863.6469605208)</f>
        <v>43863.646960520797</v>
      </c>
      <c r="B459" s="11" t="str">
        <f ca="1">IFERROR(__xludf.DUMMYFUNCTION("""COMPUTED_VALUE"""),"Ruben Allen")</f>
        <v>Ruben Allen</v>
      </c>
      <c r="C459" t="str">
        <f ca="1">IFERROR(__xludf.DUMMYFUNCTION("""COMPUTED_VALUE"""),"rubeall57@gmail.com")</f>
        <v>rubeall57@gmail.com</v>
      </c>
      <c r="D459" t="str">
        <f ca="1">IFERROR(__xludf.DUMMYFUNCTION("""COMPUTED_VALUE"""),"Research/Pam")</f>
        <v>Research/Pam</v>
      </c>
      <c r="E459" t="str">
        <f ca="1">IFERROR(__xludf.DUMMYFUNCTION("""COMPUTED_VALUE"""),"Vilano")</f>
        <v>Vilano</v>
      </c>
      <c r="F459" s="13">
        <f ca="1">IFERROR(__xludf.DUMMYFUNCTION("""COMPUTED_VALUE"""),0.322916666667879)</f>
        <v>0.32291666666787899</v>
      </c>
      <c r="G459" s="14">
        <f ca="1">IFERROR(__xludf.DUMMYFUNCTION("""COMPUTED_VALUE"""),43864)</f>
        <v>43864</v>
      </c>
      <c r="H459" t="str">
        <f ca="1">IFERROR(__xludf.DUMMYFUNCTION("""COMPUTED_VALUE"""),"North and South Spat runs")</f>
        <v>North and South Spat runs</v>
      </c>
      <c r="I459" s="15">
        <f ca="1">IFERROR(__xludf.DUMMYFUNCTION("""COMPUTED_VALUE"""),0.666666666667879)</f>
        <v>0.66666666666787899</v>
      </c>
      <c r="J459" s="16">
        <f ca="1">IFERROR(__xludf.DUMMYFUNCTION("""COMPUTED_VALUE"""),43864.1875)</f>
        <v>43864.1875</v>
      </c>
      <c r="K459" t="str">
        <f ca="1">IFERROR(__xludf.DUMMYFUNCTION("""COMPUTED_VALUE"""),"20ft Sea Ark FL5351SJ UNF 2015")</f>
        <v>20ft Sea Ark FL5351SJ UNF 2015</v>
      </c>
      <c r="M459" t="str">
        <f ca="1">IFERROR(__xludf.DUMMYFUNCTION("""COMPUTED_VALUE"""),"Ford F150 2015 (White) - DEP21448")</f>
        <v>Ford F150 2015 (White) - DEP21448</v>
      </c>
      <c r="N459" t="str">
        <f ca="1">IFERROR(__xludf.DUMMYFUNCTION("""COMPUTED_VALUE"""),"Ruben Allen")</f>
        <v>Ruben Allen</v>
      </c>
      <c r="O459" t="str">
        <f ca="1">IFERROR(__xludf.DUMMYFUNCTION("""COMPUTED_VALUE"""),"Alee Knoell, (619) 750-4833, Adrienne Breef-Pilz")</f>
        <v>Alee Knoell, (619) 750-4833, Adrienne Breef-Pilz</v>
      </c>
      <c r="P459" t="str">
        <f ca="1">IFERROR(__xludf.DUMMYFUNCTION("""COMPUTED_VALUE"""),"Ruben Allen")</f>
        <v>Ruben Allen</v>
      </c>
      <c r="Q459" t="str">
        <f ca="1">IFERROR(__xludf.DUMMYFUNCTION("""COMPUTED_VALUE"""),"All items in working order")</f>
        <v>All items in working order</v>
      </c>
      <c r="AD459" t="str">
        <f ca="1">IFERROR(__xludf.DUMMYFUNCTION("""COMPUTED_VALUE"""),"yes")</f>
        <v>yes</v>
      </c>
      <c r="AE459" s="11" t="str">
        <f ca="1">IFERROR(__xludf.DUMMYFUNCTION("""COMPUTED_VALUE"""),"yes")</f>
        <v>yes</v>
      </c>
      <c r="AF459" t="str">
        <v>Pamela.Marcum@floridadep.gov</v>
      </c>
      <c r="AG459" s="18"/>
    </row>
    <row r="460" spans="1:33" ht="12.75">
      <c r="A460" s="10">
        <f ca="1">IFERROR(__xludf.DUMMYFUNCTION("""COMPUTED_VALUE"""),43863.8095284953)</f>
        <v>43863.809528495301</v>
      </c>
      <c r="B460" s="11" t="str">
        <f ca="1">IFERROR(__xludf.DUMMYFUNCTION("""COMPUTED_VALUE"""),"James Tomazinis")</f>
        <v>James Tomazinis</v>
      </c>
      <c r="C460" t="str">
        <f ca="1">IFERROR(__xludf.DUMMYFUNCTION("""COMPUTED_VALUE"""),"james.tomazinis@floridadep.gov")</f>
        <v>james.tomazinis@floridadep.gov</v>
      </c>
      <c r="D460" t="str">
        <f ca="1">IFERROR(__xludf.DUMMYFUNCTION("""COMPUTED_VALUE"""),"Stewardship (Aquatic)")</f>
        <v>Stewardship (Aquatic)</v>
      </c>
      <c r="E460" t="str">
        <f ca="1">IFERROR(__xludf.DUMMYFUNCTION("""COMPUTED_VALUE"""),"Holly Point")</f>
        <v>Holly Point</v>
      </c>
      <c r="F460" s="13">
        <f ca="1">IFERROR(__xludf.DUMMYFUNCTION("""COMPUTED_VALUE"""),0.4375)</f>
        <v>0.4375</v>
      </c>
      <c r="G460" s="14">
        <f ca="1">IFERROR(__xludf.DUMMYFUNCTION("""COMPUTED_VALUE"""),43864)</f>
        <v>43864</v>
      </c>
      <c r="H460" t="str">
        <f ca="1">IFERROR(__xludf.DUMMYFUNCTION("""COMPUTED_VALUE"""),"Lofton Creek and Nassau River Stations")</f>
        <v>Lofton Creek and Nassau River Stations</v>
      </c>
      <c r="I460" s="15">
        <f ca="1">IFERROR(__xludf.DUMMYFUNCTION("""COMPUTED_VALUE"""),0.625)</f>
        <v>0.625</v>
      </c>
      <c r="J460" s="16"/>
      <c r="K460" t="str">
        <f ca="1">IFERROR(__xludf.DUMMYFUNCTION("""COMPUTED_VALUE"""),"23ft Skiff (Bertha) FL7972LJ DEP07613")</f>
        <v>23ft Skiff (Bertha) FL7972LJ DEP07613</v>
      </c>
      <c r="M460" t="str">
        <f ca="1">IFERROR(__xludf.DUMMYFUNCTION("""COMPUTED_VALUE"""),"Ford F150 2018 (AP) - DEP21637")</f>
        <v>Ford F150 2018 (AP) - DEP21637</v>
      </c>
      <c r="N460" t="str">
        <f ca="1">IFERROR(__xludf.DUMMYFUNCTION("""COMPUTED_VALUE"""),"Jimmy Tomazinis, (904) 547-0094")</f>
        <v>Jimmy Tomazinis, (904) 547-0094</v>
      </c>
      <c r="O460" t="str">
        <f ca="1">IFERROR(__xludf.DUMMYFUNCTION("""COMPUTED_VALUE"""),"Mike Darragh")</f>
        <v>Mike Darragh</v>
      </c>
      <c r="P460" t="str">
        <f ca="1">IFERROR(__xludf.DUMMYFUNCTION("""COMPUTED_VALUE"""),"Jimmy")</f>
        <v>Jimmy</v>
      </c>
      <c r="Q460" t="str">
        <f ca="1">IFERROR(__xludf.DUMMYFUNCTION("""COMPUTED_VALUE"""),"All items in working order")</f>
        <v>All items in working order</v>
      </c>
      <c r="AE460" s="11"/>
      <c r="AF460" t="str">
        <v>Scott.Eastman@floridadep.gov</v>
      </c>
      <c r="AG460" s="18"/>
    </row>
    <row r="461" spans="1:33" ht="12.75">
      <c r="A461" s="10">
        <f ca="1">IFERROR(__xludf.DUMMYFUNCTION("""COMPUTED_VALUE"""),43864.3308576157)</f>
        <v>43864.3308576157</v>
      </c>
      <c r="B461" s="11" t="str">
        <f ca="1">IFERROR(__xludf.DUMMYFUNCTION("""COMPUTED_VALUE"""),"Pam Marcum")</f>
        <v>Pam Marcum</v>
      </c>
      <c r="C461" t="str">
        <f ca="1">IFERROR(__xludf.DUMMYFUNCTION("""COMPUTED_VALUE"""),"Pamela.Marcum@FloridaDEP.gov")</f>
        <v>Pamela.Marcum@FloridaDEP.gov</v>
      </c>
      <c r="D461" t="str">
        <f ca="1">IFERROR(__xludf.DUMMYFUNCTION("""COMPUTED_VALUE"""),"Research/Nikki")</f>
        <v>Research/Nikki</v>
      </c>
      <c r="E461" t="str">
        <f ca="1">IFERROR(__xludf.DUMMYFUNCTION("""COMPUTED_VALUE"""),"Usina/Aunt Kate's")</f>
        <v>Usina/Aunt Kate's</v>
      </c>
      <c r="F461" s="13">
        <f ca="1">IFERROR(__xludf.DUMMYFUNCTION("""COMPUTED_VALUE"""),0.354166666667879)</f>
        <v>0.35416666666787899</v>
      </c>
      <c r="G461" s="14">
        <f ca="1">IFERROR(__xludf.DUMMYFUNCTION("""COMPUTED_VALUE"""),43864)</f>
        <v>43864</v>
      </c>
      <c r="H461" t="str">
        <f ca="1">IFERROR(__xludf.DUMMYFUNCTION("""COMPUTED_VALUE"""),"Airport Basin/Robinson's Creek")</f>
        <v>Airport Basin/Robinson's Creek</v>
      </c>
      <c r="I461" s="15">
        <f ca="1">IFERROR(__xludf.DUMMYFUNCTION("""COMPUTED_VALUE"""),0.479166666667879)</f>
        <v>0.47916666666787899</v>
      </c>
      <c r="J461" s="16">
        <f ca="1">IFERROR(__xludf.DUMMYFUNCTION("""COMPUTED_VALUE"""),43864.5)</f>
        <v>43864.5</v>
      </c>
      <c r="K461" t="str">
        <f ca="1">IFERROR(__xludf.DUMMYFUNCTION("""COMPUTED_VALUE"""),"20ft Sea Ark FL5351SJ UNF 2015")</f>
        <v>20ft Sea Ark FL5351SJ UNF 2015</v>
      </c>
      <c r="M461" t="str">
        <f ca="1">IFERROR(__xludf.DUMMYFUNCTION("""COMPUTED_VALUE"""),"Ford F250 2017 (Moby Dix) - DEP0021578")</f>
        <v>Ford F250 2017 (Moby Dix) - DEP0021578</v>
      </c>
      <c r="N461" t="str">
        <f ca="1">IFERROR(__xludf.DUMMYFUNCTION("""COMPUTED_VALUE"""),"Pam Marcum, (480) 332-5414")</f>
        <v>Pam Marcum, (480) 332-5414</v>
      </c>
      <c r="O461" t="str">
        <f ca="1">IFERROR(__xludf.DUMMYFUNCTION("""COMPUTED_VALUE"""),"Anna Tripp, Steve Brown, Paul Yonally, Kaitlyn Campbell")</f>
        <v>Anna Tripp, Steve Brown, Paul Yonally, Kaitlyn Campbell</v>
      </c>
      <c r="P461" t="str">
        <f ca="1">IFERROR(__xludf.DUMMYFUNCTION("""COMPUTED_VALUE"""),"Pam")</f>
        <v>Pam</v>
      </c>
      <c r="Q461" t="str">
        <f ca="1">IFERROR(__xludf.DUMMYFUNCTION("""COMPUTED_VALUE"""),"All items in working order")</f>
        <v>All items in working order</v>
      </c>
      <c r="AE461" s="11"/>
      <c r="AF461" t="str">
        <v>Nikki.Dix@floridadep.gov</v>
      </c>
      <c r="AG461" s="18"/>
    </row>
    <row r="462" spans="1:33" ht="12.75">
      <c r="A462" s="10">
        <f ca="1">IFERROR(__xludf.DUMMYFUNCTION("""COMPUTED_VALUE"""),43865.3704878125)</f>
        <v>43865.370487812499</v>
      </c>
      <c r="B462" s="11" t="str">
        <f ca="1">IFERROR(__xludf.DUMMYFUNCTION("""COMPUTED_VALUE"""),"Pam Marcum")</f>
        <v>Pam Marcum</v>
      </c>
      <c r="C462" t="str">
        <f ca="1">IFERROR(__xludf.DUMMYFUNCTION("""COMPUTED_VALUE"""),"Pamela.Marcum@floridadep.gov")</f>
        <v>Pamela.Marcum@floridadep.gov</v>
      </c>
      <c r="D462" t="str">
        <f ca="1">IFERROR(__xludf.DUMMYFUNCTION("""COMPUTED_VALUE"""),"Research/Nikki")</f>
        <v>Research/Nikki</v>
      </c>
      <c r="E462" t="str">
        <f ca="1">IFERROR(__xludf.DUMMYFUNCTION("""COMPUTED_VALUE"""),"Usina/Aunt Kate's")</f>
        <v>Usina/Aunt Kate's</v>
      </c>
      <c r="F462" s="13">
        <f ca="1">IFERROR(__xludf.DUMMYFUNCTION("""COMPUTED_VALUE"""),0.39583333333212)</f>
        <v>0.39583333333212001</v>
      </c>
      <c r="G462" s="14">
        <f ca="1">IFERROR(__xludf.DUMMYFUNCTION("""COMPUTED_VALUE"""),43865)</f>
        <v>43865</v>
      </c>
      <c r="H462" t="str">
        <f ca="1">IFERROR(__xludf.DUMMYFUNCTION("""COMPUTED_VALUE"""),"Guana/Tolomato Rivers")</f>
        <v>Guana/Tolomato Rivers</v>
      </c>
      <c r="I462" s="15">
        <f ca="1">IFERROR(__xludf.DUMMYFUNCTION("""COMPUTED_VALUE"""),0.52083333333212)</f>
        <v>0.52083333333212001</v>
      </c>
      <c r="J462" s="16">
        <f ca="1">IFERROR(__xludf.DUMMYFUNCTION("""COMPUTED_VALUE"""),43865.5416666666)</f>
        <v>43865.541666666599</v>
      </c>
      <c r="K462" t="str">
        <f ca="1">IFERROR(__xludf.DUMMYFUNCTION("""COMPUTED_VALUE"""),"20ft Sea Ark FL5351SJ UNF 2015")</f>
        <v>20ft Sea Ark FL5351SJ UNF 2015</v>
      </c>
      <c r="M462" t="str">
        <f ca="1">IFERROR(__xludf.DUMMYFUNCTION("""COMPUTED_VALUE"""),"Ford F250 2017 (Moby Dix) - DEP0021578")</f>
        <v>Ford F250 2017 (Moby Dix) - DEP0021578</v>
      </c>
      <c r="N462" t="str">
        <f ca="1">IFERROR(__xludf.DUMMYFUNCTION("""COMPUTED_VALUE"""),"Pam Marcum, (480) 332-5414")</f>
        <v>Pam Marcum, (480) 332-5414</v>
      </c>
      <c r="O462" t="str">
        <f ca="1">IFERROR(__xludf.DUMMYFUNCTION("""COMPUTED_VALUE"""),"Alee Knoell, (619) 750-4833, Barry MacDonald, Mike Darragh, Nancy Stehno, Candce Killian")</f>
        <v>Alee Knoell, (619) 750-4833, Barry MacDonald, Mike Darragh, Nancy Stehno, Candce Killian</v>
      </c>
      <c r="P462" t="str">
        <f ca="1">IFERROR(__xludf.DUMMYFUNCTION("""COMPUTED_VALUE"""),"Pam")</f>
        <v>Pam</v>
      </c>
      <c r="Q462" t="str">
        <f ca="1">IFERROR(__xludf.DUMMYFUNCTION("""COMPUTED_VALUE"""),"All items in working order")</f>
        <v>All items in working order</v>
      </c>
      <c r="AE462" s="11"/>
      <c r="AF462" t="str">
        <v>Nikki.Dix@floridadep.gov</v>
      </c>
      <c r="AG462" s="18"/>
    </row>
    <row r="463" spans="1:33" ht="12.75">
      <c r="A463" s="10">
        <f ca="1">IFERROR(__xludf.DUMMYFUNCTION("""COMPUTED_VALUE"""),43867.4635246759)</f>
        <v>43867.463524675899</v>
      </c>
      <c r="B463" s="11" t="str">
        <f ca="1">IFERROR(__xludf.DUMMYFUNCTION("""COMPUTED_VALUE"""),"Pam Marcum")</f>
        <v>Pam Marcum</v>
      </c>
      <c r="C463" t="str">
        <f ca="1">IFERROR(__xludf.DUMMYFUNCTION("""COMPUTED_VALUE"""),"Pamela.Marcum@floridadep.gov")</f>
        <v>Pamela.Marcum@floridadep.gov</v>
      </c>
      <c r="D463" t="str">
        <f ca="1">IFERROR(__xludf.DUMMYFUNCTION("""COMPUTED_VALUE"""),"Research/Nikki")</f>
        <v>Research/Nikki</v>
      </c>
      <c r="E463" t="str">
        <f ca="1">IFERROR(__xludf.DUMMYFUNCTION("""COMPUTED_VALUE"""),"usina")</f>
        <v>usina</v>
      </c>
      <c r="F463" s="13">
        <f ca="1">IFERROR(__xludf.DUMMYFUNCTION("""COMPUTED_VALUE"""),0.479166666667879)</f>
        <v>0.47916666666787899</v>
      </c>
      <c r="G463" s="14">
        <f ca="1">IFERROR(__xludf.DUMMYFUNCTION("""COMPUTED_VALUE"""),43867)</f>
        <v>43867</v>
      </c>
      <c r="H463" t="str">
        <f ca="1">IFERROR(__xludf.DUMMYFUNCTION("""COMPUTED_VALUE"""),"guana river")</f>
        <v>guana river</v>
      </c>
      <c r="I463" s="15">
        <f ca="1">IFERROR(__xludf.DUMMYFUNCTION("""COMPUTED_VALUE"""),0.625)</f>
        <v>0.625</v>
      </c>
      <c r="J463" s="16">
        <f ca="1">IFERROR(__xludf.DUMMYFUNCTION("""COMPUTED_VALUE"""),43867.6458333333)</f>
        <v>43867.645833333299</v>
      </c>
      <c r="K463" t="str">
        <f ca="1">IFERROR(__xludf.DUMMYFUNCTION("""COMPUTED_VALUE"""),"20ft Sea Ark FL5351SJ UNF 2015")</f>
        <v>20ft Sea Ark FL5351SJ UNF 2015</v>
      </c>
      <c r="M463" t="str">
        <f ca="1">IFERROR(__xludf.DUMMYFUNCTION("""COMPUTED_VALUE"""),"Ford F250 2017 (Moby Dix) - DEP0021578")</f>
        <v>Ford F250 2017 (Moby Dix) - DEP0021578</v>
      </c>
      <c r="N463" t="str">
        <f ca="1">IFERROR(__xludf.DUMMYFUNCTION("""COMPUTED_VALUE"""),"Pam Marcum, (480) 332-5414")</f>
        <v>Pam Marcum, (480) 332-5414</v>
      </c>
      <c r="O463" t="str">
        <f ca="1">IFERROR(__xludf.DUMMYFUNCTION("""COMPUTED_VALUE"""),"Alee Knoell, (619) 750-4833, Mike Darragh, Vicki MacDonald, Pam Korchun")</f>
        <v>Alee Knoell, (619) 750-4833, Mike Darragh, Vicki MacDonald, Pam Korchun</v>
      </c>
      <c r="P463" t="str">
        <f ca="1">IFERROR(__xludf.DUMMYFUNCTION("""COMPUTED_VALUE"""),"Pam")</f>
        <v>Pam</v>
      </c>
      <c r="Q463" t="str">
        <f ca="1">IFERROR(__xludf.DUMMYFUNCTION("""COMPUTED_VALUE"""),"All items in working order")</f>
        <v>All items in working order</v>
      </c>
      <c r="AE463" s="11"/>
      <c r="AF463" t="str">
        <v>Nikki.Dix@floridadep.gov</v>
      </c>
      <c r="AG463" s="18"/>
    </row>
    <row r="464" spans="1:33" ht="12.75">
      <c r="A464" s="10">
        <f ca="1">IFERROR(__xludf.DUMMYFUNCTION("""COMPUTED_VALUE"""),43868.4805192939)</f>
        <v>43868.480519293902</v>
      </c>
      <c r="B464" s="11" t="str">
        <f ca="1">IFERROR(__xludf.DUMMYFUNCTION("""COMPUTED_VALUE"""),"Pamela Marcum")</f>
        <v>Pamela Marcum</v>
      </c>
      <c r="C464" t="str">
        <f ca="1">IFERROR(__xludf.DUMMYFUNCTION("""COMPUTED_VALUE"""),"Pamela.Marcum@FloridaDEP.gov")</f>
        <v>Pamela.Marcum@FloridaDEP.gov</v>
      </c>
      <c r="D464" t="str">
        <f ca="1">IFERROR(__xludf.DUMMYFUNCTION("""COMPUTED_VALUE"""),"Research/Nikki")</f>
        <v>Research/Nikki</v>
      </c>
      <c r="E464" t="str">
        <f ca="1">IFERROR(__xludf.DUMMYFUNCTION("""COMPUTED_VALUE"""),"Shore Dr")</f>
        <v>Shore Dr</v>
      </c>
      <c r="F464" s="13">
        <f ca="1">IFERROR(__xludf.DUMMYFUNCTION("""COMPUTED_VALUE"""),0.510416666667879)</f>
        <v>0.51041666666787899</v>
      </c>
      <c r="G464" s="14">
        <f ca="1">IFERROR(__xludf.DUMMYFUNCTION("""COMPUTED_VALUE"""),43868)</f>
        <v>43868</v>
      </c>
      <c r="H464" t="str">
        <f ca="1">IFERROR(__xludf.DUMMYFUNCTION("""COMPUTED_VALUE"""),"San Sebastian")</f>
        <v>San Sebastian</v>
      </c>
      <c r="I464" s="15">
        <f ca="1">IFERROR(__xludf.DUMMYFUNCTION("""COMPUTED_VALUE"""),0.64583333333212)</f>
        <v>0.64583333333212001</v>
      </c>
      <c r="J464" s="16">
        <f ca="1">IFERROR(__xludf.DUMMYFUNCTION("""COMPUTED_VALUE"""),43868.6666666666)</f>
        <v>43868.666666666599</v>
      </c>
      <c r="K464" t="str">
        <f ca="1">IFERROR(__xludf.DUMMYFUNCTION("""COMPUTED_VALUE"""),"20ft Sea Ark FL5351SJ UNF 2015")</f>
        <v>20ft Sea Ark FL5351SJ UNF 2015</v>
      </c>
      <c r="M464" t="str">
        <f ca="1">IFERROR(__xludf.DUMMYFUNCTION("""COMPUTED_VALUE"""),"Ford F250 2017 (Moby Dix) - DEP0021578")</f>
        <v>Ford F250 2017 (Moby Dix) - DEP0021578</v>
      </c>
      <c r="N464" t="str">
        <f ca="1">IFERROR(__xludf.DUMMYFUNCTION("""COMPUTED_VALUE"""),"Pam Marcum, (480) 332-5414")</f>
        <v>Pam Marcum, (480) 332-5414</v>
      </c>
      <c r="O464" t="str">
        <f ca="1">IFERROR(__xludf.DUMMYFUNCTION("""COMPUTED_VALUE"""),"Alee Knoell, (619) 750-4833, Spencer Baba, Shelby Harrell")</f>
        <v>Alee Knoell, (619) 750-4833, Spencer Baba, Shelby Harrell</v>
      </c>
      <c r="P464" t="str">
        <f ca="1">IFERROR(__xludf.DUMMYFUNCTION("""COMPUTED_VALUE"""),"Pam")</f>
        <v>Pam</v>
      </c>
      <c r="Q464" t="str">
        <f ca="1">IFERROR(__xludf.DUMMYFUNCTION("""COMPUTED_VALUE"""),"All items in working order")</f>
        <v>All items in working order</v>
      </c>
      <c r="AE464" s="11"/>
      <c r="AF464" t="str">
        <v>Nikki.Dix@floridadep.gov</v>
      </c>
      <c r="AG464" s="18"/>
    </row>
    <row r="465" spans="1:33" ht="12.75">
      <c r="A465" s="10">
        <f ca="1">IFERROR(__xludf.DUMMYFUNCTION("""COMPUTED_VALUE"""),43871.2812804861)</f>
        <v>43871.281280486102</v>
      </c>
      <c r="B465" s="11" t="str">
        <f ca="1">IFERROR(__xludf.DUMMYFUNCTION("""COMPUTED_VALUE"""),"James Tomazinis")</f>
        <v>James Tomazinis</v>
      </c>
      <c r="C465" t="str">
        <f ca="1">IFERROR(__xludf.DUMMYFUNCTION("""COMPUTED_VALUE"""),"james.tomazinis@floridadep.gov")</f>
        <v>james.tomazinis@floridadep.gov</v>
      </c>
      <c r="D465" t="str">
        <f ca="1">IFERROR(__xludf.DUMMYFUNCTION("""COMPUTED_VALUE"""),"Stewardship (Aquatic)")</f>
        <v>Stewardship (Aquatic)</v>
      </c>
      <c r="E465" t="str">
        <f ca="1">IFERROR(__xludf.DUMMYFUNCTION("""COMPUTED_VALUE"""),"Dee Dee Bartels and Holly Point")</f>
        <v>Dee Dee Bartels and Holly Point</v>
      </c>
      <c r="F465" s="13">
        <f ca="1">IFERROR(__xludf.DUMMYFUNCTION("""COMPUTED_VALUE"""),0.416666666667879)</f>
        <v>0.41666666666787899</v>
      </c>
      <c r="G465" s="14">
        <f ca="1">IFERROR(__xludf.DUMMYFUNCTION("""COMPUTED_VALUE"""),43871)</f>
        <v>43871</v>
      </c>
      <c r="H465" t="str">
        <f ca="1">IFERROR(__xludf.DUMMYFUNCTION("""COMPUTED_VALUE"""),"NEAP WQ sites")</f>
        <v>NEAP WQ sites</v>
      </c>
      <c r="I465" s="15">
        <f ca="1">IFERROR(__xludf.DUMMYFUNCTION("""COMPUTED_VALUE"""),0.625)</f>
        <v>0.625</v>
      </c>
      <c r="J465" s="16"/>
      <c r="K465" t="str">
        <f ca="1">IFERROR(__xludf.DUMMYFUNCTION("""COMPUTED_VALUE"""),"17ft Skiff (Marsha) FL0642GW DEP07239")</f>
        <v>17ft Skiff (Marsha) FL0642GW DEP07239</v>
      </c>
      <c r="M465" t="str">
        <f ca="1">IFERROR(__xludf.DUMMYFUNCTION("""COMPUTED_VALUE"""),"Ford F150 2018 (AP) - DEP21637")</f>
        <v>Ford F150 2018 (AP) - DEP21637</v>
      </c>
      <c r="N465" t="str">
        <f ca="1">IFERROR(__xludf.DUMMYFUNCTION("""COMPUTED_VALUE"""),"Scott Eastman, (904) 501-9267, Jimmy Tomazinis, (904) 547-0094")</f>
        <v>Scott Eastman, (904) 501-9267, Jimmy Tomazinis, (904) 547-0094</v>
      </c>
      <c r="O465" t="str">
        <f ca="1">IFERROR(__xludf.DUMMYFUNCTION("""COMPUTED_VALUE"""),"Ashley Hurley")</f>
        <v>Ashley Hurley</v>
      </c>
      <c r="P465" t="str">
        <f ca="1">IFERROR(__xludf.DUMMYFUNCTION("""COMPUTED_VALUE"""),"Jimmy")</f>
        <v>Jimmy</v>
      </c>
      <c r="Q465" t="str">
        <f ca="1">IFERROR(__xludf.DUMMYFUNCTION("""COMPUTED_VALUE"""),"All items in working order")</f>
        <v>All items in working order</v>
      </c>
      <c r="AE465" s="11"/>
      <c r="AF465" t="str">
        <v>Scott.Eastman@floridadep.gov</v>
      </c>
      <c r="AG465" s="18"/>
    </row>
    <row r="466" spans="1:33" ht="12.75">
      <c r="A466" s="10">
        <f ca="1">IFERROR(__xludf.DUMMYFUNCTION("""COMPUTED_VALUE"""),43871.3763046296)</f>
        <v>43871.376304629601</v>
      </c>
      <c r="B466" s="11" t="str">
        <f ca="1">IFERROR(__xludf.DUMMYFUNCTION("""COMPUTED_VALUE"""),"Jessica Lee")</f>
        <v>Jessica Lee</v>
      </c>
      <c r="C466" t="str">
        <f ca="1">IFERROR(__xludf.DUMMYFUNCTION("""COMPUTED_VALUE"""),"jessica.lee@FloridaDEP.gov")</f>
        <v>jessica.lee@FloridaDEP.gov</v>
      </c>
      <c r="D466" t="str">
        <f ca="1">IFERROR(__xludf.DUMMYFUNCTION("""COMPUTED_VALUE"""),"Research/Shannon")</f>
        <v>Research/Shannon</v>
      </c>
      <c r="E466" t="str">
        <f ca="1">IFERROR(__xludf.DUMMYFUNCTION("""COMPUTED_VALUE"""),"Guana")</f>
        <v>Guana</v>
      </c>
      <c r="F466" s="13">
        <f ca="1">IFERROR(__xludf.DUMMYFUNCTION("""COMPUTED_VALUE"""),0.416666666667879)</f>
        <v>0.41666666666787899</v>
      </c>
      <c r="G466" s="14">
        <f ca="1">IFERROR(__xludf.DUMMYFUNCTION("""COMPUTED_VALUE"""),43871)</f>
        <v>43871</v>
      </c>
      <c r="H466" t="str">
        <f ca="1">IFERROR(__xludf.DUMMYFUNCTION("""COMPUTED_VALUE"""),"Guana River")</f>
        <v>Guana River</v>
      </c>
      <c r="I466" s="15">
        <f ca="1">IFERROR(__xludf.DUMMYFUNCTION("""COMPUTED_VALUE"""),0.5)</f>
        <v>0.5</v>
      </c>
      <c r="J466" s="16">
        <f ca="1">IFERROR(__xludf.DUMMYFUNCTION("""COMPUTED_VALUE"""),43871.5208333333)</f>
        <v>43871.520833333299</v>
      </c>
      <c r="K466" t="str">
        <f ca="1">IFERROR(__xludf.DUMMYFUNCTION("""COMPUTED_VALUE"""),"Jon Boat FL0484NP DEP06819")</f>
        <v>Jon Boat FL0484NP DEP06819</v>
      </c>
      <c r="M466" t="str">
        <f ca="1">IFERROR(__xludf.DUMMYFUNCTION("""COMPUTED_VALUE"""),"Ford F150 2008 (SWMP Thing) - DEP18041")</f>
        <v>Ford F150 2008 (SWMP Thing) - DEP18041</v>
      </c>
      <c r="N466" t="str">
        <f ca="1">IFERROR(__xludf.DUMMYFUNCTION("""COMPUTED_VALUE"""),"Nikki Dix, (352) 219-4079")</f>
        <v>Nikki Dix, (352) 219-4079</v>
      </c>
      <c r="O466" t="str">
        <f ca="1">IFERROR(__xludf.DUMMYFUNCTION("""COMPUTED_VALUE"""),"Erin Tice")</f>
        <v>Erin Tice</v>
      </c>
      <c r="P466" t="str">
        <f ca="1">IFERROR(__xludf.DUMMYFUNCTION("""COMPUTED_VALUE"""),"Nikki Dix")</f>
        <v>Nikki Dix</v>
      </c>
      <c r="Q466" t="str">
        <f ca="1">IFERROR(__xludf.DUMMYFUNCTION("""COMPUTED_VALUE"""),"All items in working order")</f>
        <v>All items in working order</v>
      </c>
      <c r="AE466" s="11"/>
      <c r="AF466" t="str">
        <v>Shannon.Dunnigan@floridadep.gov</v>
      </c>
      <c r="AG466" s="18"/>
    </row>
    <row r="467" spans="1:33" ht="12.75">
      <c r="A467" s="10">
        <f ca="1">IFERROR(__xludf.DUMMYFUNCTION("""COMPUTED_VALUE"""),43871.5659104861)</f>
        <v>43871.565910486097</v>
      </c>
      <c r="B467" s="11" t="str">
        <f ca="1">IFERROR(__xludf.DUMMYFUNCTION("""COMPUTED_VALUE"""),"J Silas Tanner")</f>
        <v>J Silas Tanner</v>
      </c>
      <c r="C467" t="str">
        <f ca="1">IFERROR(__xludf.DUMMYFUNCTION("""COMPUTED_VALUE"""),"silas.tanner@floridadep.gov")</f>
        <v>silas.tanner@floridadep.gov</v>
      </c>
      <c r="D467" t="str">
        <f ca="1">IFERROR(__xludf.DUMMYFUNCTION("""COMPUTED_VALUE"""),"Research/Nikki")</f>
        <v>Research/Nikki</v>
      </c>
      <c r="E467" t="str">
        <f ca="1">IFERROR(__xludf.DUMMYFUNCTION("""COMPUTED_VALUE"""),"Vilano Landing")</f>
        <v>Vilano Landing</v>
      </c>
      <c r="F467" s="13">
        <f ca="1">IFERROR(__xludf.DUMMYFUNCTION("""COMPUTED_VALUE"""),0.39583333333212)</f>
        <v>0.39583333333212001</v>
      </c>
      <c r="G467" s="14">
        <f ca="1">IFERROR(__xludf.DUMMYFUNCTION("""COMPUTED_VALUE"""),43872)</f>
        <v>43872</v>
      </c>
      <c r="H467" t="str">
        <f ca="1">IFERROR(__xludf.DUMMYFUNCTION("""COMPUTED_VALUE"""),"ICW SWMP sites")</f>
        <v>ICW SWMP sites</v>
      </c>
      <c r="I467" s="15">
        <f ca="1">IFERROR(__xludf.DUMMYFUNCTION("""COMPUTED_VALUE"""),0.604166666667879)</f>
        <v>0.60416666666787899</v>
      </c>
      <c r="J467" s="16">
        <f ca="1">IFERROR(__xludf.DUMMYFUNCTION("""COMPUTED_VALUE"""),43872.625)</f>
        <v>43872.625</v>
      </c>
      <c r="K467" t="str">
        <f ca="1">IFERROR(__xludf.DUMMYFUNCTION("""COMPUTED_VALUE"""),"23ft Skiff (Bertha) FL7972LJ DEP07613")</f>
        <v>23ft Skiff (Bertha) FL7972LJ DEP07613</v>
      </c>
      <c r="M467" t="str">
        <f ca="1">IFERROR(__xludf.DUMMYFUNCTION("""COMPUTED_VALUE"""),"Ford F150 2015 (White) - DEP21448")</f>
        <v>Ford F150 2015 (White) - DEP21448</v>
      </c>
      <c r="N467" t="str">
        <f ca="1">IFERROR(__xludf.DUMMYFUNCTION("""COMPUTED_VALUE"""),"Silas Tanner, (904) 483-8423")</f>
        <v>Silas Tanner, (904) 483-8423</v>
      </c>
      <c r="O467" t="str">
        <f ca="1">IFERROR(__xludf.DUMMYFUNCTION("""COMPUTED_VALUE"""),"Alee Knoell, (619) 750-4833, Kaitlyn Campbell")</f>
        <v>Alee Knoell, (619) 750-4833, Kaitlyn Campbell</v>
      </c>
      <c r="P467" t="str">
        <f ca="1">IFERROR(__xludf.DUMMYFUNCTION("""COMPUTED_VALUE"""),"S. Tanner")</f>
        <v>S. Tanner</v>
      </c>
      <c r="Q467" t="str">
        <f ca="1">IFERROR(__xludf.DUMMYFUNCTION("""COMPUTED_VALUE"""),"All items in working order")</f>
        <v>All items in working order</v>
      </c>
      <c r="AE467" s="11"/>
      <c r="AF467" t="str">
        <v>Nikki.Dix@floridadep.gov</v>
      </c>
      <c r="AG467" s="18"/>
    </row>
    <row r="468" spans="1:33" ht="12.75">
      <c r="A468" s="10">
        <f ca="1">IFERROR(__xludf.DUMMYFUNCTION("""COMPUTED_VALUE"""),43874.4672142245)</f>
        <v>43874.467214224504</v>
      </c>
      <c r="B468" s="11" t="str">
        <f ca="1">IFERROR(__xludf.DUMMYFUNCTION("""COMPUTED_VALUE"""),"J Silas Tanner")</f>
        <v>J Silas Tanner</v>
      </c>
      <c r="C468" t="str">
        <f ca="1">IFERROR(__xludf.DUMMYFUNCTION("""COMPUTED_VALUE"""),"silas.tanner@floridadep.gov")</f>
        <v>silas.tanner@floridadep.gov</v>
      </c>
      <c r="D468" t="str">
        <f ca="1">IFERROR(__xludf.DUMMYFUNCTION("""COMPUTED_VALUE"""),"Research/Pam")</f>
        <v>Research/Pam</v>
      </c>
      <c r="E468" t="str">
        <f ca="1">IFERROR(__xludf.DUMMYFUNCTION("""COMPUTED_VALUE"""),"Crane ramp")</f>
        <v>Crane ramp</v>
      </c>
      <c r="F468" s="13">
        <f ca="1">IFERROR(__xludf.DUMMYFUNCTION("""COMPUTED_VALUE"""),0.50069444444307)</f>
        <v>0.50069444444306999</v>
      </c>
      <c r="G468" s="14">
        <f ca="1">IFERROR(__xludf.DUMMYFUNCTION("""COMPUTED_VALUE"""),43874)</f>
        <v>43874</v>
      </c>
      <c r="H468" t="str">
        <f ca="1">IFERROR(__xludf.DUMMYFUNCTION("""COMPUTED_VALUE"""),"Marsh Creek &amp; site 22 platforms")</f>
        <v>Marsh Creek &amp; site 22 platforms</v>
      </c>
      <c r="I468" s="15">
        <f ca="1">IFERROR(__xludf.DUMMYFUNCTION("""COMPUTED_VALUE"""),0.666666666667879)</f>
        <v>0.66666666666787899</v>
      </c>
      <c r="J468" s="16">
        <f ca="1">IFERROR(__xludf.DUMMYFUNCTION("""COMPUTED_VALUE"""),43874.6875)</f>
        <v>43874.6875</v>
      </c>
      <c r="K468" t="str">
        <f ca="1">IFERROR(__xludf.DUMMYFUNCTION("""COMPUTED_VALUE"""),"20ft Sea Ark FL5351SJ UNF 2015")</f>
        <v>20ft Sea Ark FL5351SJ UNF 2015</v>
      </c>
      <c r="M468" t="str">
        <f ca="1">IFERROR(__xludf.DUMMYFUNCTION("""COMPUTED_VALUE"""),"Ford F250 2017 (Moby Dix) - DEP0021578")</f>
        <v>Ford F250 2017 (Moby Dix) - DEP0021578</v>
      </c>
      <c r="N468" t="str">
        <f ca="1">IFERROR(__xludf.DUMMYFUNCTION("""COMPUTED_VALUE"""),"Shannon Dunnigan, (803) 727-5734, Silas Tanner, (904) 483-8423")</f>
        <v>Shannon Dunnigan, (803) 727-5734, Silas Tanner, (904) 483-8423</v>
      </c>
      <c r="O468" t="str">
        <f ca="1">IFERROR(__xludf.DUMMYFUNCTION("""COMPUTED_VALUE"""),"Gabriela Canas, (904) 891-9743, Courtney Hackney")</f>
        <v>Gabriela Canas, (904) 891-9743, Courtney Hackney</v>
      </c>
      <c r="P468" t="str">
        <f ca="1">IFERROR(__xludf.DUMMYFUNCTION("""COMPUTED_VALUE"""),"S. Tanner")</f>
        <v>S. Tanner</v>
      </c>
      <c r="Q468" t="str">
        <f ca="1">IFERROR(__xludf.DUMMYFUNCTION("""COMPUTED_VALUE"""),"All items in working order")</f>
        <v>All items in working order</v>
      </c>
      <c r="AE468" s="11"/>
      <c r="AF468" t="str">
        <v>Pamela.Marcum@floridadep.gov</v>
      </c>
      <c r="AG468" s="18"/>
    </row>
    <row r="469" spans="1:33" ht="12.75">
      <c r="A469" s="10">
        <f ca="1">IFERROR(__xludf.DUMMYFUNCTION("""COMPUTED_VALUE"""),43875.3050548958)</f>
        <v>43875.305054895798</v>
      </c>
      <c r="B469" s="11" t="str">
        <f ca="1">IFERROR(__xludf.DUMMYFUNCTION("""COMPUTED_VALUE"""),"Pam Marcum")</f>
        <v>Pam Marcum</v>
      </c>
      <c r="C469" t="str">
        <f ca="1">IFERROR(__xludf.DUMMYFUNCTION("""COMPUTED_VALUE"""),"pamela.marcum@floridadep.govs")</f>
        <v>pamela.marcum@floridadep.govs</v>
      </c>
      <c r="D469" t="str">
        <f ca="1">IFERROR(__xludf.DUMMYFUNCTION("""COMPUTED_VALUE"""),"Administration")</f>
        <v>Administration</v>
      </c>
      <c r="E469" t="str">
        <f ca="1">IFERROR(__xludf.DUMMYFUNCTION("""COMPUTED_VALUE"""),"Butler")</f>
        <v>Butler</v>
      </c>
      <c r="F469" s="13">
        <f ca="1">IFERROR(__xludf.DUMMYFUNCTION("""COMPUTED_VALUE"""),0.3125)</f>
        <v>0.3125</v>
      </c>
      <c r="G469" s="14">
        <f ca="1">IFERROR(__xludf.DUMMYFUNCTION("""COMPUTED_VALUE"""),43875)</f>
        <v>43875</v>
      </c>
      <c r="H469" t="str">
        <f ca="1">IFERROR(__xludf.DUMMYFUNCTION("""COMPUTED_VALUE"""),"Butler flats")</f>
        <v>Butler flats</v>
      </c>
      <c r="I469" s="15">
        <f ca="1">IFERROR(__xludf.DUMMYFUNCTION("""COMPUTED_VALUE"""),0.45833333333212)</f>
        <v>0.45833333333212001</v>
      </c>
      <c r="J469" s="16">
        <f ca="1">IFERROR(__xludf.DUMMYFUNCTION("""COMPUTED_VALUE"""),43875.5)</f>
        <v>43875.5</v>
      </c>
      <c r="K469" t="str">
        <f ca="1">IFERROR(__xludf.DUMMYFUNCTION("""COMPUTED_VALUE"""),"17ft Skiff (Marsha) FL0642GW DEP07239")</f>
        <v>17ft Skiff (Marsha) FL0642GW DEP07239</v>
      </c>
      <c r="M469" t="str">
        <f ca="1">IFERROR(__xludf.DUMMYFUNCTION("""COMPUTED_VALUE"""),"Ford F150 2015 (White) - DEP21448")</f>
        <v>Ford F150 2015 (White) - DEP21448</v>
      </c>
      <c r="N469" t="str">
        <f ca="1">IFERROR(__xludf.DUMMYFUNCTION("""COMPUTED_VALUE"""),"Pam Marcum, (480) 332-5414")</f>
        <v>Pam Marcum, (480) 332-5414</v>
      </c>
      <c r="O469" t="str">
        <f ca="1">IFERROR(__xludf.DUMMYFUNCTION("""COMPUTED_VALUE"""),"Jeff Finnan, Mike Daragh")</f>
        <v>Jeff Finnan, Mike Daragh</v>
      </c>
      <c r="P469" t="str">
        <f ca="1">IFERROR(__xludf.DUMMYFUNCTION("""COMPUTED_VALUE"""),"Pam")</f>
        <v>Pam</v>
      </c>
      <c r="Q469" t="str">
        <f ca="1">IFERROR(__xludf.DUMMYFUNCTION("""COMPUTED_VALUE"""),"All items in working order")</f>
        <v>All items in working order</v>
      </c>
      <c r="AE469" s="11"/>
      <c r="AF469" t="str">
        <v>Lia.Sansom@floridadep.gov</v>
      </c>
      <c r="AG469" s="18"/>
    </row>
    <row r="470" spans="1:33" ht="12.75">
      <c r="A470" s="10">
        <f ca="1">IFERROR(__xludf.DUMMYFUNCTION("""COMPUTED_VALUE"""),43878.3280131597)</f>
        <v>43878.328013159698</v>
      </c>
      <c r="B470" s="11" t="str">
        <f ca="1">IFERROR(__xludf.DUMMYFUNCTION("""COMPUTED_VALUE"""),"Pamela Marcum")</f>
        <v>Pamela Marcum</v>
      </c>
      <c r="C470" t="str">
        <f ca="1">IFERROR(__xludf.DUMMYFUNCTION("""COMPUTED_VALUE"""),"Pamela.Marcum@floridadep.gov")</f>
        <v>Pamela.Marcum@floridadep.gov</v>
      </c>
      <c r="D470" t="str">
        <f ca="1">IFERROR(__xludf.DUMMYFUNCTION("""COMPUTED_VALUE"""),"Research/Shannon")</f>
        <v>Research/Shannon</v>
      </c>
      <c r="E470" t="str">
        <f ca="1">IFERROR(__xludf.DUMMYFUNCTION("""COMPUTED_VALUE"""),"Aunt Kate's")</f>
        <v>Aunt Kate's</v>
      </c>
      <c r="F470" s="13">
        <f ca="1">IFERROR(__xludf.DUMMYFUNCTION("""COMPUTED_VALUE"""),0.354166666667879)</f>
        <v>0.35416666666787899</v>
      </c>
      <c r="G470" s="14">
        <f ca="1">IFERROR(__xludf.DUMMYFUNCTION("""COMPUTED_VALUE"""),43878)</f>
        <v>43878</v>
      </c>
      <c r="H470" t="str">
        <f ca="1">IFERROR(__xludf.DUMMYFUNCTION("""COMPUTED_VALUE"""),"guana river")</f>
        <v>guana river</v>
      </c>
      <c r="I470" s="15">
        <f ca="1">IFERROR(__xludf.DUMMYFUNCTION("""COMPUTED_VALUE"""),0.52083333333212)</f>
        <v>0.52083333333212001</v>
      </c>
      <c r="J470" s="16">
        <f ca="1">IFERROR(__xludf.DUMMYFUNCTION("""COMPUTED_VALUE"""),43878.5416666666)</f>
        <v>43878.541666666599</v>
      </c>
      <c r="K470" t="str">
        <f ca="1">IFERROR(__xludf.DUMMYFUNCTION("""COMPUTED_VALUE"""),"20ft Sea Ark FL5351SJ UNF 2015")</f>
        <v>20ft Sea Ark FL5351SJ UNF 2015</v>
      </c>
      <c r="M470" t="str">
        <f ca="1">IFERROR(__xludf.DUMMYFUNCTION("""COMPUTED_VALUE"""),"Ford F250 2017 (Moby Dix) - DEP0021578")</f>
        <v>Ford F250 2017 (Moby Dix) - DEP0021578</v>
      </c>
      <c r="N470" t="str">
        <f ca="1">IFERROR(__xludf.DUMMYFUNCTION("""COMPUTED_VALUE"""),"Pam Marcum, (480) 332-5414")</f>
        <v>Pam Marcum, (480) 332-5414</v>
      </c>
      <c r="O470" t="str">
        <f ca="1">IFERROR(__xludf.DUMMYFUNCTION("""COMPUTED_VALUE"""),"Alee Knoell, (619) 750-4833, Mike Darragh, Stefana Moscardini, Kelly Sullivan, Paul Yonally")</f>
        <v>Alee Knoell, (619) 750-4833, Mike Darragh, Stefana Moscardini, Kelly Sullivan, Paul Yonally</v>
      </c>
      <c r="P470" t="str">
        <f ca="1">IFERROR(__xludf.DUMMYFUNCTION("""COMPUTED_VALUE"""),"Pam")</f>
        <v>Pam</v>
      </c>
      <c r="Q470" t="str">
        <f ca="1">IFERROR(__xludf.DUMMYFUNCTION("""COMPUTED_VALUE"""),"All items in working order")</f>
        <v>All items in working order</v>
      </c>
      <c r="AE470" s="11"/>
      <c r="AF470" t="str">
        <v>Shannon.Dunnigan@floridadep.gov</v>
      </c>
      <c r="AG470" s="18"/>
    </row>
    <row r="471" spans="1:33" ht="12.75">
      <c r="A471" s="10">
        <f ca="1">IFERROR(__xludf.DUMMYFUNCTION("""COMPUTED_VALUE"""),43878.3833271875)</f>
        <v>43878.383327187497</v>
      </c>
      <c r="B471" s="11" t="str">
        <f ca="1">IFERROR(__xludf.DUMMYFUNCTION("""COMPUTED_VALUE"""),"James Tomazinis")</f>
        <v>James Tomazinis</v>
      </c>
      <c r="C471" t="str">
        <f ca="1">IFERROR(__xludf.DUMMYFUNCTION("""COMPUTED_VALUE"""),"james.tomazinis@floridadep.gov")</f>
        <v>james.tomazinis@floridadep.gov</v>
      </c>
      <c r="D471" t="str">
        <f ca="1">IFERROR(__xludf.DUMMYFUNCTION("""COMPUTED_VALUE"""),"Stewardship (Aquatic)")</f>
        <v>Stewardship (Aquatic)</v>
      </c>
      <c r="E471" t="str">
        <f ca="1">IFERROR(__xludf.DUMMYFUNCTION("""COMPUTED_VALUE"""),"Sawpit")</f>
        <v>Sawpit</v>
      </c>
      <c r="F471" s="13">
        <f ca="1">IFERROR(__xludf.DUMMYFUNCTION("""COMPUTED_VALUE"""),0.5)</f>
        <v>0.5</v>
      </c>
      <c r="G471" s="14">
        <f ca="1">IFERROR(__xludf.DUMMYFUNCTION("""COMPUTED_VALUE"""),43878)</f>
        <v>43878</v>
      </c>
      <c r="H471" t="str">
        <f ca="1">IFERROR(__xludf.DUMMYFUNCTION("""COMPUTED_VALUE"""),"Nassau/Amelia River Oyster Rakes")</f>
        <v>Nassau/Amelia River Oyster Rakes</v>
      </c>
      <c r="I471" s="15">
        <f ca="1">IFERROR(__xludf.DUMMYFUNCTION("""COMPUTED_VALUE"""),0.666666666667879)</f>
        <v>0.66666666666787899</v>
      </c>
      <c r="J471" s="16"/>
      <c r="K471" t="str">
        <f ca="1">IFERROR(__xludf.DUMMYFUNCTION("""COMPUTED_VALUE"""),"23ft Skiff (Bertha) FL7972LJ DEP07613")</f>
        <v>23ft Skiff (Bertha) FL7972LJ DEP07613</v>
      </c>
      <c r="M471" t="str">
        <f ca="1">IFERROR(__xludf.DUMMYFUNCTION("""COMPUTED_VALUE"""),"Ford F150 2018 (AP) - DEP21637")</f>
        <v>Ford F150 2018 (AP) - DEP21637</v>
      </c>
      <c r="N471" t="str">
        <f ca="1">IFERROR(__xludf.DUMMYFUNCTION("""COMPUTED_VALUE"""),"Jimmy Tomazinis, (904) 547-0094")</f>
        <v>Jimmy Tomazinis, (904) 547-0094</v>
      </c>
      <c r="O471" t="str">
        <f ca="1">IFERROR(__xludf.DUMMYFUNCTION("""COMPUTED_VALUE"""),"Jean Olbert, Joe Marchionno and others")</f>
        <v>Jean Olbert, Joe Marchionno and others</v>
      </c>
      <c r="P471" t="str">
        <f ca="1">IFERROR(__xludf.DUMMYFUNCTION("""COMPUTED_VALUE"""),"Jimmy")</f>
        <v>Jimmy</v>
      </c>
      <c r="Q471" t="str">
        <f ca="1">IFERROR(__xludf.DUMMYFUNCTION("""COMPUTED_VALUE"""),"All items in working order")</f>
        <v>All items in working order</v>
      </c>
      <c r="AE471" s="11"/>
      <c r="AF471" t="str">
        <v>Scott.Eastman@floridadep.gov</v>
      </c>
      <c r="AG471" s="18"/>
    </row>
    <row r="472" spans="1:33" ht="12.75">
      <c r="A472" s="10">
        <f ca="1">IFERROR(__xludf.DUMMYFUNCTION("""COMPUTED_VALUE"""),43879.3789261342)</f>
        <v>43879.378926134203</v>
      </c>
      <c r="B472" s="11" t="str">
        <f ca="1">IFERROR(__xludf.DUMMYFUNCTION("""COMPUTED_VALUE"""),"Pam Marcum")</f>
        <v>Pam Marcum</v>
      </c>
      <c r="C472" t="str">
        <f ca="1">IFERROR(__xludf.DUMMYFUNCTION("""COMPUTED_VALUE"""),"Pamela.Marcum@floridadep.gov")</f>
        <v>Pamela.Marcum@floridadep.gov</v>
      </c>
      <c r="D472" t="str">
        <f ca="1">IFERROR(__xludf.DUMMYFUNCTION("""COMPUTED_VALUE"""),"Research/Nikki")</f>
        <v>Research/Nikki</v>
      </c>
      <c r="E472" t="str">
        <f ca="1">IFERROR(__xludf.DUMMYFUNCTION("""COMPUTED_VALUE"""),"Aunt Kate's")</f>
        <v>Aunt Kate's</v>
      </c>
      <c r="F472" s="13">
        <f ca="1">IFERROR(__xludf.DUMMYFUNCTION("""COMPUTED_VALUE"""),0.39583333333212)</f>
        <v>0.39583333333212001</v>
      </c>
      <c r="G472" s="14">
        <f ca="1">IFERROR(__xludf.DUMMYFUNCTION("""COMPUTED_VALUE"""),43879)</f>
        <v>43879</v>
      </c>
      <c r="H472" t="str">
        <f ca="1">IFERROR(__xludf.DUMMYFUNCTION("""COMPUTED_VALUE"""),"San Sebastian/Pine Island")</f>
        <v>San Sebastian/Pine Island</v>
      </c>
      <c r="I472" s="15">
        <f ca="1">IFERROR(__xludf.DUMMYFUNCTION("""COMPUTED_VALUE"""),0.541666666667879)</f>
        <v>0.54166666666787899</v>
      </c>
      <c r="J472" s="16">
        <f ca="1">IFERROR(__xludf.DUMMYFUNCTION("""COMPUTED_VALUE"""),43879.5625)</f>
        <v>43879.5625</v>
      </c>
      <c r="K472" t="str">
        <f ca="1">IFERROR(__xludf.DUMMYFUNCTION("""COMPUTED_VALUE"""),"20ft Sea Ark FL5351SJ UNF 2015")</f>
        <v>20ft Sea Ark FL5351SJ UNF 2015</v>
      </c>
      <c r="M472" t="str">
        <f ca="1">IFERROR(__xludf.DUMMYFUNCTION("""COMPUTED_VALUE"""),"Ford F250 2017 (Moby Dix) - DEP0021578")</f>
        <v>Ford F250 2017 (Moby Dix) - DEP0021578</v>
      </c>
      <c r="N472" t="str">
        <f ca="1">IFERROR(__xludf.DUMMYFUNCTION("""COMPUTED_VALUE"""),"Pam Marcum, (480) 332-5414")</f>
        <v>Pam Marcum, (480) 332-5414</v>
      </c>
      <c r="O472" t="str">
        <f ca="1">IFERROR(__xludf.DUMMYFUNCTION("""COMPUTED_VALUE"""),"Alee Knoell, (619) 750-4833, Rauney Mitchell, Traci Yochum, Jeff Finnan, Chris Blanco")</f>
        <v>Alee Knoell, (619) 750-4833, Rauney Mitchell, Traci Yochum, Jeff Finnan, Chris Blanco</v>
      </c>
      <c r="P472" t="str">
        <f ca="1">IFERROR(__xludf.DUMMYFUNCTION("""COMPUTED_VALUE"""),"Pam")</f>
        <v>Pam</v>
      </c>
      <c r="Q472" t="str">
        <f ca="1">IFERROR(__xludf.DUMMYFUNCTION("""COMPUTED_VALUE"""),"All items in working order")</f>
        <v>All items in working order</v>
      </c>
      <c r="AE472" s="11"/>
      <c r="AF472" t="str">
        <v>Nikki.Dix@floridadep.gov</v>
      </c>
      <c r="AG472" s="18"/>
    </row>
    <row r="473" spans="1:33" ht="12.75">
      <c r="A473" s="10">
        <f ca="1">IFERROR(__xludf.DUMMYFUNCTION("""COMPUTED_VALUE"""),43880.4174608101)</f>
        <v>43880.417460810102</v>
      </c>
      <c r="B473" s="11" t="str">
        <f ca="1">IFERROR(__xludf.DUMMYFUNCTION("""COMPUTED_VALUE"""),"Pamela Marcum")</f>
        <v>Pamela Marcum</v>
      </c>
      <c r="C473" t="str">
        <f ca="1">IFERROR(__xludf.DUMMYFUNCTION("""COMPUTED_VALUE"""),"Pamela.Marcum@FloridaDEP.gov")</f>
        <v>Pamela.Marcum@FloridaDEP.gov</v>
      </c>
      <c r="D473" t="str">
        <f ca="1">IFERROR(__xludf.DUMMYFUNCTION("""COMPUTED_VALUE"""),"Research/Nikki")</f>
        <v>Research/Nikki</v>
      </c>
      <c r="E473" t="str">
        <f ca="1">IFERROR(__xludf.DUMMYFUNCTION("""COMPUTED_VALUE"""),"Aunt Kate's")</f>
        <v>Aunt Kate's</v>
      </c>
      <c r="F473" s="13">
        <f ca="1">IFERROR(__xludf.DUMMYFUNCTION("""COMPUTED_VALUE"""),0.4375)</f>
        <v>0.4375</v>
      </c>
      <c r="G473" s="14">
        <f ca="1">IFERROR(__xludf.DUMMYFUNCTION("""COMPUTED_VALUE"""),43880)</f>
        <v>43880</v>
      </c>
      <c r="H473" t="str">
        <f ca="1">IFERROR(__xludf.DUMMYFUNCTION("""COMPUTED_VALUE"""),"Robinson's Creek")</f>
        <v>Robinson's Creek</v>
      </c>
      <c r="I473" s="15">
        <f ca="1">IFERROR(__xludf.DUMMYFUNCTION("""COMPUTED_VALUE"""),0.52083333333212)</f>
        <v>0.52083333333212001</v>
      </c>
      <c r="J473" s="16">
        <f ca="1">IFERROR(__xludf.DUMMYFUNCTION("""COMPUTED_VALUE"""),43880.5416666666)</f>
        <v>43880.541666666599</v>
      </c>
      <c r="K473" t="str">
        <f ca="1">IFERROR(__xludf.DUMMYFUNCTION("""COMPUTED_VALUE"""),"20ft Sea Ark FL5351SJ UNF 2015")</f>
        <v>20ft Sea Ark FL5351SJ UNF 2015</v>
      </c>
      <c r="M473" t="str">
        <f ca="1">IFERROR(__xludf.DUMMYFUNCTION("""COMPUTED_VALUE"""),"Ford F250 2017 (Moby Dix) - DEP0021578")</f>
        <v>Ford F250 2017 (Moby Dix) - DEP0021578</v>
      </c>
      <c r="N473" t="str">
        <f ca="1">IFERROR(__xludf.DUMMYFUNCTION("""COMPUTED_VALUE"""),"Pam Marcum, (480) 332-5414")</f>
        <v>Pam Marcum, (480) 332-5414</v>
      </c>
      <c r="O473" t="str">
        <f ca="1">IFERROR(__xludf.DUMMYFUNCTION("""COMPUTED_VALUE"""),"Alee Knoell, (619) 750-4833, Jeff Finnan, Zach Lepera, Spencer Baba")</f>
        <v>Alee Knoell, (619) 750-4833, Jeff Finnan, Zach Lepera, Spencer Baba</v>
      </c>
      <c r="P473" t="str">
        <f ca="1">IFERROR(__xludf.DUMMYFUNCTION("""COMPUTED_VALUE"""),"Pam")</f>
        <v>Pam</v>
      </c>
      <c r="Q473" t="str">
        <f ca="1">IFERROR(__xludf.DUMMYFUNCTION("""COMPUTED_VALUE"""),"All items in working order")</f>
        <v>All items in working order</v>
      </c>
      <c r="AE473" s="11"/>
      <c r="AF473" t="str">
        <v>Nikki.Dix@floridadep.gov</v>
      </c>
      <c r="AG473" s="18"/>
    </row>
    <row r="474" spans="1:33" ht="12.75">
      <c r="A474" s="10">
        <f ca="1">IFERROR(__xludf.DUMMYFUNCTION("""COMPUTED_VALUE"""),43881.4632688657)</f>
        <v>43881.4632688657</v>
      </c>
      <c r="B474" s="11" t="str">
        <f ca="1">IFERROR(__xludf.DUMMYFUNCTION("""COMPUTED_VALUE"""),"Pam Marcum")</f>
        <v>Pam Marcum</v>
      </c>
      <c r="C474" t="str">
        <f ca="1">IFERROR(__xludf.DUMMYFUNCTION("""COMPUTED_VALUE"""),"Pamela.Marcum@dep.state.fl.us")</f>
        <v>Pamela.Marcum@dep.state.fl.us</v>
      </c>
      <c r="D474" t="str">
        <f ca="1">IFERROR(__xludf.DUMMYFUNCTION("""COMPUTED_VALUE"""),"Administration")</f>
        <v>Administration</v>
      </c>
      <c r="E474" t="str">
        <f ca="1">IFERROR(__xludf.DUMMYFUNCTION("""COMPUTED_VALUE"""),"Aunt Kate's")</f>
        <v>Aunt Kate's</v>
      </c>
      <c r="F474" s="13">
        <f ca="1">IFERROR(__xludf.DUMMYFUNCTION("""COMPUTED_VALUE"""),0.479166666667879)</f>
        <v>0.47916666666787899</v>
      </c>
      <c r="G474" s="14">
        <f ca="1">IFERROR(__xludf.DUMMYFUNCTION("""COMPUTED_VALUE"""),43881)</f>
        <v>43881</v>
      </c>
      <c r="H474" t="str">
        <f ca="1">IFERROR(__xludf.DUMMYFUNCTION("""COMPUTED_VALUE"""),"Guana River")</f>
        <v>Guana River</v>
      </c>
      <c r="I474" s="15">
        <f ca="1">IFERROR(__xludf.DUMMYFUNCTION("""COMPUTED_VALUE"""),0.58333333333212)</f>
        <v>0.58333333333212001</v>
      </c>
      <c r="J474" s="16">
        <f ca="1">IFERROR(__xludf.DUMMYFUNCTION("""COMPUTED_VALUE"""),43881.6041666666)</f>
        <v>43881.604166666599</v>
      </c>
      <c r="K474" t="str">
        <f ca="1">IFERROR(__xludf.DUMMYFUNCTION("""COMPUTED_VALUE"""),"20ft Sea Ark FL5351SJ UNF 2015")</f>
        <v>20ft Sea Ark FL5351SJ UNF 2015</v>
      </c>
      <c r="M474" t="str">
        <f ca="1">IFERROR(__xludf.DUMMYFUNCTION("""COMPUTED_VALUE"""),"Ford F250 2017 (Moby Dix) - DEP0021578")</f>
        <v>Ford F250 2017 (Moby Dix) - DEP0021578</v>
      </c>
      <c r="N474" t="str">
        <f ca="1">IFERROR(__xludf.DUMMYFUNCTION("""COMPUTED_VALUE"""),"Nikki Dix, (352) 219-4079, Pam Marcum, (480) 332-5414, Jimmy Tomazinis, (904) 547-0094")</f>
        <v>Nikki Dix, (352) 219-4079, Pam Marcum, (480) 332-5414, Jimmy Tomazinis, (904) 547-0094</v>
      </c>
      <c r="O474" t="str">
        <f ca="1">IFERROR(__xludf.DUMMYFUNCTION("""COMPUTED_VALUE"""),"Alee Knoell, (619) 750-4833")</f>
        <v>Alee Knoell, (619) 750-4833</v>
      </c>
      <c r="P474" t="str">
        <f ca="1">IFERROR(__xludf.DUMMYFUNCTION("""COMPUTED_VALUE"""),"Pam")</f>
        <v>Pam</v>
      </c>
      <c r="Q474" t="str">
        <f ca="1">IFERROR(__xludf.DUMMYFUNCTION("""COMPUTED_VALUE"""),"All items in working order")</f>
        <v>All items in working order</v>
      </c>
      <c r="AE474" s="11"/>
      <c r="AF474" t="str">
        <v>Lia.Sansom@floridadep.gov</v>
      </c>
      <c r="AG474" s="18"/>
    </row>
    <row r="475" spans="1:33" ht="12.75">
      <c r="A475" s="10">
        <f ca="1">IFERROR(__xludf.DUMMYFUNCTION("""COMPUTED_VALUE"""),43886.3133993749)</f>
        <v>43886.3133993749</v>
      </c>
      <c r="B475" s="11" t="str">
        <f ca="1">IFERROR(__xludf.DUMMYFUNCTION("""COMPUTED_VALUE"""),"J Silas Tanner")</f>
        <v>J Silas Tanner</v>
      </c>
      <c r="C475" t="str">
        <f ca="1">IFERROR(__xludf.DUMMYFUNCTION("""COMPUTED_VALUE"""),"silas.tanner@floridadep.gov")</f>
        <v>silas.tanner@floridadep.gov</v>
      </c>
      <c r="D475" t="str">
        <f ca="1">IFERROR(__xludf.DUMMYFUNCTION("""COMPUTED_VALUE"""),"Research/Nikki")</f>
        <v>Research/Nikki</v>
      </c>
      <c r="E475" t="str">
        <f ca="1">IFERROR(__xludf.DUMMYFUNCTION("""COMPUTED_VALUE"""),"Douglas Crane, Green Road")</f>
        <v>Douglas Crane, Green Road</v>
      </c>
      <c r="F475" s="13">
        <f ca="1">IFERROR(__xludf.DUMMYFUNCTION("""COMPUTED_VALUE"""),0.385416666667879)</f>
        <v>0.38541666666787899</v>
      </c>
      <c r="G475" s="14">
        <f ca="1">IFERROR(__xludf.DUMMYFUNCTION("""COMPUTED_VALUE"""),43886)</f>
        <v>43886</v>
      </c>
      <c r="H475" t="str">
        <f ca="1">IFERROR(__xludf.DUMMYFUNCTION("""COMPUTED_VALUE"""),"ICW SWMP Sites: San Sebastian &amp; Fort Matanzas")</f>
        <v>ICW SWMP Sites: San Sebastian &amp; Fort Matanzas</v>
      </c>
      <c r="I475" s="15">
        <f ca="1">IFERROR(__xludf.DUMMYFUNCTION("""COMPUTED_VALUE"""),0.625)</f>
        <v>0.625</v>
      </c>
      <c r="J475" s="16">
        <f ca="1">IFERROR(__xludf.DUMMYFUNCTION("""COMPUTED_VALUE"""),43886.6666666666)</f>
        <v>43886.666666666599</v>
      </c>
      <c r="K475" t="str">
        <f ca="1">IFERROR(__xludf.DUMMYFUNCTION("""COMPUTED_VALUE"""),"20ft Sea Ark FL5351SJ UNF 2015")</f>
        <v>20ft Sea Ark FL5351SJ UNF 2015</v>
      </c>
      <c r="M475" t="str">
        <f ca="1">IFERROR(__xludf.DUMMYFUNCTION("""COMPUTED_VALUE"""),"Ford F250 2017 (Moby Dix) - DEP0021578")</f>
        <v>Ford F250 2017 (Moby Dix) - DEP0021578</v>
      </c>
      <c r="N475" t="str">
        <f ca="1">IFERROR(__xludf.DUMMYFUNCTION("""COMPUTED_VALUE"""),"Silas Tanner, (904) 483-8423")</f>
        <v>Silas Tanner, (904) 483-8423</v>
      </c>
      <c r="O475" t="str">
        <f ca="1">IFERROR(__xludf.DUMMYFUNCTION("""COMPUTED_VALUE"""),"Chris Blanco")</f>
        <v>Chris Blanco</v>
      </c>
      <c r="P475" t="str">
        <f ca="1">IFERROR(__xludf.DUMMYFUNCTION("""COMPUTED_VALUE"""),"S. Tanner")</f>
        <v>S. Tanner</v>
      </c>
      <c r="Q475" t="str">
        <f ca="1">IFERROR(__xludf.DUMMYFUNCTION("""COMPUTED_VALUE"""),"All items in working order")</f>
        <v>All items in working order</v>
      </c>
      <c r="AE475" s="11"/>
      <c r="AF475" t="str">
        <v>Nikki.Dix@floridadep.gov</v>
      </c>
      <c r="AG475" s="18"/>
    </row>
    <row r="476" spans="1:33" ht="12.75">
      <c r="A476" s="10">
        <f ca="1">IFERROR(__xludf.DUMMYFUNCTION("""COMPUTED_VALUE"""),43887.3099458449)</f>
        <v>43887.3099458449</v>
      </c>
      <c r="B476" s="11" t="str">
        <f ca="1">IFERROR(__xludf.DUMMYFUNCTION("""COMPUTED_VALUE"""),"Silas Tanner")</f>
        <v>Silas Tanner</v>
      </c>
      <c r="C476" t="str">
        <f ca="1">IFERROR(__xludf.DUMMYFUNCTION("""COMPUTED_VALUE"""),"silas.tanner@floridadep.gov")</f>
        <v>silas.tanner@floridadep.gov</v>
      </c>
      <c r="D476" t="str">
        <f ca="1">IFERROR(__xludf.DUMMYFUNCTION("""COMPUTED_VALUE"""),"Research/Nikki")</f>
        <v>Research/Nikki</v>
      </c>
      <c r="E476" t="str">
        <f ca="1">IFERROR(__xludf.DUMMYFUNCTION("""COMPUTED_VALUE"""),"ICW Palm Valley")</f>
        <v>ICW Palm Valley</v>
      </c>
      <c r="F476" s="13">
        <f ca="1">IFERROR(__xludf.DUMMYFUNCTION("""COMPUTED_VALUE"""),0.322916666667879)</f>
        <v>0.32291666666787899</v>
      </c>
      <c r="G476" s="14">
        <f ca="1">IFERROR(__xludf.DUMMYFUNCTION("""COMPUTED_VALUE"""),43887)</f>
        <v>43887</v>
      </c>
      <c r="H476" t="str">
        <f ca="1">IFERROR(__xludf.DUMMYFUNCTION("""COMPUTED_VALUE"""),"ICW Pine Island SWMP station")</f>
        <v>ICW Pine Island SWMP station</v>
      </c>
      <c r="I476" s="15">
        <f ca="1">IFERROR(__xludf.DUMMYFUNCTION("""COMPUTED_VALUE"""),0.375)</f>
        <v>0.375</v>
      </c>
      <c r="J476" s="16">
        <f ca="1">IFERROR(__xludf.DUMMYFUNCTION("""COMPUTED_VALUE"""),43887.3854166666)</f>
        <v>43887.385416666599</v>
      </c>
      <c r="K476" t="str">
        <f ca="1">IFERROR(__xludf.DUMMYFUNCTION("""COMPUTED_VALUE"""),"20ft Sea Ark FL5351SJ UNF 2015")</f>
        <v>20ft Sea Ark FL5351SJ UNF 2015</v>
      </c>
      <c r="M476" t="str">
        <f ca="1">IFERROR(__xludf.DUMMYFUNCTION("""COMPUTED_VALUE"""),"Ford F250 2017 (Moby Dix) - DEP0021578")</f>
        <v>Ford F250 2017 (Moby Dix) - DEP0021578</v>
      </c>
      <c r="N476" t="str">
        <f ca="1">IFERROR(__xludf.DUMMYFUNCTION("""COMPUTED_VALUE"""),"Silas Tanner, (904) 483-8423")</f>
        <v>Silas Tanner, (904) 483-8423</v>
      </c>
      <c r="O476" t="str">
        <f ca="1">IFERROR(__xludf.DUMMYFUNCTION("""COMPUTED_VALUE"""),"Chris Blanco")</f>
        <v>Chris Blanco</v>
      </c>
      <c r="P476" t="str">
        <f ca="1">IFERROR(__xludf.DUMMYFUNCTION("""COMPUTED_VALUE"""),"S. Tanner")</f>
        <v>S. Tanner</v>
      </c>
      <c r="Q476" t="str">
        <f ca="1">IFERROR(__xludf.DUMMYFUNCTION("""COMPUTED_VALUE"""),"All items in working order")</f>
        <v>All items in working order</v>
      </c>
      <c r="AE476" s="11"/>
      <c r="AF476" t="str">
        <v>Nikki.Dix@floridadep.gov</v>
      </c>
      <c r="AG476" s="18"/>
    </row>
    <row r="477" spans="1:33" ht="12.75">
      <c r="A477" s="10">
        <f ca="1">IFERROR(__xludf.DUMMYFUNCTION("""COMPUTED_VALUE"""),43893.2970579861)</f>
        <v>43893.297057986099</v>
      </c>
      <c r="B477" s="11" t="str">
        <f ca="1">IFERROR(__xludf.DUMMYFUNCTION("""COMPUTED_VALUE"""),"Pam Marcum")</f>
        <v>Pam Marcum</v>
      </c>
      <c r="C477" t="str">
        <f ca="1">IFERROR(__xludf.DUMMYFUNCTION("""COMPUTED_VALUE"""),"pamela.marcum@floridadep.gov")</f>
        <v>pamela.marcum@floridadep.gov</v>
      </c>
      <c r="D477" t="str">
        <f ca="1">IFERROR(__xludf.DUMMYFUNCTION("""COMPUTED_VALUE"""),"Research/Nikki")</f>
        <v>Research/Nikki</v>
      </c>
      <c r="E477" t="str">
        <f ca="1">IFERROR(__xludf.DUMMYFUNCTION("""COMPUTED_VALUE"""),"Vilano")</f>
        <v>Vilano</v>
      </c>
      <c r="F477" s="13">
        <f ca="1">IFERROR(__xludf.DUMMYFUNCTION("""COMPUTED_VALUE"""),0.291666666667879)</f>
        <v>0.29166666666787899</v>
      </c>
      <c r="G477" s="14">
        <f ca="1">IFERROR(__xludf.DUMMYFUNCTION("""COMPUTED_VALUE"""),43893)</f>
        <v>43893</v>
      </c>
      <c r="H477" t="str">
        <f ca="1">IFERROR(__xludf.DUMMYFUNCTION("""COMPUTED_VALUE"""),"Spat trees SR, GR, TR, SA, FM")</f>
        <v>Spat trees SR, GR, TR, SA, FM</v>
      </c>
      <c r="I477" s="15">
        <f ca="1">IFERROR(__xludf.DUMMYFUNCTION("""COMPUTED_VALUE"""),0.666666666667879)</f>
        <v>0.66666666666787899</v>
      </c>
      <c r="J477" s="16">
        <f ca="1">IFERROR(__xludf.DUMMYFUNCTION("""COMPUTED_VALUE"""),43893.6770833333)</f>
        <v>43893.677083333299</v>
      </c>
      <c r="K477" t="str">
        <f ca="1">IFERROR(__xludf.DUMMYFUNCTION("""COMPUTED_VALUE"""),"20ft Sea Ark FL5351SJ UNF 2015")</f>
        <v>20ft Sea Ark FL5351SJ UNF 2015</v>
      </c>
      <c r="M477" t="str">
        <f ca="1">IFERROR(__xludf.DUMMYFUNCTION("""COMPUTED_VALUE"""),"Ford F250 2017 (Moby Dix) - DEP0021578")</f>
        <v>Ford F250 2017 (Moby Dix) - DEP0021578</v>
      </c>
      <c r="N477" t="str">
        <f ca="1">IFERROR(__xludf.DUMMYFUNCTION("""COMPUTED_VALUE"""),"Pam Marcum, (480) 332-5414")</f>
        <v>Pam Marcum, (480) 332-5414</v>
      </c>
      <c r="O477" t="str">
        <f ca="1">IFERROR(__xludf.DUMMYFUNCTION("""COMPUTED_VALUE"""),"Alee Knoell, (619) 750-4833, Adrienne Breef-Pilz (TR GR only)")</f>
        <v>Alee Knoell, (619) 750-4833, Adrienne Breef-Pilz (TR GR only)</v>
      </c>
      <c r="P477" t="str">
        <f ca="1">IFERROR(__xludf.DUMMYFUNCTION("""COMPUTED_VALUE"""),"Pam")</f>
        <v>Pam</v>
      </c>
      <c r="Q477" t="str">
        <f ca="1">IFERROR(__xludf.DUMMYFUNCTION("""COMPUTED_VALUE"""),"All items in working order")</f>
        <v>All items in working order</v>
      </c>
      <c r="AE477" s="11"/>
      <c r="AF477" t="str">
        <v>Nikki.Dix@floridadep.gov</v>
      </c>
      <c r="AG477" s="18"/>
    </row>
    <row r="478" spans="1:33" ht="12.75">
      <c r="A478" s="10">
        <f ca="1">IFERROR(__xludf.DUMMYFUNCTION("""COMPUTED_VALUE"""),43894.4782598379)</f>
        <v>43894.478259837902</v>
      </c>
      <c r="B478" s="11" t="str">
        <f ca="1">IFERROR(__xludf.DUMMYFUNCTION("""COMPUTED_VALUE"""),"Shannon Dunnigan")</f>
        <v>Shannon Dunnigan</v>
      </c>
      <c r="C478" t="str">
        <f ca="1">IFERROR(__xludf.DUMMYFUNCTION("""COMPUTED_VALUE"""),"shannon.dunnigan@dep.state.fl.us")</f>
        <v>shannon.dunnigan@dep.state.fl.us</v>
      </c>
      <c r="D478" t="str">
        <f ca="1">IFERROR(__xludf.DUMMYFUNCTION("""COMPUTED_VALUE"""),"Research/Nikki")</f>
        <v>Research/Nikki</v>
      </c>
      <c r="E478" t="str">
        <f ca="1">IFERROR(__xludf.DUMMYFUNCTION("""COMPUTED_VALUE"""),"Crane")</f>
        <v>Crane</v>
      </c>
      <c r="F478" s="13">
        <f ca="1">IFERROR(__xludf.DUMMYFUNCTION("""COMPUTED_VALUE"""),0.510416666667879)</f>
        <v>0.51041666666787899</v>
      </c>
      <c r="G478" s="14">
        <f ca="1">IFERROR(__xludf.DUMMYFUNCTION("""COMPUTED_VALUE"""),43894)</f>
        <v>43894</v>
      </c>
      <c r="H478" t="str">
        <f ca="1">IFERROR(__xludf.DUMMYFUNCTION("""COMPUTED_VALUE"""),"Gabby’s Creek")</f>
        <v>Gabby’s Creek</v>
      </c>
      <c r="I478" s="15">
        <f ca="1">IFERROR(__xludf.DUMMYFUNCTION("""COMPUTED_VALUE"""),0.70833333333212)</f>
        <v>0.70833333333212001</v>
      </c>
      <c r="J478" s="16">
        <f ca="1">IFERROR(__xludf.DUMMYFUNCTION("""COMPUTED_VALUE"""),43894.75)</f>
        <v>43894.75</v>
      </c>
      <c r="K478" t="str">
        <f ca="1">IFERROR(__xludf.DUMMYFUNCTION("""COMPUTED_VALUE"""),"20ft Sea Ark FL5351SJ UNF 2015")</f>
        <v>20ft Sea Ark FL5351SJ UNF 2015</v>
      </c>
      <c r="M478" t="str">
        <f ca="1">IFERROR(__xludf.DUMMYFUNCTION("""COMPUTED_VALUE"""),"Ford F250 2017 (Moby Dix) - DEP0021578")</f>
        <v>Ford F250 2017 (Moby Dix) - DEP0021578</v>
      </c>
      <c r="N478" t="str">
        <f ca="1">IFERROR(__xludf.DUMMYFUNCTION("""COMPUTED_VALUE"""),"Shannon Dunnigan, (803) 727-5734")</f>
        <v>Shannon Dunnigan, (803) 727-5734</v>
      </c>
      <c r="O478" t="str">
        <f ca="1">IFERROR(__xludf.DUMMYFUNCTION("""COMPUTED_VALUE"""),"Gabriela Canas, (904) 891-9743, Alee Knoell, (619) 750-4833, Chris Blanco")</f>
        <v>Gabriela Canas, (904) 891-9743, Alee Knoell, (619) 750-4833, Chris Blanco</v>
      </c>
      <c r="P478" t="str">
        <f ca="1">IFERROR(__xludf.DUMMYFUNCTION("""COMPUTED_VALUE"""),"Shannon")</f>
        <v>Shannon</v>
      </c>
      <c r="Q478" t="str">
        <f ca="1">IFERROR(__xludf.DUMMYFUNCTION("""COMPUTED_VALUE"""),"All items in working order")</f>
        <v>All items in working order</v>
      </c>
      <c r="AE478" s="11"/>
      <c r="AF478" t="str">
        <v>Nikki.Dix@floridadep.gov</v>
      </c>
      <c r="AG478" s="18"/>
    </row>
    <row r="479" spans="1:33" ht="12.75">
      <c r="A479" s="10">
        <f ca="1">IFERROR(__xludf.DUMMYFUNCTION("""COMPUTED_VALUE"""),43896.3365658564)</f>
        <v>43896.3365658564</v>
      </c>
      <c r="B479" s="11" t="str">
        <f ca="1">IFERROR(__xludf.DUMMYFUNCTION("""COMPUTED_VALUE"""),"Alexandria Knoell")</f>
        <v>Alexandria Knoell</v>
      </c>
      <c r="C479" t="str">
        <f ca="1">IFERROR(__xludf.DUMMYFUNCTION("""COMPUTED_VALUE"""),"alee.knoell@floridadep.gov")</f>
        <v>alee.knoell@floridadep.gov</v>
      </c>
      <c r="D479" t="str">
        <f ca="1">IFERROR(__xludf.DUMMYFUNCTION("""COMPUTED_VALUE"""),"Research/Nikki")</f>
        <v>Research/Nikki</v>
      </c>
      <c r="E479" t="str">
        <f ca="1">IFERROR(__xludf.DUMMYFUNCTION("""COMPUTED_VALUE"""),"Crane")</f>
        <v>Crane</v>
      </c>
      <c r="F479" s="13">
        <f ca="1">IFERROR(__xludf.DUMMYFUNCTION("""COMPUTED_VALUE"""),0.354166666667879)</f>
        <v>0.35416666666787899</v>
      </c>
      <c r="G479" s="14">
        <f ca="1">IFERROR(__xludf.DUMMYFUNCTION("""COMPUTED_VALUE"""),43896)</f>
        <v>43896</v>
      </c>
      <c r="H479" t="str">
        <f ca="1">IFERROR(__xludf.DUMMYFUNCTION("""COMPUTED_VALUE"""),"Gabbys creek")</f>
        <v>Gabbys creek</v>
      </c>
      <c r="I479" s="15">
        <f ca="1">IFERROR(__xludf.DUMMYFUNCTION("""COMPUTED_VALUE"""),0.666666666667879)</f>
        <v>0.66666666666787899</v>
      </c>
      <c r="J479" s="16">
        <f ca="1">IFERROR(__xludf.DUMMYFUNCTION("""COMPUTED_VALUE"""),43957.6875)</f>
        <v>43957.6875</v>
      </c>
      <c r="K479" t="str">
        <f ca="1">IFERROR(__xludf.DUMMYFUNCTION("""COMPUTED_VALUE"""),"20ft Sea Ark FL5351SJ UNF 2015")</f>
        <v>20ft Sea Ark FL5351SJ UNF 2015</v>
      </c>
      <c r="M479" t="str">
        <f ca="1">IFERROR(__xludf.DUMMYFUNCTION("""COMPUTED_VALUE"""),"Ford F250 2017 (Moby Dix) - DEP0021578")</f>
        <v>Ford F250 2017 (Moby Dix) - DEP0021578</v>
      </c>
      <c r="N479" t="str">
        <f ca="1">IFERROR(__xludf.DUMMYFUNCTION("""COMPUTED_VALUE"""),"Gabby Canas")</f>
        <v>Gabby Canas</v>
      </c>
      <c r="O479" t="str">
        <f ca="1">IFERROR(__xludf.DUMMYFUNCTION("""COMPUTED_VALUE"""),"Alee Knoell, (619) 750-4833, Mathew Stirchio, Chris blanco, Julie Campbell ")</f>
        <v xml:space="preserve">Alee Knoell, (619) 750-4833, Mathew Stirchio, Chris blanco, Julie Campbell </v>
      </c>
      <c r="P479" t="str">
        <f ca="1">IFERROR(__xludf.DUMMYFUNCTION("""COMPUTED_VALUE"""),"Gabby Canas")</f>
        <v>Gabby Canas</v>
      </c>
      <c r="Q479" t="str">
        <f ca="1">IFERROR(__xludf.DUMMYFUNCTION("""COMPUTED_VALUE"""),"All items in working order")</f>
        <v>All items in working order</v>
      </c>
      <c r="AE479" s="11"/>
      <c r="AF479" t="str">
        <v>Nikki.Dix@floridadep.gov</v>
      </c>
      <c r="AG479" s="18"/>
    </row>
    <row r="480" spans="1:33" ht="12.75">
      <c r="A480" s="10">
        <f ca="1">IFERROR(__xludf.DUMMYFUNCTION("""COMPUTED_VALUE"""),43899.3290685185)</f>
        <v>43899.329068518498</v>
      </c>
      <c r="B480" s="11" t="str">
        <f ca="1">IFERROR(__xludf.DUMMYFUNCTION("""COMPUTED_VALUE"""),"James Tomazinis")</f>
        <v>James Tomazinis</v>
      </c>
      <c r="C480" t="str">
        <f ca="1">IFERROR(__xludf.DUMMYFUNCTION("""COMPUTED_VALUE"""),"james.tomazinis@floridadep.gov")</f>
        <v>james.tomazinis@floridadep.gov</v>
      </c>
      <c r="D480" t="str">
        <f ca="1">IFERROR(__xludf.DUMMYFUNCTION("""COMPUTED_VALUE"""),"Stewardship (Aquatic)")</f>
        <v>Stewardship (Aquatic)</v>
      </c>
      <c r="E480" t="str">
        <f ca="1">IFERROR(__xludf.DUMMYFUNCTION("""COMPUTED_VALUE"""),"Holly Point, Dee Dee Bartels")</f>
        <v>Holly Point, Dee Dee Bartels</v>
      </c>
      <c r="F480" s="13">
        <f ca="1">IFERROR(__xludf.DUMMYFUNCTION("""COMPUTED_VALUE"""),0.416666666667879)</f>
        <v>0.41666666666787899</v>
      </c>
      <c r="G480" s="14">
        <f ca="1">IFERROR(__xludf.DUMMYFUNCTION("""COMPUTED_VALUE"""),43899)</f>
        <v>43899</v>
      </c>
      <c r="H480" t="str">
        <f ca="1">IFERROR(__xludf.DUMMYFUNCTION("""COMPUTED_VALUE"""),"NEAP WQ Sites")</f>
        <v>NEAP WQ Sites</v>
      </c>
      <c r="I480" s="15">
        <f ca="1">IFERROR(__xludf.DUMMYFUNCTION("""COMPUTED_VALUE"""),0.625)</f>
        <v>0.625</v>
      </c>
      <c r="J480" s="16"/>
      <c r="K480" t="str">
        <f ca="1">IFERROR(__xludf.DUMMYFUNCTION("""COMPUTED_VALUE"""),"17ft Skiff (Marsha) FL0642GW DEP07239")</f>
        <v>17ft Skiff (Marsha) FL0642GW DEP07239</v>
      </c>
      <c r="M480" t="str">
        <f ca="1">IFERROR(__xludf.DUMMYFUNCTION("""COMPUTED_VALUE"""),"Ford F150 2010 (4 Door) - DEP07668")</f>
        <v>Ford F150 2010 (4 Door) - DEP07668</v>
      </c>
      <c r="N480" t="str">
        <f ca="1">IFERROR(__xludf.DUMMYFUNCTION("""COMPUTED_VALUE"""),"Jimmy Tomazinis, (904) 547-0094")</f>
        <v>Jimmy Tomazinis, (904) 547-0094</v>
      </c>
      <c r="O480" t="str">
        <f ca="1">IFERROR(__xludf.DUMMYFUNCTION("""COMPUTED_VALUE"""),"Suzi")</f>
        <v>Suzi</v>
      </c>
      <c r="P480" t="str">
        <f ca="1">IFERROR(__xludf.DUMMYFUNCTION("""COMPUTED_VALUE"""),"Jimmy")</f>
        <v>Jimmy</v>
      </c>
      <c r="Q480" t="str">
        <f ca="1">IFERROR(__xludf.DUMMYFUNCTION("""COMPUTED_VALUE"""),"All items in working order")</f>
        <v>All items in working order</v>
      </c>
      <c r="AE480" s="11"/>
      <c r="AF480" t="str">
        <v>Scott.Eastman@floridadep.gov</v>
      </c>
      <c r="AG480" s="18"/>
    </row>
    <row r="481" spans="1:33" ht="12.75">
      <c r="A481" s="10">
        <f ca="1">IFERROR(__xludf.DUMMYFUNCTION("""COMPUTED_VALUE"""),43899.3699103356)</f>
        <v>43899.369910335598</v>
      </c>
      <c r="B481" s="11" t="str">
        <f ca="1">IFERROR(__xludf.DUMMYFUNCTION("""COMPUTED_VALUE"""),"Jessica Lee")</f>
        <v>Jessica Lee</v>
      </c>
      <c r="C481" t="str">
        <f ca="1">IFERROR(__xludf.DUMMYFUNCTION("""COMPUTED_VALUE"""),"jessica.lee@FloridaDEP.gov")</f>
        <v>jessica.lee@FloridaDEP.gov</v>
      </c>
      <c r="D481" t="str">
        <f ca="1">IFERROR(__xludf.DUMMYFUNCTION("""COMPUTED_VALUE"""),"Research/Nikki")</f>
        <v>Research/Nikki</v>
      </c>
      <c r="E481" t="str">
        <f ca="1">IFERROR(__xludf.DUMMYFUNCTION("""COMPUTED_VALUE"""),"Guana River")</f>
        <v>Guana River</v>
      </c>
      <c r="F481" s="13">
        <f ca="1">IFERROR(__xludf.DUMMYFUNCTION("""COMPUTED_VALUE"""),0.40625)</f>
        <v>0.40625</v>
      </c>
      <c r="G481" s="14">
        <f ca="1">IFERROR(__xludf.DUMMYFUNCTION("""COMPUTED_VALUE"""),43899)</f>
        <v>43899</v>
      </c>
      <c r="H481" t="str">
        <f ca="1">IFERROR(__xludf.DUMMYFUNCTION("""COMPUTED_VALUE"""),"Guana River")</f>
        <v>Guana River</v>
      </c>
      <c r="I481" s="15">
        <f ca="1">IFERROR(__xludf.DUMMYFUNCTION("""COMPUTED_VALUE"""),0.479166666667879)</f>
        <v>0.47916666666787899</v>
      </c>
      <c r="J481" s="16">
        <f ca="1">IFERROR(__xludf.DUMMYFUNCTION("""COMPUTED_VALUE"""),43899.5)</f>
        <v>43899.5</v>
      </c>
      <c r="K481" t="str">
        <f ca="1">IFERROR(__xludf.DUMMYFUNCTION("""COMPUTED_VALUE"""),"Jon Boat FL0484NP DEP06819")</f>
        <v>Jon Boat FL0484NP DEP06819</v>
      </c>
      <c r="M481" t="str">
        <f ca="1">IFERROR(__xludf.DUMMYFUNCTION("""COMPUTED_VALUE"""),"Ford F250 2017 (Moby Dix) - DEP0021578")</f>
        <v>Ford F250 2017 (Moby Dix) - DEP0021578</v>
      </c>
      <c r="N481" t="str">
        <f ca="1">IFERROR(__xludf.DUMMYFUNCTION("""COMPUTED_VALUE"""),"Pam Marcum, (480) 332-5414")</f>
        <v>Pam Marcum, (480) 332-5414</v>
      </c>
      <c r="P481" t="str">
        <f ca="1">IFERROR(__xludf.DUMMYFUNCTION("""COMPUTED_VALUE"""),"Pam")</f>
        <v>Pam</v>
      </c>
      <c r="Q481" t="str">
        <f ca="1">IFERROR(__xludf.DUMMYFUNCTION("""COMPUTED_VALUE"""),"All items in working order")</f>
        <v>All items in working order</v>
      </c>
      <c r="AE481" s="11"/>
      <c r="AF481" t="str">
        <v>Nikki.Dix@floridadep.gov</v>
      </c>
      <c r="AG481" s="18"/>
    </row>
    <row r="482" spans="1:33" ht="12.75">
      <c r="A482" s="10">
        <f ca="1">IFERROR(__xludf.DUMMYFUNCTION("""COMPUTED_VALUE"""),43900.407843449)</f>
        <v>43900.407843449</v>
      </c>
      <c r="B482" s="11" t="str">
        <f ca="1">IFERROR(__xludf.DUMMYFUNCTION("""COMPUTED_VALUE"""),"Alexandria Knoell")</f>
        <v>Alexandria Knoell</v>
      </c>
      <c r="C482" t="str">
        <f ca="1">IFERROR(__xludf.DUMMYFUNCTION("""COMPUTED_VALUE"""),"alee.knoell@floridadep.gov")</f>
        <v>alee.knoell@floridadep.gov</v>
      </c>
      <c r="D482" t="str">
        <f ca="1">IFERROR(__xludf.DUMMYFUNCTION("""COMPUTED_VALUE"""),"Research/Pam")</f>
        <v>Research/Pam</v>
      </c>
      <c r="E482" t="str">
        <f ca="1">IFERROR(__xludf.DUMMYFUNCTION("""COMPUTED_VALUE"""),"Vilano")</f>
        <v>Vilano</v>
      </c>
      <c r="F482" s="13">
        <f ca="1">IFERROR(__xludf.DUMMYFUNCTION("""COMPUTED_VALUE"""),0.416666666667879)</f>
        <v>0.41666666666787899</v>
      </c>
      <c r="G482" s="14">
        <f ca="1">IFERROR(__xludf.DUMMYFUNCTION("""COMPUTED_VALUE"""),43900)</f>
        <v>43900</v>
      </c>
      <c r="H482" t="str">
        <f ca="1">IFERROR(__xludf.DUMMYFUNCTION("""COMPUTED_VALUE"""),"Icw swmp sites")</f>
        <v>Icw swmp sites</v>
      </c>
      <c r="I482" s="15">
        <f ca="1">IFERROR(__xludf.DUMMYFUNCTION("""COMPUTED_VALUE"""),0.625)</f>
        <v>0.625</v>
      </c>
      <c r="J482" s="16">
        <f ca="1">IFERROR(__xludf.DUMMYFUNCTION("""COMPUTED_VALUE"""),43900.6458333333)</f>
        <v>43900.645833333299</v>
      </c>
      <c r="K482" t="str">
        <f ca="1">IFERROR(__xludf.DUMMYFUNCTION("""COMPUTED_VALUE"""),"23ft Skiff (Bertha) FL7972LJ DEP07613")</f>
        <v>23ft Skiff (Bertha) FL7972LJ DEP07613</v>
      </c>
      <c r="M482" t="str">
        <f ca="1">IFERROR(__xludf.DUMMYFUNCTION("""COMPUTED_VALUE"""),"Ford F250 2017 (Moby Dix) - DEP0021578")</f>
        <v>Ford F250 2017 (Moby Dix) - DEP0021578</v>
      </c>
      <c r="N482" t="str">
        <f ca="1">IFERROR(__xludf.DUMMYFUNCTION("""COMPUTED_VALUE"""),"Silas Tanner, (904) 483-8423")</f>
        <v>Silas Tanner, (904) 483-8423</v>
      </c>
      <c r="O482" t="str">
        <f ca="1">IFERROR(__xludf.DUMMYFUNCTION("""COMPUTED_VALUE"""),"Alee Knoell, (619) 750-4833, Chris Blanco")</f>
        <v>Alee Knoell, (619) 750-4833, Chris Blanco</v>
      </c>
      <c r="P482" t="str">
        <f ca="1">IFERROR(__xludf.DUMMYFUNCTION("""COMPUTED_VALUE"""),"James Silas Tanner ")</f>
        <v xml:space="preserve">James Silas Tanner </v>
      </c>
      <c r="Q482" t="str">
        <f ca="1">IFERROR(__xludf.DUMMYFUNCTION("""COMPUTED_VALUE"""),"All items in working order")</f>
        <v>All items in working order</v>
      </c>
      <c r="AE482" s="11"/>
      <c r="AF482" t="str">
        <v>Pamela.Marcum@floridadep.gov</v>
      </c>
      <c r="AG482" s="18"/>
    </row>
    <row r="483" spans="1:33" ht="12.75">
      <c r="A483" s="10">
        <f ca="1">IFERROR(__xludf.DUMMYFUNCTION("""COMPUTED_VALUE"""),43901.4108833101)</f>
        <v>43901.410883310098</v>
      </c>
      <c r="B483" s="11" t="str">
        <f ca="1">IFERROR(__xludf.DUMMYFUNCTION("""COMPUTED_VALUE"""),"Jessica Lee")</f>
        <v>Jessica Lee</v>
      </c>
      <c r="C483" t="str">
        <f ca="1">IFERROR(__xludf.DUMMYFUNCTION("""COMPUTED_VALUE"""),"jessica.lee@FloridaDEP.gov")</f>
        <v>jessica.lee@FloridaDEP.gov</v>
      </c>
      <c r="D483" t="str">
        <f ca="1">IFERROR(__xludf.DUMMYFUNCTION("""COMPUTED_VALUE"""),"Research/Nikki")</f>
        <v>Research/Nikki</v>
      </c>
      <c r="E483" t="str">
        <f ca="1">IFERROR(__xludf.DUMMYFUNCTION("""COMPUTED_VALUE"""),"Guana River")</f>
        <v>Guana River</v>
      </c>
      <c r="F483" s="13">
        <f ca="1">IFERROR(__xludf.DUMMYFUNCTION("""COMPUTED_VALUE"""),0.48958333333212)</f>
        <v>0.48958333333212001</v>
      </c>
      <c r="G483" s="14">
        <f ca="1">IFERROR(__xludf.DUMMYFUNCTION("""COMPUTED_VALUE"""),43901)</f>
        <v>43901</v>
      </c>
      <c r="H483" t="str">
        <f ca="1">IFERROR(__xludf.DUMMYFUNCTION("""COMPUTED_VALUE"""),"Guana River")</f>
        <v>Guana River</v>
      </c>
      <c r="I483" s="15">
        <f ca="1">IFERROR(__xludf.DUMMYFUNCTION("""COMPUTED_VALUE"""),0.55208333333212)</f>
        <v>0.55208333333212001</v>
      </c>
      <c r="J483" s="16">
        <f ca="1">IFERROR(__xludf.DUMMYFUNCTION("""COMPUTED_VALUE"""),43901.5625)</f>
        <v>43901.5625</v>
      </c>
      <c r="K483" t="str">
        <f ca="1">IFERROR(__xludf.DUMMYFUNCTION("""COMPUTED_VALUE"""),"Jon Boat FL0484NP DEP06819")</f>
        <v>Jon Boat FL0484NP DEP06819</v>
      </c>
      <c r="M483" t="str">
        <f ca="1">IFERROR(__xludf.DUMMYFUNCTION("""COMPUTED_VALUE"""),"Ford F150 2008 (SWMP Thing) - DEP18041")</f>
        <v>Ford F150 2008 (SWMP Thing) - DEP18041</v>
      </c>
      <c r="N483" t="str">
        <f ca="1">IFERROR(__xludf.DUMMYFUNCTION("""COMPUTED_VALUE"""),"Pam Marcum, (480) 332-5414")</f>
        <v>Pam Marcum, (480) 332-5414</v>
      </c>
      <c r="P483" t="str">
        <f ca="1">IFERROR(__xludf.DUMMYFUNCTION("""COMPUTED_VALUE"""),"Jess")</f>
        <v>Jess</v>
      </c>
      <c r="Q483" t="str">
        <f ca="1">IFERROR(__xludf.DUMMYFUNCTION("""COMPUTED_VALUE"""),"All items in working order")</f>
        <v>All items in working order</v>
      </c>
      <c r="AE483" s="11"/>
      <c r="AF483" t="str">
        <v>Nikki.Dix@floridadep.gov</v>
      </c>
      <c r="AG483" s="18"/>
    </row>
    <row r="484" spans="1:33" ht="12.75">
      <c r="A484" s="10">
        <f ca="1">IFERROR(__xludf.DUMMYFUNCTION("""COMPUTED_VALUE"""),43906.7415987268)</f>
        <v>43906.741598726803</v>
      </c>
      <c r="B484" s="11" t="str">
        <f ca="1">IFERROR(__xludf.DUMMYFUNCTION("""COMPUTED_VALUE"""),"Pam Marcum")</f>
        <v>Pam Marcum</v>
      </c>
      <c r="C484" t="str">
        <f ca="1">IFERROR(__xludf.DUMMYFUNCTION("""COMPUTED_VALUE"""),"pamela.marcum@dep.state.fl.us")</f>
        <v>pamela.marcum@dep.state.fl.us</v>
      </c>
      <c r="D484" t="str">
        <f ca="1">IFERROR(__xludf.DUMMYFUNCTION("""COMPUTED_VALUE"""),"Administration")</f>
        <v>Administration</v>
      </c>
      <c r="E484" t="str">
        <f ca="1">IFERROR(__xludf.DUMMYFUNCTION("""COMPUTED_VALUE"""),"Bings")</f>
        <v>Bings</v>
      </c>
      <c r="F484" s="13">
        <f ca="1">IFERROR(__xludf.DUMMYFUNCTION("""COMPUTED_VALUE"""),0.73958333333212)</f>
        <v>0.73958333333212001</v>
      </c>
      <c r="G484" s="14">
        <f ca="1">IFERROR(__xludf.DUMMYFUNCTION("""COMPUTED_VALUE"""),43906)</f>
        <v>43906</v>
      </c>
      <c r="H484" t="str">
        <f ca="1">IFERROR(__xludf.DUMMYFUNCTION("""COMPUTED_VALUE"""),"Washington oaks platforms")</f>
        <v>Washington oaks platforms</v>
      </c>
      <c r="I484" s="15">
        <f ca="1">IFERROR(__xludf.DUMMYFUNCTION("""COMPUTED_VALUE"""),0.791666666667879)</f>
        <v>0.79166666666787899</v>
      </c>
      <c r="J484" s="16">
        <f ca="1">IFERROR(__xludf.DUMMYFUNCTION("""COMPUTED_VALUE"""),43906.8333333333)</f>
        <v>43906.833333333299</v>
      </c>
      <c r="K484" t="str">
        <f ca="1">IFERROR(__xludf.DUMMYFUNCTION("""COMPUTED_VALUE"""),"20ft Sea Ark FL5351SJ UNF 2015")</f>
        <v>20ft Sea Ark FL5351SJ UNF 2015</v>
      </c>
      <c r="M484" t="str">
        <f ca="1">IFERROR(__xludf.DUMMYFUNCTION("""COMPUTED_VALUE"""),"Ford F150 2008 (SWMP Thing) - DEP18041")</f>
        <v>Ford F150 2008 (SWMP Thing) - DEP18041</v>
      </c>
      <c r="N484" t="str">
        <f ca="1">IFERROR(__xludf.DUMMYFUNCTION("""COMPUTED_VALUE"""),"Pam Marcum, (480) 332-5414")</f>
        <v>Pam Marcum, (480) 332-5414</v>
      </c>
      <c r="O484" t="str">
        <f ca="1">IFERROR(__xludf.DUMMYFUNCTION("""COMPUTED_VALUE"""),"Alee Knoell, (619) 750-4833")</f>
        <v>Alee Knoell, (619) 750-4833</v>
      </c>
      <c r="P484" t="str">
        <f ca="1">IFERROR(__xludf.DUMMYFUNCTION("""COMPUTED_VALUE"""),"Pam")</f>
        <v>Pam</v>
      </c>
      <c r="Q484" t="str">
        <f ca="1">IFERROR(__xludf.DUMMYFUNCTION("""COMPUTED_VALUE"""),"All items in working order")</f>
        <v>All items in working order</v>
      </c>
      <c r="AE484" s="11"/>
      <c r="AF484" t="str">
        <v>Lia.Sansom@floridadep.gov</v>
      </c>
      <c r="AG484" s="18"/>
    </row>
    <row r="485" spans="1:33" ht="12.75">
      <c r="A485" s="10">
        <f ca="1">IFERROR(__xludf.DUMMYFUNCTION("""COMPUTED_VALUE"""),43907.3168543518)</f>
        <v>43907.316854351797</v>
      </c>
      <c r="B485" s="11" t="str">
        <f ca="1">IFERROR(__xludf.DUMMYFUNCTION("""COMPUTED_VALUE"""),"Pam Marcum")</f>
        <v>Pam Marcum</v>
      </c>
      <c r="C485" t="str">
        <f ca="1">IFERROR(__xludf.DUMMYFUNCTION("""COMPUTED_VALUE"""),"pamela.marcum@floridadep.gov")</f>
        <v>pamela.marcum@floridadep.gov</v>
      </c>
      <c r="D485" t="str">
        <f ca="1">IFERROR(__xludf.DUMMYFUNCTION("""COMPUTED_VALUE"""),"Research/Nikki")</f>
        <v>Research/Nikki</v>
      </c>
      <c r="E485" t="str">
        <f ca="1">IFERROR(__xludf.DUMMYFUNCTION("""COMPUTED_VALUE"""),"Bings")</f>
        <v>Bings</v>
      </c>
      <c r="F485" s="13">
        <f ca="1">IFERROR(__xludf.DUMMYFUNCTION("""COMPUTED_VALUE"""),0.3125)</f>
        <v>0.3125</v>
      </c>
      <c r="G485" s="14">
        <f ca="1">IFERROR(__xludf.DUMMYFUNCTION("""COMPUTED_VALUE"""),43907)</f>
        <v>43907</v>
      </c>
      <c r="H485" t="str">
        <f ca="1">IFERROR(__xludf.DUMMYFUNCTION("""COMPUTED_VALUE"""),"Washington oaks platform")</f>
        <v>Washington oaks platform</v>
      </c>
      <c r="I485" s="15">
        <f ca="1">IFERROR(__xludf.DUMMYFUNCTION("""COMPUTED_VALUE"""),0.375)</f>
        <v>0.375</v>
      </c>
      <c r="J485" s="16">
        <f ca="1">IFERROR(__xludf.DUMMYFUNCTION("""COMPUTED_VALUE"""),43907.4375)</f>
        <v>43907.4375</v>
      </c>
      <c r="K485" t="str">
        <f ca="1">IFERROR(__xludf.DUMMYFUNCTION("""COMPUTED_VALUE"""),"20ft Sea Ark FL5351SJ UNF 2015")</f>
        <v>20ft Sea Ark FL5351SJ UNF 2015</v>
      </c>
      <c r="M485" t="str">
        <f ca="1">IFERROR(__xludf.DUMMYFUNCTION("""COMPUTED_VALUE"""),"Ford F150 2008 (SWMP Thing) - DEP18041")</f>
        <v>Ford F150 2008 (SWMP Thing) - DEP18041</v>
      </c>
      <c r="N485" t="str">
        <f ca="1">IFERROR(__xludf.DUMMYFUNCTION("""COMPUTED_VALUE"""),"Pam Marcum, (480) 332-5414")</f>
        <v>Pam Marcum, (480) 332-5414</v>
      </c>
      <c r="O485" t="str">
        <f ca="1">IFERROR(__xludf.DUMMYFUNCTION("""COMPUTED_VALUE"""),"Alee Knoell, (619) 750-4833")</f>
        <v>Alee Knoell, (619) 750-4833</v>
      </c>
      <c r="P485" t="str">
        <f ca="1">IFERROR(__xludf.DUMMYFUNCTION("""COMPUTED_VALUE"""),"Pam")</f>
        <v>Pam</v>
      </c>
      <c r="Q485" t="str">
        <f ca="1">IFERROR(__xludf.DUMMYFUNCTION("""COMPUTED_VALUE"""),"All items in working order")</f>
        <v>All items in working order</v>
      </c>
      <c r="AE485" s="11"/>
      <c r="AF485" t="str">
        <v>Nikki.Dix@floridadep.gov</v>
      </c>
      <c r="AG485" s="18"/>
    </row>
    <row r="486" spans="1:33" ht="12.75">
      <c r="A486" s="10">
        <f ca="1">IFERROR(__xludf.DUMMYFUNCTION("""COMPUTED_VALUE"""),43908.3698547685)</f>
        <v>43908.369854768498</v>
      </c>
      <c r="B486" s="11" t="str">
        <f ca="1">IFERROR(__xludf.DUMMYFUNCTION("""COMPUTED_VALUE"""),"Pam Marcum")</f>
        <v>Pam Marcum</v>
      </c>
      <c r="C486" t="str">
        <f ca="1">IFERROR(__xludf.DUMMYFUNCTION("""COMPUTED_VALUE"""),"Pamela.Marcum@FloridaDEP.gov")</f>
        <v>Pamela.Marcum@FloridaDEP.gov</v>
      </c>
      <c r="D486" t="str">
        <f ca="1">IFERROR(__xludf.DUMMYFUNCTION("""COMPUTED_VALUE"""),"Research/Nikki")</f>
        <v>Research/Nikki</v>
      </c>
      <c r="E486" t="str">
        <f ca="1">IFERROR(__xludf.DUMMYFUNCTION("""COMPUTED_VALUE"""),"Aunt Kate's")</f>
        <v>Aunt Kate's</v>
      </c>
      <c r="F486" s="13">
        <f ca="1">IFERROR(__xludf.DUMMYFUNCTION("""COMPUTED_VALUE"""),0.39583333333212)</f>
        <v>0.39583333333212001</v>
      </c>
      <c r="G486" s="14">
        <f ca="1">IFERROR(__xludf.DUMMYFUNCTION("""COMPUTED_VALUE"""),43908)</f>
        <v>43908</v>
      </c>
      <c r="H486" t="str">
        <f ca="1">IFERROR(__xludf.DUMMYFUNCTION("""COMPUTED_VALUE"""),"Hat Island")</f>
        <v>Hat Island</v>
      </c>
      <c r="I486" s="15">
        <f ca="1">IFERROR(__xludf.DUMMYFUNCTION("""COMPUTED_VALUE"""),0.45833333333212)</f>
        <v>0.45833333333212001</v>
      </c>
      <c r="J486" s="16">
        <f ca="1">IFERROR(__xludf.DUMMYFUNCTION("""COMPUTED_VALUE"""),43908.4791666666)</f>
        <v>43908.479166666599</v>
      </c>
      <c r="K486" t="str">
        <f ca="1">IFERROR(__xludf.DUMMYFUNCTION("""COMPUTED_VALUE"""),"20ft Sea Ark FL5351SJ UNF 2015")</f>
        <v>20ft Sea Ark FL5351SJ UNF 2015</v>
      </c>
      <c r="M486" t="str">
        <f ca="1">IFERROR(__xludf.DUMMYFUNCTION("""COMPUTED_VALUE"""),"Ford F150 2008 (SWMP Thing) - DEP18041")</f>
        <v>Ford F150 2008 (SWMP Thing) - DEP18041</v>
      </c>
      <c r="N486" t="str">
        <f ca="1">IFERROR(__xludf.DUMMYFUNCTION("""COMPUTED_VALUE"""),"Pam Marcum, (480) 332-5414")</f>
        <v>Pam Marcum, (480) 332-5414</v>
      </c>
      <c r="O486" t="str">
        <f ca="1">IFERROR(__xludf.DUMMYFUNCTION("""COMPUTED_VALUE"""),"Alee Knoell, (619) 750-4833")</f>
        <v>Alee Knoell, (619) 750-4833</v>
      </c>
      <c r="P486" t="str">
        <f ca="1">IFERROR(__xludf.DUMMYFUNCTION("""COMPUTED_VALUE"""),"Pam")</f>
        <v>Pam</v>
      </c>
      <c r="Q486" t="str">
        <f ca="1">IFERROR(__xludf.DUMMYFUNCTION("""COMPUTED_VALUE"""),"All items in working order")</f>
        <v>All items in working order</v>
      </c>
      <c r="AE486" s="11"/>
      <c r="AF486" t="str">
        <v>Nikki.Dix@floridadep.gov</v>
      </c>
      <c r="AG486" s="18"/>
    </row>
    <row r="487" spans="1:33" ht="12.75">
      <c r="A487" s="10">
        <f ca="1">IFERROR(__xludf.DUMMYFUNCTION("""COMPUTED_VALUE"""),43908.6203517476)</f>
        <v>43908.620351747602</v>
      </c>
      <c r="B487" s="11" t="str">
        <f ca="1">IFERROR(__xludf.DUMMYFUNCTION("""COMPUTED_VALUE"""),"Pam Marcum")</f>
        <v>Pam Marcum</v>
      </c>
      <c r="C487" t="str">
        <f ca="1">IFERROR(__xludf.DUMMYFUNCTION("""COMPUTED_VALUE"""),"Pamela.Marcum@FloridaDEP.gov")</f>
        <v>Pamela.Marcum@FloridaDEP.gov</v>
      </c>
      <c r="D487" t="str">
        <f ca="1">IFERROR(__xludf.DUMMYFUNCTION("""COMPUTED_VALUE"""),"Administration")</f>
        <v>Administration</v>
      </c>
      <c r="E487" t="str">
        <f ca="1">IFERROR(__xludf.DUMMYFUNCTION("""COMPUTED_VALUE"""),"Aunt Kate's")</f>
        <v>Aunt Kate's</v>
      </c>
      <c r="F487" s="13">
        <f ca="1">IFERROR(__xludf.DUMMYFUNCTION("""COMPUTED_VALUE"""),0.635416666667879)</f>
        <v>0.63541666666787899</v>
      </c>
      <c r="G487" s="14">
        <f ca="1">IFERROR(__xludf.DUMMYFUNCTION("""COMPUTED_VALUE"""),43908)</f>
        <v>43908</v>
      </c>
      <c r="H487" t="str">
        <f ca="1">IFERROR(__xludf.DUMMYFUNCTION("""COMPUTED_VALUE"""),"hat island")</f>
        <v>hat island</v>
      </c>
      <c r="I487" s="15">
        <f ca="1">IFERROR(__xludf.DUMMYFUNCTION("""COMPUTED_VALUE"""),0.70833333333212)</f>
        <v>0.70833333333212001</v>
      </c>
      <c r="J487" s="16">
        <f ca="1">IFERROR(__xludf.DUMMYFUNCTION("""COMPUTED_VALUE"""),43908.71875)</f>
        <v>43908.71875</v>
      </c>
      <c r="K487" t="str">
        <f ca="1">IFERROR(__xludf.DUMMYFUNCTION("""COMPUTED_VALUE"""),"20ft Sea Ark FL5351SJ UNF 2015")</f>
        <v>20ft Sea Ark FL5351SJ UNF 2015</v>
      </c>
      <c r="M487" t="str">
        <f ca="1">IFERROR(__xludf.DUMMYFUNCTION("""COMPUTED_VALUE"""),"Ford F150 2008 (SWMP Thing) - DEP18041")</f>
        <v>Ford F150 2008 (SWMP Thing) - DEP18041</v>
      </c>
      <c r="N487" t="str">
        <f ca="1">IFERROR(__xludf.DUMMYFUNCTION("""COMPUTED_VALUE"""),"Pam Marcum, (480) 332-5414")</f>
        <v>Pam Marcum, (480) 332-5414</v>
      </c>
      <c r="O487" t="str">
        <f ca="1">IFERROR(__xludf.DUMMYFUNCTION("""COMPUTED_VALUE"""),"Alee Knoell, (619) 750-4833")</f>
        <v>Alee Knoell, (619) 750-4833</v>
      </c>
      <c r="P487" t="str">
        <f ca="1">IFERROR(__xludf.DUMMYFUNCTION("""COMPUTED_VALUE"""),"Pam")</f>
        <v>Pam</v>
      </c>
      <c r="Q487" t="str">
        <f ca="1">IFERROR(__xludf.DUMMYFUNCTION("""COMPUTED_VALUE"""),"All items in working order")</f>
        <v>All items in working order</v>
      </c>
      <c r="AE487" s="11"/>
      <c r="AF487" t="str">
        <v>Lia.Sansom@floridadep.gov</v>
      </c>
      <c r="AG487" s="18"/>
    </row>
    <row r="488" spans="1:33" ht="12.75">
      <c r="A488" s="10">
        <f ca="1">IFERROR(__xludf.DUMMYFUNCTION("""COMPUTED_VALUE"""),43910.4942269907)</f>
        <v>43910.494226990697</v>
      </c>
      <c r="B488" s="11" t="str">
        <f ca="1">IFERROR(__xludf.DUMMYFUNCTION("""COMPUTED_VALUE"""),"Alexandria Knoell")</f>
        <v>Alexandria Knoell</v>
      </c>
      <c r="C488" t="str">
        <f ca="1">IFERROR(__xludf.DUMMYFUNCTION("""COMPUTED_VALUE"""),"alee.knoell@floridadep.gov")</f>
        <v>alee.knoell@floridadep.gov</v>
      </c>
      <c r="D488" t="str">
        <f ca="1">IFERROR(__xludf.DUMMYFUNCTION("""COMPUTED_VALUE"""),"Stewardship (Aquatic)")</f>
        <v>Stewardship (Aquatic)</v>
      </c>
      <c r="E488" t="str">
        <f ca="1">IFERROR(__xludf.DUMMYFUNCTION("""COMPUTED_VALUE"""),"Aunt Kates")</f>
        <v>Aunt Kates</v>
      </c>
      <c r="F488" s="13">
        <f ca="1">IFERROR(__xludf.DUMMYFUNCTION("""COMPUTED_VALUE"""),0.510416666667879)</f>
        <v>0.51041666666787899</v>
      </c>
      <c r="G488" s="14">
        <f ca="1">IFERROR(__xludf.DUMMYFUNCTION("""COMPUTED_VALUE"""),43910)</f>
        <v>43910</v>
      </c>
      <c r="H488" t="str">
        <f ca="1">IFERROR(__xludf.DUMMYFUNCTION("""COMPUTED_VALUE"""),"Platforms")</f>
        <v>Platforms</v>
      </c>
      <c r="I488" s="15">
        <f ca="1">IFERROR(__xludf.DUMMYFUNCTION("""COMPUTED_VALUE"""),0.625)</f>
        <v>0.625</v>
      </c>
      <c r="J488" s="16">
        <f ca="1">IFERROR(__xludf.DUMMYFUNCTION("""COMPUTED_VALUE"""),43910.6666666666)</f>
        <v>43910.666666666599</v>
      </c>
      <c r="K488" t="str">
        <f ca="1">IFERROR(__xludf.DUMMYFUNCTION("""COMPUTED_VALUE"""),"20ft Sea Ark FL5351SJ UNF 2015")</f>
        <v>20ft Sea Ark FL5351SJ UNF 2015</v>
      </c>
      <c r="M488" t="str">
        <f ca="1">IFERROR(__xludf.DUMMYFUNCTION("""COMPUTED_VALUE"""),"Ford F150 2008 (SWMP Thing) - DEP18041")</f>
        <v>Ford F150 2008 (SWMP Thing) - DEP18041</v>
      </c>
      <c r="N488" t="str">
        <f ca="1">IFERROR(__xludf.DUMMYFUNCTION("""COMPUTED_VALUE"""),"Pam Marcum, (480) 332-5414")</f>
        <v>Pam Marcum, (480) 332-5414</v>
      </c>
      <c r="O488" t="str">
        <f ca="1">IFERROR(__xludf.DUMMYFUNCTION("""COMPUTED_VALUE"""),"Alee Knoell, (619) 750-4833")</f>
        <v>Alee Knoell, (619) 750-4833</v>
      </c>
      <c r="P488" t="str">
        <f ca="1">IFERROR(__xludf.DUMMYFUNCTION("""COMPUTED_VALUE"""),"Pam marcum")</f>
        <v>Pam marcum</v>
      </c>
      <c r="Q488" t="str">
        <f ca="1">IFERROR(__xludf.DUMMYFUNCTION("""COMPUTED_VALUE"""),"All items in working order")</f>
        <v>All items in working order</v>
      </c>
      <c r="AE488" s="11"/>
      <c r="AF488" t="str">
        <v>Scott.Eastman@floridadep.gov</v>
      </c>
      <c r="AG488" s="18"/>
    </row>
    <row r="489" spans="1:33" ht="12.75">
      <c r="A489" s="10">
        <f ca="1">IFERROR(__xludf.DUMMYFUNCTION("""COMPUTED_VALUE"""),43910.6720048958)</f>
        <v>43910.672004895801</v>
      </c>
      <c r="B489" s="11" t="str">
        <f ca="1">IFERROR(__xludf.DUMMYFUNCTION("""COMPUTED_VALUE"""),"Alexandria Knoell")</f>
        <v>Alexandria Knoell</v>
      </c>
      <c r="C489" t="str">
        <f ca="1">IFERROR(__xludf.DUMMYFUNCTION("""COMPUTED_VALUE"""),"alee.knoell@floridadep.gov")</f>
        <v>alee.knoell@floridadep.gov</v>
      </c>
      <c r="D489" t="str">
        <f ca="1">IFERROR(__xludf.DUMMYFUNCTION("""COMPUTED_VALUE"""),"Research/Nikki")</f>
        <v>Research/Nikki</v>
      </c>
      <c r="E489" t="str">
        <f ca="1">IFERROR(__xludf.DUMMYFUNCTION("""COMPUTED_VALUE"""),"Aunt kates")</f>
        <v>Aunt kates</v>
      </c>
      <c r="F489" s="13">
        <f ca="1">IFERROR(__xludf.DUMMYFUNCTION("""COMPUTED_VALUE"""),0.666666666667879)</f>
        <v>0.66666666666787899</v>
      </c>
      <c r="G489" s="14">
        <f ca="1">IFERROR(__xludf.DUMMYFUNCTION("""COMPUTED_VALUE"""),43910)</f>
        <v>43910</v>
      </c>
      <c r="H489" t="str">
        <f ca="1">IFERROR(__xludf.DUMMYFUNCTION("""COMPUTED_VALUE"""),"Platforms ")</f>
        <v xml:space="preserve">Platforms </v>
      </c>
      <c r="I489" s="15">
        <f ca="1">IFERROR(__xludf.DUMMYFUNCTION("""COMPUTED_VALUE"""),0.75)</f>
        <v>0.75</v>
      </c>
      <c r="J489" s="16">
        <f ca="1">IFERROR(__xludf.DUMMYFUNCTION("""COMPUTED_VALUE"""),43910.7708333333)</f>
        <v>43910.770833333299</v>
      </c>
      <c r="K489" t="str">
        <f ca="1">IFERROR(__xludf.DUMMYFUNCTION("""COMPUTED_VALUE"""),"20ft Sea Ark FL5351SJ UNF 2015")</f>
        <v>20ft Sea Ark FL5351SJ UNF 2015</v>
      </c>
      <c r="M489" t="str">
        <f ca="1">IFERROR(__xludf.DUMMYFUNCTION("""COMPUTED_VALUE"""),"Ford F150 2008 (SWMP Thing) - DEP18041")</f>
        <v>Ford F150 2008 (SWMP Thing) - DEP18041</v>
      </c>
      <c r="N489" t="str">
        <f ca="1">IFERROR(__xludf.DUMMYFUNCTION("""COMPUTED_VALUE"""),"Pam Marcum, (480) 332-5414")</f>
        <v>Pam Marcum, (480) 332-5414</v>
      </c>
      <c r="O489" t="str">
        <f ca="1">IFERROR(__xludf.DUMMYFUNCTION("""COMPUTED_VALUE"""),"Alee Knoell, (619) 750-4833")</f>
        <v>Alee Knoell, (619) 750-4833</v>
      </c>
      <c r="P489" t="str">
        <f ca="1">IFERROR(__xludf.DUMMYFUNCTION("""COMPUTED_VALUE"""),"Pam marcum")</f>
        <v>Pam marcum</v>
      </c>
      <c r="Q489" t="str">
        <f ca="1">IFERROR(__xludf.DUMMYFUNCTION("""COMPUTED_VALUE"""),"All items in working order")</f>
        <v>All items in working order</v>
      </c>
      <c r="AE489" s="11"/>
      <c r="AF489" t="str">
        <v>Nikki.Dix@floridadep.gov</v>
      </c>
      <c r="AG489" s="18"/>
    </row>
    <row r="490" spans="1:33" ht="12.75">
      <c r="A490" s="10">
        <f ca="1">IFERROR(__xludf.DUMMYFUNCTION("""COMPUTED_VALUE"""),43913.4411983564)</f>
        <v>43913.441198356399</v>
      </c>
      <c r="B490" s="11" t="str">
        <f ca="1">IFERROR(__xludf.DUMMYFUNCTION("""COMPUTED_VALUE"""),"Pam Marcum")</f>
        <v>Pam Marcum</v>
      </c>
      <c r="C490" t="str">
        <f ca="1">IFERROR(__xludf.DUMMYFUNCTION("""COMPUTED_VALUE"""),"pamela.marcum@floridadep.gov")</f>
        <v>pamela.marcum@floridadep.gov</v>
      </c>
      <c r="D490" t="str">
        <f ca="1">IFERROR(__xludf.DUMMYFUNCTION("""COMPUTED_VALUE"""),"Research/Nikki")</f>
        <v>Research/Nikki</v>
      </c>
      <c r="E490" t="str">
        <f ca="1">IFERROR(__xludf.DUMMYFUNCTION("""COMPUTED_VALUE"""),"Bings")</f>
        <v>Bings</v>
      </c>
      <c r="F490" s="13">
        <f ca="1">IFERROR(__xludf.DUMMYFUNCTION("""COMPUTED_VALUE"""),0.4375)</f>
        <v>0.4375</v>
      </c>
      <c r="G490" s="14">
        <f ca="1">IFERROR(__xludf.DUMMYFUNCTION("""COMPUTED_VALUE"""),43913)</f>
        <v>43913</v>
      </c>
      <c r="H490" t="str">
        <f ca="1">IFERROR(__xludf.DUMMYFUNCTION("""COMPUTED_VALUE"""),"Washington oaks platform")</f>
        <v>Washington oaks platform</v>
      </c>
      <c r="I490" s="15">
        <f ca="1">IFERROR(__xludf.DUMMYFUNCTION("""COMPUTED_VALUE"""),0.541666666667879)</f>
        <v>0.54166666666787899</v>
      </c>
      <c r="J490" s="16">
        <f ca="1">IFERROR(__xludf.DUMMYFUNCTION("""COMPUTED_VALUE"""),43913.5625)</f>
        <v>43913.5625</v>
      </c>
      <c r="K490" t="str">
        <f ca="1">IFERROR(__xludf.DUMMYFUNCTION("""COMPUTED_VALUE"""),"20ft Sea Ark FL5351SJ UNF 2015")</f>
        <v>20ft Sea Ark FL5351SJ UNF 2015</v>
      </c>
      <c r="M490" t="str">
        <f ca="1">IFERROR(__xludf.DUMMYFUNCTION("""COMPUTED_VALUE"""),"Ford F150 2015 (White) - DEP21448")</f>
        <v>Ford F150 2015 (White) - DEP21448</v>
      </c>
      <c r="N490" t="str">
        <f ca="1">IFERROR(__xludf.DUMMYFUNCTION("""COMPUTED_VALUE"""),"Pam Marcum, (480) 332-5414")</f>
        <v>Pam Marcum, (480) 332-5414</v>
      </c>
      <c r="O490" t="str">
        <f ca="1">IFERROR(__xludf.DUMMYFUNCTION("""COMPUTED_VALUE"""),"Alee Knoell, (619) 750-4833")</f>
        <v>Alee Knoell, (619) 750-4833</v>
      </c>
      <c r="P490" t="str">
        <f ca="1">IFERROR(__xludf.DUMMYFUNCTION("""COMPUTED_VALUE"""),"Pam")</f>
        <v>Pam</v>
      </c>
      <c r="Q490" t="str">
        <f ca="1">IFERROR(__xludf.DUMMYFUNCTION("""COMPUTED_VALUE"""),"All items in working order")</f>
        <v>All items in working order</v>
      </c>
      <c r="AE490" s="11"/>
      <c r="AF490" t="str">
        <v>Nikki.Dix@floridadep.gov</v>
      </c>
      <c r="AG490" s="18"/>
    </row>
    <row r="491" spans="1:33" ht="12.75">
      <c r="A491" s="10">
        <f ca="1">IFERROR(__xludf.DUMMYFUNCTION("""COMPUTED_VALUE"""),43913.6265425231)</f>
        <v>43913.626542523103</v>
      </c>
      <c r="B491" s="11" t="str">
        <f ca="1">IFERROR(__xludf.DUMMYFUNCTION("""COMPUTED_VALUE"""),"Pamela Marcum")</f>
        <v>Pamela Marcum</v>
      </c>
      <c r="C491" t="str">
        <f ca="1">IFERROR(__xludf.DUMMYFUNCTION("""COMPUTED_VALUE"""),"Pamela.Marcum@floridadep.gov")</f>
        <v>Pamela.Marcum@floridadep.gov</v>
      </c>
      <c r="D491" t="str">
        <f ca="1">IFERROR(__xludf.DUMMYFUNCTION("""COMPUTED_VALUE"""),"Research/Nikki")</f>
        <v>Research/Nikki</v>
      </c>
      <c r="E491" t="str">
        <f ca="1">IFERROR(__xludf.DUMMYFUNCTION("""COMPUTED_VALUE"""),"Bings")</f>
        <v>Bings</v>
      </c>
      <c r="F491" s="13">
        <f ca="1">IFERROR(__xludf.DUMMYFUNCTION("""COMPUTED_VALUE"""),0.625)</f>
        <v>0.625</v>
      </c>
      <c r="G491" s="14">
        <f ca="1">IFERROR(__xludf.DUMMYFUNCTION("""COMPUTED_VALUE"""),43913)</f>
        <v>43913</v>
      </c>
      <c r="H491" t="str">
        <f ca="1">IFERROR(__xludf.DUMMYFUNCTION("""COMPUTED_VALUE"""),"Washington oaks platform")</f>
        <v>Washington oaks platform</v>
      </c>
      <c r="I491" s="15">
        <f ca="1">IFERROR(__xludf.DUMMYFUNCTION("""COMPUTED_VALUE"""),0.6875)</f>
        <v>0.6875</v>
      </c>
      <c r="J491" s="16">
        <f ca="1">IFERROR(__xludf.DUMMYFUNCTION("""COMPUTED_VALUE"""),43913.7291666666)</f>
        <v>43913.729166666599</v>
      </c>
      <c r="K491" t="str">
        <f ca="1">IFERROR(__xludf.DUMMYFUNCTION("""COMPUTED_VALUE"""),"20ft Sea Ark FL5351SJ UNF 2015")</f>
        <v>20ft Sea Ark FL5351SJ UNF 2015</v>
      </c>
      <c r="M491" t="str">
        <f ca="1">IFERROR(__xludf.DUMMYFUNCTION("""COMPUTED_VALUE"""),"Ford F150 2015 (White) - DEP21448")</f>
        <v>Ford F150 2015 (White) - DEP21448</v>
      </c>
      <c r="N491" t="str">
        <f ca="1">IFERROR(__xludf.DUMMYFUNCTION("""COMPUTED_VALUE"""),"Pam Marcum, (480) 332-5414")</f>
        <v>Pam Marcum, (480) 332-5414</v>
      </c>
      <c r="O491" t="str">
        <f ca="1">IFERROR(__xludf.DUMMYFUNCTION("""COMPUTED_VALUE"""),"Alee Knoell, (619) 750-4833")</f>
        <v>Alee Knoell, (619) 750-4833</v>
      </c>
      <c r="P491" t="str">
        <f ca="1">IFERROR(__xludf.DUMMYFUNCTION("""COMPUTED_VALUE"""),"Pam")</f>
        <v>Pam</v>
      </c>
      <c r="Q491" t="str">
        <f ca="1">IFERROR(__xludf.DUMMYFUNCTION("""COMPUTED_VALUE"""),"All items in working order")</f>
        <v>All items in working order</v>
      </c>
      <c r="AE491" s="11"/>
      <c r="AF491" t="str">
        <v>Nikki.Dix@floridadep.gov</v>
      </c>
      <c r="AG491" s="18"/>
    </row>
    <row r="492" spans="1:33" ht="12.75">
      <c r="A492" s="10">
        <f ca="1">IFERROR(__xludf.DUMMYFUNCTION("""COMPUTED_VALUE"""),43914.4250016435)</f>
        <v>43914.425001643503</v>
      </c>
      <c r="B492" s="11" t="str">
        <f ca="1">IFERROR(__xludf.DUMMYFUNCTION("""COMPUTED_VALUE"""),"Pam Marcum")</f>
        <v>Pam Marcum</v>
      </c>
      <c r="C492" t="str">
        <f ca="1">IFERROR(__xludf.DUMMYFUNCTION("""COMPUTED_VALUE"""),"Pamela.Marcum@floridadep.gov")</f>
        <v>Pamela.Marcum@floridadep.gov</v>
      </c>
      <c r="D492" t="str">
        <f ca="1">IFERROR(__xludf.DUMMYFUNCTION("""COMPUTED_VALUE"""),"Research/Nikki")</f>
        <v>Research/Nikki</v>
      </c>
      <c r="E492" t="str">
        <f ca="1">IFERROR(__xludf.DUMMYFUNCTION("""COMPUTED_VALUE"""),"Shore Dr")</f>
        <v>Shore Dr</v>
      </c>
      <c r="F492" s="13">
        <f ca="1">IFERROR(__xludf.DUMMYFUNCTION("""COMPUTED_VALUE"""),0.42708333333212)</f>
        <v>0.42708333333212001</v>
      </c>
      <c r="G492" s="14">
        <f ca="1">IFERROR(__xludf.DUMMYFUNCTION("""COMPUTED_VALUE"""),43914)</f>
        <v>43914</v>
      </c>
      <c r="H492" t="str">
        <f ca="1">IFERROR(__xludf.DUMMYFUNCTION("""COMPUTED_VALUE"""),"Site 22")</f>
        <v>Site 22</v>
      </c>
      <c r="I492" s="15">
        <f ca="1">IFERROR(__xludf.DUMMYFUNCTION("""COMPUTED_VALUE"""),0.541666666667879)</f>
        <v>0.54166666666787899</v>
      </c>
      <c r="J492" s="16">
        <f ca="1">IFERROR(__xludf.DUMMYFUNCTION("""COMPUTED_VALUE"""),43914.5625)</f>
        <v>43914.5625</v>
      </c>
      <c r="K492" t="str">
        <f ca="1">IFERROR(__xludf.DUMMYFUNCTION("""COMPUTED_VALUE"""),"20ft Sea Ark FL5351SJ UNF 2015")</f>
        <v>20ft Sea Ark FL5351SJ UNF 2015</v>
      </c>
      <c r="M492" t="str">
        <f ca="1">IFERROR(__xludf.DUMMYFUNCTION("""COMPUTED_VALUE"""),"Ford F150 2015 (White) - DEP21448")</f>
        <v>Ford F150 2015 (White) - DEP21448</v>
      </c>
      <c r="N492" t="str">
        <f ca="1">IFERROR(__xludf.DUMMYFUNCTION("""COMPUTED_VALUE"""),"Pam Marcum, (480) 332-5414")</f>
        <v>Pam Marcum, (480) 332-5414</v>
      </c>
      <c r="O492" t="str">
        <f ca="1">IFERROR(__xludf.DUMMYFUNCTION("""COMPUTED_VALUE"""),"Alee Knoell, (619) 750-4833")</f>
        <v>Alee Knoell, (619) 750-4833</v>
      </c>
      <c r="P492" t="str">
        <f ca="1">IFERROR(__xludf.DUMMYFUNCTION("""COMPUTED_VALUE"""),"Pam")</f>
        <v>Pam</v>
      </c>
      <c r="Q492" t="str">
        <f ca="1">IFERROR(__xludf.DUMMYFUNCTION("""COMPUTED_VALUE"""),"All items in working order")</f>
        <v>All items in working order</v>
      </c>
      <c r="AE492" s="11"/>
      <c r="AF492" t="str">
        <v>Nikki.Dix@floridadep.gov</v>
      </c>
      <c r="AG492" s="18"/>
    </row>
    <row r="493" spans="1:33" ht="12.75">
      <c r="A493" s="10">
        <f ca="1">IFERROR(__xludf.DUMMYFUNCTION("""COMPUTED_VALUE"""),43914.6550658564)</f>
        <v>43914.655065856401</v>
      </c>
      <c r="B493" s="11" t="str">
        <f ca="1">IFERROR(__xludf.DUMMYFUNCTION("""COMPUTED_VALUE"""),"Pam Marcum")</f>
        <v>Pam Marcum</v>
      </c>
      <c r="C493" t="str">
        <f ca="1">IFERROR(__xludf.DUMMYFUNCTION("""COMPUTED_VALUE"""),"pamela.marcum@floridadep.gov")</f>
        <v>pamela.marcum@floridadep.gov</v>
      </c>
      <c r="D493" t="str">
        <f ca="1">IFERROR(__xludf.DUMMYFUNCTION("""COMPUTED_VALUE"""),"Research/Nikki")</f>
        <v>Research/Nikki</v>
      </c>
      <c r="E493" t="str">
        <f ca="1">IFERROR(__xludf.DUMMYFUNCTION("""COMPUTED_VALUE"""),"Shore dr")</f>
        <v>Shore dr</v>
      </c>
      <c r="F493" s="13">
        <f ca="1">IFERROR(__xludf.DUMMYFUNCTION("""COMPUTED_VALUE"""),0.152777777777373)</f>
        <v>0.152777777777373</v>
      </c>
      <c r="G493" s="14">
        <f ca="1">IFERROR(__xludf.DUMMYFUNCTION("""COMPUTED_VALUE"""),43914)</f>
        <v>43914</v>
      </c>
      <c r="H493" t="str">
        <f ca="1">IFERROR(__xludf.DUMMYFUNCTION("""COMPUTED_VALUE"""),"Site 22")</f>
        <v>Site 22</v>
      </c>
      <c r="I493" s="15">
        <f ca="1">IFERROR(__xludf.DUMMYFUNCTION("""COMPUTED_VALUE"""),0.729166666667879)</f>
        <v>0.72916666666787899</v>
      </c>
      <c r="J493" s="16">
        <f ca="1">IFERROR(__xludf.DUMMYFUNCTION("""COMPUTED_VALUE"""),43914.75)</f>
        <v>43914.75</v>
      </c>
      <c r="K493" t="str">
        <f ca="1">IFERROR(__xludf.DUMMYFUNCTION("""COMPUTED_VALUE"""),"20ft Sea Ark FL5351SJ UNF 2015")</f>
        <v>20ft Sea Ark FL5351SJ UNF 2015</v>
      </c>
      <c r="M493" t="str">
        <f ca="1">IFERROR(__xludf.DUMMYFUNCTION("""COMPUTED_VALUE"""),"Ford F150 2015 (White) - DEP21448")</f>
        <v>Ford F150 2015 (White) - DEP21448</v>
      </c>
      <c r="N493" t="str">
        <f ca="1">IFERROR(__xludf.DUMMYFUNCTION("""COMPUTED_VALUE"""),"Pam Marcum, (480) 332-5414")</f>
        <v>Pam Marcum, (480) 332-5414</v>
      </c>
      <c r="O493" t="str">
        <f ca="1">IFERROR(__xludf.DUMMYFUNCTION("""COMPUTED_VALUE"""),"Alee Knoell, (619) 750-4833")</f>
        <v>Alee Knoell, (619) 750-4833</v>
      </c>
      <c r="P493" t="str">
        <f ca="1">IFERROR(__xludf.DUMMYFUNCTION("""COMPUTED_VALUE"""),"Pam")</f>
        <v>Pam</v>
      </c>
      <c r="Q493" t="str">
        <f ca="1">IFERROR(__xludf.DUMMYFUNCTION("""COMPUTED_VALUE"""),"All items in working order")</f>
        <v>All items in working order</v>
      </c>
      <c r="AE493" s="11"/>
      <c r="AF493" t="str">
        <v>Nikki.Dix@floridadep.gov</v>
      </c>
      <c r="AG493" s="18"/>
    </row>
    <row r="494" spans="1:33" ht="12.75">
      <c r="A494" s="10">
        <f ca="1">IFERROR(__xludf.DUMMYFUNCTION("""COMPUTED_VALUE"""),43915.3209390972)</f>
        <v>43915.320939097197</v>
      </c>
      <c r="B494" s="11" t="str">
        <f ca="1">IFERROR(__xludf.DUMMYFUNCTION("""COMPUTED_VALUE"""),"Pamela Marcum")</f>
        <v>Pamela Marcum</v>
      </c>
      <c r="C494" t="str">
        <f ca="1">IFERROR(__xludf.DUMMYFUNCTION("""COMPUTED_VALUE"""),"Pamela.Marcum@dep.state.fl.us")</f>
        <v>Pamela.Marcum@dep.state.fl.us</v>
      </c>
      <c r="D494" t="str">
        <f ca="1">IFERROR(__xludf.DUMMYFUNCTION("""COMPUTED_VALUE"""),"Research/Nikki")</f>
        <v>Research/Nikki</v>
      </c>
      <c r="E494" t="str">
        <f ca="1">IFERROR(__xludf.DUMMYFUNCTION("""COMPUTED_VALUE"""),"Aunt Kate's")</f>
        <v>Aunt Kate's</v>
      </c>
      <c r="F494" s="13">
        <f ca="1">IFERROR(__xludf.DUMMYFUNCTION("""COMPUTED_VALUE"""),0.33333333333212)</f>
        <v>0.33333333333212001</v>
      </c>
      <c r="G494" s="14">
        <f ca="1">IFERROR(__xludf.DUMMYFUNCTION("""COMPUTED_VALUE"""),43915)</f>
        <v>43915</v>
      </c>
      <c r="H494" t="str">
        <f ca="1">IFERROR(__xludf.DUMMYFUNCTION("""COMPUTED_VALUE"""),"Pine Island Platforms")</f>
        <v>Pine Island Platforms</v>
      </c>
      <c r="I494" s="15">
        <f ca="1">IFERROR(__xludf.DUMMYFUNCTION("""COMPUTED_VALUE"""),0.5)</f>
        <v>0.5</v>
      </c>
      <c r="J494" s="16">
        <f ca="1">IFERROR(__xludf.DUMMYFUNCTION("""COMPUTED_VALUE"""),43915.5208333333)</f>
        <v>43915.520833333299</v>
      </c>
      <c r="K494" t="str">
        <f ca="1">IFERROR(__xludf.DUMMYFUNCTION("""COMPUTED_VALUE"""),"20ft Sea Ark FL5351SJ UNF 2015")</f>
        <v>20ft Sea Ark FL5351SJ UNF 2015</v>
      </c>
      <c r="M494" t="str">
        <f ca="1">IFERROR(__xludf.DUMMYFUNCTION("""COMPUTED_VALUE"""),"Ford F150 2015 (White) - DEP21448")</f>
        <v>Ford F150 2015 (White) - DEP21448</v>
      </c>
      <c r="N494" t="str">
        <f ca="1">IFERROR(__xludf.DUMMYFUNCTION("""COMPUTED_VALUE"""),"Pam Marcum, (480) 332-5414")</f>
        <v>Pam Marcum, (480) 332-5414</v>
      </c>
      <c r="O494" t="str">
        <f ca="1">IFERROR(__xludf.DUMMYFUNCTION("""COMPUTED_VALUE"""),"Alee Knoell, (619) 750-4833")</f>
        <v>Alee Knoell, (619) 750-4833</v>
      </c>
      <c r="P494" t="str">
        <f ca="1">IFERROR(__xludf.DUMMYFUNCTION("""COMPUTED_VALUE"""),"Pam")</f>
        <v>Pam</v>
      </c>
      <c r="Q494" t="str">
        <f ca="1">IFERROR(__xludf.DUMMYFUNCTION("""COMPUTED_VALUE"""),"All items in working order")</f>
        <v>All items in working order</v>
      </c>
      <c r="AE494" s="11"/>
      <c r="AF494" t="str">
        <v>Nikki.Dix@floridadep.gov</v>
      </c>
      <c r="AG494" s="18"/>
    </row>
    <row r="495" spans="1:33" ht="12.75">
      <c r="A495" s="10">
        <f ca="1">IFERROR(__xludf.DUMMYFUNCTION("""COMPUTED_VALUE"""),43915.3561520833)</f>
        <v>43915.356152083303</v>
      </c>
      <c r="B495" s="11" t="str">
        <f ca="1">IFERROR(__xludf.DUMMYFUNCTION("""COMPUTED_VALUE"""),"Shannon Dunnigan")</f>
        <v>Shannon Dunnigan</v>
      </c>
      <c r="C495" t="str">
        <f ca="1">IFERROR(__xludf.DUMMYFUNCTION("""COMPUTED_VALUE"""),"shannon.dunnigan@floridadep.gov")</f>
        <v>shannon.dunnigan@floridadep.gov</v>
      </c>
      <c r="D495" t="str">
        <f ca="1">IFERROR(__xludf.DUMMYFUNCTION("""COMPUTED_VALUE"""),"Research/Nikki")</f>
        <v>Research/Nikki</v>
      </c>
      <c r="E495" t="str">
        <f ca="1">IFERROR(__xludf.DUMMYFUNCTION("""COMPUTED_VALUE"""),"Vilano")</f>
        <v>Vilano</v>
      </c>
      <c r="F495" s="13">
        <f ca="1">IFERROR(__xludf.DUMMYFUNCTION("""COMPUTED_VALUE"""),0.36458333333212)</f>
        <v>0.36458333333212001</v>
      </c>
      <c r="G495" s="14">
        <f ca="1">IFERROR(__xludf.DUMMYFUNCTION("""COMPUTED_VALUE"""),43915)</f>
        <v>43915</v>
      </c>
      <c r="H495" t="str">
        <f ca="1">IFERROR(__xludf.DUMMYFUNCTION("""COMPUTED_VALUE"""),"ICW SWMP sites")</f>
        <v>ICW SWMP sites</v>
      </c>
      <c r="I495" s="15">
        <f ca="1">IFERROR(__xludf.DUMMYFUNCTION("""COMPUTED_VALUE"""),0.625)</f>
        <v>0.625</v>
      </c>
      <c r="J495" s="16">
        <f ca="1">IFERROR(__xludf.DUMMYFUNCTION("""COMPUTED_VALUE"""),43915.7083333333)</f>
        <v>43915.708333333299</v>
      </c>
      <c r="K495" t="str">
        <f ca="1">IFERROR(__xludf.DUMMYFUNCTION("""COMPUTED_VALUE"""),"23ft Skiff (Bertha) FL7972LJ DEP07613")</f>
        <v>23ft Skiff (Bertha) FL7972LJ DEP07613</v>
      </c>
      <c r="M495" t="str">
        <f ca="1">IFERROR(__xludf.DUMMYFUNCTION("""COMPUTED_VALUE"""),"Ford F250 2017 (Moby Dix) - DEP0021578")</f>
        <v>Ford F250 2017 (Moby Dix) - DEP0021578</v>
      </c>
      <c r="N495" t="str">
        <f ca="1">IFERROR(__xludf.DUMMYFUNCTION("""COMPUTED_VALUE"""),"Shannon Dunnigan, (803) 727-5734, Silas Tanner, (904) 483-8423")</f>
        <v>Shannon Dunnigan, (803) 727-5734, Silas Tanner, (904) 483-8423</v>
      </c>
      <c r="O495" t="str">
        <f ca="1">IFERROR(__xludf.DUMMYFUNCTION("""COMPUTED_VALUE"""),"Alee Knoell, (619) 750-4833")</f>
        <v>Alee Knoell, (619) 750-4833</v>
      </c>
      <c r="P495" t="str">
        <f ca="1">IFERROR(__xludf.DUMMYFUNCTION("""COMPUTED_VALUE"""),"Silas Tanner")</f>
        <v>Silas Tanner</v>
      </c>
      <c r="Q495" t="str">
        <f ca="1">IFERROR(__xludf.DUMMYFUNCTION("""COMPUTED_VALUE"""),"All items in working order")</f>
        <v>All items in working order</v>
      </c>
      <c r="AE495" s="11"/>
      <c r="AF495" t="str">
        <v>Nikki.Dix@floridadep.gov</v>
      </c>
      <c r="AG495" s="18"/>
    </row>
    <row r="496" spans="1:33" ht="12.75">
      <c r="A496" s="10">
        <f ca="1">IFERROR(__xludf.DUMMYFUNCTION("""COMPUTED_VALUE"""),43916.3385055787)</f>
        <v>43916.3385055787</v>
      </c>
      <c r="B496" s="11" t="str">
        <f ca="1">IFERROR(__xludf.DUMMYFUNCTION("""COMPUTED_VALUE"""),"Pam Marcum")</f>
        <v>Pam Marcum</v>
      </c>
      <c r="C496" t="str">
        <f ca="1">IFERROR(__xludf.DUMMYFUNCTION("""COMPUTED_VALUE"""),"Pamela.Marcum@floridadep.gov")</f>
        <v>Pamela.Marcum@floridadep.gov</v>
      </c>
      <c r="D496" t="str">
        <f ca="1">IFERROR(__xludf.DUMMYFUNCTION("""COMPUTED_VALUE"""),"Research/Nikki")</f>
        <v>Research/Nikki</v>
      </c>
      <c r="E496" t="str">
        <f ca="1">IFERROR(__xludf.DUMMYFUNCTION("""COMPUTED_VALUE"""),"Butler")</f>
        <v>Butler</v>
      </c>
      <c r="F496" s="13">
        <f ca="1">IFERROR(__xludf.DUMMYFUNCTION("""COMPUTED_VALUE"""),0.375)</f>
        <v>0.375</v>
      </c>
      <c r="G496" s="14">
        <f ca="1">IFERROR(__xludf.DUMMYFUNCTION("""COMPUTED_VALUE"""),43916)</f>
        <v>43916</v>
      </c>
      <c r="H496" t="str">
        <f ca="1">IFERROR(__xludf.DUMMYFUNCTION("""COMPUTED_VALUE"""),"Moses Creek")</f>
        <v>Moses Creek</v>
      </c>
      <c r="I496" s="15">
        <f ca="1">IFERROR(__xludf.DUMMYFUNCTION("""COMPUTED_VALUE"""),0.64583333333212)</f>
        <v>0.64583333333212001</v>
      </c>
      <c r="J496" s="16">
        <f ca="1">IFERROR(__xludf.DUMMYFUNCTION("""COMPUTED_VALUE"""),43916.6666666666)</f>
        <v>43916.666666666599</v>
      </c>
      <c r="K496" t="str">
        <f ca="1">IFERROR(__xludf.DUMMYFUNCTION("""COMPUTED_VALUE"""),"20ft Sea Ark FL5351SJ UNF 2015")</f>
        <v>20ft Sea Ark FL5351SJ UNF 2015</v>
      </c>
      <c r="M496" t="str">
        <f ca="1">IFERROR(__xludf.DUMMYFUNCTION("""COMPUTED_VALUE"""),"Ford F150 2015 (White) - DEP21448")</f>
        <v>Ford F150 2015 (White) - DEP21448</v>
      </c>
      <c r="N496" t="str">
        <f ca="1">IFERROR(__xludf.DUMMYFUNCTION("""COMPUTED_VALUE"""),"Pam Marcum, (480) 332-5414")</f>
        <v>Pam Marcum, (480) 332-5414</v>
      </c>
      <c r="O496" t="str">
        <f ca="1">IFERROR(__xludf.DUMMYFUNCTION("""COMPUTED_VALUE"""),"Alee Knoell, (619) 750-4833")</f>
        <v>Alee Knoell, (619) 750-4833</v>
      </c>
      <c r="P496" t="str">
        <f ca="1">IFERROR(__xludf.DUMMYFUNCTION("""COMPUTED_VALUE"""),"Pam")</f>
        <v>Pam</v>
      </c>
      <c r="Q496" t="str">
        <f ca="1">IFERROR(__xludf.DUMMYFUNCTION("""COMPUTED_VALUE"""),"All items in working order")</f>
        <v>All items in working order</v>
      </c>
      <c r="AE496" s="11"/>
      <c r="AF496" t="str">
        <v>Nikki.Dix@floridadep.gov</v>
      </c>
      <c r="AG496" s="18"/>
    </row>
    <row r="497" spans="1:33" ht="12.75">
      <c r="A497" s="10">
        <f ca="1">IFERROR(__xludf.DUMMYFUNCTION("""COMPUTED_VALUE"""),43922.279999456)</f>
        <v>43922.279999455997</v>
      </c>
      <c r="B497" s="11" t="str">
        <f ca="1">IFERROR(__xludf.DUMMYFUNCTION("""COMPUTED_VALUE"""),"Pamela Marcum")</f>
        <v>Pamela Marcum</v>
      </c>
      <c r="C497" t="str">
        <f ca="1">IFERROR(__xludf.DUMMYFUNCTION("""COMPUTED_VALUE"""),"Pamela.Marcum@FloridaDEP.gov")</f>
        <v>Pamela.Marcum@FloridaDEP.gov</v>
      </c>
      <c r="D497" t="str">
        <f ca="1">IFERROR(__xludf.DUMMYFUNCTION("""COMPUTED_VALUE"""),"Research/Nikki")</f>
        <v>Research/Nikki</v>
      </c>
      <c r="E497" t="str">
        <f ca="1">IFERROR(__xludf.DUMMYFUNCTION("""COMPUTED_VALUE"""),"Aunt Kate's")</f>
        <v>Aunt Kate's</v>
      </c>
      <c r="F497" s="13">
        <f ca="1">IFERROR(__xludf.DUMMYFUNCTION("""COMPUTED_VALUE"""),0.291666666667879)</f>
        <v>0.29166666666787899</v>
      </c>
      <c r="G497" s="14">
        <f ca="1">IFERROR(__xludf.DUMMYFUNCTION("""COMPUTED_VALUE"""),43922)</f>
        <v>43922</v>
      </c>
      <c r="H497" t="str">
        <f ca="1">IFERROR(__xludf.DUMMYFUNCTION("""COMPUTED_VALUE"""),"Spat Run")</f>
        <v>Spat Run</v>
      </c>
      <c r="I497" s="15">
        <f ca="1">IFERROR(__xludf.DUMMYFUNCTION("""COMPUTED_VALUE"""),0.666666666667879)</f>
        <v>0.66666666666787899</v>
      </c>
      <c r="J497" s="16">
        <f ca="1">IFERROR(__xludf.DUMMYFUNCTION("""COMPUTED_VALUE"""),43922.6875)</f>
        <v>43922.6875</v>
      </c>
      <c r="K497" t="str">
        <f ca="1">IFERROR(__xludf.DUMMYFUNCTION("""COMPUTED_VALUE"""),"20ft Sea Ark FL5351SJ UNF 2015")</f>
        <v>20ft Sea Ark FL5351SJ UNF 2015</v>
      </c>
      <c r="M497" t="str">
        <f ca="1">IFERROR(__xludf.DUMMYFUNCTION("""COMPUTED_VALUE"""),"Ford F150 2015 (White) - DEP21448")</f>
        <v>Ford F150 2015 (White) - DEP21448</v>
      </c>
      <c r="N497" t="str">
        <f ca="1">IFERROR(__xludf.DUMMYFUNCTION("""COMPUTED_VALUE"""),"Pam Marcum, (480) 332-5414")</f>
        <v>Pam Marcum, (480) 332-5414</v>
      </c>
      <c r="O497" t="str">
        <f ca="1">IFERROR(__xludf.DUMMYFUNCTION("""COMPUTED_VALUE"""),"Alee Knoell, (619) 750-4833, Alee is switching with Adrienne Breef-Pilz at 11am ")</f>
        <v xml:space="preserve">Alee Knoell, (619) 750-4833, Alee is switching with Adrienne Breef-Pilz at 11am </v>
      </c>
      <c r="P497" t="str">
        <f ca="1">IFERROR(__xludf.DUMMYFUNCTION("""COMPUTED_VALUE"""),"Pam")</f>
        <v>Pam</v>
      </c>
      <c r="Q497" t="str">
        <f ca="1">IFERROR(__xludf.DUMMYFUNCTION("""COMPUTED_VALUE"""),"All items in working order")</f>
        <v>All items in working order</v>
      </c>
      <c r="AE497" s="11"/>
      <c r="AF497" t="str">
        <v>Nikki.Dix@floridadep.gov</v>
      </c>
      <c r="AG497" s="18"/>
    </row>
    <row r="498" spans="1:33" ht="12.75">
      <c r="A498" s="10">
        <f ca="1">IFERROR(__xludf.DUMMYFUNCTION("""COMPUTED_VALUE"""),43923.4560935879)</f>
        <v>43923.456093587898</v>
      </c>
      <c r="B498" s="11" t="str">
        <f ca="1">IFERROR(__xludf.DUMMYFUNCTION("""COMPUTED_VALUE"""),"Pam Marcum")</f>
        <v>Pam Marcum</v>
      </c>
      <c r="C498" t="str">
        <f ca="1">IFERROR(__xludf.DUMMYFUNCTION("""COMPUTED_VALUE"""),"Pamela.Marcum@floridadep.gov")</f>
        <v>Pamela.Marcum@floridadep.gov</v>
      </c>
      <c r="D498" t="str">
        <f ca="1">IFERROR(__xludf.DUMMYFUNCTION("""COMPUTED_VALUE"""),"Research/Silas")</f>
        <v>Research/Silas</v>
      </c>
      <c r="E498" t="str">
        <f ca="1">IFERROR(__xludf.DUMMYFUNCTION("""COMPUTED_VALUE"""),"Shore Dr")</f>
        <v>Shore Dr</v>
      </c>
      <c r="F498" s="13">
        <f ca="1">IFERROR(__xludf.DUMMYFUNCTION("""COMPUTED_VALUE"""),0.45833333333212)</f>
        <v>0.45833333333212001</v>
      </c>
      <c r="G498" s="14">
        <f ca="1">IFERROR(__xludf.DUMMYFUNCTION("""COMPUTED_VALUE"""),43923)</f>
        <v>43923</v>
      </c>
      <c r="H498" t="str">
        <f ca="1">IFERROR(__xludf.DUMMYFUNCTION("""COMPUTED_VALUE"""),"Gabbys Creek")</f>
        <v>Gabbys Creek</v>
      </c>
      <c r="I498" s="15">
        <f ca="1">IFERROR(__xludf.DUMMYFUNCTION("""COMPUTED_VALUE"""),0.666666666667879)</f>
        <v>0.66666666666787899</v>
      </c>
      <c r="J498" s="16">
        <f ca="1">IFERROR(__xludf.DUMMYFUNCTION("""COMPUTED_VALUE"""),43923.6875)</f>
        <v>43923.6875</v>
      </c>
      <c r="K498" t="str">
        <f ca="1">IFERROR(__xludf.DUMMYFUNCTION("""COMPUTED_VALUE"""),"23ft Skiff (Bertha) FL7972LJ DEP07613")</f>
        <v>23ft Skiff (Bertha) FL7972LJ DEP07613</v>
      </c>
      <c r="M498" t="str">
        <f ca="1">IFERROR(__xludf.DUMMYFUNCTION("""COMPUTED_VALUE"""),"Ford F150 2015 (White) - DEP21448")</f>
        <v>Ford F150 2015 (White) - DEP21448</v>
      </c>
      <c r="N498" t="str">
        <f ca="1">IFERROR(__xludf.DUMMYFUNCTION("""COMPUTED_VALUE"""),"Pam Marcum, (480) 332-5414")</f>
        <v>Pam Marcum, (480) 332-5414</v>
      </c>
      <c r="O498" t="str">
        <f ca="1">IFERROR(__xludf.DUMMYFUNCTION("""COMPUTED_VALUE"""),"Gabriela Canas, (904) 891-9743")</f>
        <v>Gabriela Canas, (904) 891-9743</v>
      </c>
      <c r="P498" t="str">
        <f ca="1">IFERROR(__xludf.DUMMYFUNCTION("""COMPUTED_VALUE"""),"Pam")</f>
        <v>Pam</v>
      </c>
      <c r="Q498" t="str">
        <f ca="1">IFERROR(__xludf.DUMMYFUNCTION("""COMPUTED_VALUE"""),"All items in working order")</f>
        <v>All items in working order</v>
      </c>
      <c r="AE498" s="11"/>
      <c r="AF498" t="str">
        <v>Silas.Tanner@floridadep.gov</v>
      </c>
      <c r="AG498" s="18"/>
    </row>
    <row r="499" spans="1:33" ht="12.75">
      <c r="A499" s="10">
        <f ca="1">IFERROR(__xludf.DUMMYFUNCTION("""COMPUTED_VALUE"""),43928.3972194213)</f>
        <v>43928.397219421298</v>
      </c>
      <c r="B499" s="11" t="str">
        <f ca="1">IFERROR(__xludf.DUMMYFUNCTION("""COMPUTED_VALUE"""),"Shannon Dunnigan")</f>
        <v>Shannon Dunnigan</v>
      </c>
      <c r="C499" t="str">
        <f ca="1">IFERROR(__xludf.DUMMYFUNCTION("""COMPUTED_VALUE"""),"shannon.dunnigan@dep.state.fl.us")</f>
        <v>shannon.dunnigan@dep.state.fl.us</v>
      </c>
      <c r="D499" t="str">
        <f ca="1">IFERROR(__xludf.DUMMYFUNCTION("""COMPUTED_VALUE"""),"Research/Nikki")</f>
        <v>Research/Nikki</v>
      </c>
      <c r="E499" t="str">
        <f ca="1">IFERROR(__xludf.DUMMYFUNCTION("""COMPUTED_VALUE"""),"Vilano")</f>
        <v>Vilano</v>
      </c>
      <c r="F499" s="13">
        <f ca="1">IFERROR(__xludf.DUMMYFUNCTION("""COMPUTED_VALUE"""),0.39583333333212)</f>
        <v>0.39583333333212001</v>
      </c>
      <c r="G499" s="14">
        <f ca="1">IFERROR(__xludf.DUMMYFUNCTION("""COMPUTED_VALUE"""),43928)</f>
        <v>43928</v>
      </c>
      <c r="H499" t="str">
        <f ca="1">IFERROR(__xludf.DUMMYFUNCTION("""COMPUTED_VALUE"""),"ICE SWMP sites")</f>
        <v>ICE SWMP sites</v>
      </c>
      <c r="I499" s="15">
        <f ca="1">IFERROR(__xludf.DUMMYFUNCTION("""COMPUTED_VALUE"""),0.5625)</f>
        <v>0.5625</v>
      </c>
      <c r="J499" s="16">
        <f ca="1">IFERROR(__xludf.DUMMYFUNCTION("""COMPUTED_VALUE"""),43928.59375)</f>
        <v>43928.59375</v>
      </c>
      <c r="K499" t="str">
        <f ca="1">IFERROR(__xludf.DUMMYFUNCTION("""COMPUTED_VALUE"""),"20ft Sea Ark FL5351SJ UNF 2015")</f>
        <v>20ft Sea Ark FL5351SJ UNF 2015</v>
      </c>
      <c r="M499" t="str">
        <f ca="1">IFERROR(__xludf.DUMMYFUNCTION("""COMPUTED_VALUE"""),"Ford F250 2017 (Moby Dix) - DEP0021578")</f>
        <v>Ford F250 2017 (Moby Dix) - DEP0021578</v>
      </c>
      <c r="N499" t="str">
        <f ca="1">IFERROR(__xludf.DUMMYFUNCTION("""COMPUTED_VALUE"""),"Shannon Dunnigan, (803) 727-5734, Silas Tanner, (904) 483-8423")</f>
        <v>Shannon Dunnigan, (803) 727-5734, Silas Tanner, (904) 483-8423</v>
      </c>
      <c r="P499" t="str">
        <f ca="1">IFERROR(__xludf.DUMMYFUNCTION("""COMPUTED_VALUE"""),"Shannon")</f>
        <v>Shannon</v>
      </c>
      <c r="Q499" t="str">
        <f ca="1">IFERROR(__xludf.DUMMYFUNCTION("""COMPUTED_VALUE"""),"All items in working order")</f>
        <v>All items in working order</v>
      </c>
      <c r="AE499" s="11"/>
      <c r="AF499" t="str">
        <v>Nikki.Dix@floridadep.gov</v>
      </c>
      <c r="AG499" s="18"/>
    </row>
    <row r="500" spans="1:33" ht="12.75">
      <c r="A500" s="10">
        <f ca="1">IFERROR(__xludf.DUMMYFUNCTION("""COMPUTED_VALUE"""),43931.2822412268)</f>
        <v>43931.2822412268</v>
      </c>
      <c r="B500" s="11" t="str">
        <f ca="1">IFERROR(__xludf.DUMMYFUNCTION("""COMPUTED_VALUE"""),"Silas Tanner")</f>
        <v>Silas Tanner</v>
      </c>
      <c r="C500" t="str">
        <f ca="1">IFERROR(__xludf.DUMMYFUNCTION("""COMPUTED_VALUE"""),"silas.tanner@floridadep.gov")</f>
        <v>silas.tanner@floridadep.gov</v>
      </c>
      <c r="D500" t="str">
        <f ca="1">IFERROR(__xludf.DUMMYFUNCTION("""COMPUTED_VALUE"""),"Research/Nikki")</f>
        <v>Research/Nikki</v>
      </c>
      <c r="E500" t="str">
        <f ca="1">IFERROR(__xludf.DUMMYFUNCTION("""COMPUTED_VALUE"""),"Faver Dykes SP")</f>
        <v>Faver Dykes SP</v>
      </c>
      <c r="F500" s="13">
        <f ca="1">IFERROR(__xludf.DUMMYFUNCTION("""COMPUTED_VALUE"""),0.34375)</f>
        <v>0.34375</v>
      </c>
      <c r="G500" s="14">
        <f ca="1">IFERROR(__xludf.DUMMYFUNCTION("""COMPUTED_VALUE"""),43931)</f>
        <v>43931</v>
      </c>
      <c r="H500" t="str">
        <f ca="1">IFERROR(__xludf.DUMMYFUNCTION("""COMPUTED_VALUE"""),"Pellicer Creek SWMP platforms")</f>
        <v>Pellicer Creek SWMP platforms</v>
      </c>
      <c r="I500" s="15">
        <f ca="1">IFERROR(__xludf.DUMMYFUNCTION("""COMPUTED_VALUE"""),0.5625)</f>
        <v>0.5625</v>
      </c>
      <c r="J500" s="16">
        <f ca="1">IFERROR(__xludf.DUMMYFUNCTION("""COMPUTED_VALUE"""),43931.6145833333)</f>
        <v>43931.614583333299</v>
      </c>
      <c r="K500" t="str">
        <f ca="1">IFERROR(__xludf.DUMMYFUNCTION("""COMPUTED_VALUE"""),"20ft Sea Ark FL5351SJ UNF 2015")</f>
        <v>20ft Sea Ark FL5351SJ UNF 2015</v>
      </c>
      <c r="M500" t="str">
        <f ca="1">IFERROR(__xludf.DUMMYFUNCTION("""COMPUTED_VALUE"""),"Ford F250 2017 (Moby Dix) - DEP0021578")</f>
        <v>Ford F250 2017 (Moby Dix) - DEP0021578</v>
      </c>
      <c r="N500" t="str">
        <f ca="1">IFERROR(__xludf.DUMMYFUNCTION("""COMPUTED_VALUE"""),"Shannon Dunnigan, (803) 727-5734, Silas Tanner, (904) 483-8423")</f>
        <v>Shannon Dunnigan, (803) 727-5734, Silas Tanner, (904) 483-8423</v>
      </c>
      <c r="P500" t="str">
        <f ca="1">IFERROR(__xludf.DUMMYFUNCTION("""COMPUTED_VALUE"""),"S. Tanner")</f>
        <v>S. Tanner</v>
      </c>
      <c r="Q500" t="str">
        <f ca="1">IFERROR(__xludf.DUMMYFUNCTION("""COMPUTED_VALUE"""),"All items in working order")</f>
        <v>All items in working order</v>
      </c>
      <c r="AE500" s="11"/>
      <c r="AF500" t="str">
        <v>Nikki.Dix@floridadep.gov</v>
      </c>
      <c r="AG500" s="18"/>
    </row>
    <row r="501" spans="1:33" ht="12.75">
      <c r="A501" s="10">
        <f ca="1">IFERROR(__xludf.DUMMYFUNCTION("""COMPUTED_VALUE"""),43934.3769488194)</f>
        <v>43934.376948819401</v>
      </c>
      <c r="B501" s="11" t="str">
        <f ca="1">IFERROR(__xludf.DUMMYFUNCTION("""COMPUTED_VALUE"""),"Shannon Dunnigan")</f>
        <v>Shannon Dunnigan</v>
      </c>
      <c r="C501" t="str">
        <f ca="1">IFERROR(__xludf.DUMMYFUNCTION("""COMPUTED_VALUE"""),"shannon.dunnigan@dep.state.fl.us")</f>
        <v>shannon.dunnigan@dep.state.fl.us</v>
      </c>
      <c r="D501" t="str">
        <f ca="1">IFERROR(__xludf.DUMMYFUNCTION("""COMPUTED_VALUE"""),"Research/Nikki")</f>
        <v>Research/Nikki</v>
      </c>
      <c r="E501" t="str">
        <f ca="1">IFERROR(__xludf.DUMMYFUNCTION("""COMPUTED_VALUE"""),"Bings")</f>
        <v>Bings</v>
      </c>
      <c r="F501" s="13">
        <f ca="1">IFERROR(__xludf.DUMMYFUNCTION("""COMPUTED_VALUE"""),0.375)</f>
        <v>0.375</v>
      </c>
      <c r="G501" s="14">
        <f ca="1">IFERROR(__xludf.DUMMYFUNCTION("""COMPUTED_VALUE"""),43934)</f>
        <v>43934</v>
      </c>
      <c r="H501" t="str">
        <f ca="1">IFERROR(__xludf.DUMMYFUNCTION("""COMPUTED_VALUE"""),"Wash Oaks veg platforms")</f>
        <v>Wash Oaks veg platforms</v>
      </c>
      <c r="I501" s="15">
        <f ca="1">IFERROR(__xludf.DUMMYFUNCTION("""COMPUTED_VALUE"""),0.58333333333212)</f>
        <v>0.58333333333212001</v>
      </c>
      <c r="J501" s="16">
        <f ca="1">IFERROR(__xludf.DUMMYFUNCTION("""COMPUTED_VALUE"""),43934.6666666666)</f>
        <v>43934.666666666599</v>
      </c>
      <c r="K501" t="str">
        <f ca="1">IFERROR(__xludf.DUMMYFUNCTION("""COMPUTED_VALUE"""),"20ft Sea Ark FL5351SJ UNF 2015")</f>
        <v>20ft Sea Ark FL5351SJ UNF 2015</v>
      </c>
      <c r="M501" t="str">
        <f ca="1">IFERROR(__xludf.DUMMYFUNCTION("""COMPUTED_VALUE"""),"Ford F250 2017 (Moby Dix) - DEP0021578")</f>
        <v>Ford F250 2017 (Moby Dix) - DEP0021578</v>
      </c>
      <c r="N501" t="str">
        <f ca="1">IFERROR(__xludf.DUMMYFUNCTION("""COMPUTED_VALUE"""),"Shannon Dunnigan, (803) 727-5734, Silas Tanner, (904) 483-8423")</f>
        <v>Shannon Dunnigan, (803) 727-5734, Silas Tanner, (904) 483-8423</v>
      </c>
      <c r="P501" t="str">
        <f ca="1">IFERROR(__xludf.DUMMYFUNCTION("""COMPUTED_VALUE"""),"Silas")</f>
        <v>Silas</v>
      </c>
      <c r="Q501" t="str">
        <f ca="1">IFERROR(__xludf.DUMMYFUNCTION("""COMPUTED_VALUE"""),"All items in working order")</f>
        <v>All items in working order</v>
      </c>
      <c r="AE501" s="11"/>
      <c r="AF501" t="str">
        <v>Nikki.Dix@floridadep.gov</v>
      </c>
      <c r="AG501" s="18"/>
    </row>
    <row r="502" spans="1:33" ht="12.75">
      <c r="A502" s="10">
        <f ca="1">IFERROR(__xludf.DUMMYFUNCTION("""COMPUTED_VALUE"""),43937.3939226851)</f>
        <v>43937.3939226851</v>
      </c>
      <c r="B502" s="11" t="str">
        <f ca="1">IFERROR(__xludf.DUMMYFUNCTION("""COMPUTED_VALUE"""),"Shannon Dunnigan")</f>
        <v>Shannon Dunnigan</v>
      </c>
      <c r="C502" t="str">
        <f ca="1">IFERROR(__xludf.DUMMYFUNCTION("""COMPUTED_VALUE"""),"shannon.dunnigan@dep.state.fl.us")</f>
        <v>shannon.dunnigan@dep.state.fl.us</v>
      </c>
      <c r="D502" t="str">
        <f ca="1">IFERROR(__xludf.DUMMYFUNCTION("""COMPUTED_VALUE"""),"Research/Nikki")</f>
        <v>Research/Nikki</v>
      </c>
      <c r="E502" t="str">
        <f ca="1">IFERROR(__xludf.DUMMYFUNCTION("""COMPUTED_VALUE"""),"Usina")</f>
        <v>Usina</v>
      </c>
      <c r="F502" s="13">
        <f ca="1">IFERROR(__xludf.DUMMYFUNCTION("""COMPUTED_VALUE"""),0.39583333333212)</f>
        <v>0.39583333333212001</v>
      </c>
      <c r="G502" s="14">
        <f ca="1">IFERROR(__xludf.DUMMYFUNCTION("""COMPUTED_VALUE"""),43937)</f>
        <v>43937</v>
      </c>
      <c r="H502" t="str">
        <f ca="1">IFERROR(__xludf.DUMMYFUNCTION("""COMPUTED_VALUE"""),"Hat Island")</f>
        <v>Hat Island</v>
      </c>
      <c r="I502" s="15">
        <f ca="1">IFERROR(__xludf.DUMMYFUNCTION("""COMPUTED_VALUE"""),0.58333333333212)</f>
        <v>0.58333333333212001</v>
      </c>
      <c r="J502" s="16">
        <f ca="1">IFERROR(__xludf.DUMMYFUNCTION("""COMPUTED_VALUE"""),43937.6458333333)</f>
        <v>43937.645833333299</v>
      </c>
      <c r="K502" t="str">
        <f ca="1">IFERROR(__xludf.DUMMYFUNCTION("""COMPUTED_VALUE"""),"20ft Sea Ark FL5351SJ UNF 2015")</f>
        <v>20ft Sea Ark FL5351SJ UNF 2015</v>
      </c>
      <c r="M502" t="str">
        <f ca="1">IFERROR(__xludf.DUMMYFUNCTION("""COMPUTED_VALUE"""),"Ford F250 2017 (Moby Dix) - DEP0021578")</f>
        <v>Ford F250 2017 (Moby Dix) - DEP0021578</v>
      </c>
      <c r="N502" t="str">
        <f ca="1">IFERROR(__xludf.DUMMYFUNCTION("""COMPUTED_VALUE"""),"Shannon Dunnigan, (803) 727-5734, Silas Tanner, (904) 483-8423")</f>
        <v>Shannon Dunnigan, (803) 727-5734, Silas Tanner, (904) 483-8423</v>
      </c>
      <c r="P502" t="str">
        <f ca="1">IFERROR(__xludf.DUMMYFUNCTION("""COMPUTED_VALUE"""),"Silas")</f>
        <v>Silas</v>
      </c>
      <c r="Q502" t="str">
        <f ca="1">IFERROR(__xludf.DUMMYFUNCTION("""COMPUTED_VALUE"""),"All items in working order")</f>
        <v>All items in working order</v>
      </c>
      <c r="AE502" s="11"/>
      <c r="AF502" t="str">
        <v>Nikki.Dix@floridadep.gov</v>
      </c>
      <c r="AG502" s="18"/>
    </row>
    <row r="503" spans="1:33" ht="12.75">
      <c r="A503" s="10">
        <f ca="1">IFERROR(__xludf.DUMMYFUNCTION("""COMPUTED_VALUE"""),43938.4496428819)</f>
        <v>43938.449642881897</v>
      </c>
      <c r="B503" s="11" t="str">
        <f ca="1">IFERROR(__xludf.DUMMYFUNCTION("""COMPUTED_VALUE"""),"Silas Tanner")</f>
        <v>Silas Tanner</v>
      </c>
      <c r="C503" t="str">
        <f ca="1">IFERROR(__xludf.DUMMYFUNCTION("""COMPUTED_VALUE"""),"silas.tanner@dep.state.fl")</f>
        <v>silas.tanner@dep.state.fl</v>
      </c>
      <c r="D503" t="str">
        <f ca="1">IFERROR(__xludf.DUMMYFUNCTION("""COMPUTED_VALUE"""),"Research/Nikki")</f>
        <v>Research/Nikki</v>
      </c>
      <c r="E503" t="str">
        <f ca="1">IFERROR(__xludf.DUMMYFUNCTION("""COMPUTED_VALUE"""),"Crane")</f>
        <v>Crane</v>
      </c>
      <c r="F503" s="13">
        <f ca="1">IFERROR(__xludf.DUMMYFUNCTION("""COMPUTED_VALUE"""),0.447916666667879)</f>
        <v>0.44791666666787899</v>
      </c>
      <c r="G503" s="14">
        <f ca="1">IFERROR(__xludf.DUMMYFUNCTION("""COMPUTED_VALUE"""),43938)</f>
        <v>43938</v>
      </c>
      <c r="H503" t="str">
        <f ca="1">IFERROR(__xludf.DUMMYFUNCTION("""COMPUTED_VALUE"""),"Site 22 Platforms")</f>
        <v>Site 22 Platforms</v>
      </c>
      <c r="I503" s="15">
        <f ca="1">IFERROR(__xludf.DUMMYFUNCTION("""COMPUTED_VALUE"""),0.65625)</f>
        <v>0.65625</v>
      </c>
      <c r="J503" s="16">
        <f ca="1">IFERROR(__xludf.DUMMYFUNCTION("""COMPUTED_VALUE"""),43938.6770833333)</f>
        <v>43938.677083333299</v>
      </c>
      <c r="K503" t="str">
        <f ca="1">IFERROR(__xludf.DUMMYFUNCTION("""COMPUTED_VALUE"""),"20ft Sea Ark FL5351SJ UNF 2015")</f>
        <v>20ft Sea Ark FL5351SJ UNF 2015</v>
      </c>
      <c r="M503" t="str">
        <f ca="1">IFERROR(__xludf.DUMMYFUNCTION("""COMPUTED_VALUE"""),"Ford F250 2017 (Moby Dix) - DEP0021578")</f>
        <v>Ford F250 2017 (Moby Dix) - DEP0021578</v>
      </c>
      <c r="N503" t="str">
        <f ca="1">IFERROR(__xludf.DUMMYFUNCTION("""COMPUTED_VALUE"""),"Shannon Dunnigan, (803) 727-5734, Silas Tanner, (904) 483-8423")</f>
        <v>Shannon Dunnigan, (803) 727-5734, Silas Tanner, (904) 483-8423</v>
      </c>
      <c r="P503" t="str">
        <f ca="1">IFERROR(__xludf.DUMMYFUNCTION("""COMPUTED_VALUE"""),"S. Dunnigan")</f>
        <v>S. Dunnigan</v>
      </c>
      <c r="Q503" t="str">
        <f ca="1">IFERROR(__xludf.DUMMYFUNCTION("""COMPUTED_VALUE"""),"All items in working order")</f>
        <v>All items in working order</v>
      </c>
      <c r="AE503" s="11"/>
      <c r="AF503" t="str">
        <v>Nikki.Dix@floridadep.gov</v>
      </c>
      <c r="AG503" s="18"/>
    </row>
    <row r="504" spans="1:33" ht="12.75">
      <c r="A504" s="10">
        <f ca="1">IFERROR(__xludf.DUMMYFUNCTION("""COMPUTED_VALUE"""),43943.3454716898)</f>
        <v>43943.345471689798</v>
      </c>
      <c r="B504" s="11" t="str">
        <f ca="1">IFERROR(__xludf.DUMMYFUNCTION("""COMPUTED_VALUE"""),"Silas Tanner")</f>
        <v>Silas Tanner</v>
      </c>
      <c r="C504" t="str">
        <f ca="1">IFERROR(__xludf.DUMMYFUNCTION("""COMPUTED_VALUE"""),"silas.tanner@floridadep.gov")</f>
        <v>silas.tanner@floridadep.gov</v>
      </c>
      <c r="D504" t="str">
        <f ca="1">IFERROR(__xludf.DUMMYFUNCTION("""COMPUTED_VALUE"""),"Research/Nikki")</f>
        <v>Research/Nikki</v>
      </c>
      <c r="E504" t="str">
        <f ca="1">IFERROR(__xludf.DUMMYFUNCTION("""COMPUTED_VALUE"""),"Vilano Landing")</f>
        <v>Vilano Landing</v>
      </c>
      <c r="F504" s="13">
        <f ca="1">IFERROR(__xludf.DUMMYFUNCTION("""COMPUTED_VALUE"""),0.379861111112404)</f>
        <v>0.379861111112404</v>
      </c>
      <c r="G504" s="14">
        <f ca="1">IFERROR(__xludf.DUMMYFUNCTION("""COMPUTED_VALUE"""),43943)</f>
        <v>43943</v>
      </c>
      <c r="H504" t="str">
        <f ca="1">IFERROR(__xludf.DUMMYFUNCTION("""COMPUTED_VALUE"""),"SWMP stations ICW")</f>
        <v>SWMP stations ICW</v>
      </c>
      <c r="I504" s="15">
        <f ca="1">IFERROR(__xludf.DUMMYFUNCTION("""COMPUTED_VALUE"""),0.584722222221898)</f>
        <v>0.58472222222189796</v>
      </c>
      <c r="J504" s="16">
        <f ca="1">IFERROR(__xludf.DUMMYFUNCTION("""COMPUTED_VALUE"""),43943.6041666666)</f>
        <v>43943.604166666599</v>
      </c>
      <c r="K504" t="str">
        <f ca="1">IFERROR(__xludf.DUMMYFUNCTION("""COMPUTED_VALUE"""),"23ft Skiff (Bertha) FL7972LJ DEP07613")</f>
        <v>23ft Skiff (Bertha) FL7972LJ DEP07613</v>
      </c>
      <c r="M504" t="str">
        <f ca="1">IFERROR(__xludf.DUMMYFUNCTION("""COMPUTED_VALUE"""),"Ford F250 2017 (Moby Dix) - DEP0021578")</f>
        <v>Ford F250 2017 (Moby Dix) - DEP0021578</v>
      </c>
      <c r="N504" t="str">
        <f ca="1">IFERROR(__xludf.DUMMYFUNCTION("""COMPUTED_VALUE"""),"Silas Tanner, (904) 483-8423")</f>
        <v>Silas Tanner, (904) 483-8423</v>
      </c>
      <c r="O504" t="str">
        <f ca="1">IFERROR(__xludf.DUMMYFUNCTION("""COMPUTED_VALUE"""),"Alee Knoell, (619) 750-4833")</f>
        <v>Alee Knoell, (619) 750-4833</v>
      </c>
      <c r="P504" t="str">
        <f ca="1">IFERROR(__xludf.DUMMYFUNCTION("""COMPUTED_VALUE"""),"S. Tanner")</f>
        <v>S. Tanner</v>
      </c>
      <c r="Q504" t="str">
        <f ca="1">IFERROR(__xludf.DUMMYFUNCTION("""COMPUTED_VALUE"""),"All items in working order")</f>
        <v>All items in working order</v>
      </c>
      <c r="AE504" s="11"/>
      <c r="AF504" t="str">
        <v>Nikki.Dix@floridadep.gov</v>
      </c>
      <c r="AG504" s="18"/>
    </row>
    <row r="505" spans="1:33" ht="12.75">
      <c r="A505" s="10">
        <f ca="1">IFERROR(__xludf.DUMMYFUNCTION("""COMPUTED_VALUE"""),43950.3863384375)</f>
        <v>43950.3863384375</v>
      </c>
      <c r="B505" s="11" t="str">
        <f ca="1">IFERROR(__xludf.DUMMYFUNCTION("""COMPUTED_VALUE"""),"Shannon Dunnigan")</f>
        <v>Shannon Dunnigan</v>
      </c>
      <c r="C505" t="str">
        <f ca="1">IFERROR(__xludf.DUMMYFUNCTION("""COMPUTED_VALUE"""),"shannon.dunnigan@dep.state.fl.us")</f>
        <v>shannon.dunnigan@dep.state.fl.us</v>
      </c>
      <c r="D505" t="str">
        <f ca="1">IFERROR(__xludf.DUMMYFUNCTION("""COMPUTED_VALUE"""),"Research/Pam")</f>
        <v>Research/Pam</v>
      </c>
      <c r="E505" t="str">
        <f ca="1">IFERROR(__xludf.DUMMYFUNCTION("""COMPUTED_VALUE"""),"Greene St")</f>
        <v>Greene St</v>
      </c>
      <c r="F505" s="13">
        <f ca="1">IFERROR(__xludf.DUMMYFUNCTION("""COMPUTED_VALUE"""),0.291666666667879)</f>
        <v>0.29166666666787899</v>
      </c>
      <c r="G505" s="14">
        <f ca="1">IFERROR(__xludf.DUMMYFUNCTION("""COMPUTED_VALUE"""),43950)</f>
        <v>43950</v>
      </c>
      <c r="H505" t="str">
        <f ca="1">IFERROR(__xludf.DUMMYFUNCTION("""COMPUTED_VALUE"""),"Moses platforms")</f>
        <v>Moses platforms</v>
      </c>
      <c r="I505" s="15">
        <f ca="1">IFERROR(__xludf.DUMMYFUNCTION("""COMPUTED_VALUE"""),0.625)</f>
        <v>0.625</v>
      </c>
      <c r="J505" s="16">
        <f ca="1">IFERROR(__xludf.DUMMYFUNCTION("""COMPUTED_VALUE"""),43950.6875)</f>
        <v>43950.6875</v>
      </c>
      <c r="K505" t="str">
        <f ca="1">IFERROR(__xludf.DUMMYFUNCTION("""COMPUTED_VALUE"""),"20ft Sea Ark FL5351SJ UNF 2015")</f>
        <v>20ft Sea Ark FL5351SJ UNF 2015</v>
      </c>
      <c r="M505" t="str">
        <f ca="1">IFERROR(__xludf.DUMMYFUNCTION("""COMPUTED_VALUE"""),"Ford F250 2017 (Moby Dix) - DEP0021578")</f>
        <v>Ford F250 2017 (Moby Dix) - DEP0021578</v>
      </c>
      <c r="N505" t="str">
        <f ca="1">IFERROR(__xludf.DUMMYFUNCTION("""COMPUTED_VALUE"""),"Shannon Dunnigan, (803) 727-5734, Silas Tanner, (904) 483-8423")</f>
        <v>Shannon Dunnigan, (803) 727-5734, Silas Tanner, (904) 483-8423</v>
      </c>
      <c r="P505" t="str">
        <f ca="1">IFERROR(__xludf.DUMMYFUNCTION("""COMPUTED_VALUE"""),"Silas")</f>
        <v>Silas</v>
      </c>
      <c r="Q505" t="str">
        <f ca="1">IFERROR(__xludf.DUMMYFUNCTION("""COMPUTED_VALUE"""),"All items in working order")</f>
        <v>All items in working order</v>
      </c>
      <c r="AE505" s="11"/>
      <c r="AF505" t="str">
        <v>Pamela.Marcum@floridadep.gov</v>
      </c>
      <c r="AG505" s="18"/>
    </row>
    <row r="506" spans="1:33" ht="12.75">
      <c r="A506" s="10">
        <f ca="1">IFERROR(__xludf.DUMMYFUNCTION("""COMPUTED_VALUE"""),43950.5487992013)</f>
        <v>43950.5487992013</v>
      </c>
      <c r="B506" s="11" t="str">
        <f ca="1">IFERROR(__xludf.DUMMYFUNCTION("""COMPUTED_VALUE"""),"Shannon Dunnigan")</f>
        <v>Shannon Dunnigan</v>
      </c>
      <c r="C506" t="str">
        <f ca="1">IFERROR(__xludf.DUMMYFUNCTION("""COMPUTED_VALUE"""),"shannon.dunnigan@dep.state.fl.us")</f>
        <v>shannon.dunnigan@dep.state.fl.us</v>
      </c>
      <c r="D506" t="str">
        <f ca="1">IFERROR(__xludf.DUMMYFUNCTION("""COMPUTED_VALUE"""),"Research/Pam")</f>
        <v>Research/Pam</v>
      </c>
      <c r="E506" t="str">
        <f ca="1">IFERROR(__xludf.DUMMYFUNCTION("""COMPUTED_VALUE"""),"Greene St")</f>
        <v>Greene St</v>
      </c>
      <c r="F506" s="13">
        <f ca="1">IFERROR(__xludf.DUMMYFUNCTION("""COMPUTED_VALUE"""),0.291666666667879)</f>
        <v>0.29166666666787899</v>
      </c>
      <c r="G506" s="14">
        <f ca="1">IFERROR(__xludf.DUMMYFUNCTION("""COMPUTED_VALUE"""),43950)</f>
        <v>43950</v>
      </c>
      <c r="H506" t="str">
        <f ca="1">IFERROR(__xludf.DUMMYFUNCTION("""COMPUTED_VALUE"""),"Moses platforms")</f>
        <v>Moses platforms</v>
      </c>
      <c r="I506" s="15">
        <f ca="1">IFERROR(__xludf.DUMMYFUNCTION("""COMPUTED_VALUE"""),0.625)</f>
        <v>0.625</v>
      </c>
      <c r="J506" s="16">
        <f ca="1">IFERROR(__xludf.DUMMYFUNCTION("""COMPUTED_VALUE"""),43950.6875)</f>
        <v>43950.6875</v>
      </c>
      <c r="K506" t="str">
        <f ca="1">IFERROR(__xludf.DUMMYFUNCTION("""COMPUTED_VALUE"""),"20ft Sea Ark FL5351SJ UNF 2015")</f>
        <v>20ft Sea Ark FL5351SJ UNF 2015</v>
      </c>
      <c r="M506" t="str">
        <f ca="1">IFERROR(__xludf.DUMMYFUNCTION("""COMPUTED_VALUE"""),"Ford F250 2017 (Moby Dix) - DEP0021578")</f>
        <v>Ford F250 2017 (Moby Dix) - DEP0021578</v>
      </c>
      <c r="N506" t="str">
        <f ca="1">IFERROR(__xludf.DUMMYFUNCTION("""COMPUTED_VALUE"""),"Shannon Dunnigan, (803) 727-5734, Silas Tanner, (904) 483-8423")</f>
        <v>Shannon Dunnigan, (803) 727-5734, Silas Tanner, (904) 483-8423</v>
      </c>
      <c r="P506" t="str">
        <f ca="1">IFERROR(__xludf.DUMMYFUNCTION("""COMPUTED_VALUE"""),"Silas")</f>
        <v>Silas</v>
      </c>
      <c r="Q506" t="str">
        <f ca="1">IFERROR(__xludf.DUMMYFUNCTION("""COMPUTED_VALUE"""),"All items in working order")</f>
        <v>All items in working order</v>
      </c>
      <c r="AE506" s="11"/>
      <c r="AF506" t="str">
        <v>Pamela.Marcum@floridadep.gov</v>
      </c>
      <c r="AG506" s="18"/>
    </row>
    <row r="507" spans="1:33" ht="12.75">
      <c r="A507" s="10">
        <f ca="1">IFERROR(__xludf.DUMMYFUNCTION("""COMPUTED_VALUE"""),43952.339007743)</f>
        <v>43952.339007743001</v>
      </c>
      <c r="B507" s="11" t="str">
        <f ca="1">IFERROR(__xludf.DUMMYFUNCTION("""COMPUTED_VALUE"""),"Pamela Marcum")</f>
        <v>Pamela Marcum</v>
      </c>
      <c r="C507" t="str">
        <f ca="1">IFERROR(__xludf.DUMMYFUNCTION("""COMPUTED_VALUE"""),"pamela.marcum@floridadep.gov")</f>
        <v>pamela.marcum@floridadep.gov</v>
      </c>
      <c r="D507" t="str">
        <f ca="1">IFERROR(__xludf.DUMMYFUNCTION("""COMPUTED_VALUE"""),"Research/Nikki")</f>
        <v>Research/Nikki</v>
      </c>
      <c r="E507" t="str">
        <f ca="1">IFERROR(__xludf.DUMMYFUNCTION("""COMPUTED_VALUE"""),"Aunt Kates")</f>
        <v>Aunt Kates</v>
      </c>
      <c r="F507" s="13">
        <f ca="1">IFERROR(__xludf.DUMMYFUNCTION("""COMPUTED_VALUE"""),0.291666666667879)</f>
        <v>0.29166666666787899</v>
      </c>
      <c r="G507" s="14">
        <f ca="1">IFERROR(__xludf.DUMMYFUNCTION("""COMPUTED_VALUE"""),43952)</f>
        <v>43952</v>
      </c>
      <c r="H507" t="str">
        <f ca="1">IFERROR(__xludf.DUMMYFUNCTION("""COMPUTED_VALUE"""),"Spat trees")</f>
        <v>Spat trees</v>
      </c>
      <c r="I507" s="15">
        <f ca="1">IFERROR(__xludf.DUMMYFUNCTION("""COMPUTED_VALUE"""),0.666666666667879)</f>
        <v>0.66666666666787899</v>
      </c>
      <c r="J507" s="16">
        <f ca="1">IFERROR(__xludf.DUMMYFUNCTION("""COMPUTED_VALUE"""),43952.6875)</f>
        <v>43952.6875</v>
      </c>
      <c r="K507" t="str">
        <f ca="1">IFERROR(__xludf.DUMMYFUNCTION("""COMPUTED_VALUE"""),"20ft Sea Ark FL5351SJ UNF 2015")</f>
        <v>20ft Sea Ark FL5351SJ UNF 2015</v>
      </c>
      <c r="M507" t="str">
        <f ca="1">IFERROR(__xludf.DUMMYFUNCTION("""COMPUTED_VALUE"""),"Ford F150 2015 (White) - DEP21448")</f>
        <v>Ford F150 2015 (White) - DEP21448</v>
      </c>
      <c r="N507" t="str">
        <f ca="1">IFERROR(__xludf.DUMMYFUNCTION("""COMPUTED_VALUE"""),"Pam Marcum, (480) 332-5414")</f>
        <v>Pam Marcum, (480) 332-5414</v>
      </c>
      <c r="O507" t="str">
        <f ca="1">IFERROR(__xludf.DUMMYFUNCTION("""COMPUTED_VALUE"""),"Alee Knoell, (619) 750-4833, Adrienne Breef-Pilz")</f>
        <v>Alee Knoell, (619) 750-4833, Adrienne Breef-Pilz</v>
      </c>
      <c r="P507" t="str">
        <f ca="1">IFERROR(__xludf.DUMMYFUNCTION("""COMPUTED_VALUE"""),"Pam")</f>
        <v>Pam</v>
      </c>
      <c r="Q507" t="str">
        <f ca="1">IFERROR(__xludf.DUMMYFUNCTION("""COMPUTED_VALUE"""),"All items in working order")</f>
        <v>All items in working order</v>
      </c>
      <c r="AE507" s="11"/>
      <c r="AF507" t="str">
        <v>Nikki.Dix@floridadep.gov</v>
      </c>
      <c r="AG507" s="18"/>
    </row>
    <row r="508" spans="1:33" ht="12.75">
      <c r="A508" s="10">
        <f ca="1">IFERROR(__xludf.DUMMYFUNCTION("""COMPUTED_VALUE"""),43956.3146930208)</f>
        <v>43956.314693020802</v>
      </c>
      <c r="B508" s="11" t="str">
        <f ca="1">IFERROR(__xludf.DUMMYFUNCTION("""COMPUTED_VALUE"""),"Silas Tanner")</f>
        <v>Silas Tanner</v>
      </c>
      <c r="C508" t="str">
        <f ca="1">IFERROR(__xludf.DUMMYFUNCTION("""COMPUTED_VALUE"""),"silas.tanner@dep.state.fl.us")</f>
        <v>silas.tanner@dep.state.fl.us</v>
      </c>
      <c r="D508" t="str">
        <f ca="1">IFERROR(__xludf.DUMMYFUNCTION("""COMPUTED_VALUE"""),"Research/Nikki")</f>
        <v>Research/Nikki</v>
      </c>
      <c r="E508" t="str">
        <f ca="1">IFERROR(__xludf.DUMMYFUNCTION("""COMPUTED_VALUE"""),"Vilano Landing")</f>
        <v>Vilano Landing</v>
      </c>
      <c r="F508" s="13">
        <f ca="1">IFERROR(__xludf.DUMMYFUNCTION("""COMPUTED_VALUE"""),0.326388888890505)</f>
        <v>0.32638888889050499</v>
      </c>
      <c r="G508" s="14">
        <f ca="1">IFERROR(__xludf.DUMMYFUNCTION("""COMPUTED_VALUE"""),43956)</f>
        <v>43956</v>
      </c>
      <c r="H508" t="str">
        <f ca="1">IFERROR(__xludf.DUMMYFUNCTION("""COMPUTED_VALUE"""),"ICW SWMP sites")</f>
        <v>ICW SWMP sites</v>
      </c>
      <c r="I508" s="15">
        <f ca="1">IFERROR(__xludf.DUMMYFUNCTION("""COMPUTED_VALUE"""),0.58333333333212)</f>
        <v>0.58333333333212001</v>
      </c>
      <c r="J508" s="16">
        <f ca="1">IFERROR(__xludf.DUMMYFUNCTION("""COMPUTED_VALUE"""),43956.6041666666)</f>
        <v>43956.604166666599</v>
      </c>
      <c r="K508" t="str">
        <f ca="1">IFERROR(__xludf.DUMMYFUNCTION("""COMPUTED_VALUE"""),"23ft Skiff (Bertha) FL7972LJ DEP07613")</f>
        <v>23ft Skiff (Bertha) FL7972LJ DEP07613</v>
      </c>
      <c r="M508" t="str">
        <f ca="1">IFERROR(__xludf.DUMMYFUNCTION("""COMPUTED_VALUE"""),"Ford F250 2017 (Moby Dix) - DEP0021578")</f>
        <v>Ford F250 2017 (Moby Dix) - DEP0021578</v>
      </c>
      <c r="N508" t="str">
        <f ca="1">IFERROR(__xludf.DUMMYFUNCTION("""COMPUTED_VALUE"""),"Silas Tanner, (904) 483-8423")</f>
        <v>Silas Tanner, (904) 483-8423</v>
      </c>
      <c r="O508" t="str">
        <f ca="1">IFERROR(__xludf.DUMMYFUNCTION("""COMPUTED_VALUE"""),"Alee Knoell, (619) 750-4833")</f>
        <v>Alee Knoell, (619) 750-4833</v>
      </c>
      <c r="P508" t="str">
        <f ca="1">IFERROR(__xludf.DUMMYFUNCTION("""COMPUTED_VALUE"""),"S. Tanner")</f>
        <v>S. Tanner</v>
      </c>
      <c r="Q508" t="str">
        <f ca="1">IFERROR(__xludf.DUMMYFUNCTION("""COMPUTED_VALUE"""),"All items in working order")</f>
        <v>All items in working order</v>
      </c>
      <c r="AE508" s="11"/>
      <c r="AF508" t="str">
        <v>Nikki.Dix@floridadep.gov</v>
      </c>
      <c r="AG508" s="18"/>
    </row>
    <row r="509" spans="1:33" ht="12.75">
      <c r="A509" s="10">
        <f ca="1">IFERROR(__xludf.DUMMYFUNCTION("""COMPUTED_VALUE"""),43965.4790346296)</f>
        <v>43965.479034629599</v>
      </c>
      <c r="B509" s="11" t="str">
        <f ca="1">IFERROR(__xludf.DUMMYFUNCTION("""COMPUTED_VALUE"""),"Alexandria Knoell")</f>
        <v>Alexandria Knoell</v>
      </c>
      <c r="C509" t="str">
        <f ca="1">IFERROR(__xludf.DUMMYFUNCTION("""COMPUTED_VALUE"""),"alee.knoell@floridadep.gov")</f>
        <v>alee.knoell@floridadep.gov</v>
      </c>
      <c r="D509" t="str">
        <f ca="1">IFERROR(__xludf.DUMMYFUNCTION("""COMPUTED_VALUE"""),"Research/Nikki")</f>
        <v>Research/Nikki</v>
      </c>
      <c r="E509" t="str">
        <f ca="1">IFERROR(__xludf.DUMMYFUNCTION("""COMPUTED_VALUE"""),"Shore drive")</f>
        <v>Shore drive</v>
      </c>
      <c r="F509" s="13">
        <f ca="1">IFERROR(__xludf.DUMMYFUNCTION("""COMPUTED_VALUE"""),0.479166666667879)</f>
        <v>0.47916666666787899</v>
      </c>
      <c r="G509" s="14">
        <f ca="1">IFERROR(__xludf.DUMMYFUNCTION("""COMPUTED_VALUE"""),43965)</f>
        <v>43965</v>
      </c>
      <c r="H509" t="str">
        <f ca="1">IFERROR(__xludf.DUMMYFUNCTION("""COMPUTED_VALUE"""),"Site 22")</f>
        <v>Site 22</v>
      </c>
      <c r="I509" s="15">
        <f ca="1">IFERROR(__xludf.DUMMYFUNCTION("""COMPUTED_VALUE"""),0.64583333333212)</f>
        <v>0.64583333333212001</v>
      </c>
      <c r="J509" s="16">
        <f ca="1">IFERROR(__xludf.DUMMYFUNCTION("""COMPUTED_VALUE"""),43965.6875)</f>
        <v>43965.6875</v>
      </c>
      <c r="K509" t="str">
        <f ca="1">IFERROR(__xludf.DUMMYFUNCTION("""COMPUTED_VALUE"""),"23ft Skiff (Bertha) FL7972LJ DEP07613")</f>
        <v>23ft Skiff (Bertha) FL7972LJ DEP07613</v>
      </c>
      <c r="M509" t="str">
        <f ca="1">IFERROR(__xludf.DUMMYFUNCTION("""COMPUTED_VALUE"""),"Ford F150 2015 (White) - DEP21448")</f>
        <v>Ford F150 2015 (White) - DEP21448</v>
      </c>
      <c r="N509" t="str">
        <f ca="1">IFERROR(__xludf.DUMMYFUNCTION("""COMPUTED_VALUE"""),"Pam Marcum, (480) 332-5414")</f>
        <v>Pam Marcum, (480) 332-5414</v>
      </c>
      <c r="O509" t="str">
        <f ca="1">IFERROR(__xludf.DUMMYFUNCTION("""COMPUTED_VALUE"""),"Alee Knoell, (619) 750-4833")</f>
        <v>Alee Knoell, (619) 750-4833</v>
      </c>
      <c r="P509" t="str">
        <f ca="1">IFERROR(__xludf.DUMMYFUNCTION("""COMPUTED_VALUE"""),"Pam")</f>
        <v>Pam</v>
      </c>
      <c r="Q509" t="str">
        <f ca="1">IFERROR(__xludf.DUMMYFUNCTION("""COMPUTED_VALUE"""),"All items in working order")</f>
        <v>All items in working order</v>
      </c>
      <c r="AE509" s="11"/>
      <c r="AF509" t="str">
        <v>Nikki.Dix@floridadep.gov</v>
      </c>
      <c r="AG509" s="18"/>
    </row>
    <row r="510" spans="1:33" ht="12.75">
      <c r="A510" s="10">
        <f ca="1">IFERROR(__xludf.DUMMYFUNCTION("""COMPUTED_VALUE"""),43966.4243586458)</f>
        <v>43966.424358645803</v>
      </c>
      <c r="B510" s="11" t="str">
        <f ca="1">IFERROR(__xludf.DUMMYFUNCTION("""COMPUTED_VALUE"""),"Pamela Marcum")</f>
        <v>Pamela Marcum</v>
      </c>
      <c r="C510" t="str">
        <f ca="1">IFERROR(__xludf.DUMMYFUNCTION("""COMPUTED_VALUE"""),"pamela.marcum@floridadep.gov")</f>
        <v>pamela.marcum@floridadep.gov</v>
      </c>
      <c r="D510" t="str">
        <f ca="1">IFERROR(__xludf.DUMMYFUNCTION("""COMPUTED_VALUE"""),"Research/Nikki")</f>
        <v>Research/Nikki</v>
      </c>
      <c r="E510" t="str">
        <f ca="1">IFERROR(__xludf.DUMMYFUNCTION("""COMPUTED_VALUE"""),"Shore Drive")</f>
        <v>Shore Drive</v>
      </c>
      <c r="F510" s="13">
        <f ca="1">IFERROR(__xludf.DUMMYFUNCTION("""COMPUTED_VALUE"""),0.39583333333212)</f>
        <v>0.39583333333212001</v>
      </c>
      <c r="G510" s="14">
        <f ca="1">IFERROR(__xludf.DUMMYFUNCTION("""COMPUTED_VALUE"""),43966)</f>
        <v>43966</v>
      </c>
      <c r="H510" t="str">
        <f ca="1">IFERROR(__xludf.DUMMYFUNCTION("""COMPUTED_VALUE"""),"Gabbys Creek, FM/SA spat trees")</f>
        <v>Gabbys Creek, FM/SA spat trees</v>
      </c>
      <c r="I510" s="15">
        <f ca="1">IFERROR(__xludf.DUMMYFUNCTION("""COMPUTED_VALUE"""),0.666666666667879)</f>
        <v>0.66666666666787899</v>
      </c>
      <c r="J510" s="16">
        <f ca="1">IFERROR(__xludf.DUMMYFUNCTION("""COMPUTED_VALUE"""),43966.7083333333)</f>
        <v>43966.708333333299</v>
      </c>
      <c r="K510" t="str">
        <f ca="1">IFERROR(__xludf.DUMMYFUNCTION("""COMPUTED_VALUE"""),"23ft Skiff (Bertha) FL7972LJ DEP07613")</f>
        <v>23ft Skiff (Bertha) FL7972LJ DEP07613</v>
      </c>
      <c r="M510" t="str">
        <f ca="1">IFERROR(__xludf.DUMMYFUNCTION("""COMPUTED_VALUE"""),"Ford F150 2015 (White) - DEP21448")</f>
        <v>Ford F150 2015 (White) - DEP21448</v>
      </c>
      <c r="N510" t="str">
        <f ca="1">IFERROR(__xludf.DUMMYFUNCTION("""COMPUTED_VALUE"""),"Pam Marcum, (480) 332-5414")</f>
        <v>Pam Marcum, (480) 332-5414</v>
      </c>
      <c r="O510" t="str">
        <f ca="1">IFERROR(__xludf.DUMMYFUNCTION("""COMPUTED_VALUE"""),"Gabby Canas")</f>
        <v>Gabby Canas</v>
      </c>
      <c r="P510" t="str">
        <f ca="1">IFERROR(__xludf.DUMMYFUNCTION("""COMPUTED_VALUE"""),"Pam")</f>
        <v>Pam</v>
      </c>
      <c r="Q510" t="str">
        <f ca="1">IFERROR(__xludf.DUMMYFUNCTION("""COMPUTED_VALUE"""),"All items in working order")</f>
        <v>All items in working order</v>
      </c>
      <c r="AE510" s="11"/>
      <c r="AF510" t="str">
        <v>Nikki.Dix@floridadep.gov</v>
      </c>
      <c r="AG510" s="18"/>
    </row>
    <row r="511" spans="1:33" ht="12.75">
      <c r="A511" s="10">
        <f ca="1">IFERROR(__xludf.DUMMYFUNCTION("""COMPUTED_VALUE"""),43969.3107893981)</f>
        <v>43969.3107893981</v>
      </c>
      <c r="B511" s="11" t="str">
        <f ca="1">IFERROR(__xludf.DUMMYFUNCTION("""COMPUTED_VALUE"""),"Shannon Dunnigan")</f>
        <v>Shannon Dunnigan</v>
      </c>
      <c r="C511" t="str">
        <f ca="1">IFERROR(__xludf.DUMMYFUNCTION("""COMPUTED_VALUE"""),"shannon.dunnigan@floridadep.gov")</f>
        <v>shannon.dunnigan@floridadep.gov</v>
      </c>
      <c r="D511" t="str">
        <f ca="1">IFERROR(__xludf.DUMMYFUNCTION("""COMPUTED_VALUE"""),"Research/Nikki")</f>
        <v>Research/Nikki</v>
      </c>
      <c r="E511" t="str">
        <f ca="1">IFERROR(__xludf.DUMMYFUNCTION("""COMPUTED_VALUE"""),"Guana dam")</f>
        <v>Guana dam</v>
      </c>
      <c r="F511" s="13">
        <f ca="1">IFERROR(__xludf.DUMMYFUNCTION("""COMPUTED_VALUE"""),0.305555555554747)</f>
        <v>0.305555555554747</v>
      </c>
      <c r="G511" s="14">
        <f ca="1">IFERROR(__xludf.DUMMYFUNCTION("""COMPUTED_VALUE"""),43969)</f>
        <v>43969</v>
      </c>
      <c r="H511" t="str">
        <f ca="1">IFERROR(__xludf.DUMMYFUNCTION("""COMPUTED_VALUE"""),"Guana WQ River sites")</f>
        <v>Guana WQ River sites</v>
      </c>
      <c r="I511" s="15">
        <f ca="1">IFERROR(__xludf.DUMMYFUNCTION("""COMPUTED_VALUE"""),0.375)</f>
        <v>0.375</v>
      </c>
      <c r="J511" s="16">
        <f ca="1">IFERROR(__xludf.DUMMYFUNCTION("""COMPUTED_VALUE"""),43969.40625)</f>
        <v>43969.40625</v>
      </c>
      <c r="K511" t="str">
        <f ca="1">IFERROR(__xludf.DUMMYFUNCTION("""COMPUTED_VALUE"""),"Jonboat FL5992 RR")</f>
        <v>Jonboat FL5992 RR</v>
      </c>
      <c r="M511" t="str">
        <f ca="1">IFERROR(__xludf.DUMMYFUNCTION("""COMPUTED_VALUE"""),"Ford F250 2017 (Moby Dix) - DEP0021578")</f>
        <v>Ford F250 2017 (Moby Dix) - DEP0021578</v>
      </c>
      <c r="N511" t="str">
        <f ca="1">IFERROR(__xludf.DUMMYFUNCTION("""COMPUTED_VALUE"""),"Shannon Dunnigan, (803) 727-5734")</f>
        <v>Shannon Dunnigan, (803) 727-5734</v>
      </c>
      <c r="O511" t="str">
        <f ca="1">IFERROR(__xludf.DUMMYFUNCTION("""COMPUTED_VALUE"""),"Jess Lee")</f>
        <v>Jess Lee</v>
      </c>
      <c r="P511" t="str">
        <f ca="1">IFERROR(__xludf.DUMMYFUNCTION("""COMPUTED_VALUE"""),"Shannon")</f>
        <v>Shannon</v>
      </c>
      <c r="Q511" t="str">
        <f ca="1">IFERROR(__xludf.DUMMYFUNCTION("""COMPUTED_VALUE"""),"All items in working order")</f>
        <v>All items in working order</v>
      </c>
      <c r="AE511" s="11"/>
      <c r="AF511" t="str">
        <v>Nikki.Dix@floridadep.gov</v>
      </c>
      <c r="AG511" s="18"/>
    </row>
    <row r="512" spans="1:33" ht="12.75">
      <c r="A512" s="10">
        <f ca="1">IFERROR(__xludf.DUMMYFUNCTION("""COMPUTED_VALUE"""),43970.3413219212)</f>
        <v>43970.341321921202</v>
      </c>
      <c r="B512" s="11" t="str">
        <f ca="1">IFERROR(__xludf.DUMMYFUNCTION("""COMPUTED_VALUE"""),"Shannon Dunnigan")</f>
        <v>Shannon Dunnigan</v>
      </c>
      <c r="C512" t="str">
        <f ca="1">IFERROR(__xludf.DUMMYFUNCTION("""COMPUTED_VALUE"""),"shannon.dunnigan@floridadep.gov")</f>
        <v>shannon.dunnigan@floridadep.gov</v>
      </c>
      <c r="D512" t="str">
        <f ca="1">IFERROR(__xludf.DUMMYFUNCTION("""COMPUTED_VALUE"""),"Research/Nikki")</f>
        <v>Research/Nikki</v>
      </c>
      <c r="E512" t="str">
        <f ca="1">IFERROR(__xludf.DUMMYFUNCTION("""COMPUTED_VALUE"""),"Vilano")</f>
        <v>Vilano</v>
      </c>
      <c r="F512" s="13">
        <f ca="1">IFERROR(__xludf.DUMMYFUNCTION("""COMPUTED_VALUE"""),0.34375)</f>
        <v>0.34375</v>
      </c>
      <c r="G512" s="14">
        <f ca="1">IFERROR(__xludf.DUMMYFUNCTION("""COMPUTED_VALUE"""),43970)</f>
        <v>43970</v>
      </c>
      <c r="H512" t="str">
        <f ca="1">IFERROR(__xludf.DUMMYFUNCTION("""COMPUTED_VALUE"""),"SWMP sites")</f>
        <v>SWMP sites</v>
      </c>
      <c r="I512" s="15">
        <f ca="1">IFERROR(__xludf.DUMMYFUNCTION("""COMPUTED_VALUE"""),0.541666666667879)</f>
        <v>0.54166666666787899</v>
      </c>
      <c r="J512" s="16">
        <f ca="1">IFERROR(__xludf.DUMMYFUNCTION("""COMPUTED_VALUE"""),43970.5833333333)</f>
        <v>43970.583333333299</v>
      </c>
      <c r="K512" t="str">
        <f ca="1">IFERROR(__xludf.DUMMYFUNCTION("""COMPUTED_VALUE"""),"F 20ft Sea Ark (Easy 200) FL8534PY DEP21451")</f>
        <v>F 20ft Sea Ark (Easy 200) FL8534PY DEP21451</v>
      </c>
      <c r="M512" t="str">
        <f ca="1">IFERROR(__xludf.DUMMYFUNCTION("""COMPUTED_VALUE"""),"Ford F250 2017 (Moby Dix) - DEP0021578")</f>
        <v>Ford F250 2017 (Moby Dix) - DEP0021578</v>
      </c>
      <c r="N512" t="str">
        <f ca="1">IFERROR(__xludf.DUMMYFUNCTION("""COMPUTED_VALUE"""),"Shannon Dunnigan, (803) 727-5734, Silas Tanner, (904) 483-8423")</f>
        <v>Shannon Dunnigan, (803) 727-5734, Silas Tanner, (904) 483-8423</v>
      </c>
      <c r="P512" t="str">
        <f ca="1">IFERROR(__xludf.DUMMYFUNCTION("""COMPUTED_VALUE"""),"Silas")</f>
        <v>Silas</v>
      </c>
      <c r="Q512" t="str">
        <f ca="1">IFERROR(__xludf.DUMMYFUNCTION("""COMPUTED_VALUE"""),"All items in working order")</f>
        <v>All items in working order</v>
      </c>
      <c r="AE512" s="11"/>
      <c r="AF512" t="str">
        <v>Nikki.Dix@floridadep.gov</v>
      </c>
      <c r="AG512" s="18"/>
    </row>
    <row r="513" spans="1:33" ht="12.75">
      <c r="A513" s="10">
        <f ca="1">IFERROR(__xludf.DUMMYFUNCTION("""COMPUTED_VALUE"""),43970.4195555324)</f>
        <v>43970.419555532397</v>
      </c>
      <c r="B513" s="11" t="str">
        <f ca="1">IFERROR(__xludf.DUMMYFUNCTION("""COMPUTED_VALUE"""),"Pamela Marcum")</f>
        <v>Pamela Marcum</v>
      </c>
      <c r="C513" t="str">
        <f ca="1">IFERROR(__xludf.DUMMYFUNCTION("""COMPUTED_VALUE"""),"Pamela.Marcum@dep.state.fl.us")</f>
        <v>Pamela.Marcum@dep.state.fl.us</v>
      </c>
      <c r="D513" t="str">
        <f ca="1">IFERROR(__xludf.DUMMYFUNCTION("""COMPUTED_VALUE"""),"Research/Nikki")</f>
        <v>Research/Nikki</v>
      </c>
      <c r="E513" t="str">
        <f ca="1">IFERROR(__xludf.DUMMYFUNCTION("""COMPUTED_VALUE"""),"Aunt Kate's")</f>
        <v>Aunt Kate's</v>
      </c>
      <c r="F513" s="13">
        <f ca="1">IFERROR(__xludf.DUMMYFUNCTION("""COMPUTED_VALUE"""),0.45833333333212)</f>
        <v>0.45833333333212001</v>
      </c>
      <c r="G513" s="14">
        <f ca="1">IFERROR(__xludf.DUMMYFUNCTION("""COMPUTED_VALUE"""),43970)</f>
        <v>43970</v>
      </c>
      <c r="H513" t="str">
        <f ca="1">IFERROR(__xludf.DUMMYFUNCTION("""COMPUTED_VALUE"""),"Pine Island platforms")</f>
        <v>Pine Island platforms</v>
      </c>
      <c r="I513" s="15">
        <f ca="1">IFERROR(__xludf.DUMMYFUNCTION("""COMPUTED_VALUE"""),0.70833333333212)</f>
        <v>0.70833333333212001</v>
      </c>
      <c r="J513" s="16">
        <f ca="1">IFERROR(__xludf.DUMMYFUNCTION("""COMPUTED_VALUE"""),43970.7291666666)</f>
        <v>43970.729166666599</v>
      </c>
      <c r="K513" t="str">
        <f ca="1">IFERROR(__xludf.DUMMYFUNCTION("""COMPUTED_VALUE"""),"23ft Skiff (Bertha) FL7972LJ DEP07613")</f>
        <v>23ft Skiff (Bertha) FL7972LJ DEP07613</v>
      </c>
      <c r="M513" t="str">
        <f ca="1">IFERROR(__xludf.DUMMYFUNCTION("""COMPUTED_VALUE"""),"Ford F150 2015 (White) - DEP21448")</f>
        <v>Ford F150 2015 (White) - DEP21448</v>
      </c>
      <c r="N513" t="str">
        <f ca="1">IFERROR(__xludf.DUMMYFUNCTION("""COMPUTED_VALUE"""),"Pam Marcum, (480) 332-5414")</f>
        <v>Pam Marcum, (480) 332-5414</v>
      </c>
      <c r="O513" t="str">
        <f ca="1">IFERROR(__xludf.DUMMYFUNCTION("""COMPUTED_VALUE"""),"Alee Knoell, (619) 750-4833")</f>
        <v>Alee Knoell, (619) 750-4833</v>
      </c>
      <c r="P513" t="str">
        <f ca="1">IFERROR(__xludf.DUMMYFUNCTION("""COMPUTED_VALUE"""),"Pam")</f>
        <v>Pam</v>
      </c>
      <c r="Q513" t="str">
        <f ca="1">IFERROR(__xludf.DUMMYFUNCTION("""COMPUTED_VALUE"""),"All items in working order")</f>
        <v>All items in working order</v>
      </c>
      <c r="AE513" s="11"/>
      <c r="AF513" t="str">
        <v>Nikki.Dix@floridadep.gov</v>
      </c>
      <c r="AG513" s="18"/>
    </row>
    <row r="514" spans="1:33" ht="12.75">
      <c r="A514" s="10">
        <f ca="1">IFERROR(__xludf.DUMMYFUNCTION("""COMPUTED_VALUE"""),43971.3526103472)</f>
        <v>43971.352610347203</v>
      </c>
      <c r="B514" s="11" t="str">
        <f ca="1">IFERROR(__xludf.DUMMYFUNCTION("""COMPUTED_VALUE"""),"Silas Tanner")</f>
        <v>Silas Tanner</v>
      </c>
      <c r="C514" t="str">
        <f ca="1">IFERROR(__xludf.DUMMYFUNCTION("""COMPUTED_VALUE"""),"Silas.tanner@floridadep.gov")</f>
        <v>Silas.tanner@floridadep.gov</v>
      </c>
      <c r="D514" t="str">
        <f ca="1">IFERROR(__xludf.DUMMYFUNCTION("""COMPUTED_VALUE"""),"Research/Nikki")</f>
        <v>Research/Nikki</v>
      </c>
      <c r="E514" t="str">
        <f ca="1">IFERROR(__xludf.DUMMYFUNCTION("""COMPUTED_VALUE"""),"GTM boat ramp - river")</f>
        <v>GTM boat ramp - river</v>
      </c>
      <c r="F514" s="13">
        <f ca="1">IFERROR(__xludf.DUMMYFUNCTION("""COMPUTED_VALUE"""),0.361111111109494)</f>
        <v>0.36111111110949401</v>
      </c>
      <c r="G514" s="14">
        <f ca="1">IFERROR(__xludf.DUMMYFUNCTION("""COMPUTED_VALUE"""),43971)</f>
        <v>43971</v>
      </c>
      <c r="H514" t="str">
        <f ca="1">IFERROR(__xludf.DUMMYFUNCTION("""COMPUTED_VALUE"""),"Guana River")</f>
        <v>Guana River</v>
      </c>
      <c r="I514" s="15">
        <f ca="1">IFERROR(__xludf.DUMMYFUNCTION("""COMPUTED_VALUE"""),0.42708333333212)</f>
        <v>0.42708333333212001</v>
      </c>
      <c r="J514" s="16">
        <f ca="1">IFERROR(__xludf.DUMMYFUNCTION("""COMPUTED_VALUE"""),43971.4375)</f>
        <v>43971.4375</v>
      </c>
      <c r="K514" t="str">
        <f ca="1">IFERROR(__xludf.DUMMYFUNCTION("""COMPUTED_VALUE"""),"Jon Boat FL0484NP DEP06819")</f>
        <v>Jon Boat FL0484NP DEP06819</v>
      </c>
      <c r="M514" t="str">
        <f ca="1">IFERROR(__xludf.DUMMYFUNCTION("""COMPUTED_VALUE"""),"Ford F250 2017 (Moby Dix) - DEP0021578")</f>
        <v>Ford F250 2017 (Moby Dix) - DEP0021578</v>
      </c>
      <c r="N514" t="str">
        <f ca="1">IFERROR(__xludf.DUMMYFUNCTION("""COMPUTED_VALUE"""),"Silas Tanner, (904) 483-8423")</f>
        <v>Silas Tanner, (904) 483-8423</v>
      </c>
      <c r="O514" t="str">
        <f ca="1">IFERROR(__xludf.DUMMYFUNCTION("""COMPUTED_VALUE"""),"Jessica Lee")</f>
        <v>Jessica Lee</v>
      </c>
      <c r="P514" t="str">
        <f ca="1">IFERROR(__xludf.DUMMYFUNCTION("""COMPUTED_VALUE"""),"S. Tanner")</f>
        <v>S. Tanner</v>
      </c>
      <c r="Q514" t="str">
        <f ca="1">IFERROR(__xludf.DUMMYFUNCTION("""COMPUTED_VALUE"""),"All items in working order")</f>
        <v>All items in working order</v>
      </c>
      <c r="AE514" s="11"/>
      <c r="AF514" t="str">
        <v>Nikki.Dix@floridadep.gov</v>
      </c>
      <c r="AG514" s="18"/>
    </row>
    <row r="515" spans="1:33" ht="12.75">
      <c r="A515" s="10">
        <f ca="1">IFERROR(__xludf.DUMMYFUNCTION("""COMPUTED_VALUE"""),43979.3037839583)</f>
        <v>43979.303783958298</v>
      </c>
      <c r="B515" s="11" t="str">
        <f ca="1">IFERROR(__xludf.DUMMYFUNCTION("""COMPUTED_VALUE"""),"Pamela Marcum")</f>
        <v>Pamela Marcum</v>
      </c>
      <c r="C515" t="str">
        <f ca="1">IFERROR(__xludf.DUMMYFUNCTION("""COMPUTED_VALUE"""),"pamela.marcum@floridadep.gov")</f>
        <v>pamela.marcum@floridadep.gov</v>
      </c>
      <c r="D515" t="str">
        <f ca="1">IFERROR(__xludf.DUMMYFUNCTION("""COMPUTED_VALUE"""),"Research/Nikki")</f>
        <v>Research/Nikki</v>
      </c>
      <c r="E515" t="str">
        <f ca="1">IFERROR(__xludf.DUMMYFUNCTION("""COMPUTED_VALUE"""),"Aunt Kate's")</f>
        <v>Aunt Kate's</v>
      </c>
      <c r="F515" s="13">
        <f ca="1">IFERROR(__xludf.DUMMYFUNCTION("""COMPUTED_VALUE"""),0.30208333333212)</f>
        <v>0.30208333333212001</v>
      </c>
      <c r="G515" s="14">
        <f ca="1">IFERROR(__xludf.DUMMYFUNCTION("""COMPUTED_VALUE"""),43979)</f>
        <v>43979</v>
      </c>
      <c r="H515" t="str">
        <f ca="1">IFERROR(__xludf.DUMMYFUNCTION("""COMPUTED_VALUE"""),"Hat Island")</f>
        <v>Hat Island</v>
      </c>
      <c r="I515" s="15">
        <f ca="1">IFERROR(__xludf.DUMMYFUNCTION("""COMPUTED_VALUE"""),0.58333333333212)</f>
        <v>0.58333333333212001</v>
      </c>
      <c r="J515" s="16">
        <f ca="1">IFERROR(__xludf.DUMMYFUNCTION("""COMPUTED_VALUE"""),43979.6041666666)</f>
        <v>43979.604166666599</v>
      </c>
      <c r="K515" t="str">
        <f ca="1">IFERROR(__xludf.DUMMYFUNCTION("""COMPUTED_VALUE"""),"23ft Skiff (Bertha) FL7972LJ DEP07613")</f>
        <v>23ft Skiff (Bertha) FL7972LJ DEP07613</v>
      </c>
      <c r="M515" t="str">
        <f ca="1">IFERROR(__xludf.DUMMYFUNCTION("""COMPUTED_VALUE"""),"Ford F150 2015 (White) - DEP21448")</f>
        <v>Ford F150 2015 (White) - DEP21448</v>
      </c>
      <c r="N515" t="str">
        <f ca="1">IFERROR(__xludf.DUMMYFUNCTION("""COMPUTED_VALUE"""),"Pam Marcum, (480) 332-5414")</f>
        <v>Pam Marcum, (480) 332-5414</v>
      </c>
      <c r="O515" t="str">
        <f ca="1">IFERROR(__xludf.DUMMYFUNCTION("""COMPUTED_VALUE"""),"Alee Knoell, (619) 750-4833")</f>
        <v>Alee Knoell, (619) 750-4833</v>
      </c>
      <c r="P515" t="str">
        <f ca="1">IFERROR(__xludf.DUMMYFUNCTION("""COMPUTED_VALUE"""),"Pam")</f>
        <v>Pam</v>
      </c>
      <c r="Q515" t="str">
        <f ca="1">IFERROR(__xludf.DUMMYFUNCTION("""COMPUTED_VALUE"""),"All items in working order")</f>
        <v>All items in working order</v>
      </c>
      <c r="AE515" s="11"/>
      <c r="AF515" t="str">
        <v>Nikki.Dix@floridadep.gov</v>
      </c>
      <c r="AG515" s="18"/>
    </row>
    <row r="516" spans="1:33" ht="12.75">
      <c r="A516" s="10">
        <f ca="1">IFERROR(__xludf.DUMMYFUNCTION("""COMPUTED_VALUE"""),43983.2834142245)</f>
        <v>43983.283414224497</v>
      </c>
      <c r="B516" s="11" t="str">
        <f ca="1">IFERROR(__xludf.DUMMYFUNCTION("""COMPUTED_VALUE"""),"Pam Marcum")</f>
        <v>Pam Marcum</v>
      </c>
      <c r="C516" t="str">
        <f ca="1">IFERROR(__xludf.DUMMYFUNCTION("""COMPUTED_VALUE"""),"Pamela.Marcum@FloridaDEP.gov")</f>
        <v>Pamela.Marcum@FloridaDEP.gov</v>
      </c>
      <c r="D516" t="str">
        <f ca="1">IFERROR(__xludf.DUMMYFUNCTION("""COMPUTED_VALUE"""),"Research/Nikki")</f>
        <v>Research/Nikki</v>
      </c>
      <c r="E516" t="str">
        <f ca="1">IFERROR(__xludf.DUMMYFUNCTION("""COMPUTED_VALUE"""),"Vilano")</f>
        <v>Vilano</v>
      </c>
      <c r="F516" s="13">
        <f ca="1">IFERROR(__xludf.DUMMYFUNCTION("""COMPUTED_VALUE"""),0.3125)</f>
        <v>0.3125</v>
      </c>
      <c r="G516" s="14">
        <f ca="1">IFERROR(__xludf.DUMMYFUNCTION("""COMPUTED_VALUE"""),43983)</f>
        <v>43983</v>
      </c>
      <c r="H516" t="str">
        <f ca="1">IFERROR(__xludf.DUMMYFUNCTION("""COMPUTED_VALUE"""),"Spat Trees")</f>
        <v>Spat Trees</v>
      </c>
      <c r="I516" s="15">
        <f ca="1">IFERROR(__xludf.DUMMYFUNCTION("""COMPUTED_VALUE"""),0.5625)</f>
        <v>0.5625</v>
      </c>
      <c r="J516" s="16">
        <f ca="1">IFERROR(__xludf.DUMMYFUNCTION("""COMPUTED_VALUE"""),43983.5833333333)</f>
        <v>43983.583333333299</v>
      </c>
      <c r="K516" t="str">
        <f ca="1">IFERROR(__xludf.DUMMYFUNCTION("""COMPUTED_VALUE"""),"20ft Sea Ark FL5351SJ UNF 2015")</f>
        <v>20ft Sea Ark FL5351SJ UNF 2015</v>
      </c>
      <c r="M516" t="str">
        <f ca="1">IFERROR(__xludf.DUMMYFUNCTION("""COMPUTED_VALUE"""),"Ford F150 2015 (White) - DEP21448")</f>
        <v>Ford F150 2015 (White) - DEP21448</v>
      </c>
      <c r="N516" t="str">
        <f ca="1">IFERROR(__xludf.DUMMYFUNCTION("""COMPUTED_VALUE"""),"Pam Marcum, (480) 332-5414")</f>
        <v>Pam Marcum, (480) 332-5414</v>
      </c>
      <c r="O516" t="str">
        <f ca="1">IFERROR(__xludf.DUMMYFUNCTION("""COMPUTED_VALUE"""),"Alee Knoell, (619) 750-4833")</f>
        <v>Alee Knoell, (619) 750-4833</v>
      </c>
      <c r="P516" t="str">
        <f ca="1">IFERROR(__xludf.DUMMYFUNCTION("""COMPUTED_VALUE"""),"Pam")</f>
        <v>Pam</v>
      </c>
      <c r="Q516" t="str">
        <f ca="1">IFERROR(__xludf.DUMMYFUNCTION("""COMPUTED_VALUE"""),"All items in working order")</f>
        <v>All items in working order</v>
      </c>
      <c r="AE516" s="11"/>
      <c r="AF516" t="str">
        <v>Nikki.Dix@floridadep.gov</v>
      </c>
      <c r="AG516" s="18"/>
    </row>
    <row r="517" spans="1:33" ht="12.75">
      <c r="A517" s="10">
        <f ca="1">IFERROR(__xludf.DUMMYFUNCTION("""COMPUTED_VALUE"""),43985.3361849305)</f>
        <v>43985.3361849305</v>
      </c>
      <c r="B517" s="11" t="str">
        <f ca="1">IFERROR(__xludf.DUMMYFUNCTION("""COMPUTED_VALUE"""),"Silas Tanner")</f>
        <v>Silas Tanner</v>
      </c>
      <c r="C517" t="str">
        <f ca="1">IFERROR(__xludf.DUMMYFUNCTION("""COMPUTED_VALUE"""),"silas.tanner@floridadep.gov")</f>
        <v>silas.tanner@floridadep.gov</v>
      </c>
      <c r="D517" t="str">
        <f ca="1">IFERROR(__xludf.DUMMYFUNCTION("""COMPUTED_VALUE"""),"Research/Nikki")</f>
        <v>Research/Nikki</v>
      </c>
      <c r="E517" t="str">
        <f ca="1">IFERROR(__xludf.DUMMYFUNCTION("""COMPUTED_VALUE"""),"Vilano Landing")</f>
        <v>Vilano Landing</v>
      </c>
      <c r="F517" s="13">
        <f ca="1">IFERROR(__xludf.DUMMYFUNCTION("""COMPUTED_VALUE"""),0.298611111109494)</f>
        <v>0.29861111110949401</v>
      </c>
      <c r="G517" s="14">
        <f ca="1">IFERROR(__xludf.DUMMYFUNCTION("""COMPUTED_VALUE"""),43984)</f>
        <v>43984</v>
      </c>
      <c r="H517" t="str">
        <f ca="1">IFERROR(__xludf.DUMMYFUNCTION("""COMPUTED_VALUE"""),"ICW SWMP sites")</f>
        <v>ICW SWMP sites</v>
      </c>
      <c r="I517" s="15">
        <f ca="1">IFERROR(__xludf.DUMMYFUNCTION("""COMPUTED_VALUE"""),0.53125)</f>
        <v>0.53125</v>
      </c>
      <c r="J517" s="16">
        <f ca="1">IFERROR(__xludf.DUMMYFUNCTION("""COMPUTED_VALUE"""),43984.5416666666)</f>
        <v>43984.541666666599</v>
      </c>
      <c r="K517" t="str">
        <f ca="1">IFERROR(__xludf.DUMMYFUNCTION("""COMPUTED_VALUE"""),"23ft Skiff (Bertha) FL7972LJ DEP07613")</f>
        <v>23ft Skiff (Bertha) FL7972LJ DEP07613</v>
      </c>
      <c r="M517" t="str">
        <f ca="1">IFERROR(__xludf.DUMMYFUNCTION("""COMPUTED_VALUE"""),"Ford F250 2017 (Moby Dix) - DEP0021578")</f>
        <v>Ford F250 2017 (Moby Dix) - DEP0021578</v>
      </c>
      <c r="N517" t="str">
        <f ca="1">IFERROR(__xludf.DUMMYFUNCTION("""COMPUTED_VALUE"""),"Silas Tanner, (904) 483-8423")</f>
        <v>Silas Tanner, (904) 483-8423</v>
      </c>
      <c r="O517" t="str">
        <f ca="1">IFERROR(__xludf.DUMMYFUNCTION("""COMPUTED_VALUE"""),"Alee Knoell, (619) 750-4833")</f>
        <v>Alee Knoell, (619) 750-4833</v>
      </c>
      <c r="P517" t="str">
        <f ca="1">IFERROR(__xludf.DUMMYFUNCTION("""COMPUTED_VALUE"""),"Tanner")</f>
        <v>Tanner</v>
      </c>
      <c r="Q517" t="str">
        <f ca="1">IFERROR(__xludf.DUMMYFUNCTION("""COMPUTED_VALUE"""),"All items in working order")</f>
        <v>All items in working order</v>
      </c>
      <c r="AE517" s="11"/>
      <c r="AF517" t="str">
        <v>Nikki.Dix@floridadep.gov</v>
      </c>
      <c r="AG517" s="18"/>
    </row>
    <row r="518" spans="1:33" ht="12.75">
      <c r="A518" s="10">
        <f ca="1">IFERROR(__xludf.DUMMYFUNCTION("""COMPUTED_VALUE"""),43985.348587199)</f>
        <v>43985.348587198998</v>
      </c>
      <c r="B518" s="11" t="str">
        <f ca="1">IFERROR(__xludf.DUMMYFUNCTION("""COMPUTED_VALUE"""),"Shannon Dunnigan")</f>
        <v>Shannon Dunnigan</v>
      </c>
      <c r="C518" t="str">
        <f ca="1">IFERROR(__xludf.DUMMYFUNCTION("""COMPUTED_VALUE"""),"shannon.dunnigan@floridadep.gov")</f>
        <v>shannon.dunnigan@floridadep.gov</v>
      </c>
      <c r="D518" t="str">
        <f ca="1">IFERROR(__xludf.DUMMYFUNCTION("""COMPUTED_VALUE"""),"Research/Nikki")</f>
        <v>Research/Nikki</v>
      </c>
      <c r="E518" t="str">
        <f ca="1">IFERROR(__xludf.DUMMYFUNCTION("""COMPUTED_VALUE"""),"Guana")</f>
        <v>Guana</v>
      </c>
      <c r="F518" s="13">
        <f ca="1">IFERROR(__xludf.DUMMYFUNCTION("""COMPUTED_VALUE"""),0.347222222222626)</f>
        <v>0.347222222222626</v>
      </c>
      <c r="G518" s="14">
        <f ca="1">IFERROR(__xludf.DUMMYFUNCTION("""COMPUTED_VALUE"""),43985)</f>
        <v>43985</v>
      </c>
      <c r="H518" t="str">
        <f ca="1">IFERROR(__xludf.DUMMYFUNCTION("""COMPUTED_VALUE"""),"Guana river ")</f>
        <v xml:space="preserve">Guana river </v>
      </c>
      <c r="I518" s="15">
        <f ca="1">IFERROR(__xludf.DUMMYFUNCTION("""COMPUTED_VALUE"""),0.4375)</f>
        <v>0.4375</v>
      </c>
      <c r="J518" s="16">
        <f ca="1">IFERROR(__xludf.DUMMYFUNCTION("""COMPUTED_VALUE"""),43985.4583333333)</f>
        <v>43985.458333333299</v>
      </c>
      <c r="K518" t="str">
        <f ca="1">IFERROR(__xludf.DUMMYFUNCTION("""COMPUTED_VALUE"""),"Jonboat FL5992RR")</f>
        <v>Jonboat FL5992RR</v>
      </c>
      <c r="M518" t="str">
        <f ca="1">IFERROR(__xludf.DUMMYFUNCTION("""COMPUTED_VALUE"""),"Ford F250 2017 (Moby Dix) - DEP0021578")</f>
        <v>Ford F250 2017 (Moby Dix) - DEP0021578</v>
      </c>
      <c r="N518" t="str">
        <f ca="1">IFERROR(__xludf.DUMMYFUNCTION("""COMPUTED_VALUE"""),"Shannon Dunnigan, (803) 727-5734")</f>
        <v>Shannon Dunnigan, (803) 727-5734</v>
      </c>
      <c r="O518" t="str">
        <f ca="1">IFERROR(__xludf.DUMMYFUNCTION("""COMPUTED_VALUE"""),"Jessica Lee")</f>
        <v>Jessica Lee</v>
      </c>
      <c r="P518" t="str">
        <f ca="1">IFERROR(__xludf.DUMMYFUNCTION("""COMPUTED_VALUE"""),"Shannon")</f>
        <v>Shannon</v>
      </c>
      <c r="Q518" t="str">
        <f ca="1">IFERROR(__xludf.DUMMYFUNCTION("""COMPUTED_VALUE"""),"All items in working order")</f>
        <v>All items in working order</v>
      </c>
      <c r="AE518" s="11"/>
      <c r="AF518" t="str">
        <v>Nikki.Dix@floridadep.gov</v>
      </c>
      <c r="AG518" s="18"/>
    </row>
    <row r="519" spans="1:33" ht="12.75">
      <c r="A519" s="10">
        <f ca="1">IFERROR(__xludf.DUMMYFUNCTION("""COMPUTED_VALUE"""),43985.3767700463)</f>
        <v>43985.376770046299</v>
      </c>
      <c r="B519" s="11" t="str">
        <f ca="1">IFERROR(__xludf.DUMMYFUNCTION("""COMPUTED_VALUE"""),"Pamela Marcum")</f>
        <v>Pamela Marcum</v>
      </c>
      <c r="C519" t="str">
        <f ca="1">IFERROR(__xludf.DUMMYFUNCTION("""COMPUTED_VALUE"""),"Pamela.Marcum@FloridaDEP.gov")</f>
        <v>Pamela.Marcum@FloridaDEP.gov</v>
      </c>
      <c r="D519" t="str">
        <f ca="1">IFERROR(__xludf.DUMMYFUNCTION("""COMPUTED_VALUE"""),"Research/Nikki")</f>
        <v>Research/Nikki</v>
      </c>
      <c r="E519" t="str">
        <f ca="1">IFERROR(__xludf.DUMMYFUNCTION("""COMPUTED_VALUE"""),"Shore Dr/Crane Park")</f>
        <v>Shore Dr/Crane Park</v>
      </c>
      <c r="F519" s="13">
        <f ca="1">IFERROR(__xludf.DUMMYFUNCTION("""COMPUTED_VALUE"""),0.416666666667879)</f>
        <v>0.41666666666787899</v>
      </c>
      <c r="G519" s="14">
        <f ca="1">IFERROR(__xludf.DUMMYFUNCTION("""COMPUTED_VALUE"""),43985)</f>
        <v>43985</v>
      </c>
      <c r="H519" t="str">
        <f ca="1">IFERROR(__xludf.DUMMYFUNCTION("""COMPUTED_VALUE"""),"Site 22 &amp; Gabby's Creek")</f>
        <v>Site 22 &amp; Gabby's Creek</v>
      </c>
      <c r="I519" s="15">
        <f ca="1">IFERROR(__xludf.DUMMYFUNCTION("""COMPUTED_VALUE"""),0.70833333333212)</f>
        <v>0.70833333333212001</v>
      </c>
      <c r="J519" s="16">
        <f ca="1">IFERROR(__xludf.DUMMYFUNCTION("""COMPUTED_VALUE"""),43985.7291666666)</f>
        <v>43985.729166666599</v>
      </c>
      <c r="K519" t="str">
        <f ca="1">IFERROR(__xludf.DUMMYFUNCTION("""COMPUTED_VALUE"""),"20ft Sea Ark FL5351SJ UNF 2015")</f>
        <v>20ft Sea Ark FL5351SJ UNF 2015</v>
      </c>
      <c r="M519" t="str">
        <f ca="1">IFERROR(__xludf.DUMMYFUNCTION("""COMPUTED_VALUE"""),"Ford F150 2015 (White) - DEP21448")</f>
        <v>Ford F150 2015 (White) - DEP21448</v>
      </c>
      <c r="N519" t="str">
        <f ca="1">IFERROR(__xludf.DUMMYFUNCTION("""COMPUTED_VALUE"""),"Pam Marcum, (480) 332-5414")</f>
        <v>Pam Marcum, (480) 332-5414</v>
      </c>
      <c r="O519" t="str">
        <f ca="1">IFERROR(__xludf.DUMMYFUNCTION("""COMPUTED_VALUE"""),"Alee Knoell, (619) 750-4833")</f>
        <v>Alee Knoell, (619) 750-4833</v>
      </c>
      <c r="P519" t="str">
        <f ca="1">IFERROR(__xludf.DUMMYFUNCTION("""COMPUTED_VALUE"""),"Pam")</f>
        <v>Pam</v>
      </c>
      <c r="Q519" t="str">
        <f ca="1">IFERROR(__xludf.DUMMYFUNCTION("""COMPUTED_VALUE"""),"All items in working order")</f>
        <v>All items in working order</v>
      </c>
      <c r="AE519" s="11"/>
      <c r="AF519" t="str">
        <v>Nikki.Dix@floridadep.gov</v>
      </c>
      <c r="AG519" s="18"/>
    </row>
    <row r="520" spans="1:33" ht="12.75">
      <c r="A520" s="10">
        <f ca="1">IFERROR(__xludf.DUMMYFUNCTION("""COMPUTED_VALUE"""),43994.3699978009)</f>
        <v>43994.369997800903</v>
      </c>
      <c r="B520" s="11" t="str">
        <f ca="1">IFERROR(__xludf.DUMMYFUNCTION("""COMPUTED_VALUE"""),"Gabriela Canas")</f>
        <v>Gabriela Canas</v>
      </c>
      <c r="C520" t="str">
        <f ca="1">IFERROR(__xludf.DUMMYFUNCTION("""COMPUTED_VALUE"""),"n00836133@unf.edu")</f>
        <v>n00836133@unf.edu</v>
      </c>
      <c r="D520" t="str">
        <f ca="1">IFERROR(__xludf.DUMMYFUNCTION("""COMPUTED_VALUE"""),"Research/Nikki")</f>
        <v>Research/Nikki</v>
      </c>
      <c r="E520" t="str">
        <f ca="1">IFERROR(__xludf.DUMMYFUNCTION("""COMPUTED_VALUE"""),"Douglas crane")</f>
        <v>Douglas crane</v>
      </c>
      <c r="F520" s="13">
        <f ca="1">IFERROR(__xludf.DUMMYFUNCTION("""COMPUTED_VALUE"""),0.354166666667879)</f>
        <v>0.35416666666787899</v>
      </c>
      <c r="G520" s="14">
        <f ca="1">IFERROR(__xludf.DUMMYFUNCTION("""COMPUTED_VALUE"""),43994)</f>
        <v>43994</v>
      </c>
      <c r="H520" t="str">
        <f ca="1">IFERROR(__xludf.DUMMYFUNCTION("""COMPUTED_VALUE"""),"Wet feet middle site")</f>
        <v>Wet feet middle site</v>
      </c>
      <c r="I520" s="15">
        <f ca="1">IFERROR(__xludf.DUMMYFUNCTION("""COMPUTED_VALUE"""),0.604166666667879)</f>
        <v>0.60416666666787899</v>
      </c>
      <c r="J520" s="16">
        <f ca="1">IFERROR(__xludf.DUMMYFUNCTION("""COMPUTED_VALUE"""),43994.1666666666)</f>
        <v>43994.166666666599</v>
      </c>
      <c r="K520" t="str">
        <f ca="1">IFERROR(__xludf.DUMMYFUNCTION("""COMPUTED_VALUE"""),"20ft Sea Ark FL5351SJ UNF 2015")</f>
        <v>20ft Sea Ark FL5351SJ UNF 2015</v>
      </c>
      <c r="M520" t="str">
        <f ca="1">IFERROR(__xludf.DUMMYFUNCTION("""COMPUTED_VALUE"""),"Ford F150 2015 (White) - DEP21448")</f>
        <v>Ford F150 2015 (White) - DEP21448</v>
      </c>
      <c r="N520" t="str">
        <f ca="1">IFERROR(__xludf.DUMMYFUNCTION("""COMPUTED_VALUE"""),"Pam Marcum, (480) 332-5414")</f>
        <v>Pam Marcum, (480) 332-5414</v>
      </c>
      <c r="O520" t="str">
        <f ca="1">IFERROR(__xludf.DUMMYFUNCTION("""COMPUTED_VALUE"""),"Gabriela Canas, (904) 891-9743")</f>
        <v>Gabriela Canas, (904) 891-9743</v>
      </c>
      <c r="P520" t="str">
        <f ca="1">IFERROR(__xludf.DUMMYFUNCTION("""COMPUTED_VALUE"""),"Pam")</f>
        <v>Pam</v>
      </c>
      <c r="Q520" t="str">
        <f ca="1">IFERROR(__xludf.DUMMYFUNCTION("""COMPUTED_VALUE"""),"All items in working order")</f>
        <v>All items in working order</v>
      </c>
      <c r="AE520" s="11"/>
      <c r="AF520" t="str">
        <v>Nikki.Dix@floridadep.gov</v>
      </c>
      <c r="AG520" s="18"/>
    </row>
    <row r="521" spans="1:33" ht="12.75">
      <c r="A521" s="10">
        <f ca="1">IFERROR(__xludf.DUMMYFUNCTION("""COMPUTED_VALUE"""),43995.2809857175)</f>
        <v>43995.280985717502</v>
      </c>
      <c r="B521" s="11" t="str">
        <f ca="1">IFERROR(__xludf.DUMMYFUNCTION("""COMPUTED_VALUE"""),"Gabriela Canas")</f>
        <v>Gabriela Canas</v>
      </c>
      <c r="C521" t="str">
        <f ca="1">IFERROR(__xludf.DUMMYFUNCTION("""COMPUTED_VALUE"""),"n00836133@unf.edu")</f>
        <v>n00836133@unf.edu</v>
      </c>
      <c r="D521" t="str">
        <f ca="1">IFERROR(__xludf.DUMMYFUNCTION("""COMPUTED_VALUE"""),"Research/Nikki")</f>
        <v>Research/Nikki</v>
      </c>
      <c r="E521" t="str">
        <f ca="1">IFERROR(__xludf.DUMMYFUNCTION("""COMPUTED_VALUE"""),"Douglas crane")</f>
        <v>Douglas crane</v>
      </c>
      <c r="F521" s="13">
        <f ca="1">IFERROR(__xludf.DUMMYFUNCTION("""COMPUTED_VALUE"""),0.354166666667879)</f>
        <v>0.35416666666787899</v>
      </c>
      <c r="G521" s="14">
        <f ca="1">IFERROR(__xludf.DUMMYFUNCTION("""COMPUTED_VALUE"""),43994)</f>
        <v>43994</v>
      </c>
      <c r="H521" t="str">
        <f ca="1">IFERROR(__xludf.DUMMYFUNCTION("""COMPUTED_VALUE"""),"Wet feet middle site")</f>
        <v>Wet feet middle site</v>
      </c>
      <c r="I521" s="15">
        <f ca="1">IFERROR(__xludf.DUMMYFUNCTION("""COMPUTED_VALUE"""),0.604166666667879)</f>
        <v>0.60416666666787899</v>
      </c>
      <c r="J521" s="16">
        <f ca="1">IFERROR(__xludf.DUMMYFUNCTION("""COMPUTED_VALUE"""),43994.1666666666)</f>
        <v>43994.166666666599</v>
      </c>
      <c r="K521" t="str">
        <f ca="1">IFERROR(__xludf.DUMMYFUNCTION("""COMPUTED_VALUE"""),"20ft Sea Ark FL5351SJ UNF 2015")</f>
        <v>20ft Sea Ark FL5351SJ UNF 2015</v>
      </c>
      <c r="M521" t="str">
        <f ca="1">IFERROR(__xludf.DUMMYFUNCTION("""COMPUTED_VALUE"""),"Ford F150 2015 (White) - DEP21448")</f>
        <v>Ford F150 2015 (White) - DEP21448</v>
      </c>
      <c r="N521" t="str">
        <f ca="1">IFERROR(__xludf.DUMMYFUNCTION("""COMPUTED_VALUE"""),"Pam Marcum, (480) 332-5414")</f>
        <v>Pam Marcum, (480) 332-5414</v>
      </c>
      <c r="O521" t="str">
        <f ca="1">IFERROR(__xludf.DUMMYFUNCTION("""COMPUTED_VALUE"""),"Gabriela Canas, (904) 891-9743")</f>
        <v>Gabriela Canas, (904) 891-9743</v>
      </c>
      <c r="P521" t="str">
        <f ca="1">IFERROR(__xludf.DUMMYFUNCTION("""COMPUTED_VALUE"""),"Pam")</f>
        <v>Pam</v>
      </c>
      <c r="Q521" t="str">
        <f ca="1">IFERROR(__xludf.DUMMYFUNCTION("""COMPUTED_VALUE"""),"All items in working order")</f>
        <v>All items in working order</v>
      </c>
      <c r="AE521" s="11"/>
      <c r="AF521" t="str">
        <v>Nikki.Dix@floridadep.gov</v>
      </c>
      <c r="AG521" s="18"/>
    </row>
    <row r="522" spans="1:33" ht="12.75">
      <c r="A522" s="10">
        <f ca="1">IFERROR(__xludf.DUMMYFUNCTION("""COMPUTED_VALUE"""),43998.4899161226)</f>
        <v>43998.489916122599</v>
      </c>
      <c r="B522" s="11" t="str">
        <f ca="1">IFERROR(__xludf.DUMMYFUNCTION("""COMPUTED_VALUE"""),"Pam Marcum")</f>
        <v>Pam Marcum</v>
      </c>
      <c r="C522" t="str">
        <f ca="1">IFERROR(__xludf.DUMMYFUNCTION("""COMPUTED_VALUE"""),"pamela.marcum@floridadep.gov")</f>
        <v>pamela.marcum@floridadep.gov</v>
      </c>
      <c r="D522" t="str">
        <f ca="1">IFERROR(__xludf.DUMMYFUNCTION("""COMPUTED_VALUE"""),"Research/Nikki")</f>
        <v>Research/Nikki</v>
      </c>
      <c r="E522" t="str">
        <f ca="1">IFERROR(__xludf.DUMMYFUNCTION("""COMPUTED_VALUE"""),"Faver-Dykes")</f>
        <v>Faver-Dykes</v>
      </c>
      <c r="F522" s="13">
        <f ca="1">IFERROR(__xludf.DUMMYFUNCTION("""COMPUTED_VALUE"""),0.479166666667879)</f>
        <v>0.47916666666787899</v>
      </c>
      <c r="G522" s="14">
        <f ca="1">IFERROR(__xludf.DUMMYFUNCTION("""COMPUTED_VALUE"""),43998)</f>
        <v>43998</v>
      </c>
      <c r="H522" t="str">
        <f ca="1">IFERROR(__xludf.DUMMYFUNCTION("""COMPUTED_VALUE"""),"Pellicer transects: mouth, mid, fresh")</f>
        <v>Pellicer transects: mouth, mid, fresh</v>
      </c>
      <c r="I522" s="15">
        <f ca="1">IFERROR(__xludf.DUMMYFUNCTION("""COMPUTED_VALUE"""),0.58333333333212)</f>
        <v>0.58333333333212001</v>
      </c>
      <c r="J522" s="16">
        <f ca="1">IFERROR(__xludf.DUMMYFUNCTION("""COMPUTED_VALUE"""),43998.625)</f>
        <v>43998.625</v>
      </c>
      <c r="K522" t="str">
        <f ca="1">IFERROR(__xludf.DUMMYFUNCTION("""COMPUTED_VALUE"""),"20ft Sea Ark FL5351SJ UNF 2015")</f>
        <v>20ft Sea Ark FL5351SJ UNF 2015</v>
      </c>
      <c r="M522" t="str">
        <f ca="1">IFERROR(__xludf.DUMMYFUNCTION("""COMPUTED_VALUE"""),"Ford F150 2015 (White) - DEP21448")</f>
        <v>Ford F150 2015 (White) - DEP21448</v>
      </c>
      <c r="N522" t="str">
        <f ca="1">IFERROR(__xludf.DUMMYFUNCTION("""COMPUTED_VALUE"""),"Pam Marcum, (480) 332-5414")</f>
        <v>Pam Marcum, (480) 332-5414</v>
      </c>
      <c r="O522" t="str">
        <f ca="1">IFERROR(__xludf.DUMMYFUNCTION("""COMPUTED_VALUE"""),"Alee Knoell, (619) 750-4833")</f>
        <v>Alee Knoell, (619) 750-4833</v>
      </c>
      <c r="P522" t="str">
        <f ca="1">IFERROR(__xludf.DUMMYFUNCTION("""COMPUTED_VALUE"""),"Pam")</f>
        <v>Pam</v>
      </c>
      <c r="Q522" t="str">
        <f ca="1">IFERROR(__xludf.DUMMYFUNCTION("""COMPUTED_VALUE"""),"All items in working order")</f>
        <v>All items in working order</v>
      </c>
      <c r="AE522" s="11"/>
      <c r="AF522" t="str">
        <v>Nikki.Dix@floridadep.gov</v>
      </c>
      <c r="AG522" s="18"/>
    </row>
    <row r="523" spans="1:33" ht="12.75">
      <c r="A523" s="10">
        <f ca="1">IFERROR(__xludf.DUMMYFUNCTION("""COMPUTED_VALUE"""),43999.2980317708)</f>
        <v>43999.298031770799</v>
      </c>
      <c r="B523" s="11" t="str">
        <f ca="1">IFERROR(__xludf.DUMMYFUNCTION("""COMPUTED_VALUE"""),"Silas Tanner")</f>
        <v>Silas Tanner</v>
      </c>
      <c r="C523" t="str">
        <f ca="1">IFERROR(__xludf.DUMMYFUNCTION("""COMPUTED_VALUE"""),"silas.tanner@floridadep.gov")</f>
        <v>silas.tanner@floridadep.gov</v>
      </c>
      <c r="D523" t="str">
        <f ca="1">IFERROR(__xludf.DUMMYFUNCTION("""COMPUTED_VALUE"""),"Research/Nikki")</f>
        <v>Research/Nikki</v>
      </c>
      <c r="E523" t="str">
        <f ca="1">IFERROR(__xludf.DUMMYFUNCTION("""COMPUTED_VALUE"""),"Vilano Landing")</f>
        <v>Vilano Landing</v>
      </c>
      <c r="F523" s="13">
        <f ca="1">IFERROR(__xludf.DUMMYFUNCTION("""COMPUTED_VALUE"""),0.322916666667879)</f>
        <v>0.32291666666787899</v>
      </c>
      <c r="G523" s="14">
        <f ca="1">IFERROR(__xludf.DUMMYFUNCTION("""COMPUTED_VALUE"""),43999)</f>
        <v>43999</v>
      </c>
      <c r="H523" t="str">
        <f ca="1">IFERROR(__xludf.DUMMYFUNCTION("""COMPUTED_VALUE"""),"ICW SWMP sites")</f>
        <v>ICW SWMP sites</v>
      </c>
      <c r="I523" s="15">
        <f ca="1">IFERROR(__xludf.DUMMYFUNCTION("""COMPUTED_VALUE"""),0.604166666667879)</f>
        <v>0.60416666666787899</v>
      </c>
      <c r="J523" s="16">
        <f ca="1">IFERROR(__xludf.DUMMYFUNCTION("""COMPUTED_VALUE"""),43999.7048611111)</f>
        <v>43999.704861111102</v>
      </c>
      <c r="K523" t="str">
        <f ca="1">IFERROR(__xludf.DUMMYFUNCTION("""COMPUTED_VALUE"""),"F 20ft Sea Ark (Easy 200) FL8534PY DEP21451")</f>
        <v>F 20ft Sea Ark (Easy 200) FL8534PY DEP21451</v>
      </c>
      <c r="M523" t="str">
        <f ca="1">IFERROR(__xludf.DUMMYFUNCTION("""COMPUTED_VALUE"""),"Ford F250 2017 (Moby Dix) - DEP0021578")</f>
        <v>Ford F250 2017 (Moby Dix) - DEP0021578</v>
      </c>
      <c r="N523" t="str">
        <f ca="1">IFERROR(__xludf.DUMMYFUNCTION("""COMPUTED_VALUE"""),"Shannon Dunnigan, (803) 727-5734, Silas Tanner, (904) 483-8423")</f>
        <v>Shannon Dunnigan, (803) 727-5734, Silas Tanner, (904) 483-8423</v>
      </c>
      <c r="P523" t="str">
        <f ca="1">IFERROR(__xludf.DUMMYFUNCTION("""COMPUTED_VALUE"""),"S. Tanner")</f>
        <v>S. Tanner</v>
      </c>
      <c r="Q523" t="str">
        <f ca="1">IFERROR(__xludf.DUMMYFUNCTION("""COMPUTED_VALUE"""),"All items in working order")</f>
        <v>All items in working order</v>
      </c>
      <c r="AE523" s="11"/>
      <c r="AF523" t="str">
        <v>Nikki.Dix@floridadep.gov</v>
      </c>
      <c r="AG523" s="18"/>
    </row>
    <row r="524" spans="1:33" ht="12.75">
      <c r="A524" s="10">
        <f ca="1">IFERROR(__xludf.DUMMYFUNCTION("""COMPUTED_VALUE"""),43999.302523831)</f>
        <v>43999.302523831</v>
      </c>
      <c r="B524" s="11" t="str">
        <f ca="1">IFERROR(__xludf.DUMMYFUNCTION("""COMPUTED_VALUE"""),"Jessica Lee")</f>
        <v>Jessica Lee</v>
      </c>
      <c r="C524" t="str">
        <f ca="1">IFERROR(__xludf.DUMMYFUNCTION("""COMPUTED_VALUE"""),"jessica.lee@floridadep.com")</f>
        <v>jessica.lee@floridadep.com</v>
      </c>
      <c r="D524" t="str">
        <f ca="1">IFERROR(__xludf.DUMMYFUNCTION("""COMPUTED_VALUE"""),"Research/Shannon")</f>
        <v>Research/Shannon</v>
      </c>
      <c r="E524" t="str">
        <f ca="1">IFERROR(__xludf.DUMMYFUNCTION("""COMPUTED_VALUE"""),"Guana")</f>
        <v>Guana</v>
      </c>
      <c r="F524" s="13">
        <f ca="1">IFERROR(__xludf.DUMMYFUNCTION("""COMPUTED_VALUE"""),0.30208333333212)</f>
        <v>0.30208333333212001</v>
      </c>
      <c r="G524" s="14">
        <f ca="1">IFERROR(__xludf.DUMMYFUNCTION("""COMPUTED_VALUE"""),43999)</f>
        <v>43999</v>
      </c>
      <c r="H524" t="str">
        <f ca="1">IFERROR(__xludf.DUMMYFUNCTION("""COMPUTED_VALUE"""),"Guana River")</f>
        <v>Guana River</v>
      </c>
      <c r="I524" s="15">
        <f ca="1">IFERROR(__xludf.DUMMYFUNCTION("""COMPUTED_VALUE"""),0.375)</f>
        <v>0.375</v>
      </c>
      <c r="J524" s="16">
        <f ca="1">IFERROR(__xludf.DUMMYFUNCTION("""COMPUTED_VALUE"""),43999.3854166666)</f>
        <v>43999.385416666599</v>
      </c>
      <c r="K524" t="str">
        <f ca="1">IFERROR(__xludf.DUMMYFUNCTION("""COMPUTED_VALUE"""),"Jon Boat FL0484NP DEP06819")</f>
        <v>Jon Boat FL0484NP DEP06819</v>
      </c>
      <c r="M524" t="str">
        <f ca="1">IFERROR(__xludf.DUMMYFUNCTION("""COMPUTED_VALUE"""),"Topper")</f>
        <v>Topper</v>
      </c>
      <c r="N524" t="str">
        <f ca="1">IFERROR(__xludf.DUMMYFUNCTION("""COMPUTED_VALUE"""),"Nikki Dix, (352) 219-4079")</f>
        <v>Nikki Dix, (352) 219-4079</v>
      </c>
      <c r="P524" t="str">
        <f ca="1">IFERROR(__xludf.DUMMYFUNCTION("""COMPUTED_VALUE"""),"Nikki")</f>
        <v>Nikki</v>
      </c>
      <c r="Q524" t="str">
        <f ca="1">IFERROR(__xludf.DUMMYFUNCTION("""COMPUTED_VALUE"""),"All items in working order")</f>
        <v>All items in working order</v>
      </c>
      <c r="AE524" s="11"/>
      <c r="AF524" t="str">
        <v>Shannon.Dunnigan@floridadep.gov</v>
      </c>
      <c r="AG524" s="18"/>
    </row>
    <row r="525" spans="1:33" ht="12.75">
      <c r="A525" s="10">
        <f ca="1">IFERROR(__xludf.DUMMYFUNCTION("""COMPUTED_VALUE"""),43999.4331138888)</f>
        <v>43999.433113888801</v>
      </c>
      <c r="B525" s="11" t="str">
        <f ca="1">IFERROR(__xludf.DUMMYFUNCTION("""COMPUTED_VALUE"""),"Pam Marcum")</f>
        <v>Pam Marcum</v>
      </c>
      <c r="C525" t="str">
        <f ca="1">IFERROR(__xludf.DUMMYFUNCTION("""COMPUTED_VALUE"""),"pamela.marcum@floridadep.gov")</f>
        <v>pamela.marcum@floridadep.gov</v>
      </c>
      <c r="D525" t="str">
        <f ca="1">IFERROR(__xludf.DUMMYFUNCTION("""COMPUTED_VALUE"""),"Research/Nikki")</f>
        <v>Research/Nikki</v>
      </c>
      <c r="E525" t="str">
        <f ca="1">IFERROR(__xludf.DUMMYFUNCTION("""COMPUTED_VALUE"""),"Faver-dykes")</f>
        <v>Faver-dykes</v>
      </c>
      <c r="F525" s="13">
        <f ca="1">IFERROR(__xludf.DUMMYFUNCTION("""COMPUTED_VALUE"""),0.42708333333212)</f>
        <v>0.42708333333212001</v>
      </c>
      <c r="G525" s="14">
        <f ca="1">IFERROR(__xludf.DUMMYFUNCTION("""COMPUTED_VALUE"""),43999)</f>
        <v>43999</v>
      </c>
      <c r="H525" t="str">
        <f ca="1">IFERROR(__xludf.DUMMYFUNCTION("""COMPUTED_VALUE"""),"Upper PC transect")</f>
        <v>Upper PC transect</v>
      </c>
      <c r="I525" s="15">
        <f ca="1">IFERROR(__xludf.DUMMYFUNCTION("""COMPUTED_VALUE"""),0.541666666667879)</f>
        <v>0.54166666666787899</v>
      </c>
      <c r="J525" s="16">
        <f ca="1">IFERROR(__xludf.DUMMYFUNCTION("""COMPUTED_VALUE"""),43999.5416666666)</f>
        <v>43999.541666666599</v>
      </c>
      <c r="K525" t="str">
        <f ca="1">IFERROR(__xludf.DUMMYFUNCTION("""COMPUTED_VALUE"""),"20ft Sea Ark FL5351SJ UNF 2015")</f>
        <v>20ft Sea Ark FL5351SJ UNF 2015</v>
      </c>
      <c r="M525" t="str">
        <f ca="1">IFERROR(__xludf.DUMMYFUNCTION("""COMPUTED_VALUE"""),"Ford F150 2015 (White) - DEP21448")</f>
        <v>Ford F150 2015 (White) - DEP21448</v>
      </c>
      <c r="N525" t="str">
        <f ca="1">IFERROR(__xludf.DUMMYFUNCTION("""COMPUTED_VALUE"""),"Pam Marcum, (480) 332-5414")</f>
        <v>Pam Marcum, (480) 332-5414</v>
      </c>
      <c r="O525" t="str">
        <f ca="1">IFERROR(__xludf.DUMMYFUNCTION("""COMPUTED_VALUE"""),"Erick Rivuelta")</f>
        <v>Erick Rivuelta</v>
      </c>
      <c r="P525" t="str">
        <f ca="1">IFERROR(__xludf.DUMMYFUNCTION("""COMPUTED_VALUE"""),"Pam")</f>
        <v>Pam</v>
      </c>
      <c r="Q525" t="str">
        <f ca="1">IFERROR(__xludf.DUMMYFUNCTION("""COMPUTED_VALUE"""),"All items in working order")</f>
        <v>All items in working order</v>
      </c>
      <c r="AE525" s="11"/>
      <c r="AF525" t="str">
        <v>Nikki.Dix@floridadep.gov</v>
      </c>
      <c r="AG525" s="18"/>
    </row>
    <row r="526" spans="1:33" ht="12.75">
      <c r="A526" s="10">
        <f ca="1">IFERROR(__xludf.DUMMYFUNCTION("""COMPUTED_VALUE"""),43999.6362873263)</f>
        <v>43999.636287326299</v>
      </c>
      <c r="B526" s="11" t="str">
        <f ca="1">IFERROR(__xludf.DUMMYFUNCTION("""COMPUTED_VALUE"""),"Pam Marcum")</f>
        <v>Pam Marcum</v>
      </c>
      <c r="C526" t="str">
        <f ca="1">IFERROR(__xludf.DUMMYFUNCTION("""COMPUTED_VALUE"""),"pamela.marcum@floridadep.gov")</f>
        <v>pamela.marcum@floridadep.gov</v>
      </c>
      <c r="D526" t="str">
        <f ca="1">IFERROR(__xludf.DUMMYFUNCTION("""COMPUTED_VALUE"""),"Research/Nikki")</f>
        <v>Research/Nikki</v>
      </c>
      <c r="E526" t="str">
        <f ca="1">IFERROR(__xludf.DUMMYFUNCTION("""COMPUTED_VALUE"""),"Faver dykes")</f>
        <v>Faver dykes</v>
      </c>
      <c r="F526" s="13">
        <f ca="1">IFERROR(__xludf.DUMMYFUNCTION("""COMPUTED_VALUE"""),0.635416666667879)</f>
        <v>0.63541666666787899</v>
      </c>
      <c r="G526" s="14">
        <f ca="1">IFERROR(__xludf.DUMMYFUNCTION("""COMPUTED_VALUE"""),43999)</f>
        <v>43999</v>
      </c>
      <c r="H526" t="str">
        <f ca="1">IFERROR(__xludf.DUMMYFUNCTION("""COMPUTED_VALUE"""),"Pc middle transect")</f>
        <v>Pc middle transect</v>
      </c>
      <c r="I526" s="15">
        <f ca="1">IFERROR(__xludf.DUMMYFUNCTION("""COMPUTED_VALUE"""),0.791666666667879)</f>
        <v>0.79166666666787899</v>
      </c>
      <c r="J526" s="16">
        <f ca="1">IFERROR(__xludf.DUMMYFUNCTION("""COMPUTED_VALUE"""),43999.8333333333)</f>
        <v>43999.833333333299</v>
      </c>
      <c r="K526" t="str">
        <f ca="1">IFERROR(__xludf.DUMMYFUNCTION("""COMPUTED_VALUE"""),"20ft Sea Ark FL5351SJ UNF 2015")</f>
        <v>20ft Sea Ark FL5351SJ UNF 2015</v>
      </c>
      <c r="M526" t="str">
        <f ca="1">IFERROR(__xludf.DUMMYFUNCTION("""COMPUTED_VALUE"""),"Ford F150 2015 (White) - DEP21448")</f>
        <v>Ford F150 2015 (White) - DEP21448</v>
      </c>
      <c r="N526" t="str">
        <f ca="1">IFERROR(__xludf.DUMMYFUNCTION("""COMPUTED_VALUE"""),"Pam Marcum, (480) 332-5414")</f>
        <v>Pam Marcum, (480) 332-5414</v>
      </c>
      <c r="O526" t="str">
        <f ca="1">IFERROR(__xludf.DUMMYFUNCTION("""COMPUTED_VALUE"""),"Alee Knoell, (619) 750-4833")</f>
        <v>Alee Knoell, (619) 750-4833</v>
      </c>
      <c r="P526" t="str">
        <f ca="1">IFERROR(__xludf.DUMMYFUNCTION("""COMPUTED_VALUE"""),"Pam")</f>
        <v>Pam</v>
      </c>
      <c r="Q526" t="str">
        <f ca="1">IFERROR(__xludf.DUMMYFUNCTION("""COMPUTED_VALUE"""),"All items in working order")</f>
        <v>All items in working order</v>
      </c>
      <c r="AE526" s="11"/>
      <c r="AF526" t="str">
        <v>Nikki.Dix@floridadep.gov</v>
      </c>
      <c r="AG526" s="18"/>
    </row>
    <row r="527" spans="1:33" ht="12.75">
      <c r="A527" s="10">
        <f ca="1">IFERROR(__xludf.DUMMYFUNCTION("""COMPUTED_VALUE"""),43999.8711826041)</f>
        <v>43999.871182604104</v>
      </c>
      <c r="B527" s="11" t="str">
        <f ca="1">IFERROR(__xludf.DUMMYFUNCTION("""COMPUTED_VALUE"""),"Jessica Lee")</f>
        <v>Jessica Lee</v>
      </c>
      <c r="C527" t="str">
        <f ca="1">IFERROR(__xludf.DUMMYFUNCTION("""COMPUTED_VALUE"""),"jessica.lee@floridadep.com")</f>
        <v>jessica.lee@floridadep.com</v>
      </c>
      <c r="D527" t="str">
        <f ca="1">IFERROR(__xludf.DUMMYFUNCTION("""COMPUTED_VALUE"""),"Research/Shannon")</f>
        <v>Research/Shannon</v>
      </c>
      <c r="E527" t="str">
        <f ca="1">IFERROR(__xludf.DUMMYFUNCTION("""COMPUTED_VALUE"""),"Guana")</f>
        <v>Guana</v>
      </c>
      <c r="F527" s="13">
        <f ca="1">IFERROR(__xludf.DUMMYFUNCTION("""COMPUTED_VALUE"""),0.30208333333212)</f>
        <v>0.30208333333212001</v>
      </c>
      <c r="G527" s="14">
        <f ca="1">IFERROR(__xludf.DUMMYFUNCTION("""COMPUTED_VALUE"""),43999)</f>
        <v>43999</v>
      </c>
      <c r="H527" t="str">
        <f ca="1">IFERROR(__xludf.DUMMYFUNCTION("""COMPUTED_VALUE"""),"Guana River")</f>
        <v>Guana River</v>
      </c>
      <c r="I527" s="15">
        <f ca="1">IFERROR(__xludf.DUMMYFUNCTION("""COMPUTED_VALUE"""),0.375)</f>
        <v>0.375</v>
      </c>
      <c r="J527" s="16">
        <f ca="1">IFERROR(__xludf.DUMMYFUNCTION("""COMPUTED_VALUE"""),43999.3854166666)</f>
        <v>43999.385416666599</v>
      </c>
      <c r="K527" t="str">
        <f ca="1">IFERROR(__xludf.DUMMYFUNCTION("""COMPUTED_VALUE"""),"Jon Boat FL0484NP DEP06819")</f>
        <v>Jon Boat FL0484NP DEP06819</v>
      </c>
      <c r="M527" t="str">
        <f ca="1">IFERROR(__xludf.DUMMYFUNCTION("""COMPUTED_VALUE"""),"Topper")</f>
        <v>Topper</v>
      </c>
      <c r="N527" t="str">
        <f ca="1">IFERROR(__xludf.DUMMYFUNCTION("""COMPUTED_VALUE"""),"Nikki Dix, (352) 219-4079")</f>
        <v>Nikki Dix, (352) 219-4079</v>
      </c>
      <c r="P527" t="str">
        <f ca="1">IFERROR(__xludf.DUMMYFUNCTION("""COMPUTED_VALUE"""),"Nikki")</f>
        <v>Nikki</v>
      </c>
      <c r="Q527" t="str">
        <f ca="1">IFERROR(__xludf.DUMMYFUNCTION("""COMPUTED_VALUE"""),"All items in working order")</f>
        <v>All items in working order</v>
      </c>
      <c r="AE527" s="11"/>
      <c r="AF527" t="str">
        <v>Shannon.Dunnigan@floridadep.gov</v>
      </c>
      <c r="AG527" s="18"/>
    </row>
    <row r="528" spans="1:33" ht="12.75">
      <c r="A528" s="10">
        <f ca="1">IFERROR(__xludf.DUMMYFUNCTION("""COMPUTED_VALUE"""),44000.4035817245)</f>
        <v>44000.403581724502</v>
      </c>
      <c r="B528" s="11" t="str">
        <f ca="1">IFERROR(__xludf.DUMMYFUNCTION("""COMPUTED_VALUE"""),"Pam Marcum")</f>
        <v>Pam Marcum</v>
      </c>
      <c r="C528" t="str">
        <f ca="1">IFERROR(__xludf.DUMMYFUNCTION("""COMPUTED_VALUE"""),"pamela.Marcum@floridadep.gov")</f>
        <v>pamela.Marcum@floridadep.gov</v>
      </c>
      <c r="D528" t="str">
        <f ca="1">IFERROR(__xludf.DUMMYFUNCTION("""COMPUTED_VALUE"""),"Research/Nikki")</f>
        <v>Research/Nikki</v>
      </c>
      <c r="E528" t="str">
        <f ca="1">IFERROR(__xludf.DUMMYFUNCTION("""COMPUTED_VALUE"""),"Faver-Dykes")</f>
        <v>Faver-Dykes</v>
      </c>
      <c r="F528" s="13">
        <f ca="1">IFERROR(__xludf.DUMMYFUNCTION("""COMPUTED_VALUE"""),0.402777777777373)</f>
        <v>0.402777777777373</v>
      </c>
      <c r="G528" s="14">
        <f ca="1">IFERROR(__xludf.DUMMYFUNCTION("""COMPUTED_VALUE"""),44000)</f>
        <v>44000</v>
      </c>
      <c r="H528" t="str">
        <f ca="1">IFERROR(__xludf.DUMMYFUNCTION("""COMPUTED_VALUE"""),"Pellicer Creek ")</f>
        <v xml:space="preserve">Pellicer Creek </v>
      </c>
      <c r="I528" s="15">
        <f ca="1">IFERROR(__xludf.DUMMYFUNCTION("""COMPUTED_VALUE"""),0.70833333333212)</f>
        <v>0.70833333333212001</v>
      </c>
      <c r="J528" s="16">
        <f ca="1">IFERROR(__xludf.DUMMYFUNCTION("""COMPUTED_VALUE"""),44000.75)</f>
        <v>44000.75</v>
      </c>
      <c r="K528" t="str">
        <f ca="1">IFERROR(__xludf.DUMMYFUNCTION("""COMPUTED_VALUE"""),"20ft Sea Ark FL5351SJ UNF 2015")</f>
        <v>20ft Sea Ark FL5351SJ UNF 2015</v>
      </c>
      <c r="M528" t="str">
        <f ca="1">IFERROR(__xludf.DUMMYFUNCTION("""COMPUTED_VALUE"""),"Ford F150 2015 (White) - DEP21448")</f>
        <v>Ford F150 2015 (White) - DEP21448</v>
      </c>
      <c r="N528" t="str">
        <f ca="1">IFERROR(__xludf.DUMMYFUNCTION("""COMPUTED_VALUE"""),"Pam Marcum, (480) 332-5414")</f>
        <v>Pam Marcum, (480) 332-5414</v>
      </c>
      <c r="O528" t="str">
        <f ca="1">IFERROR(__xludf.DUMMYFUNCTION("""COMPUTED_VALUE"""),"Alee Knoell, (619) 750-4833")</f>
        <v>Alee Knoell, (619) 750-4833</v>
      </c>
      <c r="P528" t="str">
        <f ca="1">IFERROR(__xludf.DUMMYFUNCTION("""COMPUTED_VALUE"""),"Pam")</f>
        <v>Pam</v>
      </c>
      <c r="Q528" t="str">
        <f ca="1">IFERROR(__xludf.DUMMYFUNCTION("""COMPUTED_VALUE"""),"All items in working order")</f>
        <v>All items in working order</v>
      </c>
      <c r="AE528" s="11"/>
      <c r="AF528" t="str">
        <v>Nikki.Dix@floridadep.gov</v>
      </c>
      <c r="AG528" s="18"/>
    </row>
    <row r="529" spans="1:33" ht="12.75">
      <c r="A529" s="10">
        <f ca="1">IFERROR(__xludf.DUMMYFUNCTION("""COMPUTED_VALUE"""),44007.3319531944)</f>
        <v>44007.3319531944</v>
      </c>
      <c r="B529" s="11" t="str">
        <f ca="1">IFERROR(__xludf.DUMMYFUNCTION("""COMPUTED_VALUE"""),"Pam Marcum")</f>
        <v>Pam Marcum</v>
      </c>
      <c r="C529" t="str">
        <f ca="1">IFERROR(__xludf.DUMMYFUNCTION("""COMPUTED_VALUE"""),"pamela.marcum@floridadep.gov")</f>
        <v>pamela.marcum@floridadep.gov</v>
      </c>
      <c r="D529" t="str">
        <f ca="1">IFERROR(__xludf.DUMMYFUNCTION("""COMPUTED_VALUE"""),"Research/Nikki")</f>
        <v>Research/Nikki</v>
      </c>
      <c r="E529" t="str">
        <f ca="1">IFERROR(__xludf.DUMMYFUNCTION("""COMPUTED_VALUE"""),"Bing's")</f>
        <v>Bing's</v>
      </c>
      <c r="F529" s="13">
        <f ca="1">IFERROR(__xludf.DUMMYFUNCTION("""COMPUTED_VALUE"""),0.33333333333212)</f>
        <v>0.33333333333212001</v>
      </c>
      <c r="G529" s="14">
        <f ca="1">IFERROR(__xludf.DUMMYFUNCTION("""COMPUTED_VALUE"""),44007)</f>
        <v>44007</v>
      </c>
      <c r="H529" t="str">
        <f ca="1">IFERROR(__xludf.DUMMYFUNCTION("""COMPUTED_VALUE"""),"Wash oaks platforms")</f>
        <v>Wash oaks platforms</v>
      </c>
      <c r="I529" s="15">
        <f ca="1">IFERROR(__xludf.DUMMYFUNCTION("""COMPUTED_VALUE"""),0.541666666667879)</f>
        <v>0.54166666666787899</v>
      </c>
      <c r="J529" s="16">
        <f ca="1">IFERROR(__xludf.DUMMYFUNCTION("""COMPUTED_VALUE"""),44007.5833333333)</f>
        <v>44007.583333333299</v>
      </c>
      <c r="K529" t="str">
        <f ca="1">IFERROR(__xludf.DUMMYFUNCTION("""COMPUTED_VALUE"""),"20ft Sea Ark FL5351SJ UNF 2015")</f>
        <v>20ft Sea Ark FL5351SJ UNF 2015</v>
      </c>
      <c r="M529" t="str">
        <f ca="1">IFERROR(__xludf.DUMMYFUNCTION("""COMPUTED_VALUE"""),"Ford F150 2015 (White) - DEP21448")</f>
        <v>Ford F150 2015 (White) - DEP21448</v>
      </c>
      <c r="N529" t="str">
        <f ca="1">IFERROR(__xludf.DUMMYFUNCTION("""COMPUTED_VALUE"""),"Pam Marcum, (480) 332-5414")</f>
        <v>Pam Marcum, (480) 332-5414</v>
      </c>
      <c r="O529" t="str">
        <f ca="1">IFERROR(__xludf.DUMMYFUNCTION("""COMPUTED_VALUE"""),"Remo Mondazzi")</f>
        <v>Remo Mondazzi</v>
      </c>
      <c r="P529" t="str">
        <f ca="1">IFERROR(__xludf.DUMMYFUNCTION("""COMPUTED_VALUE"""),"Pam")</f>
        <v>Pam</v>
      </c>
      <c r="Q529" t="str">
        <f ca="1">IFERROR(__xludf.DUMMYFUNCTION("""COMPUTED_VALUE"""),"All items in working order")</f>
        <v>All items in working order</v>
      </c>
      <c r="AE529" s="11"/>
      <c r="AF529" t="str">
        <v>Nikki.Dix@floridadep.gov</v>
      </c>
      <c r="AG529" s="18"/>
    </row>
    <row r="530" spans="1:33" ht="12.75">
      <c r="A530" s="10">
        <f ca="1">IFERROR(__xludf.DUMMYFUNCTION("""COMPUTED_VALUE"""),44012.3720971064)</f>
        <v>44012.372097106403</v>
      </c>
      <c r="B530" s="11" t="str">
        <f ca="1">IFERROR(__xludf.DUMMYFUNCTION("""COMPUTED_VALUE"""),"Pam Marcum")</f>
        <v>Pam Marcum</v>
      </c>
      <c r="C530" t="str">
        <f ca="1">IFERROR(__xludf.DUMMYFUNCTION("""COMPUTED_VALUE"""),"pamela.marcum@floridadep.gov")</f>
        <v>pamela.marcum@floridadep.gov</v>
      </c>
      <c r="D530" t="str">
        <f ca="1">IFERROR(__xludf.DUMMYFUNCTION("""COMPUTED_VALUE"""),"Research/Nikki")</f>
        <v>Research/Nikki</v>
      </c>
      <c r="E530" t="str">
        <f ca="1">IFERROR(__xludf.DUMMYFUNCTION("""COMPUTED_VALUE"""),"Aunt kates")</f>
        <v>Aunt kates</v>
      </c>
      <c r="F530" s="13">
        <f ca="1">IFERROR(__xludf.DUMMYFUNCTION("""COMPUTED_VALUE"""),0.375)</f>
        <v>0.375</v>
      </c>
      <c r="G530" s="14">
        <f ca="1">IFERROR(__xludf.DUMMYFUNCTION("""COMPUTED_VALUE"""),44012)</f>
        <v>44012</v>
      </c>
      <c r="H530" t="str">
        <f ca="1">IFERROR(__xludf.DUMMYFUNCTION("""COMPUTED_VALUE"""),"Pine island, hat island")</f>
        <v>Pine island, hat island</v>
      </c>
      <c r="I530" s="15">
        <f ca="1">IFERROR(__xludf.DUMMYFUNCTION("""COMPUTED_VALUE"""),0.5)</f>
        <v>0.5</v>
      </c>
      <c r="J530" s="16">
        <f ca="1">IFERROR(__xludf.DUMMYFUNCTION("""COMPUTED_VALUE"""),44012.5208333333)</f>
        <v>44012.520833333299</v>
      </c>
      <c r="K530" t="str">
        <f ca="1">IFERROR(__xludf.DUMMYFUNCTION("""COMPUTED_VALUE"""),"20ft Sea Ark FL5351SJ UNF 2015")</f>
        <v>20ft Sea Ark FL5351SJ UNF 2015</v>
      </c>
      <c r="M530" t="str">
        <f ca="1">IFERROR(__xludf.DUMMYFUNCTION("""COMPUTED_VALUE"""),"Ford F150 2015 (White) - DEP21448")</f>
        <v>Ford F150 2015 (White) - DEP21448</v>
      </c>
      <c r="N530" t="str">
        <f ca="1">IFERROR(__xludf.DUMMYFUNCTION("""COMPUTED_VALUE"""),"Pam Marcum, (480) 332-5414")</f>
        <v>Pam Marcum, (480) 332-5414</v>
      </c>
      <c r="O530" t="str">
        <f ca="1">IFERROR(__xludf.DUMMYFUNCTION("""COMPUTED_VALUE"""),"Alee Knoell, (619) 750-4833")</f>
        <v>Alee Knoell, (619) 750-4833</v>
      </c>
      <c r="P530" t="str">
        <f ca="1">IFERROR(__xludf.DUMMYFUNCTION("""COMPUTED_VALUE"""),"Pam")</f>
        <v>Pam</v>
      </c>
      <c r="Q530" t="str">
        <f ca="1">IFERROR(__xludf.DUMMYFUNCTION("""COMPUTED_VALUE"""),"All items in working order")</f>
        <v>All items in working order</v>
      </c>
      <c r="AE530" s="11"/>
      <c r="AF530" t="str">
        <v>Nikki.Dix@floridadep.gov</v>
      </c>
      <c r="AG530" s="18"/>
    </row>
    <row r="531" spans="1:33" ht="12.75">
      <c r="A531" s="10">
        <f ca="1">IFERROR(__xludf.DUMMYFUNCTION("""COMPUTED_VALUE"""),44013.3821592361)</f>
        <v>44013.382159236098</v>
      </c>
      <c r="B531" s="11" t="str">
        <f ca="1">IFERROR(__xludf.DUMMYFUNCTION("""COMPUTED_VALUE"""),"Pam Marcum")</f>
        <v>Pam Marcum</v>
      </c>
      <c r="C531" t="str">
        <f ca="1">IFERROR(__xludf.DUMMYFUNCTION("""COMPUTED_VALUE"""),"pamela.marcum@floridadep.gov")</f>
        <v>pamela.marcum@floridadep.gov</v>
      </c>
      <c r="D531" t="str">
        <f ca="1">IFERROR(__xludf.DUMMYFUNCTION("""COMPUTED_VALUE"""),"Research/Nikki")</f>
        <v>Research/Nikki</v>
      </c>
      <c r="E531" t="str">
        <f ca="1">IFERROR(__xludf.DUMMYFUNCTION("""COMPUTED_VALUE"""),"Aunt kates")</f>
        <v>Aunt kates</v>
      </c>
      <c r="F531" s="13">
        <f ca="1">IFERROR(__xludf.DUMMYFUNCTION("""COMPUTED_VALUE"""),0.385416666667879)</f>
        <v>0.38541666666787899</v>
      </c>
      <c r="G531" s="14">
        <f ca="1">IFERROR(__xludf.DUMMYFUNCTION("""COMPUTED_VALUE"""),44013)</f>
        <v>44013</v>
      </c>
      <c r="H531" t="str">
        <f ca="1">IFERROR(__xludf.DUMMYFUNCTION("""COMPUTED_VALUE"""),"Spat run Sr-SA-FM-TR-GR")</f>
        <v>Spat run Sr-SA-FM-TR-GR</v>
      </c>
      <c r="I531" s="15">
        <f ca="1">IFERROR(__xludf.DUMMYFUNCTION("""COMPUTED_VALUE"""),0.666666666667879)</f>
        <v>0.66666666666787899</v>
      </c>
      <c r="J531" s="16">
        <f ca="1">IFERROR(__xludf.DUMMYFUNCTION("""COMPUTED_VALUE"""),44013.6875)</f>
        <v>44013.6875</v>
      </c>
      <c r="K531" t="str">
        <f ca="1">IFERROR(__xludf.DUMMYFUNCTION("""COMPUTED_VALUE"""),"20ft Sea Ark FL5351SJ UNF 2015")</f>
        <v>20ft Sea Ark FL5351SJ UNF 2015</v>
      </c>
      <c r="M531" t="str">
        <f ca="1">IFERROR(__xludf.DUMMYFUNCTION("""COMPUTED_VALUE"""),"Ford F150 2015 (White) - DEP21448")</f>
        <v>Ford F150 2015 (White) - DEP21448</v>
      </c>
      <c r="N531" t="str">
        <f ca="1">IFERROR(__xludf.DUMMYFUNCTION("""COMPUTED_VALUE"""),"Pam Marcum, (480) 332-5414")</f>
        <v>Pam Marcum, (480) 332-5414</v>
      </c>
      <c r="O531" t="str">
        <f ca="1">IFERROR(__xludf.DUMMYFUNCTION("""COMPUTED_VALUE"""),"Alee Knoell, (619) 750-4833")</f>
        <v>Alee Knoell, (619) 750-4833</v>
      </c>
      <c r="P531" t="str">
        <f ca="1">IFERROR(__xludf.DUMMYFUNCTION("""COMPUTED_VALUE"""),"Pam")</f>
        <v>Pam</v>
      </c>
      <c r="Q531" t="str">
        <f ca="1">IFERROR(__xludf.DUMMYFUNCTION("""COMPUTED_VALUE"""),"All items in working order")</f>
        <v>All items in working order</v>
      </c>
      <c r="AE531" s="11"/>
      <c r="AF531" t="str">
        <v>Nikki.Dix@floridadep.gov</v>
      </c>
      <c r="AG531" s="18"/>
    </row>
    <row r="532" spans="1:33" ht="12.75">
      <c r="A532" s="10">
        <f ca="1">IFERROR(__xludf.DUMMYFUNCTION("""COMPUTED_VALUE"""),44014.3270940393)</f>
        <v>44014.327094039298</v>
      </c>
      <c r="B532" s="11" t="str">
        <f ca="1">IFERROR(__xludf.DUMMYFUNCTION("""COMPUTED_VALUE"""),"Pam Marcum")</f>
        <v>Pam Marcum</v>
      </c>
      <c r="C532" t="str">
        <f ca="1">IFERROR(__xludf.DUMMYFUNCTION("""COMPUTED_VALUE"""),"pamela.marcum@floridadep.gov")</f>
        <v>pamela.marcum@floridadep.gov</v>
      </c>
      <c r="D532" t="str">
        <f ca="1">IFERROR(__xludf.DUMMYFUNCTION("""COMPUTED_VALUE"""),"Research/Nikki")</f>
        <v>Research/Nikki</v>
      </c>
      <c r="E532" t="str">
        <f ca="1">IFERROR(__xludf.DUMMYFUNCTION("""COMPUTED_VALUE"""),"Bings")</f>
        <v>Bings</v>
      </c>
      <c r="F532" s="13">
        <f ca="1">IFERROR(__xludf.DUMMYFUNCTION("""COMPUTED_VALUE"""),0.3125)</f>
        <v>0.3125</v>
      </c>
      <c r="G532" s="14">
        <f ca="1">IFERROR(__xludf.DUMMYFUNCTION("""COMPUTED_VALUE"""),44014)</f>
        <v>44014</v>
      </c>
      <c r="H532" t="str">
        <f ca="1">IFERROR(__xludf.DUMMYFUNCTION("""COMPUTED_VALUE"""),"Washington oaks platform")</f>
        <v>Washington oaks platform</v>
      </c>
      <c r="I532" s="15">
        <f ca="1">IFERROR(__xludf.DUMMYFUNCTION("""COMPUTED_VALUE"""),0.5)</f>
        <v>0.5</v>
      </c>
      <c r="J532" s="16">
        <f ca="1">IFERROR(__xludf.DUMMYFUNCTION("""COMPUTED_VALUE"""),44014.5833333333)</f>
        <v>44014.583333333299</v>
      </c>
      <c r="K532" t="str">
        <f ca="1">IFERROR(__xludf.DUMMYFUNCTION("""COMPUTED_VALUE"""),"20ft Sea Ark FL5351SJ UNF 2015")</f>
        <v>20ft Sea Ark FL5351SJ UNF 2015</v>
      </c>
      <c r="M532" t="str">
        <f ca="1">IFERROR(__xludf.DUMMYFUNCTION("""COMPUTED_VALUE"""),"Ford F150 2015 (White) - DEP21448")</f>
        <v>Ford F150 2015 (White) - DEP21448</v>
      </c>
      <c r="N532" t="str">
        <f ca="1">IFERROR(__xludf.DUMMYFUNCTION("""COMPUTED_VALUE"""),"Pam Marcum, (480) 332-5414")</f>
        <v>Pam Marcum, (480) 332-5414</v>
      </c>
      <c r="O532" t="str">
        <f ca="1">IFERROR(__xludf.DUMMYFUNCTION("""COMPUTED_VALUE"""),"Alee Knoell, (619) 750-4833")</f>
        <v>Alee Knoell, (619) 750-4833</v>
      </c>
      <c r="P532" t="str">
        <f ca="1">IFERROR(__xludf.DUMMYFUNCTION("""COMPUTED_VALUE"""),"Pam")</f>
        <v>Pam</v>
      </c>
      <c r="Q532" t="str">
        <f ca="1">IFERROR(__xludf.DUMMYFUNCTION("""COMPUTED_VALUE"""),"All items in working order")</f>
        <v>All items in working order</v>
      </c>
      <c r="AE532" s="11"/>
      <c r="AF532" t="str">
        <v>Nikki.Dix@floridadep.gov</v>
      </c>
      <c r="AG532" s="18"/>
    </row>
    <row r="533" spans="1:33" ht="12.75">
      <c r="A533" s="10">
        <f ca="1">IFERROR(__xludf.DUMMYFUNCTION("""COMPUTED_VALUE"""),44019.3546791319)</f>
        <v>44019.354679131902</v>
      </c>
      <c r="B533" s="11" t="str">
        <f ca="1">IFERROR(__xludf.DUMMYFUNCTION("""COMPUTED_VALUE"""),"Silas Tanner")</f>
        <v>Silas Tanner</v>
      </c>
      <c r="C533" t="str">
        <f ca="1">IFERROR(__xludf.DUMMYFUNCTION("""COMPUTED_VALUE"""),"silas.tanner@floridadep.gov")</f>
        <v>silas.tanner@floridadep.gov</v>
      </c>
      <c r="D533" t="str">
        <f ca="1">IFERROR(__xludf.DUMMYFUNCTION("""COMPUTED_VALUE"""),"Research/Nikki")</f>
        <v>Research/Nikki</v>
      </c>
      <c r="E533" t="str">
        <f ca="1">IFERROR(__xludf.DUMMYFUNCTION("""COMPUTED_VALUE"""),"Vilano Landing")</f>
        <v>Vilano Landing</v>
      </c>
      <c r="F533" s="13">
        <f ca="1">IFERROR(__xludf.DUMMYFUNCTION("""COMPUTED_VALUE"""),0.39583333333212)</f>
        <v>0.39583333333212001</v>
      </c>
      <c r="G533" s="14">
        <f ca="1">IFERROR(__xludf.DUMMYFUNCTION("""COMPUTED_VALUE"""),44019)</f>
        <v>44019</v>
      </c>
      <c r="H533" t="str">
        <f ca="1">IFERROR(__xludf.DUMMYFUNCTION("""COMPUTED_VALUE"""),"ICW SWMP Sites")</f>
        <v>ICW SWMP Sites</v>
      </c>
      <c r="I533" s="15">
        <f ca="1">IFERROR(__xludf.DUMMYFUNCTION("""COMPUTED_VALUE"""),0.604166666667879)</f>
        <v>0.60416666666787899</v>
      </c>
      <c r="J533" s="16">
        <f ca="1">IFERROR(__xludf.DUMMYFUNCTION("""COMPUTED_VALUE"""),44019.625)</f>
        <v>44019.625</v>
      </c>
      <c r="K533" t="str">
        <f ca="1">IFERROR(__xludf.DUMMYFUNCTION("""COMPUTED_VALUE"""),"20ft Sea Ark FL5351SJ UNF 2015")</f>
        <v>20ft Sea Ark FL5351SJ UNF 2015</v>
      </c>
      <c r="M533" t="str">
        <f ca="1">IFERROR(__xludf.DUMMYFUNCTION("""COMPUTED_VALUE"""),"Ford F250 2017 (Moby Dix) - DEP0021578")</f>
        <v>Ford F250 2017 (Moby Dix) - DEP0021578</v>
      </c>
      <c r="N533" t="str">
        <f ca="1">IFERROR(__xludf.DUMMYFUNCTION("""COMPUTED_VALUE"""),"Silas Tanner, (904) 483-8423")</f>
        <v>Silas Tanner, (904) 483-8423</v>
      </c>
      <c r="O533" t="str">
        <f ca="1">IFERROR(__xludf.DUMMYFUNCTION("""COMPUTED_VALUE"""),"Alee Knoell, (619) 750-4833")</f>
        <v>Alee Knoell, (619) 750-4833</v>
      </c>
      <c r="P533" t="str">
        <f ca="1">IFERROR(__xludf.DUMMYFUNCTION("""COMPUTED_VALUE"""),"Tanner")</f>
        <v>Tanner</v>
      </c>
      <c r="Q533" t="str">
        <f ca="1">IFERROR(__xludf.DUMMYFUNCTION("""COMPUTED_VALUE"""),"All items in working order")</f>
        <v>All items in working order</v>
      </c>
      <c r="AE533" s="11"/>
      <c r="AF533" t="str">
        <v>Nikki.Dix@floridadep.gov</v>
      </c>
      <c r="AG533" s="18"/>
    </row>
    <row r="534" spans="1:33" ht="12.75">
      <c r="A534" s="10">
        <f ca="1">IFERROR(__xludf.DUMMYFUNCTION("""COMPUTED_VALUE"""),44026.3364468865)</f>
        <v>44026.336446886497</v>
      </c>
      <c r="B534" s="11" t="str">
        <f ca="1">IFERROR(__xludf.DUMMYFUNCTION("""COMPUTED_VALUE"""),"Pam Marcum")</f>
        <v>Pam Marcum</v>
      </c>
      <c r="C534" t="str">
        <f ca="1">IFERROR(__xludf.DUMMYFUNCTION("""COMPUTED_VALUE"""),"pamela.marcum@floridadep.gov")</f>
        <v>pamela.marcum@floridadep.gov</v>
      </c>
      <c r="D534" t="str">
        <f ca="1">IFERROR(__xludf.DUMMYFUNCTION("""COMPUTED_VALUE"""),"Research/Nikki")</f>
        <v>Research/Nikki</v>
      </c>
      <c r="E534" t="str">
        <f ca="1">IFERROR(__xludf.DUMMYFUNCTION("""COMPUTED_VALUE"""),"Butler")</f>
        <v>Butler</v>
      </c>
      <c r="F534" s="13">
        <f ca="1">IFERROR(__xludf.DUMMYFUNCTION("""COMPUTED_VALUE"""),0.3125)</f>
        <v>0.3125</v>
      </c>
      <c r="G534" s="14">
        <f ca="1">IFERROR(__xludf.DUMMYFUNCTION("""COMPUTED_VALUE"""),44026)</f>
        <v>44026</v>
      </c>
      <c r="H534" t="str">
        <f ca="1">IFERROR(__xludf.DUMMYFUNCTION("""COMPUTED_VALUE"""),"Moses Creek")</f>
        <v>Moses Creek</v>
      </c>
      <c r="I534" s="15">
        <f ca="1">IFERROR(__xludf.DUMMYFUNCTION("""COMPUTED_VALUE"""),0.58333333333212)</f>
        <v>0.58333333333212001</v>
      </c>
      <c r="J534" s="16">
        <f ca="1">IFERROR(__xludf.DUMMYFUNCTION("""COMPUTED_VALUE"""),44026.625)</f>
        <v>44026.625</v>
      </c>
      <c r="K534" t="str">
        <f ca="1">IFERROR(__xludf.DUMMYFUNCTION("""COMPUTED_VALUE"""),"20ft Sea Ark FL5351SJ UNF 2015")</f>
        <v>20ft Sea Ark FL5351SJ UNF 2015</v>
      </c>
      <c r="M534" t="str">
        <f ca="1">IFERROR(__xludf.DUMMYFUNCTION("""COMPUTED_VALUE"""),"Ford F150 2015 (White) - DEP21448")</f>
        <v>Ford F150 2015 (White) - DEP21448</v>
      </c>
      <c r="N534" t="str">
        <f ca="1">IFERROR(__xludf.DUMMYFUNCTION("""COMPUTED_VALUE"""),"Pam Marcum, (480) 332-5414")</f>
        <v>Pam Marcum, (480) 332-5414</v>
      </c>
      <c r="O534" t="str">
        <f ca="1">IFERROR(__xludf.DUMMYFUNCTION("""COMPUTED_VALUE"""),"Alee Knoell, (619) 750-4833")</f>
        <v>Alee Knoell, (619) 750-4833</v>
      </c>
      <c r="P534" t="str">
        <f ca="1">IFERROR(__xludf.DUMMYFUNCTION("""COMPUTED_VALUE"""),"Pam")</f>
        <v>Pam</v>
      </c>
      <c r="Q534" t="str">
        <f ca="1">IFERROR(__xludf.DUMMYFUNCTION("""COMPUTED_VALUE"""),"All items in working order")</f>
        <v>All items in working order</v>
      </c>
      <c r="AE534" s="11"/>
      <c r="AF534" t="str">
        <v>Nikki.Dix@floridadep.gov</v>
      </c>
      <c r="AG534" s="18"/>
    </row>
    <row r="535" spans="1:33" ht="12.75">
      <c r="A535" s="10">
        <f ca="1">IFERROR(__xludf.DUMMYFUNCTION("""COMPUTED_VALUE"""),44027.2680191319)</f>
        <v>44027.268019131901</v>
      </c>
      <c r="B535" s="11" t="str">
        <f ca="1">IFERROR(__xludf.DUMMYFUNCTION("""COMPUTED_VALUE"""),"Jessica Lee")</f>
        <v>Jessica Lee</v>
      </c>
      <c r="C535" t="str">
        <f ca="1">IFERROR(__xludf.DUMMYFUNCTION("""COMPUTED_VALUE"""),"jessica.lee@floridadep.gov")</f>
        <v>jessica.lee@floridadep.gov</v>
      </c>
      <c r="D535" t="str">
        <f ca="1">IFERROR(__xludf.DUMMYFUNCTION("""COMPUTED_VALUE"""),"Research/Nikki")</f>
        <v>Research/Nikki</v>
      </c>
      <c r="E535" t="str">
        <f ca="1">IFERROR(__xludf.DUMMYFUNCTION("""COMPUTED_VALUE"""),"Guana River")</f>
        <v>Guana River</v>
      </c>
      <c r="F535" s="13">
        <f ca="1">IFERROR(__xludf.DUMMYFUNCTION("""COMPUTED_VALUE"""),0.27083333333212)</f>
        <v>0.27083333333212001</v>
      </c>
      <c r="G535" s="14">
        <f ca="1">IFERROR(__xludf.DUMMYFUNCTION("""COMPUTED_VALUE"""),44027)</f>
        <v>44027</v>
      </c>
      <c r="H535" t="str">
        <f ca="1">IFERROR(__xludf.DUMMYFUNCTION("""COMPUTED_VALUE"""),"Guana River")</f>
        <v>Guana River</v>
      </c>
      <c r="I535" s="15">
        <f ca="1">IFERROR(__xludf.DUMMYFUNCTION("""COMPUTED_VALUE"""),0.33333333333212)</f>
        <v>0.33333333333212001</v>
      </c>
      <c r="J535" s="16">
        <f ca="1">IFERROR(__xludf.DUMMYFUNCTION("""COMPUTED_VALUE"""),44027.34375)</f>
        <v>44027.34375</v>
      </c>
      <c r="K535" t="str">
        <f ca="1">IFERROR(__xludf.DUMMYFUNCTION("""COMPUTED_VALUE"""),"John boat FL5992rr")</f>
        <v>John boat FL5992rr</v>
      </c>
      <c r="M535" t="str">
        <f ca="1">IFERROR(__xludf.DUMMYFUNCTION("""COMPUTED_VALUE"""),"Ford F250 2017 (Moby Dix) - DEP0021578")</f>
        <v>Ford F250 2017 (Moby Dix) - DEP0021578</v>
      </c>
      <c r="N535" t="str">
        <f ca="1">IFERROR(__xludf.DUMMYFUNCTION("""COMPUTED_VALUE"""),"Shannon Dunnigan, (803) 727-5734")</f>
        <v>Shannon Dunnigan, (803) 727-5734</v>
      </c>
      <c r="P535" t="str">
        <f ca="1">IFERROR(__xludf.DUMMYFUNCTION("""COMPUTED_VALUE"""),"Jess")</f>
        <v>Jess</v>
      </c>
      <c r="Q535" t="str">
        <f ca="1">IFERROR(__xludf.DUMMYFUNCTION("""COMPUTED_VALUE"""),"All items in working order")</f>
        <v>All items in working order</v>
      </c>
      <c r="AE535" s="11"/>
      <c r="AF535" t="str">
        <v>Nikki.Dix@floridadep.gov</v>
      </c>
      <c r="AG535" s="18"/>
    </row>
    <row r="536" spans="1:33" ht="12.75">
      <c r="A536" s="10">
        <f ca="1">IFERROR(__xludf.DUMMYFUNCTION("""COMPUTED_VALUE"""),44027.2774188194)</f>
        <v>44027.277418819402</v>
      </c>
      <c r="B536" s="11" t="str">
        <f ca="1">IFERROR(__xludf.DUMMYFUNCTION("""COMPUTED_VALUE"""),"Pam Marcum")</f>
        <v>Pam Marcum</v>
      </c>
      <c r="C536" t="str">
        <f ca="1">IFERROR(__xludf.DUMMYFUNCTION("""COMPUTED_VALUE"""),"pamela.marcum@floridadep.gov")</f>
        <v>pamela.marcum@floridadep.gov</v>
      </c>
      <c r="D536" t="str">
        <f ca="1">IFERROR(__xludf.DUMMYFUNCTION("""COMPUTED_VALUE"""),"Research/Nikki")</f>
        <v>Research/Nikki</v>
      </c>
      <c r="E536" t="str">
        <f ca="1">IFERROR(__xludf.DUMMYFUNCTION("""COMPUTED_VALUE"""),"Butler")</f>
        <v>Butler</v>
      </c>
      <c r="F536" s="13">
        <f ca="1">IFERROR(__xludf.DUMMYFUNCTION("""COMPUTED_VALUE"""),0.27083333333212)</f>
        <v>0.27083333333212001</v>
      </c>
      <c r="G536" s="14">
        <f ca="1">IFERROR(__xludf.DUMMYFUNCTION("""COMPUTED_VALUE"""),44027)</f>
        <v>44027</v>
      </c>
      <c r="H536" t="str">
        <f ca="1">IFERROR(__xludf.DUMMYFUNCTION("""COMPUTED_VALUE"""),"Moses creek")</f>
        <v>Moses creek</v>
      </c>
      <c r="I536" s="15">
        <f ca="1">IFERROR(__xludf.DUMMYFUNCTION("""COMPUTED_VALUE"""),0.58333333333212)</f>
        <v>0.58333333333212001</v>
      </c>
      <c r="J536" s="16">
        <f ca="1">IFERROR(__xludf.DUMMYFUNCTION("""COMPUTED_VALUE"""),44027.625)</f>
        <v>44027.625</v>
      </c>
      <c r="K536" t="str">
        <f ca="1">IFERROR(__xludf.DUMMYFUNCTION("""COMPUTED_VALUE"""),"20ft Sea Ark FL5351SJ UNF 2015")</f>
        <v>20ft Sea Ark FL5351SJ UNF 2015</v>
      </c>
      <c r="M536" t="str">
        <f ca="1">IFERROR(__xludf.DUMMYFUNCTION("""COMPUTED_VALUE"""),"Ford F150 2015 (White) - DEP21448")</f>
        <v>Ford F150 2015 (White) - DEP21448</v>
      </c>
      <c r="N536" t="str">
        <f ca="1">IFERROR(__xludf.DUMMYFUNCTION("""COMPUTED_VALUE"""),"Pam Marcum, (480) 332-5414")</f>
        <v>Pam Marcum, (480) 332-5414</v>
      </c>
      <c r="O536" t="str">
        <f ca="1">IFERROR(__xludf.DUMMYFUNCTION("""COMPUTED_VALUE"""),"Alee Knoell, (619) 750-4833")</f>
        <v>Alee Knoell, (619) 750-4833</v>
      </c>
      <c r="P536" t="str">
        <f ca="1">IFERROR(__xludf.DUMMYFUNCTION("""COMPUTED_VALUE"""),"Pam")</f>
        <v>Pam</v>
      </c>
      <c r="Q536" t="str">
        <f ca="1">IFERROR(__xludf.DUMMYFUNCTION("""COMPUTED_VALUE"""),"All items in working order")</f>
        <v>All items in working order</v>
      </c>
      <c r="AE536" s="11"/>
      <c r="AF536" t="str">
        <v>Nikki.Dix@floridadep.gov</v>
      </c>
      <c r="AG536" s="18"/>
    </row>
    <row r="537" spans="1:33" ht="12.75">
      <c r="A537" s="10">
        <f ca="1">IFERROR(__xludf.DUMMYFUNCTION("""COMPUTED_VALUE"""),44027.7780759027)</f>
        <v>44027.778075902701</v>
      </c>
      <c r="B537" s="11" t="str">
        <f ca="1">IFERROR(__xludf.DUMMYFUNCTION("""COMPUTED_VALUE"""),"Jessica Lee")</f>
        <v>Jessica Lee</v>
      </c>
      <c r="C537" t="str">
        <f ca="1">IFERROR(__xludf.DUMMYFUNCTION("""COMPUTED_VALUE"""),"jessica.lee@floridadep.gov")</f>
        <v>jessica.lee@floridadep.gov</v>
      </c>
      <c r="D537" t="str">
        <f ca="1">IFERROR(__xludf.DUMMYFUNCTION("""COMPUTED_VALUE"""),"Research/Nikki")</f>
        <v>Research/Nikki</v>
      </c>
      <c r="E537" t="str">
        <f ca="1">IFERROR(__xludf.DUMMYFUNCTION("""COMPUTED_VALUE"""),"Guana River")</f>
        <v>Guana River</v>
      </c>
      <c r="F537" s="13">
        <f ca="1">IFERROR(__xludf.DUMMYFUNCTION("""COMPUTED_VALUE"""),0.27083333333212)</f>
        <v>0.27083333333212001</v>
      </c>
      <c r="G537" s="14">
        <f ca="1">IFERROR(__xludf.DUMMYFUNCTION("""COMPUTED_VALUE"""),44027)</f>
        <v>44027</v>
      </c>
      <c r="H537" t="str">
        <f ca="1">IFERROR(__xludf.DUMMYFUNCTION("""COMPUTED_VALUE"""),"Guana River")</f>
        <v>Guana River</v>
      </c>
      <c r="I537" s="15">
        <f ca="1">IFERROR(__xludf.DUMMYFUNCTION("""COMPUTED_VALUE"""),0.33333333333212)</f>
        <v>0.33333333333212001</v>
      </c>
      <c r="J537" s="16">
        <f ca="1">IFERROR(__xludf.DUMMYFUNCTION("""COMPUTED_VALUE"""),44027.34375)</f>
        <v>44027.34375</v>
      </c>
      <c r="K537" t="str">
        <f ca="1">IFERROR(__xludf.DUMMYFUNCTION("""COMPUTED_VALUE"""),"John boat FL5992rr")</f>
        <v>John boat FL5992rr</v>
      </c>
      <c r="M537" t="str">
        <f ca="1">IFERROR(__xludf.DUMMYFUNCTION("""COMPUTED_VALUE"""),"Ford F250 2017 (Moby Dix) - DEP0021578")</f>
        <v>Ford F250 2017 (Moby Dix) - DEP0021578</v>
      </c>
      <c r="N537" t="str">
        <f ca="1">IFERROR(__xludf.DUMMYFUNCTION("""COMPUTED_VALUE"""),"Shannon Dunnigan, (803) 727-5734")</f>
        <v>Shannon Dunnigan, (803) 727-5734</v>
      </c>
      <c r="P537" t="str">
        <f ca="1">IFERROR(__xludf.DUMMYFUNCTION("""COMPUTED_VALUE"""),"Jess")</f>
        <v>Jess</v>
      </c>
      <c r="Q537" t="str">
        <f ca="1">IFERROR(__xludf.DUMMYFUNCTION("""COMPUTED_VALUE"""),"All items in working order")</f>
        <v>All items in working order</v>
      </c>
      <c r="AE537" s="11"/>
      <c r="AF537" t="str">
        <v>Nikki.Dix@floridadep.gov</v>
      </c>
      <c r="AG537" s="18"/>
    </row>
    <row r="538" spans="1:33" ht="12.75">
      <c r="A538" s="10">
        <f ca="1">IFERROR(__xludf.DUMMYFUNCTION("""COMPUTED_VALUE"""),44033.3992424305)</f>
        <v>44033.399242430503</v>
      </c>
      <c r="B538" s="11" t="str">
        <f ca="1">IFERROR(__xludf.DUMMYFUNCTION("""COMPUTED_VALUE"""),"Silas Tanner")</f>
        <v>Silas Tanner</v>
      </c>
      <c r="C538" t="str">
        <f ca="1">IFERROR(__xludf.DUMMYFUNCTION("""COMPUTED_VALUE"""),"silas.tanner@dep.state.fl.us")</f>
        <v>silas.tanner@dep.state.fl.us</v>
      </c>
      <c r="D538" t="str">
        <f ca="1">IFERROR(__xludf.DUMMYFUNCTION("""COMPUTED_VALUE"""),"Research/Pam")</f>
        <v>Research/Pam</v>
      </c>
      <c r="E538" t="str">
        <f ca="1">IFERROR(__xludf.DUMMYFUNCTION("""COMPUTED_VALUE"""),"Vilano Landing")</f>
        <v>Vilano Landing</v>
      </c>
      <c r="F538" s="13">
        <f ca="1">IFERROR(__xludf.DUMMYFUNCTION("""COMPUTED_VALUE"""),0.413194444445252)</f>
        <v>0.413194444445252</v>
      </c>
      <c r="G538" s="14">
        <f ca="1">IFERROR(__xludf.DUMMYFUNCTION("""COMPUTED_VALUE"""),44033)</f>
        <v>44033</v>
      </c>
      <c r="H538" t="str">
        <f ca="1">IFERROR(__xludf.DUMMYFUNCTION("""COMPUTED_VALUE"""),"ICW SWMP sites")</f>
        <v>ICW SWMP sites</v>
      </c>
      <c r="I538" s="15">
        <f ca="1">IFERROR(__xludf.DUMMYFUNCTION("""COMPUTED_VALUE"""),0.58333333333212)</f>
        <v>0.58333333333212001</v>
      </c>
      <c r="J538" s="16">
        <f ca="1">IFERROR(__xludf.DUMMYFUNCTION("""COMPUTED_VALUE"""),44033.6875)</f>
        <v>44033.6875</v>
      </c>
      <c r="K538" t="str">
        <f ca="1">IFERROR(__xludf.DUMMYFUNCTION("""COMPUTED_VALUE"""),"23ft Skiff (Bertha) FL7972LJ DEP07613")</f>
        <v>23ft Skiff (Bertha) FL7972LJ DEP07613</v>
      </c>
      <c r="M538" t="str">
        <f ca="1">IFERROR(__xludf.DUMMYFUNCTION("""COMPUTED_VALUE"""),"Ford F250 2017 (Moby Dix) - DEP0021578")</f>
        <v>Ford F250 2017 (Moby Dix) - DEP0021578</v>
      </c>
      <c r="N538" t="str">
        <f ca="1">IFERROR(__xludf.DUMMYFUNCTION("""COMPUTED_VALUE"""),"Shannon Dunnigan, (803) 727-5734, Silas Tanner, (904) 483-8423")</f>
        <v>Shannon Dunnigan, (803) 727-5734, Silas Tanner, (904) 483-8423</v>
      </c>
      <c r="P538" t="str">
        <f ca="1">IFERROR(__xludf.DUMMYFUNCTION("""COMPUTED_VALUE"""),"Silas Tanner")</f>
        <v>Silas Tanner</v>
      </c>
      <c r="Q538" t="str">
        <f ca="1">IFERROR(__xludf.DUMMYFUNCTION("""COMPUTED_VALUE"""),"All items in working order")</f>
        <v>All items in working order</v>
      </c>
      <c r="AE538" s="11"/>
      <c r="AF538" t="str">
        <v>Pamela.Marcum@floridadep.gov</v>
      </c>
      <c r="AG538" s="18"/>
    </row>
    <row r="539" spans="1:33" ht="12.75">
      <c r="A539" s="10">
        <f ca="1">IFERROR(__xludf.DUMMYFUNCTION("""COMPUTED_VALUE"""),44034.5334864699)</f>
        <v>44034.533486469903</v>
      </c>
      <c r="B539" s="11" t="str">
        <f ca="1">IFERROR(__xludf.DUMMYFUNCTION("""COMPUTED_VALUE"""),"Pamela Marcum")</f>
        <v>Pamela Marcum</v>
      </c>
      <c r="C539" t="str">
        <f ca="1">IFERROR(__xludf.DUMMYFUNCTION("""COMPUTED_VALUE"""),"pamela.marcum@floridadep.gov")</f>
        <v>pamela.marcum@floridadep.gov</v>
      </c>
      <c r="D539" t="str">
        <f ca="1">IFERROR(__xludf.DUMMYFUNCTION("""COMPUTED_VALUE"""),"Research/Silas")</f>
        <v>Research/Silas</v>
      </c>
      <c r="E539" t="str">
        <f ca="1">IFERROR(__xludf.DUMMYFUNCTION("""COMPUTED_VALUE"""),"Usina")</f>
        <v>Usina</v>
      </c>
      <c r="F539" s="13">
        <f ca="1">IFERROR(__xludf.DUMMYFUNCTION("""COMPUTED_VALUE"""),0.52083333333212)</f>
        <v>0.52083333333212001</v>
      </c>
      <c r="G539" s="14">
        <f ca="1">IFERROR(__xludf.DUMMYFUNCTION("""COMPUTED_VALUE"""),44034)</f>
        <v>44034</v>
      </c>
      <c r="H539" t="str">
        <f ca="1">IFERROR(__xludf.DUMMYFUNCTION("""COMPUTED_VALUE"""),"Hat island")</f>
        <v>Hat island</v>
      </c>
      <c r="I539" s="15">
        <f ca="1">IFERROR(__xludf.DUMMYFUNCTION("""COMPUTED_VALUE"""),0.541666666667879)</f>
        <v>0.54166666666787899</v>
      </c>
      <c r="J539" s="16">
        <f ca="1">IFERROR(__xludf.DUMMYFUNCTION("""COMPUTED_VALUE"""),44034.5625)</f>
        <v>44034.5625</v>
      </c>
      <c r="K539" t="str">
        <f ca="1">IFERROR(__xludf.DUMMYFUNCTION("""COMPUTED_VALUE"""),"20ft Sea Ark FL5351SJ UNF 2015")</f>
        <v>20ft Sea Ark FL5351SJ UNF 2015</v>
      </c>
      <c r="M539" t="str">
        <f ca="1">IFERROR(__xludf.DUMMYFUNCTION("""COMPUTED_VALUE"""),"Ford F150 2015 (White) - DEP21448")</f>
        <v>Ford F150 2015 (White) - DEP21448</v>
      </c>
      <c r="N539" t="str">
        <f ca="1">IFERROR(__xludf.DUMMYFUNCTION("""COMPUTED_VALUE"""),"Pam Marcum, (480) 332-5414")</f>
        <v>Pam Marcum, (480) 332-5414</v>
      </c>
      <c r="O539" t="str">
        <f ca="1">IFERROR(__xludf.DUMMYFUNCTION("""COMPUTED_VALUE"""),"Alee Knoell, (619) 750-4833")</f>
        <v>Alee Knoell, (619) 750-4833</v>
      </c>
      <c r="P539" t="str">
        <f ca="1">IFERROR(__xludf.DUMMYFUNCTION("""COMPUTED_VALUE"""),"Pam")</f>
        <v>Pam</v>
      </c>
      <c r="Q539" t="str">
        <f ca="1">IFERROR(__xludf.DUMMYFUNCTION("""COMPUTED_VALUE"""),"All items in working order")</f>
        <v>All items in working order</v>
      </c>
      <c r="AE539" s="11"/>
      <c r="AF539" t="str">
        <v>Silas.Tanner@floridadep.gov</v>
      </c>
      <c r="AG539" s="18"/>
    </row>
    <row r="540" spans="1:33" ht="12.75">
      <c r="A540" s="10">
        <f ca="1">IFERROR(__xludf.DUMMYFUNCTION("""COMPUTED_VALUE"""),44039.4556611111)</f>
        <v>44039.455661111097</v>
      </c>
      <c r="B540" s="11" t="str">
        <f ca="1">IFERROR(__xludf.DUMMYFUNCTION("""COMPUTED_VALUE"""),"Test")</f>
        <v>Test</v>
      </c>
      <c r="C540" t="str">
        <f ca="1">IFERROR(__xludf.DUMMYFUNCTION("""COMPUTED_VALUE"""),"pamela.marcum@floridadep.gov")</f>
        <v>pamela.marcum@floridadep.gov</v>
      </c>
      <c r="D540" t="str">
        <f ca="1">IFERROR(__xludf.DUMMYFUNCTION("""COMPUTED_VALUE"""),"Pam Marcum")</f>
        <v>Pam Marcum</v>
      </c>
      <c r="E540" t="str">
        <f ca="1">IFERROR(__xludf.DUMMYFUNCTION("""COMPUTED_VALUE"""),"Test")</f>
        <v>Test</v>
      </c>
      <c r="F540" s="13">
        <f ca="1">IFERROR(__xludf.DUMMYFUNCTION("""COMPUTED_VALUE"""),0.0416666666678793)</f>
        <v>4.1666666667879299E-2</v>
      </c>
      <c r="G540" s="14">
        <f ca="1">IFERROR(__xludf.DUMMYFUNCTION("""COMPUTED_VALUE"""),44039)</f>
        <v>44039</v>
      </c>
      <c r="H540" t="str">
        <f ca="1">IFERROR(__xludf.DUMMYFUNCTION("""COMPUTED_VALUE"""),"Test")</f>
        <v>Test</v>
      </c>
      <c r="I540" s="15">
        <f ca="1">IFERROR(__xludf.DUMMYFUNCTION("""COMPUTED_VALUE"""),0.0416666666678793)</f>
        <v>4.1666666667879299E-2</v>
      </c>
      <c r="J540" s="16">
        <f ca="1">IFERROR(__xludf.DUMMYFUNCTION("""COMPUTED_VALUE"""),44039.0416666666)</f>
        <v>44039.041666666599</v>
      </c>
      <c r="K540" t="str">
        <f ca="1">IFERROR(__xludf.DUMMYFUNCTION("""COMPUTED_VALUE"""),"Test")</f>
        <v>Test</v>
      </c>
      <c r="M540" t="str">
        <f ca="1">IFERROR(__xludf.DUMMYFUNCTION("""COMPUTED_VALUE"""),"Test")</f>
        <v>Test</v>
      </c>
      <c r="N540" t="str">
        <f ca="1">IFERROR(__xludf.DUMMYFUNCTION("""COMPUTED_VALUE"""),"Test")</f>
        <v>Test</v>
      </c>
      <c r="O540" t="str">
        <f ca="1">IFERROR(__xludf.DUMMYFUNCTION("""COMPUTED_VALUE"""),"Test")</f>
        <v>Test</v>
      </c>
      <c r="P540" t="str">
        <f ca="1">IFERROR(__xludf.DUMMYFUNCTION("""COMPUTED_VALUE"""),"Test")</f>
        <v>Test</v>
      </c>
      <c r="Q540" t="str">
        <f ca="1">IFERROR(__xludf.DUMMYFUNCTION("""COMPUTED_VALUE"""),"All items in working order")</f>
        <v>All items in working order</v>
      </c>
      <c r="AE540" s="11"/>
      <c r="AF540" t="str">
        <v>Pamela.Marcum@floridadep.gov</v>
      </c>
      <c r="AG540" s="18"/>
    </row>
    <row r="541" spans="1:33" ht="12.75">
      <c r="A541" s="10">
        <f ca="1">IFERROR(__xludf.DUMMYFUNCTION("""COMPUTED_VALUE"""),44040.4095759953)</f>
        <v>44040.409575995298</v>
      </c>
      <c r="B541" s="11" t="str">
        <f ca="1">IFERROR(__xludf.DUMMYFUNCTION("""COMPUTED_VALUE"""),"Alexandria Knoell")</f>
        <v>Alexandria Knoell</v>
      </c>
      <c r="C541" t="str">
        <f ca="1">IFERROR(__xludf.DUMMYFUNCTION("""COMPUTED_VALUE"""),"alee.knoell@floridadep.gov")</f>
        <v>alee.knoell@floridadep.gov</v>
      </c>
      <c r="D541" t="str">
        <f ca="1">IFERROR(__xludf.DUMMYFUNCTION("""COMPUTED_VALUE"""),"Shannon Dunnigan")</f>
        <v>Shannon Dunnigan</v>
      </c>
      <c r="E541" t="str">
        <f ca="1">IFERROR(__xludf.DUMMYFUNCTION("""COMPUTED_VALUE"""),"Butler")</f>
        <v>Butler</v>
      </c>
      <c r="F541" s="13">
        <f ca="1">IFERROR(__xludf.DUMMYFUNCTION("""COMPUTED_VALUE"""),0.3125)</f>
        <v>0.3125</v>
      </c>
      <c r="G541" s="14">
        <f ca="1">IFERROR(__xludf.DUMMYFUNCTION("""COMPUTED_VALUE"""),44040)</f>
        <v>44040</v>
      </c>
      <c r="H541" t="str">
        <f ca="1">IFERROR(__xludf.DUMMYFUNCTION("""COMPUTED_VALUE"""),"Moses platforms ")</f>
        <v xml:space="preserve">Moses platforms </v>
      </c>
      <c r="I541" s="15">
        <f ca="1">IFERROR(__xludf.DUMMYFUNCTION("""COMPUTED_VALUE"""),0.58333333333212)</f>
        <v>0.58333333333212001</v>
      </c>
      <c r="J541" s="16">
        <f ca="1">IFERROR(__xludf.DUMMYFUNCTION("""COMPUTED_VALUE"""),44010.625)</f>
        <v>44010.625</v>
      </c>
      <c r="K541" t="str">
        <f ca="1">IFERROR(__xludf.DUMMYFUNCTION("""COMPUTED_VALUE"""),"20ft Sea Ark FL5351SJ UNF 2015")</f>
        <v>20ft Sea Ark FL5351SJ UNF 2015</v>
      </c>
      <c r="M541" t="str">
        <f ca="1">IFERROR(__xludf.DUMMYFUNCTION("""COMPUTED_VALUE"""),"Ford F150 2015 (White) - DEP21448")</f>
        <v>Ford F150 2015 (White) - DEP21448</v>
      </c>
      <c r="N541" t="str">
        <f ca="1">IFERROR(__xludf.DUMMYFUNCTION("""COMPUTED_VALUE"""),"Pam Marcum, (480) 332-5414")</f>
        <v>Pam Marcum, (480) 332-5414</v>
      </c>
      <c r="O541" t="str">
        <f ca="1">IFERROR(__xludf.DUMMYFUNCTION("""COMPUTED_VALUE"""),"Alee Knoell, (619) 750-4833")</f>
        <v>Alee Knoell, (619) 750-4833</v>
      </c>
      <c r="P541" t="str">
        <f ca="1">IFERROR(__xludf.DUMMYFUNCTION("""COMPUTED_VALUE"""),"Pam")</f>
        <v>Pam</v>
      </c>
      <c r="Q541" t="str">
        <f ca="1">IFERROR(__xludf.DUMMYFUNCTION("""COMPUTED_VALUE"""),"All items in working order")</f>
        <v>All items in working order</v>
      </c>
      <c r="AE541" s="11"/>
      <c r="AF541" t="str">
        <v>Shannon.Dunnigan@floridadep.gov</v>
      </c>
      <c r="AG541" s="18"/>
    </row>
    <row r="542" spans="1:33" ht="12.75">
      <c r="A542" s="10">
        <f ca="1">IFERROR(__xludf.DUMMYFUNCTION("""COMPUTED_VALUE"""),44040.9067579166)</f>
        <v>44040.9067579166</v>
      </c>
      <c r="B542" s="11" t="str">
        <f ca="1">IFERROR(__xludf.DUMMYFUNCTION("""COMPUTED_VALUE"""),"Alexandria Knoell")</f>
        <v>Alexandria Knoell</v>
      </c>
      <c r="C542" t="str">
        <f ca="1">IFERROR(__xludf.DUMMYFUNCTION("""COMPUTED_VALUE"""),"alee.knoell@floridadep.gov")</f>
        <v>alee.knoell@floridadep.gov</v>
      </c>
      <c r="D542" t="str">
        <f ca="1">IFERROR(__xludf.DUMMYFUNCTION("""COMPUTED_VALUE"""),"Shannon Dunnigan")</f>
        <v>Shannon Dunnigan</v>
      </c>
      <c r="E542" t="str">
        <f ca="1">IFERROR(__xludf.DUMMYFUNCTION("""COMPUTED_VALUE"""),"Butler")</f>
        <v>Butler</v>
      </c>
      <c r="F542" s="13">
        <f ca="1">IFERROR(__xludf.DUMMYFUNCTION("""COMPUTED_VALUE"""),0.3125)</f>
        <v>0.3125</v>
      </c>
      <c r="G542" s="14">
        <f ca="1">IFERROR(__xludf.DUMMYFUNCTION("""COMPUTED_VALUE"""),44040)</f>
        <v>44040</v>
      </c>
      <c r="H542" t="str">
        <f ca="1">IFERROR(__xludf.DUMMYFUNCTION("""COMPUTED_VALUE"""),"Moses platforms ")</f>
        <v xml:space="preserve">Moses platforms </v>
      </c>
      <c r="I542" s="15">
        <f ca="1">IFERROR(__xludf.DUMMYFUNCTION("""COMPUTED_VALUE"""),0.58333333333212)</f>
        <v>0.58333333333212001</v>
      </c>
      <c r="J542" s="16">
        <f ca="1">IFERROR(__xludf.DUMMYFUNCTION("""COMPUTED_VALUE"""),44010.625)</f>
        <v>44010.625</v>
      </c>
      <c r="K542" t="str">
        <f ca="1">IFERROR(__xludf.DUMMYFUNCTION("""COMPUTED_VALUE"""),"20ft Sea Ark FL5351SJ UNF 2015")</f>
        <v>20ft Sea Ark FL5351SJ UNF 2015</v>
      </c>
      <c r="M542" t="str">
        <f ca="1">IFERROR(__xludf.DUMMYFUNCTION("""COMPUTED_VALUE"""),"Ford F150 2015 (White) - DEP21448")</f>
        <v>Ford F150 2015 (White) - DEP21448</v>
      </c>
      <c r="N542" t="str">
        <f ca="1">IFERROR(__xludf.DUMMYFUNCTION("""COMPUTED_VALUE"""),"Pam Marcum, (480) 332-5414")</f>
        <v>Pam Marcum, (480) 332-5414</v>
      </c>
      <c r="O542" t="str">
        <f ca="1">IFERROR(__xludf.DUMMYFUNCTION("""COMPUTED_VALUE"""),"Alee Knoell, (619) 750-4833")</f>
        <v>Alee Knoell, (619) 750-4833</v>
      </c>
      <c r="P542" t="str">
        <f ca="1">IFERROR(__xludf.DUMMYFUNCTION("""COMPUTED_VALUE"""),"Pam")</f>
        <v>Pam</v>
      </c>
      <c r="Q542" t="str">
        <f ca="1">IFERROR(__xludf.DUMMYFUNCTION("""COMPUTED_VALUE"""),"All items in working order")</f>
        <v>All items in working order</v>
      </c>
      <c r="AE542" s="11"/>
      <c r="AF542" t="str">
        <v>Shannon.Dunnigan@floridadep.gov</v>
      </c>
      <c r="AG542" s="18"/>
    </row>
    <row r="543" spans="1:33" ht="12.75">
      <c r="A543" s="10">
        <f ca="1">IFERROR(__xludf.DUMMYFUNCTION("""COMPUTED_VALUE"""),44041.5361819907)</f>
        <v>44041.536181990698</v>
      </c>
      <c r="B543" s="11" t="str">
        <f ca="1">IFERROR(__xludf.DUMMYFUNCTION("""COMPUTED_VALUE"""),"Gabriela Canas")</f>
        <v>Gabriela Canas</v>
      </c>
      <c r="C543" t="str">
        <f ca="1">IFERROR(__xludf.DUMMYFUNCTION("""COMPUTED_VALUE"""),"n00836133@unf.edu")</f>
        <v>n00836133@unf.edu</v>
      </c>
      <c r="D543" t="str">
        <f ca="1">IFERROR(__xludf.DUMMYFUNCTION("""COMPUTED_VALUE"""),"Shannon Dunnigan")</f>
        <v>Shannon Dunnigan</v>
      </c>
      <c r="E543" t="str">
        <f ca="1">IFERROR(__xludf.DUMMYFUNCTION("""COMPUTED_VALUE"""),"Douglas crane")</f>
        <v>Douglas crane</v>
      </c>
      <c r="F543" s="13">
        <f ca="1">IFERROR(__xludf.DUMMYFUNCTION("""COMPUTED_VALUE"""),0.541666666667879)</f>
        <v>0.54166666666787899</v>
      </c>
      <c r="G543" s="14"/>
      <c r="H543" t="str">
        <f ca="1">IFERROR(__xludf.DUMMYFUNCTION("""COMPUTED_VALUE"""),"Wetfeet middle site")</f>
        <v>Wetfeet middle site</v>
      </c>
      <c r="I543" s="15">
        <f ca="1">IFERROR(__xludf.DUMMYFUNCTION("""COMPUTED_VALUE"""),0.666666666667879)</f>
        <v>0.66666666666787899</v>
      </c>
      <c r="J543" s="16">
        <f ca="1">IFERROR(__xludf.DUMMYFUNCTION("""COMPUTED_VALUE"""),44041.7083333333)</f>
        <v>44041.708333333299</v>
      </c>
      <c r="K543" t="str">
        <f ca="1">IFERROR(__xludf.DUMMYFUNCTION("""COMPUTED_VALUE"""),"20ft Sea Ark FL5351SJ UNF 2015")</f>
        <v>20ft Sea Ark FL5351SJ UNF 2015</v>
      </c>
      <c r="M543" t="str">
        <f ca="1">IFERROR(__xludf.DUMMYFUNCTION("""COMPUTED_VALUE"""),"Ford F150 2015 (White) - DEP21448")</f>
        <v>Ford F150 2015 (White) - DEP21448</v>
      </c>
      <c r="N543" t="str">
        <f ca="1">IFERROR(__xludf.DUMMYFUNCTION("""COMPUTED_VALUE"""),"Pam Marcum, (480) 332-5414")</f>
        <v>Pam Marcum, (480) 332-5414</v>
      </c>
      <c r="O543" t="str">
        <f ca="1">IFERROR(__xludf.DUMMYFUNCTION("""COMPUTED_VALUE"""),"Gabriela Canas, (904) 891-9743")</f>
        <v>Gabriela Canas, (904) 891-9743</v>
      </c>
      <c r="P543" t="str">
        <f ca="1">IFERROR(__xludf.DUMMYFUNCTION("""COMPUTED_VALUE"""),"Pam")</f>
        <v>Pam</v>
      </c>
      <c r="Q543" t="str">
        <f ca="1">IFERROR(__xludf.DUMMYFUNCTION("""COMPUTED_VALUE"""),"All items in working order")</f>
        <v>All items in working order</v>
      </c>
      <c r="AE543" s="11"/>
      <c r="AF543" t="str">
        <v>Shannon.Dunnigan@floridadep.gov</v>
      </c>
      <c r="AG543" s="18"/>
    </row>
    <row r="544" spans="1:33" ht="12.75">
      <c r="A544" s="10">
        <f ca="1">IFERROR(__xludf.DUMMYFUNCTION("""COMPUTED_VALUE"""),44042.4999424074)</f>
        <v>44042.499942407398</v>
      </c>
      <c r="B544" s="11" t="str">
        <f ca="1">IFERROR(__xludf.DUMMYFUNCTION("""COMPUTED_VALUE"""),"Pam Marcum")</f>
        <v>Pam Marcum</v>
      </c>
      <c r="C544" t="str">
        <f ca="1">IFERROR(__xludf.DUMMYFUNCTION("""COMPUTED_VALUE"""),"pamela.marcum@floridadep.gov")</f>
        <v>pamela.marcum@floridadep.gov</v>
      </c>
      <c r="D544" t="str">
        <f ca="1">IFERROR(__xludf.DUMMYFUNCTION("""COMPUTED_VALUE"""),"Shannon Dunnigan")</f>
        <v>Shannon Dunnigan</v>
      </c>
      <c r="E544" t="str">
        <f ca="1">IFERROR(__xludf.DUMMYFUNCTION("""COMPUTED_VALUE"""),"Faver-Dykes")</f>
        <v>Faver-Dykes</v>
      </c>
      <c r="F544" s="13">
        <f ca="1">IFERROR(__xludf.DUMMYFUNCTION("""COMPUTED_VALUE"""),0.40625)</f>
        <v>0.40625</v>
      </c>
      <c r="G544" s="14">
        <f ca="1">IFERROR(__xludf.DUMMYFUNCTION("""COMPUTED_VALUE"""),44042)</f>
        <v>44042</v>
      </c>
      <c r="H544" t="str">
        <f ca="1">IFERROR(__xludf.DUMMYFUNCTION("""COMPUTED_VALUE"""),"Pellicer transects- up-mid-low")</f>
        <v>Pellicer transects- up-mid-low</v>
      </c>
      <c r="I544" s="15">
        <f ca="1">IFERROR(__xludf.DUMMYFUNCTION("""COMPUTED_VALUE"""),0.625)</f>
        <v>0.625</v>
      </c>
      <c r="J544" s="16">
        <f ca="1">IFERROR(__xludf.DUMMYFUNCTION("""COMPUTED_VALUE"""),44042.6666666666)</f>
        <v>44042.666666666599</v>
      </c>
      <c r="K544" t="str">
        <f ca="1">IFERROR(__xludf.DUMMYFUNCTION("""COMPUTED_VALUE"""),"20ft Sea Ark FL5351SJ UNF 2015")</f>
        <v>20ft Sea Ark FL5351SJ UNF 2015</v>
      </c>
      <c r="M544" t="str">
        <f ca="1">IFERROR(__xludf.DUMMYFUNCTION("""COMPUTED_VALUE"""),"Ford F150 2015 (White) - DEP21448")</f>
        <v>Ford F150 2015 (White) - DEP21448</v>
      </c>
      <c r="N544" t="str">
        <f ca="1">IFERROR(__xludf.DUMMYFUNCTION("""COMPUTED_VALUE"""),"Pam Marcum, (480) 332-5414")</f>
        <v>Pam Marcum, (480) 332-5414</v>
      </c>
      <c r="O544" t="str">
        <f ca="1">IFERROR(__xludf.DUMMYFUNCTION("""COMPUTED_VALUE"""),"Alee Knoell, (619) 750-4833")</f>
        <v>Alee Knoell, (619) 750-4833</v>
      </c>
      <c r="P544" t="str">
        <f ca="1">IFERROR(__xludf.DUMMYFUNCTION("""COMPUTED_VALUE"""),"Pam")</f>
        <v>Pam</v>
      </c>
      <c r="Q544" t="str">
        <f ca="1">IFERROR(__xludf.DUMMYFUNCTION("""COMPUTED_VALUE"""),"All items in working order")</f>
        <v>All items in working order</v>
      </c>
      <c r="AE544" s="11"/>
      <c r="AF544" t="str">
        <v>Shannon.Dunnigan@floridadep.gov</v>
      </c>
      <c r="AG544" s="18"/>
    </row>
    <row r="545" spans="1:33" ht="12.75">
      <c r="A545" s="10">
        <f ca="1">IFERROR(__xludf.DUMMYFUNCTION("""COMPUTED_VALUE"""),44043.4094300694)</f>
        <v>44043.409430069398</v>
      </c>
      <c r="B545" s="11" t="str">
        <f ca="1">IFERROR(__xludf.DUMMYFUNCTION("""COMPUTED_VALUE"""),"Pam Marcum")</f>
        <v>Pam Marcum</v>
      </c>
      <c r="C545" t="str">
        <f ca="1">IFERROR(__xludf.DUMMYFUNCTION("""COMPUTED_VALUE"""),"pamela.marcum@floridadep.gov")</f>
        <v>pamela.marcum@floridadep.gov</v>
      </c>
      <c r="D545" t="str">
        <f ca="1">IFERROR(__xludf.DUMMYFUNCTION("""COMPUTED_VALUE"""),"Scott Eastman")</f>
        <v>Scott Eastman</v>
      </c>
      <c r="E545" t="str">
        <f ca="1">IFERROR(__xludf.DUMMYFUNCTION("""COMPUTED_VALUE"""),"Aunt kates")</f>
        <v>Aunt kates</v>
      </c>
      <c r="F545" s="13">
        <f ca="1">IFERROR(__xludf.DUMMYFUNCTION("""COMPUTED_VALUE"""),0.354166666667879)</f>
        <v>0.35416666666787899</v>
      </c>
      <c r="G545" s="14">
        <f ca="1">IFERROR(__xludf.DUMMYFUNCTION("""COMPUTED_VALUE"""),44043)</f>
        <v>44043</v>
      </c>
      <c r="H545" t="str">
        <f ca="1">IFERROR(__xludf.DUMMYFUNCTION("""COMPUTED_VALUE"""),"Salt run")</f>
        <v>Salt run</v>
      </c>
      <c r="I545" s="15">
        <f ca="1">IFERROR(__xludf.DUMMYFUNCTION("""COMPUTED_VALUE"""),0.42708333333212)</f>
        <v>0.42708333333212001</v>
      </c>
      <c r="J545" s="16">
        <f ca="1">IFERROR(__xludf.DUMMYFUNCTION("""COMPUTED_VALUE"""),44043.4375)</f>
        <v>44043.4375</v>
      </c>
      <c r="K545" t="str">
        <f ca="1">IFERROR(__xludf.DUMMYFUNCTION("""COMPUTED_VALUE"""),"20ft Sea Ark FL5351SJ UNF 2015")</f>
        <v>20ft Sea Ark FL5351SJ UNF 2015</v>
      </c>
      <c r="M545" t="str">
        <f ca="1">IFERROR(__xludf.DUMMYFUNCTION("""COMPUTED_VALUE"""),"Ford F150 2015 (White) - DEP21448")</f>
        <v>Ford F150 2015 (White) - DEP21448</v>
      </c>
      <c r="N545" t="str">
        <f ca="1">IFERROR(__xludf.DUMMYFUNCTION("""COMPUTED_VALUE"""),"Pam Marcum, (480) 332-5414")</f>
        <v>Pam Marcum, (480) 332-5414</v>
      </c>
      <c r="O545" t="str">
        <f ca="1">IFERROR(__xludf.DUMMYFUNCTION("""COMPUTED_VALUE"""),"Remo Mondazzi")</f>
        <v>Remo Mondazzi</v>
      </c>
      <c r="P545" t="str">
        <f ca="1">IFERROR(__xludf.DUMMYFUNCTION("""COMPUTED_VALUE"""),"Pam")</f>
        <v>Pam</v>
      </c>
      <c r="Q545" t="str">
        <f ca="1">IFERROR(__xludf.DUMMYFUNCTION("""COMPUTED_VALUE"""),"All items in working order")</f>
        <v>All items in working order</v>
      </c>
      <c r="AE545" s="11"/>
      <c r="AF545" t="str">
        <v>Scott.Eastman@floridadep.gov</v>
      </c>
      <c r="AG545" s="18"/>
    </row>
    <row r="546" spans="1:33" ht="12.75">
      <c r="A546" s="10">
        <f ca="1">IFERROR(__xludf.DUMMYFUNCTION("""COMPUTED_VALUE"""),44043.4499481944)</f>
        <v>44043.4499481944</v>
      </c>
      <c r="B546" s="11" t="str">
        <f ca="1">IFERROR(__xludf.DUMMYFUNCTION("""COMPUTED_VALUE"""),"Pam Marcum")</f>
        <v>Pam Marcum</v>
      </c>
      <c r="C546" t="str">
        <f ca="1">IFERROR(__xludf.DUMMYFUNCTION("""COMPUTED_VALUE"""),"pamela.marcum@floridadep.gov")</f>
        <v>pamela.marcum@floridadep.gov</v>
      </c>
      <c r="D546" t="str">
        <f ca="1">IFERROR(__xludf.DUMMYFUNCTION("""COMPUTED_VALUE"""),"Pam Marcum")</f>
        <v>Pam Marcum</v>
      </c>
      <c r="E546" t="str">
        <f ca="1">IFERROR(__xludf.DUMMYFUNCTION("""COMPUTED_VALUE"""),"Aunt Kates")</f>
        <v>Aunt Kates</v>
      </c>
      <c r="F546" s="13">
        <f ca="1">IFERROR(__xludf.DUMMYFUNCTION("""COMPUTED_VALUE"""),0.430555555554747)</f>
        <v>0.430555555554747</v>
      </c>
      <c r="G546" s="14">
        <f ca="1">IFERROR(__xludf.DUMMYFUNCTION("""COMPUTED_VALUE"""),44043)</f>
        <v>44043</v>
      </c>
      <c r="H546" t="str">
        <f ca="1">IFERROR(__xludf.DUMMYFUNCTION("""COMPUTED_VALUE"""),"Spat trees sa-fm-gr-tr")</f>
        <v>Spat trees sa-fm-gr-tr</v>
      </c>
      <c r="I546" s="15">
        <f ca="1">IFERROR(__xludf.DUMMYFUNCTION("""COMPUTED_VALUE"""),0.64583333333212)</f>
        <v>0.64583333333212001</v>
      </c>
      <c r="J546" s="16">
        <f ca="1">IFERROR(__xludf.DUMMYFUNCTION("""COMPUTED_VALUE"""),44043.6666666666)</f>
        <v>44043.666666666599</v>
      </c>
      <c r="K546" t="str">
        <f ca="1">IFERROR(__xludf.DUMMYFUNCTION("""COMPUTED_VALUE"""),"20ft Sea Ark FL5351SJ UNF 2015")</f>
        <v>20ft Sea Ark FL5351SJ UNF 2015</v>
      </c>
      <c r="M546" t="str">
        <f ca="1">IFERROR(__xludf.DUMMYFUNCTION("""COMPUTED_VALUE"""),"Ford F150 2015 (White) - DEP21448")</f>
        <v>Ford F150 2015 (White) - DEP21448</v>
      </c>
      <c r="N546" t="str">
        <f ca="1">IFERROR(__xludf.DUMMYFUNCTION("""COMPUTED_VALUE"""),"Remo Mondazzi")</f>
        <v>Remo Mondazzi</v>
      </c>
      <c r="O546" t="str">
        <f ca="1">IFERROR(__xludf.DUMMYFUNCTION("""COMPUTED_VALUE"""),"Alee Knoell, (619) 750-4833")</f>
        <v>Alee Knoell, (619) 750-4833</v>
      </c>
      <c r="P546" t="str">
        <f ca="1">IFERROR(__xludf.DUMMYFUNCTION("""COMPUTED_VALUE"""),"Remo")</f>
        <v>Remo</v>
      </c>
      <c r="Q546" t="str">
        <f ca="1">IFERROR(__xludf.DUMMYFUNCTION("""COMPUTED_VALUE"""),"All items in working order")</f>
        <v>All items in working order</v>
      </c>
      <c r="AE546" s="11"/>
      <c r="AF546" t="str">
        <v>Pamela.Marcum@floridadep.gov</v>
      </c>
      <c r="AG546" s="18"/>
    </row>
    <row r="547" spans="1:33" ht="12.75">
      <c r="A547" s="10">
        <f ca="1">IFERROR(__xludf.DUMMYFUNCTION("""COMPUTED_VALUE"""),44047.3828439236)</f>
        <v>44047.382843923602</v>
      </c>
      <c r="B547" s="11" t="str">
        <f ca="1">IFERROR(__xludf.DUMMYFUNCTION("""COMPUTED_VALUE"""),"Pamela Marcum")</f>
        <v>Pamela Marcum</v>
      </c>
      <c r="C547" t="str">
        <f ca="1">IFERROR(__xludf.DUMMYFUNCTION("""COMPUTED_VALUE"""),"pamela.marcum@floridadep.gov")</f>
        <v>pamela.marcum@floridadep.gov</v>
      </c>
      <c r="D547" t="str">
        <f ca="1">IFERROR(__xludf.DUMMYFUNCTION("""COMPUTED_VALUE"""),"Nikki Dix")</f>
        <v>Nikki Dix</v>
      </c>
      <c r="E547" t="str">
        <f ca="1">IFERROR(__xludf.DUMMYFUNCTION("""COMPUTED_VALUE"""),"Shore drive")</f>
        <v>Shore drive</v>
      </c>
      <c r="F547" s="13">
        <f ca="1">IFERROR(__xludf.DUMMYFUNCTION("""COMPUTED_VALUE"""),0.385416666667879)</f>
        <v>0.38541666666787899</v>
      </c>
      <c r="G547" s="14">
        <f ca="1">IFERROR(__xludf.DUMMYFUNCTION("""COMPUTED_VALUE"""),44047)</f>
        <v>44047</v>
      </c>
      <c r="H547" t="str">
        <f ca="1">IFERROR(__xludf.DUMMYFUNCTION("""COMPUTED_VALUE"""),"Gabbys creek")</f>
        <v>Gabbys creek</v>
      </c>
      <c r="I547" s="15">
        <f ca="1">IFERROR(__xludf.DUMMYFUNCTION("""COMPUTED_VALUE"""),0.479166666667879)</f>
        <v>0.47916666666787899</v>
      </c>
      <c r="J547" s="16">
        <f ca="1">IFERROR(__xludf.DUMMYFUNCTION("""COMPUTED_VALUE"""),44047.5)</f>
        <v>44047.5</v>
      </c>
      <c r="K547" t="str">
        <f ca="1">IFERROR(__xludf.DUMMYFUNCTION("""COMPUTED_VALUE"""),"Jon Boat 1 FL5992RR DEP154045")</f>
        <v>Jon Boat 1 FL5992RR DEP154045</v>
      </c>
      <c r="M547" t="str">
        <f ca="1">IFERROR(__xludf.DUMMYFUNCTION("""COMPUTED_VALUE"""),"Ford F150 2015 (White) - DEP21448")</f>
        <v>Ford F150 2015 (White) - DEP21448</v>
      </c>
      <c r="N547" t="str">
        <f ca="1">IFERROR(__xludf.DUMMYFUNCTION("""COMPUTED_VALUE"""),"Pam Marcum, (480) 332-5414")</f>
        <v>Pam Marcum, (480) 332-5414</v>
      </c>
      <c r="O547" t="str">
        <f ca="1">IFERROR(__xludf.DUMMYFUNCTION("""COMPUTED_VALUE"""),"Alee Knoell, (619) 750-4833")</f>
        <v>Alee Knoell, (619) 750-4833</v>
      </c>
      <c r="P547" t="str">
        <f ca="1">IFERROR(__xludf.DUMMYFUNCTION("""COMPUTED_VALUE"""),"Pam")</f>
        <v>Pam</v>
      </c>
      <c r="Q547" t="str">
        <f ca="1">IFERROR(__xludf.DUMMYFUNCTION("""COMPUTED_VALUE"""),"All items in working order")</f>
        <v>All items in working order</v>
      </c>
      <c r="AE547" s="11"/>
      <c r="AF547" t="str">
        <v>Nikki.Dix@floridadep.gov</v>
      </c>
      <c r="AG547" s="18"/>
    </row>
    <row r="548" spans="1:33" ht="12.75">
      <c r="A548" s="10">
        <f ca="1">IFERROR(__xludf.DUMMYFUNCTION("""COMPUTED_VALUE"""),44048.2847687268)</f>
        <v>44048.2847687268</v>
      </c>
      <c r="B548" s="11" t="str">
        <f ca="1">IFERROR(__xludf.DUMMYFUNCTION("""COMPUTED_VALUE"""),"Silas Tanner")</f>
        <v>Silas Tanner</v>
      </c>
      <c r="C548" t="str">
        <f ca="1">IFERROR(__xludf.DUMMYFUNCTION("""COMPUTED_VALUE"""),"silas.tanner@floridadep.gov")</f>
        <v>silas.tanner@floridadep.gov</v>
      </c>
      <c r="D548" t="str">
        <f ca="1">IFERROR(__xludf.DUMMYFUNCTION("""COMPUTED_VALUE"""),"Nikki Dix")</f>
        <v>Nikki Dix</v>
      </c>
      <c r="E548" t="str">
        <f ca="1">IFERROR(__xludf.DUMMYFUNCTION("""COMPUTED_VALUE"""),"Vilano Landing ")</f>
        <v xml:space="preserve">Vilano Landing </v>
      </c>
      <c r="F548" s="13">
        <f ca="1">IFERROR(__xludf.DUMMYFUNCTION("""COMPUTED_VALUE"""),0.33333333333212)</f>
        <v>0.33333333333212001</v>
      </c>
      <c r="G548" s="14">
        <f ca="1">IFERROR(__xludf.DUMMYFUNCTION("""COMPUTED_VALUE"""),44048)</f>
        <v>44048</v>
      </c>
      <c r="H548" t="str">
        <f ca="1">IFERROR(__xludf.DUMMYFUNCTION("""COMPUTED_VALUE"""),"ICW SWMP sites")</f>
        <v>ICW SWMP sites</v>
      </c>
      <c r="I548" s="15">
        <f ca="1">IFERROR(__xludf.DUMMYFUNCTION("""COMPUTED_VALUE"""),0.52083333333212)</f>
        <v>0.52083333333212001</v>
      </c>
      <c r="J548" s="16">
        <f ca="1">IFERROR(__xludf.DUMMYFUNCTION("""COMPUTED_VALUE"""),44048.53125)</f>
        <v>44048.53125</v>
      </c>
      <c r="K548" t="str">
        <f ca="1">IFERROR(__xludf.DUMMYFUNCTION("""COMPUTED_VALUE"""),"20ft Sea Ark FL5351SJ UNF 2015")</f>
        <v>20ft Sea Ark FL5351SJ UNF 2015</v>
      </c>
      <c r="M548" t="str">
        <f ca="1">IFERROR(__xludf.DUMMYFUNCTION("""COMPUTED_VALUE"""),"Ford F250 2017 (Moby Dix) - DEP0021578")</f>
        <v>Ford F250 2017 (Moby Dix) - DEP0021578</v>
      </c>
      <c r="N548" t="str">
        <f ca="1">IFERROR(__xludf.DUMMYFUNCTION("""COMPUTED_VALUE"""),"Shannon Dunnigan, (803) 727-5734, Silas Tanner, (904) 483-8423")</f>
        <v>Shannon Dunnigan, (803) 727-5734, Silas Tanner, (904) 483-8423</v>
      </c>
      <c r="O548" t="str">
        <f ca="1">IFERROR(__xludf.DUMMYFUNCTION("""COMPUTED_VALUE"""),"None")</f>
        <v>None</v>
      </c>
      <c r="P548" t="str">
        <f ca="1">IFERROR(__xludf.DUMMYFUNCTION("""COMPUTED_VALUE"""),"Silas Tanner")</f>
        <v>Silas Tanner</v>
      </c>
      <c r="Q548" t="str">
        <f ca="1">IFERROR(__xludf.DUMMYFUNCTION("""COMPUTED_VALUE"""),"All items in working order")</f>
        <v>All items in working order</v>
      </c>
      <c r="AE548" s="11"/>
      <c r="AF548" t="str">
        <v>Nikki.Dix@floridadep.gov</v>
      </c>
      <c r="AG548" s="18"/>
    </row>
    <row r="549" spans="1:33" ht="12.75">
      <c r="A549" s="10">
        <f ca="1">IFERROR(__xludf.DUMMYFUNCTION("""COMPUTED_VALUE"""),44050.3530449768)</f>
        <v>44050.3530449768</v>
      </c>
      <c r="B549" s="11" t="str">
        <f ca="1">IFERROR(__xludf.DUMMYFUNCTION("""COMPUTED_VALUE"""),"Pamela Marcum")</f>
        <v>Pamela Marcum</v>
      </c>
      <c r="C549" t="str">
        <f ca="1">IFERROR(__xludf.DUMMYFUNCTION("""COMPUTED_VALUE"""),"pamela.marcum@floridadep.gov")</f>
        <v>pamela.marcum@floridadep.gov</v>
      </c>
      <c r="D549" t="str">
        <f ca="1">IFERROR(__xludf.DUMMYFUNCTION("""COMPUTED_VALUE"""),"Nikki Dix")</f>
        <v>Nikki Dix</v>
      </c>
      <c r="E549" t="str">
        <f ca="1">IFERROR(__xludf.DUMMYFUNCTION("""COMPUTED_VALUE"""),"Faver-Dykes")</f>
        <v>Faver-Dykes</v>
      </c>
      <c r="F549" s="13">
        <f ca="1">IFERROR(__xludf.DUMMYFUNCTION("""COMPUTED_VALUE"""),0.354166666667879)</f>
        <v>0.35416666666787899</v>
      </c>
      <c r="G549" s="14">
        <f ca="1">IFERROR(__xludf.DUMMYFUNCTION("""COMPUTED_VALUE"""),44050)</f>
        <v>44050</v>
      </c>
      <c r="H549" t="str">
        <f ca="1">IFERROR(__xludf.DUMMYFUNCTION("""COMPUTED_VALUE"""),"Upper Pellicer Creek")</f>
        <v>Upper Pellicer Creek</v>
      </c>
      <c r="I549" s="15">
        <f ca="1">IFERROR(__xludf.DUMMYFUNCTION("""COMPUTED_VALUE"""),0.5)</f>
        <v>0.5</v>
      </c>
      <c r="J549" s="16">
        <f ca="1">IFERROR(__xludf.DUMMYFUNCTION("""COMPUTED_VALUE"""),44050.5416666666)</f>
        <v>44050.541666666599</v>
      </c>
      <c r="K549" t="str">
        <f ca="1">IFERROR(__xludf.DUMMYFUNCTION("""COMPUTED_VALUE"""),"23ft Skiff (Bertha) FL7972LJ DEP07613")</f>
        <v>23ft Skiff (Bertha) FL7972LJ DEP07613</v>
      </c>
      <c r="M549" t="str">
        <f ca="1">IFERROR(__xludf.DUMMYFUNCTION("""COMPUTED_VALUE"""),"Ford F150 2015 (White) - DEP21448")</f>
        <v>Ford F150 2015 (White) - DEP21448</v>
      </c>
      <c r="N549" t="str">
        <f ca="1">IFERROR(__xludf.DUMMYFUNCTION("""COMPUTED_VALUE"""),"Pam Marcum, (480) 332-5414")</f>
        <v>Pam Marcum, (480) 332-5414</v>
      </c>
      <c r="O549" t="str">
        <f ca="1">IFERROR(__xludf.DUMMYFUNCTION("""COMPUTED_VALUE"""),"Alee Knoell, (619) 750-4833")</f>
        <v>Alee Knoell, (619) 750-4833</v>
      </c>
      <c r="P549" t="str">
        <f ca="1">IFERROR(__xludf.DUMMYFUNCTION("""COMPUTED_VALUE"""),"Pam")</f>
        <v>Pam</v>
      </c>
      <c r="Q549" t="str">
        <f ca="1">IFERROR(__xludf.DUMMYFUNCTION("""COMPUTED_VALUE"""),"All items in working order")</f>
        <v>All items in working order</v>
      </c>
      <c r="AE549" s="11"/>
      <c r="AF549" t="str">
        <v>Nikki.Dix@floridadep.gov</v>
      </c>
      <c r="AG549" s="18"/>
    </row>
    <row r="550" spans="1:33" ht="12.75">
      <c r="A550" s="10">
        <f ca="1">IFERROR(__xludf.DUMMYFUNCTION("""COMPUTED_VALUE"""),44053.4000948263)</f>
        <v>44053.400094826298</v>
      </c>
      <c r="B550" s="11" t="str">
        <f ca="1">IFERROR(__xludf.DUMMYFUNCTION("""COMPUTED_VALUE"""),"Gabriela Canas")</f>
        <v>Gabriela Canas</v>
      </c>
      <c r="C550" t="str">
        <f ca="1">IFERROR(__xludf.DUMMYFUNCTION("""COMPUTED_VALUE"""),"n00836133@unf.edu")</f>
        <v>n00836133@unf.edu</v>
      </c>
      <c r="D550" t="str">
        <f ca="1">IFERROR(__xludf.DUMMYFUNCTION("""COMPUTED_VALUE"""),"Shannon Dunnigan")</f>
        <v>Shannon Dunnigan</v>
      </c>
      <c r="E550" t="str">
        <f ca="1">IFERROR(__xludf.DUMMYFUNCTION("""COMPUTED_VALUE"""),"Douglas crane")</f>
        <v>Douglas crane</v>
      </c>
      <c r="F550" s="13">
        <f ca="1">IFERROR(__xludf.DUMMYFUNCTION("""COMPUTED_VALUE"""),0.541666666667879)</f>
        <v>0.54166666666787899</v>
      </c>
      <c r="G550" s="14"/>
      <c r="H550" t="str">
        <f ca="1">IFERROR(__xludf.DUMMYFUNCTION("""COMPUTED_VALUE"""),"Wetfeet middle site")</f>
        <v>Wetfeet middle site</v>
      </c>
      <c r="I550" s="15">
        <f ca="1">IFERROR(__xludf.DUMMYFUNCTION("""COMPUTED_VALUE"""),0.666666666667879)</f>
        <v>0.66666666666787899</v>
      </c>
      <c r="J550" s="16">
        <f ca="1">IFERROR(__xludf.DUMMYFUNCTION("""COMPUTED_VALUE"""),44041.7083333333)</f>
        <v>44041.708333333299</v>
      </c>
      <c r="K550" t="str">
        <f ca="1">IFERROR(__xludf.DUMMYFUNCTION("""COMPUTED_VALUE"""),"20ft Sea Ark FL5351SJ UNF 2015")</f>
        <v>20ft Sea Ark FL5351SJ UNF 2015</v>
      </c>
      <c r="M550" t="str">
        <f ca="1">IFERROR(__xludf.DUMMYFUNCTION("""COMPUTED_VALUE"""),"Ford F150 2015 (White) - DEP21448")</f>
        <v>Ford F150 2015 (White) - DEP21448</v>
      </c>
      <c r="N550" t="str">
        <f ca="1">IFERROR(__xludf.DUMMYFUNCTION("""COMPUTED_VALUE"""),"Pam Marcum, (480) 332-5414")</f>
        <v>Pam Marcum, (480) 332-5414</v>
      </c>
      <c r="O550" t="str">
        <f ca="1">IFERROR(__xludf.DUMMYFUNCTION("""COMPUTED_VALUE"""),"Gabriela Canas, (904) 891-9743")</f>
        <v>Gabriela Canas, (904) 891-9743</v>
      </c>
      <c r="P550" t="str">
        <f ca="1">IFERROR(__xludf.DUMMYFUNCTION("""COMPUTED_VALUE"""),"Pam")</f>
        <v>Pam</v>
      </c>
      <c r="Q550" t="str">
        <f ca="1">IFERROR(__xludf.DUMMYFUNCTION("""COMPUTED_VALUE"""),"All items in working order")</f>
        <v>All items in working order</v>
      </c>
      <c r="AE550" s="11"/>
      <c r="AF550" t="str">
        <v>Shannon.Dunnigan@floridadep.gov</v>
      </c>
      <c r="AG550" s="18"/>
    </row>
    <row r="551" spans="1:33" ht="12.75">
      <c r="A551" s="10">
        <f ca="1">IFERROR(__xludf.DUMMYFUNCTION("""COMPUTED_VALUE"""),44055.2984251967)</f>
        <v>44055.298425196699</v>
      </c>
      <c r="B551" s="11" t="str">
        <f ca="1">IFERROR(__xludf.DUMMYFUNCTION("""COMPUTED_VALUE"""),"Pam Marcum")</f>
        <v>Pam Marcum</v>
      </c>
      <c r="C551" t="str">
        <f ca="1">IFERROR(__xludf.DUMMYFUNCTION("""COMPUTED_VALUE"""),"pamela.marcum@floridadep.gov")</f>
        <v>pamela.marcum@floridadep.gov</v>
      </c>
      <c r="D551" t="str">
        <f ca="1">IFERROR(__xludf.DUMMYFUNCTION("""COMPUTED_VALUE"""),"Shannon Dunnigan")</f>
        <v>Shannon Dunnigan</v>
      </c>
      <c r="E551" t="str">
        <f ca="1">IFERROR(__xludf.DUMMYFUNCTION("""COMPUTED_VALUE"""),"Shore Dr")</f>
        <v>Shore Dr</v>
      </c>
      <c r="F551" s="13">
        <f ca="1">IFERROR(__xludf.DUMMYFUNCTION("""COMPUTED_VALUE"""),0.30208333333212)</f>
        <v>0.30208333333212001</v>
      </c>
      <c r="G551" s="14">
        <f ca="1">IFERROR(__xludf.DUMMYFUNCTION("""COMPUTED_VALUE"""),44055)</f>
        <v>44055</v>
      </c>
      <c r="H551" t="str">
        <f ca="1">IFERROR(__xludf.DUMMYFUNCTION("""COMPUTED_VALUE"""),"Gabby's Creek")</f>
        <v>Gabby's Creek</v>
      </c>
      <c r="I551" s="15">
        <f ca="1">IFERROR(__xludf.DUMMYFUNCTION("""COMPUTED_VALUE"""),0.58333333333212)</f>
        <v>0.58333333333212001</v>
      </c>
      <c r="J551" s="16">
        <f ca="1">IFERROR(__xludf.DUMMYFUNCTION("""COMPUTED_VALUE"""),44055.6041666666)</f>
        <v>44055.604166666599</v>
      </c>
      <c r="K551" t="str">
        <f ca="1">IFERROR(__xludf.DUMMYFUNCTION("""COMPUTED_VALUE"""),"23ft Skiff (Bertha) FL7972LJ DEP07613")</f>
        <v>23ft Skiff (Bertha) FL7972LJ DEP07613</v>
      </c>
      <c r="M551" t="str">
        <f ca="1">IFERROR(__xludf.DUMMYFUNCTION("""COMPUTED_VALUE"""),"Ford F150 2015 (White) - DEP21448")</f>
        <v>Ford F150 2015 (White) - DEP21448</v>
      </c>
      <c r="N551" t="str">
        <f ca="1">IFERROR(__xludf.DUMMYFUNCTION("""COMPUTED_VALUE"""),"Pam Marcum, (480) 332-5414")</f>
        <v>Pam Marcum, (480) 332-5414</v>
      </c>
      <c r="O551" t="str">
        <f ca="1">IFERROR(__xludf.DUMMYFUNCTION("""COMPUTED_VALUE"""),"Gabriela Canas, (904) 891-9743, Catherine Selin")</f>
        <v>Gabriela Canas, (904) 891-9743, Catherine Selin</v>
      </c>
      <c r="P551" t="str">
        <f ca="1">IFERROR(__xludf.DUMMYFUNCTION("""COMPUTED_VALUE"""),"Pam")</f>
        <v>Pam</v>
      </c>
      <c r="Q551" t="str">
        <f ca="1">IFERROR(__xludf.DUMMYFUNCTION("""COMPUTED_VALUE"""),"All items in working order")</f>
        <v>All items in working order</v>
      </c>
      <c r="AE551" s="11"/>
      <c r="AF551" t="str">
        <v>Shannon.Dunnigan@floridadep.gov</v>
      </c>
      <c r="AG551" s="18"/>
    </row>
    <row r="552" spans="1:33" ht="12.75">
      <c r="A552" s="10">
        <f ca="1">IFERROR(__xludf.DUMMYFUNCTION("""COMPUTED_VALUE"""),44056.3599490625)</f>
        <v>44056.359949062498</v>
      </c>
      <c r="B552" s="11" t="str">
        <f ca="1">IFERROR(__xludf.DUMMYFUNCTION("""COMPUTED_VALUE"""),"Pam Marcum")</f>
        <v>Pam Marcum</v>
      </c>
      <c r="C552" t="str">
        <f ca="1">IFERROR(__xludf.DUMMYFUNCTION("""COMPUTED_VALUE"""),"pamela.marcum@floridadep.gov")</f>
        <v>pamela.marcum@floridadep.gov</v>
      </c>
      <c r="D552" t="str">
        <f ca="1">IFERROR(__xludf.DUMMYFUNCTION("""COMPUTED_VALUE"""),"Shannon Dunnigan")</f>
        <v>Shannon Dunnigan</v>
      </c>
      <c r="E552" t="str">
        <f ca="1">IFERROR(__xludf.DUMMYFUNCTION("""COMPUTED_VALUE"""),"Shore Dr")</f>
        <v>Shore Dr</v>
      </c>
      <c r="F552" s="13">
        <f ca="1">IFERROR(__xludf.DUMMYFUNCTION("""COMPUTED_VALUE"""),0.30208333333212)</f>
        <v>0.30208333333212001</v>
      </c>
      <c r="G552" s="14">
        <f ca="1">IFERROR(__xludf.DUMMYFUNCTION("""COMPUTED_VALUE"""),44056)</f>
        <v>44056</v>
      </c>
      <c r="H552" t="str">
        <f ca="1">IFERROR(__xludf.DUMMYFUNCTION("""COMPUTED_VALUE"""),"Gabbys Creek")</f>
        <v>Gabbys Creek</v>
      </c>
      <c r="I552" s="15">
        <f ca="1">IFERROR(__xludf.DUMMYFUNCTION("""COMPUTED_VALUE"""),0.666666666667879)</f>
        <v>0.66666666666787899</v>
      </c>
      <c r="J552" s="16">
        <f ca="1">IFERROR(__xludf.DUMMYFUNCTION("""COMPUTED_VALUE"""),44056.6875)</f>
        <v>44056.6875</v>
      </c>
      <c r="K552" t="str">
        <f ca="1">IFERROR(__xludf.DUMMYFUNCTION("""COMPUTED_VALUE"""),"Jon Boat 1 FL5992RR DEP154045")</f>
        <v>Jon Boat 1 FL5992RR DEP154045</v>
      </c>
      <c r="M552" t="str">
        <f ca="1">IFERROR(__xludf.DUMMYFUNCTION("""COMPUTED_VALUE"""),"Ford F150 2008 (SWMP Thing) - DEP18041")</f>
        <v>Ford F150 2008 (SWMP Thing) - DEP18041</v>
      </c>
      <c r="N552" t="str">
        <f ca="1">IFERROR(__xludf.DUMMYFUNCTION("""COMPUTED_VALUE"""),"Pam Marcum, (480) 332-5414")</f>
        <v>Pam Marcum, (480) 332-5414</v>
      </c>
      <c r="O552" t="str">
        <f ca="1">IFERROR(__xludf.DUMMYFUNCTION("""COMPUTED_VALUE"""),"Cat Selin, Erin Tice")</f>
        <v>Cat Selin, Erin Tice</v>
      </c>
      <c r="P552" t="str">
        <f ca="1">IFERROR(__xludf.DUMMYFUNCTION("""COMPUTED_VALUE"""),"Pam")</f>
        <v>Pam</v>
      </c>
      <c r="Q552" t="str">
        <f ca="1">IFERROR(__xludf.DUMMYFUNCTION("""COMPUTED_VALUE"""),"All items in working order")</f>
        <v>All items in working order</v>
      </c>
      <c r="AE552" s="11"/>
      <c r="AF552" t="str">
        <v>Shannon.Dunnigan@floridadep.gov</v>
      </c>
      <c r="AG552" s="18"/>
    </row>
    <row r="553" spans="1:33" ht="12.75">
      <c r="A553" s="10">
        <f ca="1">IFERROR(__xludf.DUMMYFUNCTION("""COMPUTED_VALUE"""),44056.3613481828)</f>
        <v>44056.3613481828</v>
      </c>
      <c r="B553" s="11" t="str">
        <f ca="1">IFERROR(__xludf.DUMMYFUNCTION("""COMPUTED_VALUE"""),"Pam Marcum")</f>
        <v>Pam Marcum</v>
      </c>
      <c r="C553" t="str">
        <f ca="1">IFERROR(__xludf.DUMMYFUNCTION("""COMPUTED_VALUE"""),"pamela.marcum@floridadep.gov")</f>
        <v>pamela.marcum@floridadep.gov</v>
      </c>
      <c r="D553" t="str">
        <f ca="1">IFERROR(__xludf.DUMMYFUNCTION("""COMPUTED_VALUE"""),"Shannon Dunnigan")</f>
        <v>Shannon Dunnigan</v>
      </c>
      <c r="E553" t="str">
        <f ca="1">IFERROR(__xludf.DUMMYFUNCTION("""COMPUTED_VALUE"""),"Shore Dr")</f>
        <v>Shore Dr</v>
      </c>
      <c r="F553" s="13">
        <f ca="1">IFERROR(__xludf.DUMMYFUNCTION("""COMPUTED_VALUE"""),0.30208333333212)</f>
        <v>0.30208333333212001</v>
      </c>
      <c r="G553" s="14">
        <f ca="1">IFERROR(__xludf.DUMMYFUNCTION("""COMPUTED_VALUE"""),44056)</f>
        <v>44056</v>
      </c>
      <c r="H553" t="str">
        <f ca="1">IFERROR(__xludf.DUMMYFUNCTION("""COMPUTED_VALUE"""),"Gabbys Creek")</f>
        <v>Gabbys Creek</v>
      </c>
      <c r="I553" s="15">
        <f ca="1">IFERROR(__xludf.DUMMYFUNCTION("""COMPUTED_VALUE"""),0.666666666667879)</f>
        <v>0.66666666666787899</v>
      </c>
      <c r="J553" s="16">
        <f ca="1">IFERROR(__xludf.DUMMYFUNCTION("""COMPUTED_VALUE"""),44056.6875)</f>
        <v>44056.6875</v>
      </c>
      <c r="K553" t="str">
        <f ca="1">IFERROR(__xludf.DUMMYFUNCTION("""COMPUTED_VALUE"""),"23ft Skiff (Bertha) FL7972LJ DEP07613")</f>
        <v>23ft Skiff (Bertha) FL7972LJ DEP07613</v>
      </c>
      <c r="M553" t="str">
        <f ca="1">IFERROR(__xludf.DUMMYFUNCTION("""COMPUTED_VALUE"""),"Ford F150 2015 (White) - DEP21448")</f>
        <v>Ford F150 2015 (White) - DEP21448</v>
      </c>
      <c r="N553" t="str">
        <f ca="1">IFERROR(__xludf.DUMMYFUNCTION("""COMPUTED_VALUE"""),"Remo Mondazzi")</f>
        <v>Remo Mondazzi</v>
      </c>
      <c r="O553" t="str">
        <f ca="1">IFERROR(__xludf.DUMMYFUNCTION("""COMPUTED_VALUE"""),"Gabriela Canas, (904) 891-9743, Alee Knoell, (619) 750-4833")</f>
        <v>Gabriela Canas, (904) 891-9743, Alee Knoell, (619) 750-4833</v>
      </c>
      <c r="P553" t="str">
        <f ca="1">IFERROR(__xludf.DUMMYFUNCTION("""COMPUTED_VALUE"""),"Remo")</f>
        <v>Remo</v>
      </c>
      <c r="Q553" t="str">
        <f ca="1">IFERROR(__xludf.DUMMYFUNCTION("""COMPUTED_VALUE"""),"All items in working order")</f>
        <v>All items in working order</v>
      </c>
      <c r="AE553" s="11"/>
      <c r="AF553" t="str">
        <v>Shannon.Dunnigan@floridadep.gov</v>
      </c>
      <c r="AG553" s="18"/>
    </row>
    <row r="554" spans="1:33" ht="12.75">
      <c r="A554" s="10">
        <f ca="1">IFERROR(__xludf.DUMMYFUNCTION("""COMPUTED_VALUE"""),44060.3374825578)</f>
        <v>44060.337482557799</v>
      </c>
      <c r="B554" s="11" t="str">
        <f ca="1">IFERROR(__xludf.DUMMYFUNCTION("""COMPUTED_VALUE"""),"Pam Marcum")</f>
        <v>Pam Marcum</v>
      </c>
      <c r="C554" t="str">
        <f ca="1">IFERROR(__xludf.DUMMYFUNCTION("""COMPUTED_VALUE"""),"pamela.marcum@floridadep.gov")</f>
        <v>pamela.marcum@floridadep.gov</v>
      </c>
      <c r="D554" t="str">
        <f ca="1">IFERROR(__xludf.DUMMYFUNCTION("""COMPUTED_VALUE"""),"Nikki Dix")</f>
        <v>Nikki Dix</v>
      </c>
      <c r="E554" t="str">
        <f ca="1">IFERROR(__xludf.DUMMYFUNCTION("""COMPUTED_VALUE"""),"Shore Dr")</f>
        <v>Shore Dr</v>
      </c>
      <c r="F554" s="13">
        <f ca="1">IFERROR(__xludf.DUMMYFUNCTION("""COMPUTED_VALUE"""),0.3125)</f>
        <v>0.3125</v>
      </c>
      <c r="G554" s="14">
        <f ca="1">IFERROR(__xludf.DUMMYFUNCTION("""COMPUTED_VALUE"""),44060)</f>
        <v>44060</v>
      </c>
      <c r="H554" t="str">
        <f ca="1">IFERROR(__xludf.DUMMYFUNCTION("""COMPUTED_VALUE"""),"Gabbys creek")</f>
        <v>Gabbys creek</v>
      </c>
      <c r="I554" s="15">
        <f ca="1">IFERROR(__xludf.DUMMYFUNCTION("""COMPUTED_VALUE"""),0.58333333333212)</f>
        <v>0.58333333333212001</v>
      </c>
      <c r="J554" s="16">
        <f ca="1">IFERROR(__xludf.DUMMYFUNCTION("""COMPUTED_VALUE"""),44060.625)</f>
        <v>44060.625</v>
      </c>
      <c r="K554" t="str">
        <f ca="1">IFERROR(__xludf.DUMMYFUNCTION("""COMPUTED_VALUE"""),"23ft Skiff (Bertha) FL7972LJ DEP07613")</f>
        <v>23ft Skiff (Bertha) FL7972LJ DEP07613</v>
      </c>
      <c r="M554" t="str">
        <f ca="1">IFERROR(__xludf.DUMMYFUNCTION("""COMPUTED_VALUE"""),"Ford F150 2015 (White) - DEP21448")</f>
        <v>Ford F150 2015 (White) - DEP21448</v>
      </c>
      <c r="N554" t="str">
        <f ca="1">IFERROR(__xludf.DUMMYFUNCTION("""COMPUTED_VALUE"""),"Pam Marcum, (480) 332-5414")</f>
        <v>Pam Marcum, (480) 332-5414</v>
      </c>
      <c r="O554" t="str">
        <f ca="1">IFERROR(__xludf.DUMMYFUNCTION("""COMPUTED_VALUE"""),"Ches, Sam, Adam, Nicole, Phil")</f>
        <v>Ches, Sam, Adam, Nicole, Phil</v>
      </c>
      <c r="P554" t="str">
        <f ca="1">IFERROR(__xludf.DUMMYFUNCTION("""COMPUTED_VALUE"""),"Pam")</f>
        <v>Pam</v>
      </c>
      <c r="Q554" t="str">
        <f ca="1">IFERROR(__xludf.DUMMYFUNCTION("""COMPUTED_VALUE"""),"All items in working order")</f>
        <v>All items in working order</v>
      </c>
      <c r="AE554" s="11"/>
      <c r="AF554" t="str">
        <v>Nikki.Dix@floridadep.gov</v>
      </c>
      <c r="AG554" s="18"/>
    </row>
    <row r="555" spans="1:33" ht="12.75">
      <c r="A555" s="10">
        <f ca="1">IFERROR(__xludf.DUMMYFUNCTION("""COMPUTED_VALUE"""),44060.3385952083)</f>
        <v>44060.338595208297</v>
      </c>
      <c r="B555" s="11" t="str">
        <f ca="1">IFERROR(__xludf.DUMMYFUNCTION("""COMPUTED_VALUE"""),"Gabby Canas")</f>
        <v>Gabby Canas</v>
      </c>
      <c r="C555" t="str">
        <f ca="1">IFERROR(__xludf.DUMMYFUNCTION("""COMPUTED_VALUE"""),"gabby.canas@floridadep.gov")</f>
        <v>gabby.canas@floridadep.gov</v>
      </c>
      <c r="D555" t="str">
        <f ca="1">IFERROR(__xludf.DUMMYFUNCTION("""COMPUTED_VALUE"""),"Nikki Dix")</f>
        <v>Nikki Dix</v>
      </c>
      <c r="E555" t="str">
        <f ca="1">IFERROR(__xludf.DUMMYFUNCTION("""COMPUTED_VALUE"""),"Shore Dr")</f>
        <v>Shore Dr</v>
      </c>
      <c r="F555" s="13">
        <f ca="1">IFERROR(__xludf.DUMMYFUNCTION("""COMPUTED_VALUE"""),0.3125)</f>
        <v>0.3125</v>
      </c>
      <c r="G555" s="14">
        <f ca="1">IFERROR(__xludf.DUMMYFUNCTION("""COMPUTED_VALUE"""),44060)</f>
        <v>44060</v>
      </c>
      <c r="H555" t="str">
        <f ca="1">IFERROR(__xludf.DUMMYFUNCTION("""COMPUTED_VALUE"""),"Gabbys creek")</f>
        <v>Gabbys creek</v>
      </c>
      <c r="I555" s="15">
        <f ca="1">IFERROR(__xludf.DUMMYFUNCTION("""COMPUTED_VALUE"""),0.58333333333212)</f>
        <v>0.58333333333212001</v>
      </c>
      <c r="J555" s="16">
        <f ca="1">IFERROR(__xludf.DUMMYFUNCTION("""COMPUTED_VALUE"""),44060.625)</f>
        <v>44060.625</v>
      </c>
      <c r="K555" t="str">
        <f ca="1">IFERROR(__xludf.DUMMYFUNCTION("""COMPUTED_VALUE"""),"20ft Sea Ark FL5351SJ UNF 2015")</f>
        <v>20ft Sea Ark FL5351SJ UNF 2015</v>
      </c>
      <c r="M555" t="str">
        <f ca="1">IFERROR(__xludf.DUMMYFUNCTION("""COMPUTED_VALUE"""),"Ford F250 2017 (Moby Dix) - DEP0021578")</f>
        <v>Ford F250 2017 (Moby Dix) - DEP0021578</v>
      </c>
      <c r="N555" t="str">
        <f ca="1">IFERROR(__xludf.DUMMYFUNCTION("""COMPUTED_VALUE"""),"Gabby Canas")</f>
        <v>Gabby Canas</v>
      </c>
      <c r="O555" t="str">
        <f ca="1">IFERROR(__xludf.DUMMYFUNCTION("""COMPUTED_VALUE"""),"Demir")</f>
        <v>Demir</v>
      </c>
      <c r="P555" t="str">
        <f ca="1">IFERROR(__xludf.DUMMYFUNCTION("""COMPUTED_VALUE"""),"Gabby")</f>
        <v>Gabby</v>
      </c>
      <c r="Q555" t="str">
        <f ca="1">IFERROR(__xludf.DUMMYFUNCTION("""COMPUTED_VALUE"""),"All items in working order")</f>
        <v>All items in working order</v>
      </c>
      <c r="AE555" s="11"/>
      <c r="AF555" t="str">
        <v>Nikki.Dix@floridadep.gov</v>
      </c>
      <c r="AG555" s="18"/>
    </row>
    <row r="556" spans="1:33" ht="12.75">
      <c r="A556" s="10">
        <f ca="1">IFERROR(__xludf.DUMMYFUNCTION("""COMPUTED_VALUE"""),44060.36530228)</f>
        <v>44060.365302279999</v>
      </c>
      <c r="B556" s="11" t="str">
        <f ca="1">IFERROR(__xludf.DUMMYFUNCTION("""COMPUTED_VALUE"""),"Jessica Lee")</f>
        <v>Jessica Lee</v>
      </c>
      <c r="C556" t="str">
        <f ca="1">IFERROR(__xludf.DUMMYFUNCTION("""COMPUTED_VALUE"""),"jessica.lee@floridadep.gov")</f>
        <v>jessica.lee@floridadep.gov</v>
      </c>
      <c r="D556" t="str">
        <f ca="1">IFERROR(__xludf.DUMMYFUNCTION("""COMPUTED_VALUE"""),"Nikki Dix")</f>
        <v>Nikki Dix</v>
      </c>
      <c r="E556" t="str">
        <f ca="1">IFERROR(__xludf.DUMMYFUNCTION("""COMPUTED_VALUE"""),"Guana")</f>
        <v>Guana</v>
      </c>
      <c r="F556" s="13">
        <f ca="1">IFERROR(__xludf.DUMMYFUNCTION("""COMPUTED_VALUE"""),0.409722222222626)</f>
        <v>0.409722222222626</v>
      </c>
      <c r="G556" s="14">
        <f ca="1">IFERROR(__xludf.DUMMYFUNCTION("""COMPUTED_VALUE"""),44060)</f>
        <v>44060</v>
      </c>
      <c r="H556" t="str">
        <f ca="1">IFERROR(__xludf.DUMMYFUNCTION("""COMPUTED_VALUE"""),"Guana River")</f>
        <v>Guana River</v>
      </c>
      <c r="I556" s="15">
        <f ca="1">IFERROR(__xludf.DUMMYFUNCTION("""COMPUTED_VALUE"""),0.4375)</f>
        <v>0.4375</v>
      </c>
      <c r="J556" s="16">
        <f ca="1">IFERROR(__xludf.DUMMYFUNCTION("""COMPUTED_VALUE"""),44060.4513888888)</f>
        <v>44060.451388888803</v>
      </c>
      <c r="K556" t="str">
        <f ca="1">IFERROR(__xludf.DUMMYFUNCTION("""COMPUTED_VALUE"""),"Jon Boat 2 FL4480RJ DEP152154")</f>
        <v>Jon Boat 2 FL4480RJ DEP152154</v>
      </c>
      <c r="M556" t="str">
        <f ca="1">IFERROR(__xludf.DUMMYFUNCTION("""COMPUTED_VALUE"""),"Ford F150 2008 (SWMP Thing) - DEP18041")</f>
        <v>Ford F150 2008 (SWMP Thing) - DEP18041</v>
      </c>
      <c r="N556" t="str">
        <f ca="1">IFERROR(__xludf.DUMMYFUNCTION("""COMPUTED_VALUE"""),"Jimmy Tomazinis, (904) 547-0094")</f>
        <v>Jimmy Tomazinis, (904) 547-0094</v>
      </c>
      <c r="O556" t="str">
        <f ca="1">IFERROR(__xludf.DUMMYFUNCTION("""COMPUTED_VALUE"""),"Jess")</f>
        <v>Jess</v>
      </c>
      <c r="P556" t="str">
        <f ca="1">IFERROR(__xludf.DUMMYFUNCTION("""COMPUTED_VALUE"""),"Jess")</f>
        <v>Jess</v>
      </c>
      <c r="Q556" t="str">
        <f ca="1">IFERROR(__xludf.DUMMYFUNCTION("""COMPUTED_VALUE"""),"All items in working order")</f>
        <v>All items in working order</v>
      </c>
      <c r="AE556" s="11"/>
      <c r="AF556" t="str">
        <v>Nikki.Dix@floridadep.gov</v>
      </c>
      <c r="AG556" s="18"/>
    </row>
    <row r="557" spans="1:33" ht="12.75">
      <c r="A557" s="10">
        <f ca="1">IFERROR(__xludf.DUMMYFUNCTION("""COMPUTED_VALUE"""),44061.3448520023)</f>
        <v>44061.344852002301</v>
      </c>
      <c r="B557" s="11" t="str">
        <f ca="1">IFERROR(__xludf.DUMMYFUNCTION("""COMPUTED_VALUE"""),"Pam Marcum")</f>
        <v>Pam Marcum</v>
      </c>
      <c r="C557" t="str">
        <f ca="1">IFERROR(__xludf.DUMMYFUNCTION("""COMPUTED_VALUE"""),"pamela.marcum@floridadep.gov")</f>
        <v>pamela.marcum@floridadep.gov</v>
      </c>
      <c r="D557" t="str">
        <f ca="1">IFERROR(__xludf.DUMMYFUNCTION("""COMPUTED_VALUE"""),"Silas Tanner")</f>
        <v>Silas Tanner</v>
      </c>
      <c r="E557" t="str">
        <f ca="1">IFERROR(__xludf.DUMMYFUNCTION("""COMPUTED_VALUE"""),"Vilano")</f>
        <v>Vilano</v>
      </c>
      <c r="F557" s="13">
        <f ca="1">IFERROR(__xludf.DUMMYFUNCTION("""COMPUTED_VALUE"""),0.34375)</f>
        <v>0.34375</v>
      </c>
      <c r="G557" s="14">
        <f ca="1">IFERROR(__xludf.DUMMYFUNCTION("""COMPUTED_VALUE"""),44061)</f>
        <v>44061</v>
      </c>
      <c r="H557" t="str">
        <f ca="1">IFERROR(__xludf.DUMMYFUNCTION("""COMPUTED_VALUE"""),"Nutrient Run")</f>
        <v>Nutrient Run</v>
      </c>
      <c r="I557" s="15">
        <f ca="1">IFERROR(__xludf.DUMMYFUNCTION("""COMPUTED_VALUE"""),0.541666666667879)</f>
        <v>0.54166666666787899</v>
      </c>
      <c r="J557" s="16">
        <f ca="1">IFERROR(__xludf.DUMMYFUNCTION("""COMPUTED_VALUE"""),44061.5625)</f>
        <v>44061.5625</v>
      </c>
      <c r="K557" t="str">
        <f ca="1">IFERROR(__xludf.DUMMYFUNCTION("""COMPUTED_VALUE"""),"23ft Skiff (Bertha) FL7972LJ DEP07613")</f>
        <v>23ft Skiff (Bertha) FL7972LJ DEP07613</v>
      </c>
      <c r="M557" t="str">
        <f ca="1">IFERROR(__xludf.DUMMYFUNCTION("""COMPUTED_VALUE"""),"Ford F150 2015 (White) - DEP21448")</f>
        <v>Ford F150 2015 (White) - DEP21448</v>
      </c>
      <c r="N557" t="str">
        <f ca="1">IFERROR(__xludf.DUMMYFUNCTION("""COMPUTED_VALUE"""),"Pam Marcum, (480) 332-5414")</f>
        <v>Pam Marcum, (480) 332-5414</v>
      </c>
      <c r="O557" t="str">
        <f ca="1">IFERROR(__xludf.DUMMYFUNCTION("""COMPUTED_VALUE"""),"Alee Knoell, (619) 750-4833")</f>
        <v>Alee Knoell, (619) 750-4833</v>
      </c>
      <c r="P557" t="str">
        <f ca="1">IFERROR(__xludf.DUMMYFUNCTION("""COMPUTED_VALUE"""),"Pam")</f>
        <v>Pam</v>
      </c>
      <c r="Q557" t="str">
        <f ca="1">IFERROR(__xludf.DUMMYFUNCTION("""COMPUTED_VALUE"""),"All items in working order")</f>
        <v>All items in working order</v>
      </c>
      <c r="AE557" s="11"/>
      <c r="AF557" t="str">
        <v>Silas.Tanner@floridadep.gov</v>
      </c>
      <c r="AG557" s="18"/>
    </row>
    <row r="558" spans="1:33" ht="12.75">
      <c r="A558" s="10">
        <f ca="1">IFERROR(__xludf.DUMMYFUNCTION("""COMPUTED_VALUE"""),44062.4236901273)</f>
        <v>44062.423690127303</v>
      </c>
      <c r="B558" s="11" t="str">
        <f ca="1">IFERROR(__xludf.DUMMYFUNCTION("""COMPUTED_VALUE"""),"Jessica Lee")</f>
        <v>Jessica Lee</v>
      </c>
      <c r="C558" t="str">
        <f ca="1">IFERROR(__xludf.DUMMYFUNCTION("""COMPUTED_VALUE"""),"jessica.lee@floridadep.gov")</f>
        <v>jessica.lee@floridadep.gov</v>
      </c>
      <c r="D558" t="str">
        <f ca="1">IFERROR(__xludf.DUMMYFUNCTION("""COMPUTED_VALUE"""),"Nikki Dix")</f>
        <v>Nikki Dix</v>
      </c>
      <c r="E558" t="str">
        <f ca="1">IFERROR(__xludf.DUMMYFUNCTION("""COMPUTED_VALUE"""),"Guana")</f>
        <v>Guana</v>
      </c>
      <c r="F558" s="13">
        <f ca="1">IFERROR(__xludf.DUMMYFUNCTION("""COMPUTED_VALUE"""),0.409722222222626)</f>
        <v>0.409722222222626</v>
      </c>
      <c r="G558" s="14">
        <f ca="1">IFERROR(__xludf.DUMMYFUNCTION("""COMPUTED_VALUE"""),44060)</f>
        <v>44060</v>
      </c>
      <c r="H558" t="str">
        <f ca="1">IFERROR(__xludf.DUMMYFUNCTION("""COMPUTED_VALUE"""),"Guana River")</f>
        <v>Guana River</v>
      </c>
      <c r="I558" s="15">
        <f ca="1">IFERROR(__xludf.DUMMYFUNCTION("""COMPUTED_VALUE"""),0.4375)</f>
        <v>0.4375</v>
      </c>
      <c r="J558" s="16">
        <f ca="1">IFERROR(__xludf.DUMMYFUNCTION("""COMPUTED_VALUE"""),44060.4513888888)</f>
        <v>44060.451388888803</v>
      </c>
      <c r="K558" t="str">
        <f ca="1">IFERROR(__xludf.DUMMYFUNCTION("""COMPUTED_VALUE"""),"Jon Boat 2 FL4480RJ DEP152154")</f>
        <v>Jon Boat 2 FL4480RJ DEP152154</v>
      </c>
      <c r="M558" t="str">
        <f ca="1">IFERROR(__xludf.DUMMYFUNCTION("""COMPUTED_VALUE"""),"Ford F150 2008 (SWMP Thing) - DEP18041")</f>
        <v>Ford F150 2008 (SWMP Thing) - DEP18041</v>
      </c>
      <c r="N558" t="str">
        <f ca="1">IFERROR(__xludf.DUMMYFUNCTION("""COMPUTED_VALUE"""),"Jimmy Tomazinis, (904) 547-0094")</f>
        <v>Jimmy Tomazinis, (904) 547-0094</v>
      </c>
      <c r="O558" t="str">
        <f ca="1">IFERROR(__xludf.DUMMYFUNCTION("""COMPUTED_VALUE"""),"Jess")</f>
        <v>Jess</v>
      </c>
      <c r="P558" t="str">
        <f ca="1">IFERROR(__xludf.DUMMYFUNCTION("""COMPUTED_VALUE"""),"Jess")</f>
        <v>Jess</v>
      </c>
      <c r="Q558" t="str">
        <f ca="1">IFERROR(__xludf.DUMMYFUNCTION("""COMPUTED_VALUE"""),"All items in working order")</f>
        <v>All items in working order</v>
      </c>
      <c r="AE558" s="11"/>
      <c r="AF558" t="str">
        <v>Nikki.Dix@floridadep.gov</v>
      </c>
      <c r="AG558" s="18"/>
    </row>
    <row r="559" spans="1:33" ht="12.75">
      <c r="A559" s="10">
        <f ca="1">IFERROR(__xludf.DUMMYFUNCTION("""COMPUTED_VALUE"""),44062.4252870254)</f>
        <v>44062.425287025399</v>
      </c>
      <c r="B559" s="11" t="str">
        <f ca="1">IFERROR(__xludf.DUMMYFUNCTION("""COMPUTED_VALUE"""),"Jessica Lee")</f>
        <v>Jessica Lee</v>
      </c>
      <c r="C559" t="str">
        <f ca="1">IFERROR(__xludf.DUMMYFUNCTION("""COMPUTED_VALUE"""),"jessica.lee@floridadep.gov")</f>
        <v>jessica.lee@floridadep.gov</v>
      </c>
      <c r="D559" t="str">
        <f ca="1">IFERROR(__xludf.DUMMYFUNCTION("""COMPUTED_VALUE"""),"Nikki Dix")</f>
        <v>Nikki Dix</v>
      </c>
      <c r="E559" t="str">
        <f ca="1">IFERROR(__xludf.DUMMYFUNCTION("""COMPUTED_VALUE"""),"Guana River")</f>
        <v>Guana River</v>
      </c>
      <c r="F559" s="13">
        <f ca="1">IFERROR(__xludf.DUMMYFUNCTION("""COMPUTED_VALUE"""),0.4375)</f>
        <v>0.4375</v>
      </c>
      <c r="G559" s="14">
        <f ca="1">IFERROR(__xludf.DUMMYFUNCTION("""COMPUTED_VALUE"""),44060)</f>
        <v>44060</v>
      </c>
      <c r="H559" t="str">
        <f ca="1">IFERROR(__xludf.DUMMYFUNCTION("""COMPUTED_VALUE"""),"Guana River")</f>
        <v>Guana River</v>
      </c>
      <c r="I559" s="15">
        <f ca="1">IFERROR(__xludf.DUMMYFUNCTION("""COMPUTED_VALUE"""),0.479166666667879)</f>
        <v>0.47916666666787899</v>
      </c>
      <c r="J559" s="16">
        <f ca="1">IFERROR(__xludf.DUMMYFUNCTION("""COMPUTED_VALUE"""),44060.4895833333)</f>
        <v>44060.489583333299</v>
      </c>
      <c r="K559" t="str">
        <f ca="1">IFERROR(__xludf.DUMMYFUNCTION("""COMPUTED_VALUE"""),"Jon Boat 2 FL4480RJ DEP152154")</f>
        <v>Jon Boat 2 FL4480RJ DEP152154</v>
      </c>
      <c r="M559" t="str">
        <f ca="1">IFERROR(__xludf.DUMMYFUNCTION("""COMPUTED_VALUE"""),"Ford F150 2008 (SWMP Thing) - DEP18041")</f>
        <v>Ford F150 2008 (SWMP Thing) - DEP18041</v>
      </c>
      <c r="N559" t="str">
        <f ca="1">IFERROR(__xludf.DUMMYFUNCTION("""COMPUTED_VALUE"""),"Jimmy Tomazinis, (904) 547-0094")</f>
        <v>Jimmy Tomazinis, (904) 547-0094</v>
      </c>
      <c r="O559" t="str">
        <f ca="1">IFERROR(__xludf.DUMMYFUNCTION("""COMPUTED_VALUE"""),"No")</f>
        <v>No</v>
      </c>
      <c r="P559" t="str">
        <f ca="1">IFERROR(__xludf.DUMMYFUNCTION("""COMPUTED_VALUE"""),"Jess")</f>
        <v>Jess</v>
      </c>
      <c r="Q559" t="str">
        <f ca="1">IFERROR(__xludf.DUMMYFUNCTION("""COMPUTED_VALUE"""),"All items in working order")</f>
        <v>All items in working order</v>
      </c>
      <c r="AE559" s="11"/>
      <c r="AF559" t="str">
        <v>Nikki.Dix@floridadep.gov</v>
      </c>
      <c r="AG559" s="18"/>
    </row>
    <row r="560" spans="1:33" ht="12.75">
      <c r="A560" s="10">
        <f ca="1">IFERROR(__xludf.DUMMYFUNCTION("""COMPUTED_VALUE"""),44063.3717593634)</f>
        <v>44063.371759363399</v>
      </c>
      <c r="B560" s="11" t="str">
        <f ca="1">IFERROR(__xludf.DUMMYFUNCTION("""COMPUTED_VALUE"""),"Jessica Lee")</f>
        <v>Jessica Lee</v>
      </c>
      <c r="C560" t="str">
        <f ca="1">IFERROR(__xludf.DUMMYFUNCTION("""COMPUTED_VALUE"""),"jessica.lee@floridadep.gov")</f>
        <v>jessica.lee@floridadep.gov</v>
      </c>
      <c r="D560" t="str">
        <f ca="1">IFERROR(__xludf.DUMMYFUNCTION("""COMPUTED_VALUE"""),"Nikki Dix")</f>
        <v>Nikki Dix</v>
      </c>
      <c r="E560" t="str">
        <f ca="1">IFERROR(__xludf.DUMMYFUNCTION("""COMPUTED_VALUE"""),"Guana River")</f>
        <v>Guana River</v>
      </c>
      <c r="F560" s="13">
        <f ca="1">IFERROR(__xludf.DUMMYFUNCTION("""COMPUTED_VALUE"""),0.4375)</f>
        <v>0.4375</v>
      </c>
      <c r="G560" s="14">
        <f ca="1">IFERROR(__xludf.DUMMYFUNCTION("""COMPUTED_VALUE"""),44060)</f>
        <v>44060</v>
      </c>
      <c r="H560" t="str">
        <f ca="1">IFERROR(__xludf.DUMMYFUNCTION("""COMPUTED_VALUE"""),"Guana River")</f>
        <v>Guana River</v>
      </c>
      <c r="I560" s="15">
        <f ca="1">IFERROR(__xludf.DUMMYFUNCTION("""COMPUTED_VALUE"""),0.479166666667879)</f>
        <v>0.47916666666787899</v>
      </c>
      <c r="J560" s="16">
        <f ca="1">IFERROR(__xludf.DUMMYFUNCTION("""COMPUTED_VALUE"""),44060.4895833333)</f>
        <v>44060.489583333299</v>
      </c>
      <c r="K560" t="str">
        <f ca="1">IFERROR(__xludf.DUMMYFUNCTION("""COMPUTED_VALUE"""),"Jon Boat 2 FL4480RJ DEP152154")</f>
        <v>Jon Boat 2 FL4480RJ DEP152154</v>
      </c>
      <c r="M560" t="str">
        <f ca="1">IFERROR(__xludf.DUMMYFUNCTION("""COMPUTED_VALUE"""),"Ford F150 2008 (SWMP Thing) - DEP18041")</f>
        <v>Ford F150 2008 (SWMP Thing) - DEP18041</v>
      </c>
      <c r="N560" t="str">
        <f ca="1">IFERROR(__xludf.DUMMYFUNCTION("""COMPUTED_VALUE"""),"Jimmy Tomazinis, (904) 547-0094")</f>
        <v>Jimmy Tomazinis, (904) 547-0094</v>
      </c>
      <c r="O560" t="str">
        <f ca="1">IFERROR(__xludf.DUMMYFUNCTION("""COMPUTED_VALUE"""),"No")</f>
        <v>No</v>
      </c>
      <c r="P560" t="str">
        <f ca="1">IFERROR(__xludf.DUMMYFUNCTION("""COMPUTED_VALUE"""),"Jess")</f>
        <v>Jess</v>
      </c>
      <c r="Q560" t="str">
        <f ca="1">IFERROR(__xludf.DUMMYFUNCTION("""COMPUTED_VALUE"""),"All items in working order")</f>
        <v>All items in working order</v>
      </c>
      <c r="AE560" s="11"/>
      <c r="AF560" t="str">
        <v>Nikki.Dix@floridadep.gov</v>
      </c>
      <c r="AG560" s="18"/>
    </row>
    <row r="561" spans="1:33" ht="12.75">
      <c r="A561" s="10">
        <f ca="1">IFERROR(__xludf.DUMMYFUNCTION("""COMPUTED_VALUE"""),44067.4455590162)</f>
        <v>44067.445559016203</v>
      </c>
      <c r="B561" s="11" t="str">
        <f ca="1">IFERROR(__xludf.DUMMYFUNCTION("""COMPUTED_VALUE"""),"Shannon Dunnigan")</f>
        <v>Shannon Dunnigan</v>
      </c>
      <c r="C561" t="str">
        <f ca="1">IFERROR(__xludf.DUMMYFUNCTION("""COMPUTED_VALUE"""),"shannon.dunnigan@floridadep.gov")</f>
        <v>shannon.dunnigan@floridadep.gov</v>
      </c>
      <c r="D561" t="str">
        <f ca="1">IFERROR(__xludf.DUMMYFUNCTION("""COMPUTED_VALUE"""),"Nikki Dix")</f>
        <v>Nikki Dix</v>
      </c>
      <c r="E561" t="str">
        <f ca="1">IFERROR(__xludf.DUMMYFUNCTION("""COMPUTED_VALUE"""),"Aunt Kates")</f>
        <v>Aunt Kates</v>
      </c>
      <c r="F561" s="13">
        <f ca="1">IFERROR(__xludf.DUMMYFUNCTION("""COMPUTED_VALUE"""),0.447916666667879)</f>
        <v>0.44791666666787899</v>
      </c>
      <c r="G561" s="14">
        <f ca="1">IFERROR(__xludf.DUMMYFUNCTION("""COMPUTED_VALUE"""),44067)</f>
        <v>44067</v>
      </c>
      <c r="H561" t="str">
        <f ca="1">IFERROR(__xludf.DUMMYFUNCTION("""COMPUTED_VALUE"""),"Pine island platforms")</f>
        <v>Pine island platforms</v>
      </c>
      <c r="I561" s="15">
        <f ca="1">IFERROR(__xludf.DUMMYFUNCTION("""COMPUTED_VALUE"""),0.625)</f>
        <v>0.625</v>
      </c>
      <c r="J561" s="16">
        <f ca="1">IFERROR(__xludf.DUMMYFUNCTION("""COMPUTED_VALUE"""),44067.6666666666)</f>
        <v>44067.666666666599</v>
      </c>
      <c r="K561" t="str">
        <f ca="1">IFERROR(__xludf.DUMMYFUNCTION("""COMPUTED_VALUE"""),"20ft Sea Ark FL5351SJ UNF 2015")</f>
        <v>20ft Sea Ark FL5351SJ UNF 2015</v>
      </c>
      <c r="M561" t="str">
        <f ca="1">IFERROR(__xludf.DUMMYFUNCTION("""COMPUTED_VALUE"""),"Ford F250 2017 (Moby Dix) - DEP0021578")</f>
        <v>Ford F250 2017 (Moby Dix) - DEP0021578</v>
      </c>
      <c r="N561" t="str">
        <f ca="1">IFERROR(__xludf.DUMMYFUNCTION("""COMPUTED_VALUE"""),"Shannon Dunnigan, (803) 727-5734, Silas Tanner, (904) 483-8423")</f>
        <v>Shannon Dunnigan, (803) 727-5734, Silas Tanner, (904) 483-8423</v>
      </c>
      <c r="O561" t="str">
        <f ca="1">IFERROR(__xludf.DUMMYFUNCTION("""COMPUTED_VALUE"""),"No one")</f>
        <v>No one</v>
      </c>
      <c r="P561" t="str">
        <f ca="1">IFERROR(__xludf.DUMMYFUNCTION("""COMPUTED_VALUE"""),"Silas")</f>
        <v>Silas</v>
      </c>
      <c r="Q561" t="str">
        <f ca="1">IFERROR(__xludf.DUMMYFUNCTION("""COMPUTED_VALUE"""),"All items in working order")</f>
        <v>All items in working order</v>
      </c>
      <c r="AE561" s="11"/>
      <c r="AF561" t="str">
        <v>Nikki.Dix@floridadep.gov</v>
      </c>
      <c r="AG561" s="18"/>
    </row>
    <row r="562" spans="1:33" ht="12.75">
      <c r="A562" s="10">
        <f ca="1">IFERROR(__xludf.DUMMYFUNCTION("""COMPUTED_VALUE"""),44069.4196958796)</f>
        <v>44069.419695879602</v>
      </c>
      <c r="B562" s="11" t="str">
        <f ca="1">IFERROR(__xludf.DUMMYFUNCTION("""COMPUTED_VALUE"""),"Silas Tanner")</f>
        <v>Silas Tanner</v>
      </c>
      <c r="C562" t="str">
        <f ca="1">IFERROR(__xludf.DUMMYFUNCTION("""COMPUTED_VALUE"""),"silas.tanner@floridadep.gov")</f>
        <v>silas.tanner@floridadep.gov</v>
      </c>
      <c r="D562" t="str">
        <f ca="1">IFERROR(__xludf.DUMMYFUNCTION("""COMPUTED_VALUE"""),"Nikki Dix")</f>
        <v>Nikki Dix</v>
      </c>
      <c r="E562" t="str">
        <f ca="1">IFERROR(__xludf.DUMMYFUNCTION("""COMPUTED_VALUE"""),"Vilano Landing")</f>
        <v>Vilano Landing</v>
      </c>
      <c r="F562" s="13">
        <f ca="1">IFERROR(__xludf.DUMMYFUNCTION("""COMPUTED_VALUE"""),0.447916666667879)</f>
        <v>0.44791666666787899</v>
      </c>
      <c r="G562" s="14">
        <f ca="1">IFERROR(__xludf.DUMMYFUNCTION("""COMPUTED_VALUE"""),44069)</f>
        <v>44069</v>
      </c>
      <c r="H562" t="str">
        <f ca="1">IFERROR(__xludf.DUMMYFUNCTION("""COMPUTED_VALUE"""),"ICW SWMP Sites")</f>
        <v>ICW SWMP Sites</v>
      </c>
      <c r="I562" s="15">
        <f ca="1">IFERROR(__xludf.DUMMYFUNCTION("""COMPUTED_VALUE"""),0.6875)</f>
        <v>0.6875</v>
      </c>
      <c r="J562" s="16">
        <f ca="1">IFERROR(__xludf.DUMMYFUNCTION("""COMPUTED_VALUE"""),44069.6979166666)</f>
        <v>44069.697916666599</v>
      </c>
      <c r="K562" t="str">
        <f ca="1">IFERROR(__xludf.DUMMYFUNCTION("""COMPUTED_VALUE"""),"20ft Sea Ark FL5351SJ UNF 2015")</f>
        <v>20ft Sea Ark FL5351SJ UNF 2015</v>
      </c>
      <c r="M562" t="str">
        <f ca="1">IFERROR(__xludf.DUMMYFUNCTION("""COMPUTED_VALUE"""),"Ford F250 2017 (Moby Dix) - DEP0021578")</f>
        <v>Ford F250 2017 (Moby Dix) - DEP0021578</v>
      </c>
      <c r="N562" t="str">
        <f ca="1">IFERROR(__xludf.DUMMYFUNCTION("""COMPUTED_VALUE"""),"Shannon Dunnigan, (803) 727-5734, Silas Tanner, (904) 483-8423")</f>
        <v>Shannon Dunnigan, (803) 727-5734, Silas Tanner, (904) 483-8423</v>
      </c>
      <c r="O562" t="str">
        <f ca="1">IFERROR(__xludf.DUMMYFUNCTION("""COMPUTED_VALUE"""),"none")</f>
        <v>none</v>
      </c>
      <c r="P562" t="str">
        <f ca="1">IFERROR(__xludf.DUMMYFUNCTION("""COMPUTED_VALUE"""),"Silas Tanner")</f>
        <v>Silas Tanner</v>
      </c>
      <c r="Q562" t="str">
        <f ca="1">IFERROR(__xludf.DUMMYFUNCTION("""COMPUTED_VALUE"""),"All items in working order")</f>
        <v>All items in working order</v>
      </c>
      <c r="AE562" s="11"/>
      <c r="AF562" t="str">
        <v>Nikki.Dix@floridadep.gov</v>
      </c>
      <c r="AG562" s="18"/>
    </row>
    <row r="563" spans="1:33" ht="12.75">
      <c r="A563" s="10">
        <f ca="1">IFERROR(__xludf.DUMMYFUNCTION("""COMPUTED_VALUE"""),44070.3840481828)</f>
        <v>44070.384048182801</v>
      </c>
      <c r="B563" s="11" t="str">
        <f ca="1">IFERROR(__xludf.DUMMYFUNCTION("""COMPUTED_VALUE"""),"Silas Tanner")</f>
        <v>Silas Tanner</v>
      </c>
      <c r="C563" t="str">
        <f ca="1">IFERROR(__xludf.DUMMYFUNCTION("""COMPUTED_VALUE"""),"silas.tanner@floridadep.gov")</f>
        <v>silas.tanner@floridadep.gov</v>
      </c>
      <c r="D563" t="str">
        <f ca="1">IFERROR(__xludf.DUMMYFUNCTION("""COMPUTED_VALUE"""),"Nikki Dix")</f>
        <v>Nikki Dix</v>
      </c>
      <c r="E563" t="str">
        <f ca="1">IFERROR(__xludf.DUMMYFUNCTION("""COMPUTED_VALUE"""),"Faver Dykes SP")</f>
        <v>Faver Dykes SP</v>
      </c>
      <c r="F563" s="13">
        <f ca="1">IFERROR(__xludf.DUMMYFUNCTION("""COMPUTED_VALUE"""),0.42708333333212)</f>
        <v>0.42708333333212001</v>
      </c>
      <c r="G563" s="14">
        <f ca="1">IFERROR(__xludf.DUMMYFUNCTION("""COMPUTED_VALUE"""),44070)</f>
        <v>44070</v>
      </c>
      <c r="H563" t="str">
        <f ca="1">IFERROR(__xludf.DUMMYFUNCTION("""COMPUTED_VALUE"""),"Pellicer marsh monitoring platforms")</f>
        <v>Pellicer marsh monitoring platforms</v>
      </c>
      <c r="I563" s="15">
        <f ca="1">IFERROR(__xludf.DUMMYFUNCTION("""COMPUTED_VALUE"""),0.53125)</f>
        <v>0.53125</v>
      </c>
      <c r="J563" s="16">
        <f ca="1">IFERROR(__xludf.DUMMYFUNCTION("""COMPUTED_VALUE"""),44070.6041666666)</f>
        <v>44070.604166666599</v>
      </c>
      <c r="K563" t="str">
        <f ca="1">IFERROR(__xludf.DUMMYFUNCTION("""COMPUTED_VALUE"""),"20ft Sea Ark FL5351SJ UNF 2015")</f>
        <v>20ft Sea Ark FL5351SJ UNF 2015</v>
      </c>
      <c r="M563" t="str">
        <f ca="1">IFERROR(__xludf.DUMMYFUNCTION("""COMPUTED_VALUE"""),"Ford F250 2017 (Moby Dix) - DEP0021578")</f>
        <v>Ford F250 2017 (Moby Dix) - DEP0021578</v>
      </c>
      <c r="N563" t="str">
        <f ca="1">IFERROR(__xludf.DUMMYFUNCTION("""COMPUTED_VALUE"""),"Shannon Dunnigan, (803) 727-5734, Silas Tanner, (904) 483-8423")</f>
        <v>Shannon Dunnigan, (803) 727-5734, Silas Tanner, (904) 483-8423</v>
      </c>
      <c r="O563" t="str">
        <f ca="1">IFERROR(__xludf.DUMMYFUNCTION("""COMPUTED_VALUE"""),"none")</f>
        <v>none</v>
      </c>
      <c r="P563" t="str">
        <f ca="1">IFERROR(__xludf.DUMMYFUNCTION("""COMPUTED_VALUE"""),"Silas Tanner")</f>
        <v>Silas Tanner</v>
      </c>
      <c r="Q563" t="str">
        <f ca="1">IFERROR(__xludf.DUMMYFUNCTION("""COMPUTED_VALUE"""),"All items in working order")</f>
        <v>All items in working order</v>
      </c>
      <c r="AE563" s="11"/>
      <c r="AF563" t="str">
        <v>Nikki.Dix@floridadep.gov</v>
      </c>
      <c r="AG563" s="18"/>
    </row>
    <row r="564" spans="1:33" ht="12.75">
      <c r="A564" s="10">
        <f ca="1">IFERROR(__xludf.DUMMYFUNCTION("""COMPUTED_VALUE"""),44071.3608786805)</f>
        <v>44071.360878680498</v>
      </c>
      <c r="B564" s="11" t="str">
        <f ca="1">IFERROR(__xludf.DUMMYFUNCTION("""COMPUTED_VALUE"""),"Shannon Dunnigan")</f>
        <v>Shannon Dunnigan</v>
      </c>
      <c r="C564" t="str">
        <f ca="1">IFERROR(__xludf.DUMMYFUNCTION("""COMPUTED_VALUE"""),"shannon.dunnigan@floridadep.gov")</f>
        <v>shannon.dunnigan@floridadep.gov</v>
      </c>
      <c r="D564" t="str">
        <f ca="1">IFERROR(__xludf.DUMMYFUNCTION("""COMPUTED_VALUE"""),"Nikki Dix")</f>
        <v>Nikki Dix</v>
      </c>
      <c r="E564" t="str">
        <f ca="1">IFERROR(__xludf.DUMMYFUNCTION("""COMPUTED_VALUE"""),"Bings Landing")</f>
        <v>Bings Landing</v>
      </c>
      <c r="F564" s="13">
        <f ca="1">IFERROR(__xludf.DUMMYFUNCTION("""COMPUTED_VALUE"""),0.36458333333212)</f>
        <v>0.36458333333212001</v>
      </c>
      <c r="G564" s="14">
        <f ca="1">IFERROR(__xludf.DUMMYFUNCTION("""COMPUTED_VALUE"""),44071)</f>
        <v>44071</v>
      </c>
      <c r="H564" t="str">
        <f ca="1">IFERROR(__xludf.DUMMYFUNCTION("""COMPUTED_VALUE"""),"Washington Oaks Platforms")</f>
        <v>Washington Oaks Platforms</v>
      </c>
      <c r="I564" s="15">
        <f ca="1">IFERROR(__xludf.DUMMYFUNCTION("""COMPUTED_VALUE"""),0.58333333333212)</f>
        <v>0.58333333333212001</v>
      </c>
      <c r="J564" s="16">
        <f ca="1">IFERROR(__xludf.DUMMYFUNCTION("""COMPUTED_VALUE"""),44071.6666666666)</f>
        <v>44071.666666666599</v>
      </c>
      <c r="K564" t="str">
        <f ca="1">IFERROR(__xludf.DUMMYFUNCTION("""COMPUTED_VALUE"""),"20ft Sea Ark FL5351SJ UNF 2015")</f>
        <v>20ft Sea Ark FL5351SJ UNF 2015</v>
      </c>
      <c r="M564" t="str">
        <f ca="1">IFERROR(__xludf.DUMMYFUNCTION("""COMPUTED_VALUE"""),"Ford F250 2017 (Moby Dix) - DEP0021578")</f>
        <v>Ford F250 2017 (Moby Dix) - DEP0021578</v>
      </c>
      <c r="N564" t="str">
        <f ca="1">IFERROR(__xludf.DUMMYFUNCTION("""COMPUTED_VALUE"""),"Shannon Dunnigan, (803) 727-5734, Silas Tanner, (904) 483-8423")</f>
        <v>Shannon Dunnigan, (803) 727-5734, Silas Tanner, (904) 483-8423</v>
      </c>
      <c r="O564" t="str">
        <f ca="1">IFERROR(__xludf.DUMMYFUNCTION("""COMPUTED_VALUE"""),"None")</f>
        <v>None</v>
      </c>
      <c r="P564" t="str">
        <f ca="1">IFERROR(__xludf.DUMMYFUNCTION("""COMPUTED_VALUE"""),"Shannon")</f>
        <v>Shannon</v>
      </c>
      <c r="Q564" t="str">
        <f ca="1">IFERROR(__xludf.DUMMYFUNCTION("""COMPUTED_VALUE"""),"All items in working order")</f>
        <v>All items in working order</v>
      </c>
      <c r="AE564" s="11"/>
      <c r="AF564" t="str">
        <v>Nikki.Dix@floridadep.gov</v>
      </c>
      <c r="AG564" s="18"/>
    </row>
    <row r="565" spans="1:33" ht="12.75">
      <c r="A565" s="10">
        <f ca="1">IFERROR(__xludf.DUMMYFUNCTION("""COMPUTED_VALUE"""),44075.3843052661)</f>
        <v>44075.384305266198</v>
      </c>
      <c r="B565" s="11" t="str">
        <f ca="1">IFERROR(__xludf.DUMMYFUNCTION("""COMPUTED_VALUE"""),"Silas Tanner")</f>
        <v>Silas Tanner</v>
      </c>
      <c r="C565" t="str">
        <f ca="1">IFERROR(__xludf.DUMMYFUNCTION("""COMPUTED_VALUE"""),"silas.tanner@floridadep.gov")</f>
        <v>silas.tanner@floridadep.gov</v>
      </c>
      <c r="D565" t="str">
        <f ca="1">IFERROR(__xludf.DUMMYFUNCTION("""COMPUTED_VALUE"""),"Nikki Dix")</f>
        <v>Nikki Dix</v>
      </c>
      <c r="E565" t="str">
        <f ca="1">IFERROR(__xludf.DUMMYFUNCTION("""COMPUTED_VALUE"""),"Vilano Landing")</f>
        <v>Vilano Landing</v>
      </c>
      <c r="F565" s="13">
        <f ca="1">IFERROR(__xludf.DUMMYFUNCTION("""COMPUTED_VALUE"""),0.416666666667879)</f>
        <v>0.41666666666787899</v>
      </c>
      <c r="G565" s="14">
        <f ca="1">IFERROR(__xludf.DUMMYFUNCTION("""COMPUTED_VALUE"""),44075)</f>
        <v>44075</v>
      </c>
      <c r="H565" t="str">
        <f ca="1">IFERROR(__xludf.DUMMYFUNCTION("""COMPUTED_VALUE"""),"ICW Spat Run: Guana, Tolomato, Salt Run")</f>
        <v>ICW Spat Run: Guana, Tolomato, Salt Run</v>
      </c>
      <c r="I565" s="15">
        <f ca="1">IFERROR(__xludf.DUMMYFUNCTION("""COMPUTED_VALUE"""),0.625)</f>
        <v>0.625</v>
      </c>
      <c r="J565" s="16">
        <f ca="1">IFERROR(__xludf.DUMMYFUNCTION("""COMPUTED_VALUE"""),44075.6458333333)</f>
        <v>44075.645833333299</v>
      </c>
      <c r="K565" t="str">
        <f ca="1">IFERROR(__xludf.DUMMYFUNCTION("""COMPUTED_VALUE"""),"20ft Sea Ark FL5351SJ UNF 2015")</f>
        <v>20ft Sea Ark FL5351SJ UNF 2015</v>
      </c>
      <c r="M565" t="str">
        <f ca="1">IFERROR(__xludf.DUMMYFUNCTION("""COMPUTED_VALUE"""),"Ford F250 2017 (Moby Dix) - DEP0021578")</f>
        <v>Ford F250 2017 (Moby Dix) - DEP0021578</v>
      </c>
      <c r="N565" t="str">
        <f ca="1">IFERROR(__xludf.DUMMYFUNCTION("""COMPUTED_VALUE"""),"Silas Tanner, (904) 483-8423")</f>
        <v>Silas Tanner, (904) 483-8423</v>
      </c>
      <c r="O565" t="str">
        <f ca="1">IFERROR(__xludf.DUMMYFUNCTION("""COMPUTED_VALUE"""),"Alee Knoell, (619) 750-4833")</f>
        <v>Alee Knoell, (619) 750-4833</v>
      </c>
      <c r="P565" t="str">
        <f ca="1">IFERROR(__xludf.DUMMYFUNCTION("""COMPUTED_VALUE"""),"Silas Tanner")</f>
        <v>Silas Tanner</v>
      </c>
      <c r="Q565" t="str">
        <f ca="1">IFERROR(__xludf.DUMMYFUNCTION("""COMPUTED_VALUE"""),"All items in working order")</f>
        <v>All items in working order</v>
      </c>
      <c r="AE565" s="11"/>
      <c r="AF565" t="str">
        <v>Nikki.Dix@floridadep.gov</v>
      </c>
      <c r="AG565" s="18"/>
    </row>
    <row r="566" spans="1:33" ht="12.75">
      <c r="A566" s="10">
        <f ca="1">IFERROR(__xludf.DUMMYFUNCTION("""COMPUTED_VALUE"""),44075.4477851273)</f>
        <v>44075.447785127297</v>
      </c>
      <c r="B566" s="11" t="str">
        <f ca="1">IFERROR(__xludf.DUMMYFUNCTION("""COMPUTED_VALUE"""),"Pamela Marcum")</f>
        <v>Pamela Marcum</v>
      </c>
      <c r="C566" t="str">
        <f ca="1">IFERROR(__xludf.DUMMYFUNCTION("""COMPUTED_VALUE"""),"pamela.marcum@floridadep.gov")</f>
        <v>pamela.marcum@floridadep.gov</v>
      </c>
      <c r="D566" t="str">
        <f ca="1">IFERROR(__xludf.DUMMYFUNCTION("""COMPUTED_VALUE"""),"Shannon Dunnigan")</f>
        <v>Shannon Dunnigan</v>
      </c>
      <c r="E566" t="str">
        <f ca="1">IFERROR(__xludf.DUMMYFUNCTION("""COMPUTED_VALUE"""),"Shore Dr")</f>
        <v>Shore Dr</v>
      </c>
      <c r="F566" s="13">
        <f ca="1">IFERROR(__xludf.DUMMYFUNCTION("""COMPUTED_VALUE"""),0.45833333333212)</f>
        <v>0.45833333333212001</v>
      </c>
      <c r="G566" s="14">
        <f ca="1">IFERROR(__xludf.DUMMYFUNCTION("""COMPUTED_VALUE"""),44075)</f>
        <v>44075</v>
      </c>
      <c r="H566" t="str">
        <f ca="1">IFERROR(__xludf.DUMMYFUNCTION("""COMPUTED_VALUE"""),"Matanzas River")</f>
        <v>Matanzas River</v>
      </c>
      <c r="I566" s="15">
        <f ca="1">IFERROR(__xludf.DUMMYFUNCTION("""COMPUTED_VALUE"""),0.58333333333212)</f>
        <v>0.58333333333212001</v>
      </c>
      <c r="J566" s="16">
        <f ca="1">IFERROR(__xludf.DUMMYFUNCTION("""COMPUTED_VALUE"""),44075.7083333333)</f>
        <v>44075.708333333299</v>
      </c>
      <c r="K566" t="str">
        <f ca="1">IFERROR(__xludf.DUMMYFUNCTION("""COMPUTED_VALUE"""),"23ft Skiff (Bertha) FL7972LJ DEP07613")</f>
        <v>23ft Skiff (Bertha) FL7972LJ DEP07613</v>
      </c>
      <c r="M566" t="str">
        <f ca="1">IFERROR(__xludf.DUMMYFUNCTION("""COMPUTED_VALUE"""),"Ford F150 2015 (White) - DEP21448")</f>
        <v>Ford F150 2015 (White) - DEP21448</v>
      </c>
      <c r="N566" t="str">
        <f ca="1">IFERROR(__xludf.DUMMYFUNCTION("""COMPUTED_VALUE"""),"Pam Marcum, (480) 332-5414")</f>
        <v>Pam Marcum, (480) 332-5414</v>
      </c>
      <c r="O566" t="str">
        <f ca="1">IFERROR(__xludf.DUMMYFUNCTION("""COMPUTED_VALUE"""),"Brian Alexander")</f>
        <v>Brian Alexander</v>
      </c>
      <c r="P566" t="str">
        <f ca="1">IFERROR(__xludf.DUMMYFUNCTION("""COMPUTED_VALUE"""),"Pam")</f>
        <v>Pam</v>
      </c>
      <c r="Q566" t="str">
        <f ca="1">IFERROR(__xludf.DUMMYFUNCTION("""COMPUTED_VALUE"""),"All items in working order")</f>
        <v>All items in working order</v>
      </c>
      <c r="AE566" s="11"/>
      <c r="AF566" t="str">
        <v>Shannon.Dunnigan@floridadep.gov</v>
      </c>
      <c r="AG566" s="18"/>
    </row>
    <row r="567" spans="1:33" ht="12.75">
      <c r="A567" s="10">
        <f ca="1">IFERROR(__xludf.DUMMYFUNCTION("""COMPUTED_VALUE"""),44083.2869623495)</f>
        <v>44083.286962349499</v>
      </c>
      <c r="B567" s="11" t="str">
        <f ca="1">IFERROR(__xludf.DUMMYFUNCTION("""COMPUTED_VALUE"""),"Silas Tanner")</f>
        <v>Silas Tanner</v>
      </c>
      <c r="C567" t="str">
        <f ca="1">IFERROR(__xludf.DUMMYFUNCTION("""COMPUTED_VALUE"""),"silas.tanner@floridadep.gov")</f>
        <v>silas.tanner@floridadep.gov</v>
      </c>
      <c r="D567" t="str">
        <f ca="1">IFERROR(__xludf.DUMMYFUNCTION("""COMPUTED_VALUE"""),"Nikki Dix")</f>
        <v>Nikki Dix</v>
      </c>
      <c r="E567" t="str">
        <f ca="1">IFERROR(__xludf.DUMMYFUNCTION("""COMPUTED_VALUE"""),"Vilano Landing")</f>
        <v>Vilano Landing</v>
      </c>
      <c r="F567" s="13">
        <f ca="1">IFERROR(__xludf.DUMMYFUNCTION("""COMPUTED_VALUE"""),0.3125)</f>
        <v>0.3125</v>
      </c>
      <c r="G567" s="14">
        <f ca="1">IFERROR(__xludf.DUMMYFUNCTION("""COMPUTED_VALUE"""),44083)</f>
        <v>44083</v>
      </c>
      <c r="H567" t="str">
        <f ca="1">IFERROR(__xludf.DUMMYFUNCTION("""COMPUTED_VALUE"""),"ICW SWMP sites")</f>
        <v>ICW SWMP sites</v>
      </c>
      <c r="I567" s="15">
        <f ca="1">IFERROR(__xludf.DUMMYFUNCTION("""COMPUTED_VALUE"""),0.5625)</f>
        <v>0.5625</v>
      </c>
      <c r="J567" s="16">
        <f ca="1">IFERROR(__xludf.DUMMYFUNCTION("""COMPUTED_VALUE"""),44083.6666666666)</f>
        <v>44083.666666666599</v>
      </c>
      <c r="K567" t="str">
        <f ca="1">IFERROR(__xludf.DUMMYFUNCTION("""COMPUTED_VALUE"""),"23ft Skiff (Bertha) FL7972LJ DEP07613")</f>
        <v>23ft Skiff (Bertha) FL7972LJ DEP07613</v>
      </c>
      <c r="M567" t="str">
        <f ca="1">IFERROR(__xludf.DUMMYFUNCTION("""COMPUTED_VALUE"""),"Ford F250 2017 (Moby Dix) - DEP0021578")</f>
        <v>Ford F250 2017 (Moby Dix) - DEP0021578</v>
      </c>
      <c r="N567" t="str">
        <f ca="1">IFERROR(__xludf.DUMMYFUNCTION("""COMPUTED_VALUE"""),"Silas Tanner, (904) 483-8423, Remo Mondazi")</f>
        <v>Silas Tanner, (904) 483-8423, Remo Mondazi</v>
      </c>
      <c r="O567" t="str">
        <f ca="1">IFERROR(__xludf.DUMMYFUNCTION("""COMPUTED_VALUE"""),"none")</f>
        <v>none</v>
      </c>
      <c r="P567" t="str">
        <f ca="1">IFERROR(__xludf.DUMMYFUNCTION("""COMPUTED_VALUE"""),"Silas Tanner")</f>
        <v>Silas Tanner</v>
      </c>
      <c r="Q567" t="str">
        <f ca="1">IFERROR(__xludf.DUMMYFUNCTION("""COMPUTED_VALUE"""),"All items in working order")</f>
        <v>All items in working order</v>
      </c>
      <c r="AE567" s="11"/>
      <c r="AF567" t="str">
        <v>Nikki.Dix@floridadep.gov</v>
      </c>
      <c r="AG567" s="18"/>
    </row>
    <row r="568" spans="1:33" ht="12.75">
      <c r="A568" s="10">
        <f ca="1">IFERROR(__xludf.DUMMYFUNCTION("""COMPUTED_VALUE"""),44084.5808167939)</f>
        <v>44084.580816793903</v>
      </c>
      <c r="B568" s="11" t="str">
        <f ca="1">IFERROR(__xludf.DUMMYFUNCTION("""COMPUTED_VALUE"""),"Jessica Lee")</f>
        <v>Jessica Lee</v>
      </c>
      <c r="C568" t="str">
        <f ca="1">IFERROR(__xludf.DUMMYFUNCTION("""COMPUTED_VALUE"""),"jessica.lee@floridadep.gov")</f>
        <v>jessica.lee@floridadep.gov</v>
      </c>
      <c r="D568" t="str">
        <f ca="1">IFERROR(__xludf.DUMMYFUNCTION("""COMPUTED_VALUE"""),"Nikki Dix")</f>
        <v>Nikki Dix</v>
      </c>
      <c r="E568" t="str">
        <f ca="1">IFERROR(__xludf.DUMMYFUNCTION("""COMPUTED_VALUE"""),"Guana River")</f>
        <v>Guana River</v>
      </c>
      <c r="F568" s="13">
        <f ca="1">IFERROR(__xludf.DUMMYFUNCTION("""COMPUTED_VALUE"""),0.666666666667879)</f>
        <v>0.66666666666787899</v>
      </c>
      <c r="G568" s="14">
        <f ca="1">IFERROR(__xludf.DUMMYFUNCTION("""COMPUTED_VALUE"""),44084)</f>
        <v>44084</v>
      </c>
      <c r="H568" t="str">
        <f ca="1">IFERROR(__xludf.DUMMYFUNCTION("""COMPUTED_VALUE"""),"Guana River")</f>
        <v>Guana River</v>
      </c>
      <c r="I568" s="15">
        <f ca="1">IFERROR(__xludf.DUMMYFUNCTION("""COMPUTED_VALUE"""),0.70833333333212)</f>
        <v>0.70833333333212001</v>
      </c>
      <c r="J568" s="16">
        <f ca="1">IFERROR(__xludf.DUMMYFUNCTION("""COMPUTED_VALUE"""),44084.7291666666)</f>
        <v>44084.729166666599</v>
      </c>
      <c r="K568" t="str">
        <f ca="1">IFERROR(__xludf.DUMMYFUNCTION("""COMPUTED_VALUE"""),"Jon Boat 1 FL5992RR DEP154045")</f>
        <v>Jon Boat 1 FL5992RR DEP154045</v>
      </c>
      <c r="M568" t="str">
        <f ca="1">IFERROR(__xludf.DUMMYFUNCTION("""COMPUTED_VALUE"""),"Ford F250 2017 (Moby Dix) - DEP0021578")</f>
        <v>Ford F250 2017 (Moby Dix) - DEP0021578</v>
      </c>
      <c r="N568" t="str">
        <f ca="1">IFERROR(__xludf.DUMMYFUNCTION("""COMPUTED_VALUE"""),"Shannon Dunnigan, (803) 727-5734")</f>
        <v>Shannon Dunnigan, (803) 727-5734</v>
      </c>
      <c r="O568" t="str">
        <f ca="1">IFERROR(__xludf.DUMMYFUNCTION("""COMPUTED_VALUE"""),"Jessica Lee")</f>
        <v>Jessica Lee</v>
      </c>
      <c r="P568" t="str">
        <f ca="1">IFERROR(__xludf.DUMMYFUNCTION("""COMPUTED_VALUE"""),"Jessica Lee")</f>
        <v>Jessica Lee</v>
      </c>
      <c r="Q568" t="str">
        <f ca="1">IFERROR(__xludf.DUMMYFUNCTION("""COMPUTED_VALUE"""),"All items in working order")</f>
        <v>All items in working order</v>
      </c>
      <c r="AE568" s="11"/>
      <c r="AF568" t="str">
        <v>Nikki.Dix@floridadep.gov</v>
      </c>
      <c r="AG568" s="18"/>
    </row>
    <row r="569" spans="1:33" ht="12.75">
      <c r="A569" s="10">
        <f ca="1">IFERROR(__xludf.DUMMYFUNCTION("""COMPUTED_VALUE"""),44086.7940231713)</f>
        <v>44086.7940231713</v>
      </c>
      <c r="B569" s="11" t="str">
        <f ca="1">IFERROR(__xludf.DUMMYFUNCTION("""COMPUTED_VALUE"""),"Jessica Lee")</f>
        <v>Jessica Lee</v>
      </c>
      <c r="C569" t="str">
        <f ca="1">IFERROR(__xludf.DUMMYFUNCTION("""COMPUTED_VALUE"""),"jessica.lee@floridadep.gov")</f>
        <v>jessica.lee@floridadep.gov</v>
      </c>
      <c r="D569" t="str">
        <f ca="1">IFERROR(__xludf.DUMMYFUNCTION("""COMPUTED_VALUE"""),"Nikki Dix")</f>
        <v>Nikki Dix</v>
      </c>
      <c r="E569" t="str">
        <f ca="1">IFERROR(__xludf.DUMMYFUNCTION("""COMPUTED_VALUE"""),"Guana River")</f>
        <v>Guana River</v>
      </c>
      <c r="F569" s="13">
        <f ca="1">IFERROR(__xludf.DUMMYFUNCTION("""COMPUTED_VALUE"""),0.666666666667879)</f>
        <v>0.66666666666787899</v>
      </c>
      <c r="G569" s="14">
        <f ca="1">IFERROR(__xludf.DUMMYFUNCTION("""COMPUTED_VALUE"""),44084)</f>
        <v>44084</v>
      </c>
      <c r="H569" t="str">
        <f ca="1">IFERROR(__xludf.DUMMYFUNCTION("""COMPUTED_VALUE"""),"Guana River")</f>
        <v>Guana River</v>
      </c>
      <c r="I569" s="15">
        <f ca="1">IFERROR(__xludf.DUMMYFUNCTION("""COMPUTED_VALUE"""),0.70833333333212)</f>
        <v>0.70833333333212001</v>
      </c>
      <c r="J569" s="16">
        <f ca="1">IFERROR(__xludf.DUMMYFUNCTION("""COMPUTED_VALUE"""),44084.7291666666)</f>
        <v>44084.729166666599</v>
      </c>
      <c r="K569" t="str">
        <f ca="1">IFERROR(__xludf.DUMMYFUNCTION("""COMPUTED_VALUE"""),"Jon Boat 1 FL5992RR DEP154045")</f>
        <v>Jon Boat 1 FL5992RR DEP154045</v>
      </c>
      <c r="M569" t="str">
        <f ca="1">IFERROR(__xludf.DUMMYFUNCTION("""COMPUTED_VALUE"""),"Ford F250 2017 (Moby Dix) - DEP0021578")</f>
        <v>Ford F250 2017 (Moby Dix) - DEP0021578</v>
      </c>
      <c r="N569" t="str">
        <f ca="1">IFERROR(__xludf.DUMMYFUNCTION("""COMPUTED_VALUE"""),"Shannon Dunnigan, (803) 727-5734")</f>
        <v>Shannon Dunnigan, (803) 727-5734</v>
      </c>
      <c r="O569" t="str">
        <f ca="1">IFERROR(__xludf.DUMMYFUNCTION("""COMPUTED_VALUE"""),"Jessica Lee")</f>
        <v>Jessica Lee</v>
      </c>
      <c r="P569" t="str">
        <f ca="1">IFERROR(__xludf.DUMMYFUNCTION("""COMPUTED_VALUE"""),"Jessica Lee")</f>
        <v>Jessica Lee</v>
      </c>
      <c r="Q569" t="str">
        <f ca="1">IFERROR(__xludf.DUMMYFUNCTION("""COMPUTED_VALUE"""),"All items in working order")</f>
        <v>All items in working order</v>
      </c>
      <c r="AE569" s="11"/>
      <c r="AF569" t="str">
        <v>Nikki.Dix@floridadep.gov</v>
      </c>
      <c r="AG569" s="18"/>
    </row>
    <row r="570" spans="1:33" ht="12.75">
      <c r="A570" s="10">
        <f ca="1">IFERROR(__xludf.DUMMYFUNCTION("""COMPUTED_VALUE"""),44088.2965503356)</f>
        <v>44088.296550335603</v>
      </c>
      <c r="B570" s="11" t="str">
        <f ca="1">IFERROR(__xludf.DUMMYFUNCTION("""COMPUTED_VALUE"""),"Jessica Lee")</f>
        <v>Jessica Lee</v>
      </c>
      <c r="C570" t="str">
        <f ca="1">IFERROR(__xludf.DUMMYFUNCTION("""COMPUTED_VALUE"""),"jessica.lee@floridadep.gov")</f>
        <v>jessica.lee@floridadep.gov</v>
      </c>
      <c r="D570" t="str">
        <f ca="1">IFERROR(__xludf.DUMMYFUNCTION("""COMPUTED_VALUE"""),"Nikki Dix")</f>
        <v>Nikki Dix</v>
      </c>
      <c r="E570" t="str">
        <f ca="1">IFERROR(__xludf.DUMMYFUNCTION("""COMPUTED_VALUE"""),"Guana River")</f>
        <v>Guana River</v>
      </c>
      <c r="F570" s="13">
        <f ca="1">IFERROR(__xludf.DUMMYFUNCTION("""COMPUTED_VALUE"""),0.3125)</f>
        <v>0.3125</v>
      </c>
      <c r="G570" s="14">
        <f ca="1">IFERROR(__xludf.DUMMYFUNCTION("""COMPUTED_VALUE"""),44088)</f>
        <v>44088</v>
      </c>
      <c r="H570" t="str">
        <f ca="1">IFERROR(__xludf.DUMMYFUNCTION("""COMPUTED_VALUE"""),"Guana River")</f>
        <v>Guana River</v>
      </c>
      <c r="I570" s="15">
        <f ca="1">IFERROR(__xludf.DUMMYFUNCTION("""COMPUTED_VALUE"""),0.39583333333212)</f>
        <v>0.39583333333212001</v>
      </c>
      <c r="J570" s="16">
        <f ca="1">IFERROR(__xludf.DUMMYFUNCTION("""COMPUTED_VALUE"""),44088.4166666666)</f>
        <v>44088.416666666599</v>
      </c>
      <c r="K570" t="str">
        <f ca="1">IFERROR(__xludf.DUMMYFUNCTION("""COMPUTED_VALUE"""),"Jon Boat 1 FL5992RR DEP154045")</f>
        <v>Jon Boat 1 FL5992RR DEP154045</v>
      </c>
      <c r="M570" t="str">
        <f ca="1">IFERROR(__xludf.DUMMYFUNCTION("""COMPUTED_VALUE"""),"Ford F250 2017 (Moby Dix) - DEP0021578")</f>
        <v>Ford F250 2017 (Moby Dix) - DEP0021578</v>
      </c>
      <c r="N570" t="str">
        <f ca="1">IFERROR(__xludf.DUMMYFUNCTION("""COMPUTED_VALUE"""),"Silas Tanner, (904) 483-8423")</f>
        <v>Silas Tanner, (904) 483-8423</v>
      </c>
      <c r="O570" t="str">
        <f ca="1">IFERROR(__xludf.DUMMYFUNCTION("""COMPUTED_VALUE"""),"Jessica Lee")</f>
        <v>Jessica Lee</v>
      </c>
      <c r="P570" t="str">
        <f ca="1">IFERROR(__xludf.DUMMYFUNCTION("""COMPUTED_VALUE"""),"Jessica Lee")</f>
        <v>Jessica Lee</v>
      </c>
      <c r="Q570" t="str">
        <f ca="1">IFERROR(__xludf.DUMMYFUNCTION("""COMPUTED_VALUE"""),"All items in working order")</f>
        <v>All items in working order</v>
      </c>
      <c r="AE570" s="11"/>
      <c r="AF570" t="str">
        <v>Nikki.Dix@floridadep.gov</v>
      </c>
      <c r="AG570" s="18"/>
    </row>
    <row r="571" spans="1:33" ht="12.75">
      <c r="A571" s="10">
        <f ca="1">IFERROR(__xludf.DUMMYFUNCTION("""COMPUTED_VALUE"""),44089.3097278009)</f>
        <v>44089.309727800901</v>
      </c>
      <c r="B571" s="11" t="str">
        <f ca="1">IFERROR(__xludf.DUMMYFUNCTION("""COMPUTED_VALUE"""),"Pam Marcum")</f>
        <v>Pam Marcum</v>
      </c>
      <c r="C571" t="str">
        <f ca="1">IFERROR(__xludf.DUMMYFUNCTION("""COMPUTED_VALUE"""),"pamela.marcum@floridadep.gov")</f>
        <v>pamela.marcum@floridadep.gov</v>
      </c>
      <c r="D571" t="str">
        <f ca="1">IFERROR(__xludf.DUMMYFUNCTION("""COMPUTED_VALUE"""),"Nikki Dix")</f>
        <v>Nikki Dix</v>
      </c>
      <c r="E571" t="str">
        <f ca="1">IFERROR(__xludf.DUMMYFUNCTION("""COMPUTED_VALUE"""),"Vilano")</f>
        <v>Vilano</v>
      </c>
      <c r="F571" s="13">
        <f ca="1">IFERROR(__xludf.DUMMYFUNCTION("""COMPUTED_VALUE"""),0.260416666667879)</f>
        <v>0.26041666666787899</v>
      </c>
      <c r="G571" s="14">
        <f ca="1">IFERROR(__xludf.DUMMYFUNCTION("""COMPUTED_VALUE"""),44089)</f>
        <v>44089</v>
      </c>
      <c r="H571" t="str">
        <f ca="1">IFERROR(__xludf.DUMMYFUNCTION("""COMPUTED_VALUE"""),"FM-SS-PI wq stations")</f>
        <v>FM-SS-PI wq stations</v>
      </c>
      <c r="I571" s="15">
        <f ca="1">IFERROR(__xludf.DUMMYFUNCTION("""COMPUTED_VALUE"""),0.541666666667879)</f>
        <v>0.54166666666787899</v>
      </c>
      <c r="J571" s="16">
        <f ca="1">IFERROR(__xludf.DUMMYFUNCTION("""COMPUTED_VALUE"""),44089.5625)</f>
        <v>44089.5625</v>
      </c>
      <c r="K571" t="str">
        <f ca="1">IFERROR(__xludf.DUMMYFUNCTION("""COMPUTED_VALUE"""),"23ft Skiff (Bertha) FL7972LJ DEP07613")</f>
        <v>23ft Skiff (Bertha) FL7972LJ DEP07613</v>
      </c>
      <c r="M571" t="str">
        <f ca="1">IFERROR(__xludf.DUMMYFUNCTION("""COMPUTED_VALUE"""),"Ford F150 2015 (White) - DEP21448")</f>
        <v>Ford F150 2015 (White) - DEP21448</v>
      </c>
      <c r="N571" t="str">
        <f ca="1">IFERROR(__xludf.DUMMYFUNCTION("""COMPUTED_VALUE"""),"Pam Marcum, (480) 332-5414")</f>
        <v>Pam Marcum, (480) 332-5414</v>
      </c>
      <c r="O571" t="str">
        <f ca="1">IFERROR(__xludf.DUMMYFUNCTION("""COMPUTED_VALUE"""),"Alee Knoell, (619) 750-4833, Ashley Reaume")</f>
        <v>Alee Knoell, (619) 750-4833, Ashley Reaume</v>
      </c>
      <c r="P571" t="str">
        <f ca="1">IFERROR(__xludf.DUMMYFUNCTION("""COMPUTED_VALUE"""),"Pam")</f>
        <v>Pam</v>
      </c>
      <c r="Q571" t="str">
        <f ca="1">IFERROR(__xludf.DUMMYFUNCTION("""COMPUTED_VALUE"""),"All items in working order")</f>
        <v>All items in working order</v>
      </c>
      <c r="AE571" s="11"/>
      <c r="AF571" t="str">
        <v>Nikki.Dix@floridadep.gov</v>
      </c>
      <c r="AG571" s="18"/>
    </row>
    <row r="572" spans="1:33" ht="12.75">
      <c r="A572" s="10">
        <f ca="1">IFERROR(__xludf.DUMMYFUNCTION("""COMPUTED_VALUE"""),44090.2662839004)</f>
        <v>44090.266283900397</v>
      </c>
      <c r="B572" s="11" t="str">
        <f ca="1">IFERROR(__xludf.DUMMYFUNCTION("""COMPUTED_VALUE"""),"Pam Marcum")</f>
        <v>Pam Marcum</v>
      </c>
      <c r="C572" t="str">
        <f ca="1">IFERROR(__xludf.DUMMYFUNCTION("""COMPUTED_VALUE"""),"Pamela.Marcum@floridadep.gov")</f>
        <v>Pamela.Marcum@floridadep.gov</v>
      </c>
      <c r="D572" t="str">
        <f ca="1">IFERROR(__xludf.DUMMYFUNCTION("""COMPUTED_VALUE"""),"Nikki Dix")</f>
        <v>Nikki Dix</v>
      </c>
      <c r="E572" t="str">
        <f ca="1">IFERROR(__xludf.DUMMYFUNCTION("""COMPUTED_VALUE"""),"Butler")</f>
        <v>Butler</v>
      </c>
      <c r="F572" s="13">
        <f ca="1">IFERROR(__xludf.DUMMYFUNCTION("""COMPUTED_VALUE"""),0.30208333333212)</f>
        <v>0.30208333333212001</v>
      </c>
      <c r="G572" s="14">
        <f ca="1">IFERROR(__xludf.DUMMYFUNCTION("""COMPUTED_VALUE"""),44090)</f>
        <v>44090</v>
      </c>
      <c r="H572" t="str">
        <f ca="1">IFERROR(__xludf.DUMMYFUNCTION("""COMPUTED_VALUE"""),"Moses Creek")</f>
        <v>Moses Creek</v>
      </c>
      <c r="I572" s="15">
        <f ca="1">IFERROR(__xludf.DUMMYFUNCTION("""COMPUTED_VALUE"""),0.541666666667879)</f>
        <v>0.54166666666787899</v>
      </c>
      <c r="J572" s="16">
        <f ca="1">IFERROR(__xludf.DUMMYFUNCTION("""COMPUTED_VALUE"""),44090.5833333333)</f>
        <v>44090.583333333299</v>
      </c>
      <c r="K572" t="str">
        <f ca="1">IFERROR(__xludf.DUMMYFUNCTION("""COMPUTED_VALUE"""),"23ft Skiff (Bertha) FL7972LJ DEP07613")</f>
        <v>23ft Skiff (Bertha) FL7972LJ DEP07613</v>
      </c>
      <c r="M572" t="str">
        <f ca="1">IFERROR(__xludf.DUMMYFUNCTION("""COMPUTED_VALUE"""),"Ford F150 2015 (White) - DEP21448")</f>
        <v>Ford F150 2015 (White) - DEP21448</v>
      </c>
      <c r="N572" t="str">
        <f ca="1">IFERROR(__xludf.DUMMYFUNCTION("""COMPUTED_VALUE"""),"Pam Marcum, (480) 332-5414")</f>
        <v>Pam Marcum, (480) 332-5414</v>
      </c>
      <c r="O572" t="str">
        <f ca="1">IFERROR(__xludf.DUMMYFUNCTION("""COMPUTED_VALUE"""),"Alee Knoell, (619) 750-4833")</f>
        <v>Alee Knoell, (619) 750-4833</v>
      </c>
      <c r="P572" t="str">
        <f ca="1">IFERROR(__xludf.DUMMYFUNCTION("""COMPUTED_VALUE"""),"Pam")</f>
        <v>Pam</v>
      </c>
      <c r="Q572" t="str">
        <f ca="1">IFERROR(__xludf.DUMMYFUNCTION("""COMPUTED_VALUE"""),"All items in working order")</f>
        <v>All items in working order</v>
      </c>
      <c r="AE572" s="11"/>
      <c r="AF572" t="str">
        <v>Nikki.Dix@floridadep.gov</v>
      </c>
      <c r="AG572" s="18"/>
    </row>
    <row r="573" spans="1:33" ht="12.75">
      <c r="A573" s="10">
        <f ca="1">IFERROR(__xludf.DUMMYFUNCTION("""COMPUTED_VALUE"""),44090.2777973379)</f>
        <v>44090.277797337898</v>
      </c>
      <c r="B573" s="11" t="str">
        <f ca="1">IFERROR(__xludf.DUMMYFUNCTION("""COMPUTED_VALUE"""),"Test")</f>
        <v>Test</v>
      </c>
      <c r="C573" t="str">
        <f ca="1">IFERROR(__xludf.DUMMYFUNCTION("""COMPUTED_VALUE"""),"pamela.marcum@floridadep.gov")</f>
        <v>pamela.marcum@floridadep.gov</v>
      </c>
      <c r="D573" t="str">
        <f ca="1">IFERROR(__xludf.DUMMYFUNCTION("""COMPUTED_VALUE"""),"Pam Marcum")</f>
        <v>Pam Marcum</v>
      </c>
      <c r="E573" t="str">
        <f ca="1">IFERROR(__xludf.DUMMYFUNCTION("""COMPUTED_VALUE"""),"Test")</f>
        <v>Test</v>
      </c>
      <c r="F573" s="13">
        <f ca="1">IFERROR(__xludf.DUMMYFUNCTION("""COMPUTED_VALUE"""),0)</f>
        <v>0</v>
      </c>
      <c r="G573" s="14">
        <f ca="1">IFERROR(__xludf.DUMMYFUNCTION("""COMPUTED_VALUE"""),44090)</f>
        <v>44090</v>
      </c>
      <c r="H573" t="str">
        <f ca="1">IFERROR(__xludf.DUMMYFUNCTION("""COMPUTED_VALUE"""),"Test")</f>
        <v>Test</v>
      </c>
      <c r="I573" s="15">
        <f ca="1">IFERROR(__xludf.DUMMYFUNCTION("""COMPUTED_VALUE"""),0)</f>
        <v>0</v>
      </c>
      <c r="J573" s="16">
        <f ca="1">IFERROR(__xludf.DUMMYFUNCTION("""COMPUTED_VALUE"""),44090)</f>
        <v>44090</v>
      </c>
      <c r="K573" t="str">
        <f ca="1">IFERROR(__xludf.DUMMYFUNCTION("""COMPUTED_VALUE"""),"F 20ft Sea Ark (Easy 200) FL8534PY DEP21451")</f>
        <v>F 20ft Sea Ark (Easy 200) FL8534PY DEP21451</v>
      </c>
      <c r="M573" t="str">
        <f ca="1">IFERROR(__xludf.DUMMYFUNCTION("""COMPUTED_VALUE"""),"Ford F250 2017 (Moby Dix) - DEP0021578")</f>
        <v>Ford F250 2017 (Moby Dix) - DEP0021578</v>
      </c>
      <c r="N573" t="str">
        <f ca="1">IFERROR(__xludf.DUMMYFUNCTION("""COMPUTED_VALUE"""),"Pam Marcum, (480) 332-5414")</f>
        <v>Pam Marcum, (480) 332-5414</v>
      </c>
      <c r="O573" t="str">
        <f ca="1">IFERROR(__xludf.DUMMYFUNCTION("""COMPUTED_VALUE"""),"Test")</f>
        <v>Test</v>
      </c>
      <c r="P573" t="str">
        <f ca="1">IFERROR(__xludf.DUMMYFUNCTION("""COMPUTED_VALUE"""),"Test")</f>
        <v>Test</v>
      </c>
      <c r="Q573" t="str">
        <f ca="1">IFERROR(__xludf.DUMMYFUNCTION("""COMPUTED_VALUE"""),"All items in working order")</f>
        <v>All items in working order</v>
      </c>
      <c r="AE573" s="11"/>
      <c r="AF573" t="str">
        <v>Pamela.Marcum@floridadep.gov</v>
      </c>
      <c r="AG573" s="18"/>
    </row>
    <row r="574" spans="1:33" ht="12.75">
      <c r="A574" s="10">
        <f ca="1">IFERROR(__xludf.DUMMYFUNCTION("""COMPUTED_VALUE"""),44090.5266282638)</f>
        <v>44090.526628263797</v>
      </c>
      <c r="B574" s="11" t="str">
        <f ca="1">IFERROR(__xludf.DUMMYFUNCTION("""COMPUTED_VALUE"""),"Shannon Dunnigan")</f>
        <v>Shannon Dunnigan</v>
      </c>
      <c r="C574" t="str">
        <f ca="1">IFERROR(__xludf.DUMMYFUNCTION("""COMPUTED_VALUE"""),"shannon.dunnigan@floridadep.gov")</f>
        <v>shannon.dunnigan@floridadep.gov</v>
      </c>
      <c r="D574" t="str">
        <f ca="1">IFERROR(__xludf.DUMMYFUNCTION("""COMPUTED_VALUE"""),"Nikki Dix")</f>
        <v>Nikki Dix</v>
      </c>
      <c r="E574" t="str">
        <f ca="1">IFERROR(__xludf.DUMMYFUNCTION("""COMPUTED_VALUE"""),"Green Road")</f>
        <v>Green Road</v>
      </c>
      <c r="F574" s="13">
        <f ca="1">IFERROR(__xludf.DUMMYFUNCTION("""COMPUTED_VALUE"""),0.53125)</f>
        <v>0.53125</v>
      </c>
      <c r="G574" s="14">
        <f ca="1">IFERROR(__xludf.DUMMYFUNCTION("""COMPUTED_VALUE"""),44090)</f>
        <v>44090</v>
      </c>
      <c r="H574" t="str">
        <f ca="1">IFERROR(__xludf.DUMMYFUNCTION("""COMPUTED_VALUE"""),"FM SWMP WQ site")</f>
        <v>FM SWMP WQ site</v>
      </c>
      <c r="I574" s="15">
        <f ca="1">IFERROR(__xludf.DUMMYFUNCTION("""COMPUTED_VALUE"""),0.604166666667879)</f>
        <v>0.60416666666787899</v>
      </c>
      <c r="J574" s="16">
        <f ca="1">IFERROR(__xludf.DUMMYFUNCTION("""COMPUTED_VALUE"""),44090.65625)</f>
        <v>44090.65625</v>
      </c>
      <c r="K574" t="str">
        <f ca="1">IFERROR(__xludf.DUMMYFUNCTION("""COMPUTED_VALUE"""),"20ft Sea Ark FL5351SJ UNF 2015")</f>
        <v>20ft Sea Ark FL5351SJ UNF 2015</v>
      </c>
      <c r="M574" t="str">
        <f ca="1">IFERROR(__xludf.DUMMYFUNCTION("""COMPUTED_VALUE"""),"Ford F250 2017 (Moby Dix) - DEP0021578")</f>
        <v>Ford F250 2017 (Moby Dix) - DEP0021578</v>
      </c>
      <c r="N574" t="str">
        <f ca="1">IFERROR(__xludf.DUMMYFUNCTION("""COMPUTED_VALUE"""),"Shannon Dunnigan, (803) 727-5734, Silas Tanner, (904) 483-8423")</f>
        <v>Shannon Dunnigan, (803) 727-5734, Silas Tanner, (904) 483-8423</v>
      </c>
      <c r="O574" t="str">
        <f ca="1">IFERROR(__xludf.DUMMYFUNCTION("""COMPUTED_VALUE"""),"No one. ")</f>
        <v xml:space="preserve">No one. </v>
      </c>
      <c r="P574" t="str">
        <f ca="1">IFERROR(__xludf.DUMMYFUNCTION("""COMPUTED_VALUE"""),"Silas")</f>
        <v>Silas</v>
      </c>
      <c r="Q574" t="str">
        <f ca="1">IFERROR(__xludf.DUMMYFUNCTION("""COMPUTED_VALUE"""),"All items in working order")</f>
        <v>All items in working order</v>
      </c>
      <c r="AE574" s="11"/>
      <c r="AF574" t="str">
        <v>Nikki.Dix@floridadep.gov</v>
      </c>
      <c r="AG574" s="18"/>
    </row>
    <row r="575" spans="1:33" ht="12.75">
      <c r="A575" s="10">
        <f ca="1">IFERROR(__xludf.DUMMYFUNCTION("""COMPUTED_VALUE"""),44091.5265553472)</f>
        <v>44091.526555347198</v>
      </c>
      <c r="B575" s="11" t="str">
        <f ca="1">IFERROR(__xludf.DUMMYFUNCTION("""COMPUTED_VALUE"""),"Shannon Dunnigan")</f>
        <v>Shannon Dunnigan</v>
      </c>
      <c r="C575" t="str">
        <f ca="1">IFERROR(__xludf.DUMMYFUNCTION("""COMPUTED_VALUE"""),"shannon.dunnigan@floridadep.gov")</f>
        <v>shannon.dunnigan@floridadep.gov</v>
      </c>
      <c r="D575" t="str">
        <f ca="1">IFERROR(__xludf.DUMMYFUNCTION("""COMPUTED_VALUE"""),"Nikki Dix")</f>
        <v>Nikki Dix</v>
      </c>
      <c r="E575" t="str">
        <f ca="1">IFERROR(__xludf.DUMMYFUNCTION("""COMPUTED_VALUE"""),"Crane")</f>
        <v>Crane</v>
      </c>
      <c r="F575" s="13">
        <f ca="1">IFERROR(__xludf.DUMMYFUNCTION("""COMPUTED_VALUE"""),0.53125)</f>
        <v>0.53125</v>
      </c>
      <c r="G575" s="14">
        <f ca="1">IFERROR(__xludf.DUMMYFUNCTION("""COMPUTED_VALUE"""),44091)</f>
        <v>44091</v>
      </c>
      <c r="H575" t="str">
        <f ca="1">IFERROR(__xludf.DUMMYFUNCTION("""COMPUTED_VALUE"""),"East Creek")</f>
        <v>East Creek</v>
      </c>
      <c r="I575" s="15">
        <f ca="1">IFERROR(__xludf.DUMMYFUNCTION("""COMPUTED_VALUE"""),0.6875)</f>
        <v>0.6875</v>
      </c>
      <c r="J575" s="16">
        <f ca="1">IFERROR(__xludf.DUMMYFUNCTION("""COMPUTED_VALUE"""),44091.7291666666)</f>
        <v>44091.729166666599</v>
      </c>
      <c r="K575" t="str">
        <f ca="1">IFERROR(__xludf.DUMMYFUNCTION("""COMPUTED_VALUE"""),"20ft Sea Ark FL5351SJ UNF 2015")</f>
        <v>20ft Sea Ark FL5351SJ UNF 2015</v>
      </c>
      <c r="M575" t="str">
        <f ca="1">IFERROR(__xludf.DUMMYFUNCTION("""COMPUTED_VALUE"""),"Ford F250 2017 (Moby Dix) - DEP0021578")</f>
        <v>Ford F250 2017 (Moby Dix) - DEP0021578</v>
      </c>
      <c r="N575" t="str">
        <f ca="1">IFERROR(__xludf.DUMMYFUNCTION("""COMPUTED_VALUE"""),"Shannon Dunnigan, (803) 727-5734, Silas Tanner, (904) 483-8423")</f>
        <v>Shannon Dunnigan, (803) 727-5734, Silas Tanner, (904) 483-8423</v>
      </c>
      <c r="O575" t="str">
        <f ca="1">IFERROR(__xludf.DUMMYFUNCTION("""COMPUTED_VALUE"""),"No one")</f>
        <v>No one</v>
      </c>
      <c r="P575" t="str">
        <f ca="1">IFERROR(__xludf.DUMMYFUNCTION("""COMPUTED_VALUE"""),"Shannon")</f>
        <v>Shannon</v>
      </c>
      <c r="Q575" t="str">
        <f ca="1">IFERROR(__xludf.DUMMYFUNCTION("""COMPUTED_VALUE"""),"All items in working order")</f>
        <v>All items in working order</v>
      </c>
      <c r="AE575" s="11"/>
      <c r="AF575" t="str">
        <v>Nikki.Dix@floridadep.gov</v>
      </c>
      <c r="AG575" s="18"/>
    </row>
    <row r="576" spans="1:33" ht="12.75">
      <c r="A576" s="10">
        <f ca="1">IFERROR(__xludf.DUMMYFUNCTION("""COMPUTED_VALUE"""),44092.3472399652)</f>
        <v>44092.347239965202</v>
      </c>
      <c r="B576" s="11" t="str">
        <f ca="1">IFERROR(__xludf.DUMMYFUNCTION("""COMPUTED_VALUE"""),"Silas Tanner")</f>
        <v>Silas Tanner</v>
      </c>
      <c r="C576" t="str">
        <f ca="1">IFERROR(__xludf.DUMMYFUNCTION("""COMPUTED_VALUE"""),"silas.tanner@floridadep.gov")</f>
        <v>silas.tanner@floridadep.gov</v>
      </c>
      <c r="D576" t="str">
        <f ca="1">IFERROR(__xludf.DUMMYFUNCTION("""COMPUTED_VALUE"""),"Nikki Dix")</f>
        <v>Nikki Dix</v>
      </c>
      <c r="E576" t="str">
        <f ca="1">IFERROR(__xludf.DUMMYFUNCTION("""COMPUTED_VALUE"""),"Green Road")</f>
        <v>Green Road</v>
      </c>
      <c r="F576" s="13">
        <f ca="1">IFERROR(__xludf.DUMMYFUNCTION("""COMPUTED_VALUE"""),0.375)</f>
        <v>0.375</v>
      </c>
      <c r="G576" s="14">
        <f ca="1">IFERROR(__xludf.DUMMYFUNCTION("""COMPUTED_VALUE"""),44092)</f>
        <v>44092</v>
      </c>
      <c r="H576" t="str">
        <f ca="1">IFERROR(__xludf.DUMMYFUNCTION("""COMPUTED_VALUE"""),"Moses Creek platforms ")</f>
        <v xml:space="preserve">Moses Creek platforms </v>
      </c>
      <c r="I576" s="15">
        <f ca="1">IFERROR(__xludf.DUMMYFUNCTION("""COMPUTED_VALUE"""),0.625)</f>
        <v>0.625</v>
      </c>
      <c r="J576" s="16">
        <f ca="1">IFERROR(__xludf.DUMMYFUNCTION("""COMPUTED_VALUE"""),44092.6666666666)</f>
        <v>44092.666666666599</v>
      </c>
      <c r="K576" t="str">
        <f ca="1">IFERROR(__xludf.DUMMYFUNCTION("""COMPUTED_VALUE"""),"20ft Sea Ark FL5351SJ UNF 2015")</f>
        <v>20ft Sea Ark FL5351SJ UNF 2015</v>
      </c>
      <c r="M576" t="str">
        <f ca="1">IFERROR(__xludf.DUMMYFUNCTION("""COMPUTED_VALUE"""),"Ford F250 2017 (Moby Dix) - DEP0021578")</f>
        <v>Ford F250 2017 (Moby Dix) - DEP0021578</v>
      </c>
      <c r="N576" t="str">
        <f ca="1">IFERROR(__xludf.DUMMYFUNCTION("""COMPUTED_VALUE"""),"Shannon Dunnigan, (803) 727-5734, Silas Tanner, (904) 483-8423")</f>
        <v>Shannon Dunnigan, (803) 727-5734, Silas Tanner, (904) 483-8423</v>
      </c>
      <c r="O576" t="str">
        <f ca="1">IFERROR(__xludf.DUMMYFUNCTION("""COMPUTED_VALUE"""),"None")</f>
        <v>None</v>
      </c>
      <c r="P576" t="str">
        <f ca="1">IFERROR(__xludf.DUMMYFUNCTION("""COMPUTED_VALUE"""),"Dunnigan")</f>
        <v>Dunnigan</v>
      </c>
      <c r="Q576" t="str">
        <f ca="1">IFERROR(__xludf.DUMMYFUNCTION("""COMPUTED_VALUE"""),"All items in working order")</f>
        <v>All items in working order</v>
      </c>
      <c r="AE576" s="11"/>
      <c r="AF576" t="str">
        <v>Nikki.Dix@floridadep.gov</v>
      </c>
      <c r="AG576" s="18"/>
    </row>
    <row r="577" spans="1:33" ht="12.75">
      <c r="A577" s="10">
        <f ca="1">IFERROR(__xludf.DUMMYFUNCTION("""COMPUTED_VALUE"""),44092.6318180439)</f>
        <v>44092.631818043898</v>
      </c>
      <c r="B577" s="11" t="str">
        <f ca="1">IFERROR(__xludf.DUMMYFUNCTION("""COMPUTED_VALUE"""),"test")</f>
        <v>test</v>
      </c>
      <c r="C577" t="str">
        <f ca="1">IFERROR(__xludf.DUMMYFUNCTION("""COMPUTED_VALUE"""),"pamelamarcum@hotmail.com")</f>
        <v>pamelamarcum@hotmail.com</v>
      </c>
      <c r="D577" t="str">
        <f ca="1">IFERROR(__xludf.DUMMYFUNCTION("""COMPUTED_VALUE"""),"Pam Marcum")</f>
        <v>Pam Marcum</v>
      </c>
      <c r="E577" t="str">
        <f ca="1">IFERROR(__xludf.DUMMYFUNCTION("""COMPUTED_VALUE"""),"test")</f>
        <v>test</v>
      </c>
      <c r="F577" s="13">
        <f ca="1">IFERROR(__xludf.DUMMYFUNCTION("""COMPUTED_VALUE"""),0)</f>
        <v>0</v>
      </c>
      <c r="G577" s="14">
        <f ca="1">IFERROR(__xludf.DUMMYFUNCTION("""COMPUTED_VALUE"""),36161)</f>
        <v>36161</v>
      </c>
      <c r="H577" t="str">
        <f ca="1">IFERROR(__xludf.DUMMYFUNCTION("""COMPUTED_VALUE"""),"test")</f>
        <v>test</v>
      </c>
      <c r="I577" s="15">
        <f ca="1">IFERROR(__xludf.DUMMYFUNCTION("""COMPUTED_VALUE"""),0)</f>
        <v>0</v>
      </c>
      <c r="J577" s="16">
        <f ca="1">IFERROR(__xludf.DUMMYFUNCTION("""COMPUTED_VALUE"""),36161)</f>
        <v>36161</v>
      </c>
      <c r="K577" t="str">
        <f ca="1">IFERROR(__xludf.DUMMYFUNCTION("""COMPUTED_VALUE"""),"F 20ft Sea Ark (Easy 200) FL8534PY DEP21451")</f>
        <v>F 20ft Sea Ark (Easy 200) FL8534PY DEP21451</v>
      </c>
      <c r="M577" t="str">
        <f ca="1">IFERROR(__xludf.DUMMYFUNCTION("""COMPUTED_VALUE"""),"Ford F250 2017 (Moby Dix) - DEP0021578")</f>
        <v>Ford F250 2017 (Moby Dix) - DEP0021578</v>
      </c>
      <c r="N577" t="str">
        <f ca="1">IFERROR(__xludf.DUMMYFUNCTION("""COMPUTED_VALUE"""),"Pam Marcum, (480) 332-5414")</f>
        <v>Pam Marcum, (480) 332-5414</v>
      </c>
      <c r="O577" t="str">
        <f ca="1">IFERROR(__xludf.DUMMYFUNCTION("""COMPUTED_VALUE"""),"test")</f>
        <v>test</v>
      </c>
      <c r="P577" t="str">
        <f ca="1">IFERROR(__xludf.DUMMYFUNCTION("""COMPUTED_VALUE"""),"test")</f>
        <v>test</v>
      </c>
      <c r="Q577" t="str">
        <f ca="1">IFERROR(__xludf.DUMMYFUNCTION("""COMPUTED_VALUE"""),"All items in working order")</f>
        <v>All items in working order</v>
      </c>
      <c r="AE577" s="11"/>
      <c r="AF577" t="str">
        <v>Pamela.Marcum@floridadep.gov</v>
      </c>
      <c r="AG577" s="18"/>
    </row>
    <row r="578" spans="1:33" ht="12.75">
      <c r="A578" s="10">
        <f ca="1">IFERROR(__xludf.DUMMYFUNCTION("""COMPUTED_VALUE"""),44092.8022325694)</f>
        <v>44092.802232569396</v>
      </c>
      <c r="B578" s="11" t="str">
        <f ca="1">IFERROR(__xludf.DUMMYFUNCTION("""COMPUTED_VALUE"""),"Test")</f>
        <v>Test</v>
      </c>
      <c r="C578" t="str">
        <f ca="1">IFERROR(__xludf.DUMMYFUNCTION("""COMPUTED_VALUE"""),"pamela.marcum@floridadep.gov")</f>
        <v>pamela.marcum@floridadep.gov</v>
      </c>
      <c r="D578" t="str">
        <f ca="1">IFERROR(__xludf.DUMMYFUNCTION("""COMPUTED_VALUE"""),"Pam Marcum")</f>
        <v>Pam Marcum</v>
      </c>
      <c r="E578" t="str">
        <f ca="1">IFERROR(__xludf.DUMMYFUNCTION("""COMPUTED_VALUE"""),"test")</f>
        <v>test</v>
      </c>
      <c r="F578" s="13">
        <f ca="1">IFERROR(__xludf.DUMMYFUNCTION("""COMPUTED_VALUE"""),0)</f>
        <v>0</v>
      </c>
      <c r="G578" s="14">
        <f ca="1">IFERROR(__xludf.DUMMYFUNCTION("""COMPUTED_VALUE"""),44092)</f>
        <v>44092</v>
      </c>
      <c r="H578" t="str">
        <f ca="1">IFERROR(__xludf.DUMMYFUNCTION("""COMPUTED_VALUE"""),"test")</f>
        <v>test</v>
      </c>
      <c r="I578" s="15">
        <f ca="1">IFERROR(__xludf.DUMMYFUNCTION("""COMPUTED_VALUE"""),0)</f>
        <v>0</v>
      </c>
      <c r="J578" s="16">
        <f ca="1">IFERROR(__xludf.DUMMYFUNCTION("""COMPUTED_VALUE"""),44092)</f>
        <v>44092</v>
      </c>
      <c r="K578" t="str">
        <f ca="1">IFERROR(__xludf.DUMMYFUNCTION("""COMPUTED_VALUE"""),"Test")</f>
        <v>Test</v>
      </c>
      <c r="M578" t="str">
        <f ca="1">IFERROR(__xludf.DUMMYFUNCTION("""COMPUTED_VALUE"""),"Test")</f>
        <v>Test</v>
      </c>
      <c r="N578" t="str">
        <f ca="1">IFERROR(__xludf.DUMMYFUNCTION("""COMPUTED_VALUE"""),"Test")</f>
        <v>Test</v>
      </c>
      <c r="O578" t="str">
        <f ca="1">IFERROR(__xludf.DUMMYFUNCTION("""COMPUTED_VALUE"""),"Test")</f>
        <v>Test</v>
      </c>
      <c r="P578" t="str">
        <f ca="1">IFERROR(__xludf.DUMMYFUNCTION("""COMPUTED_VALUE"""),"Test")</f>
        <v>Test</v>
      </c>
      <c r="Q578" t="str">
        <f ca="1">IFERROR(__xludf.DUMMYFUNCTION("""COMPUTED_VALUE"""),"All items in working order")</f>
        <v>All items in working order</v>
      </c>
      <c r="AE578" s="11"/>
      <c r="AF578" t="str">
        <v>Pamela.Marcum@floridadep.gov</v>
      </c>
      <c r="AG578" s="18"/>
    </row>
    <row r="579" spans="1:33" ht="12.75">
      <c r="A579" s="10">
        <f ca="1">IFERROR(__xludf.DUMMYFUNCTION("""COMPUTED_VALUE"""),44096.0492731828)</f>
        <v>44096.049273182798</v>
      </c>
      <c r="B579" s="11" t="str">
        <f ca="1">IFERROR(__xludf.DUMMYFUNCTION("""COMPUTED_VALUE"""),"Jessica Lee")</f>
        <v>Jessica Lee</v>
      </c>
      <c r="C579" t="str">
        <f ca="1">IFERROR(__xludf.DUMMYFUNCTION("""COMPUTED_VALUE"""),"jessica.lee@floridadep.gov")</f>
        <v>jessica.lee@floridadep.gov</v>
      </c>
      <c r="D579" t="str">
        <f ca="1">IFERROR(__xludf.DUMMYFUNCTION("""COMPUTED_VALUE"""),"Nikki Dix")</f>
        <v>Nikki Dix</v>
      </c>
      <c r="E579" t="str">
        <f ca="1">IFERROR(__xludf.DUMMYFUNCTION("""COMPUTED_VALUE"""),"Guana River")</f>
        <v>Guana River</v>
      </c>
      <c r="F579" s="13">
        <f ca="1">IFERROR(__xludf.DUMMYFUNCTION("""COMPUTED_VALUE"""),0.3125)</f>
        <v>0.3125</v>
      </c>
      <c r="G579" s="14">
        <f ca="1">IFERROR(__xludf.DUMMYFUNCTION("""COMPUTED_VALUE"""),44088)</f>
        <v>44088</v>
      </c>
      <c r="H579" t="str">
        <f ca="1">IFERROR(__xludf.DUMMYFUNCTION("""COMPUTED_VALUE"""),"Guana River")</f>
        <v>Guana River</v>
      </c>
      <c r="I579" s="15">
        <f ca="1">IFERROR(__xludf.DUMMYFUNCTION("""COMPUTED_VALUE"""),0.39583333333212)</f>
        <v>0.39583333333212001</v>
      </c>
      <c r="J579" s="16">
        <f ca="1">IFERROR(__xludf.DUMMYFUNCTION("""COMPUTED_VALUE"""),44088.4166666666)</f>
        <v>44088.416666666599</v>
      </c>
      <c r="K579" t="str">
        <f ca="1">IFERROR(__xludf.DUMMYFUNCTION("""COMPUTED_VALUE"""),"Jon Boat 1 FL5992RR DEP154045")</f>
        <v>Jon Boat 1 FL5992RR DEP154045</v>
      </c>
      <c r="M579" t="str">
        <f ca="1">IFERROR(__xludf.DUMMYFUNCTION("""COMPUTED_VALUE"""),"Ford F250 2017 (Moby Dix) - DEP0021578")</f>
        <v>Ford F250 2017 (Moby Dix) - DEP0021578</v>
      </c>
      <c r="N579" t="str">
        <f ca="1">IFERROR(__xludf.DUMMYFUNCTION("""COMPUTED_VALUE"""),"Silas Tanner, (904) 483-8423")</f>
        <v>Silas Tanner, (904) 483-8423</v>
      </c>
      <c r="O579" t="str">
        <f ca="1">IFERROR(__xludf.DUMMYFUNCTION("""COMPUTED_VALUE"""),"Jessica Lee")</f>
        <v>Jessica Lee</v>
      </c>
      <c r="P579" t="str">
        <f ca="1">IFERROR(__xludf.DUMMYFUNCTION("""COMPUTED_VALUE"""),"Jessica Lee")</f>
        <v>Jessica Lee</v>
      </c>
      <c r="Q579" t="str">
        <f ca="1">IFERROR(__xludf.DUMMYFUNCTION("""COMPUTED_VALUE"""),"All items in working order")</f>
        <v>All items in working order</v>
      </c>
      <c r="AE579" s="11"/>
      <c r="AF579" t="str">
        <v>Nikki.Dix@floridadep.gov</v>
      </c>
      <c r="AG579" s="18"/>
    </row>
    <row r="580" spans="1:33" ht="12.75">
      <c r="A580" s="10">
        <f ca="1">IFERROR(__xludf.DUMMYFUNCTION("""COMPUTED_VALUE"""),44099.5185480671)</f>
        <v>44099.518548067099</v>
      </c>
      <c r="B580" s="11" t="str">
        <f ca="1">IFERROR(__xludf.DUMMYFUNCTION("""COMPUTED_VALUE"""),"Pamela Marcum")</f>
        <v>Pamela Marcum</v>
      </c>
      <c r="C580" t="str">
        <f ca="1">IFERROR(__xludf.DUMMYFUNCTION("""COMPUTED_VALUE"""),"pamela.Marcum@Floridadep.gov")</f>
        <v>pamela.Marcum@Floridadep.gov</v>
      </c>
      <c r="D580" t="str">
        <f ca="1">IFERROR(__xludf.DUMMYFUNCTION("""COMPUTED_VALUE"""),"Nikki Dix")</f>
        <v>Nikki Dix</v>
      </c>
      <c r="E580" t="str">
        <f ca="1">IFERROR(__xludf.DUMMYFUNCTION("""COMPUTED_VALUE"""),"Green Rd")</f>
        <v>Green Rd</v>
      </c>
      <c r="F580" s="13">
        <f ca="1">IFERROR(__xludf.DUMMYFUNCTION("""COMPUTED_VALUE"""),0.40625)</f>
        <v>0.40625</v>
      </c>
      <c r="G580" s="14">
        <f ca="1">IFERROR(__xludf.DUMMYFUNCTION("""COMPUTED_VALUE"""),44099)</f>
        <v>44099</v>
      </c>
      <c r="H580" t="str">
        <f ca="1">IFERROR(__xludf.DUMMYFUNCTION("""COMPUTED_VALUE"""),"Devil's elbow")</f>
        <v>Devil's elbow</v>
      </c>
      <c r="I580" s="15">
        <f ca="1">IFERROR(__xludf.DUMMYFUNCTION("""COMPUTED_VALUE"""),0.4375)</f>
        <v>0.4375</v>
      </c>
      <c r="J580" s="16">
        <f ca="1">IFERROR(__xludf.DUMMYFUNCTION("""COMPUTED_VALUE"""),44099.5833333333)</f>
        <v>44099.583333333299</v>
      </c>
      <c r="K580" t="str">
        <f ca="1">IFERROR(__xludf.DUMMYFUNCTION("""COMPUTED_VALUE"""),"Jon Boat 1 FL5992RR DEP154045")</f>
        <v>Jon Boat 1 FL5992RR DEP154045</v>
      </c>
      <c r="M580" t="str">
        <f ca="1">IFERROR(__xludf.DUMMYFUNCTION("""COMPUTED_VALUE"""),"Ford F150 2015 (White) - DEP21448")</f>
        <v>Ford F150 2015 (White) - DEP21448</v>
      </c>
      <c r="N580" t="str">
        <f ca="1">IFERROR(__xludf.DUMMYFUNCTION("""COMPUTED_VALUE"""),"Pam Marcum, (480) 332-5414")</f>
        <v>Pam Marcum, (480) 332-5414</v>
      </c>
      <c r="O580" t="str">
        <f ca="1">IFERROR(__xludf.DUMMYFUNCTION("""COMPUTED_VALUE"""),"Brian Alexander")</f>
        <v>Brian Alexander</v>
      </c>
      <c r="P580" t="str">
        <f ca="1">IFERROR(__xludf.DUMMYFUNCTION("""COMPUTED_VALUE"""),"Pam")</f>
        <v>Pam</v>
      </c>
      <c r="Q580" t="str">
        <f ca="1">IFERROR(__xludf.DUMMYFUNCTION("""COMPUTED_VALUE"""),"All items in working order")</f>
        <v>All items in working order</v>
      </c>
      <c r="AE580" s="11"/>
      <c r="AF580" t="str">
        <v>Nikki.Dix@floridadep.gov</v>
      </c>
      <c r="AG580" s="18"/>
    </row>
    <row r="581" spans="1:33" ht="12.75">
      <c r="A581" s="10">
        <f ca="1">IFERROR(__xludf.DUMMYFUNCTION("""COMPUTED_VALUE"""),44099.5241780555)</f>
        <v>44099.524178055501</v>
      </c>
      <c r="B581" s="11" t="str">
        <f ca="1">IFERROR(__xludf.DUMMYFUNCTION("""COMPUTED_VALUE"""),"Pam Marcum")</f>
        <v>Pam Marcum</v>
      </c>
      <c r="C581" t="str">
        <f ca="1">IFERROR(__xludf.DUMMYFUNCTION("""COMPUTED_VALUE"""),"pamela.marcum@floridadep.gov")</f>
        <v>pamela.marcum@floridadep.gov</v>
      </c>
      <c r="D581" t="str">
        <f ca="1">IFERROR(__xludf.DUMMYFUNCTION("""COMPUTED_VALUE"""),"Nikki Dix")</f>
        <v>Nikki Dix</v>
      </c>
      <c r="E581" t="str">
        <f ca="1">IFERROR(__xludf.DUMMYFUNCTION("""COMPUTED_VALUE"""),"Faver Dykes")</f>
        <v>Faver Dykes</v>
      </c>
      <c r="F581" s="13">
        <f ca="1">IFERROR(__xludf.DUMMYFUNCTION("""COMPUTED_VALUE"""),0.46875)</f>
        <v>0.46875</v>
      </c>
      <c r="G581" s="14">
        <f ca="1">IFERROR(__xludf.DUMMYFUNCTION("""COMPUTED_VALUE"""),44099)</f>
        <v>44099</v>
      </c>
      <c r="H581" t="str">
        <f ca="1">IFERROR(__xludf.DUMMYFUNCTION("""COMPUTED_VALUE"""),"Pellicer Flats")</f>
        <v>Pellicer Flats</v>
      </c>
      <c r="I581" s="15">
        <f ca="1">IFERROR(__xludf.DUMMYFUNCTION("""COMPUTED_VALUE"""),0.541666666667879)</f>
        <v>0.54166666666787899</v>
      </c>
      <c r="J581" s="16">
        <f ca="1">IFERROR(__xludf.DUMMYFUNCTION("""COMPUTED_VALUE"""),44099.5833333333)</f>
        <v>44099.583333333299</v>
      </c>
      <c r="K581" t="str">
        <f ca="1">IFERROR(__xludf.DUMMYFUNCTION("""COMPUTED_VALUE"""),"Jon Boat 1 FL5992RR DEP154045")</f>
        <v>Jon Boat 1 FL5992RR DEP154045</v>
      </c>
      <c r="M581" t="str">
        <f ca="1">IFERROR(__xludf.DUMMYFUNCTION("""COMPUTED_VALUE"""),"Ford F150 2015 (White) - DEP21448")</f>
        <v>Ford F150 2015 (White) - DEP21448</v>
      </c>
      <c r="N581" t="str">
        <f ca="1">IFERROR(__xludf.DUMMYFUNCTION("""COMPUTED_VALUE"""),"Pam Marcum, (480) 332-5414")</f>
        <v>Pam Marcum, (480) 332-5414</v>
      </c>
      <c r="O581" t="str">
        <f ca="1">IFERROR(__xludf.DUMMYFUNCTION("""COMPUTED_VALUE"""),"Brian Alexander")</f>
        <v>Brian Alexander</v>
      </c>
      <c r="P581" t="str">
        <f ca="1">IFERROR(__xludf.DUMMYFUNCTION("""COMPUTED_VALUE"""),"Pam")</f>
        <v>Pam</v>
      </c>
      <c r="Q581" t="str">
        <f ca="1">IFERROR(__xludf.DUMMYFUNCTION("""COMPUTED_VALUE"""),"All items in working order")</f>
        <v>All items in working order</v>
      </c>
      <c r="AE581" s="11"/>
      <c r="AF581" t="str">
        <v>Nikki.Dix@floridadep.gov</v>
      </c>
      <c r="AG581" s="18"/>
    </row>
    <row r="582" spans="1:33" ht="12.75">
      <c r="A582" s="10">
        <f ca="1">IFERROR(__xludf.DUMMYFUNCTION("""COMPUTED_VALUE"""),44104.3089273611)</f>
        <v>44104.308927361097</v>
      </c>
      <c r="B582" s="11" t="str">
        <f ca="1">IFERROR(__xludf.DUMMYFUNCTION("""COMPUTED_VALUE"""),"Silas Tanner")</f>
        <v>Silas Tanner</v>
      </c>
      <c r="C582" t="str">
        <f ca="1">IFERROR(__xludf.DUMMYFUNCTION("""COMPUTED_VALUE"""),"silas.tanner@floridadep.gov")</f>
        <v>silas.tanner@floridadep.gov</v>
      </c>
      <c r="D582" t="str">
        <f ca="1">IFERROR(__xludf.DUMMYFUNCTION("""COMPUTED_VALUE"""),"Nikki Dix")</f>
        <v>Nikki Dix</v>
      </c>
      <c r="E582" t="str">
        <f ca="1">IFERROR(__xludf.DUMMYFUNCTION("""COMPUTED_VALUE"""),"Crane ramp")</f>
        <v>Crane ramp</v>
      </c>
      <c r="F582" s="13">
        <f ca="1">IFERROR(__xludf.DUMMYFUNCTION("""COMPUTED_VALUE"""),0.322916666667879)</f>
        <v>0.32291666666787899</v>
      </c>
      <c r="G582" s="14">
        <f ca="1">IFERROR(__xludf.DUMMYFUNCTION("""COMPUTED_VALUE"""),44104)</f>
        <v>44104</v>
      </c>
      <c r="H582" t="str">
        <f ca="1">IFERROR(__xludf.DUMMYFUNCTION("""COMPUTED_VALUE"""),"Icw swmp sites")</f>
        <v>Icw swmp sites</v>
      </c>
      <c r="I582" s="15">
        <f ca="1">IFERROR(__xludf.DUMMYFUNCTION("""COMPUTED_VALUE"""),0.541666666667879)</f>
        <v>0.54166666666787899</v>
      </c>
      <c r="J582" s="16">
        <f ca="1">IFERROR(__xludf.DUMMYFUNCTION("""COMPUTED_VALUE"""),44104.6458333333)</f>
        <v>44104.645833333299</v>
      </c>
      <c r="K582" t="str">
        <f ca="1">IFERROR(__xludf.DUMMYFUNCTION("""COMPUTED_VALUE"""),"23ft Skiff (Bertha) FL7972LJ DEP07613")</f>
        <v>23ft Skiff (Bertha) FL7972LJ DEP07613</v>
      </c>
      <c r="M582" t="str">
        <f ca="1">IFERROR(__xludf.DUMMYFUNCTION("""COMPUTED_VALUE"""),"Ford F250 2017 (Moby Dix) - DEP0021578")</f>
        <v>Ford F250 2017 (Moby Dix) - DEP0021578</v>
      </c>
      <c r="N582" t="str">
        <f ca="1">IFERROR(__xludf.DUMMYFUNCTION("""COMPUTED_VALUE"""),"Silas Tanner, (904) 483-8423, Remo")</f>
        <v>Silas Tanner, (904) 483-8423, Remo</v>
      </c>
      <c r="O582" t="str">
        <f ca="1">IFERROR(__xludf.DUMMYFUNCTION("""COMPUTED_VALUE"""),"None")</f>
        <v>None</v>
      </c>
      <c r="P582" t="str">
        <f ca="1">IFERROR(__xludf.DUMMYFUNCTION("""COMPUTED_VALUE"""),"Tanner")</f>
        <v>Tanner</v>
      </c>
      <c r="Q582" t="str">
        <f ca="1">IFERROR(__xludf.DUMMYFUNCTION("""COMPUTED_VALUE"""),"All items in working order")</f>
        <v>All items in working order</v>
      </c>
      <c r="AE582" s="11"/>
      <c r="AF582" t="str">
        <v>Nikki.Dix@floridadep.gov</v>
      </c>
      <c r="AG582" s="18"/>
    </row>
    <row r="583" spans="1:33" ht="12.75">
      <c r="A583" s="10">
        <f ca="1">IFERROR(__xludf.DUMMYFUNCTION("""COMPUTED_VALUE"""),44104.3685452777)</f>
        <v>44104.368545277699</v>
      </c>
      <c r="B583" s="11" t="str">
        <f ca="1">IFERROR(__xludf.DUMMYFUNCTION("""COMPUTED_VALUE"""),"Pam Marcum")</f>
        <v>Pam Marcum</v>
      </c>
      <c r="C583" t="str">
        <f ca="1">IFERROR(__xludf.DUMMYFUNCTION("""COMPUTED_VALUE"""),"pamela.marcum@floridadep.gov")</f>
        <v>pamela.marcum@floridadep.gov</v>
      </c>
      <c r="D583" t="str">
        <f ca="1">IFERROR(__xludf.DUMMYFUNCTION("""COMPUTED_VALUE"""),"Nikki Dix")</f>
        <v>Nikki Dix</v>
      </c>
      <c r="E583" t="str">
        <f ca="1">IFERROR(__xludf.DUMMYFUNCTION("""COMPUTED_VALUE"""),"Shore Dr")</f>
        <v>Shore Dr</v>
      </c>
      <c r="F583" s="13">
        <f ca="1">IFERROR(__xludf.DUMMYFUNCTION("""COMPUTED_VALUE"""),0.368055555554747)</f>
        <v>0.368055555554747</v>
      </c>
      <c r="G583" s="14">
        <f ca="1">IFERROR(__xludf.DUMMYFUNCTION("""COMPUTED_VALUE"""),44104)</f>
        <v>44104</v>
      </c>
      <c r="H583" t="str">
        <f ca="1">IFERROR(__xludf.DUMMYFUNCTION("""COMPUTED_VALUE"""),"Gabby's Creek")</f>
        <v>Gabby's Creek</v>
      </c>
      <c r="I583" s="15">
        <f ca="1">IFERROR(__xludf.DUMMYFUNCTION("""COMPUTED_VALUE"""),0.541666666667879)</f>
        <v>0.54166666666787899</v>
      </c>
      <c r="J583" s="16">
        <f ca="1">IFERROR(__xludf.DUMMYFUNCTION("""COMPUTED_VALUE"""),44104.5416666666)</f>
        <v>44104.541666666599</v>
      </c>
      <c r="K583" t="str">
        <f ca="1">IFERROR(__xludf.DUMMYFUNCTION("""COMPUTED_VALUE"""),"20ft Sea Ark FL5351SJ UNF 2015")</f>
        <v>20ft Sea Ark FL5351SJ UNF 2015</v>
      </c>
      <c r="M583" t="str">
        <f ca="1">IFERROR(__xludf.DUMMYFUNCTION("""COMPUTED_VALUE"""),"Ford F150 2015 (White) - DEP21448")</f>
        <v>Ford F150 2015 (White) - DEP21448</v>
      </c>
      <c r="N583" t="str">
        <f ca="1">IFERROR(__xludf.DUMMYFUNCTION("""COMPUTED_VALUE"""),"Pam Marcum, (480) 332-5414")</f>
        <v>Pam Marcum, (480) 332-5414</v>
      </c>
      <c r="O583" t="str">
        <f ca="1">IFERROR(__xludf.DUMMYFUNCTION("""COMPUTED_VALUE"""),"Gabriela Canas, (904) 891-9743")</f>
        <v>Gabriela Canas, (904) 891-9743</v>
      </c>
      <c r="P583" t="str">
        <f ca="1">IFERROR(__xludf.DUMMYFUNCTION("""COMPUTED_VALUE"""),"Pam")</f>
        <v>Pam</v>
      </c>
      <c r="Q583" t="str">
        <f ca="1">IFERROR(__xludf.DUMMYFUNCTION("""COMPUTED_VALUE"""),"All items in working order")</f>
        <v>All items in working order</v>
      </c>
      <c r="AE583" s="11"/>
      <c r="AF583" t="str">
        <v>Nikki.Dix@floridadep.gov</v>
      </c>
      <c r="AG583" s="18"/>
    </row>
    <row r="584" spans="1:33" ht="12.75">
      <c r="A584" s="10">
        <f ca="1">IFERROR(__xludf.DUMMYFUNCTION("""COMPUTED_VALUE"""),44106.3478623263)</f>
        <v>44106.3478623263</v>
      </c>
      <c r="B584" s="11" t="str">
        <f ca="1">IFERROR(__xludf.DUMMYFUNCTION("""COMPUTED_VALUE"""),"Silas Tanner")</f>
        <v>Silas Tanner</v>
      </c>
      <c r="C584" t="str">
        <f ca="1">IFERROR(__xludf.DUMMYFUNCTION("""COMPUTED_VALUE"""),"silas.tanner@gmail.com")</f>
        <v>silas.tanner@gmail.com</v>
      </c>
      <c r="D584" t="str">
        <f ca="1">IFERROR(__xludf.DUMMYFUNCTION("""COMPUTED_VALUE"""),"Nikki Dix")</f>
        <v>Nikki Dix</v>
      </c>
      <c r="E584" t="str">
        <f ca="1">IFERROR(__xludf.DUMMYFUNCTION("""COMPUTED_VALUE"""),"Palm Valley")</f>
        <v>Palm Valley</v>
      </c>
      <c r="F584" s="13">
        <f ca="1">IFERROR(__xludf.DUMMYFUNCTION("""COMPUTED_VALUE"""),0.34375)</f>
        <v>0.34375</v>
      </c>
      <c r="G584" s="14">
        <f ca="1">IFERROR(__xludf.DUMMYFUNCTION("""COMPUTED_VALUE"""),44106)</f>
        <v>44106</v>
      </c>
      <c r="H584" t="str">
        <f ca="1">IFERROR(__xludf.DUMMYFUNCTION("""COMPUTED_VALUE"""),"Pine Island monitoring platforms")</f>
        <v>Pine Island monitoring platforms</v>
      </c>
      <c r="I584" s="15">
        <f ca="1">IFERROR(__xludf.DUMMYFUNCTION("""COMPUTED_VALUE"""),0.58333333333212)</f>
        <v>0.58333333333212001</v>
      </c>
      <c r="J584" s="16">
        <f ca="1">IFERROR(__xludf.DUMMYFUNCTION("""COMPUTED_VALUE"""),44106.6041666666)</f>
        <v>44106.604166666599</v>
      </c>
      <c r="K584" t="str">
        <f ca="1">IFERROR(__xludf.DUMMYFUNCTION("""COMPUTED_VALUE"""),"20ft Sea Ark FL5351SJ UNF 2015")</f>
        <v>20ft Sea Ark FL5351SJ UNF 2015</v>
      </c>
      <c r="M584" t="str">
        <f ca="1">IFERROR(__xludf.DUMMYFUNCTION("""COMPUTED_VALUE"""),"Ford F150 2015 (White) - DEP21448")</f>
        <v>Ford F150 2015 (White) - DEP21448</v>
      </c>
      <c r="N584" t="str">
        <f ca="1">IFERROR(__xludf.DUMMYFUNCTION("""COMPUTED_VALUE"""),"Shannon Dunnigan, (803) 727-5734, Silas Tanner, (904) 483-8423")</f>
        <v>Shannon Dunnigan, (803) 727-5734, Silas Tanner, (904) 483-8423</v>
      </c>
      <c r="O584" t="str">
        <f ca="1">IFERROR(__xludf.DUMMYFUNCTION("""COMPUTED_VALUE"""),"None")</f>
        <v>None</v>
      </c>
      <c r="P584" t="str">
        <f ca="1">IFERROR(__xludf.DUMMYFUNCTION("""COMPUTED_VALUE"""),"Dunnigan")</f>
        <v>Dunnigan</v>
      </c>
      <c r="Q584" t="str">
        <f ca="1">IFERROR(__xludf.DUMMYFUNCTION("""COMPUTED_VALUE"""),"All items in working order")</f>
        <v>All items in working order</v>
      </c>
      <c r="AE584" s="11"/>
      <c r="AF584" t="str">
        <v>Nikki.Dix@floridadep.gov</v>
      </c>
      <c r="AG584" s="18"/>
    </row>
    <row r="585" spans="1:33" ht="12.75">
      <c r="A585" s="10">
        <f ca="1">IFERROR(__xludf.DUMMYFUNCTION("""COMPUTED_VALUE"""),44109.3218566435)</f>
        <v>44109.321856643503</v>
      </c>
      <c r="B585" s="11" t="str">
        <f ca="1">IFERROR(__xludf.DUMMYFUNCTION("""COMPUTED_VALUE"""),"Silas Tanner")</f>
        <v>Silas Tanner</v>
      </c>
      <c r="C585" t="str">
        <f ca="1">IFERROR(__xludf.DUMMYFUNCTION("""COMPUTED_VALUE"""),"silas.tanner@floridadep.gov")</f>
        <v>silas.tanner@floridadep.gov</v>
      </c>
      <c r="D585" t="str">
        <f ca="1">IFERROR(__xludf.DUMMYFUNCTION("""COMPUTED_VALUE"""),"Nikki Dix")</f>
        <v>Nikki Dix</v>
      </c>
      <c r="E585" t="str">
        <f ca="1">IFERROR(__xludf.DUMMYFUNCTION("""COMPUTED_VALUE"""),"FDSP")</f>
        <v>FDSP</v>
      </c>
      <c r="F585" s="13">
        <f ca="1">IFERROR(__xludf.DUMMYFUNCTION("""COMPUTED_VALUE"""),0.322916666667879)</f>
        <v>0.32291666666787899</v>
      </c>
      <c r="G585" s="14">
        <f ca="1">IFERROR(__xludf.DUMMYFUNCTION("""COMPUTED_VALUE"""),44109)</f>
        <v>44109</v>
      </c>
      <c r="H585" t="str">
        <f ca="1">IFERROR(__xludf.DUMMYFUNCTION("""COMPUTED_VALUE"""),"Pellicer MM platforms")</f>
        <v>Pellicer MM platforms</v>
      </c>
      <c r="I585" s="15">
        <f ca="1">IFERROR(__xludf.DUMMYFUNCTION("""COMPUTED_VALUE"""),0.64583333333212)</f>
        <v>0.64583333333212001</v>
      </c>
      <c r="J585" s="16">
        <f ca="1">IFERROR(__xludf.DUMMYFUNCTION("""COMPUTED_VALUE"""),44109.6875)</f>
        <v>44109.6875</v>
      </c>
      <c r="K585" t="str">
        <f ca="1">IFERROR(__xludf.DUMMYFUNCTION("""COMPUTED_VALUE"""),"20ft Sea Ark FL5351SJ UNF 2015")</f>
        <v>20ft Sea Ark FL5351SJ UNF 2015</v>
      </c>
      <c r="M585" t="str">
        <f ca="1">IFERROR(__xludf.DUMMYFUNCTION("""COMPUTED_VALUE"""),"Ford F250 2017 (Moby Dix) - DEP0021578")</f>
        <v>Ford F250 2017 (Moby Dix) - DEP0021578</v>
      </c>
      <c r="N585" t="str">
        <f ca="1">IFERROR(__xludf.DUMMYFUNCTION("""COMPUTED_VALUE"""),"Shannon Dunnigan, (803) 727-5734, Silas Tanner, (904) 483-8423")</f>
        <v>Shannon Dunnigan, (803) 727-5734, Silas Tanner, (904) 483-8423</v>
      </c>
      <c r="O585" t="str">
        <f ca="1">IFERROR(__xludf.DUMMYFUNCTION("""COMPUTED_VALUE"""),"None")</f>
        <v>None</v>
      </c>
      <c r="P585" t="str">
        <f ca="1">IFERROR(__xludf.DUMMYFUNCTION("""COMPUTED_VALUE"""),"Dunnigan")</f>
        <v>Dunnigan</v>
      </c>
      <c r="Q585" t="str">
        <f ca="1">IFERROR(__xludf.DUMMYFUNCTION("""COMPUTED_VALUE"""),"All items in working order")</f>
        <v>All items in working order</v>
      </c>
      <c r="AE585" s="11"/>
      <c r="AF585" t="str">
        <v>Nikki.Dix@floridadep.gov</v>
      </c>
      <c r="AG585" s="18"/>
    </row>
    <row r="586" spans="1:33" ht="12.75">
      <c r="A586" s="10">
        <f ca="1">IFERROR(__xludf.DUMMYFUNCTION("""COMPUTED_VALUE"""),44110.3581372453)</f>
        <v>44110.358137245297</v>
      </c>
      <c r="B586" s="11" t="str">
        <f ca="1">IFERROR(__xludf.DUMMYFUNCTION("""COMPUTED_VALUE"""),"Shannon Dunnigan")</f>
        <v>Shannon Dunnigan</v>
      </c>
      <c r="C586" t="str">
        <f ca="1">IFERROR(__xludf.DUMMYFUNCTION("""COMPUTED_VALUE"""),"shannon.dunnigan@floridadep.gov")</f>
        <v>shannon.dunnigan@floridadep.gov</v>
      </c>
      <c r="D586" t="str">
        <f ca="1">IFERROR(__xludf.DUMMYFUNCTION("""COMPUTED_VALUE"""),"Nikki Dix")</f>
        <v>Nikki Dix</v>
      </c>
      <c r="E586" t="str">
        <f ca="1">IFERROR(__xludf.DUMMYFUNCTION("""COMPUTED_VALUE"""),"Bings Landing")</f>
        <v>Bings Landing</v>
      </c>
      <c r="F586" s="13">
        <f ca="1">IFERROR(__xludf.DUMMYFUNCTION("""COMPUTED_VALUE"""),0.322916666667879)</f>
        <v>0.32291666666787899</v>
      </c>
      <c r="G586" s="14">
        <f ca="1">IFERROR(__xludf.DUMMYFUNCTION("""COMPUTED_VALUE"""),44110)</f>
        <v>44110</v>
      </c>
      <c r="H586" t="str">
        <f ca="1">IFERROR(__xludf.DUMMYFUNCTION("""COMPUTED_VALUE"""),"Wash oaks platforms")</f>
        <v>Wash oaks platforms</v>
      </c>
      <c r="I586" s="15">
        <f ca="1">IFERROR(__xludf.DUMMYFUNCTION("""COMPUTED_VALUE"""),0.541666666667879)</f>
        <v>0.54166666666787899</v>
      </c>
      <c r="J586" s="16">
        <f ca="1">IFERROR(__xludf.DUMMYFUNCTION("""COMPUTED_VALUE"""),44110.625)</f>
        <v>44110.625</v>
      </c>
      <c r="K586" t="str">
        <f ca="1">IFERROR(__xludf.DUMMYFUNCTION("""COMPUTED_VALUE"""),"20ft Sea Ark FL5351SJ UNF 2015")</f>
        <v>20ft Sea Ark FL5351SJ UNF 2015</v>
      </c>
      <c r="M586" t="str">
        <f ca="1">IFERROR(__xludf.DUMMYFUNCTION("""COMPUTED_VALUE"""),"Ford F250 2017 (Moby Dix) - DEP0021578")</f>
        <v>Ford F250 2017 (Moby Dix) - DEP0021578</v>
      </c>
      <c r="N586" t="str">
        <f ca="1">IFERROR(__xludf.DUMMYFUNCTION("""COMPUTED_VALUE"""),"Shannon Dunnigan, (803) 727-5734, Silas Tanner, (904) 483-8423")</f>
        <v>Shannon Dunnigan, (803) 727-5734, Silas Tanner, (904) 483-8423</v>
      </c>
      <c r="O586" t="str">
        <f ca="1">IFERROR(__xludf.DUMMYFUNCTION("""COMPUTED_VALUE"""),"No one")</f>
        <v>No one</v>
      </c>
      <c r="P586" t="str">
        <f ca="1">IFERROR(__xludf.DUMMYFUNCTION("""COMPUTED_VALUE"""),"Shannon")</f>
        <v>Shannon</v>
      </c>
      <c r="Q586" t="str">
        <f ca="1">IFERROR(__xludf.DUMMYFUNCTION("""COMPUTED_VALUE"""),"All items in working order")</f>
        <v>All items in working order</v>
      </c>
      <c r="AE586" s="11"/>
      <c r="AF586" t="str">
        <v>Nikki.Dix@floridadep.gov</v>
      </c>
      <c r="AG586" s="18"/>
    </row>
    <row r="587" spans="1:33" ht="12.75">
      <c r="A587" s="10">
        <f ca="1">IFERROR(__xludf.DUMMYFUNCTION("""COMPUTED_VALUE"""),44111.321376956)</f>
        <v>44111.321376956002</v>
      </c>
      <c r="B587" s="11" t="str">
        <f ca="1">IFERROR(__xludf.DUMMYFUNCTION("""COMPUTED_VALUE"""),"Shannon Dunnigan")</f>
        <v>Shannon Dunnigan</v>
      </c>
      <c r="C587" t="str">
        <f ca="1">IFERROR(__xludf.DUMMYFUNCTION("""COMPUTED_VALUE"""),"shannon.dunnigan@floridadep.gov")</f>
        <v>shannon.dunnigan@floridadep.gov</v>
      </c>
      <c r="D587" t="str">
        <f ca="1">IFERROR(__xludf.DUMMYFUNCTION("""COMPUTED_VALUE"""),"Nikki Dix")</f>
        <v>Nikki Dix</v>
      </c>
      <c r="E587" t="str">
        <f ca="1">IFERROR(__xludf.DUMMYFUNCTION("""COMPUTED_VALUE"""),"Crane")</f>
        <v>Crane</v>
      </c>
      <c r="F587" s="13">
        <f ca="1">IFERROR(__xludf.DUMMYFUNCTION("""COMPUTED_VALUE"""),0.322916666667879)</f>
        <v>0.32291666666787899</v>
      </c>
      <c r="G587" s="14">
        <f ca="1">IFERROR(__xludf.DUMMYFUNCTION("""COMPUTED_VALUE"""),44111)</f>
        <v>44111</v>
      </c>
      <c r="H587" t="str">
        <f ca="1">IFERROR(__xludf.DUMMYFUNCTION("""COMPUTED_VALUE"""),"East creek")</f>
        <v>East creek</v>
      </c>
      <c r="I587" s="15">
        <f ca="1">IFERROR(__xludf.DUMMYFUNCTION("""COMPUTED_VALUE"""),0.5)</f>
        <v>0.5</v>
      </c>
      <c r="J587" s="16">
        <f ca="1">IFERROR(__xludf.DUMMYFUNCTION("""COMPUTED_VALUE"""),44111.5833333333)</f>
        <v>44111.583333333299</v>
      </c>
      <c r="K587" t="str">
        <f ca="1">IFERROR(__xludf.DUMMYFUNCTION("""COMPUTED_VALUE"""),"20ft Sea Ark FL5351SJ UNF 2015")</f>
        <v>20ft Sea Ark FL5351SJ UNF 2015</v>
      </c>
      <c r="M587" t="str">
        <f ca="1">IFERROR(__xludf.DUMMYFUNCTION("""COMPUTED_VALUE"""),"Ford F250 2017 (Moby Dix) - DEP0021578")</f>
        <v>Ford F250 2017 (Moby Dix) - DEP0021578</v>
      </c>
      <c r="N587" t="str">
        <f ca="1">IFERROR(__xludf.DUMMYFUNCTION("""COMPUTED_VALUE"""),"Shannon Dunnigan, (803) 727-5734, Silas Tanner, (904) 483-8423")</f>
        <v>Shannon Dunnigan, (803) 727-5734, Silas Tanner, (904) 483-8423</v>
      </c>
      <c r="O587" t="str">
        <f ca="1">IFERROR(__xludf.DUMMYFUNCTION("""COMPUTED_VALUE"""),"No one")</f>
        <v>No one</v>
      </c>
      <c r="P587" t="str">
        <f ca="1">IFERROR(__xludf.DUMMYFUNCTION("""COMPUTED_VALUE"""),"Shannon")</f>
        <v>Shannon</v>
      </c>
      <c r="Q587" t="str">
        <f ca="1">IFERROR(__xludf.DUMMYFUNCTION("""COMPUTED_VALUE"""),"All items in working order")</f>
        <v>All items in working order</v>
      </c>
      <c r="AE587" s="11"/>
      <c r="AF587" t="str">
        <v>Nikki.Dix@floridadep.gov</v>
      </c>
      <c r="AG587" s="18"/>
    </row>
    <row r="588" spans="1:33" ht="12.75">
      <c r="A588" s="10">
        <f ca="1">IFERROR(__xludf.DUMMYFUNCTION("""COMPUTED_VALUE"""),44111.3874565393)</f>
        <v>44111.387456539298</v>
      </c>
      <c r="B588" s="11" t="str">
        <f ca="1">IFERROR(__xludf.DUMMYFUNCTION("""COMPUTED_VALUE"""),"Pam Marcum")</f>
        <v>Pam Marcum</v>
      </c>
      <c r="C588" t="str">
        <f ca="1">IFERROR(__xludf.DUMMYFUNCTION("""COMPUTED_VALUE"""),"pamela.marcum@floridadep.gov")</f>
        <v>pamela.marcum@floridadep.gov</v>
      </c>
      <c r="D588" t="str">
        <f ca="1">IFERROR(__xludf.DUMMYFUNCTION("""COMPUTED_VALUE"""),"Nikki Dix")</f>
        <v>Nikki Dix</v>
      </c>
      <c r="E588" t="str">
        <f ca="1">IFERROR(__xludf.DUMMYFUNCTION("""COMPUTED_VALUE"""),"Faver Dykes")</f>
        <v>Faver Dykes</v>
      </c>
      <c r="F588" s="13">
        <f ca="1">IFERROR(__xludf.DUMMYFUNCTION("""COMPUTED_VALUE"""),0.385416666667879)</f>
        <v>0.38541666666787899</v>
      </c>
      <c r="G588" s="14">
        <f ca="1">IFERROR(__xludf.DUMMYFUNCTION("""COMPUTED_VALUE"""),44111)</f>
        <v>44111</v>
      </c>
      <c r="H588" t="str">
        <f ca="1">IFERROR(__xludf.DUMMYFUNCTION("""COMPUTED_VALUE"""),"Lower and Upper Pellicer transects")</f>
        <v>Lower and Upper Pellicer transects</v>
      </c>
      <c r="I588" s="15">
        <f ca="1">IFERROR(__xludf.DUMMYFUNCTION("""COMPUTED_VALUE"""),0.666666666667879)</f>
        <v>0.66666666666787899</v>
      </c>
      <c r="J588" s="16">
        <f ca="1">IFERROR(__xludf.DUMMYFUNCTION("""COMPUTED_VALUE"""),44111.7083333333)</f>
        <v>44111.708333333299</v>
      </c>
      <c r="K588" t="str">
        <f ca="1">IFERROR(__xludf.DUMMYFUNCTION("""COMPUTED_VALUE"""),"23ft Skiff (Bertha) FL7972LJ DEP07613")</f>
        <v>23ft Skiff (Bertha) FL7972LJ DEP07613</v>
      </c>
      <c r="M588" t="str">
        <f ca="1">IFERROR(__xludf.DUMMYFUNCTION("""COMPUTED_VALUE"""),"Ford F150 2015 (White) - DEP21448")</f>
        <v>Ford F150 2015 (White) - DEP21448</v>
      </c>
      <c r="N588" t="str">
        <f ca="1">IFERROR(__xludf.DUMMYFUNCTION("""COMPUTED_VALUE"""),"Pam Marcum, (480) 332-5414")</f>
        <v>Pam Marcum, (480) 332-5414</v>
      </c>
      <c r="O588" t="str">
        <f ca="1">IFERROR(__xludf.DUMMYFUNCTION("""COMPUTED_VALUE"""),"Alee Knoell, (619) 750-4833, Vincent McClure")</f>
        <v>Alee Knoell, (619) 750-4833, Vincent McClure</v>
      </c>
      <c r="P588" t="str">
        <f ca="1">IFERROR(__xludf.DUMMYFUNCTION("""COMPUTED_VALUE"""),"Pam")</f>
        <v>Pam</v>
      </c>
      <c r="Q588" t="str">
        <f ca="1">IFERROR(__xludf.DUMMYFUNCTION("""COMPUTED_VALUE"""),"All items in working order")</f>
        <v>All items in working order</v>
      </c>
      <c r="AE588" s="11"/>
      <c r="AF588" t="str">
        <v>Nikki.Dix@floridadep.gov</v>
      </c>
      <c r="AG588" s="18"/>
    </row>
    <row r="589" spans="1:33" ht="12.75">
      <c r="A589" s="10">
        <f ca="1">IFERROR(__xludf.DUMMYFUNCTION("""COMPUTED_VALUE"""),44111.4118804629)</f>
        <v>44111.411880462903</v>
      </c>
      <c r="B589" s="11" t="str">
        <f ca="1">IFERROR(__xludf.DUMMYFUNCTION("""COMPUTED_VALUE"""),"Shannon Dunnigan")</f>
        <v>Shannon Dunnigan</v>
      </c>
      <c r="C589" t="str">
        <f ca="1">IFERROR(__xludf.DUMMYFUNCTION("""COMPUTED_VALUE"""),"shannon.dunnigan@floridadep.gov")</f>
        <v>shannon.dunnigan@floridadep.gov</v>
      </c>
      <c r="D589" t="str">
        <f ca="1">IFERROR(__xludf.DUMMYFUNCTION("""COMPUTED_VALUE"""),"Nikki Dix")</f>
        <v>Nikki Dix</v>
      </c>
      <c r="E589" t="str">
        <f ca="1">IFERROR(__xludf.DUMMYFUNCTION("""COMPUTED_VALUE"""),"Crane")</f>
        <v>Crane</v>
      </c>
      <c r="F589" s="13">
        <f ca="1">IFERROR(__xludf.DUMMYFUNCTION("""COMPUTED_VALUE"""),0.322916666667879)</f>
        <v>0.32291666666787899</v>
      </c>
      <c r="G589" s="14">
        <f ca="1">IFERROR(__xludf.DUMMYFUNCTION("""COMPUTED_VALUE"""),44111)</f>
        <v>44111</v>
      </c>
      <c r="H589" t="str">
        <f ca="1">IFERROR(__xludf.DUMMYFUNCTION("""COMPUTED_VALUE"""),"East creek")</f>
        <v>East creek</v>
      </c>
      <c r="I589" s="15">
        <f ca="1">IFERROR(__xludf.DUMMYFUNCTION("""COMPUTED_VALUE"""),0.5)</f>
        <v>0.5</v>
      </c>
      <c r="J589" s="16">
        <f ca="1">IFERROR(__xludf.DUMMYFUNCTION("""COMPUTED_VALUE"""),44111.5833333333)</f>
        <v>44111.583333333299</v>
      </c>
      <c r="K589" t="str">
        <f ca="1">IFERROR(__xludf.DUMMYFUNCTION("""COMPUTED_VALUE"""),"20ft Sea Ark FL5351SJ UNF 2015")</f>
        <v>20ft Sea Ark FL5351SJ UNF 2015</v>
      </c>
      <c r="M589" t="str">
        <f ca="1">IFERROR(__xludf.DUMMYFUNCTION("""COMPUTED_VALUE"""),"Ford F250 2017 (Moby Dix) - DEP0021578")</f>
        <v>Ford F250 2017 (Moby Dix) - DEP0021578</v>
      </c>
      <c r="N589" t="str">
        <f ca="1">IFERROR(__xludf.DUMMYFUNCTION("""COMPUTED_VALUE"""),"Shannon Dunnigan, (803) 727-5734, Silas Tanner, (904) 483-8423")</f>
        <v>Shannon Dunnigan, (803) 727-5734, Silas Tanner, (904) 483-8423</v>
      </c>
      <c r="O589" t="str">
        <f ca="1">IFERROR(__xludf.DUMMYFUNCTION("""COMPUTED_VALUE"""),"No one")</f>
        <v>No one</v>
      </c>
      <c r="P589" t="str">
        <f ca="1">IFERROR(__xludf.DUMMYFUNCTION("""COMPUTED_VALUE"""),"Shannon")</f>
        <v>Shannon</v>
      </c>
      <c r="Q589" t="str">
        <f ca="1">IFERROR(__xludf.DUMMYFUNCTION("""COMPUTED_VALUE"""),"All items in working order")</f>
        <v>All items in working order</v>
      </c>
      <c r="AE589" s="11"/>
      <c r="AF589" t="str">
        <v>Nikki.Dix@floridadep.gov</v>
      </c>
      <c r="AG589" s="18"/>
    </row>
    <row r="590" spans="1:33" ht="12.75">
      <c r="A590" s="10">
        <f ca="1">IFERROR(__xludf.DUMMYFUNCTION("""COMPUTED_VALUE"""),44112.3019144212)</f>
        <v>44112.301914421201</v>
      </c>
      <c r="B590" s="11" t="str">
        <f ca="1">IFERROR(__xludf.DUMMYFUNCTION("""COMPUTED_VALUE"""),"Shannon Dunnigan")</f>
        <v>Shannon Dunnigan</v>
      </c>
      <c r="C590" t="str">
        <f ca="1">IFERROR(__xludf.DUMMYFUNCTION("""COMPUTED_VALUE"""),"shannon.dunnigan@floridadep.gov")</f>
        <v>shannon.dunnigan@floridadep.gov</v>
      </c>
      <c r="D590" t="str">
        <f ca="1">IFERROR(__xludf.DUMMYFUNCTION("""COMPUTED_VALUE"""),"Nikki Dix")</f>
        <v>Nikki Dix</v>
      </c>
      <c r="E590" t="str">
        <f ca="1">IFERROR(__xludf.DUMMYFUNCTION("""COMPUTED_VALUE"""),"Usina")</f>
        <v>Usina</v>
      </c>
      <c r="F590" s="13">
        <f ca="1">IFERROR(__xludf.DUMMYFUNCTION("""COMPUTED_VALUE"""),0.30208333333212)</f>
        <v>0.30208333333212001</v>
      </c>
      <c r="G590" s="14">
        <f ca="1">IFERROR(__xludf.DUMMYFUNCTION("""COMPUTED_VALUE"""),44112)</f>
        <v>44112</v>
      </c>
      <c r="H590" t="str">
        <f ca="1">IFERROR(__xludf.DUMMYFUNCTION("""COMPUTED_VALUE"""),"Hat Island")</f>
        <v>Hat Island</v>
      </c>
      <c r="I590" s="15">
        <f ca="1">IFERROR(__xludf.DUMMYFUNCTION("""COMPUTED_VALUE"""),0.541666666667879)</f>
        <v>0.54166666666787899</v>
      </c>
      <c r="J590" s="16">
        <f ca="1">IFERROR(__xludf.DUMMYFUNCTION("""COMPUTED_VALUE"""),44112.5833333333)</f>
        <v>44112.583333333299</v>
      </c>
      <c r="K590" t="str">
        <f ca="1">IFERROR(__xludf.DUMMYFUNCTION("""COMPUTED_VALUE"""),"20ft Sea Ark FL5351SJ UNF 2015")</f>
        <v>20ft Sea Ark FL5351SJ UNF 2015</v>
      </c>
      <c r="M590" t="str">
        <f ca="1">IFERROR(__xludf.DUMMYFUNCTION("""COMPUTED_VALUE"""),"Ford F250 2017 (Moby Dix) - DEP0021578")</f>
        <v>Ford F250 2017 (Moby Dix) - DEP0021578</v>
      </c>
      <c r="N590" t="str">
        <f ca="1">IFERROR(__xludf.DUMMYFUNCTION("""COMPUTED_VALUE"""),"Shannon Dunnigan, (803) 727-5734, Silas Tanner, (904) 483-8423")</f>
        <v>Shannon Dunnigan, (803) 727-5734, Silas Tanner, (904) 483-8423</v>
      </c>
      <c r="O590" t="str">
        <f ca="1">IFERROR(__xludf.DUMMYFUNCTION("""COMPUTED_VALUE"""),"No one")</f>
        <v>No one</v>
      </c>
      <c r="P590" t="str">
        <f ca="1">IFERROR(__xludf.DUMMYFUNCTION("""COMPUTED_VALUE"""),"Silas")</f>
        <v>Silas</v>
      </c>
      <c r="Q590" t="str">
        <f ca="1">IFERROR(__xludf.DUMMYFUNCTION("""COMPUTED_VALUE"""),"All items in working order")</f>
        <v>All items in working order</v>
      </c>
      <c r="AE590" s="11"/>
      <c r="AF590" t="str">
        <v>Nikki.Dix@floridadep.gov</v>
      </c>
      <c r="AG590" s="18"/>
    </row>
    <row r="591" spans="1:33" ht="12.75">
      <c r="A591" s="10">
        <f ca="1">IFERROR(__xludf.DUMMYFUNCTION("""COMPUTED_VALUE"""),44112.4960444444)</f>
        <v>44112.4960444444</v>
      </c>
      <c r="B591" s="11" t="str">
        <f ca="1">IFERROR(__xludf.DUMMYFUNCTION("""COMPUTED_VALUE"""),"Shannon Dunnigan")</f>
        <v>Shannon Dunnigan</v>
      </c>
      <c r="C591" t="str">
        <f ca="1">IFERROR(__xludf.DUMMYFUNCTION("""COMPUTED_VALUE"""),"shannon.dunnigan@floridadep.gov")</f>
        <v>shannon.dunnigan@floridadep.gov</v>
      </c>
      <c r="D591" t="str">
        <f ca="1">IFERROR(__xludf.DUMMYFUNCTION("""COMPUTED_VALUE"""),"Nikki Dix")</f>
        <v>Nikki Dix</v>
      </c>
      <c r="E591" t="str">
        <f ca="1">IFERROR(__xludf.DUMMYFUNCTION("""COMPUTED_VALUE"""),"Usina")</f>
        <v>Usina</v>
      </c>
      <c r="F591" s="13">
        <f ca="1">IFERROR(__xludf.DUMMYFUNCTION("""COMPUTED_VALUE"""),0.30208333333212)</f>
        <v>0.30208333333212001</v>
      </c>
      <c r="G591" s="14">
        <f ca="1">IFERROR(__xludf.DUMMYFUNCTION("""COMPUTED_VALUE"""),44112)</f>
        <v>44112</v>
      </c>
      <c r="H591" t="str">
        <f ca="1">IFERROR(__xludf.DUMMYFUNCTION("""COMPUTED_VALUE"""),"Hat Island")</f>
        <v>Hat Island</v>
      </c>
      <c r="I591" s="15">
        <f ca="1">IFERROR(__xludf.DUMMYFUNCTION("""COMPUTED_VALUE"""),0.541666666667879)</f>
        <v>0.54166666666787899</v>
      </c>
      <c r="J591" s="16">
        <f ca="1">IFERROR(__xludf.DUMMYFUNCTION("""COMPUTED_VALUE"""),44112.5833333333)</f>
        <v>44112.583333333299</v>
      </c>
      <c r="K591" t="str">
        <f ca="1">IFERROR(__xludf.DUMMYFUNCTION("""COMPUTED_VALUE"""),"20ft Sea Ark FL5351SJ UNF 2015")</f>
        <v>20ft Sea Ark FL5351SJ UNF 2015</v>
      </c>
      <c r="M591" t="str">
        <f ca="1">IFERROR(__xludf.DUMMYFUNCTION("""COMPUTED_VALUE"""),"Ford F250 2017 (Moby Dix) - DEP0021578")</f>
        <v>Ford F250 2017 (Moby Dix) - DEP0021578</v>
      </c>
      <c r="N591" t="str">
        <f ca="1">IFERROR(__xludf.DUMMYFUNCTION("""COMPUTED_VALUE"""),"Shannon Dunnigan, (803) 727-5734, Silas Tanner, (904) 483-8423")</f>
        <v>Shannon Dunnigan, (803) 727-5734, Silas Tanner, (904) 483-8423</v>
      </c>
      <c r="O591" t="str">
        <f ca="1">IFERROR(__xludf.DUMMYFUNCTION("""COMPUTED_VALUE"""),"No one")</f>
        <v>No one</v>
      </c>
      <c r="P591" t="str">
        <f ca="1">IFERROR(__xludf.DUMMYFUNCTION("""COMPUTED_VALUE"""),"Silas")</f>
        <v>Silas</v>
      </c>
      <c r="Q591" t="str">
        <f ca="1">IFERROR(__xludf.DUMMYFUNCTION("""COMPUTED_VALUE"""),"All items in working order")</f>
        <v>All items in working order</v>
      </c>
      <c r="AE591" s="11"/>
      <c r="AF591" t="str">
        <v>Nikki.Dix@floridadep.gov</v>
      </c>
      <c r="AG591" s="18"/>
    </row>
    <row r="592" spans="1:33" ht="12.75">
      <c r="A592" s="10">
        <f ca="1">IFERROR(__xludf.DUMMYFUNCTION("""COMPUTED_VALUE"""),44112.6111494675)</f>
        <v>44112.611149467499</v>
      </c>
      <c r="B592" s="11" t="str">
        <f ca="1">IFERROR(__xludf.DUMMYFUNCTION("""COMPUTED_VALUE"""),"Pam Marcum")</f>
        <v>Pam Marcum</v>
      </c>
      <c r="C592" t="str">
        <f ca="1">IFERROR(__xludf.DUMMYFUNCTION("""COMPUTED_VALUE"""),"pamela.marcum@floridadep.gov")</f>
        <v>pamela.marcum@floridadep.gov</v>
      </c>
      <c r="D592" t="str">
        <f ca="1">IFERROR(__xludf.DUMMYFUNCTION("""COMPUTED_VALUE"""),"Nikki Dix")</f>
        <v>Nikki Dix</v>
      </c>
      <c r="E592" t="str">
        <f ca="1">IFERROR(__xludf.DUMMYFUNCTION("""COMPUTED_VALUE"""),"Faver Dykes")</f>
        <v>Faver Dykes</v>
      </c>
      <c r="F592" s="13">
        <f ca="1">IFERROR(__xludf.DUMMYFUNCTION("""COMPUTED_VALUE"""),0.42708333333212)</f>
        <v>0.42708333333212001</v>
      </c>
      <c r="G592" s="14">
        <f ca="1">IFERROR(__xludf.DUMMYFUNCTION("""COMPUTED_VALUE"""),44112)</f>
        <v>44112</v>
      </c>
      <c r="H592" t="str">
        <f ca="1">IFERROR(__xludf.DUMMYFUNCTION("""COMPUTED_VALUE"""),"Upper and middle pc creek")</f>
        <v>Upper and middle pc creek</v>
      </c>
      <c r="I592" s="15">
        <f ca="1">IFERROR(__xludf.DUMMYFUNCTION("""COMPUTED_VALUE"""),0.58333333333212)</f>
        <v>0.58333333333212001</v>
      </c>
      <c r="J592" s="16">
        <f ca="1">IFERROR(__xludf.DUMMYFUNCTION("""COMPUTED_VALUE"""),44112.625)</f>
        <v>44112.625</v>
      </c>
      <c r="K592" t="str">
        <f ca="1">IFERROR(__xludf.DUMMYFUNCTION("""COMPUTED_VALUE"""),"23ft Skiff (Bertha) FL7972LJ DEP07613")</f>
        <v>23ft Skiff (Bertha) FL7972LJ DEP07613</v>
      </c>
      <c r="M592" t="str">
        <f ca="1">IFERROR(__xludf.DUMMYFUNCTION("""COMPUTED_VALUE"""),"Ford F150 2015 (White) - DEP21448")</f>
        <v>Ford F150 2015 (White) - DEP21448</v>
      </c>
      <c r="N592" t="str">
        <f ca="1">IFERROR(__xludf.DUMMYFUNCTION("""COMPUTED_VALUE"""),"Pam Marcum, (480) 332-5414")</f>
        <v>Pam Marcum, (480) 332-5414</v>
      </c>
      <c r="O592" t="str">
        <f ca="1">IFERROR(__xludf.DUMMYFUNCTION("""COMPUTED_VALUE"""),"Alee Knoell, (619) 750-4833, Steve Brown")</f>
        <v>Alee Knoell, (619) 750-4833, Steve Brown</v>
      </c>
      <c r="P592" t="str">
        <f ca="1">IFERROR(__xludf.DUMMYFUNCTION("""COMPUTED_VALUE"""),"Pam")</f>
        <v>Pam</v>
      </c>
      <c r="Q592" t="str">
        <f ca="1">IFERROR(__xludf.DUMMYFUNCTION("""COMPUTED_VALUE"""),"All items in working order")</f>
        <v>All items in working order</v>
      </c>
      <c r="AE592" s="11"/>
      <c r="AF592" t="str">
        <v>Nikki.Dix@floridadep.gov</v>
      </c>
      <c r="AG592" s="18"/>
    </row>
    <row r="593" spans="1:33" ht="12.75">
      <c r="A593" s="10">
        <f ca="1">IFERROR(__xludf.DUMMYFUNCTION("""COMPUTED_VALUE"""),44112.6151769328)</f>
        <v>44112.615176932799</v>
      </c>
      <c r="B593" s="11" t="str">
        <f ca="1">IFERROR(__xludf.DUMMYFUNCTION("""COMPUTED_VALUE"""),"Shannon Dunnigan")</f>
        <v>Shannon Dunnigan</v>
      </c>
      <c r="C593" t="str">
        <f ca="1">IFERROR(__xludf.DUMMYFUNCTION("""COMPUTED_VALUE"""),"shannon.dunnigan@floridadep.gov")</f>
        <v>shannon.dunnigan@floridadep.gov</v>
      </c>
      <c r="D593" t="str">
        <f ca="1">IFERROR(__xludf.DUMMYFUNCTION("""COMPUTED_VALUE"""),"Nikki Dix")</f>
        <v>Nikki Dix</v>
      </c>
      <c r="E593" t="str">
        <f ca="1">IFERROR(__xludf.DUMMYFUNCTION("""COMPUTED_VALUE"""),"Usina")</f>
        <v>Usina</v>
      </c>
      <c r="F593" s="13">
        <f ca="1">IFERROR(__xludf.DUMMYFUNCTION("""COMPUTED_VALUE"""),0.30208333333212)</f>
        <v>0.30208333333212001</v>
      </c>
      <c r="G593" s="14">
        <f ca="1">IFERROR(__xludf.DUMMYFUNCTION("""COMPUTED_VALUE"""),44112)</f>
        <v>44112</v>
      </c>
      <c r="H593" t="str">
        <f ca="1">IFERROR(__xludf.DUMMYFUNCTION("""COMPUTED_VALUE"""),"Hat Island")</f>
        <v>Hat Island</v>
      </c>
      <c r="I593" s="15">
        <f ca="1">IFERROR(__xludf.DUMMYFUNCTION("""COMPUTED_VALUE"""),0.541666666667879)</f>
        <v>0.54166666666787899</v>
      </c>
      <c r="J593" s="16">
        <f ca="1">IFERROR(__xludf.DUMMYFUNCTION("""COMPUTED_VALUE"""),44112.5833333333)</f>
        <v>44112.583333333299</v>
      </c>
      <c r="K593" t="str">
        <f ca="1">IFERROR(__xludf.DUMMYFUNCTION("""COMPUTED_VALUE"""),"20ft Sea Ark FL5351SJ UNF 2015")</f>
        <v>20ft Sea Ark FL5351SJ UNF 2015</v>
      </c>
      <c r="M593" t="str">
        <f ca="1">IFERROR(__xludf.DUMMYFUNCTION("""COMPUTED_VALUE"""),"Ford F250 2017 (Moby Dix) - DEP0021578")</f>
        <v>Ford F250 2017 (Moby Dix) - DEP0021578</v>
      </c>
      <c r="N593" t="str">
        <f ca="1">IFERROR(__xludf.DUMMYFUNCTION("""COMPUTED_VALUE"""),"Shannon Dunnigan, (803) 727-5734, Silas Tanner, (904) 483-8423")</f>
        <v>Shannon Dunnigan, (803) 727-5734, Silas Tanner, (904) 483-8423</v>
      </c>
      <c r="O593" t="str">
        <f ca="1">IFERROR(__xludf.DUMMYFUNCTION("""COMPUTED_VALUE"""),"No one")</f>
        <v>No one</v>
      </c>
      <c r="P593" t="str">
        <f ca="1">IFERROR(__xludf.DUMMYFUNCTION("""COMPUTED_VALUE"""),"Silas")</f>
        <v>Silas</v>
      </c>
      <c r="Q593" t="str">
        <f ca="1">IFERROR(__xludf.DUMMYFUNCTION("""COMPUTED_VALUE"""),"All items in working order")</f>
        <v>All items in working order</v>
      </c>
      <c r="AE593" s="11"/>
      <c r="AF593" t="str">
        <v>Nikki.Dix@floridadep.gov</v>
      </c>
      <c r="AG593" s="18"/>
    </row>
    <row r="594" spans="1:33" ht="12.75">
      <c r="A594" s="10">
        <f ca="1">IFERROR(__xludf.DUMMYFUNCTION("""COMPUTED_VALUE"""),44113.3304024189)</f>
        <v>44113.330402418898</v>
      </c>
      <c r="B594" s="11" t="str">
        <f ca="1">IFERROR(__xludf.DUMMYFUNCTION("""COMPUTED_VALUE"""),"Silas Tanner")</f>
        <v>Silas Tanner</v>
      </c>
      <c r="C594" t="str">
        <f ca="1">IFERROR(__xludf.DUMMYFUNCTION("""COMPUTED_VALUE"""),"silas.tanner@floridadep.gov")</f>
        <v>silas.tanner@floridadep.gov</v>
      </c>
      <c r="D594" t="str">
        <f ca="1">IFERROR(__xludf.DUMMYFUNCTION("""COMPUTED_VALUE"""),"Nikki Dix")</f>
        <v>Nikki Dix</v>
      </c>
      <c r="E594" t="str">
        <f ca="1">IFERROR(__xludf.DUMMYFUNCTION("""COMPUTED_VALUE"""),"Faver Dykes SP")</f>
        <v>Faver Dykes SP</v>
      </c>
      <c r="F594" s="13">
        <f ca="1">IFERROR(__xludf.DUMMYFUNCTION("""COMPUTED_VALUE"""),0.33333333333212)</f>
        <v>0.33333333333212001</v>
      </c>
      <c r="G594" s="14">
        <f ca="1">IFERROR(__xludf.DUMMYFUNCTION("""COMPUTED_VALUE"""),44113)</f>
        <v>44113</v>
      </c>
      <c r="H594" t="str">
        <f ca="1">IFERROR(__xludf.DUMMYFUNCTION("""COMPUTED_VALUE"""),"Pellicer MM platforms ")</f>
        <v xml:space="preserve">Pellicer MM platforms </v>
      </c>
      <c r="I594" s="15">
        <f ca="1">IFERROR(__xludf.DUMMYFUNCTION("""COMPUTED_VALUE"""),0.53125)</f>
        <v>0.53125</v>
      </c>
      <c r="J594" s="16">
        <f ca="1">IFERROR(__xludf.DUMMYFUNCTION("""COMPUTED_VALUE"""),44113.5833333333)</f>
        <v>44113.583333333299</v>
      </c>
      <c r="K594" t="str">
        <f ca="1">IFERROR(__xludf.DUMMYFUNCTION("""COMPUTED_VALUE"""),"20ft Sea Ark FL5351SJ UNF 2015")</f>
        <v>20ft Sea Ark FL5351SJ UNF 2015</v>
      </c>
      <c r="M594" t="str">
        <f ca="1">IFERROR(__xludf.DUMMYFUNCTION("""COMPUTED_VALUE"""),"Ford F250 2017 (Moby Dix) - DEP0021578")</f>
        <v>Ford F250 2017 (Moby Dix) - DEP0021578</v>
      </c>
      <c r="N594" t="str">
        <f ca="1">IFERROR(__xludf.DUMMYFUNCTION("""COMPUTED_VALUE"""),"Shannon Dunnigan, (803) 727-5734, Silas Tanner, (904) 483-8423")</f>
        <v>Shannon Dunnigan, (803) 727-5734, Silas Tanner, (904) 483-8423</v>
      </c>
      <c r="O594" t="str">
        <f ca="1">IFERROR(__xludf.DUMMYFUNCTION("""COMPUTED_VALUE"""),"None")</f>
        <v>None</v>
      </c>
      <c r="P594" t="str">
        <f ca="1">IFERROR(__xludf.DUMMYFUNCTION("""COMPUTED_VALUE"""),"Dunnigan")</f>
        <v>Dunnigan</v>
      </c>
      <c r="Q594" t="str">
        <f ca="1">IFERROR(__xludf.DUMMYFUNCTION("""COMPUTED_VALUE"""),"All items in working order")</f>
        <v>All items in working order</v>
      </c>
      <c r="AE594" s="11"/>
      <c r="AF594" t="str">
        <v>Nikki.Dix@floridadep.gov</v>
      </c>
      <c r="AG594" s="18"/>
    </row>
    <row r="595" spans="1:33" ht="12.75">
      <c r="A595" s="10">
        <f ca="1">IFERROR(__xludf.DUMMYFUNCTION("""COMPUTED_VALUE"""),44113.3543548842)</f>
        <v>44113.354354884199</v>
      </c>
      <c r="B595" s="11" t="str">
        <f ca="1">IFERROR(__xludf.DUMMYFUNCTION("""COMPUTED_VALUE"""),"Pam Marcum")</f>
        <v>Pam Marcum</v>
      </c>
      <c r="C595" t="str">
        <f ca="1">IFERROR(__xludf.DUMMYFUNCTION("""COMPUTED_VALUE"""),"pamela.marcum@floridadep.gov")</f>
        <v>pamela.marcum@floridadep.gov</v>
      </c>
      <c r="D595" t="str">
        <f ca="1">IFERROR(__xludf.DUMMYFUNCTION("""COMPUTED_VALUE"""),"Nikki Dix")</f>
        <v>Nikki Dix</v>
      </c>
      <c r="E595" t="str">
        <f ca="1">IFERROR(__xludf.DUMMYFUNCTION("""COMPUTED_VALUE"""),"Faver dykes")</f>
        <v>Faver dykes</v>
      </c>
      <c r="F595" s="13">
        <f ca="1">IFERROR(__xludf.DUMMYFUNCTION("""COMPUTED_VALUE"""),0.36458333333212)</f>
        <v>0.36458333333212001</v>
      </c>
      <c r="G595" s="14">
        <f ca="1">IFERROR(__xludf.DUMMYFUNCTION("""COMPUTED_VALUE"""),44113)</f>
        <v>44113</v>
      </c>
      <c r="H595" t="str">
        <f ca="1">IFERROR(__xludf.DUMMYFUNCTION("""COMPUTED_VALUE"""),"Lower, upper pc")</f>
        <v>Lower, upper pc</v>
      </c>
      <c r="I595" s="15">
        <f ca="1">IFERROR(__xludf.DUMMYFUNCTION("""COMPUTED_VALUE"""),0.58333333333212)</f>
        <v>0.58333333333212001</v>
      </c>
      <c r="J595" s="16">
        <f ca="1">IFERROR(__xludf.DUMMYFUNCTION("""COMPUTED_VALUE"""),44113.6458333333)</f>
        <v>44113.645833333299</v>
      </c>
      <c r="K595" t="str">
        <f ca="1">IFERROR(__xludf.DUMMYFUNCTION("""COMPUTED_VALUE"""),"23ft Skiff (Bertha) FL7972LJ DEP07613")</f>
        <v>23ft Skiff (Bertha) FL7972LJ DEP07613</v>
      </c>
      <c r="M595" t="str">
        <f ca="1">IFERROR(__xludf.DUMMYFUNCTION("""COMPUTED_VALUE"""),"Ford F150 2015 (White) - DEP21448")</f>
        <v>Ford F150 2015 (White) - DEP21448</v>
      </c>
      <c r="N595" t="str">
        <f ca="1">IFERROR(__xludf.DUMMYFUNCTION("""COMPUTED_VALUE"""),"Pam Marcum, (480) 332-5414")</f>
        <v>Pam Marcum, (480) 332-5414</v>
      </c>
      <c r="O595" t="str">
        <f ca="1">IFERROR(__xludf.DUMMYFUNCTION("""COMPUTED_VALUE"""),"Alee Knoell, (619) 750-4833, Steve Brow.")</f>
        <v>Alee Knoell, (619) 750-4833, Steve Brow.</v>
      </c>
      <c r="P595" t="str">
        <f ca="1">IFERROR(__xludf.DUMMYFUNCTION("""COMPUTED_VALUE"""),"Pam")</f>
        <v>Pam</v>
      </c>
      <c r="Q595" t="str">
        <f ca="1">IFERROR(__xludf.DUMMYFUNCTION("""COMPUTED_VALUE"""),"All items in working order")</f>
        <v>All items in working order</v>
      </c>
      <c r="AE595" s="11"/>
      <c r="AF595" t="str">
        <v>Nikki.Dix@floridadep.gov</v>
      </c>
      <c r="AG595" s="18"/>
    </row>
    <row r="596" spans="1:33" ht="12.75">
      <c r="A596" s="10">
        <f ca="1">IFERROR(__xludf.DUMMYFUNCTION("""COMPUTED_VALUE"""),44116.6877138078)</f>
        <v>44116.687713807798</v>
      </c>
      <c r="B596" s="11" t="str">
        <f ca="1">IFERROR(__xludf.DUMMYFUNCTION("""COMPUTED_VALUE"""),"Silas Tanner")</f>
        <v>Silas Tanner</v>
      </c>
      <c r="C596" t="str">
        <f ca="1">IFERROR(__xludf.DUMMYFUNCTION("""COMPUTED_VALUE"""),"silas.tanner@floridadep.gov")</f>
        <v>silas.tanner@floridadep.gov</v>
      </c>
      <c r="D596" t="str">
        <f ca="1">IFERROR(__xludf.DUMMYFUNCTION("""COMPUTED_VALUE"""),"Nikki Dix")</f>
        <v>Nikki Dix</v>
      </c>
      <c r="E596" t="str">
        <f ca="1">IFERROR(__xludf.DUMMYFUNCTION("""COMPUTED_VALUE"""),"Vilano Landing")</f>
        <v>Vilano Landing</v>
      </c>
      <c r="F596" s="13">
        <f ca="1">IFERROR(__xludf.DUMMYFUNCTION("""COMPUTED_VALUE"""),0.291666666667879)</f>
        <v>0.29166666666787899</v>
      </c>
      <c r="G596" s="14">
        <f ca="1">IFERROR(__xludf.DUMMYFUNCTION("""COMPUTED_VALUE"""),44117)</f>
        <v>44117</v>
      </c>
      <c r="H596" t="str">
        <f ca="1">IFERROR(__xludf.DUMMYFUNCTION("""COMPUTED_VALUE"""),"ICW SWMP sites")</f>
        <v>ICW SWMP sites</v>
      </c>
      <c r="I596" s="15">
        <f ca="1">IFERROR(__xludf.DUMMYFUNCTION("""COMPUTED_VALUE"""),0.541666666667879)</f>
        <v>0.54166666666787899</v>
      </c>
      <c r="J596" s="16">
        <f ca="1">IFERROR(__xludf.DUMMYFUNCTION("""COMPUTED_VALUE"""),44117.5625)</f>
        <v>44117.5625</v>
      </c>
      <c r="K596" t="str">
        <f ca="1">IFERROR(__xludf.DUMMYFUNCTION("""COMPUTED_VALUE"""),"23ft Skiff (Bertha) FL7972LJ DEP07613")</f>
        <v>23ft Skiff (Bertha) FL7972LJ DEP07613</v>
      </c>
      <c r="M596" t="str">
        <f ca="1">IFERROR(__xludf.DUMMYFUNCTION("""COMPUTED_VALUE"""),"Ford F250 2017 (Moby Dix) - DEP0021578")</f>
        <v>Ford F250 2017 (Moby Dix) - DEP0021578</v>
      </c>
      <c r="N596" t="str">
        <f ca="1">IFERROR(__xludf.DUMMYFUNCTION("""COMPUTED_VALUE"""),"Silas Tanner, (904) 483-8423")</f>
        <v>Silas Tanner, (904) 483-8423</v>
      </c>
      <c r="O596" t="str">
        <f ca="1">IFERROR(__xludf.DUMMYFUNCTION("""COMPUTED_VALUE"""),"Alee Knoell, (619) 750-4833")</f>
        <v>Alee Knoell, (619) 750-4833</v>
      </c>
      <c r="P596" t="str">
        <f ca="1">IFERROR(__xludf.DUMMYFUNCTION("""COMPUTED_VALUE"""),"Silas Tanner")</f>
        <v>Silas Tanner</v>
      </c>
      <c r="Q596" t="str">
        <f ca="1">IFERROR(__xludf.DUMMYFUNCTION("""COMPUTED_VALUE"""),"All items in working order")</f>
        <v>All items in working order</v>
      </c>
      <c r="AE596" s="11"/>
      <c r="AF596" t="str">
        <v>Nikki.Dix@floridadep.gov</v>
      </c>
      <c r="AG596" s="18"/>
    </row>
    <row r="597" spans="1:33" ht="12.75">
      <c r="A597" s="10">
        <f ca="1">IFERROR(__xludf.DUMMYFUNCTION("""COMPUTED_VALUE"""),44116.7800401157)</f>
        <v>44116.7800401157</v>
      </c>
      <c r="B597" s="11" t="str">
        <f ca="1">IFERROR(__xludf.DUMMYFUNCTION("""COMPUTED_VALUE"""),"Jessica Lee")</f>
        <v>Jessica Lee</v>
      </c>
      <c r="C597" t="str">
        <f ca="1">IFERROR(__xludf.DUMMYFUNCTION("""COMPUTED_VALUE"""),"jessica.lee@floridadep.gov")</f>
        <v>jessica.lee@floridadep.gov</v>
      </c>
      <c r="D597" t="str">
        <f ca="1">IFERROR(__xludf.DUMMYFUNCTION("""COMPUTED_VALUE"""),"Nikki Dix")</f>
        <v>Nikki Dix</v>
      </c>
      <c r="E597" t="str">
        <f ca="1">IFERROR(__xludf.DUMMYFUNCTION("""COMPUTED_VALUE"""),"Guana River")</f>
        <v>Guana River</v>
      </c>
      <c r="F597" s="13">
        <f ca="1">IFERROR(__xludf.DUMMYFUNCTION("""COMPUTED_VALUE"""),0.291666666667879)</f>
        <v>0.29166666666787899</v>
      </c>
      <c r="G597" s="14">
        <f ca="1">IFERROR(__xludf.DUMMYFUNCTION("""COMPUTED_VALUE"""),44117)</f>
        <v>44117</v>
      </c>
      <c r="H597" t="str">
        <f ca="1">IFERROR(__xludf.DUMMYFUNCTION("""COMPUTED_VALUE"""),"Guana River")</f>
        <v>Guana River</v>
      </c>
      <c r="I597" s="15">
        <f ca="1">IFERROR(__xludf.DUMMYFUNCTION("""COMPUTED_VALUE"""),0.375)</f>
        <v>0.375</v>
      </c>
      <c r="J597" s="16">
        <f ca="1">IFERROR(__xludf.DUMMYFUNCTION("""COMPUTED_VALUE"""),44117.3958333333)</f>
        <v>44117.395833333299</v>
      </c>
      <c r="K597" t="str">
        <f ca="1">IFERROR(__xludf.DUMMYFUNCTION("""COMPUTED_VALUE"""),"Jon Boat 1 FL5992RR DEP154045")</f>
        <v>Jon Boat 1 FL5992RR DEP154045</v>
      </c>
      <c r="M597" t="str">
        <f ca="1">IFERROR(__xludf.DUMMYFUNCTION("""COMPUTED_VALUE"""),"Ford F150 2008 (SWMP Thing) - DEP18041")</f>
        <v>Ford F150 2008 (SWMP Thing) - DEP18041</v>
      </c>
      <c r="N597" t="str">
        <f ca="1">IFERROR(__xludf.DUMMYFUNCTION("""COMPUTED_VALUE"""),"Pam Marcum, (480) 332-5414")</f>
        <v>Pam Marcum, (480) 332-5414</v>
      </c>
      <c r="O597" t="str">
        <f ca="1">IFERROR(__xludf.DUMMYFUNCTION("""COMPUTED_VALUE"""),"Jessica Lee")</f>
        <v>Jessica Lee</v>
      </c>
      <c r="P597" t="str">
        <f ca="1">IFERROR(__xludf.DUMMYFUNCTION("""COMPUTED_VALUE"""),"Jessica Lee")</f>
        <v>Jessica Lee</v>
      </c>
      <c r="Q597" t="str">
        <f ca="1">IFERROR(__xludf.DUMMYFUNCTION("""COMPUTED_VALUE"""),"All items in working order")</f>
        <v>All items in working order</v>
      </c>
      <c r="AE597" s="11"/>
      <c r="AF597" t="str">
        <v>Nikki.Dix@floridadep.gov</v>
      </c>
      <c r="AG597" s="18"/>
    </row>
    <row r="598" spans="1:33" ht="12.75">
      <c r="A598" s="10">
        <f ca="1">IFERROR(__xludf.DUMMYFUNCTION("""COMPUTED_VALUE"""),44119.3211426157)</f>
        <v>44119.3211426157</v>
      </c>
      <c r="B598" s="11" t="str">
        <f ca="1">IFERROR(__xludf.DUMMYFUNCTION("""COMPUTED_VALUE"""),"Jessica Lee")</f>
        <v>Jessica Lee</v>
      </c>
      <c r="C598" t="str">
        <f ca="1">IFERROR(__xludf.DUMMYFUNCTION("""COMPUTED_VALUE"""),"jessica.lee@floridadep.gov")</f>
        <v>jessica.lee@floridadep.gov</v>
      </c>
      <c r="D598" t="str">
        <f ca="1">IFERROR(__xludf.DUMMYFUNCTION("""COMPUTED_VALUE"""),"Nikki Dix")</f>
        <v>Nikki Dix</v>
      </c>
      <c r="E598" t="str">
        <f ca="1">IFERROR(__xludf.DUMMYFUNCTION("""COMPUTED_VALUE"""),"Guana River")</f>
        <v>Guana River</v>
      </c>
      <c r="F598" s="13">
        <f ca="1">IFERROR(__xludf.DUMMYFUNCTION("""COMPUTED_VALUE"""),0.291666666667879)</f>
        <v>0.29166666666787899</v>
      </c>
      <c r="G598" s="14">
        <f ca="1">IFERROR(__xludf.DUMMYFUNCTION("""COMPUTED_VALUE"""),44117)</f>
        <v>44117</v>
      </c>
      <c r="H598" t="str">
        <f ca="1">IFERROR(__xludf.DUMMYFUNCTION("""COMPUTED_VALUE"""),"Guana River")</f>
        <v>Guana River</v>
      </c>
      <c r="I598" s="15">
        <f ca="1">IFERROR(__xludf.DUMMYFUNCTION("""COMPUTED_VALUE"""),0.375)</f>
        <v>0.375</v>
      </c>
      <c r="J598" s="16">
        <f ca="1">IFERROR(__xludf.DUMMYFUNCTION("""COMPUTED_VALUE"""),44117.3958333333)</f>
        <v>44117.395833333299</v>
      </c>
      <c r="K598" t="str">
        <f ca="1">IFERROR(__xludf.DUMMYFUNCTION("""COMPUTED_VALUE"""),"Jon Boat 1 FL5992RR DEP154045")</f>
        <v>Jon Boat 1 FL5992RR DEP154045</v>
      </c>
      <c r="M598" t="str">
        <f ca="1">IFERROR(__xludf.DUMMYFUNCTION("""COMPUTED_VALUE"""),"Ford F150 2008 (SWMP Thing) - DEP18041")</f>
        <v>Ford F150 2008 (SWMP Thing) - DEP18041</v>
      </c>
      <c r="N598" t="str">
        <f ca="1">IFERROR(__xludf.DUMMYFUNCTION("""COMPUTED_VALUE"""),"Pam Marcum, (480) 332-5414")</f>
        <v>Pam Marcum, (480) 332-5414</v>
      </c>
      <c r="O598" t="str">
        <f ca="1">IFERROR(__xludf.DUMMYFUNCTION("""COMPUTED_VALUE"""),"Jessica Lee")</f>
        <v>Jessica Lee</v>
      </c>
      <c r="P598" t="str">
        <f ca="1">IFERROR(__xludf.DUMMYFUNCTION("""COMPUTED_VALUE"""),"Jessica Lee")</f>
        <v>Jessica Lee</v>
      </c>
      <c r="Q598" t="str">
        <f ca="1">IFERROR(__xludf.DUMMYFUNCTION("""COMPUTED_VALUE"""),"All items in working order")</f>
        <v>All items in working order</v>
      </c>
      <c r="AE598" s="11"/>
      <c r="AF598" t="str">
        <v>Nikki.Dix@floridadep.gov</v>
      </c>
      <c r="AG598" s="18"/>
    </row>
    <row r="599" spans="1:33" ht="12.75">
      <c r="A599" s="10">
        <f ca="1">IFERROR(__xludf.DUMMYFUNCTION("""COMPUTED_VALUE"""),44119.3232404629)</f>
        <v>44119.323240462902</v>
      </c>
      <c r="B599" s="11" t="str">
        <f ca="1">IFERROR(__xludf.DUMMYFUNCTION("""COMPUTED_VALUE"""),"Jessica Lee")</f>
        <v>Jessica Lee</v>
      </c>
      <c r="C599" t="str">
        <f ca="1">IFERROR(__xludf.DUMMYFUNCTION("""COMPUTED_VALUE"""),"jessica.lee@floridadep.gov")</f>
        <v>jessica.lee@floridadep.gov</v>
      </c>
      <c r="D599" t="str">
        <f ca="1">IFERROR(__xludf.DUMMYFUNCTION("""COMPUTED_VALUE"""),"Nikki Dix")</f>
        <v>Nikki Dix</v>
      </c>
      <c r="E599" t="str">
        <f ca="1">IFERROR(__xludf.DUMMYFUNCTION("""COMPUTED_VALUE"""),"Guana River ")</f>
        <v xml:space="preserve">Guana River </v>
      </c>
      <c r="F599" s="13">
        <f ca="1">IFERROR(__xludf.DUMMYFUNCTION("""COMPUTED_VALUE"""),0.361111111109494)</f>
        <v>0.36111111110949401</v>
      </c>
      <c r="G599" s="14">
        <f ca="1">IFERROR(__xludf.DUMMYFUNCTION("""COMPUTED_VALUE"""),44119)</f>
        <v>44119</v>
      </c>
      <c r="H599" t="str">
        <f ca="1">IFERROR(__xludf.DUMMYFUNCTION("""COMPUTED_VALUE"""),"Guana River")</f>
        <v>Guana River</v>
      </c>
      <c r="I599" s="15">
        <f ca="1">IFERROR(__xludf.DUMMYFUNCTION("""COMPUTED_VALUE"""),0.416666666667879)</f>
        <v>0.41666666666787899</v>
      </c>
      <c r="J599" s="16">
        <f ca="1">IFERROR(__xludf.DUMMYFUNCTION("""COMPUTED_VALUE"""),44119.4375)</f>
        <v>44119.4375</v>
      </c>
      <c r="K599" t="str">
        <f ca="1">IFERROR(__xludf.DUMMYFUNCTION("""COMPUTED_VALUE"""),"Jon Boat 1 FL5992RR DEP154045")</f>
        <v>Jon Boat 1 FL5992RR DEP154045</v>
      </c>
      <c r="M599" t="str">
        <f ca="1">IFERROR(__xludf.DUMMYFUNCTION("""COMPUTED_VALUE"""),"Ford F250 2017 (Moby Dix) - DEP0021578")</f>
        <v>Ford F250 2017 (Moby Dix) - DEP0021578</v>
      </c>
      <c r="N599" t="str">
        <f ca="1">IFERROR(__xludf.DUMMYFUNCTION("""COMPUTED_VALUE"""),"Silas Tanner, (904) 483-8423")</f>
        <v>Silas Tanner, (904) 483-8423</v>
      </c>
      <c r="O599" t="str">
        <f ca="1">IFERROR(__xludf.DUMMYFUNCTION("""COMPUTED_VALUE"""),"Jess ")</f>
        <v xml:space="preserve">Jess </v>
      </c>
      <c r="P599" t="str">
        <f ca="1">IFERROR(__xludf.DUMMYFUNCTION("""COMPUTED_VALUE"""),"Jessica Lee")</f>
        <v>Jessica Lee</v>
      </c>
      <c r="Q599" t="str">
        <f ca="1">IFERROR(__xludf.DUMMYFUNCTION("""COMPUTED_VALUE"""),"All items in working order")</f>
        <v>All items in working order</v>
      </c>
      <c r="AE599" s="11"/>
      <c r="AF599" t="str">
        <v>Nikki.Dix@floridadep.gov</v>
      </c>
      <c r="AG599" s="18"/>
    </row>
    <row r="600" spans="1:33" ht="12.75">
      <c r="A600" s="10">
        <f ca="1">IFERROR(__xludf.DUMMYFUNCTION("""COMPUTED_VALUE"""),44123.374907118)</f>
        <v>44123.374907117999</v>
      </c>
      <c r="B600" s="11" t="str">
        <f ca="1">IFERROR(__xludf.DUMMYFUNCTION("""COMPUTED_VALUE"""),"Pam Marcum")</f>
        <v>Pam Marcum</v>
      </c>
      <c r="C600" t="str">
        <f ca="1">IFERROR(__xludf.DUMMYFUNCTION("""COMPUTED_VALUE"""),"Pamela.Marcum@floridadep.gov")</f>
        <v>Pamela.Marcum@floridadep.gov</v>
      </c>
      <c r="D600" t="str">
        <f ca="1">IFERROR(__xludf.DUMMYFUNCTION("""COMPUTED_VALUE"""),"Nikki Dix")</f>
        <v>Nikki Dix</v>
      </c>
      <c r="E600" t="str">
        <f ca="1">IFERROR(__xludf.DUMMYFUNCTION("""COMPUTED_VALUE"""),"Faver-Dykes")</f>
        <v>Faver-Dykes</v>
      </c>
      <c r="F600" s="13">
        <f ca="1">IFERROR(__xludf.DUMMYFUNCTION("""COMPUTED_VALUE"""),0.375)</f>
        <v>0.375</v>
      </c>
      <c r="G600" s="14">
        <f ca="1">IFERROR(__xludf.DUMMYFUNCTION("""COMPUTED_VALUE"""),44123)</f>
        <v>44123</v>
      </c>
      <c r="H600" t="str">
        <f ca="1">IFERROR(__xludf.DUMMYFUNCTION("""COMPUTED_VALUE"""),"Pc platforms")</f>
        <v>Pc platforms</v>
      </c>
      <c r="I600" s="15">
        <f ca="1">IFERROR(__xludf.DUMMYFUNCTION("""COMPUTED_VALUE"""),0.5)</f>
        <v>0.5</v>
      </c>
      <c r="J600" s="16">
        <f ca="1">IFERROR(__xludf.DUMMYFUNCTION("""COMPUTED_VALUE"""),44123.5416666666)</f>
        <v>44123.541666666599</v>
      </c>
      <c r="K600" t="str">
        <f ca="1">IFERROR(__xludf.DUMMYFUNCTION("""COMPUTED_VALUE"""),"20ft Sea Ark FL5351SJ UNF 2015")</f>
        <v>20ft Sea Ark FL5351SJ UNF 2015</v>
      </c>
      <c r="M600" t="str">
        <f ca="1">IFERROR(__xludf.DUMMYFUNCTION("""COMPUTED_VALUE"""),"Ford F150 2015 (White) - DEP21448")</f>
        <v>Ford F150 2015 (White) - DEP21448</v>
      </c>
      <c r="N600" t="str">
        <f ca="1">IFERROR(__xludf.DUMMYFUNCTION("""COMPUTED_VALUE"""),"Pam Marcum, (480) 332-5414")</f>
        <v>Pam Marcum, (480) 332-5414</v>
      </c>
      <c r="O600" t="str">
        <f ca="1">IFERROR(__xludf.DUMMYFUNCTION("""COMPUTED_VALUE"""),"Alee Knoell, (619) 750-4833")</f>
        <v>Alee Knoell, (619) 750-4833</v>
      </c>
      <c r="P600" t="str">
        <f ca="1">IFERROR(__xludf.DUMMYFUNCTION("""COMPUTED_VALUE"""),"Pam")</f>
        <v>Pam</v>
      </c>
      <c r="Q600" t="str">
        <f ca="1">IFERROR(__xludf.DUMMYFUNCTION("""COMPUTED_VALUE"""),"All items in working order")</f>
        <v>All items in working order</v>
      </c>
      <c r="AE600" s="11"/>
      <c r="AF600" t="str">
        <v>Nikki.Dix@floridadep.gov</v>
      </c>
      <c r="AG600" s="18"/>
    </row>
    <row r="601" spans="1:33" ht="12.75">
      <c r="A601" s="10">
        <f ca="1">IFERROR(__xludf.DUMMYFUNCTION("""COMPUTED_VALUE"""),44126.2951049074)</f>
        <v>44126.295104907404</v>
      </c>
      <c r="B601" s="11" t="str">
        <f ca="1">IFERROR(__xludf.DUMMYFUNCTION("""COMPUTED_VALUE"""),"Shannon Dunnigan")</f>
        <v>Shannon Dunnigan</v>
      </c>
      <c r="C601" t="str">
        <f ca="1">IFERROR(__xludf.DUMMYFUNCTION("""COMPUTED_VALUE"""),"shannon.dunnigan@floridadep.gov")</f>
        <v>shannon.dunnigan@floridadep.gov</v>
      </c>
      <c r="D601" t="str">
        <f ca="1">IFERROR(__xludf.DUMMYFUNCTION("""COMPUTED_VALUE"""),"Nikki Dix")</f>
        <v>Nikki Dix</v>
      </c>
      <c r="E601" t="str">
        <f ca="1">IFERROR(__xludf.DUMMYFUNCTION("""COMPUTED_VALUE"""),"Greene Rd")</f>
        <v>Greene Rd</v>
      </c>
      <c r="F601" s="13">
        <f ca="1">IFERROR(__xludf.DUMMYFUNCTION("""COMPUTED_VALUE"""),0.30208333333212)</f>
        <v>0.30208333333212001</v>
      </c>
      <c r="G601" s="14">
        <f ca="1">IFERROR(__xludf.DUMMYFUNCTION("""COMPUTED_VALUE"""),44126)</f>
        <v>44126</v>
      </c>
      <c r="H601" t="str">
        <f ca="1">IFERROR(__xludf.DUMMYFUNCTION("""COMPUTED_VALUE"""),"Moses transects")</f>
        <v>Moses transects</v>
      </c>
      <c r="I601" s="15">
        <f ca="1">IFERROR(__xludf.DUMMYFUNCTION("""COMPUTED_VALUE"""),0.625)</f>
        <v>0.625</v>
      </c>
      <c r="J601" s="16">
        <f ca="1">IFERROR(__xludf.DUMMYFUNCTION("""COMPUTED_VALUE"""),44126.6875)</f>
        <v>44126.6875</v>
      </c>
      <c r="K601" t="str">
        <f ca="1">IFERROR(__xludf.DUMMYFUNCTION("""COMPUTED_VALUE"""),"20ft Sea Ark FL5351SJ UNF 2015")</f>
        <v>20ft Sea Ark FL5351SJ UNF 2015</v>
      </c>
      <c r="M601" t="str">
        <f ca="1">IFERROR(__xludf.DUMMYFUNCTION("""COMPUTED_VALUE"""),"Ford F250 2017 (Moby Dix) - DEP0021578")</f>
        <v>Ford F250 2017 (Moby Dix) - DEP0021578</v>
      </c>
      <c r="N601" t="str">
        <f ca="1">IFERROR(__xludf.DUMMYFUNCTION("""COMPUTED_VALUE"""),"Shannon Dunnigan, (803) 727-5734, Silas Tanner, (904) 483-8423")</f>
        <v>Shannon Dunnigan, (803) 727-5734, Silas Tanner, (904) 483-8423</v>
      </c>
      <c r="P601" t="str">
        <f ca="1">IFERROR(__xludf.DUMMYFUNCTION("""COMPUTED_VALUE"""),"Shannon")</f>
        <v>Shannon</v>
      </c>
      <c r="Q601" t="str">
        <f ca="1">IFERROR(__xludf.DUMMYFUNCTION("""COMPUTED_VALUE"""),"All items in working order")</f>
        <v>All items in working order</v>
      </c>
      <c r="AE601" s="11"/>
      <c r="AF601" t="str">
        <v>Nikki.Dix@floridadep.gov</v>
      </c>
      <c r="AG601" s="18"/>
    </row>
    <row r="602" spans="1:33" ht="12.75">
      <c r="A602" s="10">
        <f ca="1">IFERROR(__xludf.DUMMYFUNCTION("""COMPUTED_VALUE"""),44130.6367741203)</f>
        <v>44130.636774120299</v>
      </c>
      <c r="B602" s="11" t="str">
        <f ca="1">IFERROR(__xludf.DUMMYFUNCTION("""COMPUTED_VALUE"""),"Pam Marcum")</f>
        <v>Pam Marcum</v>
      </c>
      <c r="C602" t="str">
        <f ca="1">IFERROR(__xludf.DUMMYFUNCTION("""COMPUTED_VALUE"""),"pamela.marcum@floridadep.gov")</f>
        <v>pamela.marcum@floridadep.gov</v>
      </c>
      <c r="D602" t="str">
        <f ca="1">IFERROR(__xludf.DUMMYFUNCTION("""COMPUTED_VALUE"""),"Nikki Dix")</f>
        <v>Nikki Dix</v>
      </c>
      <c r="E602" t="str">
        <f ca="1">IFERROR(__xludf.DUMMYFUNCTION("""COMPUTED_VALUE"""),"Faver dykes")</f>
        <v>Faver dykes</v>
      </c>
      <c r="F602" s="13">
        <f ca="1">IFERROR(__xludf.DUMMYFUNCTION("""COMPUTED_VALUE"""),0.64583333333212)</f>
        <v>0.64583333333212001</v>
      </c>
      <c r="G602" s="14">
        <f ca="1">IFERROR(__xludf.DUMMYFUNCTION("""COMPUTED_VALUE"""),44130)</f>
        <v>44130</v>
      </c>
      <c r="H602" t="str">
        <f ca="1">IFERROR(__xludf.DUMMYFUNCTION("""COMPUTED_VALUE"""),"Upper PC")</f>
        <v>Upper PC</v>
      </c>
      <c r="I602" s="15">
        <f ca="1">IFERROR(__xludf.DUMMYFUNCTION("""COMPUTED_VALUE"""),0.75)</f>
        <v>0.75</v>
      </c>
      <c r="J602" s="16">
        <f ca="1">IFERROR(__xludf.DUMMYFUNCTION("""COMPUTED_VALUE"""),44130.7708333333)</f>
        <v>44130.770833333299</v>
      </c>
      <c r="K602" t="str">
        <f ca="1">IFERROR(__xludf.DUMMYFUNCTION("""COMPUTED_VALUE"""),"17ft Skiff (Marsha) FL0642GW DEP07239")</f>
        <v>17ft Skiff (Marsha) FL0642GW DEP07239</v>
      </c>
      <c r="M602" t="str">
        <f ca="1">IFERROR(__xludf.DUMMYFUNCTION("""COMPUTED_VALUE"""),"Ford F150 2015 (White) - DEP21448")</f>
        <v>Ford F150 2015 (White) - DEP21448</v>
      </c>
      <c r="N602" t="str">
        <f ca="1">IFERROR(__xludf.DUMMYFUNCTION("""COMPUTED_VALUE"""),"Pam Marcum, (480) 332-5414")</f>
        <v>Pam Marcum, (480) 332-5414</v>
      </c>
      <c r="O602" t="str">
        <f ca="1">IFERROR(__xludf.DUMMYFUNCTION("""COMPUTED_VALUE"""),"Allix North")</f>
        <v>Allix North</v>
      </c>
      <c r="P602" t="str">
        <f ca="1">IFERROR(__xludf.DUMMYFUNCTION("""COMPUTED_VALUE"""),"Pam")</f>
        <v>Pam</v>
      </c>
      <c r="Q602" t="str">
        <f ca="1">IFERROR(__xludf.DUMMYFUNCTION("""COMPUTED_VALUE"""),"All items in working order")</f>
        <v>All items in working order</v>
      </c>
      <c r="AE602" s="11"/>
      <c r="AF602" t="str">
        <v>Nikki.Dix@floridadep.gov</v>
      </c>
      <c r="AG602" s="18"/>
    </row>
    <row r="603" spans="1:33" ht="12.75">
      <c r="A603" s="10">
        <f ca="1">IFERROR(__xludf.DUMMYFUNCTION("""COMPUTED_VALUE"""),44132.459377037)</f>
        <v>44132.459377036997</v>
      </c>
      <c r="B603" s="11" t="str">
        <f ca="1">IFERROR(__xludf.DUMMYFUNCTION("""COMPUTED_VALUE"""),"Silas Tanner")</f>
        <v>Silas Tanner</v>
      </c>
      <c r="C603" t="str">
        <f ca="1">IFERROR(__xludf.DUMMYFUNCTION("""COMPUTED_VALUE"""),"silas.tanner@floridadep.gov")</f>
        <v>silas.tanner@floridadep.gov</v>
      </c>
      <c r="D603" t="str">
        <f ca="1">IFERROR(__xludf.DUMMYFUNCTION("""COMPUTED_VALUE"""),"Nikki Dix")</f>
        <v>Nikki Dix</v>
      </c>
      <c r="E603" t="str">
        <f ca="1">IFERROR(__xludf.DUMMYFUNCTION("""COMPUTED_VALUE"""),"Douglas Crane")</f>
        <v>Douglas Crane</v>
      </c>
      <c r="F603" s="13">
        <f ca="1">IFERROR(__xludf.DUMMYFUNCTION("""COMPUTED_VALUE"""),0.52083333333212)</f>
        <v>0.52083333333212001</v>
      </c>
      <c r="G603" s="14">
        <f ca="1">IFERROR(__xludf.DUMMYFUNCTION("""COMPUTED_VALUE"""),44132)</f>
        <v>44132</v>
      </c>
      <c r="H603" t="str">
        <f ca="1">IFERROR(__xludf.DUMMYFUNCTION("""COMPUTED_VALUE"""),"Site 22 platforms")</f>
        <v>Site 22 platforms</v>
      </c>
      <c r="I603" s="15">
        <f ca="1">IFERROR(__xludf.DUMMYFUNCTION("""COMPUTED_VALUE"""),0.58333333333212)</f>
        <v>0.58333333333212001</v>
      </c>
      <c r="J603" s="16">
        <f ca="1">IFERROR(__xludf.DUMMYFUNCTION("""COMPUTED_VALUE"""),44132.6041666666)</f>
        <v>44132.604166666599</v>
      </c>
      <c r="K603" t="str">
        <f ca="1">IFERROR(__xludf.DUMMYFUNCTION("""COMPUTED_VALUE"""),"20ft Sea Ark FL5351SJ UNF 2015")</f>
        <v>20ft Sea Ark FL5351SJ UNF 2015</v>
      </c>
      <c r="M603" t="str">
        <f ca="1">IFERROR(__xludf.DUMMYFUNCTION("""COMPUTED_VALUE"""),"Ford F250 2017 (Moby Dix) - DEP0021578")</f>
        <v>Ford F250 2017 (Moby Dix) - DEP0021578</v>
      </c>
      <c r="N603" t="str">
        <f ca="1">IFERROR(__xludf.DUMMYFUNCTION("""COMPUTED_VALUE"""),"Shannon Dunnigan, (803) 727-5734, Silas Tanner, (904) 483-8423")</f>
        <v>Shannon Dunnigan, (803) 727-5734, Silas Tanner, (904) 483-8423</v>
      </c>
      <c r="P603" t="str">
        <f ca="1">IFERROR(__xludf.DUMMYFUNCTION("""COMPUTED_VALUE"""),"S. Tanner")</f>
        <v>S. Tanner</v>
      </c>
      <c r="Q603" t="str">
        <f ca="1">IFERROR(__xludf.DUMMYFUNCTION("""COMPUTED_VALUE"""),"All items in working order")</f>
        <v>All items in working order</v>
      </c>
      <c r="AE603" s="11"/>
      <c r="AF603" t="str">
        <v>Nikki.Dix@floridadep.gov</v>
      </c>
      <c r="AG603" s="18"/>
    </row>
    <row r="604" spans="1:33" ht="12.75">
      <c r="A604" s="10">
        <f ca="1">IFERROR(__xludf.DUMMYFUNCTION("""COMPUTED_VALUE"""),44134.5113866435)</f>
        <v>44134.511386643499</v>
      </c>
      <c r="B604" s="11" t="str">
        <f ca="1">IFERROR(__xludf.DUMMYFUNCTION("""COMPUTED_VALUE"""),"Pam Marcum")</f>
        <v>Pam Marcum</v>
      </c>
      <c r="C604" t="str">
        <f ca="1">IFERROR(__xludf.DUMMYFUNCTION("""COMPUTED_VALUE"""),"pamela.marcum@floridadep.gov")</f>
        <v>pamela.marcum@floridadep.gov</v>
      </c>
      <c r="D604" t="str">
        <f ca="1">IFERROR(__xludf.DUMMYFUNCTION("""COMPUTED_VALUE"""),"Pam Marcum")</f>
        <v>Pam Marcum</v>
      </c>
      <c r="E604" t="str">
        <f ca="1">IFERROR(__xludf.DUMMYFUNCTION("""COMPUTED_VALUE"""),"Aunt Kate's")</f>
        <v>Aunt Kate's</v>
      </c>
      <c r="F604" s="13">
        <f ca="1">IFERROR(__xludf.DUMMYFUNCTION("""COMPUTED_VALUE"""),0.510416666667879)</f>
        <v>0.51041666666787899</v>
      </c>
      <c r="G604" s="14">
        <f ca="1">IFERROR(__xludf.DUMMYFUNCTION("""COMPUTED_VALUE"""),44134)</f>
        <v>44134</v>
      </c>
      <c r="H604" t="str">
        <f ca="1">IFERROR(__xludf.DUMMYFUNCTION("""COMPUTED_VALUE"""),"Spat trees SR-SA-FM-TR-GR")</f>
        <v>Spat trees SR-SA-FM-TR-GR</v>
      </c>
      <c r="I604" s="15">
        <f ca="1">IFERROR(__xludf.DUMMYFUNCTION("""COMPUTED_VALUE"""),0.77083333333212)</f>
        <v>0.77083333333212001</v>
      </c>
      <c r="J604" s="16">
        <f ca="1">IFERROR(__xludf.DUMMYFUNCTION("""COMPUTED_VALUE"""),44134.7916666666)</f>
        <v>44134.791666666599</v>
      </c>
      <c r="K604" t="str">
        <f ca="1">IFERROR(__xludf.DUMMYFUNCTION("""COMPUTED_VALUE"""),"20ft Sea Ark FL5351SJ UNF 2015")</f>
        <v>20ft Sea Ark FL5351SJ UNF 2015</v>
      </c>
      <c r="M604" t="str">
        <f ca="1">IFERROR(__xludf.DUMMYFUNCTION("""COMPUTED_VALUE"""),"Ford F150 2015 (White) - DEP21448")</f>
        <v>Ford F150 2015 (White) - DEP21448</v>
      </c>
      <c r="N604" t="str">
        <f ca="1">IFERROR(__xludf.DUMMYFUNCTION("""COMPUTED_VALUE"""),"Pam Marcum, (480) 332-5414")</f>
        <v>Pam Marcum, (480) 332-5414</v>
      </c>
      <c r="O604" t="str">
        <f ca="1">IFERROR(__xludf.DUMMYFUNCTION("""COMPUTED_VALUE"""),"Alee Knoell, (619) 750-4833")</f>
        <v>Alee Knoell, (619) 750-4833</v>
      </c>
      <c r="P604" t="str">
        <f ca="1">IFERROR(__xludf.DUMMYFUNCTION("""COMPUTED_VALUE"""),"Pam")</f>
        <v>Pam</v>
      </c>
      <c r="Q604" t="str">
        <f ca="1">IFERROR(__xludf.DUMMYFUNCTION("""COMPUTED_VALUE"""),"All items in working order")</f>
        <v>All items in working order</v>
      </c>
      <c r="AE604" s="11"/>
      <c r="AF604" t="str">
        <v>Pamela.Marcum@floridadep.gov</v>
      </c>
      <c r="AG604" s="18"/>
    </row>
    <row r="605" spans="1:33" ht="12.75">
      <c r="A605" s="10">
        <f ca="1">IFERROR(__xludf.DUMMYFUNCTION("""COMPUTED_VALUE"""),44139.3488869907)</f>
        <v>44139.348886990701</v>
      </c>
      <c r="B605" s="11" t="str">
        <f ca="1">IFERROR(__xludf.DUMMYFUNCTION("""COMPUTED_VALUE"""),"Silas Tanner")</f>
        <v>Silas Tanner</v>
      </c>
      <c r="C605" t="str">
        <f ca="1">IFERROR(__xludf.DUMMYFUNCTION("""COMPUTED_VALUE"""),"silas.tanner@floridadep.gov")</f>
        <v>silas.tanner@floridadep.gov</v>
      </c>
      <c r="D605" t="str">
        <f ca="1">IFERROR(__xludf.DUMMYFUNCTION("""COMPUTED_VALUE"""),"Nikki Dix")</f>
        <v>Nikki Dix</v>
      </c>
      <c r="E605" t="str">
        <f ca="1">IFERROR(__xludf.DUMMYFUNCTION("""COMPUTED_VALUE"""),"Crane")</f>
        <v>Crane</v>
      </c>
      <c r="F605" s="13">
        <f ca="1">IFERROR(__xludf.DUMMYFUNCTION("""COMPUTED_VALUE"""),0.347222222222626)</f>
        <v>0.347222222222626</v>
      </c>
      <c r="G605" s="14">
        <f ca="1">IFERROR(__xludf.DUMMYFUNCTION("""COMPUTED_VALUE"""),44139)</f>
        <v>44139</v>
      </c>
      <c r="H605" t="str">
        <f ca="1">IFERROR(__xludf.DUMMYFUNCTION("""COMPUTED_VALUE"""),"ICW SWMP sites")</f>
        <v>ICW SWMP sites</v>
      </c>
      <c r="I605" s="15">
        <f ca="1">IFERROR(__xludf.DUMMYFUNCTION("""COMPUTED_VALUE"""),0.5625)</f>
        <v>0.5625</v>
      </c>
      <c r="J605" s="16">
        <f ca="1">IFERROR(__xludf.DUMMYFUNCTION("""COMPUTED_VALUE"""),44139.6041666666)</f>
        <v>44139.604166666599</v>
      </c>
      <c r="K605" t="str">
        <f ca="1">IFERROR(__xludf.DUMMYFUNCTION("""COMPUTED_VALUE"""),"20ft Sea Ark FL5351SJ UNF 2015")</f>
        <v>20ft Sea Ark FL5351SJ UNF 2015</v>
      </c>
      <c r="M605" t="str">
        <f ca="1">IFERROR(__xludf.DUMMYFUNCTION("""COMPUTED_VALUE"""),"Ford F250 2017 (Moby Dix) - DEP0021578")</f>
        <v>Ford F250 2017 (Moby Dix) - DEP0021578</v>
      </c>
      <c r="N605" t="str">
        <f ca="1">IFERROR(__xludf.DUMMYFUNCTION("""COMPUTED_VALUE"""),"Silas Tanner, (904) 483-8423, Remo Mondazi")</f>
        <v>Silas Tanner, (904) 483-8423, Remo Mondazi</v>
      </c>
      <c r="P605" t="str">
        <f ca="1">IFERROR(__xludf.DUMMYFUNCTION("""COMPUTED_VALUE"""),"S Tanner")</f>
        <v>S Tanner</v>
      </c>
      <c r="Q605" t="str">
        <f ca="1">IFERROR(__xludf.DUMMYFUNCTION("""COMPUTED_VALUE"""),"All items in working order")</f>
        <v>All items in working order</v>
      </c>
      <c r="AE605" s="11"/>
      <c r="AF605" t="str">
        <v>Nikki.Dix@floridadep.gov</v>
      </c>
      <c r="AG605" s="18"/>
    </row>
    <row r="606" spans="1:33" ht="12.75">
      <c r="A606" s="10">
        <f ca="1">IFERROR(__xludf.DUMMYFUNCTION("""COMPUTED_VALUE"""),44151.3639589004)</f>
        <v>44151.363958900401</v>
      </c>
      <c r="B606" s="11" t="str">
        <f ca="1">IFERROR(__xludf.DUMMYFUNCTION("""COMPUTED_VALUE"""),"Jessica Lee")</f>
        <v>Jessica Lee</v>
      </c>
      <c r="C606" t="str">
        <f ca="1">IFERROR(__xludf.DUMMYFUNCTION("""COMPUTED_VALUE"""),"jessica.lee@floridadep.gov")</f>
        <v>jessica.lee@floridadep.gov</v>
      </c>
      <c r="D606" t="str">
        <f ca="1">IFERROR(__xludf.DUMMYFUNCTION("""COMPUTED_VALUE"""),"Shannon Dunnigan")</f>
        <v>Shannon Dunnigan</v>
      </c>
      <c r="E606" t="str">
        <f ca="1">IFERROR(__xludf.DUMMYFUNCTION("""COMPUTED_VALUE"""),"Guana River")</f>
        <v>Guana River</v>
      </c>
      <c r="F606" s="13">
        <f ca="1">IFERROR(__xludf.DUMMYFUNCTION("""COMPUTED_VALUE"""),0.39583333333212)</f>
        <v>0.39583333333212001</v>
      </c>
      <c r="G606" s="14">
        <f ca="1">IFERROR(__xludf.DUMMYFUNCTION("""COMPUTED_VALUE"""),44151)</f>
        <v>44151</v>
      </c>
      <c r="H606" t="str">
        <f ca="1">IFERROR(__xludf.DUMMYFUNCTION("""COMPUTED_VALUE"""),"Guana River ")</f>
        <v xml:space="preserve">Guana River </v>
      </c>
      <c r="I606" s="15">
        <f ca="1">IFERROR(__xludf.DUMMYFUNCTION("""COMPUTED_VALUE"""),0.45833333333212)</f>
        <v>0.45833333333212001</v>
      </c>
      <c r="J606" s="16">
        <f ca="1">IFERROR(__xludf.DUMMYFUNCTION("""COMPUTED_VALUE"""),44151.4791666666)</f>
        <v>44151.479166666599</v>
      </c>
      <c r="K606" t="str">
        <f ca="1">IFERROR(__xludf.DUMMYFUNCTION("""COMPUTED_VALUE"""),"Jon Boat 1 FL5992RR DEP154045")</f>
        <v>Jon Boat 1 FL5992RR DEP154045</v>
      </c>
      <c r="M606" t="str">
        <f ca="1">IFERROR(__xludf.DUMMYFUNCTION("""COMPUTED_VALUE"""),"Ford F150 2015 (White) - DEP21448")</f>
        <v>Ford F150 2015 (White) - DEP21448</v>
      </c>
      <c r="N606" t="str">
        <f ca="1">IFERROR(__xludf.DUMMYFUNCTION("""COMPUTED_VALUE"""),"Nikki Dix, (352) 219-4079")</f>
        <v>Nikki Dix, (352) 219-4079</v>
      </c>
      <c r="O606" t="str">
        <f ca="1">IFERROR(__xludf.DUMMYFUNCTION("""COMPUTED_VALUE"""),"Jessica Lee")</f>
        <v>Jessica Lee</v>
      </c>
      <c r="P606" t="str">
        <f ca="1">IFERROR(__xludf.DUMMYFUNCTION("""COMPUTED_VALUE"""),"Jessica Lee")</f>
        <v>Jessica Lee</v>
      </c>
      <c r="Q606" t="str">
        <f ca="1">IFERROR(__xludf.DUMMYFUNCTION("""COMPUTED_VALUE"""),"All items in working order")</f>
        <v>All items in working order</v>
      </c>
      <c r="AE606" s="11"/>
      <c r="AF606" t="str">
        <v>Shannon.Dunnigan@floridadep.gov</v>
      </c>
      <c r="AG606" s="18"/>
    </row>
    <row r="607" spans="1:33" ht="12.75">
      <c r="A607" s="10">
        <f ca="1">IFERROR(__xludf.DUMMYFUNCTION("""COMPUTED_VALUE"""),44152.4874542245)</f>
        <v>44152.487454224502</v>
      </c>
      <c r="B607" s="11" t="str">
        <f ca="1">IFERROR(__xludf.DUMMYFUNCTION("""COMPUTED_VALUE"""),"Alexandria Knoell")</f>
        <v>Alexandria Knoell</v>
      </c>
      <c r="C607" t="str">
        <f ca="1">IFERROR(__xludf.DUMMYFUNCTION("""COMPUTED_VALUE"""),"alee.knoell@floridadep.gov")</f>
        <v>alee.knoell@floridadep.gov</v>
      </c>
      <c r="D607" t="str">
        <f ca="1">IFERROR(__xludf.DUMMYFUNCTION("""COMPUTED_VALUE"""),"Shannon Dunnigan")</f>
        <v>Shannon Dunnigan</v>
      </c>
      <c r="E607" t="str">
        <f ca="1">IFERROR(__xludf.DUMMYFUNCTION("""COMPUTED_VALUE"""),"Vilano ")</f>
        <v xml:space="preserve">Vilano </v>
      </c>
      <c r="F607" s="13">
        <f ca="1">IFERROR(__xludf.DUMMYFUNCTION("""COMPUTED_VALUE"""),0.375)</f>
        <v>0.375</v>
      </c>
      <c r="G607" s="14">
        <f ca="1">IFERROR(__xludf.DUMMYFUNCTION("""COMPUTED_VALUE"""),44152)</f>
        <v>44152</v>
      </c>
      <c r="H607" t="str">
        <f ca="1">IFERROR(__xludf.DUMMYFUNCTION("""COMPUTED_VALUE"""),"Icw swmp sites")</f>
        <v>Icw swmp sites</v>
      </c>
      <c r="I607" s="15">
        <f ca="1">IFERROR(__xludf.DUMMYFUNCTION("""COMPUTED_VALUE"""),0.58333333333212)</f>
        <v>0.58333333333212001</v>
      </c>
      <c r="J607" s="16">
        <f ca="1">IFERROR(__xludf.DUMMYFUNCTION("""COMPUTED_VALUE"""),44152.6145833333)</f>
        <v>44152.614583333299</v>
      </c>
      <c r="K607" t="str">
        <f ca="1">IFERROR(__xludf.DUMMYFUNCTION("""COMPUTED_VALUE"""),"20ft Sea Ark FL5351SJ UNF 2015")</f>
        <v>20ft Sea Ark FL5351SJ UNF 2015</v>
      </c>
      <c r="M607" t="str">
        <f ca="1">IFERROR(__xludf.DUMMYFUNCTION("""COMPUTED_VALUE"""),"Ford F250 2017 (Moby Dix) - DEP0021578")</f>
        <v>Ford F250 2017 (Moby Dix) - DEP0021578</v>
      </c>
      <c r="N607" t="str">
        <f ca="1">IFERROR(__xludf.DUMMYFUNCTION("""COMPUTED_VALUE"""),"Silas Tanner, (904) 483-8423")</f>
        <v>Silas Tanner, (904) 483-8423</v>
      </c>
      <c r="O607" t="str">
        <f ca="1">IFERROR(__xludf.DUMMYFUNCTION("""COMPUTED_VALUE"""),"Alee Knoell, (619) 750-4833, Ashley reaume ")</f>
        <v xml:space="preserve">Alee Knoell, (619) 750-4833, Ashley reaume </v>
      </c>
      <c r="P607" t="str">
        <f ca="1">IFERROR(__xludf.DUMMYFUNCTION("""COMPUTED_VALUE"""),"Silas tanner")</f>
        <v>Silas tanner</v>
      </c>
      <c r="Q607" t="str">
        <f ca="1">IFERROR(__xludf.DUMMYFUNCTION("""COMPUTED_VALUE"""),"All items in working order")</f>
        <v>All items in working order</v>
      </c>
      <c r="AE607" s="11"/>
      <c r="AF607" t="str">
        <v>Shannon.Dunnigan@floridadep.gov</v>
      </c>
      <c r="AG607" s="18"/>
    </row>
    <row r="608" spans="1:33" ht="12.75">
      <c r="A608" s="10">
        <f ca="1">IFERROR(__xludf.DUMMYFUNCTION("""COMPUTED_VALUE"""),44153.7167790509)</f>
        <v>44153.716779050897</v>
      </c>
      <c r="B608" s="11" t="str">
        <f ca="1">IFERROR(__xludf.DUMMYFUNCTION("""COMPUTED_VALUE"""),"Alexandria Knoell")</f>
        <v>Alexandria Knoell</v>
      </c>
      <c r="C608" t="str">
        <f ca="1">IFERROR(__xludf.DUMMYFUNCTION("""COMPUTED_VALUE"""),"alee.knoell@floridadep.gov")</f>
        <v>alee.knoell@floridadep.gov</v>
      </c>
      <c r="D608" t="str">
        <f ca="1">IFERROR(__xludf.DUMMYFUNCTION("""COMPUTED_VALUE"""),"Shannon Dunnigan")</f>
        <v>Shannon Dunnigan</v>
      </c>
      <c r="E608" t="str">
        <f ca="1">IFERROR(__xludf.DUMMYFUNCTION("""COMPUTED_VALUE"""),"Vilano ")</f>
        <v xml:space="preserve">Vilano </v>
      </c>
      <c r="F608" s="13">
        <f ca="1">IFERROR(__xludf.DUMMYFUNCTION("""COMPUTED_VALUE"""),0.375)</f>
        <v>0.375</v>
      </c>
      <c r="G608" s="14">
        <f ca="1">IFERROR(__xludf.DUMMYFUNCTION("""COMPUTED_VALUE"""),44152)</f>
        <v>44152</v>
      </c>
      <c r="H608" t="str">
        <f ca="1">IFERROR(__xludf.DUMMYFUNCTION("""COMPUTED_VALUE"""),"Icw swmp sites")</f>
        <v>Icw swmp sites</v>
      </c>
      <c r="I608" s="15">
        <f ca="1">IFERROR(__xludf.DUMMYFUNCTION("""COMPUTED_VALUE"""),0.58333333333212)</f>
        <v>0.58333333333212001</v>
      </c>
      <c r="J608" s="16">
        <f ca="1">IFERROR(__xludf.DUMMYFUNCTION("""COMPUTED_VALUE"""),44152.6145833333)</f>
        <v>44152.614583333299</v>
      </c>
      <c r="K608" t="str">
        <f ca="1">IFERROR(__xludf.DUMMYFUNCTION("""COMPUTED_VALUE"""),"20ft Sea Ark FL5351SJ UNF 2015")</f>
        <v>20ft Sea Ark FL5351SJ UNF 2015</v>
      </c>
      <c r="M608" t="str">
        <f ca="1">IFERROR(__xludf.DUMMYFUNCTION("""COMPUTED_VALUE"""),"Ford F250 2017 (Moby Dix) - DEP0021578")</f>
        <v>Ford F250 2017 (Moby Dix) - DEP0021578</v>
      </c>
      <c r="N608" t="str">
        <f ca="1">IFERROR(__xludf.DUMMYFUNCTION("""COMPUTED_VALUE"""),"Silas Tanner, (904) 483-8423")</f>
        <v>Silas Tanner, (904) 483-8423</v>
      </c>
      <c r="O608" t="str">
        <f ca="1">IFERROR(__xludf.DUMMYFUNCTION("""COMPUTED_VALUE"""),"Alee Knoell, (619) 750-4833, Ashley reaume ")</f>
        <v xml:space="preserve">Alee Knoell, (619) 750-4833, Ashley reaume </v>
      </c>
      <c r="P608" t="str">
        <f ca="1">IFERROR(__xludf.DUMMYFUNCTION("""COMPUTED_VALUE"""),"Silas tanner")</f>
        <v>Silas tanner</v>
      </c>
      <c r="Q608" t="str">
        <f ca="1">IFERROR(__xludf.DUMMYFUNCTION("""COMPUTED_VALUE"""),"All items in working order")</f>
        <v>All items in working order</v>
      </c>
      <c r="AE608" s="11"/>
      <c r="AF608" t="str">
        <v>Shannon.Dunnigan@floridadep.gov</v>
      </c>
      <c r="AG608" s="18"/>
    </row>
    <row r="609" spans="1:33" ht="12.75">
      <c r="A609" s="10">
        <f ca="1">IFERROR(__xludf.DUMMYFUNCTION("""COMPUTED_VALUE"""),44155.3977332986)</f>
        <v>44155.397733298603</v>
      </c>
      <c r="B609" s="11" t="str">
        <f ca="1">IFERROR(__xludf.DUMMYFUNCTION("""COMPUTED_VALUE"""),"Pam Marcum")</f>
        <v>Pam Marcum</v>
      </c>
      <c r="C609" t="str">
        <f ca="1">IFERROR(__xludf.DUMMYFUNCTION("""COMPUTED_VALUE"""),"pamela.marcum@floridadep.gov")</f>
        <v>pamela.marcum@floridadep.gov</v>
      </c>
      <c r="D609" t="str">
        <f ca="1">IFERROR(__xludf.DUMMYFUNCTION("""COMPUTED_VALUE"""),"Shannon Dunnigan")</f>
        <v>Shannon Dunnigan</v>
      </c>
      <c r="E609" t="str">
        <f ca="1">IFERROR(__xludf.DUMMYFUNCTION("""COMPUTED_VALUE"""),"Shore Dr")</f>
        <v>Shore Dr</v>
      </c>
      <c r="F609" s="13">
        <f ca="1">IFERROR(__xludf.DUMMYFUNCTION("""COMPUTED_VALUE"""),0.39583333333212)</f>
        <v>0.39583333333212001</v>
      </c>
      <c r="G609" s="14">
        <f ca="1">IFERROR(__xludf.DUMMYFUNCTION("""COMPUTED_VALUE"""),44155)</f>
        <v>44155</v>
      </c>
      <c r="H609" t="str">
        <f ca="1">IFERROR(__xludf.DUMMYFUNCTION("""COMPUTED_VALUE"""),"Gabby's Creek")</f>
        <v>Gabby's Creek</v>
      </c>
      <c r="I609" s="15">
        <f ca="1">IFERROR(__xludf.DUMMYFUNCTION("""COMPUTED_VALUE"""),0.541666666667879)</f>
        <v>0.54166666666787899</v>
      </c>
      <c r="J609" s="16">
        <f ca="1">IFERROR(__xludf.DUMMYFUNCTION("""COMPUTED_VALUE"""),44155.5833333333)</f>
        <v>44155.583333333299</v>
      </c>
      <c r="K609" t="str">
        <f ca="1">IFERROR(__xludf.DUMMYFUNCTION("""COMPUTED_VALUE"""),"20ft Sea Ark FL5351SJ UNF 2015")</f>
        <v>20ft Sea Ark FL5351SJ UNF 2015</v>
      </c>
      <c r="M609" t="str">
        <f ca="1">IFERROR(__xludf.DUMMYFUNCTION("""COMPUTED_VALUE"""),"Ford F150 2015 (White) - DEP21448")</f>
        <v>Ford F150 2015 (White) - DEP21448</v>
      </c>
      <c r="N609" t="str">
        <f ca="1">IFERROR(__xludf.DUMMYFUNCTION("""COMPUTED_VALUE"""),"Pam Marcum, (480) 332-5414, Gabby Canas")</f>
        <v>Pam Marcum, (480) 332-5414, Gabby Canas</v>
      </c>
      <c r="P609" t="str">
        <f ca="1">IFERROR(__xludf.DUMMYFUNCTION("""COMPUTED_VALUE"""),"Pam")</f>
        <v>Pam</v>
      </c>
      <c r="Q609" t="str">
        <f ca="1">IFERROR(__xludf.DUMMYFUNCTION("""COMPUTED_VALUE"""),"All items in working order")</f>
        <v>All items in working order</v>
      </c>
      <c r="AE609" s="11"/>
      <c r="AF609" t="str">
        <v>Shannon.Dunnigan@floridadep.gov</v>
      </c>
      <c r="AG609" s="18"/>
    </row>
    <row r="610" spans="1:33" ht="12.75">
      <c r="A610" s="10">
        <f ca="1">IFERROR(__xludf.DUMMYFUNCTION("""COMPUTED_VALUE"""),44165.4827342129)</f>
        <v>44165.482734212899</v>
      </c>
      <c r="B610" s="11" t="str">
        <f ca="1">IFERROR(__xludf.DUMMYFUNCTION("""COMPUTED_VALUE"""),"Pamela Marcum")</f>
        <v>Pamela Marcum</v>
      </c>
      <c r="C610" t="str">
        <f ca="1">IFERROR(__xludf.DUMMYFUNCTION("""COMPUTED_VALUE"""),"pamela.marcum@floridadep.gov")</f>
        <v>pamela.marcum@floridadep.gov</v>
      </c>
      <c r="D610" t="str">
        <f ca="1">IFERROR(__xludf.DUMMYFUNCTION("""COMPUTED_VALUE"""),"Nikki Dix")</f>
        <v>Nikki Dix</v>
      </c>
      <c r="F610" s="13">
        <f ca="1">IFERROR(__xludf.DUMMYFUNCTION("""COMPUTED_VALUE"""),0.479166666667879)</f>
        <v>0.47916666666787899</v>
      </c>
      <c r="G610" s="14">
        <f ca="1">IFERROR(__xludf.DUMMYFUNCTION("""COMPUTED_VALUE"""),44165)</f>
        <v>44165</v>
      </c>
      <c r="H610" t="str">
        <f ca="1">IFERROR(__xludf.DUMMYFUNCTION("""COMPUTED_VALUE"""),"SA FM spat trees")</f>
        <v>SA FM spat trees</v>
      </c>
      <c r="I610" s="15">
        <f ca="1">IFERROR(__xludf.DUMMYFUNCTION("""COMPUTED_VALUE"""),0.625)</f>
        <v>0.625</v>
      </c>
      <c r="J610" s="16">
        <f ca="1">IFERROR(__xludf.DUMMYFUNCTION("""COMPUTED_VALUE"""),44165.6666666666)</f>
        <v>44165.666666666599</v>
      </c>
      <c r="K610" t="str">
        <f ca="1">IFERROR(__xludf.DUMMYFUNCTION("""COMPUTED_VALUE"""),"23ft Skiff (Bertha) FL7972LJ DEP07613")</f>
        <v>23ft Skiff (Bertha) FL7972LJ DEP07613</v>
      </c>
      <c r="M610" t="str">
        <f ca="1">IFERROR(__xludf.DUMMYFUNCTION("""COMPUTED_VALUE"""),"Ford F250 2017 (Moby Dix) - DEP0021578")</f>
        <v>Ford F250 2017 (Moby Dix) - DEP0021578</v>
      </c>
      <c r="N610" t="str">
        <f ca="1">IFERROR(__xludf.DUMMYFUNCTION("""COMPUTED_VALUE"""),"Pam Marcum, (480) 332-5414")</f>
        <v>Pam Marcum, (480) 332-5414</v>
      </c>
      <c r="O610" t="str">
        <f ca="1">IFERROR(__xludf.DUMMYFUNCTION("""COMPUTED_VALUE"""),"Allix North")</f>
        <v>Allix North</v>
      </c>
      <c r="P610" t="str">
        <f ca="1">IFERROR(__xludf.DUMMYFUNCTION("""COMPUTED_VALUE"""),"Pam")</f>
        <v>Pam</v>
      </c>
      <c r="Q610" t="str">
        <f ca="1">IFERROR(__xludf.DUMMYFUNCTION("""COMPUTED_VALUE"""),"All items in working order")</f>
        <v>All items in working order</v>
      </c>
      <c r="AE610" s="11"/>
      <c r="AF610" t="str">
        <v>Nikki.Dix@floridadep.gov</v>
      </c>
      <c r="AG610" s="18"/>
    </row>
    <row r="611" spans="1:33" ht="12.75">
      <c r="A611" s="10">
        <f ca="1">IFERROR(__xludf.DUMMYFUNCTION("""COMPUTED_VALUE"""),44165.5035549768)</f>
        <v>44165.5035549768</v>
      </c>
      <c r="B611" s="11" t="str">
        <f ca="1">IFERROR(__xludf.DUMMYFUNCTION("""COMPUTED_VALUE"""),"Alexandria Knoell")</f>
        <v>Alexandria Knoell</v>
      </c>
      <c r="C611" t="str">
        <f ca="1">IFERROR(__xludf.DUMMYFUNCTION("""COMPUTED_VALUE"""),"alee.knoell@floridadep.gov")</f>
        <v>alee.knoell@floridadep.gov</v>
      </c>
      <c r="D611" t="str">
        <f ca="1">IFERROR(__xludf.DUMMYFUNCTION("""COMPUTED_VALUE"""),"Shannon Dunnigan")</f>
        <v>Shannon Dunnigan</v>
      </c>
      <c r="E611" t="str">
        <f ca="1">IFERROR(__xludf.DUMMYFUNCTION("""COMPUTED_VALUE"""),"Vilano")</f>
        <v>Vilano</v>
      </c>
      <c r="F611" s="13">
        <f ca="1">IFERROR(__xludf.DUMMYFUNCTION("""COMPUTED_VALUE"""),0.5)</f>
        <v>0.5</v>
      </c>
      <c r="G611" s="14">
        <f ca="1">IFERROR(__xludf.DUMMYFUNCTION("""COMPUTED_VALUE"""),44165)</f>
        <v>44165</v>
      </c>
      <c r="H611" t="str">
        <f ca="1">IFERROR(__xludf.DUMMYFUNCTION("""COMPUTED_VALUE"""),"Spat")</f>
        <v>Spat</v>
      </c>
      <c r="I611" s="15">
        <f ca="1">IFERROR(__xludf.DUMMYFUNCTION("""COMPUTED_VALUE"""),0.625)</f>
        <v>0.625</v>
      </c>
      <c r="J611" s="16">
        <f ca="1">IFERROR(__xludf.DUMMYFUNCTION("""COMPUTED_VALUE"""),44165.65625)</f>
        <v>44165.65625</v>
      </c>
      <c r="K611" t="str">
        <f ca="1">IFERROR(__xludf.DUMMYFUNCTION("""COMPUTED_VALUE"""),"20ft Sea Ark FL5351SJ UNF 2015")</f>
        <v>20ft Sea Ark FL5351SJ UNF 2015</v>
      </c>
      <c r="M611" t="str">
        <f ca="1">IFERROR(__xludf.DUMMYFUNCTION("""COMPUTED_VALUE"""),"Ford F150 2015 (White) - DEP21448")</f>
        <v>Ford F150 2015 (White) - DEP21448</v>
      </c>
      <c r="N611" t="str">
        <f ca="1">IFERROR(__xludf.DUMMYFUNCTION("""COMPUTED_VALUE"""),"Remo")</f>
        <v>Remo</v>
      </c>
      <c r="O611" t="str">
        <f ca="1">IFERROR(__xludf.DUMMYFUNCTION("""COMPUTED_VALUE"""),"Alee Knoell, (619) 750-4833")</f>
        <v>Alee Knoell, (619) 750-4833</v>
      </c>
      <c r="P611" t="str">
        <f ca="1">IFERROR(__xludf.DUMMYFUNCTION("""COMPUTED_VALUE"""),"Alee")</f>
        <v>Alee</v>
      </c>
      <c r="Q611" t="str">
        <f ca="1">IFERROR(__xludf.DUMMYFUNCTION("""COMPUTED_VALUE"""),"All items in working order")</f>
        <v>All items in working order</v>
      </c>
      <c r="AE611" s="11"/>
      <c r="AF611" t="str">
        <v>Shannon.Dunnigan@floridadep.gov</v>
      </c>
      <c r="AG611" s="18"/>
    </row>
    <row r="612" spans="1:33" ht="12.75">
      <c r="A612" s="10">
        <f ca="1">IFERROR(__xludf.DUMMYFUNCTION("""COMPUTED_VALUE"""),44166.3424239004)</f>
        <v>44166.342423900402</v>
      </c>
      <c r="B612" s="11" t="str">
        <f ca="1">IFERROR(__xludf.DUMMYFUNCTION("""COMPUTED_VALUE"""),"Silas Tanner")</f>
        <v>Silas Tanner</v>
      </c>
      <c r="C612" t="str">
        <f ca="1">IFERROR(__xludf.DUMMYFUNCTION("""COMPUTED_VALUE"""),"silas.tanner@floridadep.gov")</f>
        <v>silas.tanner@floridadep.gov</v>
      </c>
      <c r="D612" t="str">
        <f ca="1">IFERROR(__xludf.DUMMYFUNCTION("""COMPUTED_VALUE"""),"Nikki Dix")</f>
        <v>Nikki Dix</v>
      </c>
      <c r="E612" t="str">
        <f ca="1">IFERROR(__xludf.DUMMYFUNCTION("""COMPUTED_VALUE"""),"Green Road, Vilano, Aunt Kates")</f>
        <v>Green Road, Vilano, Aunt Kates</v>
      </c>
      <c r="F612" s="13">
        <f ca="1">IFERROR(__xludf.DUMMYFUNCTION("""COMPUTED_VALUE"""),0.39583333333212)</f>
        <v>0.39583333333212001</v>
      </c>
      <c r="G612" s="14">
        <f ca="1">IFERROR(__xludf.DUMMYFUNCTION("""COMPUTED_VALUE"""),44166)</f>
        <v>44166</v>
      </c>
      <c r="H612" t="str">
        <f ca="1">IFERROR(__xludf.DUMMYFUNCTION("""COMPUTED_VALUE"""),"ICW SWMP Sites")</f>
        <v>ICW SWMP Sites</v>
      </c>
      <c r="I612" s="15">
        <f ca="1">IFERROR(__xludf.DUMMYFUNCTION("""COMPUTED_VALUE"""),0.625)</f>
        <v>0.625</v>
      </c>
      <c r="J612" s="16">
        <f ca="1">IFERROR(__xludf.DUMMYFUNCTION("""COMPUTED_VALUE"""),44166.6458333333)</f>
        <v>44166.645833333299</v>
      </c>
      <c r="K612" t="str">
        <f ca="1">IFERROR(__xludf.DUMMYFUNCTION("""COMPUTED_VALUE"""),"20ft Sea Ark FL5351SJ UNF 2015")</f>
        <v>20ft Sea Ark FL5351SJ UNF 2015</v>
      </c>
      <c r="M612" t="str">
        <f ca="1">IFERROR(__xludf.DUMMYFUNCTION("""COMPUTED_VALUE"""),"Ford F150 2015 (White) - DEP21448")</f>
        <v>Ford F150 2015 (White) - DEP21448</v>
      </c>
      <c r="N612" t="str">
        <f ca="1">IFERROR(__xludf.DUMMYFUNCTION("""COMPUTED_VALUE"""),"Silas Tanner, (904) 483-8423")</f>
        <v>Silas Tanner, (904) 483-8423</v>
      </c>
      <c r="O612" t="str">
        <f ca="1">IFERROR(__xludf.DUMMYFUNCTION("""COMPUTED_VALUE"""),"Alee Knoell, (619) 750-4833")</f>
        <v>Alee Knoell, (619) 750-4833</v>
      </c>
      <c r="P612" t="str">
        <f ca="1">IFERROR(__xludf.DUMMYFUNCTION("""COMPUTED_VALUE"""),"S Tanner")</f>
        <v>S Tanner</v>
      </c>
      <c r="Q612" t="str">
        <f ca="1">IFERROR(__xludf.DUMMYFUNCTION("""COMPUTED_VALUE"""),"All items in working order")</f>
        <v>All items in working order</v>
      </c>
      <c r="AE612" s="11"/>
      <c r="AF612" t="str">
        <v>Nikki.Dix@floridadep.gov</v>
      </c>
      <c r="AG612" s="18"/>
    </row>
    <row r="613" spans="1:33" ht="12.75">
      <c r="A613" s="10">
        <f ca="1">IFERROR(__xludf.DUMMYFUNCTION("""COMPUTED_VALUE"""),44166.377422037)</f>
        <v>44166.377422037003</v>
      </c>
      <c r="B613" s="11" t="str">
        <f ca="1">IFERROR(__xludf.DUMMYFUNCTION("""COMPUTED_VALUE"""),"Jessica Lee")</f>
        <v>Jessica Lee</v>
      </c>
      <c r="C613" t="str">
        <f ca="1">IFERROR(__xludf.DUMMYFUNCTION("""COMPUTED_VALUE"""),"jessica.lee@floridadep.gov")</f>
        <v>jessica.lee@floridadep.gov</v>
      </c>
      <c r="D613" t="str">
        <f ca="1">IFERROR(__xludf.DUMMYFUNCTION("""COMPUTED_VALUE"""),"Nikki Dix")</f>
        <v>Nikki Dix</v>
      </c>
      <c r="E613" t="str">
        <f ca="1">IFERROR(__xludf.DUMMYFUNCTION("""COMPUTED_VALUE"""),"Guana River")</f>
        <v>Guana River</v>
      </c>
      <c r="F613" s="13">
        <f ca="1">IFERROR(__xludf.DUMMYFUNCTION("""COMPUTED_VALUE"""),0.39583333333212)</f>
        <v>0.39583333333212001</v>
      </c>
      <c r="G613" s="14">
        <f ca="1">IFERROR(__xludf.DUMMYFUNCTION("""COMPUTED_VALUE"""),44166)</f>
        <v>44166</v>
      </c>
      <c r="H613" t="str">
        <f ca="1">IFERROR(__xludf.DUMMYFUNCTION("""COMPUTED_VALUE"""),"Guana River")</f>
        <v>Guana River</v>
      </c>
      <c r="I613" s="15">
        <f ca="1">IFERROR(__xludf.DUMMYFUNCTION("""COMPUTED_VALUE"""),0.479166666667879)</f>
        <v>0.47916666666787899</v>
      </c>
      <c r="J613" s="16">
        <f ca="1">IFERROR(__xludf.DUMMYFUNCTION("""COMPUTED_VALUE"""),44166.5)</f>
        <v>44166.5</v>
      </c>
      <c r="K613" t="str">
        <f ca="1">IFERROR(__xludf.DUMMYFUNCTION("""COMPUTED_VALUE"""),"Jon Boat 1 FL5992RR DEP154045")</f>
        <v>Jon Boat 1 FL5992RR DEP154045</v>
      </c>
      <c r="M613" t="str">
        <f ca="1">IFERROR(__xludf.DUMMYFUNCTION("""COMPUTED_VALUE"""),"Ford F250 2017 (Moby Dix) - DEP0021578")</f>
        <v>Ford F250 2017 (Moby Dix) - DEP0021578</v>
      </c>
      <c r="N613" t="str">
        <f ca="1">IFERROR(__xludf.DUMMYFUNCTION("""COMPUTED_VALUE"""),"Jessica Lee")</f>
        <v>Jessica Lee</v>
      </c>
      <c r="O613" t="str">
        <f ca="1">IFERROR(__xludf.DUMMYFUNCTION("""COMPUTED_VALUE"""),"Erin Ticr")</f>
        <v>Erin Ticr</v>
      </c>
      <c r="P613" t="str">
        <f ca="1">IFERROR(__xludf.DUMMYFUNCTION("""COMPUTED_VALUE"""),"Jessica Lee")</f>
        <v>Jessica Lee</v>
      </c>
      <c r="Q613" t="str">
        <f ca="1">IFERROR(__xludf.DUMMYFUNCTION("""COMPUTED_VALUE"""),"All items in working order")</f>
        <v>All items in working order</v>
      </c>
      <c r="AE613" s="11"/>
      <c r="AF613" t="str">
        <v>Nikki.Dix@floridadep.gov</v>
      </c>
      <c r="AG613" s="18"/>
    </row>
    <row r="614" spans="1:33" ht="12.75">
      <c r="A614" s="10">
        <f ca="1">IFERROR(__xludf.DUMMYFUNCTION("""COMPUTED_VALUE"""),44173.3744133333)</f>
        <v>44173.374413333302</v>
      </c>
      <c r="B614" s="11" t="str">
        <f ca="1">IFERROR(__xludf.DUMMYFUNCTION("""COMPUTED_VALUE"""),"Pamela Marcum")</f>
        <v>Pamela Marcum</v>
      </c>
      <c r="C614" t="str">
        <f ca="1">IFERROR(__xludf.DUMMYFUNCTION("""COMPUTED_VALUE"""),"pamela.marcum@floridadep.gov")</f>
        <v>pamela.marcum@floridadep.gov</v>
      </c>
      <c r="D614" t="str">
        <f ca="1">IFERROR(__xludf.DUMMYFUNCTION("""COMPUTED_VALUE"""),"Nikki Dix")</f>
        <v>Nikki Dix</v>
      </c>
      <c r="E614" t="str">
        <f ca="1">IFERROR(__xludf.DUMMYFUNCTION("""COMPUTED_VALUE"""),"Palm Valley")</f>
        <v>Palm Valley</v>
      </c>
      <c r="F614" s="13">
        <f ca="1">IFERROR(__xludf.DUMMYFUNCTION("""COMPUTED_VALUE"""),0.354166666667879)</f>
        <v>0.35416666666787899</v>
      </c>
      <c r="G614" s="14">
        <f ca="1">IFERROR(__xludf.DUMMYFUNCTION("""COMPUTED_VALUE"""),44173)</f>
        <v>44173</v>
      </c>
      <c r="H614" t="str">
        <f ca="1">IFERROR(__xludf.DUMMYFUNCTION("""COMPUTED_VALUE"""),"Angelini Northern Site")</f>
        <v>Angelini Northern Site</v>
      </c>
      <c r="I614" s="15">
        <f ca="1">IFERROR(__xludf.DUMMYFUNCTION("""COMPUTED_VALUE"""),0.5)</f>
        <v>0.5</v>
      </c>
      <c r="J614" s="16">
        <f ca="1">IFERROR(__xludf.DUMMYFUNCTION("""COMPUTED_VALUE"""),44173.5)</f>
        <v>44173.5</v>
      </c>
      <c r="K614" t="str">
        <f ca="1">IFERROR(__xludf.DUMMYFUNCTION("""COMPUTED_VALUE"""),"23ft Skiff (Bertha) FL7972LJ DEP07613")</f>
        <v>23ft Skiff (Bertha) FL7972LJ DEP07613</v>
      </c>
      <c r="M614" t="str">
        <f ca="1">IFERROR(__xludf.DUMMYFUNCTION("""COMPUTED_VALUE"""),"Ford F150 2015 (White) - DEP21448")</f>
        <v>Ford F150 2015 (White) - DEP21448</v>
      </c>
      <c r="N614" t="str">
        <f ca="1">IFERROR(__xludf.DUMMYFUNCTION("""COMPUTED_VALUE"""),"Pam Marcum, (480) 332-5414, Jimmy Tomazinis, (904) 547-0094")</f>
        <v>Pam Marcum, (480) 332-5414, Jimmy Tomazinis, (904) 547-0094</v>
      </c>
      <c r="O614" t="str">
        <f ca="1">IFERROR(__xludf.DUMMYFUNCTION("""COMPUTED_VALUE"""),"Patrick Norby")</f>
        <v>Patrick Norby</v>
      </c>
      <c r="P614" t="str">
        <f ca="1">IFERROR(__xludf.DUMMYFUNCTION("""COMPUTED_VALUE"""),"Jimmy")</f>
        <v>Jimmy</v>
      </c>
      <c r="Q614" t="str">
        <f ca="1">IFERROR(__xludf.DUMMYFUNCTION("""COMPUTED_VALUE"""),"All items in working order")</f>
        <v>All items in working order</v>
      </c>
      <c r="AE614" s="11"/>
      <c r="AF614" t="str">
        <v>Nikki.Dix@floridadep.gov</v>
      </c>
      <c r="AG614" s="18"/>
    </row>
    <row r="615" spans="1:33" ht="12.75">
      <c r="A615" s="10">
        <f ca="1">IFERROR(__xludf.DUMMYFUNCTION("""COMPUTED_VALUE"""),44173.5056762615)</f>
        <v>44173.505676261499</v>
      </c>
      <c r="B615" s="11" t="str">
        <f ca="1">IFERROR(__xludf.DUMMYFUNCTION("""COMPUTED_VALUE"""),"Pamela Marcum")</f>
        <v>Pamela Marcum</v>
      </c>
      <c r="C615" t="str">
        <f ca="1">IFERROR(__xludf.DUMMYFUNCTION("""COMPUTED_VALUE"""),"Pamela.Marcum@floridadep.gov")</f>
        <v>Pamela.Marcum@floridadep.gov</v>
      </c>
      <c r="D615" t="str">
        <f ca="1">IFERROR(__xludf.DUMMYFUNCTION("""COMPUTED_VALUE"""),"Nikki Dix")</f>
        <v>Nikki Dix</v>
      </c>
      <c r="E615" t="str">
        <f ca="1">IFERROR(__xludf.DUMMYFUNCTION("""COMPUTED_VALUE"""),"Palm Valley")</f>
        <v>Palm Valley</v>
      </c>
      <c r="F615" s="13">
        <f ca="1">IFERROR(__xludf.DUMMYFUNCTION("""COMPUTED_VALUE"""),0.504166666665696)</f>
        <v>0.50416666666569598</v>
      </c>
      <c r="G615" s="14">
        <f ca="1">IFERROR(__xludf.DUMMYFUNCTION("""COMPUTED_VALUE"""),44173)</f>
        <v>44173</v>
      </c>
      <c r="H615" t="str">
        <f ca="1">IFERROR(__xludf.DUMMYFUNCTION("""COMPUTED_VALUE"""),"Pine Island veg site")</f>
        <v>Pine Island veg site</v>
      </c>
      <c r="I615" s="15">
        <f ca="1">IFERROR(__xludf.DUMMYFUNCTION("""COMPUTED_VALUE"""),0.58333333333212)</f>
        <v>0.58333333333212001</v>
      </c>
      <c r="J615" s="16">
        <f ca="1">IFERROR(__xludf.DUMMYFUNCTION("""COMPUTED_VALUE"""),44173.625)</f>
        <v>44173.625</v>
      </c>
      <c r="K615" t="str">
        <f ca="1">IFERROR(__xludf.DUMMYFUNCTION("""COMPUTED_VALUE"""),"23ft Skiff (Bertha) FL7972LJ DEP07613")</f>
        <v>23ft Skiff (Bertha) FL7972LJ DEP07613</v>
      </c>
      <c r="M615" t="str">
        <f ca="1">IFERROR(__xludf.DUMMYFUNCTION("""COMPUTED_VALUE"""),"Ford F150 2015 (White) - DEP21448")</f>
        <v>Ford F150 2015 (White) - DEP21448</v>
      </c>
      <c r="N615" t="str">
        <f ca="1">IFERROR(__xludf.DUMMYFUNCTION("""COMPUTED_VALUE"""),"Pam Marcum, (480) 332-5414")</f>
        <v>Pam Marcum, (480) 332-5414</v>
      </c>
      <c r="O615" t="str">
        <f ca="1">IFERROR(__xludf.DUMMYFUNCTION("""COMPUTED_VALUE"""),"Alee Knoell, (619) 750-4833")</f>
        <v>Alee Knoell, (619) 750-4833</v>
      </c>
      <c r="P615" t="str">
        <f ca="1">IFERROR(__xludf.DUMMYFUNCTION("""COMPUTED_VALUE"""),"Pam")</f>
        <v>Pam</v>
      </c>
      <c r="Q615" t="str">
        <f ca="1">IFERROR(__xludf.DUMMYFUNCTION("""COMPUTED_VALUE"""),"All items in working order")</f>
        <v>All items in working order</v>
      </c>
      <c r="AE615" s="11"/>
      <c r="AF615" t="str">
        <v>Nikki.Dix@floridadep.gov</v>
      </c>
      <c r="AG615" s="18"/>
    </row>
    <row r="616" spans="1:33" ht="12.75">
      <c r="A616" s="10">
        <f ca="1">IFERROR(__xludf.DUMMYFUNCTION("""COMPUTED_VALUE"""),44174.5758160416)</f>
        <v>44174.575816041601</v>
      </c>
      <c r="B616" s="11" t="str">
        <f ca="1">IFERROR(__xludf.DUMMYFUNCTION("""COMPUTED_VALUE"""),"Pam Marcum")</f>
        <v>Pam Marcum</v>
      </c>
      <c r="C616" t="str">
        <f ca="1">IFERROR(__xludf.DUMMYFUNCTION("""COMPUTED_VALUE"""),"pamela.marcum@dep.state.fl.us")</f>
        <v>pamela.marcum@dep.state.fl.us</v>
      </c>
      <c r="D616" t="str">
        <f ca="1">IFERROR(__xludf.DUMMYFUNCTION("""COMPUTED_VALUE"""),"Nikki Dix")</f>
        <v>Nikki Dix</v>
      </c>
      <c r="E616" t="str">
        <f ca="1">IFERROR(__xludf.DUMMYFUNCTION("""COMPUTED_VALUE"""),"Palm valley")</f>
        <v>Palm valley</v>
      </c>
      <c r="F616" s="13">
        <f ca="1">IFERROR(__xludf.DUMMYFUNCTION("""COMPUTED_VALUE"""),0.572916666667879)</f>
        <v>0.57291666666787899</v>
      </c>
      <c r="G616" s="14">
        <f ca="1">IFERROR(__xludf.DUMMYFUNCTION("""COMPUTED_VALUE"""),44174)</f>
        <v>44174</v>
      </c>
      <c r="H616" t="str">
        <f ca="1">IFERROR(__xludf.DUMMYFUNCTION("""COMPUTED_VALUE"""),"Pine island")</f>
        <v>Pine island</v>
      </c>
      <c r="I616" s="15">
        <f ca="1">IFERROR(__xludf.DUMMYFUNCTION("""COMPUTED_VALUE"""),0.61458333333212)</f>
        <v>0.61458333333212001</v>
      </c>
      <c r="J616" s="16">
        <f ca="1">IFERROR(__xludf.DUMMYFUNCTION("""COMPUTED_VALUE"""),44174.6458333333)</f>
        <v>44174.645833333299</v>
      </c>
      <c r="K616" t="str">
        <f ca="1">IFERROR(__xludf.DUMMYFUNCTION("""COMPUTED_VALUE"""),"23ft Skiff (Bertha) FL7972LJ DEP07613")</f>
        <v>23ft Skiff (Bertha) FL7972LJ DEP07613</v>
      </c>
      <c r="M616" t="str">
        <f ca="1">IFERROR(__xludf.DUMMYFUNCTION("""COMPUTED_VALUE"""),"Ford F150 2015 (White) - DEP21448")</f>
        <v>Ford F150 2015 (White) - DEP21448</v>
      </c>
      <c r="N616" t="str">
        <f ca="1">IFERROR(__xludf.DUMMYFUNCTION("""COMPUTED_VALUE"""),"Pam Marcum, (480) 332-5414")</f>
        <v>Pam Marcum, (480) 332-5414</v>
      </c>
      <c r="O616" t="str">
        <f ca="1">IFERROR(__xludf.DUMMYFUNCTION("""COMPUTED_VALUE"""),"Alee Knoell, (619) 750-4833")</f>
        <v>Alee Knoell, (619) 750-4833</v>
      </c>
      <c r="P616" t="str">
        <f ca="1">IFERROR(__xludf.DUMMYFUNCTION("""COMPUTED_VALUE"""),"Pam")</f>
        <v>Pam</v>
      </c>
      <c r="Q616" t="str">
        <f ca="1">IFERROR(__xludf.DUMMYFUNCTION("""COMPUTED_VALUE"""),"All items in working order")</f>
        <v>All items in working order</v>
      </c>
      <c r="AE616" s="11"/>
      <c r="AF616" t="str">
        <v>Nikki.Dix@floridadep.gov</v>
      </c>
      <c r="AG616" s="18"/>
    </row>
    <row r="617" spans="1:33" ht="12.75">
      <c r="A617" s="10">
        <f ca="1">IFERROR(__xludf.DUMMYFUNCTION("""COMPUTED_VALUE"""),44180.6589300115)</f>
        <v>44180.658930011501</v>
      </c>
      <c r="B617" s="11" t="str">
        <f ca="1">IFERROR(__xludf.DUMMYFUNCTION("""COMPUTED_VALUE"""),"Silas Tanner")</f>
        <v>Silas Tanner</v>
      </c>
      <c r="C617" t="str">
        <f ca="1">IFERROR(__xludf.DUMMYFUNCTION("""COMPUTED_VALUE"""),"silas.tanner@floridadep.gov")</f>
        <v>silas.tanner@floridadep.gov</v>
      </c>
      <c r="D617" t="str">
        <f ca="1">IFERROR(__xludf.DUMMYFUNCTION("""COMPUTED_VALUE"""),"Nikki Dix")</f>
        <v>Nikki Dix</v>
      </c>
      <c r="E617" t="str">
        <f ca="1">IFERROR(__xludf.DUMMYFUNCTION("""COMPUTED_VALUE"""),"Vilano Landing")</f>
        <v>Vilano Landing</v>
      </c>
      <c r="F617" s="13">
        <f ca="1">IFERROR(__xludf.DUMMYFUNCTION("""COMPUTED_VALUE"""),0.291666666667879)</f>
        <v>0.29166666666787899</v>
      </c>
      <c r="G617" s="14">
        <f ca="1">IFERROR(__xludf.DUMMYFUNCTION("""COMPUTED_VALUE"""),44181)</f>
        <v>44181</v>
      </c>
      <c r="H617" t="str">
        <f ca="1">IFERROR(__xludf.DUMMYFUNCTION("""COMPUTED_VALUE"""),"ICW SWMP sites")</f>
        <v>ICW SWMP sites</v>
      </c>
      <c r="I617" s="15">
        <f ca="1">IFERROR(__xludf.DUMMYFUNCTION("""COMPUTED_VALUE"""),0.5)</f>
        <v>0.5</v>
      </c>
      <c r="J617" s="16">
        <f ca="1">IFERROR(__xludf.DUMMYFUNCTION("""COMPUTED_VALUE"""),44181.5208333333)</f>
        <v>44181.520833333299</v>
      </c>
      <c r="K617" t="str">
        <f ca="1">IFERROR(__xludf.DUMMYFUNCTION("""COMPUTED_VALUE"""),"20ft Sea Ark FL5351SJ UNF 2015")</f>
        <v>20ft Sea Ark FL5351SJ UNF 2015</v>
      </c>
      <c r="M617" t="str">
        <f ca="1">IFERROR(__xludf.DUMMYFUNCTION("""COMPUTED_VALUE"""),"Ford F250 2017 (Moby Dix) - DEP0021578")</f>
        <v>Ford F250 2017 (Moby Dix) - DEP0021578</v>
      </c>
      <c r="N617" t="str">
        <f ca="1">IFERROR(__xludf.DUMMYFUNCTION("""COMPUTED_VALUE"""),"Silas Tanner, (904) 483-8423, Remo Mondazzi")</f>
        <v>Silas Tanner, (904) 483-8423, Remo Mondazzi</v>
      </c>
      <c r="P617" t="str">
        <f ca="1">IFERROR(__xludf.DUMMYFUNCTION("""COMPUTED_VALUE"""),"Silas Tanner")</f>
        <v>Silas Tanner</v>
      </c>
      <c r="Q617" t="str">
        <f ca="1">IFERROR(__xludf.DUMMYFUNCTION("""COMPUTED_VALUE"""),"All items in working order")</f>
        <v>All items in working order</v>
      </c>
      <c r="AE617" s="11"/>
      <c r="AF617" t="str">
        <v>Nikki.Dix@floridadep.gov</v>
      </c>
      <c r="AG617" s="18"/>
    </row>
    <row r="618" spans="1:33" ht="12.75">
      <c r="A618" s="10">
        <f ca="1">IFERROR(__xludf.DUMMYFUNCTION("""COMPUTED_VALUE"""),44182.4148059722)</f>
        <v>44182.414805972199</v>
      </c>
      <c r="B618" s="11" t="str">
        <f ca="1">IFERROR(__xludf.DUMMYFUNCTION("""COMPUTED_VALUE"""),"Gabriela Canas")</f>
        <v>Gabriela Canas</v>
      </c>
      <c r="C618" t="str">
        <f ca="1">IFERROR(__xludf.DUMMYFUNCTION("""COMPUTED_VALUE"""),"n00836133@unf.edu")</f>
        <v>n00836133@unf.edu</v>
      </c>
      <c r="D618" t="str">
        <f ca="1">IFERROR(__xludf.DUMMYFUNCTION("""COMPUTED_VALUE"""),"Pam Marcum")</f>
        <v>Pam Marcum</v>
      </c>
      <c r="E618" t="str">
        <f ca="1">IFERROR(__xludf.DUMMYFUNCTION("""COMPUTED_VALUE"""),"Douglas crane ")</f>
        <v xml:space="preserve">Douglas crane </v>
      </c>
      <c r="F618" s="13">
        <f ca="1">IFERROR(__xludf.DUMMYFUNCTION("""COMPUTED_VALUE"""),0.416666666667879)</f>
        <v>0.41666666666787899</v>
      </c>
      <c r="G618" s="14">
        <f ca="1">IFERROR(__xludf.DUMMYFUNCTION("""COMPUTED_VALUE"""),44182)</f>
        <v>44182</v>
      </c>
      <c r="H618" t="str">
        <f ca="1">IFERROR(__xludf.DUMMYFUNCTION("""COMPUTED_VALUE"""),"Wetfeet middle")</f>
        <v>Wetfeet middle</v>
      </c>
      <c r="I618" s="15">
        <f ca="1">IFERROR(__xludf.DUMMYFUNCTION("""COMPUTED_VALUE"""),0.625)</f>
        <v>0.625</v>
      </c>
      <c r="J618" s="16">
        <f ca="1">IFERROR(__xludf.DUMMYFUNCTION("""COMPUTED_VALUE"""),44182.6666666666)</f>
        <v>44182.666666666599</v>
      </c>
      <c r="K618" t="str">
        <f ca="1">IFERROR(__xludf.DUMMYFUNCTION("""COMPUTED_VALUE"""),"20ft Sea Ark FL5351SJ UNF 2015")</f>
        <v>20ft Sea Ark FL5351SJ UNF 2015</v>
      </c>
      <c r="M618" t="str">
        <f ca="1">IFERROR(__xludf.DUMMYFUNCTION("""COMPUTED_VALUE"""),"Ford F150 2015 (White) - DEP21448")</f>
        <v>Ford F150 2015 (White) - DEP21448</v>
      </c>
      <c r="N618" t="str">
        <f ca="1">IFERROR(__xludf.DUMMYFUNCTION("""COMPUTED_VALUE"""),"Gabriela canas")</f>
        <v>Gabriela canas</v>
      </c>
      <c r="O618" t="str">
        <f ca="1">IFERROR(__xludf.DUMMYFUNCTION("""COMPUTED_VALUE"""),"Gabriela Canas, (904) 891-9743, Sam chapman")</f>
        <v>Gabriela Canas, (904) 891-9743, Sam chapman</v>
      </c>
      <c r="P618" t="str">
        <f ca="1">IFERROR(__xludf.DUMMYFUNCTION("""COMPUTED_VALUE"""),"Gabby")</f>
        <v>Gabby</v>
      </c>
      <c r="Q618" t="str">
        <f ca="1">IFERROR(__xludf.DUMMYFUNCTION("""COMPUTED_VALUE"""),"All items in working order")</f>
        <v>All items in working order</v>
      </c>
      <c r="AE618" s="11"/>
      <c r="AF618" t="str">
        <v>Pamela.Marcum@floridadep.gov</v>
      </c>
      <c r="AG618" s="18"/>
    </row>
    <row r="619" spans="1:33" ht="12.75">
      <c r="A619" s="10">
        <f ca="1">IFERROR(__xludf.DUMMYFUNCTION("""COMPUTED_VALUE"""),44182.8760216088)</f>
        <v>44182.876021608798</v>
      </c>
      <c r="B619" s="11" t="str">
        <f ca="1">IFERROR(__xludf.DUMMYFUNCTION("""COMPUTED_VALUE"""),"Gabriela Canas")</f>
        <v>Gabriela Canas</v>
      </c>
      <c r="C619" t="str">
        <f ca="1">IFERROR(__xludf.DUMMYFUNCTION("""COMPUTED_VALUE"""),"n00836133@unf.edu")</f>
        <v>n00836133@unf.edu</v>
      </c>
      <c r="D619" t="str">
        <f ca="1">IFERROR(__xludf.DUMMYFUNCTION("""COMPUTED_VALUE"""),"Pam Marcum")</f>
        <v>Pam Marcum</v>
      </c>
      <c r="E619" t="str">
        <f ca="1">IFERROR(__xludf.DUMMYFUNCTION("""COMPUTED_VALUE"""),"Douglas crane ")</f>
        <v xml:space="preserve">Douglas crane </v>
      </c>
      <c r="F619" s="13">
        <f ca="1">IFERROR(__xludf.DUMMYFUNCTION("""COMPUTED_VALUE"""),0.416666666667879)</f>
        <v>0.41666666666787899</v>
      </c>
      <c r="G619" s="14">
        <f ca="1">IFERROR(__xludf.DUMMYFUNCTION("""COMPUTED_VALUE"""),44182)</f>
        <v>44182</v>
      </c>
      <c r="H619" t="str">
        <f ca="1">IFERROR(__xludf.DUMMYFUNCTION("""COMPUTED_VALUE"""),"Wetfeet middle")</f>
        <v>Wetfeet middle</v>
      </c>
      <c r="I619" s="15">
        <f ca="1">IFERROR(__xludf.DUMMYFUNCTION("""COMPUTED_VALUE"""),0.625)</f>
        <v>0.625</v>
      </c>
      <c r="J619" s="16">
        <f ca="1">IFERROR(__xludf.DUMMYFUNCTION("""COMPUTED_VALUE"""),44182.6666666666)</f>
        <v>44182.666666666599</v>
      </c>
      <c r="K619" t="str">
        <f ca="1">IFERROR(__xludf.DUMMYFUNCTION("""COMPUTED_VALUE"""),"20ft Sea Ark FL5351SJ UNF 2015")</f>
        <v>20ft Sea Ark FL5351SJ UNF 2015</v>
      </c>
      <c r="M619" t="str">
        <f ca="1">IFERROR(__xludf.DUMMYFUNCTION("""COMPUTED_VALUE"""),"Ford F150 2015 (White) - DEP21448")</f>
        <v>Ford F150 2015 (White) - DEP21448</v>
      </c>
      <c r="N619" t="str">
        <f ca="1">IFERROR(__xludf.DUMMYFUNCTION("""COMPUTED_VALUE"""),"Gabriela canas")</f>
        <v>Gabriela canas</v>
      </c>
      <c r="O619" t="str">
        <f ca="1">IFERROR(__xludf.DUMMYFUNCTION("""COMPUTED_VALUE"""),"Gabriela Canas, (904) 891-9743, Sam chapman")</f>
        <v>Gabriela Canas, (904) 891-9743, Sam chapman</v>
      </c>
      <c r="P619" t="str">
        <f ca="1">IFERROR(__xludf.DUMMYFUNCTION("""COMPUTED_VALUE"""),"Gabby")</f>
        <v>Gabby</v>
      </c>
      <c r="Q619" t="str">
        <f ca="1">IFERROR(__xludf.DUMMYFUNCTION("""COMPUTED_VALUE"""),"All items in working order")</f>
        <v>All items in working order</v>
      </c>
      <c r="AE619" s="11"/>
      <c r="AF619" t="str">
        <v>Pamela.Marcum@floridadep.gov</v>
      </c>
      <c r="AG619" s="18"/>
    </row>
    <row r="620" spans="1:33" ht="12.75">
      <c r="A620" s="10">
        <f ca="1">IFERROR(__xludf.DUMMYFUNCTION("""COMPUTED_VALUE"""),44182.8762378009)</f>
        <v>44182.876237800898</v>
      </c>
      <c r="B620" s="11" t="str">
        <f ca="1">IFERROR(__xludf.DUMMYFUNCTION("""COMPUTED_VALUE"""),"Gabriela Canas")</f>
        <v>Gabriela Canas</v>
      </c>
      <c r="C620" t="str">
        <f ca="1">IFERROR(__xludf.DUMMYFUNCTION("""COMPUTED_VALUE"""),"n00836133@unf.edu")</f>
        <v>n00836133@unf.edu</v>
      </c>
      <c r="D620" t="str">
        <f ca="1">IFERROR(__xludf.DUMMYFUNCTION("""COMPUTED_VALUE"""),"Pam Marcum")</f>
        <v>Pam Marcum</v>
      </c>
      <c r="E620" t="str">
        <f ca="1">IFERROR(__xludf.DUMMYFUNCTION("""COMPUTED_VALUE"""),"Douglas crane ")</f>
        <v xml:space="preserve">Douglas crane </v>
      </c>
      <c r="F620" s="13">
        <f ca="1">IFERROR(__xludf.DUMMYFUNCTION("""COMPUTED_VALUE"""),0.416666666667879)</f>
        <v>0.41666666666787899</v>
      </c>
      <c r="G620" s="14">
        <f ca="1">IFERROR(__xludf.DUMMYFUNCTION("""COMPUTED_VALUE"""),44182)</f>
        <v>44182</v>
      </c>
      <c r="H620" t="str">
        <f ca="1">IFERROR(__xludf.DUMMYFUNCTION("""COMPUTED_VALUE"""),"Wetfeet middle")</f>
        <v>Wetfeet middle</v>
      </c>
      <c r="I620" s="15">
        <f ca="1">IFERROR(__xludf.DUMMYFUNCTION("""COMPUTED_VALUE"""),0.625)</f>
        <v>0.625</v>
      </c>
      <c r="J620" s="16">
        <f ca="1">IFERROR(__xludf.DUMMYFUNCTION("""COMPUTED_VALUE"""),44182.6666666666)</f>
        <v>44182.666666666599</v>
      </c>
      <c r="K620" t="str">
        <f ca="1">IFERROR(__xludf.DUMMYFUNCTION("""COMPUTED_VALUE"""),"20ft Sea Ark FL5351SJ UNF 2015")</f>
        <v>20ft Sea Ark FL5351SJ UNF 2015</v>
      </c>
      <c r="M620" t="str">
        <f ca="1">IFERROR(__xludf.DUMMYFUNCTION("""COMPUTED_VALUE"""),"Ford F150 2015 (White) - DEP21448")</f>
        <v>Ford F150 2015 (White) - DEP21448</v>
      </c>
      <c r="N620" t="str">
        <f ca="1">IFERROR(__xludf.DUMMYFUNCTION("""COMPUTED_VALUE"""),"Gabriela canas")</f>
        <v>Gabriela canas</v>
      </c>
      <c r="O620" t="str">
        <f ca="1">IFERROR(__xludf.DUMMYFUNCTION("""COMPUTED_VALUE"""),"Gabriela Canas, (904) 891-9743, Sam chapman")</f>
        <v>Gabriela Canas, (904) 891-9743, Sam chapman</v>
      </c>
      <c r="P620" t="str">
        <f ca="1">IFERROR(__xludf.DUMMYFUNCTION("""COMPUTED_VALUE"""),"Gabby")</f>
        <v>Gabby</v>
      </c>
      <c r="Q620" t="str">
        <f ca="1">IFERROR(__xludf.DUMMYFUNCTION("""COMPUTED_VALUE"""),"All items in working order")</f>
        <v>All items in working order</v>
      </c>
      <c r="AE620" s="11"/>
      <c r="AF620" t="str">
        <v>Pamela.Marcum@floridadep.gov</v>
      </c>
      <c r="AG620" s="18"/>
    </row>
    <row r="621" spans="1:33" ht="12.75">
      <c r="A621" s="10">
        <f ca="1">IFERROR(__xludf.DUMMYFUNCTION("""COMPUTED_VALUE"""),44182.8762957175)</f>
        <v>44182.876295717499</v>
      </c>
      <c r="B621" s="11" t="str">
        <f ca="1">IFERROR(__xludf.DUMMYFUNCTION("""COMPUTED_VALUE"""),"Gabriela Canas")</f>
        <v>Gabriela Canas</v>
      </c>
      <c r="C621" t="str">
        <f ca="1">IFERROR(__xludf.DUMMYFUNCTION("""COMPUTED_VALUE"""),"n00836133@unf.edu")</f>
        <v>n00836133@unf.edu</v>
      </c>
      <c r="D621" t="str">
        <f ca="1">IFERROR(__xludf.DUMMYFUNCTION("""COMPUTED_VALUE"""),"Pam Marcum")</f>
        <v>Pam Marcum</v>
      </c>
      <c r="E621" t="str">
        <f ca="1">IFERROR(__xludf.DUMMYFUNCTION("""COMPUTED_VALUE"""),"Douglas crane ")</f>
        <v xml:space="preserve">Douglas crane </v>
      </c>
      <c r="F621" s="13">
        <f ca="1">IFERROR(__xludf.DUMMYFUNCTION("""COMPUTED_VALUE"""),0.416666666667879)</f>
        <v>0.41666666666787899</v>
      </c>
      <c r="G621" s="14">
        <f ca="1">IFERROR(__xludf.DUMMYFUNCTION("""COMPUTED_VALUE"""),44182)</f>
        <v>44182</v>
      </c>
      <c r="H621" t="str">
        <f ca="1">IFERROR(__xludf.DUMMYFUNCTION("""COMPUTED_VALUE"""),"Wetfeet middle")</f>
        <v>Wetfeet middle</v>
      </c>
      <c r="I621" s="15">
        <f ca="1">IFERROR(__xludf.DUMMYFUNCTION("""COMPUTED_VALUE"""),0.625)</f>
        <v>0.625</v>
      </c>
      <c r="J621" s="16">
        <f ca="1">IFERROR(__xludf.DUMMYFUNCTION("""COMPUTED_VALUE"""),44182.6666666666)</f>
        <v>44182.666666666599</v>
      </c>
      <c r="K621" t="str">
        <f ca="1">IFERROR(__xludf.DUMMYFUNCTION("""COMPUTED_VALUE"""),"20ft Sea Ark FL5351SJ UNF 2015")</f>
        <v>20ft Sea Ark FL5351SJ UNF 2015</v>
      </c>
      <c r="M621" t="str">
        <f ca="1">IFERROR(__xludf.DUMMYFUNCTION("""COMPUTED_VALUE"""),"Ford F150 2015 (White) - DEP21448")</f>
        <v>Ford F150 2015 (White) - DEP21448</v>
      </c>
      <c r="N621" t="str">
        <f ca="1">IFERROR(__xludf.DUMMYFUNCTION("""COMPUTED_VALUE"""),"Gabriela canas")</f>
        <v>Gabriela canas</v>
      </c>
      <c r="O621" t="str">
        <f ca="1">IFERROR(__xludf.DUMMYFUNCTION("""COMPUTED_VALUE"""),"Gabriela Canas, (904) 891-9743, Sam chapman")</f>
        <v>Gabriela Canas, (904) 891-9743, Sam chapman</v>
      </c>
      <c r="P621" t="str">
        <f ca="1">IFERROR(__xludf.DUMMYFUNCTION("""COMPUTED_VALUE"""),"Gabby")</f>
        <v>Gabby</v>
      </c>
      <c r="Q621" t="str">
        <f ca="1">IFERROR(__xludf.DUMMYFUNCTION("""COMPUTED_VALUE"""),"All items in working order")</f>
        <v>All items in working order</v>
      </c>
      <c r="AE621" s="11"/>
      <c r="AF621" t="str">
        <v>Pamela.Marcum@floridadep.gov</v>
      </c>
      <c r="AG621" s="18"/>
    </row>
    <row r="622" spans="1:33" ht="12.75">
      <c r="A622" s="10">
        <f ca="1">IFERROR(__xludf.DUMMYFUNCTION("""COMPUTED_VALUE"""),44195.4228216319)</f>
        <v>44195.422821631902</v>
      </c>
      <c r="B622" s="11" t="str">
        <f ca="1">IFERROR(__xludf.DUMMYFUNCTION("""COMPUTED_VALUE"""),"Alexandria Knoell")</f>
        <v>Alexandria Knoell</v>
      </c>
      <c r="C622" t="str">
        <f ca="1">IFERROR(__xludf.DUMMYFUNCTION("""COMPUTED_VALUE"""),"allie.knoell@hotmail.com")</f>
        <v>allie.knoell@hotmail.com</v>
      </c>
      <c r="D622" t="str">
        <f ca="1">IFERROR(__xludf.DUMMYFUNCTION("""COMPUTED_VALUE"""),"Pam Marcum")</f>
        <v>Pam Marcum</v>
      </c>
      <c r="E622" t="str">
        <f ca="1">IFERROR(__xludf.DUMMYFUNCTION("""COMPUTED_VALUE"""),"Aunt Kate’s ")</f>
        <v xml:space="preserve">Aunt Kate’s </v>
      </c>
      <c r="F622" s="13">
        <f ca="1">IFERROR(__xludf.DUMMYFUNCTION("""COMPUTED_VALUE"""),0.479166666667879)</f>
        <v>0.47916666666787899</v>
      </c>
      <c r="G622" s="14">
        <f ca="1">IFERROR(__xludf.DUMMYFUNCTION("""COMPUTED_VALUE"""),44195)</f>
        <v>44195</v>
      </c>
      <c r="H622" t="str">
        <f ca="1">IFERROR(__xludf.DUMMYFUNCTION("""COMPUTED_VALUE"""),"Northern spat trees ")</f>
        <v xml:space="preserve">Northern spat trees </v>
      </c>
      <c r="I622" s="15">
        <f ca="1">IFERROR(__xludf.DUMMYFUNCTION("""COMPUTED_VALUE"""),0.64583333333212)</f>
        <v>0.64583333333212001</v>
      </c>
      <c r="J622" s="16">
        <f ca="1">IFERROR(__xludf.DUMMYFUNCTION("""COMPUTED_VALUE"""),44195.6875)</f>
        <v>44195.6875</v>
      </c>
      <c r="K622" t="str">
        <f ca="1">IFERROR(__xludf.DUMMYFUNCTION("""COMPUTED_VALUE"""),"23ft Skiff (Bertha) FL7972LJ DEP07613")</f>
        <v>23ft Skiff (Bertha) FL7972LJ DEP07613</v>
      </c>
      <c r="M622" t="str">
        <f ca="1">IFERROR(__xludf.DUMMYFUNCTION("""COMPUTED_VALUE"""),"Ford F150 2015 (White) - DEP21448")</f>
        <v>Ford F150 2015 (White) - DEP21448</v>
      </c>
      <c r="N622" t="str">
        <f ca="1">IFERROR(__xludf.DUMMYFUNCTION("""COMPUTED_VALUE"""),"Remo Mondazi ")</f>
        <v xml:space="preserve">Remo Mondazi </v>
      </c>
      <c r="O622" t="str">
        <f ca="1">IFERROR(__xludf.DUMMYFUNCTION("""COMPUTED_VALUE"""),"Alee Knoell, (619) 750-4833")</f>
        <v>Alee Knoell, (619) 750-4833</v>
      </c>
      <c r="P622" t="str">
        <f ca="1">IFERROR(__xludf.DUMMYFUNCTION("""COMPUTED_VALUE"""),"Remo Mondazi ")</f>
        <v xml:space="preserve">Remo Mondazi </v>
      </c>
      <c r="Q622" t="str">
        <f ca="1">IFERROR(__xludf.DUMMYFUNCTION("""COMPUTED_VALUE"""),"All items in working order")</f>
        <v>All items in working order</v>
      </c>
      <c r="AE622" s="11"/>
      <c r="AF622" t="str">
        <v>Pamela.Marcum@floridadep.gov</v>
      </c>
      <c r="AG622" s="18"/>
    </row>
    <row r="623" spans="1:33" ht="12.75">
      <c r="A623" s="10">
        <f ca="1">IFERROR(__xludf.DUMMYFUNCTION("""COMPUTED_VALUE"""),44195.534483993)</f>
        <v>44195.534483992997</v>
      </c>
      <c r="B623" s="11" t="str">
        <f ca="1">IFERROR(__xludf.DUMMYFUNCTION("""COMPUTED_VALUE"""),"Pam Marcum")</f>
        <v>Pam Marcum</v>
      </c>
      <c r="C623" t="str">
        <f ca="1">IFERROR(__xludf.DUMMYFUNCTION("""COMPUTED_VALUE"""),"Pamela.Marcum@FloridaDEP.gov")</f>
        <v>Pamela.Marcum@FloridaDEP.gov</v>
      </c>
      <c r="D623" t="str">
        <f ca="1">IFERROR(__xludf.DUMMYFUNCTION("""COMPUTED_VALUE"""),"Pam Marcum")</f>
        <v>Pam Marcum</v>
      </c>
      <c r="E623" t="str">
        <f ca="1">IFERROR(__xludf.DUMMYFUNCTION("""COMPUTED_VALUE"""),"Crane Park/Shore Dr")</f>
        <v>Crane Park/Shore Dr</v>
      </c>
      <c r="F623" s="13">
        <f ca="1">IFERROR(__xludf.DUMMYFUNCTION("""COMPUTED_VALUE"""),0.541666666667879)</f>
        <v>0.54166666666787899</v>
      </c>
      <c r="G623" s="14">
        <f ca="1">IFERROR(__xludf.DUMMYFUNCTION("""COMPUTED_VALUE"""),44195)</f>
        <v>44195</v>
      </c>
      <c r="H623" t="str">
        <f ca="1">IFERROR(__xludf.DUMMYFUNCTION("""COMPUTED_VALUE"""),"Devil's Elbow")</f>
        <v>Devil's Elbow</v>
      </c>
      <c r="I623" s="15">
        <f ca="1">IFERROR(__xludf.DUMMYFUNCTION("""COMPUTED_VALUE"""),0.666666666667879)</f>
        <v>0.66666666666787899</v>
      </c>
      <c r="J623" s="16">
        <f ca="1">IFERROR(__xludf.DUMMYFUNCTION("""COMPUTED_VALUE"""),44195.7083333333)</f>
        <v>44195.708333333299</v>
      </c>
      <c r="K623" t="str">
        <f ca="1">IFERROR(__xludf.DUMMYFUNCTION("""COMPUTED_VALUE"""),"17ft Skiff (Marsha) FL0642GW DEP07239")</f>
        <v>17ft Skiff (Marsha) FL0642GW DEP07239</v>
      </c>
      <c r="M623" t="str">
        <f ca="1">IFERROR(__xludf.DUMMYFUNCTION("""COMPUTED_VALUE"""),"Ford F250 2017 (Moby Dix) - DEP0021578")</f>
        <v>Ford F250 2017 (Moby Dix) - DEP0021578</v>
      </c>
      <c r="N623" t="str">
        <f ca="1">IFERROR(__xludf.DUMMYFUNCTION("""COMPUTED_VALUE"""),"Pam Marcum, (480) 332-5414")</f>
        <v>Pam Marcum, (480) 332-5414</v>
      </c>
      <c r="O623" t="str">
        <f ca="1">IFERROR(__xludf.DUMMYFUNCTION("""COMPUTED_VALUE"""),"Sara Marcum")</f>
        <v>Sara Marcum</v>
      </c>
      <c r="P623" t="str">
        <f ca="1">IFERROR(__xludf.DUMMYFUNCTION("""COMPUTED_VALUE"""),"Pam")</f>
        <v>Pam</v>
      </c>
      <c r="Q623" t="str">
        <f ca="1">IFERROR(__xludf.DUMMYFUNCTION("""COMPUTED_VALUE"""),"All items in working order")</f>
        <v>All items in working order</v>
      </c>
      <c r="AE623" s="11"/>
      <c r="AF623" t="str">
        <v>Pamela.Marcum@floridadep.gov</v>
      </c>
      <c r="AG623" s="18"/>
    </row>
    <row r="624" spans="1:33" ht="12.75">
      <c r="A624" s="10">
        <f ca="1">IFERROR(__xludf.DUMMYFUNCTION("""COMPUTED_VALUE"""),44197.4982845949)</f>
        <v>44197.498284594898</v>
      </c>
      <c r="B624" s="11" t="str">
        <f ca="1">IFERROR(__xludf.DUMMYFUNCTION("""COMPUTED_VALUE"""),"Alexandria Knoell")</f>
        <v>Alexandria Knoell</v>
      </c>
      <c r="C624" t="str">
        <f ca="1">IFERROR(__xludf.DUMMYFUNCTION("""COMPUTED_VALUE"""),"allie.knoell@hotmail.com")</f>
        <v>allie.knoell@hotmail.com</v>
      </c>
      <c r="D624" t="str">
        <f ca="1">IFERROR(__xludf.DUMMYFUNCTION("""COMPUTED_VALUE"""),"Pam Marcum")</f>
        <v>Pam Marcum</v>
      </c>
      <c r="E624" t="str">
        <f ca="1">IFERROR(__xludf.DUMMYFUNCTION("""COMPUTED_VALUE"""),"Aunt Kate’s ")</f>
        <v xml:space="preserve">Aunt Kate’s </v>
      </c>
      <c r="F624" s="13">
        <f ca="1">IFERROR(__xludf.DUMMYFUNCTION("""COMPUTED_VALUE"""),0.479166666667879)</f>
        <v>0.47916666666787899</v>
      </c>
      <c r="G624" s="14">
        <f ca="1">IFERROR(__xludf.DUMMYFUNCTION("""COMPUTED_VALUE"""),44195)</f>
        <v>44195</v>
      </c>
      <c r="H624" t="str">
        <f ca="1">IFERROR(__xludf.DUMMYFUNCTION("""COMPUTED_VALUE"""),"Northern spat trees ")</f>
        <v xml:space="preserve">Northern spat trees </v>
      </c>
      <c r="I624" s="15">
        <f ca="1">IFERROR(__xludf.DUMMYFUNCTION("""COMPUTED_VALUE"""),0.64583333333212)</f>
        <v>0.64583333333212001</v>
      </c>
      <c r="J624" s="16">
        <f ca="1">IFERROR(__xludf.DUMMYFUNCTION("""COMPUTED_VALUE"""),44195.6875)</f>
        <v>44195.6875</v>
      </c>
      <c r="K624" t="str">
        <f ca="1">IFERROR(__xludf.DUMMYFUNCTION("""COMPUTED_VALUE"""),"23ft Skiff (Bertha) FL7972LJ DEP07613")</f>
        <v>23ft Skiff (Bertha) FL7972LJ DEP07613</v>
      </c>
      <c r="M624" t="str">
        <f ca="1">IFERROR(__xludf.DUMMYFUNCTION("""COMPUTED_VALUE"""),"Ford F150 2015 (White) - DEP21448")</f>
        <v>Ford F150 2015 (White) - DEP21448</v>
      </c>
      <c r="N624" t="str">
        <f ca="1">IFERROR(__xludf.DUMMYFUNCTION("""COMPUTED_VALUE"""),"Remo Mondazi ")</f>
        <v xml:space="preserve">Remo Mondazi </v>
      </c>
      <c r="O624" t="str">
        <f ca="1">IFERROR(__xludf.DUMMYFUNCTION("""COMPUTED_VALUE"""),"Alee Knoell, (619) 750-4833")</f>
        <v>Alee Knoell, (619) 750-4833</v>
      </c>
      <c r="P624" t="str">
        <f ca="1">IFERROR(__xludf.DUMMYFUNCTION("""COMPUTED_VALUE"""),"Remo Mondazi ")</f>
        <v xml:space="preserve">Remo Mondazi </v>
      </c>
      <c r="Q624" t="str">
        <f ca="1">IFERROR(__xludf.DUMMYFUNCTION("""COMPUTED_VALUE"""),"All items in working order")</f>
        <v>All items in working order</v>
      </c>
      <c r="AE624" s="11"/>
      <c r="AF624" t="str">
        <v>Pamela.Marcum@floridadep.gov</v>
      </c>
      <c r="AG624" s="18"/>
    </row>
    <row r="625" spans="1:33" ht="12.75">
      <c r="A625" s="10">
        <f ca="1">IFERROR(__xludf.DUMMYFUNCTION("""COMPUTED_VALUE"""),44202.2585813773)</f>
        <v>44202.258581377297</v>
      </c>
      <c r="B625" s="11" t="str">
        <f ca="1">IFERROR(__xludf.DUMMYFUNCTION("""COMPUTED_VALUE"""),"Silas Tanner")</f>
        <v>Silas Tanner</v>
      </c>
      <c r="C625" t="str">
        <f ca="1">IFERROR(__xludf.DUMMYFUNCTION("""COMPUTED_VALUE"""),"silas.tanner@floridadep.gov")</f>
        <v>silas.tanner@floridadep.gov</v>
      </c>
      <c r="D625" t="str">
        <f ca="1">IFERROR(__xludf.DUMMYFUNCTION("""COMPUTED_VALUE"""),"Nikki Dix")</f>
        <v>Nikki Dix</v>
      </c>
      <c r="E625" t="str">
        <f ca="1">IFERROR(__xludf.DUMMYFUNCTION("""COMPUTED_VALUE"""),"Vilano Landing")</f>
        <v>Vilano Landing</v>
      </c>
      <c r="F625" s="13">
        <f ca="1">IFERROR(__xludf.DUMMYFUNCTION("""COMPUTED_VALUE"""),0.291666666667879)</f>
        <v>0.29166666666787899</v>
      </c>
      <c r="G625" s="14">
        <f ca="1">IFERROR(__xludf.DUMMYFUNCTION("""COMPUTED_VALUE"""),44202)</f>
        <v>44202</v>
      </c>
      <c r="H625" t="str">
        <f ca="1">IFERROR(__xludf.DUMMYFUNCTION("""COMPUTED_VALUE"""),"ICW SWMP sites")</f>
        <v>ICW SWMP sites</v>
      </c>
      <c r="I625" s="15">
        <f ca="1">IFERROR(__xludf.DUMMYFUNCTION("""COMPUTED_VALUE"""),0.479166666667879)</f>
        <v>0.47916666666787899</v>
      </c>
      <c r="J625" s="16">
        <f ca="1">IFERROR(__xludf.DUMMYFUNCTION("""COMPUTED_VALUE"""),44202.4895833333)</f>
        <v>44202.489583333299</v>
      </c>
      <c r="K625" t="str">
        <f ca="1">IFERROR(__xludf.DUMMYFUNCTION("""COMPUTED_VALUE"""),"23ft Skiff (Bertha) FL7972LJ DEP07613")</f>
        <v>23ft Skiff (Bertha) FL7972LJ DEP07613</v>
      </c>
      <c r="M625" t="str">
        <f ca="1">IFERROR(__xludf.DUMMYFUNCTION("""COMPUTED_VALUE"""),"Ford F250 2017 (Moby Dix) - DEP0021578")</f>
        <v>Ford F250 2017 (Moby Dix) - DEP0021578</v>
      </c>
      <c r="N625" t="str">
        <f ca="1">IFERROR(__xludf.DUMMYFUNCTION("""COMPUTED_VALUE"""),"Silas Tanner, (904) 483-8423, Remo Mondazzi")</f>
        <v>Silas Tanner, (904) 483-8423, Remo Mondazzi</v>
      </c>
      <c r="P625" t="str">
        <f ca="1">IFERROR(__xludf.DUMMYFUNCTION("""COMPUTED_VALUE"""),"Silas Tanner")</f>
        <v>Silas Tanner</v>
      </c>
      <c r="Q625" t="str">
        <f ca="1">IFERROR(__xludf.DUMMYFUNCTION("""COMPUTED_VALUE"""),"All items in working order")</f>
        <v>All items in working order</v>
      </c>
      <c r="AE625" s="11"/>
      <c r="AF625" t="str">
        <v>Nikki.Dix@floridadep.gov</v>
      </c>
      <c r="AG625" s="18"/>
    </row>
    <row r="626" spans="1:33" ht="12.75">
      <c r="A626" s="10">
        <f ca="1">IFERROR(__xludf.DUMMYFUNCTION("""COMPUTED_VALUE"""),44204.3560799189)</f>
        <v>44204.3560799189</v>
      </c>
      <c r="B626" s="11" t="str">
        <f ca="1">IFERROR(__xludf.DUMMYFUNCTION("""COMPUTED_VALUE"""),"Nikki Dix")</f>
        <v>Nikki Dix</v>
      </c>
      <c r="C626" t="str">
        <f ca="1">IFERROR(__xludf.DUMMYFUNCTION("""COMPUTED_VALUE"""),"nikki.dix@dep.state.fl.us")</f>
        <v>nikki.dix@dep.state.fl.us</v>
      </c>
      <c r="D626" t="str">
        <f ca="1">IFERROR(__xludf.DUMMYFUNCTION("""COMPUTED_VALUE"""),"Pam Marcum")</f>
        <v>Pam Marcum</v>
      </c>
      <c r="E626" t="str">
        <f ca="1">IFERROR(__xludf.DUMMYFUNCTION("""COMPUTED_VALUE"""),"Palm Valley ")</f>
        <v xml:space="preserve">Palm Valley </v>
      </c>
      <c r="F626" s="13">
        <f ca="1">IFERROR(__xludf.DUMMYFUNCTION("""COMPUTED_VALUE"""),0.354166666667879)</f>
        <v>0.35416666666787899</v>
      </c>
      <c r="G626" s="14">
        <f ca="1">IFERROR(__xludf.DUMMYFUNCTION("""COMPUTED_VALUE"""),44204)</f>
        <v>44204</v>
      </c>
      <c r="H626" t="str">
        <f ca="1">IFERROR(__xludf.DUMMYFUNCTION("""COMPUTED_VALUE"""),"Tolomato River")</f>
        <v>Tolomato River</v>
      </c>
      <c r="I626" s="15">
        <f ca="1">IFERROR(__xludf.DUMMYFUNCTION("""COMPUTED_VALUE"""),0.58333333333212)</f>
        <v>0.58333333333212001</v>
      </c>
      <c r="J626" s="16">
        <f ca="1">IFERROR(__xludf.DUMMYFUNCTION("""COMPUTED_VALUE"""),44204.6041666666)</f>
        <v>44204.604166666599</v>
      </c>
      <c r="K626" t="str">
        <f ca="1">IFERROR(__xludf.DUMMYFUNCTION("""COMPUTED_VALUE"""),"23ft Skiff (Bertha) FL7972LJ DEP07613")</f>
        <v>23ft Skiff (Bertha) FL7972LJ DEP07613</v>
      </c>
      <c r="M626" t="str">
        <f ca="1">IFERROR(__xludf.DUMMYFUNCTION("""COMPUTED_VALUE"""),"Ford F250 2017 (Moby Dix) - DEP0021578")</f>
        <v>Ford F250 2017 (Moby Dix) - DEP0021578</v>
      </c>
      <c r="N626" t="str">
        <f ca="1">IFERROR(__xludf.DUMMYFUNCTION("""COMPUTED_VALUE"""),"Nikki Dix, (352) 219-4079, Shannon Dunnigan, (803) 727-5734, Silas Tanner, (904) 483-8423")</f>
        <v>Nikki Dix, (352) 219-4079, Shannon Dunnigan, (803) 727-5734, Silas Tanner, (904) 483-8423</v>
      </c>
      <c r="P626" t="str">
        <f ca="1">IFERROR(__xludf.DUMMYFUNCTION("""COMPUTED_VALUE"""),"Shannon Dunnigan")</f>
        <v>Shannon Dunnigan</v>
      </c>
      <c r="Q626" t="str">
        <f ca="1">IFERROR(__xludf.DUMMYFUNCTION("""COMPUTED_VALUE"""),"All items in working order")</f>
        <v>All items in working order</v>
      </c>
      <c r="AE626" s="11"/>
      <c r="AF626" t="str">
        <v>Pamela.Marcum@floridadep.gov</v>
      </c>
      <c r="AG626" s="18"/>
    </row>
    <row r="627" spans="1:33" ht="12.75">
      <c r="A627" s="10">
        <f ca="1">IFERROR(__xludf.DUMMYFUNCTION("""COMPUTED_VALUE"""),44204.669520949)</f>
        <v>44204.669520948999</v>
      </c>
      <c r="B627" s="11" t="str">
        <f ca="1">IFERROR(__xludf.DUMMYFUNCTION("""COMPUTED_VALUE"""),"Nikki Dix")</f>
        <v>Nikki Dix</v>
      </c>
      <c r="C627" t="str">
        <f ca="1">IFERROR(__xludf.DUMMYFUNCTION("""COMPUTED_VALUE"""),"nikki.dix@dep.state.fl.us")</f>
        <v>nikki.dix@dep.state.fl.us</v>
      </c>
      <c r="D627" t="str">
        <f ca="1">IFERROR(__xludf.DUMMYFUNCTION("""COMPUTED_VALUE"""),"Pam Marcum")</f>
        <v>Pam Marcum</v>
      </c>
      <c r="E627" t="str">
        <f ca="1">IFERROR(__xludf.DUMMYFUNCTION("""COMPUTED_VALUE"""),"Palm Valley ")</f>
        <v xml:space="preserve">Palm Valley </v>
      </c>
      <c r="F627" s="13">
        <f ca="1">IFERROR(__xludf.DUMMYFUNCTION("""COMPUTED_VALUE"""),0.354166666667879)</f>
        <v>0.35416666666787899</v>
      </c>
      <c r="G627" s="14">
        <f ca="1">IFERROR(__xludf.DUMMYFUNCTION("""COMPUTED_VALUE"""),44204)</f>
        <v>44204</v>
      </c>
      <c r="H627" t="str">
        <f ca="1">IFERROR(__xludf.DUMMYFUNCTION("""COMPUTED_VALUE"""),"Tolomato River")</f>
        <v>Tolomato River</v>
      </c>
      <c r="I627" s="15">
        <f ca="1">IFERROR(__xludf.DUMMYFUNCTION("""COMPUTED_VALUE"""),0.58333333333212)</f>
        <v>0.58333333333212001</v>
      </c>
      <c r="J627" s="16">
        <f ca="1">IFERROR(__xludf.DUMMYFUNCTION("""COMPUTED_VALUE"""),44204.6041666666)</f>
        <v>44204.604166666599</v>
      </c>
      <c r="K627" t="str">
        <f ca="1">IFERROR(__xludf.DUMMYFUNCTION("""COMPUTED_VALUE"""),"23ft Skiff (Bertha) FL7972LJ DEP07613")</f>
        <v>23ft Skiff (Bertha) FL7972LJ DEP07613</v>
      </c>
      <c r="M627" t="str">
        <f ca="1">IFERROR(__xludf.DUMMYFUNCTION("""COMPUTED_VALUE"""),"Ford F250 2017 (Moby Dix) - DEP0021578")</f>
        <v>Ford F250 2017 (Moby Dix) - DEP0021578</v>
      </c>
      <c r="N627" t="str">
        <f ca="1">IFERROR(__xludf.DUMMYFUNCTION("""COMPUTED_VALUE"""),"Nikki Dix, (352) 219-4079, Shannon Dunnigan, (803) 727-5734, Silas Tanner, (904) 483-8423")</f>
        <v>Nikki Dix, (352) 219-4079, Shannon Dunnigan, (803) 727-5734, Silas Tanner, (904) 483-8423</v>
      </c>
      <c r="P627" t="str">
        <f ca="1">IFERROR(__xludf.DUMMYFUNCTION("""COMPUTED_VALUE"""),"Shannon Dunnigan")</f>
        <v>Shannon Dunnigan</v>
      </c>
      <c r="Q627" t="str">
        <f ca="1">IFERROR(__xludf.DUMMYFUNCTION("""COMPUTED_VALUE"""),"All items in working order")</f>
        <v>All items in working order</v>
      </c>
      <c r="AE627" s="11"/>
      <c r="AF627" t="str">
        <v>Pamela.Marcum@floridadep.gov</v>
      </c>
      <c r="AG627" s="18"/>
    </row>
    <row r="628" spans="1:33" ht="12.75">
      <c r="A628" s="10">
        <f ca="1">IFERROR(__xludf.DUMMYFUNCTION("""COMPUTED_VALUE"""),44207.2986498379)</f>
        <v>44207.298649837903</v>
      </c>
      <c r="B628" s="11" t="str">
        <f ca="1">IFERROR(__xludf.DUMMYFUNCTION("""COMPUTED_VALUE"""),"Jessica Lee")</f>
        <v>Jessica Lee</v>
      </c>
      <c r="C628" t="str">
        <f ca="1">IFERROR(__xludf.DUMMYFUNCTION("""COMPUTED_VALUE"""),"jessica.lee@floridadep.gov")</f>
        <v>jessica.lee@floridadep.gov</v>
      </c>
      <c r="D628" t="str">
        <f ca="1">IFERROR(__xludf.DUMMYFUNCTION("""COMPUTED_VALUE"""),"Nikki Dix")</f>
        <v>Nikki Dix</v>
      </c>
      <c r="E628" t="str">
        <f ca="1">IFERROR(__xludf.DUMMYFUNCTION("""COMPUTED_VALUE"""),"Guana River")</f>
        <v>Guana River</v>
      </c>
      <c r="F628" s="13">
        <f ca="1">IFERROR(__xludf.DUMMYFUNCTION("""COMPUTED_VALUE"""),0.315972222222626)</f>
        <v>0.315972222222626</v>
      </c>
      <c r="G628" s="14">
        <f ca="1">IFERROR(__xludf.DUMMYFUNCTION("""COMPUTED_VALUE"""),44207)</f>
        <v>44207</v>
      </c>
      <c r="H628" t="str">
        <f ca="1">IFERROR(__xludf.DUMMYFUNCTION("""COMPUTED_VALUE"""),"Guana River ")</f>
        <v xml:space="preserve">Guana River </v>
      </c>
      <c r="I628" s="15">
        <f ca="1">IFERROR(__xludf.DUMMYFUNCTION("""COMPUTED_VALUE"""),0.375)</f>
        <v>0.375</v>
      </c>
      <c r="J628" s="16">
        <f ca="1">IFERROR(__xludf.DUMMYFUNCTION("""COMPUTED_VALUE"""),44217.3958333333)</f>
        <v>44217.395833333299</v>
      </c>
      <c r="K628" t="str">
        <f ca="1">IFERROR(__xludf.DUMMYFUNCTION("""COMPUTED_VALUE"""),"Jon Boat 1 FL5992RR DEP154045")</f>
        <v>Jon Boat 1 FL5992RR DEP154045</v>
      </c>
      <c r="M628" t="str">
        <f ca="1">IFERROR(__xludf.DUMMYFUNCTION("""COMPUTED_VALUE"""),"Ford F150 2015 (White) - DEP21448")</f>
        <v>Ford F150 2015 (White) - DEP21448</v>
      </c>
      <c r="N628" t="str">
        <f ca="1">IFERROR(__xludf.DUMMYFUNCTION("""COMPUTED_VALUE"""),"Shannon Dunnigan, (803) 727-5734, Jessica Lee")</f>
        <v>Shannon Dunnigan, (803) 727-5734, Jessica Lee</v>
      </c>
      <c r="P628" t="str">
        <f ca="1">IFERROR(__xludf.DUMMYFUNCTION("""COMPUTED_VALUE"""),"Jessica Lee")</f>
        <v>Jessica Lee</v>
      </c>
      <c r="Q628" t="str">
        <f ca="1">IFERROR(__xludf.DUMMYFUNCTION("""COMPUTED_VALUE"""),"All items in working order")</f>
        <v>All items in working order</v>
      </c>
      <c r="AE628" s="11"/>
      <c r="AF628" t="str">
        <v>Nikki.Dix@floridadep.gov</v>
      </c>
      <c r="AG628" s="18"/>
    </row>
    <row r="629" spans="1:33" ht="12.75">
      <c r="A629" s="10">
        <f ca="1">IFERROR(__xludf.DUMMYFUNCTION("""COMPUTED_VALUE"""),44208.3955013194)</f>
        <v>44208.395501319399</v>
      </c>
      <c r="B629" s="11" t="str">
        <f ca="1">IFERROR(__xludf.DUMMYFUNCTION("""COMPUTED_VALUE"""),"Alexandria Knoell")</f>
        <v>Alexandria Knoell</v>
      </c>
      <c r="C629" t="str">
        <f ca="1">IFERROR(__xludf.DUMMYFUNCTION("""COMPUTED_VALUE"""),"alee.knoell@hotmail.com")</f>
        <v>alee.knoell@hotmail.com</v>
      </c>
      <c r="D629" t="str">
        <f ca="1">IFERROR(__xludf.DUMMYFUNCTION("""COMPUTED_VALUE"""),"Pam Marcum")</f>
        <v>Pam Marcum</v>
      </c>
      <c r="E629" t="str">
        <f ca="1">IFERROR(__xludf.DUMMYFUNCTION("""COMPUTED_VALUE"""),"Green road ")</f>
        <v xml:space="preserve">Green road </v>
      </c>
      <c r="F629" s="13">
        <f ca="1">IFERROR(__xludf.DUMMYFUNCTION("""COMPUTED_VALUE"""),0.39583333333212)</f>
        <v>0.39583333333212001</v>
      </c>
      <c r="G629" s="14">
        <f ca="1">IFERROR(__xludf.DUMMYFUNCTION("""COMPUTED_VALUE"""),44208)</f>
        <v>44208</v>
      </c>
      <c r="H629" t="str">
        <f ca="1">IFERROR(__xludf.DUMMYFUNCTION("""COMPUTED_VALUE"""),"Nutrient run ")</f>
        <v xml:space="preserve">Nutrient run </v>
      </c>
      <c r="I629" s="15">
        <f ca="1">IFERROR(__xludf.DUMMYFUNCTION("""COMPUTED_VALUE"""),0.447916666667879)</f>
        <v>0.44791666666787899</v>
      </c>
      <c r="J629" s="16">
        <f ca="1">IFERROR(__xludf.DUMMYFUNCTION("""COMPUTED_VALUE"""),44208.5833333333)</f>
        <v>44208.583333333299</v>
      </c>
      <c r="K629" t="str">
        <f ca="1">IFERROR(__xludf.DUMMYFUNCTION("""COMPUTED_VALUE"""),"17ft Skiff (Marsha) FL0642GW DEP07239")</f>
        <v>17ft Skiff (Marsha) FL0642GW DEP07239</v>
      </c>
      <c r="M629" t="str">
        <f ca="1">IFERROR(__xludf.DUMMYFUNCTION("""COMPUTED_VALUE"""),"Ford F250 2017 (Moby Dix) - DEP0021578")</f>
        <v>Ford F250 2017 (Moby Dix) - DEP0021578</v>
      </c>
      <c r="N629" t="str">
        <f ca="1">IFERROR(__xludf.DUMMYFUNCTION("""COMPUTED_VALUE"""),"Shannon Dunnigan, (803) 727-5734")</f>
        <v>Shannon Dunnigan, (803) 727-5734</v>
      </c>
      <c r="O629" t="str">
        <f ca="1">IFERROR(__xludf.DUMMYFUNCTION("""COMPUTED_VALUE"""),"Alee Knoell, (619) 750-4833")</f>
        <v>Alee Knoell, (619) 750-4833</v>
      </c>
      <c r="P629" t="str">
        <f ca="1">IFERROR(__xludf.DUMMYFUNCTION("""COMPUTED_VALUE"""),"Shannon")</f>
        <v>Shannon</v>
      </c>
      <c r="Q629" t="str">
        <f ca="1">IFERROR(__xludf.DUMMYFUNCTION("""COMPUTED_VALUE"""),"All items in working order")</f>
        <v>All items in working order</v>
      </c>
      <c r="AE629" s="11"/>
      <c r="AF629" t="str">
        <v>Pamela.Marcum@floridadep.gov</v>
      </c>
      <c r="AG629" s="18"/>
    </row>
    <row r="630" spans="1:33" ht="12.75">
      <c r="A630" s="10">
        <f ca="1">IFERROR(__xludf.DUMMYFUNCTION("""COMPUTED_VALUE"""),44208.4575249074)</f>
        <v>44208.457524907397</v>
      </c>
      <c r="B630" s="11" t="str">
        <f ca="1">IFERROR(__xludf.DUMMYFUNCTION("""COMPUTED_VALUE"""),"Alexandria Knoell")</f>
        <v>Alexandria Knoell</v>
      </c>
      <c r="C630" t="str">
        <f ca="1">IFERROR(__xludf.DUMMYFUNCTION("""COMPUTED_VALUE"""),"alee.knoell@hotmail.com")</f>
        <v>alee.knoell@hotmail.com</v>
      </c>
      <c r="D630" t="str">
        <f ca="1">IFERROR(__xludf.DUMMYFUNCTION("""COMPUTED_VALUE"""),"Pam Marcum")</f>
        <v>Pam Marcum</v>
      </c>
      <c r="E630" t="str">
        <f ca="1">IFERROR(__xludf.DUMMYFUNCTION("""COMPUTED_VALUE"""),"Green road ")</f>
        <v xml:space="preserve">Green road </v>
      </c>
      <c r="F630" s="13">
        <f ca="1">IFERROR(__xludf.DUMMYFUNCTION("""COMPUTED_VALUE"""),0.39583333333212)</f>
        <v>0.39583333333212001</v>
      </c>
      <c r="G630" s="14">
        <f ca="1">IFERROR(__xludf.DUMMYFUNCTION("""COMPUTED_VALUE"""),44208)</f>
        <v>44208</v>
      </c>
      <c r="H630" t="str">
        <f ca="1">IFERROR(__xludf.DUMMYFUNCTION("""COMPUTED_VALUE"""),"Nutrient run ")</f>
        <v xml:space="preserve">Nutrient run </v>
      </c>
      <c r="I630" s="15">
        <f ca="1">IFERROR(__xludf.DUMMYFUNCTION("""COMPUTED_VALUE"""),0.447916666667879)</f>
        <v>0.44791666666787899</v>
      </c>
      <c r="J630" s="16">
        <f ca="1">IFERROR(__xludf.DUMMYFUNCTION("""COMPUTED_VALUE"""),44208.5833333333)</f>
        <v>44208.583333333299</v>
      </c>
      <c r="K630" t="str">
        <f ca="1">IFERROR(__xludf.DUMMYFUNCTION("""COMPUTED_VALUE"""),"17ft Skiff (Marsha) FL0642GW DEP07239")</f>
        <v>17ft Skiff (Marsha) FL0642GW DEP07239</v>
      </c>
      <c r="M630" t="str">
        <f ca="1">IFERROR(__xludf.DUMMYFUNCTION("""COMPUTED_VALUE"""),"Ford F250 2017 (Moby Dix) - DEP0021578")</f>
        <v>Ford F250 2017 (Moby Dix) - DEP0021578</v>
      </c>
      <c r="N630" t="str">
        <f ca="1">IFERROR(__xludf.DUMMYFUNCTION("""COMPUTED_VALUE"""),"Shannon Dunnigan, (803) 727-5734")</f>
        <v>Shannon Dunnigan, (803) 727-5734</v>
      </c>
      <c r="O630" t="str">
        <f ca="1">IFERROR(__xludf.DUMMYFUNCTION("""COMPUTED_VALUE"""),"Alee Knoell, (619) 750-4833")</f>
        <v>Alee Knoell, (619) 750-4833</v>
      </c>
      <c r="P630" t="str">
        <f ca="1">IFERROR(__xludf.DUMMYFUNCTION("""COMPUTED_VALUE"""),"Shannon")</f>
        <v>Shannon</v>
      </c>
      <c r="Q630" t="str">
        <f ca="1">IFERROR(__xludf.DUMMYFUNCTION("""COMPUTED_VALUE"""),"All items in working order")</f>
        <v>All items in working order</v>
      </c>
      <c r="AE630" s="11"/>
      <c r="AF630" t="str">
        <v>Pamela.Marcum@floridadep.gov</v>
      </c>
      <c r="AG630" s="18"/>
    </row>
    <row r="631" spans="1:33" ht="12.75">
      <c r="A631" s="10">
        <f ca="1">IFERROR(__xludf.DUMMYFUNCTION("""COMPUTED_VALUE"""),44208.4597168981)</f>
        <v>44208.459716898098</v>
      </c>
      <c r="B631" s="11" t="str">
        <f ca="1">IFERROR(__xludf.DUMMYFUNCTION("""COMPUTED_VALUE"""),"Alexandria Knoell")</f>
        <v>Alexandria Knoell</v>
      </c>
      <c r="C631" t="str">
        <f ca="1">IFERROR(__xludf.DUMMYFUNCTION("""COMPUTED_VALUE"""),"alee.knoell@floridadep.gov")</f>
        <v>alee.knoell@floridadep.gov</v>
      </c>
      <c r="D631" t="str">
        <f ca="1">IFERROR(__xludf.DUMMYFUNCTION("""COMPUTED_VALUE"""),"Pam Marcum")</f>
        <v>Pam Marcum</v>
      </c>
      <c r="E631" t="str">
        <f ca="1">IFERROR(__xludf.DUMMYFUNCTION("""COMPUTED_VALUE"""),"Crane")</f>
        <v>Crane</v>
      </c>
      <c r="F631" s="13">
        <f ca="1">IFERROR(__xludf.DUMMYFUNCTION("""COMPUTED_VALUE"""),0.46875)</f>
        <v>0.46875</v>
      </c>
      <c r="G631" s="14">
        <f ca="1">IFERROR(__xludf.DUMMYFUNCTION("""COMPUTED_VALUE"""),44208)</f>
        <v>44208</v>
      </c>
      <c r="H631" t="str">
        <f ca="1">IFERROR(__xludf.DUMMYFUNCTION("""COMPUTED_VALUE"""),"Nutrients ")</f>
        <v xml:space="preserve">Nutrients </v>
      </c>
      <c r="I631" s="15">
        <f ca="1">IFERROR(__xludf.DUMMYFUNCTION("""COMPUTED_VALUE"""),0.510416666667879)</f>
        <v>0.51041666666787899</v>
      </c>
      <c r="J631" s="16">
        <f ca="1">IFERROR(__xludf.DUMMYFUNCTION("""COMPUTED_VALUE"""),44208.6041666666)</f>
        <v>44208.604166666599</v>
      </c>
      <c r="K631" t="str">
        <f ca="1">IFERROR(__xludf.DUMMYFUNCTION("""COMPUTED_VALUE"""),"17ft Skiff (Marsha) FL0642GW DEP07239")</f>
        <v>17ft Skiff (Marsha) FL0642GW DEP07239</v>
      </c>
      <c r="M631" t="str">
        <f ca="1">IFERROR(__xludf.DUMMYFUNCTION("""COMPUTED_VALUE"""),"Ford F250 2017 (Moby Dix) - DEP0021578")</f>
        <v>Ford F250 2017 (Moby Dix) - DEP0021578</v>
      </c>
      <c r="N631" t="str">
        <f ca="1">IFERROR(__xludf.DUMMYFUNCTION("""COMPUTED_VALUE"""),"Shannon Dunnigan, (803) 727-5734")</f>
        <v>Shannon Dunnigan, (803) 727-5734</v>
      </c>
      <c r="O631" t="str">
        <f ca="1">IFERROR(__xludf.DUMMYFUNCTION("""COMPUTED_VALUE"""),"Alee Knoell, (619) 750-4833")</f>
        <v>Alee Knoell, (619) 750-4833</v>
      </c>
      <c r="P631" t="str">
        <f ca="1">IFERROR(__xludf.DUMMYFUNCTION("""COMPUTED_VALUE"""),"Shannon")</f>
        <v>Shannon</v>
      </c>
      <c r="Q631" t="str">
        <f ca="1">IFERROR(__xludf.DUMMYFUNCTION("""COMPUTED_VALUE"""),"All items in working order")</f>
        <v>All items in working order</v>
      </c>
      <c r="AE631" s="11"/>
      <c r="AF631" t="str">
        <v>Pamela.Marcum@floridadep.gov</v>
      </c>
      <c r="AG631" s="18"/>
    </row>
    <row r="632" spans="1:33" ht="12.75">
      <c r="A632" s="10">
        <f ca="1">IFERROR(__xludf.DUMMYFUNCTION("""COMPUTED_VALUE"""),44208.5235924652)</f>
        <v>44208.523592465201</v>
      </c>
      <c r="B632" s="11" t="str">
        <f ca="1">IFERROR(__xludf.DUMMYFUNCTION("""COMPUTED_VALUE"""),"Alexandria Knoell")</f>
        <v>Alexandria Knoell</v>
      </c>
      <c r="C632" t="str">
        <f ca="1">IFERROR(__xludf.DUMMYFUNCTION("""COMPUTED_VALUE"""),"alee.knoell@floridadep.gov")</f>
        <v>alee.knoell@floridadep.gov</v>
      </c>
      <c r="D632" t="str">
        <f ca="1">IFERROR(__xludf.DUMMYFUNCTION("""COMPUTED_VALUE"""),"Pam Marcum")</f>
        <v>Pam Marcum</v>
      </c>
      <c r="E632" t="str">
        <f ca="1">IFERROR(__xludf.DUMMYFUNCTION("""COMPUTED_VALUE"""),"Kate’s ")</f>
        <v xml:space="preserve">Kate’s </v>
      </c>
      <c r="F632" s="13">
        <f ca="1">IFERROR(__xludf.DUMMYFUNCTION("""COMPUTED_VALUE"""),0.527777777777373)</f>
        <v>0.527777777777373</v>
      </c>
      <c r="G632" s="14">
        <f ca="1">IFERROR(__xludf.DUMMYFUNCTION("""COMPUTED_VALUE"""),44208)</f>
        <v>44208</v>
      </c>
      <c r="H632" t="str">
        <f ca="1">IFERROR(__xludf.DUMMYFUNCTION("""COMPUTED_VALUE"""),"Nutrients")</f>
        <v>Nutrients</v>
      </c>
      <c r="I632" s="15">
        <f ca="1">IFERROR(__xludf.DUMMYFUNCTION("""COMPUTED_VALUE"""),0.604166666667879)</f>
        <v>0.60416666666787899</v>
      </c>
      <c r="J632" s="16">
        <f ca="1">IFERROR(__xludf.DUMMYFUNCTION("""COMPUTED_VALUE"""),44208.6458333333)</f>
        <v>44208.645833333299</v>
      </c>
      <c r="K632" t="str">
        <f ca="1">IFERROR(__xludf.DUMMYFUNCTION("""COMPUTED_VALUE"""),"17ft Skiff (Marsha) FL0642GW DEP07239")</f>
        <v>17ft Skiff (Marsha) FL0642GW DEP07239</v>
      </c>
      <c r="M632" t="str">
        <f ca="1">IFERROR(__xludf.DUMMYFUNCTION("""COMPUTED_VALUE"""),"Ford F250 2017 (Moby Dix) - DEP0021578")</f>
        <v>Ford F250 2017 (Moby Dix) - DEP0021578</v>
      </c>
      <c r="N632" t="str">
        <f ca="1">IFERROR(__xludf.DUMMYFUNCTION("""COMPUTED_VALUE"""),"Shannon Dunnigan, (803) 727-5734")</f>
        <v>Shannon Dunnigan, (803) 727-5734</v>
      </c>
      <c r="O632" t="str">
        <f ca="1">IFERROR(__xludf.DUMMYFUNCTION("""COMPUTED_VALUE"""),"Alee Knoell, (619) 750-4833")</f>
        <v>Alee Knoell, (619) 750-4833</v>
      </c>
      <c r="P632" t="str">
        <f ca="1">IFERROR(__xludf.DUMMYFUNCTION("""COMPUTED_VALUE"""),"Shannon")</f>
        <v>Shannon</v>
      </c>
      <c r="Q632" t="str">
        <f ca="1">IFERROR(__xludf.DUMMYFUNCTION("""COMPUTED_VALUE"""),"All items in working order")</f>
        <v>All items in working order</v>
      </c>
      <c r="AE632" s="11"/>
      <c r="AF632" t="str">
        <v>Pamela.Marcum@floridadep.gov</v>
      </c>
      <c r="AG632" s="18"/>
    </row>
    <row r="633" spans="1:33" ht="12.75">
      <c r="A633" s="10">
        <f ca="1">IFERROR(__xludf.DUMMYFUNCTION("""COMPUTED_VALUE"""),44223.3463412962)</f>
        <v>44223.346341296201</v>
      </c>
      <c r="B633" s="11" t="str">
        <f ca="1">IFERROR(__xludf.DUMMYFUNCTION("""COMPUTED_VALUE"""),"Alexandria Knoell")</f>
        <v>Alexandria Knoell</v>
      </c>
      <c r="C633" t="str">
        <f ca="1">IFERROR(__xludf.DUMMYFUNCTION("""COMPUTED_VALUE"""),"alee.knoell@floridadep.gov")</f>
        <v>alee.knoell@floridadep.gov</v>
      </c>
      <c r="D633" t="str">
        <f ca="1">IFERROR(__xludf.DUMMYFUNCTION("""COMPUTED_VALUE"""),"Nikki Dix")</f>
        <v>Nikki Dix</v>
      </c>
      <c r="E633" t="str">
        <f ca="1">IFERROR(__xludf.DUMMYFUNCTION("""COMPUTED_VALUE"""),"Vilano")</f>
        <v>Vilano</v>
      </c>
      <c r="F633" s="13">
        <f ca="1">IFERROR(__xludf.DUMMYFUNCTION("""COMPUTED_VALUE"""),0.354166666667879)</f>
        <v>0.35416666666787899</v>
      </c>
      <c r="G633" s="14">
        <f ca="1">IFERROR(__xludf.DUMMYFUNCTION("""COMPUTED_VALUE"""),44223)</f>
        <v>44223</v>
      </c>
      <c r="H633" t="str">
        <f ca="1">IFERROR(__xludf.DUMMYFUNCTION("""COMPUTED_VALUE"""),"Sonde swap")</f>
        <v>Sonde swap</v>
      </c>
      <c r="I633" s="15">
        <f ca="1">IFERROR(__xludf.DUMMYFUNCTION("""COMPUTED_VALUE"""),0.541666666667879)</f>
        <v>0.54166666666787899</v>
      </c>
      <c r="J633" s="16">
        <f ca="1">IFERROR(__xludf.DUMMYFUNCTION("""COMPUTED_VALUE"""),44223.625)</f>
        <v>44223.625</v>
      </c>
      <c r="K633" t="str">
        <f ca="1">IFERROR(__xludf.DUMMYFUNCTION("""COMPUTED_VALUE"""),"23ft Skiff (Bertha) FL7972LJ DEP07613")</f>
        <v>23ft Skiff (Bertha) FL7972LJ DEP07613</v>
      </c>
      <c r="M633" t="str">
        <f ca="1">IFERROR(__xludf.DUMMYFUNCTION("""COMPUTED_VALUE"""),"Ford F150 2015 (White) - DEP21448")</f>
        <v>Ford F150 2015 (White) - DEP21448</v>
      </c>
      <c r="N633" t="str">
        <f ca="1">IFERROR(__xludf.DUMMYFUNCTION("""COMPUTED_VALUE"""),"Silas Tanner, (904) 483-8423")</f>
        <v>Silas Tanner, (904) 483-8423</v>
      </c>
      <c r="O633" t="str">
        <f ca="1">IFERROR(__xludf.DUMMYFUNCTION("""COMPUTED_VALUE"""),"Alee Knoell, (619) 750-4833")</f>
        <v>Alee Knoell, (619) 750-4833</v>
      </c>
      <c r="P633" t="str">
        <f ca="1">IFERROR(__xludf.DUMMYFUNCTION("""COMPUTED_VALUE"""),"Silas")</f>
        <v>Silas</v>
      </c>
      <c r="Q633" t="str">
        <f ca="1">IFERROR(__xludf.DUMMYFUNCTION("""COMPUTED_VALUE"""),"All items in working order")</f>
        <v>All items in working order</v>
      </c>
      <c r="AE633" s="11"/>
      <c r="AF633" t="str">
        <v>Nikki.Dix@floridadep.gov</v>
      </c>
      <c r="AG633" s="18"/>
    </row>
    <row r="634" spans="1:33" ht="12.75">
      <c r="A634" s="10">
        <f ca="1">IFERROR(__xludf.DUMMYFUNCTION("""COMPUTED_VALUE"""),44223.4786781713)</f>
        <v>44223.478678171297</v>
      </c>
      <c r="B634" s="11" t="str">
        <f ca="1">IFERROR(__xludf.DUMMYFUNCTION("""COMPUTED_VALUE"""),"Alexandria Knoell")</f>
        <v>Alexandria Knoell</v>
      </c>
      <c r="C634" t="str">
        <f ca="1">IFERROR(__xludf.DUMMYFUNCTION("""COMPUTED_VALUE"""),"alee.knoell@floridadep.gov")</f>
        <v>alee.knoell@floridadep.gov</v>
      </c>
      <c r="D634" t="str">
        <f ca="1">IFERROR(__xludf.DUMMYFUNCTION("""COMPUTED_VALUE"""),"Nikki Dix")</f>
        <v>Nikki Dix</v>
      </c>
      <c r="E634" t="str">
        <f ca="1">IFERROR(__xludf.DUMMYFUNCTION("""COMPUTED_VALUE"""),"Vilano")</f>
        <v>Vilano</v>
      </c>
      <c r="F634" s="13">
        <f ca="1">IFERROR(__xludf.DUMMYFUNCTION("""COMPUTED_VALUE"""),0.42708333333212)</f>
        <v>0.42708333333212001</v>
      </c>
      <c r="G634" s="14">
        <f ca="1">IFERROR(__xludf.DUMMYFUNCTION("""COMPUTED_VALUE"""),44223)</f>
        <v>44223</v>
      </c>
      <c r="H634" t="str">
        <f ca="1">IFERROR(__xludf.DUMMYFUNCTION("""COMPUTED_VALUE"""),"Sonde swap")</f>
        <v>Sonde swap</v>
      </c>
      <c r="I634" s="15">
        <f ca="1">IFERROR(__xludf.DUMMYFUNCTION("""COMPUTED_VALUE"""),0.58333333333212)</f>
        <v>0.58333333333212001</v>
      </c>
      <c r="J634" s="16">
        <f ca="1">IFERROR(__xludf.DUMMYFUNCTION("""COMPUTED_VALUE"""),44223.6041666666)</f>
        <v>44223.604166666599</v>
      </c>
      <c r="K634" t="str">
        <f ca="1">IFERROR(__xludf.DUMMYFUNCTION("""COMPUTED_VALUE"""),"23ft Skiff (Bertha) FL7972LJ DEP07613")</f>
        <v>23ft Skiff (Bertha) FL7972LJ DEP07613</v>
      </c>
      <c r="M634" t="str">
        <f ca="1">IFERROR(__xludf.DUMMYFUNCTION("""COMPUTED_VALUE"""),"Ford F150 2015 (White) - DEP21448")</f>
        <v>Ford F150 2015 (White) - DEP21448</v>
      </c>
      <c r="N634" t="str">
        <f ca="1">IFERROR(__xludf.DUMMYFUNCTION("""COMPUTED_VALUE"""),"Silas Tanner, (904) 483-8423")</f>
        <v>Silas Tanner, (904) 483-8423</v>
      </c>
      <c r="O634" t="str">
        <f ca="1">IFERROR(__xludf.DUMMYFUNCTION("""COMPUTED_VALUE"""),"Alee Knoell, (619) 750-4833")</f>
        <v>Alee Knoell, (619) 750-4833</v>
      </c>
      <c r="P634" t="str">
        <f ca="1">IFERROR(__xludf.DUMMYFUNCTION("""COMPUTED_VALUE"""),"Silas")</f>
        <v>Silas</v>
      </c>
      <c r="Q634" t="str">
        <f ca="1">IFERROR(__xludf.DUMMYFUNCTION("""COMPUTED_VALUE"""),"All items in working order")</f>
        <v>All items in working order</v>
      </c>
      <c r="AE634" s="11"/>
      <c r="AF634" t="str">
        <v>Nikki.Dix@floridadep.gov</v>
      </c>
      <c r="AG634" s="18"/>
    </row>
    <row r="635" spans="1:33" ht="12.75">
      <c r="A635" s="10">
        <f ca="1">IFERROR(__xludf.DUMMYFUNCTION("""COMPUTED_VALUE"""),44231.4519963657)</f>
        <v>44231.4519963657</v>
      </c>
      <c r="B635" s="11" t="str">
        <f ca="1">IFERROR(__xludf.DUMMYFUNCTION("""COMPUTED_VALUE"""),"Pamela Marcum")</f>
        <v>Pamela Marcum</v>
      </c>
      <c r="C635" t="str">
        <f ca="1">IFERROR(__xludf.DUMMYFUNCTION("""COMPUTED_VALUE"""),"pamela.marcum@floridadep.gov")</f>
        <v>pamela.marcum@floridadep.gov</v>
      </c>
      <c r="D635" t="str">
        <f ca="1">IFERROR(__xludf.DUMMYFUNCTION("""COMPUTED_VALUE"""),"Nikki Dix")</f>
        <v>Nikki Dix</v>
      </c>
      <c r="E635" t="str">
        <f ca="1">IFERROR(__xludf.DUMMYFUNCTION("""COMPUTED_VALUE"""),"Aunt kates")</f>
        <v>Aunt kates</v>
      </c>
      <c r="F635" s="13">
        <f ca="1">IFERROR(__xludf.DUMMYFUNCTION("""COMPUTED_VALUE"""),0.451388888890505)</f>
        <v>0.45138888889050499</v>
      </c>
      <c r="G635" s="14">
        <f ca="1">IFERROR(__xludf.DUMMYFUNCTION("""COMPUTED_VALUE"""),44231)</f>
        <v>44231</v>
      </c>
      <c r="H635" t="str">
        <f ca="1">IFERROR(__xludf.DUMMYFUNCTION("""COMPUTED_VALUE"""),"Hat island")</f>
        <v>Hat island</v>
      </c>
      <c r="I635" s="15">
        <f ca="1">IFERROR(__xludf.DUMMYFUNCTION("""COMPUTED_VALUE"""),0.58333333333212)</f>
        <v>0.58333333333212001</v>
      </c>
      <c r="J635" s="16">
        <f ca="1">IFERROR(__xludf.DUMMYFUNCTION("""COMPUTED_VALUE"""),44231.6041666666)</f>
        <v>44231.604166666599</v>
      </c>
      <c r="K635" t="str">
        <f ca="1">IFERROR(__xludf.DUMMYFUNCTION("""COMPUTED_VALUE"""),"23ft Skiff (Bertha) FL7972LJ DEP07613")</f>
        <v>23ft Skiff (Bertha) FL7972LJ DEP07613</v>
      </c>
      <c r="M635" t="str">
        <f ca="1">IFERROR(__xludf.DUMMYFUNCTION("""COMPUTED_VALUE"""),"Ford F150 2015 (White) - DEP21448")</f>
        <v>Ford F150 2015 (White) - DEP21448</v>
      </c>
      <c r="N635" t="str">
        <f ca="1">IFERROR(__xludf.DUMMYFUNCTION("""COMPUTED_VALUE"""),"Pam Marcum, (480) 332-5414")</f>
        <v>Pam Marcum, (480) 332-5414</v>
      </c>
      <c r="O635" t="str">
        <f ca="1">IFERROR(__xludf.DUMMYFUNCTION("""COMPUTED_VALUE"""),"Alee Knoell, (619) 750-4833")</f>
        <v>Alee Knoell, (619) 750-4833</v>
      </c>
      <c r="P635" t="str">
        <f ca="1">IFERROR(__xludf.DUMMYFUNCTION("""COMPUTED_VALUE"""),"Pam")</f>
        <v>Pam</v>
      </c>
      <c r="Q635" t="str">
        <f ca="1">IFERROR(__xludf.DUMMYFUNCTION("""COMPUTED_VALUE"""),"All items in working order")</f>
        <v>All items in working order</v>
      </c>
      <c r="AE635" s="11"/>
      <c r="AF635" t="str">
        <v>Nikki.Dix@floridadep.gov</v>
      </c>
      <c r="AG635" s="18"/>
    </row>
    <row r="636" spans="1:33" ht="12.75">
      <c r="A636" s="10">
        <f ca="1">IFERROR(__xludf.DUMMYFUNCTION("""COMPUTED_VALUE"""),44232.5586479745)</f>
        <v>44232.558647974503</v>
      </c>
      <c r="B636" s="11" t="str">
        <f ca="1">IFERROR(__xludf.DUMMYFUNCTION("""COMPUTED_VALUE"""),"Pamela Marcum")</f>
        <v>Pamela Marcum</v>
      </c>
      <c r="C636" t="str">
        <f ca="1">IFERROR(__xludf.DUMMYFUNCTION("""COMPUTED_VALUE"""),"pamela.marcum@floridadep.gov")</f>
        <v>pamela.marcum@floridadep.gov</v>
      </c>
      <c r="D636" t="str">
        <f ca="1">IFERROR(__xludf.DUMMYFUNCTION("""COMPUTED_VALUE"""),"Nikki Dix")</f>
        <v>Nikki Dix</v>
      </c>
      <c r="E636" t="str">
        <f ca="1">IFERROR(__xludf.DUMMYFUNCTION("""COMPUTED_VALUE"""),"Aunt Kates")</f>
        <v>Aunt Kates</v>
      </c>
      <c r="F636" s="13">
        <f ca="1">IFERROR(__xludf.DUMMYFUNCTION("""COMPUTED_VALUE"""),0.559027777777373)</f>
        <v>0.559027777777373</v>
      </c>
      <c r="G636" s="14">
        <f ca="1">IFERROR(__xludf.DUMMYFUNCTION("""COMPUTED_VALUE"""),44232)</f>
        <v>44232</v>
      </c>
      <c r="H636" t="str">
        <f ca="1">IFERROR(__xludf.DUMMYFUNCTION("""COMPUTED_VALUE"""),"Hat Island then Pine Island")</f>
        <v>Hat Island then Pine Island</v>
      </c>
      <c r="I636" s="15">
        <f ca="1">IFERROR(__xludf.DUMMYFUNCTION("""COMPUTED_VALUE"""),0.625)</f>
        <v>0.625</v>
      </c>
      <c r="J636" s="16">
        <f ca="1">IFERROR(__xludf.DUMMYFUNCTION("""COMPUTED_VALUE"""),44232.6458333333)</f>
        <v>44232.645833333299</v>
      </c>
      <c r="K636" t="str">
        <f ca="1">IFERROR(__xludf.DUMMYFUNCTION("""COMPUTED_VALUE"""),"23ft Skiff (Bertha) FL7972LJ DEP07613")</f>
        <v>23ft Skiff (Bertha) FL7972LJ DEP07613</v>
      </c>
      <c r="M636" t="str">
        <f ca="1">IFERROR(__xludf.DUMMYFUNCTION("""COMPUTED_VALUE"""),"Ford F150 2015 (White) - DEP21448")</f>
        <v>Ford F150 2015 (White) - DEP21448</v>
      </c>
      <c r="N636" t="str">
        <f ca="1">IFERROR(__xludf.DUMMYFUNCTION("""COMPUTED_VALUE"""),"Pam Marcum, (480) 332-5414")</f>
        <v>Pam Marcum, (480) 332-5414</v>
      </c>
      <c r="O636" t="str">
        <f ca="1">IFERROR(__xludf.DUMMYFUNCTION("""COMPUTED_VALUE"""),"Alee Knoell, (619) 750-4833")</f>
        <v>Alee Knoell, (619) 750-4833</v>
      </c>
      <c r="P636" t="str">
        <f ca="1">IFERROR(__xludf.DUMMYFUNCTION("""COMPUTED_VALUE"""),"Pam")</f>
        <v>Pam</v>
      </c>
      <c r="Q636" t="str">
        <f ca="1">IFERROR(__xludf.DUMMYFUNCTION("""COMPUTED_VALUE"""),"All items in working order")</f>
        <v>All items in working order</v>
      </c>
      <c r="AE636" s="11"/>
      <c r="AF636" t="str">
        <v>Nikki.Dix@floridadep.gov</v>
      </c>
      <c r="AG636" s="18"/>
    </row>
    <row r="637" spans="1:33" ht="12.75">
      <c r="A637" s="10">
        <f ca="1">IFERROR(__xludf.DUMMYFUNCTION("""COMPUTED_VALUE"""),44236.3300973726)</f>
        <v>44236.3300973726</v>
      </c>
      <c r="B637" s="11" t="str">
        <f ca="1">IFERROR(__xludf.DUMMYFUNCTION("""COMPUTED_VALUE"""),"Pam Marcum")</f>
        <v>Pam Marcum</v>
      </c>
      <c r="C637" t="str">
        <f ca="1">IFERROR(__xludf.DUMMYFUNCTION("""COMPUTED_VALUE"""),"pamela.marcum@floridadep.gov")</f>
        <v>pamela.marcum@floridadep.gov</v>
      </c>
      <c r="D637" t="str">
        <f ca="1">IFERROR(__xludf.DUMMYFUNCTION("""COMPUTED_VALUE"""),"Shannon Dunnigan")</f>
        <v>Shannon Dunnigan</v>
      </c>
      <c r="E637" t="str">
        <f ca="1">IFERROR(__xludf.DUMMYFUNCTION("""COMPUTED_VALUE"""),"Butler, Shore, Vilano")</f>
        <v>Butler, Shore, Vilano</v>
      </c>
      <c r="F637" s="13">
        <f ca="1">IFERROR(__xludf.DUMMYFUNCTION("""COMPUTED_VALUE"""),0.329861111109494)</f>
        <v>0.32986111110949401</v>
      </c>
      <c r="G637" s="14">
        <f ca="1">IFERROR(__xludf.DUMMYFUNCTION("""COMPUTED_VALUE"""),44236)</f>
        <v>44236</v>
      </c>
      <c r="H637" t="str">
        <f ca="1">IFERROR(__xludf.DUMMYFUNCTION("""COMPUTED_VALUE"""),"FM, SS, PI SWMP stations")</f>
        <v>FM, SS, PI SWMP stations</v>
      </c>
      <c r="I637" s="15">
        <f ca="1">IFERROR(__xludf.DUMMYFUNCTION("""COMPUTED_VALUE"""),0.58333333333212)</f>
        <v>0.58333333333212001</v>
      </c>
      <c r="J637" s="16">
        <f ca="1">IFERROR(__xludf.DUMMYFUNCTION("""COMPUTED_VALUE"""),44236.625)</f>
        <v>44236.625</v>
      </c>
      <c r="K637" t="str">
        <f ca="1">IFERROR(__xludf.DUMMYFUNCTION("""COMPUTED_VALUE"""),"23ft Skiff (Bertha) FL7972LJ DEP07613")</f>
        <v>23ft Skiff (Bertha) FL7972LJ DEP07613</v>
      </c>
      <c r="M637" t="str">
        <f ca="1">IFERROR(__xludf.DUMMYFUNCTION("""COMPUTED_VALUE"""),"Ford F250 2017 (Moby Dix) - DEP0021578")</f>
        <v>Ford F250 2017 (Moby Dix) - DEP0021578</v>
      </c>
      <c r="N637" t="str">
        <f ca="1">IFERROR(__xludf.DUMMYFUNCTION("""COMPUTED_VALUE"""),"Pam Marcum, (480) 332-5414")</f>
        <v>Pam Marcum, (480) 332-5414</v>
      </c>
      <c r="O637" t="str">
        <f ca="1">IFERROR(__xludf.DUMMYFUNCTION("""COMPUTED_VALUE"""),"Alee Knoell, (619) 750-4833, Ashley Reaume")</f>
        <v>Alee Knoell, (619) 750-4833, Ashley Reaume</v>
      </c>
      <c r="P637" t="str">
        <f ca="1">IFERROR(__xludf.DUMMYFUNCTION("""COMPUTED_VALUE"""),"Pam")</f>
        <v>Pam</v>
      </c>
      <c r="Q637" t="str">
        <f ca="1">IFERROR(__xludf.DUMMYFUNCTION("""COMPUTED_VALUE"""),"All items in working order")</f>
        <v>All items in working order</v>
      </c>
      <c r="AE637" s="11"/>
      <c r="AF637" t="str">
        <v>Shannon.Dunnigan@floridadep.gov</v>
      </c>
      <c r="AG637" s="18"/>
    </row>
    <row r="638" spans="1:33" ht="12.75">
      <c r="A638" s="10">
        <f ca="1">IFERROR(__xludf.DUMMYFUNCTION("""COMPUTED_VALUE"""),44242.9540619675)</f>
        <v>44242.954061967503</v>
      </c>
      <c r="B638" s="11" t="str">
        <f ca="1">IFERROR(__xludf.DUMMYFUNCTION("""COMPUTED_VALUE"""),"Jessica Lee")</f>
        <v>Jessica Lee</v>
      </c>
      <c r="C638" t="str">
        <f ca="1">IFERROR(__xludf.DUMMYFUNCTION("""COMPUTED_VALUE"""),"jessica.lee@floridadep.gov")</f>
        <v>jessica.lee@floridadep.gov</v>
      </c>
      <c r="D638" t="str">
        <f ca="1">IFERROR(__xludf.DUMMYFUNCTION("""COMPUTED_VALUE"""),"Nikki Dix")</f>
        <v>Nikki Dix</v>
      </c>
      <c r="E638" t="str">
        <f ca="1">IFERROR(__xludf.DUMMYFUNCTION("""COMPUTED_VALUE"""),"Guana River")</f>
        <v>Guana River</v>
      </c>
      <c r="F638" s="13">
        <f ca="1">IFERROR(__xludf.DUMMYFUNCTION("""COMPUTED_VALUE"""),0.315972222222626)</f>
        <v>0.315972222222626</v>
      </c>
      <c r="G638" s="14">
        <f ca="1">IFERROR(__xludf.DUMMYFUNCTION("""COMPUTED_VALUE"""),44207)</f>
        <v>44207</v>
      </c>
      <c r="H638" t="str">
        <f ca="1">IFERROR(__xludf.DUMMYFUNCTION("""COMPUTED_VALUE"""),"Guana River ")</f>
        <v xml:space="preserve">Guana River </v>
      </c>
      <c r="I638" s="15">
        <f ca="1">IFERROR(__xludf.DUMMYFUNCTION("""COMPUTED_VALUE"""),0.375)</f>
        <v>0.375</v>
      </c>
      <c r="J638" s="16">
        <f ca="1">IFERROR(__xludf.DUMMYFUNCTION("""COMPUTED_VALUE"""),44217.3958333333)</f>
        <v>44217.395833333299</v>
      </c>
      <c r="K638" t="str">
        <f ca="1">IFERROR(__xludf.DUMMYFUNCTION("""COMPUTED_VALUE"""),"Jon Boat 1 FL5992RR DEP154045")</f>
        <v>Jon Boat 1 FL5992RR DEP154045</v>
      </c>
      <c r="M638" t="str">
        <f ca="1">IFERROR(__xludf.DUMMYFUNCTION("""COMPUTED_VALUE"""),"Ford F150 2015 (White) - DEP21448")</f>
        <v>Ford F150 2015 (White) - DEP21448</v>
      </c>
      <c r="N638" t="str">
        <f ca="1">IFERROR(__xludf.DUMMYFUNCTION("""COMPUTED_VALUE"""),"Shannon Dunnigan, (803) 727-5734, Jessica Lee")</f>
        <v>Shannon Dunnigan, (803) 727-5734, Jessica Lee</v>
      </c>
      <c r="P638" t="str">
        <f ca="1">IFERROR(__xludf.DUMMYFUNCTION("""COMPUTED_VALUE"""),"Jessica Lee")</f>
        <v>Jessica Lee</v>
      </c>
      <c r="Q638" t="str">
        <f ca="1">IFERROR(__xludf.DUMMYFUNCTION("""COMPUTED_VALUE"""),"All items in working order")</f>
        <v>All items in working order</v>
      </c>
      <c r="AE638" s="11"/>
      <c r="AF638" t="str">
        <v>Nikki.Dix@floridadep.gov</v>
      </c>
      <c r="AG638" s="18"/>
    </row>
    <row r="639" spans="1:33" ht="12.75">
      <c r="A639" s="10">
        <f ca="1">IFERROR(__xludf.DUMMYFUNCTION("""COMPUTED_VALUE"""),44244.3066419213)</f>
        <v>44244.306641921299</v>
      </c>
      <c r="B639" s="11" t="str">
        <f ca="1">IFERROR(__xludf.DUMMYFUNCTION("""COMPUTED_VALUE"""),"Alexandria Knoell")</f>
        <v>Alexandria Knoell</v>
      </c>
      <c r="C639" t="str">
        <f ca="1">IFERROR(__xludf.DUMMYFUNCTION("""COMPUTED_VALUE"""),"alee.knoell@floridadep.gov")</f>
        <v>alee.knoell@floridadep.gov</v>
      </c>
      <c r="D639" t="str">
        <f ca="1">IFERROR(__xludf.DUMMYFUNCTION("""COMPUTED_VALUE"""),"Nikki Dix")</f>
        <v>Nikki Dix</v>
      </c>
      <c r="E639" t="str">
        <f ca="1">IFERROR(__xludf.DUMMYFUNCTION("""COMPUTED_VALUE"""),"Palm valley")</f>
        <v>Palm valley</v>
      </c>
      <c r="F639" s="13">
        <f ca="1">IFERROR(__xludf.DUMMYFUNCTION("""COMPUTED_VALUE"""),0.3125)</f>
        <v>0.3125</v>
      </c>
      <c r="G639" s="14">
        <f ca="1">IFERROR(__xludf.DUMMYFUNCTION("""COMPUTED_VALUE"""),44244)</f>
        <v>44244</v>
      </c>
      <c r="H639" t="str">
        <f ca="1">IFERROR(__xludf.DUMMYFUNCTION("""COMPUTED_VALUE"""),"ICW swmp sites")</f>
        <v>ICW swmp sites</v>
      </c>
      <c r="I639" s="15">
        <f ca="1">IFERROR(__xludf.DUMMYFUNCTION("""COMPUTED_VALUE"""),0.58333333333212)</f>
        <v>0.58333333333212001</v>
      </c>
      <c r="J639" s="16">
        <f ca="1">IFERROR(__xludf.DUMMYFUNCTION("""COMPUTED_VALUE"""),44231.6875)</f>
        <v>44231.6875</v>
      </c>
      <c r="K639" t="str">
        <f ca="1">IFERROR(__xludf.DUMMYFUNCTION("""COMPUTED_VALUE"""),"20ft Sea Ark FL5351SJ UNF 2015")</f>
        <v>20ft Sea Ark FL5351SJ UNF 2015</v>
      </c>
      <c r="M639" t="str">
        <f ca="1">IFERROR(__xludf.DUMMYFUNCTION("""COMPUTED_VALUE"""),"Ford F250 2017 (Moby Dix) - DEP0021578")</f>
        <v>Ford F250 2017 (Moby Dix) - DEP0021578</v>
      </c>
      <c r="N639" t="str">
        <f ca="1">IFERROR(__xludf.DUMMYFUNCTION("""COMPUTED_VALUE"""),"Silas Tanner, (904) 483-8423")</f>
        <v>Silas Tanner, (904) 483-8423</v>
      </c>
      <c r="O639" t="str">
        <f ca="1">IFERROR(__xludf.DUMMYFUNCTION("""COMPUTED_VALUE"""),"Alee Knoell, (619) 750-4833")</f>
        <v>Alee Knoell, (619) 750-4833</v>
      </c>
      <c r="P639" t="str">
        <f ca="1">IFERROR(__xludf.DUMMYFUNCTION("""COMPUTED_VALUE"""),"James Silas tanner")</f>
        <v>James Silas tanner</v>
      </c>
      <c r="Q639" t="str">
        <f ca="1">IFERROR(__xludf.DUMMYFUNCTION("""COMPUTED_VALUE"""),"All items in working order")</f>
        <v>All items in working order</v>
      </c>
      <c r="AE639" s="11"/>
      <c r="AF639" t="str">
        <v>Nikki.Dix@floridadep.gov</v>
      </c>
      <c r="AG639" s="18"/>
    </row>
    <row r="640" spans="1:33" ht="12.75">
      <c r="A640" s="10">
        <f ca="1">IFERROR(__xludf.DUMMYFUNCTION("""COMPUTED_VALUE"""),44250.3599342592)</f>
        <v>44250.359934259199</v>
      </c>
      <c r="B640" s="11" t="str">
        <f ca="1">IFERROR(__xludf.DUMMYFUNCTION("""COMPUTED_VALUE"""),"Pamela Marcum")</f>
        <v>Pamela Marcum</v>
      </c>
      <c r="C640" t="str">
        <f ca="1">IFERROR(__xludf.DUMMYFUNCTION("""COMPUTED_VALUE"""),"pamela.marcum@floridadep.gov")</f>
        <v>pamela.marcum@floridadep.gov</v>
      </c>
      <c r="D640" t="str">
        <f ca="1">IFERROR(__xludf.DUMMYFUNCTION("""COMPUTED_VALUE"""),"Pam Marcum")</f>
        <v>Pam Marcum</v>
      </c>
      <c r="E640" t="str">
        <f ca="1">IFERROR(__xludf.DUMMYFUNCTION("""COMPUTED_VALUE"""),"Shore")</f>
        <v>Shore</v>
      </c>
      <c r="F640" s="13">
        <f ca="1">IFERROR(__xludf.DUMMYFUNCTION("""COMPUTED_VALUE"""),0.34375)</f>
        <v>0.34375</v>
      </c>
      <c r="G640" s="14">
        <f ca="1">IFERROR(__xludf.DUMMYFUNCTION("""COMPUTED_VALUE"""),44250)</f>
        <v>44250</v>
      </c>
      <c r="H640" t="str">
        <f ca="1">IFERROR(__xludf.DUMMYFUNCTION("""COMPUTED_VALUE"""),"22then gabby creek")</f>
        <v>22then gabby creek</v>
      </c>
      <c r="I640" s="15">
        <f ca="1">IFERROR(__xludf.DUMMYFUNCTION("""COMPUTED_VALUE"""),0.5)</f>
        <v>0.5</v>
      </c>
      <c r="J640" s="16">
        <f ca="1">IFERROR(__xludf.DUMMYFUNCTION("""COMPUTED_VALUE"""),44250.5833333333)</f>
        <v>44250.583333333299</v>
      </c>
      <c r="K640" t="str">
        <f ca="1">IFERROR(__xludf.DUMMYFUNCTION("""COMPUTED_VALUE"""),"17ft Skiff (Marsha) FL0642GW DEP07239")</f>
        <v>17ft Skiff (Marsha) FL0642GW DEP07239</v>
      </c>
      <c r="M640" t="str">
        <f ca="1">IFERROR(__xludf.DUMMYFUNCTION("""COMPUTED_VALUE"""),"Ford F150 2015 (White) - DEP21448")</f>
        <v>Ford F150 2015 (White) - DEP21448</v>
      </c>
      <c r="N640" t="str">
        <f ca="1">IFERROR(__xludf.DUMMYFUNCTION("""COMPUTED_VALUE"""),"Pam Marcum, (480) 332-5414")</f>
        <v>Pam Marcum, (480) 332-5414</v>
      </c>
      <c r="O640" t="str">
        <f ca="1">IFERROR(__xludf.DUMMYFUNCTION("""COMPUTED_VALUE"""),"Gabriela Canas, (904) 891-9743")</f>
        <v>Gabriela Canas, (904) 891-9743</v>
      </c>
      <c r="P640" t="str">
        <f ca="1">IFERROR(__xludf.DUMMYFUNCTION("""COMPUTED_VALUE"""),"Pam")</f>
        <v>Pam</v>
      </c>
      <c r="Q640" t="str">
        <f ca="1">IFERROR(__xludf.DUMMYFUNCTION("""COMPUTED_VALUE"""),"All items in working order")</f>
        <v>All items in working order</v>
      </c>
      <c r="AE640" s="11"/>
      <c r="AF640" t="str">
        <v>Pamela.Marcum@floridadep.gov</v>
      </c>
      <c r="AG640" s="18"/>
    </row>
    <row r="641" spans="1:33" ht="12.75">
      <c r="A641" s="10">
        <f ca="1">IFERROR(__xludf.DUMMYFUNCTION("""COMPUTED_VALUE"""),44251.3479623958)</f>
        <v>44251.347962395797</v>
      </c>
      <c r="B641" s="11" t="str">
        <f ca="1">IFERROR(__xludf.DUMMYFUNCTION("""COMPUTED_VALUE"""),"Alexandria Knoell")</f>
        <v>Alexandria Knoell</v>
      </c>
      <c r="C641" t="str">
        <f ca="1">IFERROR(__xludf.DUMMYFUNCTION("""COMPUTED_VALUE"""),"alee.knoell@floridadep.gov")</f>
        <v>alee.knoell@floridadep.gov</v>
      </c>
      <c r="D641" t="str">
        <f ca="1">IFERROR(__xludf.DUMMYFUNCTION("""COMPUTED_VALUE"""),"Nikki Dix")</f>
        <v>Nikki Dix</v>
      </c>
      <c r="E641" t="str">
        <f ca="1">IFERROR(__xludf.DUMMYFUNCTION("""COMPUTED_VALUE"""),"Vilano ")</f>
        <v xml:space="preserve">Vilano </v>
      </c>
      <c r="F641" s="13">
        <f ca="1">IFERROR(__xludf.DUMMYFUNCTION("""COMPUTED_VALUE"""),0.354166666667879)</f>
        <v>0.35416666666787899</v>
      </c>
      <c r="G641" s="14">
        <f ca="1">IFERROR(__xludf.DUMMYFUNCTION("""COMPUTED_VALUE"""),44251)</f>
        <v>44251</v>
      </c>
      <c r="H641" t="str">
        <f ca="1">IFERROR(__xludf.DUMMYFUNCTION("""COMPUTED_VALUE"""),"Pine island")</f>
        <v>Pine island</v>
      </c>
      <c r="I641" s="15">
        <f ca="1">IFERROR(__xludf.DUMMYFUNCTION("""COMPUTED_VALUE"""),0.479166666667879)</f>
        <v>0.47916666666787899</v>
      </c>
      <c r="J641" s="16">
        <f ca="1">IFERROR(__xludf.DUMMYFUNCTION("""COMPUTED_VALUE"""),44251.0208333333)</f>
        <v>44251.020833333299</v>
      </c>
      <c r="K641" t="str">
        <f ca="1">IFERROR(__xludf.DUMMYFUNCTION("""COMPUTED_VALUE"""),"20ft Sea Ark FL5351SJ UNF 2015")</f>
        <v>20ft Sea Ark FL5351SJ UNF 2015</v>
      </c>
      <c r="M641" t="str">
        <f ca="1">IFERROR(__xludf.DUMMYFUNCTION("""COMPUTED_VALUE"""),"Ford F250 2017 (Moby Dix) - DEP0021578")</f>
        <v>Ford F250 2017 (Moby Dix) - DEP0021578</v>
      </c>
      <c r="N641" t="str">
        <f ca="1">IFERROR(__xludf.DUMMYFUNCTION("""COMPUTED_VALUE"""),"Shannon Dunnigan, (803) 727-5734")</f>
        <v>Shannon Dunnigan, (803) 727-5734</v>
      </c>
      <c r="O641" t="str">
        <f ca="1">IFERROR(__xludf.DUMMYFUNCTION("""COMPUTED_VALUE"""),"Alee Knoell, (619) 750-4833")</f>
        <v>Alee Knoell, (619) 750-4833</v>
      </c>
      <c r="P641" t="str">
        <f ca="1">IFERROR(__xludf.DUMMYFUNCTION("""COMPUTED_VALUE"""),"Shannon")</f>
        <v>Shannon</v>
      </c>
      <c r="Q641" t="str">
        <f ca="1">IFERROR(__xludf.DUMMYFUNCTION("""COMPUTED_VALUE"""),"All items in working order")</f>
        <v>All items in working order</v>
      </c>
      <c r="AE641" s="11"/>
      <c r="AF641" t="str">
        <v>Nikki.Dix@floridadep.gov</v>
      </c>
      <c r="AG641" s="18"/>
    </row>
    <row r="642" spans="1:33" ht="12.75">
      <c r="A642" s="10">
        <f ca="1">IFERROR(__xludf.DUMMYFUNCTION("""COMPUTED_VALUE"""),44251.43180375)</f>
        <v>44251.431803749998</v>
      </c>
      <c r="B642" s="11" t="str">
        <f ca="1">IFERROR(__xludf.DUMMYFUNCTION("""COMPUTED_VALUE"""),"Pam Marcum")</f>
        <v>Pam Marcum</v>
      </c>
      <c r="C642" t="str">
        <f ca="1">IFERROR(__xludf.DUMMYFUNCTION("""COMPUTED_VALUE"""),"pamela.marcum@floridadep.gov")</f>
        <v>pamela.marcum@floridadep.gov</v>
      </c>
      <c r="D642" t="str">
        <f ca="1">IFERROR(__xludf.DUMMYFUNCTION("""COMPUTED_VALUE"""),"Nikki Dix")</f>
        <v>Nikki Dix</v>
      </c>
      <c r="E642" t="str">
        <f ca="1">IFERROR(__xludf.DUMMYFUNCTION("""COMPUTED_VALUE"""),"Shore Dr")</f>
        <v>Shore Dr</v>
      </c>
      <c r="F642" s="13">
        <f ca="1">IFERROR(__xludf.DUMMYFUNCTION("""COMPUTED_VALUE"""),0.42708333333212)</f>
        <v>0.42708333333212001</v>
      </c>
      <c r="G642" s="14">
        <f ca="1">IFERROR(__xludf.DUMMYFUNCTION("""COMPUTED_VALUE"""),44251)</f>
        <v>44251</v>
      </c>
      <c r="H642" t="str">
        <f ca="1">IFERROR(__xludf.DUMMYFUNCTION("""COMPUTED_VALUE"""),"Site 22")</f>
        <v>Site 22</v>
      </c>
      <c r="I642" s="15">
        <f ca="1">IFERROR(__xludf.DUMMYFUNCTION("""COMPUTED_VALUE"""),0.45833333333212)</f>
        <v>0.45833333333212001</v>
      </c>
      <c r="J642" s="16">
        <f ca="1">IFERROR(__xludf.DUMMYFUNCTION("""COMPUTED_VALUE"""),44251.5833333333)</f>
        <v>44251.583333333299</v>
      </c>
      <c r="K642" t="str">
        <f ca="1">IFERROR(__xludf.DUMMYFUNCTION("""COMPUTED_VALUE"""),"17ft Skiff (Marsha) FL0642GW DEP07239")</f>
        <v>17ft Skiff (Marsha) FL0642GW DEP07239</v>
      </c>
      <c r="M642" t="str">
        <f ca="1">IFERROR(__xludf.DUMMYFUNCTION("""COMPUTED_VALUE"""),"Ford F150 2015 (White) - DEP21448")</f>
        <v>Ford F150 2015 (White) - DEP21448</v>
      </c>
      <c r="N642" t="str">
        <f ca="1">IFERROR(__xludf.DUMMYFUNCTION("""COMPUTED_VALUE"""),"Pam Marcum, (480) 332-5414")</f>
        <v>Pam Marcum, (480) 332-5414</v>
      </c>
      <c r="O642" t="str">
        <f ca="1">IFERROR(__xludf.DUMMYFUNCTION("""COMPUTED_VALUE"""),"Caitlin Campbell")</f>
        <v>Caitlin Campbell</v>
      </c>
      <c r="P642" t="str">
        <f ca="1">IFERROR(__xludf.DUMMYFUNCTION("""COMPUTED_VALUE"""),"Pam")</f>
        <v>Pam</v>
      </c>
      <c r="Q642" t="str">
        <f ca="1">IFERROR(__xludf.DUMMYFUNCTION("""COMPUTED_VALUE"""),"All items in working order")</f>
        <v>All items in working order</v>
      </c>
      <c r="AE642" s="11"/>
      <c r="AF642" t="str">
        <v>Nikki.Dix@floridadep.gov</v>
      </c>
      <c r="AG642" s="18"/>
    </row>
    <row r="643" spans="1:33" ht="12.75">
      <c r="A643" s="10">
        <f ca="1">IFERROR(__xludf.DUMMYFUNCTION("""COMPUTED_VALUE"""),44251.5055256134)</f>
        <v>44251.5055256134</v>
      </c>
      <c r="B643" s="11" t="str">
        <f ca="1">IFERROR(__xludf.DUMMYFUNCTION("""COMPUTED_VALUE"""),"Pam Marcum")</f>
        <v>Pam Marcum</v>
      </c>
      <c r="C643" t="str">
        <f ca="1">IFERROR(__xludf.DUMMYFUNCTION("""COMPUTED_VALUE"""),"pamela.marcum@floridadep.gov")</f>
        <v>pamela.marcum@floridadep.gov</v>
      </c>
      <c r="D643" t="str">
        <f ca="1">IFERROR(__xludf.DUMMYFUNCTION("""COMPUTED_VALUE"""),"Nikki Dix")</f>
        <v>Nikki Dix</v>
      </c>
      <c r="E643" t="str">
        <f ca="1">IFERROR(__xludf.DUMMYFUNCTION("""COMPUTED_VALUE"""),"Bings landing")</f>
        <v>Bings landing</v>
      </c>
      <c r="F643" s="13">
        <f ca="1">IFERROR(__xludf.DUMMYFUNCTION("""COMPUTED_VALUE"""),0.5)</f>
        <v>0.5</v>
      </c>
      <c r="G643" s="14">
        <f ca="1">IFERROR(__xludf.DUMMYFUNCTION("""COMPUTED_VALUE"""),44251)</f>
        <v>44251</v>
      </c>
      <c r="H643" t="str">
        <f ca="1">IFERROR(__xludf.DUMMYFUNCTION("""COMPUTED_VALUE"""),"Wash Oaks platforms")</f>
        <v>Wash Oaks platforms</v>
      </c>
      <c r="I643" s="15">
        <f ca="1">IFERROR(__xludf.DUMMYFUNCTION("""COMPUTED_VALUE"""),0.58333333333212)</f>
        <v>0.58333333333212001</v>
      </c>
      <c r="J643" s="16">
        <f ca="1">IFERROR(__xludf.DUMMYFUNCTION("""COMPUTED_VALUE"""),44251.625)</f>
        <v>44251.625</v>
      </c>
      <c r="K643" t="str">
        <f ca="1">IFERROR(__xludf.DUMMYFUNCTION("""COMPUTED_VALUE"""),"17ft Skiff (Marsha) FL0642GW DEP07239")</f>
        <v>17ft Skiff (Marsha) FL0642GW DEP07239</v>
      </c>
      <c r="M643" t="str">
        <f ca="1">IFERROR(__xludf.DUMMYFUNCTION("""COMPUTED_VALUE"""),"Ford F150 2015 (White) - DEP21448")</f>
        <v>Ford F150 2015 (White) - DEP21448</v>
      </c>
      <c r="N643" t="str">
        <f ca="1">IFERROR(__xludf.DUMMYFUNCTION("""COMPUTED_VALUE"""),"Pam Marcum, (480) 332-5414")</f>
        <v>Pam Marcum, (480) 332-5414</v>
      </c>
      <c r="O643" t="str">
        <f ca="1">IFERROR(__xludf.DUMMYFUNCTION("""COMPUTED_VALUE"""),"Caitlin Campbell")</f>
        <v>Caitlin Campbell</v>
      </c>
      <c r="P643" t="str">
        <f ca="1">IFERROR(__xludf.DUMMYFUNCTION("""COMPUTED_VALUE"""),"Pam")</f>
        <v>Pam</v>
      </c>
      <c r="Q643" t="str">
        <f ca="1">IFERROR(__xludf.DUMMYFUNCTION("""COMPUTED_VALUE"""),"All items in working order")</f>
        <v>All items in working order</v>
      </c>
      <c r="AE643" s="11"/>
      <c r="AF643" t="str">
        <v>Nikki.Dix@floridadep.gov</v>
      </c>
      <c r="AG643" s="18"/>
    </row>
    <row r="644" spans="1:33" ht="12.75">
      <c r="A644" s="10">
        <f ca="1">IFERROR(__xludf.DUMMYFUNCTION("""COMPUTED_VALUE"""),44252.5029895833)</f>
        <v>44252.502989583299</v>
      </c>
      <c r="B644" s="11" t="str">
        <f ca="1">IFERROR(__xludf.DUMMYFUNCTION("""COMPUTED_VALUE"""),"Pam Marcum")</f>
        <v>Pam Marcum</v>
      </c>
      <c r="C644" t="str">
        <f ca="1">IFERROR(__xludf.DUMMYFUNCTION("""COMPUTED_VALUE"""),"pamela.marcum@floridadep.gov")</f>
        <v>pamela.marcum@floridadep.gov</v>
      </c>
      <c r="D644" t="str">
        <f ca="1">IFERROR(__xludf.DUMMYFUNCTION("""COMPUTED_VALUE"""),"Nikki Dix")</f>
        <v>Nikki Dix</v>
      </c>
      <c r="E644" t="str">
        <f ca="1">IFERROR(__xludf.DUMMYFUNCTION("""COMPUTED_VALUE"""),"Bings")</f>
        <v>Bings</v>
      </c>
      <c r="F644" s="13">
        <f ca="1">IFERROR(__xludf.DUMMYFUNCTION("""COMPUTED_VALUE"""),0.5)</f>
        <v>0.5</v>
      </c>
      <c r="G644" s="14">
        <f ca="1">IFERROR(__xludf.DUMMYFUNCTION("""COMPUTED_VALUE"""),44252)</f>
        <v>44252</v>
      </c>
      <c r="H644" t="str">
        <f ca="1">IFERROR(__xludf.DUMMYFUNCTION("""COMPUTED_VALUE"""),"Wash oaks platforms")</f>
        <v>Wash oaks platforms</v>
      </c>
      <c r="I644" s="15">
        <f ca="1">IFERROR(__xludf.DUMMYFUNCTION("""COMPUTED_VALUE"""),0.5625)</f>
        <v>0.5625</v>
      </c>
      <c r="J644" s="16">
        <f ca="1">IFERROR(__xludf.DUMMYFUNCTION("""COMPUTED_VALUE"""),44252.5833333333)</f>
        <v>44252.583333333299</v>
      </c>
      <c r="K644" t="str">
        <f ca="1">IFERROR(__xludf.DUMMYFUNCTION("""COMPUTED_VALUE"""),"17ft Skiff (Marsha) FL0642GW DEP07239")</f>
        <v>17ft Skiff (Marsha) FL0642GW DEP07239</v>
      </c>
      <c r="M644" t="str">
        <f ca="1">IFERROR(__xludf.DUMMYFUNCTION("""COMPUTED_VALUE"""),"Ford F150 2015 (White) - DEP21448")</f>
        <v>Ford F150 2015 (White) - DEP21448</v>
      </c>
      <c r="N644" t="str">
        <f ca="1">IFERROR(__xludf.DUMMYFUNCTION("""COMPUTED_VALUE"""),"Pam Marcum, (480) 332-5414")</f>
        <v>Pam Marcum, (480) 332-5414</v>
      </c>
      <c r="O644" t="str">
        <f ca="1">IFERROR(__xludf.DUMMYFUNCTION("""COMPUTED_VALUE"""),"Madison Skidmore")</f>
        <v>Madison Skidmore</v>
      </c>
      <c r="P644" t="str">
        <f ca="1">IFERROR(__xludf.DUMMYFUNCTION("""COMPUTED_VALUE"""),"Pam")</f>
        <v>Pam</v>
      </c>
      <c r="Q644" t="str">
        <f ca="1">IFERROR(__xludf.DUMMYFUNCTION("""COMPUTED_VALUE"""),"All items in working order")</f>
        <v>All items in working order</v>
      </c>
      <c r="AE644" s="11"/>
      <c r="AF644" t="str">
        <v>Nikki.Dix@floridadep.gov</v>
      </c>
      <c r="AG644" s="18"/>
    </row>
    <row r="645" spans="1:33" ht="12.75">
      <c r="A645" s="10">
        <f ca="1">IFERROR(__xludf.DUMMYFUNCTION("""COMPUTED_VALUE"""),44258.3114460879)</f>
        <v>44258.311446087901</v>
      </c>
      <c r="B645" s="11" t="str">
        <f ca="1">IFERROR(__xludf.DUMMYFUNCTION("""COMPUTED_VALUE"""),"Silas Tanner")</f>
        <v>Silas Tanner</v>
      </c>
      <c r="C645" t="str">
        <f ca="1">IFERROR(__xludf.DUMMYFUNCTION("""COMPUTED_VALUE"""),"silas.tanner@floridadep.gov")</f>
        <v>silas.tanner@floridadep.gov</v>
      </c>
      <c r="D645" t="str">
        <f ca="1">IFERROR(__xludf.DUMMYFUNCTION("""COMPUTED_VALUE"""),"Nikki Dix")</f>
        <v>Nikki Dix</v>
      </c>
      <c r="E645" t="str">
        <f ca="1">IFERROR(__xludf.DUMMYFUNCTION("""COMPUTED_VALUE"""),"Vilano Landing")</f>
        <v>Vilano Landing</v>
      </c>
      <c r="F645" s="13">
        <f ca="1">IFERROR(__xludf.DUMMYFUNCTION("""COMPUTED_VALUE"""),0.30208333333212)</f>
        <v>0.30208333333212001</v>
      </c>
      <c r="G645" s="14">
        <f ca="1">IFERROR(__xludf.DUMMYFUNCTION("""COMPUTED_VALUE"""),44258)</f>
        <v>44258</v>
      </c>
      <c r="H645" t="str">
        <f ca="1">IFERROR(__xludf.DUMMYFUNCTION("""COMPUTED_VALUE"""),"Icw swmp sites")</f>
        <v>Icw swmp sites</v>
      </c>
      <c r="I645" s="15">
        <f ca="1">IFERROR(__xludf.DUMMYFUNCTION("""COMPUTED_VALUE"""),0.479166666667879)</f>
        <v>0.47916666666787899</v>
      </c>
      <c r="J645" s="16">
        <f ca="1">IFERROR(__xludf.DUMMYFUNCTION("""COMPUTED_VALUE"""),44258.4895833333)</f>
        <v>44258.489583333299</v>
      </c>
      <c r="K645" t="str">
        <f ca="1">IFERROR(__xludf.DUMMYFUNCTION("""COMPUTED_VALUE"""),"20ft Sea Ark FL5351SJ UNF 2015")</f>
        <v>20ft Sea Ark FL5351SJ UNF 2015</v>
      </c>
      <c r="M645" t="str">
        <f ca="1">IFERROR(__xludf.DUMMYFUNCTION("""COMPUTED_VALUE"""),"Ford F250 2017 (Moby Dix) - DEP0021578")</f>
        <v>Ford F250 2017 (Moby Dix) - DEP0021578</v>
      </c>
      <c r="N645" t="str">
        <f ca="1">IFERROR(__xludf.DUMMYFUNCTION("""COMPUTED_VALUE"""),"Shannon Dunnigan, (803) 727-5734, Silas Tanner, (904) 483-8423")</f>
        <v>Shannon Dunnigan, (803) 727-5734, Silas Tanner, (904) 483-8423</v>
      </c>
      <c r="P645" t="str">
        <f ca="1">IFERROR(__xludf.DUMMYFUNCTION("""COMPUTED_VALUE"""),"Tanner")</f>
        <v>Tanner</v>
      </c>
      <c r="Q645" t="str">
        <f ca="1">IFERROR(__xludf.DUMMYFUNCTION("""COMPUTED_VALUE"""),"All items in working order")</f>
        <v>All items in working order</v>
      </c>
      <c r="AE645" s="11"/>
      <c r="AF645" t="str">
        <v>Nikki.Dix@floridadep.gov</v>
      </c>
      <c r="AG645" s="18"/>
    </row>
    <row r="646" spans="1:33" ht="12.75">
      <c r="A646" s="10">
        <f ca="1">IFERROR(__xludf.DUMMYFUNCTION("""COMPUTED_VALUE"""),44259.3273786458)</f>
        <v>44259.327378645801</v>
      </c>
      <c r="B646" s="11" t="str">
        <f ca="1">IFERROR(__xludf.DUMMYFUNCTION("""COMPUTED_VALUE"""),"Pamela Marcum")</f>
        <v>Pamela Marcum</v>
      </c>
      <c r="C646" t="str">
        <f ca="1">IFERROR(__xludf.DUMMYFUNCTION("""COMPUTED_VALUE"""),"pamela.marcum@floridadep.gov")</f>
        <v>pamela.marcum@floridadep.gov</v>
      </c>
      <c r="D646" t="str">
        <f ca="1">IFERROR(__xludf.DUMMYFUNCTION("""COMPUTED_VALUE"""),"Nikki Dix")</f>
        <v>Nikki Dix</v>
      </c>
      <c r="E646" t="str">
        <f ca="1">IFERROR(__xludf.DUMMYFUNCTION("""COMPUTED_VALUE"""),"Bings Landing")</f>
        <v>Bings Landing</v>
      </c>
      <c r="F646" s="13">
        <f ca="1">IFERROR(__xludf.DUMMYFUNCTION("""COMPUTED_VALUE"""),0.33333333333212)</f>
        <v>0.33333333333212001</v>
      </c>
      <c r="G646" s="14">
        <f ca="1">IFERROR(__xludf.DUMMYFUNCTION("""COMPUTED_VALUE"""),44259)</f>
        <v>44259</v>
      </c>
      <c r="H646" t="str">
        <f ca="1">IFERROR(__xludf.DUMMYFUNCTION("""COMPUTED_VALUE"""),"Wash oaks")</f>
        <v>Wash oaks</v>
      </c>
      <c r="I646" s="15">
        <f ca="1">IFERROR(__xludf.DUMMYFUNCTION("""COMPUTED_VALUE"""),0.39583333333212)</f>
        <v>0.39583333333212001</v>
      </c>
      <c r="J646" s="16">
        <f ca="1">IFERROR(__xludf.DUMMYFUNCTION("""COMPUTED_VALUE"""),44259.5833333333)</f>
        <v>44259.583333333299</v>
      </c>
      <c r="K646" t="str">
        <f ca="1">IFERROR(__xludf.DUMMYFUNCTION("""COMPUTED_VALUE"""),"17ft Skiff (Marsha) FL0642GW DEP07239")</f>
        <v>17ft Skiff (Marsha) FL0642GW DEP07239</v>
      </c>
      <c r="M646" t="str">
        <f ca="1">IFERROR(__xludf.DUMMYFUNCTION("""COMPUTED_VALUE"""),"Ford F150 2015 (White) - DEP21448")</f>
        <v>Ford F150 2015 (White) - DEP21448</v>
      </c>
      <c r="N646" t="str">
        <f ca="1">IFERROR(__xludf.DUMMYFUNCTION("""COMPUTED_VALUE"""),"Pam Marcum, (480) 332-5414")</f>
        <v>Pam Marcum, (480) 332-5414</v>
      </c>
      <c r="O646" t="str">
        <f ca="1">IFERROR(__xludf.DUMMYFUNCTION("""COMPUTED_VALUE"""),"Alee Knoell, (619) 750-4833")</f>
        <v>Alee Knoell, (619) 750-4833</v>
      </c>
      <c r="P646" t="str">
        <f ca="1">IFERROR(__xludf.DUMMYFUNCTION("""COMPUTED_VALUE"""),"Pam")</f>
        <v>Pam</v>
      </c>
      <c r="Q646" t="str">
        <f ca="1">IFERROR(__xludf.DUMMYFUNCTION("""COMPUTED_VALUE"""),"All items in working order")</f>
        <v>All items in working order</v>
      </c>
      <c r="AE646" s="11"/>
      <c r="AF646" t="str">
        <v>Nikki.Dix@floridadep.gov</v>
      </c>
      <c r="AG646" s="18"/>
    </row>
    <row r="647" spans="1:33" ht="12.75">
      <c r="A647" s="10">
        <f ca="1">IFERROR(__xludf.DUMMYFUNCTION("""COMPUTED_VALUE"""),44259.4322260878)</f>
        <v>44259.432226087898</v>
      </c>
      <c r="B647" s="11" t="str">
        <f ca="1">IFERROR(__xludf.DUMMYFUNCTION("""COMPUTED_VALUE"""),"Pamela Marcum")</f>
        <v>Pamela Marcum</v>
      </c>
      <c r="C647" t="str">
        <f ca="1">IFERROR(__xludf.DUMMYFUNCTION("""COMPUTED_VALUE"""),"pamela.marcum@floridadep.gov")</f>
        <v>pamela.marcum@floridadep.gov</v>
      </c>
      <c r="D647" t="str">
        <f ca="1">IFERROR(__xludf.DUMMYFUNCTION("""COMPUTED_VALUE"""),"Nikki Dix")</f>
        <v>Nikki Dix</v>
      </c>
      <c r="E647" t="str">
        <f ca="1">IFERROR(__xludf.DUMMYFUNCTION("""COMPUTED_VALUE"""),"Butler")</f>
        <v>Butler</v>
      </c>
      <c r="F647" s="13">
        <f ca="1">IFERROR(__xludf.DUMMYFUNCTION("""COMPUTED_VALUE"""),0.4375)</f>
        <v>0.4375</v>
      </c>
      <c r="G647" s="14">
        <f ca="1">IFERROR(__xludf.DUMMYFUNCTION("""COMPUTED_VALUE"""),44259)</f>
        <v>44259</v>
      </c>
      <c r="H647" t="str">
        <f ca="1">IFERROR(__xludf.DUMMYFUNCTION("""COMPUTED_VALUE"""),"Moses Creek")</f>
        <v>Moses Creek</v>
      </c>
      <c r="I647" s="15">
        <f ca="1">IFERROR(__xludf.DUMMYFUNCTION("""COMPUTED_VALUE"""),0.604166666667879)</f>
        <v>0.60416666666787899</v>
      </c>
      <c r="J647" s="16">
        <f ca="1">IFERROR(__xludf.DUMMYFUNCTION("""COMPUTED_VALUE"""),44259.6458333333)</f>
        <v>44259.645833333299</v>
      </c>
      <c r="K647" t="str">
        <f ca="1">IFERROR(__xludf.DUMMYFUNCTION("""COMPUTED_VALUE"""),"17ft Skiff (Marsha) FL0642GW DEP07239")</f>
        <v>17ft Skiff (Marsha) FL0642GW DEP07239</v>
      </c>
      <c r="M647" t="str">
        <f ca="1">IFERROR(__xludf.DUMMYFUNCTION("""COMPUTED_VALUE"""),"Ford F150 2015 (White) - DEP21448")</f>
        <v>Ford F150 2015 (White) - DEP21448</v>
      </c>
      <c r="N647" t="str">
        <f ca="1">IFERROR(__xludf.DUMMYFUNCTION("""COMPUTED_VALUE"""),"Pam Marcum, (480) 332-5414")</f>
        <v>Pam Marcum, (480) 332-5414</v>
      </c>
      <c r="O647" t="str">
        <f ca="1">IFERROR(__xludf.DUMMYFUNCTION("""COMPUTED_VALUE"""),"Alee Knoell, (619) 750-4833")</f>
        <v>Alee Knoell, (619) 750-4833</v>
      </c>
      <c r="P647" t="str">
        <f ca="1">IFERROR(__xludf.DUMMYFUNCTION("""COMPUTED_VALUE"""),"Pam")</f>
        <v>Pam</v>
      </c>
      <c r="Q647" t="str">
        <f ca="1">IFERROR(__xludf.DUMMYFUNCTION("""COMPUTED_VALUE"""),"All items in working order")</f>
        <v>All items in working order</v>
      </c>
      <c r="AE647" s="11"/>
      <c r="AF647" t="str">
        <v>Nikki.Dix@floridadep.gov</v>
      </c>
      <c r="AG647" s="18"/>
    </row>
    <row r="648" spans="1:33" ht="12.75">
      <c r="A648" s="10">
        <f ca="1">IFERROR(__xludf.DUMMYFUNCTION("""COMPUTED_VALUE"""),44260.364634618)</f>
        <v>44260.364634618003</v>
      </c>
      <c r="B648" s="11" t="str">
        <f ca="1">IFERROR(__xludf.DUMMYFUNCTION("""COMPUTED_VALUE"""),"Pam Marcum")</f>
        <v>Pam Marcum</v>
      </c>
      <c r="C648" t="str">
        <f ca="1">IFERROR(__xludf.DUMMYFUNCTION("""COMPUTED_VALUE"""),"pamela.marcum@floridadep.gov")</f>
        <v>pamela.marcum@floridadep.gov</v>
      </c>
      <c r="D648" t="str">
        <f ca="1">IFERROR(__xludf.DUMMYFUNCTION("""COMPUTED_VALUE"""),"Nikki Dix")</f>
        <v>Nikki Dix</v>
      </c>
      <c r="E648" t="str">
        <f ca="1">IFERROR(__xludf.DUMMYFUNCTION("""COMPUTED_VALUE"""),"Bings")</f>
        <v>Bings</v>
      </c>
      <c r="F648" s="13">
        <f ca="1">IFERROR(__xludf.DUMMYFUNCTION("""COMPUTED_VALUE"""),0.36458333333212)</f>
        <v>0.36458333333212001</v>
      </c>
      <c r="G648" s="14">
        <f ca="1">IFERROR(__xludf.DUMMYFUNCTION("""COMPUTED_VALUE"""),44260)</f>
        <v>44260</v>
      </c>
      <c r="H648" t="str">
        <f ca="1">IFERROR(__xludf.DUMMYFUNCTION("""COMPUTED_VALUE"""),"Wash oaks")</f>
        <v>Wash oaks</v>
      </c>
      <c r="I648" s="15">
        <f ca="1">IFERROR(__xludf.DUMMYFUNCTION("""COMPUTED_VALUE"""),0.416666666667879)</f>
        <v>0.41666666666787899</v>
      </c>
      <c r="J648" s="16">
        <f ca="1">IFERROR(__xludf.DUMMYFUNCTION("""COMPUTED_VALUE"""),44260.4166666666)</f>
        <v>44260.416666666599</v>
      </c>
      <c r="K648" t="str">
        <f ca="1">IFERROR(__xludf.DUMMYFUNCTION("""COMPUTED_VALUE"""),"17ft Skiff (Marsha) FL0642GW DEP07239")</f>
        <v>17ft Skiff (Marsha) FL0642GW DEP07239</v>
      </c>
      <c r="M648" t="str">
        <f ca="1">IFERROR(__xludf.DUMMYFUNCTION("""COMPUTED_VALUE"""),"Ford F150 2015 (White) - DEP21448")</f>
        <v>Ford F150 2015 (White) - DEP21448</v>
      </c>
      <c r="N648" t="str">
        <f ca="1">IFERROR(__xludf.DUMMYFUNCTION("""COMPUTED_VALUE"""),"Pam Marcum, (480) 332-5414")</f>
        <v>Pam Marcum, (480) 332-5414</v>
      </c>
      <c r="O648" t="str">
        <f ca="1">IFERROR(__xludf.DUMMYFUNCTION("""COMPUTED_VALUE"""),"Savanna Mathis")</f>
        <v>Savanna Mathis</v>
      </c>
      <c r="P648" t="str">
        <f ca="1">IFERROR(__xludf.DUMMYFUNCTION("""COMPUTED_VALUE"""),"Pam")</f>
        <v>Pam</v>
      </c>
      <c r="Q648" t="str">
        <f ca="1">IFERROR(__xludf.DUMMYFUNCTION("""COMPUTED_VALUE"""),"All items in working order")</f>
        <v>All items in working order</v>
      </c>
      <c r="AE648" s="11"/>
      <c r="AF648" t="str">
        <v>Nikki.Dix@floridadep.gov</v>
      </c>
      <c r="AG648" s="18"/>
    </row>
    <row r="649" spans="1:33" ht="12.75">
      <c r="A649" s="10">
        <f ca="1">IFERROR(__xludf.DUMMYFUNCTION("""COMPUTED_VALUE"""),44260.479294699)</f>
        <v>44260.479294698998</v>
      </c>
      <c r="B649" s="11" t="str">
        <f ca="1">IFERROR(__xludf.DUMMYFUNCTION("""COMPUTED_VALUE"""),"Pam Marcum")</f>
        <v>Pam Marcum</v>
      </c>
      <c r="C649" t="str">
        <f ca="1">IFERROR(__xludf.DUMMYFUNCTION("""COMPUTED_VALUE"""),"pamela.marcum@floridadep.gov")</f>
        <v>pamela.marcum@floridadep.gov</v>
      </c>
      <c r="D649" t="str">
        <f ca="1">IFERROR(__xludf.DUMMYFUNCTION("""COMPUTED_VALUE"""),"Nikki Dix")</f>
        <v>Nikki Dix</v>
      </c>
      <c r="E649" t="str">
        <f ca="1">IFERROR(__xludf.DUMMYFUNCTION("""COMPUTED_VALUE"""),"Butler")</f>
        <v>Butler</v>
      </c>
      <c r="F649" s="13">
        <f ca="1">IFERROR(__xludf.DUMMYFUNCTION("""COMPUTED_VALUE"""),0.447916666667879)</f>
        <v>0.44791666666787899</v>
      </c>
      <c r="G649" s="14">
        <f ca="1">IFERROR(__xludf.DUMMYFUNCTION("""COMPUTED_VALUE"""),44260)</f>
        <v>44260</v>
      </c>
      <c r="H649" t="str">
        <f ca="1">IFERROR(__xludf.DUMMYFUNCTION("""COMPUTED_VALUE"""),"Moses Creek")</f>
        <v>Moses Creek</v>
      </c>
      <c r="I649" s="15">
        <f ca="1">IFERROR(__xludf.DUMMYFUNCTION("""COMPUTED_VALUE"""),0.541666666667879)</f>
        <v>0.54166666666787899</v>
      </c>
      <c r="J649" s="16">
        <f ca="1">IFERROR(__xludf.DUMMYFUNCTION("""COMPUTED_VALUE"""),44260.5625)</f>
        <v>44260.5625</v>
      </c>
      <c r="K649" t="str">
        <f ca="1">IFERROR(__xludf.DUMMYFUNCTION("""COMPUTED_VALUE"""),"17ft Skiff (Marsha) FL0642GW DEP07239")</f>
        <v>17ft Skiff (Marsha) FL0642GW DEP07239</v>
      </c>
      <c r="M649" t="str">
        <f ca="1">IFERROR(__xludf.DUMMYFUNCTION("""COMPUTED_VALUE"""),"Ford F150 2015 (White) - DEP21448")</f>
        <v>Ford F150 2015 (White) - DEP21448</v>
      </c>
      <c r="N649" t="str">
        <f ca="1">IFERROR(__xludf.DUMMYFUNCTION("""COMPUTED_VALUE"""),"Pam Marcum, (480) 332-5414")</f>
        <v>Pam Marcum, (480) 332-5414</v>
      </c>
      <c r="O649" t="str">
        <f ca="1">IFERROR(__xludf.DUMMYFUNCTION("""COMPUTED_VALUE"""),"Britanny Wussick")</f>
        <v>Britanny Wussick</v>
      </c>
      <c r="P649" t="str">
        <f ca="1">IFERROR(__xludf.DUMMYFUNCTION("""COMPUTED_VALUE"""),"Pam")</f>
        <v>Pam</v>
      </c>
      <c r="Q649" t="str">
        <f ca="1">IFERROR(__xludf.DUMMYFUNCTION("""COMPUTED_VALUE"""),"All items in working order")</f>
        <v>All items in working order</v>
      </c>
      <c r="AE649" s="11"/>
      <c r="AF649" t="str">
        <v>Nikki.Dix@floridadep.gov</v>
      </c>
      <c r="AG649" s="18"/>
    </row>
    <row r="650" spans="1:33" ht="12.75">
      <c r="A650" s="10">
        <f ca="1">IFERROR(__xludf.DUMMYFUNCTION("""COMPUTED_VALUE"""),44265.2974134027)</f>
        <v>44265.297413402703</v>
      </c>
      <c r="B650" s="11" t="str">
        <f ca="1">IFERROR(__xludf.DUMMYFUNCTION("""COMPUTED_VALUE"""),"Alexandria Knoell")</f>
        <v>Alexandria Knoell</v>
      </c>
      <c r="C650" t="str">
        <f ca="1">IFERROR(__xludf.DUMMYFUNCTION("""COMPUTED_VALUE"""),"alee.knoell@hotmail.com")</f>
        <v>alee.knoell@hotmail.com</v>
      </c>
      <c r="D650" t="str">
        <f ca="1">IFERROR(__xludf.DUMMYFUNCTION("""COMPUTED_VALUE"""),"Nikki Dix")</f>
        <v>Nikki Dix</v>
      </c>
      <c r="E650" t="str">
        <f ca="1">IFERROR(__xludf.DUMMYFUNCTION("""COMPUTED_VALUE"""),"Vilano")</f>
        <v>Vilano</v>
      </c>
      <c r="F650" s="13">
        <f ca="1">IFERROR(__xludf.DUMMYFUNCTION("""COMPUTED_VALUE"""),0.291666666667879)</f>
        <v>0.29166666666787899</v>
      </c>
      <c r="G650" s="14">
        <f ca="1">IFERROR(__xludf.DUMMYFUNCTION("""COMPUTED_VALUE"""),44265)</f>
        <v>44265</v>
      </c>
      <c r="H650" t="str">
        <f ca="1">IFERROR(__xludf.DUMMYFUNCTION("""COMPUTED_VALUE"""),"ICW nutrients ")</f>
        <v xml:space="preserve">ICW nutrients </v>
      </c>
      <c r="I650" s="15">
        <f ca="1">IFERROR(__xludf.DUMMYFUNCTION("""COMPUTED_VALUE"""),0.5)</f>
        <v>0.5</v>
      </c>
      <c r="J650" s="16">
        <f ca="1">IFERROR(__xludf.DUMMYFUNCTION("""COMPUTED_VALUE"""),44265.5208333333)</f>
        <v>44265.520833333299</v>
      </c>
      <c r="K650" t="str">
        <f ca="1">IFERROR(__xludf.DUMMYFUNCTION("""COMPUTED_VALUE"""),"23ft Skiff (Bertha) FL7972LJ DEP07613")</f>
        <v>23ft Skiff (Bertha) FL7972LJ DEP07613</v>
      </c>
      <c r="M650" t="str">
        <f ca="1">IFERROR(__xludf.DUMMYFUNCTION("""COMPUTED_VALUE"""),"Ford F250 2017 (Moby Dix) - DEP0021578")</f>
        <v>Ford F250 2017 (Moby Dix) - DEP0021578</v>
      </c>
      <c r="N650" t="str">
        <f ca="1">IFERROR(__xludf.DUMMYFUNCTION("""COMPUTED_VALUE"""),"Shannon Dunnigan, (803) 727-5734")</f>
        <v>Shannon Dunnigan, (803) 727-5734</v>
      </c>
      <c r="O650" t="str">
        <f ca="1">IFERROR(__xludf.DUMMYFUNCTION("""COMPUTED_VALUE"""),"Alee Knoell, (619) 750-4833, Ashley reaume ")</f>
        <v xml:space="preserve">Alee Knoell, (619) 750-4833, Ashley reaume </v>
      </c>
      <c r="P650" t="str">
        <f ca="1">IFERROR(__xludf.DUMMYFUNCTION("""COMPUTED_VALUE"""),"Shannon")</f>
        <v>Shannon</v>
      </c>
      <c r="Q650" t="str">
        <f ca="1">IFERROR(__xludf.DUMMYFUNCTION("""COMPUTED_VALUE"""),"All items in working order")</f>
        <v>All items in working order</v>
      </c>
      <c r="AE650" s="11"/>
      <c r="AF650" t="str">
        <v>Nikki.Dix@floridadep.gov</v>
      </c>
      <c r="AG650" s="18"/>
    </row>
    <row r="651" spans="1:33" ht="12.75">
      <c r="A651" s="10">
        <f ca="1">IFERROR(__xludf.DUMMYFUNCTION("""COMPUTED_VALUE"""),44266.3152118287)</f>
        <v>44266.315211828703</v>
      </c>
      <c r="B651" s="11" t="str">
        <f ca="1">IFERROR(__xludf.DUMMYFUNCTION("""COMPUTED_VALUE"""),"Jessica Lee")</f>
        <v>Jessica Lee</v>
      </c>
      <c r="C651" t="str">
        <f ca="1">IFERROR(__xludf.DUMMYFUNCTION("""COMPUTED_VALUE"""),"jessica.lee@floridadep.gov")</f>
        <v>jessica.lee@floridadep.gov</v>
      </c>
      <c r="D651" t="str">
        <f ca="1">IFERROR(__xludf.DUMMYFUNCTION("""COMPUTED_VALUE"""),"Shannon Dunnigan")</f>
        <v>Shannon Dunnigan</v>
      </c>
      <c r="E651" t="str">
        <f ca="1">IFERROR(__xludf.DUMMYFUNCTION("""COMPUTED_VALUE"""),"Guana River")</f>
        <v>Guana River</v>
      </c>
      <c r="F651" s="13">
        <f ca="1">IFERROR(__xludf.DUMMYFUNCTION("""COMPUTED_VALUE"""),0.33333333333212)</f>
        <v>0.33333333333212001</v>
      </c>
      <c r="G651" s="14">
        <f ca="1">IFERROR(__xludf.DUMMYFUNCTION("""COMPUTED_VALUE"""),44266)</f>
        <v>44266</v>
      </c>
      <c r="H651" t="str">
        <f ca="1">IFERROR(__xludf.DUMMYFUNCTION("""COMPUTED_VALUE"""),"Guana River")</f>
        <v>Guana River</v>
      </c>
      <c r="I651" s="15">
        <f ca="1">IFERROR(__xludf.DUMMYFUNCTION("""COMPUTED_VALUE"""),0.40625)</f>
        <v>0.40625</v>
      </c>
      <c r="J651" s="16">
        <f ca="1">IFERROR(__xludf.DUMMYFUNCTION("""COMPUTED_VALUE"""),44266.4166666666)</f>
        <v>44266.416666666599</v>
      </c>
      <c r="K651" t="str">
        <f ca="1">IFERROR(__xludf.DUMMYFUNCTION("""COMPUTED_VALUE"""),"Jon Boat 1 FL5992RR DEP154045")</f>
        <v>Jon Boat 1 FL5992RR DEP154045</v>
      </c>
      <c r="M651" t="str">
        <f ca="1">IFERROR(__xludf.DUMMYFUNCTION("""COMPUTED_VALUE"""),"Ford F150 2015 (White) - DEP21448")</f>
        <v>Ford F150 2015 (White) - DEP21448</v>
      </c>
      <c r="N651" t="str">
        <f ca="1">IFERROR(__xludf.DUMMYFUNCTION("""COMPUTED_VALUE"""),"Jessica Lee")</f>
        <v>Jessica Lee</v>
      </c>
      <c r="O651" t="str">
        <f ca="1">IFERROR(__xludf.DUMMYFUNCTION("""COMPUTED_VALUE"""),"Ashley")</f>
        <v>Ashley</v>
      </c>
      <c r="P651" t="str">
        <f ca="1">IFERROR(__xludf.DUMMYFUNCTION("""COMPUTED_VALUE"""),"Jessica Lee")</f>
        <v>Jessica Lee</v>
      </c>
      <c r="Q651" t="str">
        <f ca="1">IFERROR(__xludf.DUMMYFUNCTION("""COMPUTED_VALUE"""),"All items in working order")</f>
        <v>All items in working order</v>
      </c>
      <c r="AE651" s="11"/>
      <c r="AF651" t="str">
        <v>Shannon.Dunnigan@floridadep.gov</v>
      </c>
      <c r="AG651" s="18"/>
    </row>
    <row r="652" spans="1:33" ht="12.75">
      <c r="A652" s="10">
        <f ca="1">IFERROR(__xludf.DUMMYFUNCTION("""COMPUTED_VALUE"""),44272.2586983796)</f>
        <v>44272.258698379599</v>
      </c>
      <c r="B652" s="11" t="str">
        <f ca="1">IFERROR(__xludf.DUMMYFUNCTION("""COMPUTED_VALUE"""),"Silas Tanner")</f>
        <v>Silas Tanner</v>
      </c>
      <c r="C652" t="str">
        <f ca="1">IFERROR(__xludf.DUMMYFUNCTION("""COMPUTED_VALUE"""),"silas.tanner@floridadep.gov")</f>
        <v>silas.tanner@floridadep.gov</v>
      </c>
      <c r="D652" t="str">
        <f ca="1">IFERROR(__xludf.DUMMYFUNCTION("""COMPUTED_VALUE"""),"Nikki Dix")</f>
        <v>Nikki Dix</v>
      </c>
      <c r="E652" t="str">
        <f ca="1">IFERROR(__xludf.DUMMYFUNCTION("""COMPUTED_VALUE"""),"Vilano Landing")</f>
        <v>Vilano Landing</v>
      </c>
      <c r="F652" s="13">
        <f ca="1">IFERROR(__xludf.DUMMYFUNCTION("""COMPUTED_VALUE"""),0.30208333333212)</f>
        <v>0.30208333333212001</v>
      </c>
      <c r="G652" s="14">
        <f ca="1">IFERROR(__xludf.DUMMYFUNCTION("""COMPUTED_VALUE"""),44272)</f>
        <v>44272</v>
      </c>
      <c r="H652" t="str">
        <f ca="1">IFERROR(__xludf.DUMMYFUNCTION("""COMPUTED_VALUE"""),"ICW SWMP sites")</f>
        <v>ICW SWMP sites</v>
      </c>
      <c r="I652" s="15">
        <f ca="1">IFERROR(__xludf.DUMMYFUNCTION("""COMPUTED_VALUE"""),0.479166666667879)</f>
        <v>0.47916666666787899</v>
      </c>
      <c r="J652" s="16">
        <f ca="1">IFERROR(__xludf.DUMMYFUNCTION("""COMPUTED_VALUE"""),44272.5006944444)</f>
        <v>44272.500694444403</v>
      </c>
      <c r="K652" t="str">
        <f ca="1">IFERROR(__xludf.DUMMYFUNCTION("""COMPUTED_VALUE"""),"20ft Sea Ark FL5351SJ UNF 2015")</f>
        <v>20ft Sea Ark FL5351SJ UNF 2015</v>
      </c>
      <c r="M652" t="str">
        <f ca="1">IFERROR(__xludf.DUMMYFUNCTION("""COMPUTED_VALUE"""),"Ford F250 2017 (Moby Dix) - DEP0021578")</f>
        <v>Ford F250 2017 (Moby Dix) - DEP0021578</v>
      </c>
      <c r="N652" t="str">
        <f ca="1">IFERROR(__xludf.DUMMYFUNCTION("""COMPUTED_VALUE"""),"Silas Tanner, (904) 483-8423")</f>
        <v>Silas Tanner, (904) 483-8423</v>
      </c>
      <c r="O652" t="str">
        <f ca="1">IFERROR(__xludf.DUMMYFUNCTION("""COMPUTED_VALUE"""),"Alee Knoell, (619) 750-4833")</f>
        <v>Alee Knoell, (619) 750-4833</v>
      </c>
      <c r="P652" t="str">
        <f ca="1">IFERROR(__xludf.DUMMYFUNCTION("""COMPUTED_VALUE"""),"Silas Tanner")</f>
        <v>Silas Tanner</v>
      </c>
      <c r="Q652" t="str">
        <f ca="1">IFERROR(__xludf.DUMMYFUNCTION("""COMPUTED_VALUE"""),"All items in working order")</f>
        <v>All items in working order</v>
      </c>
      <c r="AE652" s="11"/>
      <c r="AF652" t="str">
        <v>Nikki.Dix@floridadep.gov</v>
      </c>
      <c r="AG652" s="18"/>
    </row>
    <row r="653" spans="1:33" ht="12.75">
      <c r="A653" s="10">
        <f ca="1">IFERROR(__xludf.DUMMYFUNCTION("""COMPUTED_VALUE"""),44285.3381422569)</f>
        <v>44285.3381422569</v>
      </c>
      <c r="B653" s="11" t="str">
        <f ca="1">IFERROR(__xludf.DUMMYFUNCTION("""COMPUTED_VALUE"""),"Pam Marcum")</f>
        <v>Pam Marcum</v>
      </c>
      <c r="C653" t="str">
        <f ca="1">IFERROR(__xludf.DUMMYFUNCTION("""COMPUTED_VALUE"""),"pamela.Marcum@floridadep.gov")</f>
        <v>pamela.Marcum@floridadep.gov</v>
      </c>
      <c r="D653" t="str">
        <f ca="1">IFERROR(__xludf.DUMMYFUNCTION("""COMPUTED_VALUE"""),"Nikki Dix")</f>
        <v>Nikki Dix</v>
      </c>
      <c r="E653" t="str">
        <f ca="1">IFERROR(__xludf.DUMMYFUNCTION("""COMPUTED_VALUE"""),"Shore")</f>
        <v>Shore</v>
      </c>
      <c r="F653" s="13">
        <f ca="1">IFERROR(__xludf.DUMMYFUNCTION("""COMPUTED_VALUE"""),0.34375)</f>
        <v>0.34375</v>
      </c>
      <c r="G653" s="14">
        <f ca="1">IFERROR(__xludf.DUMMYFUNCTION("""COMPUTED_VALUE"""),44285)</f>
        <v>44285</v>
      </c>
      <c r="H653" t="str">
        <f ca="1">IFERROR(__xludf.DUMMYFUNCTION("""COMPUTED_VALUE"""),"Gabbys Creek")</f>
        <v>Gabbys Creek</v>
      </c>
      <c r="I653" s="15">
        <f ca="1">IFERROR(__xludf.DUMMYFUNCTION("""COMPUTED_VALUE"""),0.625)</f>
        <v>0.625</v>
      </c>
      <c r="J653" s="16">
        <f ca="1">IFERROR(__xludf.DUMMYFUNCTION("""COMPUTED_VALUE"""),44285.6666666666)</f>
        <v>44285.666666666599</v>
      </c>
      <c r="K653" t="str">
        <f ca="1">IFERROR(__xludf.DUMMYFUNCTION("""COMPUTED_VALUE"""),"23ft Skiff (Bertha) FL7972LJ DEP07613")</f>
        <v>23ft Skiff (Bertha) FL7972LJ DEP07613</v>
      </c>
      <c r="M653" t="str">
        <f ca="1">IFERROR(__xludf.DUMMYFUNCTION("""COMPUTED_VALUE"""),"Ford F150 2015 (White) - DEP21448")</f>
        <v>Ford F150 2015 (White) - DEP21448</v>
      </c>
      <c r="N653" t="str">
        <f ca="1">IFERROR(__xludf.DUMMYFUNCTION("""COMPUTED_VALUE"""),"Pam Marcum, (480) 332-5414")</f>
        <v>Pam Marcum, (480) 332-5414</v>
      </c>
      <c r="O653" t="str">
        <f ca="1">IFERROR(__xludf.DUMMYFUNCTION("""COMPUTED_VALUE"""),"Sam Chapman, Nicole Spanier, Ches Vervaeke, Tom Chapman")</f>
        <v>Sam Chapman, Nicole Spanier, Ches Vervaeke, Tom Chapman</v>
      </c>
      <c r="P653" t="str">
        <f ca="1">IFERROR(__xludf.DUMMYFUNCTION("""COMPUTED_VALUE"""),"Pam")</f>
        <v>Pam</v>
      </c>
      <c r="Q653" t="str">
        <f ca="1">IFERROR(__xludf.DUMMYFUNCTION("""COMPUTED_VALUE"""),"All items in working order")</f>
        <v>All items in working order</v>
      </c>
      <c r="AE653" s="11"/>
      <c r="AF653" t="str">
        <v>Nikki.Dix@floridadep.gov</v>
      </c>
      <c r="AG653" s="18"/>
    </row>
    <row r="654" spans="1:33" ht="12.75">
      <c r="A654" s="10">
        <f ca="1">IFERROR(__xludf.DUMMYFUNCTION("""COMPUTED_VALUE"""),44285.3637130208)</f>
        <v>44285.363713020801</v>
      </c>
      <c r="B654" s="11" t="str">
        <f ca="1">IFERROR(__xludf.DUMMYFUNCTION("""COMPUTED_VALUE"""),"Gabriela Canas")</f>
        <v>Gabriela Canas</v>
      </c>
      <c r="C654" t="str">
        <f ca="1">IFERROR(__xludf.DUMMYFUNCTION("""COMPUTED_VALUE"""),"n00836133@unf.edu")</f>
        <v>n00836133@unf.edu</v>
      </c>
      <c r="D654" t="str">
        <f ca="1">IFERROR(__xludf.DUMMYFUNCTION("""COMPUTED_VALUE"""),"Nikki Dix")</f>
        <v>Nikki Dix</v>
      </c>
      <c r="E654" t="str">
        <f ca="1">IFERROR(__xludf.DUMMYFUNCTION("""COMPUTED_VALUE"""),"Douglas crane")</f>
        <v>Douglas crane</v>
      </c>
      <c r="F654" s="13">
        <f ca="1">IFERROR(__xludf.DUMMYFUNCTION("""COMPUTED_VALUE"""),0.36458333333212)</f>
        <v>0.36458333333212001</v>
      </c>
      <c r="G654" s="14"/>
      <c r="H654" t="str">
        <f ca="1">IFERROR(__xludf.DUMMYFUNCTION("""COMPUTED_VALUE"""),"Wetfeet middle site")</f>
        <v>Wetfeet middle site</v>
      </c>
      <c r="I654" s="15">
        <f ca="1">IFERROR(__xludf.DUMMYFUNCTION("""COMPUTED_VALUE"""),0.625)</f>
        <v>0.625</v>
      </c>
      <c r="J654" s="16">
        <f ca="1">IFERROR(__xludf.DUMMYFUNCTION("""COMPUTED_VALUE"""),44285.7083333333)</f>
        <v>44285.708333333299</v>
      </c>
      <c r="K654" t="str">
        <f ca="1">IFERROR(__xludf.DUMMYFUNCTION("""COMPUTED_VALUE"""),"F 20ft Sea Ark (Easy 200) FL8534PY DEP21451")</f>
        <v>F 20ft Sea Ark (Easy 200) FL8534PY DEP21451</v>
      </c>
      <c r="M654" t="str">
        <f ca="1">IFERROR(__xludf.DUMMYFUNCTION("""COMPUTED_VALUE"""),"Ford F250 2017 (Moby Dix) - DEP0021578")</f>
        <v>Ford F250 2017 (Moby Dix) - DEP0021578</v>
      </c>
      <c r="N654" t="str">
        <f ca="1">IFERROR(__xludf.DUMMYFUNCTION("""COMPUTED_VALUE"""),"Nikki Dix, (352) 219-4079, Gabriela Canas ")</f>
        <v xml:space="preserve">Nikki Dix, (352) 219-4079, Gabriela Canas </v>
      </c>
      <c r="O654" t="str">
        <f ca="1">IFERROR(__xludf.DUMMYFUNCTION("""COMPUTED_VALUE"""),"Kaitlyn campbell")</f>
        <v>Kaitlyn campbell</v>
      </c>
      <c r="P654" t="str">
        <f ca="1">IFERROR(__xludf.DUMMYFUNCTION("""COMPUTED_VALUE"""),"Gabby")</f>
        <v>Gabby</v>
      </c>
      <c r="Q654" t="str">
        <f ca="1">IFERROR(__xludf.DUMMYFUNCTION("""COMPUTED_VALUE"""),"All items in working order")</f>
        <v>All items in working order</v>
      </c>
      <c r="AE654" s="11"/>
      <c r="AF654" t="str">
        <v>Nikki.Dix@floridadep.gov</v>
      </c>
      <c r="AG654" s="18"/>
    </row>
    <row r="655" spans="1:33" ht="12.75">
      <c r="A655" s="10">
        <f ca="1">IFERROR(__xludf.DUMMYFUNCTION("""COMPUTED_VALUE"""),44285.9666070254)</f>
        <v>44285.966607025402</v>
      </c>
      <c r="B655" s="11" t="str">
        <f ca="1">IFERROR(__xludf.DUMMYFUNCTION("""COMPUTED_VALUE"""),"Gabriela Canas")</f>
        <v>Gabriela Canas</v>
      </c>
      <c r="C655" t="str">
        <f ca="1">IFERROR(__xludf.DUMMYFUNCTION("""COMPUTED_VALUE"""),"n00836133@unf.edu")</f>
        <v>n00836133@unf.edu</v>
      </c>
      <c r="D655" t="str">
        <f ca="1">IFERROR(__xludf.DUMMYFUNCTION("""COMPUTED_VALUE"""),"Nikki Dix")</f>
        <v>Nikki Dix</v>
      </c>
      <c r="E655" t="str">
        <f ca="1">IFERROR(__xludf.DUMMYFUNCTION("""COMPUTED_VALUE"""),"Douglas crane")</f>
        <v>Douglas crane</v>
      </c>
      <c r="F655" s="13">
        <f ca="1">IFERROR(__xludf.DUMMYFUNCTION("""COMPUTED_VALUE"""),0.36458333333212)</f>
        <v>0.36458333333212001</v>
      </c>
      <c r="G655" s="14"/>
      <c r="H655" t="str">
        <f ca="1">IFERROR(__xludf.DUMMYFUNCTION("""COMPUTED_VALUE"""),"Wetfeet middle site")</f>
        <v>Wetfeet middle site</v>
      </c>
      <c r="I655" s="15">
        <f ca="1">IFERROR(__xludf.DUMMYFUNCTION("""COMPUTED_VALUE"""),0.625)</f>
        <v>0.625</v>
      </c>
      <c r="J655" s="16">
        <f ca="1">IFERROR(__xludf.DUMMYFUNCTION("""COMPUTED_VALUE"""),44285.7083333333)</f>
        <v>44285.708333333299</v>
      </c>
      <c r="K655" t="str">
        <f ca="1">IFERROR(__xludf.DUMMYFUNCTION("""COMPUTED_VALUE"""),"F 20ft Sea Ark (Easy 200) FL8534PY DEP21451")</f>
        <v>F 20ft Sea Ark (Easy 200) FL8534PY DEP21451</v>
      </c>
      <c r="M655" t="str">
        <f ca="1">IFERROR(__xludf.DUMMYFUNCTION("""COMPUTED_VALUE"""),"Ford F250 2017 (Moby Dix) - DEP0021578")</f>
        <v>Ford F250 2017 (Moby Dix) - DEP0021578</v>
      </c>
      <c r="N655" t="str">
        <f ca="1">IFERROR(__xludf.DUMMYFUNCTION("""COMPUTED_VALUE"""),"Nikki Dix, (352) 219-4079, Gabriela Canas ")</f>
        <v xml:space="preserve">Nikki Dix, (352) 219-4079, Gabriela Canas </v>
      </c>
      <c r="O655" t="str">
        <f ca="1">IFERROR(__xludf.DUMMYFUNCTION("""COMPUTED_VALUE"""),"Kaitlyn campbell")</f>
        <v>Kaitlyn campbell</v>
      </c>
      <c r="P655" t="str">
        <f ca="1">IFERROR(__xludf.DUMMYFUNCTION("""COMPUTED_VALUE"""),"Gabby")</f>
        <v>Gabby</v>
      </c>
      <c r="Q655" t="str">
        <f ca="1">IFERROR(__xludf.DUMMYFUNCTION("""COMPUTED_VALUE"""),"All items in working order")</f>
        <v>All items in working order</v>
      </c>
      <c r="AE655" s="11"/>
      <c r="AF655" t="str">
        <v>Nikki.Dix@floridadep.gov</v>
      </c>
      <c r="AG655" s="18"/>
    </row>
    <row r="656" spans="1:33" ht="12.75">
      <c r="A656" s="10">
        <f ca="1">IFERROR(__xludf.DUMMYFUNCTION("""COMPUTED_VALUE"""),44286.2954706018)</f>
        <v>44286.295470601799</v>
      </c>
      <c r="B656" s="11" t="str">
        <f ca="1">IFERROR(__xludf.DUMMYFUNCTION("""COMPUTED_VALUE"""),"Shannon Dunnigan")</f>
        <v>Shannon Dunnigan</v>
      </c>
      <c r="C656" t="str">
        <f ca="1">IFERROR(__xludf.DUMMYFUNCTION("""COMPUTED_VALUE"""),"shannon.dunnigan@floridadep.gov")</f>
        <v>shannon.dunnigan@floridadep.gov</v>
      </c>
      <c r="D656" t="str">
        <f ca="1">IFERROR(__xludf.DUMMYFUNCTION("""COMPUTED_VALUE"""),"Nikki Dix")</f>
        <v>Nikki Dix</v>
      </c>
      <c r="E656" t="str">
        <f ca="1">IFERROR(__xludf.DUMMYFUNCTION("""COMPUTED_VALUE"""),"Shore Drive")</f>
        <v>Shore Drive</v>
      </c>
      <c r="F656" s="13">
        <f ca="1">IFERROR(__xludf.DUMMYFUNCTION("""COMPUTED_VALUE"""),0.3125)</f>
        <v>0.3125</v>
      </c>
      <c r="G656" s="14">
        <f ca="1">IFERROR(__xludf.DUMMYFUNCTION("""COMPUTED_VALUE"""),44286)</f>
        <v>44286</v>
      </c>
      <c r="H656" t="str">
        <f ca="1">IFERROR(__xludf.DUMMYFUNCTION("""COMPUTED_VALUE"""),"ICW sondes")</f>
        <v>ICW sondes</v>
      </c>
      <c r="I656" s="15">
        <f ca="1">IFERROR(__xludf.DUMMYFUNCTION("""COMPUTED_VALUE"""),0.479166666667879)</f>
        <v>0.47916666666787899</v>
      </c>
      <c r="J656" s="16">
        <f ca="1">IFERROR(__xludf.DUMMYFUNCTION("""COMPUTED_VALUE"""),44286.5625)</f>
        <v>44286.5625</v>
      </c>
      <c r="K656" t="str">
        <f ca="1">IFERROR(__xludf.DUMMYFUNCTION("""COMPUTED_VALUE"""),"20ft Sea Ark FL5351SJ UNF 2015")</f>
        <v>20ft Sea Ark FL5351SJ UNF 2015</v>
      </c>
      <c r="M656" t="str">
        <f ca="1">IFERROR(__xludf.DUMMYFUNCTION("""COMPUTED_VALUE"""),"Ford F250 2017 (Moby Dix) - DEP0021578")</f>
        <v>Ford F250 2017 (Moby Dix) - DEP0021578</v>
      </c>
      <c r="N656" t="str">
        <f ca="1">IFERROR(__xludf.DUMMYFUNCTION("""COMPUTED_VALUE"""),"Shannon Dunnigan, (803) 727-5734, Silas Tanner, (904) 483-8423")</f>
        <v>Shannon Dunnigan, (803) 727-5734, Silas Tanner, (904) 483-8423</v>
      </c>
      <c r="P656" t="str">
        <f ca="1">IFERROR(__xludf.DUMMYFUNCTION("""COMPUTED_VALUE"""),"Silas")</f>
        <v>Silas</v>
      </c>
      <c r="Q656" t="str">
        <f ca="1">IFERROR(__xludf.DUMMYFUNCTION("""COMPUTED_VALUE"""),"All items in working order")</f>
        <v>All items in working order</v>
      </c>
      <c r="AE656" s="11"/>
      <c r="AF656" t="str">
        <v>Nikki.Dix@floridadep.gov</v>
      </c>
      <c r="AG656" s="18"/>
    </row>
    <row r="657" spans="1:33" ht="12.75">
      <c r="A657" s="10">
        <f ca="1">IFERROR(__xludf.DUMMYFUNCTION("""COMPUTED_VALUE"""),44286.3304190393)</f>
        <v>44286.330419039303</v>
      </c>
      <c r="B657" s="11" t="str">
        <f ca="1">IFERROR(__xludf.DUMMYFUNCTION("""COMPUTED_VALUE"""),"Pam Marcum")</f>
        <v>Pam Marcum</v>
      </c>
      <c r="C657" t="str">
        <f ca="1">IFERROR(__xludf.DUMMYFUNCTION("""COMPUTED_VALUE"""),"Pamela.Marcum@floridadep.gov")</f>
        <v>Pamela.Marcum@floridadep.gov</v>
      </c>
      <c r="D657" t="str">
        <f ca="1">IFERROR(__xludf.DUMMYFUNCTION("""COMPUTED_VALUE"""),"Nikki Dix")</f>
        <v>Nikki Dix</v>
      </c>
      <c r="E657" t="str">
        <f ca="1">IFERROR(__xludf.DUMMYFUNCTION("""COMPUTED_VALUE"""),"Aunt Kate's")</f>
        <v>Aunt Kate's</v>
      </c>
      <c r="F657" s="13">
        <f ca="1">IFERROR(__xludf.DUMMYFUNCTION("""COMPUTED_VALUE"""),0.33333333333212)</f>
        <v>0.33333333333212001</v>
      </c>
      <c r="G657" s="14">
        <f ca="1">IFERROR(__xludf.DUMMYFUNCTION("""COMPUTED_VALUE"""),44286)</f>
        <v>44286</v>
      </c>
      <c r="H657" t="str">
        <f ca="1">IFERROR(__xludf.DUMMYFUNCTION("""COMPUTED_VALUE"""),"Hat Island, Pine Island")</f>
        <v>Hat Island, Pine Island</v>
      </c>
      <c r="I657" s="15">
        <f ca="1">IFERROR(__xludf.DUMMYFUNCTION("""COMPUTED_VALUE"""),0.58333333333212)</f>
        <v>0.58333333333212001</v>
      </c>
      <c r="J657" s="16">
        <f ca="1">IFERROR(__xludf.DUMMYFUNCTION("""COMPUTED_VALUE"""),44286.6041666666)</f>
        <v>44286.604166666599</v>
      </c>
      <c r="K657" t="str">
        <f ca="1">IFERROR(__xludf.DUMMYFUNCTION("""COMPUTED_VALUE"""),"23ft Skiff (Bertha) FL7972LJ DEP07613")</f>
        <v>23ft Skiff (Bertha) FL7972LJ DEP07613</v>
      </c>
      <c r="M657" t="str">
        <f ca="1">IFERROR(__xludf.DUMMYFUNCTION("""COMPUTED_VALUE"""),"Ford F150 2015 (White) - DEP21448")</f>
        <v>Ford F150 2015 (White) - DEP21448</v>
      </c>
      <c r="N657" t="str">
        <f ca="1">IFERROR(__xludf.DUMMYFUNCTION("""COMPUTED_VALUE"""),"Pam Marcum, (480) 332-5414")</f>
        <v>Pam Marcum, (480) 332-5414</v>
      </c>
      <c r="O657" t="str">
        <f ca="1">IFERROR(__xludf.DUMMYFUNCTION("""COMPUTED_VALUE"""),"Alee Knoell, (619) 750-4833")</f>
        <v>Alee Knoell, (619) 750-4833</v>
      </c>
      <c r="P657" t="str">
        <f ca="1">IFERROR(__xludf.DUMMYFUNCTION("""COMPUTED_VALUE"""),"Alee")</f>
        <v>Alee</v>
      </c>
      <c r="Q657" t="str">
        <f ca="1">IFERROR(__xludf.DUMMYFUNCTION("""COMPUTED_VALUE"""),"All items in working order")</f>
        <v>All items in working order</v>
      </c>
      <c r="AE657" s="11"/>
      <c r="AF657" t="str">
        <v>Nikki.Dix@floridadep.gov</v>
      </c>
      <c r="AG657" s="18"/>
    </row>
    <row r="658" spans="1:33" ht="12.75">
      <c r="A658" s="10">
        <f ca="1">IFERROR(__xludf.DUMMYFUNCTION("""COMPUTED_VALUE"""),44287.3255568171)</f>
        <v>44287.325556817101</v>
      </c>
      <c r="B658" s="11" t="str">
        <f ca="1">IFERROR(__xludf.DUMMYFUNCTION("""COMPUTED_VALUE"""),"Pam Marcum")</f>
        <v>Pam Marcum</v>
      </c>
      <c r="C658" t="str">
        <f ca="1">IFERROR(__xludf.DUMMYFUNCTION("""COMPUTED_VALUE"""),"pamela.marcum@floridadep.gov")</f>
        <v>pamela.marcum@floridadep.gov</v>
      </c>
      <c r="D658" t="str">
        <f ca="1">IFERROR(__xludf.DUMMYFUNCTION("""COMPUTED_VALUE"""),"Nikki Dix")</f>
        <v>Nikki Dix</v>
      </c>
      <c r="E658" t="str">
        <f ca="1">IFERROR(__xludf.DUMMYFUNCTION("""COMPUTED_VALUE"""),"Shore Dr")</f>
        <v>Shore Dr</v>
      </c>
      <c r="F658" s="13">
        <f ca="1">IFERROR(__xludf.DUMMYFUNCTION("""COMPUTED_VALUE"""),0.322916666667879)</f>
        <v>0.32291666666787899</v>
      </c>
      <c r="G658" s="14">
        <f ca="1">IFERROR(__xludf.DUMMYFUNCTION("""COMPUTED_VALUE"""),44287)</f>
        <v>44287</v>
      </c>
      <c r="H658" t="str">
        <f ca="1">IFERROR(__xludf.DUMMYFUNCTION("""COMPUTED_VALUE"""),"Site 22")</f>
        <v>Site 22</v>
      </c>
      <c r="I658" s="15">
        <f ca="1">IFERROR(__xludf.DUMMYFUNCTION("""COMPUTED_VALUE"""),0.5)</f>
        <v>0.5</v>
      </c>
      <c r="J658" s="16">
        <f ca="1">IFERROR(__xludf.DUMMYFUNCTION("""COMPUTED_VALUE"""),44287.5416666666)</f>
        <v>44287.541666666599</v>
      </c>
      <c r="K658" t="str">
        <f ca="1">IFERROR(__xludf.DUMMYFUNCTION("""COMPUTED_VALUE"""),"23ft Skiff (Bertha) FL7972LJ DEP07613")</f>
        <v>23ft Skiff (Bertha) FL7972LJ DEP07613</v>
      </c>
      <c r="M658" t="str">
        <f ca="1">IFERROR(__xludf.DUMMYFUNCTION("""COMPUTED_VALUE"""),"Ford F150 2015 (White) - DEP21448")</f>
        <v>Ford F150 2015 (White) - DEP21448</v>
      </c>
      <c r="N658" t="str">
        <f ca="1">IFERROR(__xludf.DUMMYFUNCTION("""COMPUTED_VALUE"""),"Pam Marcum, (480) 332-5414")</f>
        <v>Pam Marcum, (480) 332-5414</v>
      </c>
      <c r="O658" t="str">
        <f ca="1">IFERROR(__xludf.DUMMYFUNCTION("""COMPUTED_VALUE"""),"Alee Knoell, (619) 750-4833")</f>
        <v>Alee Knoell, (619) 750-4833</v>
      </c>
      <c r="P658" t="str">
        <f ca="1">IFERROR(__xludf.DUMMYFUNCTION("""COMPUTED_VALUE"""),"Alee")</f>
        <v>Alee</v>
      </c>
      <c r="Q658" t="str">
        <f ca="1">IFERROR(__xludf.DUMMYFUNCTION("""COMPUTED_VALUE"""),"All items in working order")</f>
        <v>All items in working order</v>
      </c>
      <c r="AE658" s="11"/>
      <c r="AF658" t="str">
        <v>Nikki.Dix@floridadep.gov</v>
      </c>
      <c r="AG658" s="18"/>
    </row>
    <row r="659" spans="1:33" ht="12.75">
      <c r="A659" s="10">
        <f ca="1">IFERROR(__xludf.DUMMYFUNCTION("""COMPUTED_VALUE"""),44293.3257537268)</f>
        <v>44293.3257537268</v>
      </c>
      <c r="B659" s="11" t="str">
        <f ca="1">IFERROR(__xludf.DUMMYFUNCTION("""COMPUTED_VALUE"""),"Alexandria Knoell")</f>
        <v>Alexandria Knoell</v>
      </c>
      <c r="C659" t="str">
        <f ca="1">IFERROR(__xludf.DUMMYFUNCTION("""COMPUTED_VALUE"""),"alee.knoell@floridadep.gov")</f>
        <v>alee.knoell@floridadep.gov</v>
      </c>
      <c r="D659" t="str">
        <f ca="1">IFERROR(__xludf.DUMMYFUNCTION("""COMPUTED_VALUE"""),"Nikki Dix")</f>
        <v>Nikki Dix</v>
      </c>
      <c r="E659" t="str">
        <f ca="1">IFERROR(__xludf.DUMMYFUNCTION("""COMPUTED_VALUE"""),"Vilano")</f>
        <v>Vilano</v>
      </c>
      <c r="F659" s="13">
        <f ca="1">IFERROR(__xludf.DUMMYFUNCTION("""COMPUTED_VALUE"""),0.322916666667879)</f>
        <v>0.32291666666787899</v>
      </c>
      <c r="G659" s="14">
        <f ca="1">IFERROR(__xludf.DUMMYFUNCTION("""COMPUTED_VALUE"""),44293)</f>
        <v>44293</v>
      </c>
      <c r="H659" t="str">
        <f ca="1">IFERROR(__xludf.DUMMYFUNCTION("""COMPUTED_VALUE"""),"SWMP stations ")</f>
        <v xml:space="preserve">SWMP stations </v>
      </c>
      <c r="I659" s="15">
        <f ca="1">IFERROR(__xludf.DUMMYFUNCTION("""COMPUTED_VALUE"""),0.541666666667879)</f>
        <v>0.54166666666787899</v>
      </c>
      <c r="J659" s="16">
        <f ca="1">IFERROR(__xludf.DUMMYFUNCTION("""COMPUTED_VALUE"""),44293.5833333333)</f>
        <v>44293.583333333299</v>
      </c>
      <c r="K659" t="str">
        <f ca="1">IFERROR(__xludf.DUMMYFUNCTION("""COMPUTED_VALUE"""),"23ft Skiff (Bertha) FL7972LJ DEP07613")</f>
        <v>23ft Skiff (Bertha) FL7972LJ DEP07613</v>
      </c>
      <c r="M659" t="str">
        <f ca="1">IFERROR(__xludf.DUMMYFUNCTION("""COMPUTED_VALUE"""),"Ford F250 2017 (Moby Dix) - DEP0021578")</f>
        <v>Ford F250 2017 (Moby Dix) - DEP0021578</v>
      </c>
      <c r="N659" t="str">
        <f ca="1">IFERROR(__xludf.DUMMYFUNCTION("""COMPUTED_VALUE"""),"Shannon Dunnigan, (803) 727-5734")</f>
        <v>Shannon Dunnigan, (803) 727-5734</v>
      </c>
      <c r="O659" t="str">
        <f ca="1">IFERROR(__xludf.DUMMYFUNCTION("""COMPUTED_VALUE"""),"Alee Knoell, (619) 750-4833")</f>
        <v>Alee Knoell, (619) 750-4833</v>
      </c>
      <c r="P659" t="str">
        <f ca="1">IFERROR(__xludf.DUMMYFUNCTION("""COMPUTED_VALUE"""),"Shannon dunnigan")</f>
        <v>Shannon dunnigan</v>
      </c>
      <c r="Q659" t="str">
        <f ca="1">IFERROR(__xludf.DUMMYFUNCTION("""COMPUTED_VALUE"""),"All items in working order")</f>
        <v>All items in working order</v>
      </c>
      <c r="AE659" s="11"/>
      <c r="AF659" t="str">
        <v>Nikki.Dix@floridadep.gov</v>
      </c>
      <c r="AG659" s="18"/>
    </row>
    <row r="660" spans="1:33" ht="12.75">
      <c r="A660" s="10">
        <f ca="1">IFERROR(__xludf.DUMMYFUNCTION("""COMPUTED_VALUE"""),44293.3876509953)</f>
        <v>44293.387650995297</v>
      </c>
      <c r="B660" s="11" t="str">
        <f ca="1">IFERROR(__xludf.DUMMYFUNCTION("""COMPUTED_VALUE"""),"Jessica Lee")</f>
        <v>Jessica Lee</v>
      </c>
      <c r="C660" t="str">
        <f ca="1">IFERROR(__xludf.DUMMYFUNCTION("""COMPUTED_VALUE"""),"jessica.lee@floridadep.gov")</f>
        <v>jessica.lee@floridadep.gov</v>
      </c>
      <c r="D660" t="str">
        <f ca="1">IFERROR(__xludf.DUMMYFUNCTION("""COMPUTED_VALUE"""),"Nikki Dix")</f>
        <v>Nikki Dix</v>
      </c>
      <c r="E660" t="str">
        <f ca="1">IFERROR(__xludf.DUMMYFUNCTION("""COMPUTED_VALUE"""),"Guana River")</f>
        <v>Guana River</v>
      </c>
      <c r="F660" s="13">
        <f ca="1">IFERROR(__xludf.DUMMYFUNCTION("""COMPUTED_VALUE"""),0.291666666667879)</f>
        <v>0.29166666666787899</v>
      </c>
      <c r="G660" s="14">
        <f ca="1">IFERROR(__xludf.DUMMYFUNCTION("""COMPUTED_VALUE"""),44293)</f>
        <v>44293</v>
      </c>
      <c r="H660" t="str">
        <f ca="1">IFERROR(__xludf.DUMMYFUNCTION("""COMPUTED_VALUE"""),"Guana River")</f>
        <v>Guana River</v>
      </c>
      <c r="I660" s="15">
        <f ca="1">IFERROR(__xludf.DUMMYFUNCTION("""COMPUTED_VALUE"""),0.354166666667879)</f>
        <v>0.35416666666787899</v>
      </c>
      <c r="J660" s="16">
        <f ca="1">IFERROR(__xludf.DUMMYFUNCTION("""COMPUTED_VALUE"""),44293.3645833333)</f>
        <v>44293.364583333299</v>
      </c>
      <c r="K660" t="str">
        <f ca="1">IFERROR(__xludf.DUMMYFUNCTION("""COMPUTED_VALUE"""),"Jon Boat 1 FL5992RR DEP154045")</f>
        <v>Jon Boat 1 FL5992RR DEP154045</v>
      </c>
      <c r="M660" t="str">
        <f ca="1">IFERROR(__xludf.DUMMYFUNCTION("""COMPUTED_VALUE"""),"Ford F150 2015 (White) - DEP21448")</f>
        <v>Ford F150 2015 (White) - DEP21448</v>
      </c>
      <c r="N660" t="str">
        <f ca="1">IFERROR(__xludf.DUMMYFUNCTION("""COMPUTED_VALUE"""),"Jessica Lee")</f>
        <v>Jessica Lee</v>
      </c>
      <c r="O660" t="str">
        <f ca="1">IFERROR(__xludf.DUMMYFUNCTION("""COMPUTED_VALUE"""),"Ashley ")</f>
        <v xml:space="preserve">Ashley </v>
      </c>
      <c r="P660" t="str">
        <f ca="1">IFERROR(__xludf.DUMMYFUNCTION("""COMPUTED_VALUE"""),"Jessica Lee")</f>
        <v>Jessica Lee</v>
      </c>
      <c r="Q660" t="str">
        <f ca="1">IFERROR(__xludf.DUMMYFUNCTION("""COMPUTED_VALUE"""),"All items in working order")</f>
        <v>All items in working order</v>
      </c>
      <c r="AE660" s="11"/>
      <c r="AF660" t="str">
        <v>Nikki.Dix@floridadep.gov</v>
      </c>
      <c r="AG660" s="18"/>
    </row>
    <row r="661" spans="1:33" ht="12.75">
      <c r="A661" s="10">
        <f ca="1">IFERROR(__xludf.DUMMYFUNCTION("""COMPUTED_VALUE"""),44294.3917436921)</f>
        <v>44294.391743692096</v>
      </c>
      <c r="B661" s="11" t="str">
        <f ca="1">IFERROR(__xludf.DUMMYFUNCTION("""COMPUTED_VALUE"""),"Pam Marcum")</f>
        <v>Pam Marcum</v>
      </c>
      <c r="C661" t="str">
        <f ca="1">IFERROR(__xludf.DUMMYFUNCTION("""COMPUTED_VALUE"""),"pamela.marcum@floridadep.gov")</f>
        <v>pamela.marcum@floridadep.gov</v>
      </c>
      <c r="D661" t="str">
        <f ca="1">IFERROR(__xludf.DUMMYFUNCTION("""COMPUTED_VALUE"""),"Nikki Dix")</f>
        <v>Nikki Dix</v>
      </c>
      <c r="E661" t="str">
        <f ca="1">IFERROR(__xludf.DUMMYFUNCTION("""COMPUTED_VALUE"""),"Butler")</f>
        <v>Butler</v>
      </c>
      <c r="F661" s="13">
        <f ca="1">IFERROR(__xludf.DUMMYFUNCTION("""COMPUTED_VALUE"""),0.385416666667879)</f>
        <v>0.38541666666787899</v>
      </c>
      <c r="G661" s="14">
        <f ca="1">IFERROR(__xludf.DUMMYFUNCTION("""COMPUTED_VALUE"""),44294)</f>
        <v>44294</v>
      </c>
      <c r="H661" t="str">
        <f ca="1">IFERROR(__xludf.DUMMYFUNCTION("""COMPUTED_VALUE"""),"Moses Creek")</f>
        <v>Moses Creek</v>
      </c>
      <c r="I661" s="15">
        <f ca="1">IFERROR(__xludf.DUMMYFUNCTION("""COMPUTED_VALUE"""),0.625)</f>
        <v>0.625</v>
      </c>
      <c r="J661" s="16">
        <f ca="1">IFERROR(__xludf.DUMMYFUNCTION("""COMPUTED_VALUE"""),44294.6666666666)</f>
        <v>44294.666666666599</v>
      </c>
      <c r="K661" t="str">
        <f ca="1">IFERROR(__xludf.DUMMYFUNCTION("""COMPUTED_VALUE"""),"20ft Sea Ark FL5351SJ UNF 2015")</f>
        <v>20ft Sea Ark FL5351SJ UNF 2015</v>
      </c>
      <c r="M661" t="str">
        <f ca="1">IFERROR(__xludf.DUMMYFUNCTION("""COMPUTED_VALUE"""),"Ford F150 2015 (White) - DEP21448")</f>
        <v>Ford F150 2015 (White) - DEP21448</v>
      </c>
      <c r="N661" t="str">
        <f ca="1">IFERROR(__xludf.DUMMYFUNCTION("""COMPUTED_VALUE"""),"Pam Marcum, (480) 332-5414")</f>
        <v>Pam Marcum, (480) 332-5414</v>
      </c>
      <c r="O661" t="str">
        <f ca="1">IFERROR(__xludf.DUMMYFUNCTION("""COMPUTED_VALUE"""),"Alee Knoell, (619) 750-4833")</f>
        <v>Alee Knoell, (619) 750-4833</v>
      </c>
      <c r="P661" t="str">
        <f ca="1">IFERROR(__xludf.DUMMYFUNCTION("""COMPUTED_VALUE"""),"Alee")</f>
        <v>Alee</v>
      </c>
      <c r="Q661" t="str">
        <f ca="1">IFERROR(__xludf.DUMMYFUNCTION("""COMPUTED_VALUE"""),"All items in working order")</f>
        <v>All items in working order</v>
      </c>
      <c r="AE661" s="11"/>
      <c r="AF661" t="str">
        <v>Nikki.Dix@floridadep.gov</v>
      </c>
      <c r="AG661" s="18"/>
    </row>
    <row r="662" spans="1:33" ht="12.75">
      <c r="A662" s="10">
        <f ca="1">IFERROR(__xludf.DUMMYFUNCTION("""COMPUTED_VALUE"""),44299.4246105092)</f>
        <v>44299.424610509202</v>
      </c>
      <c r="B662" s="11" t="str">
        <f ca="1">IFERROR(__xludf.DUMMYFUNCTION("""COMPUTED_VALUE"""),"Pam Marcum")</f>
        <v>Pam Marcum</v>
      </c>
      <c r="C662" t="str">
        <f ca="1">IFERROR(__xludf.DUMMYFUNCTION("""COMPUTED_VALUE"""),"pamela.marcum@floridadep.gov")</f>
        <v>pamela.marcum@floridadep.gov</v>
      </c>
      <c r="D662" t="str">
        <f ca="1">IFERROR(__xludf.DUMMYFUNCTION("""COMPUTED_VALUE"""),"Nikki Dix")</f>
        <v>Nikki Dix</v>
      </c>
      <c r="E662" t="str">
        <f ca="1">IFERROR(__xludf.DUMMYFUNCTION("""COMPUTED_VALUE"""),"Bings")</f>
        <v>Bings</v>
      </c>
      <c r="F662" s="13">
        <f ca="1">IFERROR(__xludf.DUMMYFUNCTION("""COMPUTED_VALUE"""),0.416666666667879)</f>
        <v>0.41666666666787899</v>
      </c>
      <c r="G662" s="14">
        <f ca="1">IFERROR(__xludf.DUMMYFUNCTION("""COMPUTED_VALUE"""),44299)</f>
        <v>44299</v>
      </c>
      <c r="H662" t="str">
        <f ca="1">IFERROR(__xludf.DUMMYFUNCTION("""COMPUTED_VALUE"""),"Wash oaks")</f>
        <v>Wash oaks</v>
      </c>
      <c r="I662" s="15">
        <f ca="1">IFERROR(__xludf.DUMMYFUNCTION("""COMPUTED_VALUE"""),0.541666666667879)</f>
        <v>0.54166666666787899</v>
      </c>
      <c r="J662" s="16">
        <f ca="1">IFERROR(__xludf.DUMMYFUNCTION("""COMPUTED_VALUE"""),44299.5833333333)</f>
        <v>44299.583333333299</v>
      </c>
      <c r="K662" t="str">
        <f ca="1">IFERROR(__xludf.DUMMYFUNCTION("""COMPUTED_VALUE"""),"23ft Skiff (Bertha) FL7972LJ DEP07613")</f>
        <v>23ft Skiff (Bertha) FL7972LJ DEP07613</v>
      </c>
      <c r="M662" t="str">
        <f ca="1">IFERROR(__xludf.DUMMYFUNCTION("""COMPUTED_VALUE"""),"Ford F150 2015 (White) - DEP21448")</f>
        <v>Ford F150 2015 (White) - DEP21448</v>
      </c>
      <c r="N662" t="str">
        <f ca="1">IFERROR(__xludf.DUMMYFUNCTION("""COMPUTED_VALUE"""),"Pam Marcum, (480) 332-5414")</f>
        <v>Pam Marcum, (480) 332-5414</v>
      </c>
      <c r="O662" t="str">
        <f ca="1">IFERROR(__xludf.DUMMYFUNCTION("""COMPUTED_VALUE"""),"Alee Knoell, (619) 750-4833")</f>
        <v>Alee Knoell, (619) 750-4833</v>
      </c>
      <c r="P662" t="str">
        <f ca="1">IFERROR(__xludf.DUMMYFUNCTION("""COMPUTED_VALUE"""),"Alee")</f>
        <v>Alee</v>
      </c>
      <c r="Q662" t="str">
        <f ca="1">IFERROR(__xludf.DUMMYFUNCTION("""COMPUTED_VALUE"""),"All items in working order")</f>
        <v>All items in working order</v>
      </c>
      <c r="AE662" s="11"/>
      <c r="AF662" t="str">
        <v>Nikki.Dix@floridadep.gov</v>
      </c>
      <c r="AG662" s="18"/>
    </row>
    <row r="663" spans="1:33" ht="12.75">
      <c r="A663" s="10">
        <f ca="1">IFERROR(__xludf.DUMMYFUNCTION("""COMPUTED_VALUE"""),44300.3089471179)</f>
        <v>44300.308947117999</v>
      </c>
      <c r="B663" s="11" t="str">
        <f ca="1">IFERROR(__xludf.DUMMYFUNCTION("""COMPUTED_VALUE"""),"Pam Marcum")</f>
        <v>Pam Marcum</v>
      </c>
      <c r="C663" t="str">
        <f ca="1">IFERROR(__xludf.DUMMYFUNCTION("""COMPUTED_VALUE"""),"pamela.marcum@floridadep.gov")</f>
        <v>pamela.marcum@floridadep.gov</v>
      </c>
      <c r="D663" t="str">
        <f ca="1">IFERROR(__xludf.DUMMYFUNCTION("""COMPUTED_VALUE"""),"Nikki Dix")</f>
        <v>Nikki Dix</v>
      </c>
      <c r="E663" t="str">
        <f ca="1">IFERROR(__xludf.DUMMYFUNCTION("""COMPUTED_VALUE"""),"Faver-Dykes")</f>
        <v>Faver-Dykes</v>
      </c>
      <c r="F663" s="13">
        <f ca="1">IFERROR(__xludf.DUMMYFUNCTION("""COMPUTED_VALUE"""),0.3125)</f>
        <v>0.3125</v>
      </c>
      <c r="G663" s="14">
        <f ca="1">IFERROR(__xludf.DUMMYFUNCTION("""COMPUTED_VALUE"""),44300)</f>
        <v>44300</v>
      </c>
      <c r="H663" t="str">
        <f ca="1">IFERROR(__xludf.DUMMYFUNCTION("""COMPUTED_VALUE"""),"Pellicer mouth")</f>
        <v>Pellicer mouth</v>
      </c>
      <c r="I663" s="15">
        <f ca="1">IFERROR(__xludf.DUMMYFUNCTION("""COMPUTED_VALUE"""),0.541666666667879)</f>
        <v>0.54166666666787899</v>
      </c>
      <c r="J663" s="16">
        <f ca="1">IFERROR(__xludf.DUMMYFUNCTION("""COMPUTED_VALUE"""),44300.5833333333)</f>
        <v>44300.583333333299</v>
      </c>
      <c r="K663" t="str">
        <f ca="1">IFERROR(__xludf.DUMMYFUNCTION("""COMPUTED_VALUE"""),"Jon Boat 1 FL5992RR DEP154045")</f>
        <v>Jon Boat 1 FL5992RR DEP154045</v>
      </c>
      <c r="M663" t="str">
        <f ca="1">IFERROR(__xludf.DUMMYFUNCTION("""COMPUTED_VALUE"""),"Ford F150 2015 (White) - DEP21448")</f>
        <v>Ford F150 2015 (White) - DEP21448</v>
      </c>
      <c r="N663" t="str">
        <f ca="1">IFERROR(__xludf.DUMMYFUNCTION("""COMPUTED_VALUE"""),"Pam Marcum, (480) 332-5414")</f>
        <v>Pam Marcum, (480) 332-5414</v>
      </c>
      <c r="O663" t="str">
        <f ca="1">IFERROR(__xludf.DUMMYFUNCTION("""COMPUTED_VALUE"""),"Alee Knoell, (619) 750-4833")</f>
        <v>Alee Knoell, (619) 750-4833</v>
      </c>
      <c r="P663" t="str">
        <f ca="1">IFERROR(__xludf.DUMMYFUNCTION("""COMPUTED_VALUE"""),"Pam")</f>
        <v>Pam</v>
      </c>
      <c r="Q663" t="str">
        <f ca="1">IFERROR(__xludf.DUMMYFUNCTION("""COMPUTED_VALUE"""),"All items in working order")</f>
        <v>All items in working order</v>
      </c>
      <c r="AE663" s="11"/>
      <c r="AF663" t="str">
        <v>Nikki.Dix@floridadep.gov</v>
      </c>
      <c r="AG663" s="18"/>
    </row>
    <row r="664" spans="1:33" ht="12.75">
      <c r="A664" s="10">
        <f ca="1">IFERROR(__xludf.DUMMYFUNCTION("""COMPUTED_VALUE"""),44301.2933457754)</f>
        <v>44301.293345775397</v>
      </c>
      <c r="B664" s="11" t="str">
        <f ca="1">IFERROR(__xludf.DUMMYFUNCTION("""COMPUTED_VALUE"""),"Pam Marcum")</f>
        <v>Pam Marcum</v>
      </c>
      <c r="C664" t="str">
        <f ca="1">IFERROR(__xludf.DUMMYFUNCTION("""COMPUTED_VALUE"""),"pamela.marcum@floridadep.gov")</f>
        <v>pamela.marcum@floridadep.gov</v>
      </c>
      <c r="D664" t="str">
        <f ca="1">IFERROR(__xludf.DUMMYFUNCTION("""COMPUTED_VALUE"""),"Nikki Dix")</f>
        <v>Nikki Dix</v>
      </c>
      <c r="E664" t="str">
        <f ca="1">IFERROR(__xludf.DUMMYFUNCTION("""COMPUTED_VALUE"""),"Bings")</f>
        <v>Bings</v>
      </c>
      <c r="F664" s="13">
        <f ca="1">IFERROR(__xludf.DUMMYFUNCTION("""COMPUTED_VALUE"""),0.30208333333212)</f>
        <v>0.30208333333212001</v>
      </c>
      <c r="G664" s="14">
        <f ca="1">IFERROR(__xludf.DUMMYFUNCTION("""COMPUTED_VALUE"""),44301)</f>
        <v>44301</v>
      </c>
      <c r="H664" t="str">
        <f ca="1">IFERROR(__xludf.DUMMYFUNCTION("""COMPUTED_VALUE"""),"Wash oaks ")</f>
        <v xml:space="preserve">Wash oaks </v>
      </c>
      <c r="I664" s="15">
        <f ca="1">IFERROR(__xludf.DUMMYFUNCTION("""COMPUTED_VALUE"""),0.5)</f>
        <v>0.5</v>
      </c>
      <c r="J664" s="16">
        <f ca="1">IFERROR(__xludf.DUMMYFUNCTION("""COMPUTED_VALUE"""),44301.5416666666)</f>
        <v>44301.541666666599</v>
      </c>
      <c r="K664" t="str">
        <f ca="1">IFERROR(__xludf.DUMMYFUNCTION("""COMPUTED_VALUE"""),"23ft Skiff (Bertha) FL7972LJ DEP07613")</f>
        <v>23ft Skiff (Bertha) FL7972LJ DEP07613</v>
      </c>
      <c r="M664" t="str">
        <f ca="1">IFERROR(__xludf.DUMMYFUNCTION("""COMPUTED_VALUE"""),"Ford F150 2015 (White) - DEP21448")</f>
        <v>Ford F150 2015 (White) - DEP21448</v>
      </c>
      <c r="N664" t="str">
        <f ca="1">IFERROR(__xludf.DUMMYFUNCTION("""COMPUTED_VALUE"""),"Pam Marcum, (480) 332-5414")</f>
        <v>Pam Marcum, (480) 332-5414</v>
      </c>
      <c r="O664" t="str">
        <f ca="1">IFERROR(__xludf.DUMMYFUNCTION("""COMPUTED_VALUE"""),"Alee Knoell, (619) 750-4833, Savanna Mathis")</f>
        <v>Alee Knoell, (619) 750-4833, Savanna Mathis</v>
      </c>
      <c r="P664" t="str">
        <f ca="1">IFERROR(__xludf.DUMMYFUNCTION("""COMPUTED_VALUE"""),"Alee")</f>
        <v>Alee</v>
      </c>
      <c r="Q664" t="str">
        <f ca="1">IFERROR(__xludf.DUMMYFUNCTION("""COMPUTED_VALUE"""),"All items in working order")</f>
        <v>All items in working order</v>
      </c>
      <c r="AE664" s="11"/>
      <c r="AF664" t="str">
        <v>Nikki.Dix@floridadep.gov</v>
      </c>
      <c r="AG664" s="18"/>
    </row>
    <row r="665" spans="1:33" ht="12.75">
      <c r="A665" s="10">
        <f ca="1">IFERROR(__xludf.DUMMYFUNCTION("""COMPUTED_VALUE"""),44302.3038791435)</f>
        <v>44302.303879143503</v>
      </c>
      <c r="B665" s="11" t="str">
        <f ca="1">IFERROR(__xludf.DUMMYFUNCTION("""COMPUTED_VALUE"""),"Alexandria Knoell")</f>
        <v>Alexandria Knoell</v>
      </c>
      <c r="C665" t="str">
        <f ca="1">IFERROR(__xludf.DUMMYFUNCTION("""COMPUTED_VALUE"""),"alee.knoell@floridadep.gov")</f>
        <v>alee.knoell@floridadep.gov</v>
      </c>
      <c r="D665" t="str">
        <f ca="1">IFERROR(__xludf.DUMMYFUNCTION("""COMPUTED_VALUE"""),"Nikki Dix")</f>
        <v>Nikki Dix</v>
      </c>
      <c r="E665" t="str">
        <f ca="1">IFERROR(__xludf.DUMMYFUNCTION("""COMPUTED_VALUE"""),"Butler")</f>
        <v>Butler</v>
      </c>
      <c r="F665" s="13">
        <f ca="1">IFERROR(__xludf.DUMMYFUNCTION("""COMPUTED_VALUE"""),0.30208333333212)</f>
        <v>0.30208333333212001</v>
      </c>
      <c r="G665" s="14">
        <f ca="1">IFERROR(__xludf.DUMMYFUNCTION("""COMPUTED_VALUE"""),44302)</f>
        <v>44302</v>
      </c>
      <c r="H665" t="str">
        <f ca="1">IFERROR(__xludf.DUMMYFUNCTION("""COMPUTED_VALUE"""),"Moses")</f>
        <v>Moses</v>
      </c>
      <c r="I665" s="15">
        <f ca="1">IFERROR(__xludf.DUMMYFUNCTION("""COMPUTED_VALUE"""),0.625)</f>
        <v>0.625</v>
      </c>
      <c r="J665" s="16">
        <f ca="1">IFERROR(__xludf.DUMMYFUNCTION("""COMPUTED_VALUE"""),44302.6458333333)</f>
        <v>44302.645833333299</v>
      </c>
      <c r="K665" t="str">
        <f ca="1">IFERROR(__xludf.DUMMYFUNCTION("""COMPUTED_VALUE"""),"23ft Skiff (Bertha) FL7972LJ DEP07613")</f>
        <v>23ft Skiff (Bertha) FL7972LJ DEP07613</v>
      </c>
      <c r="M665" t="str">
        <f ca="1">IFERROR(__xludf.DUMMYFUNCTION("""COMPUTED_VALUE"""),"Ford F150 2015 (White) - DEP21448")</f>
        <v>Ford F150 2015 (White) - DEP21448</v>
      </c>
      <c r="N665" t="str">
        <f ca="1">IFERROR(__xludf.DUMMYFUNCTION("""COMPUTED_VALUE"""),"Pam Marcum, (480) 332-5414")</f>
        <v>Pam Marcum, (480) 332-5414</v>
      </c>
      <c r="O665" t="str">
        <f ca="1">IFERROR(__xludf.DUMMYFUNCTION("""COMPUTED_VALUE"""),"Alee Knoell, (619) 750-4833")</f>
        <v>Alee Knoell, (619) 750-4833</v>
      </c>
      <c r="P665" t="str">
        <f ca="1">IFERROR(__xludf.DUMMYFUNCTION("""COMPUTED_VALUE"""),"Pam")</f>
        <v>Pam</v>
      </c>
      <c r="Q665" t="str">
        <f ca="1">IFERROR(__xludf.DUMMYFUNCTION("""COMPUTED_VALUE"""),"All items in working order")</f>
        <v>All items in working order</v>
      </c>
      <c r="AE665" s="11"/>
      <c r="AF665" t="str">
        <v>Nikki.Dix@floridadep.gov</v>
      </c>
      <c r="AG665" s="18"/>
    </row>
    <row r="666" spans="1:33" ht="12.75">
      <c r="A666" s="10">
        <f ca="1">IFERROR(__xludf.DUMMYFUNCTION("""COMPUTED_VALUE"""),44305.3903140625)</f>
        <v>44305.390314062497</v>
      </c>
      <c r="B666" s="11" t="str">
        <f ca="1">IFERROR(__xludf.DUMMYFUNCTION("""COMPUTED_VALUE"""),"Pamela Marcum")</f>
        <v>Pamela Marcum</v>
      </c>
      <c r="C666" t="str">
        <f ca="1">IFERROR(__xludf.DUMMYFUNCTION("""COMPUTED_VALUE"""),"pamela.marcum@floridadep.gov")</f>
        <v>pamela.marcum@floridadep.gov</v>
      </c>
      <c r="D666" t="str">
        <f ca="1">IFERROR(__xludf.DUMMYFUNCTION("""COMPUTED_VALUE"""),"Nikki Dix")</f>
        <v>Nikki Dix</v>
      </c>
      <c r="E666" t="str">
        <f ca="1">IFERROR(__xludf.DUMMYFUNCTION("""COMPUTED_VALUE"""),"Palm Valley")</f>
        <v>Palm Valley</v>
      </c>
      <c r="F666" s="13">
        <f ca="1">IFERROR(__xludf.DUMMYFUNCTION("""COMPUTED_VALUE"""),0.354166666667879)</f>
        <v>0.35416666666787899</v>
      </c>
      <c r="G666" s="14">
        <f ca="1">IFERROR(__xludf.DUMMYFUNCTION("""COMPUTED_VALUE"""),44305)</f>
        <v>44305</v>
      </c>
      <c r="H666" t="str">
        <f ca="1">IFERROR(__xludf.DUMMYFUNCTION("""COMPUTED_VALUE"""),"Pine island")</f>
        <v>Pine island</v>
      </c>
      <c r="I666" s="15">
        <f ca="1">IFERROR(__xludf.DUMMYFUNCTION("""COMPUTED_VALUE"""),0.58333333333212)</f>
        <v>0.58333333333212001</v>
      </c>
      <c r="J666" s="16">
        <f ca="1">IFERROR(__xludf.DUMMYFUNCTION("""COMPUTED_VALUE"""),44305.6041666666)</f>
        <v>44305.604166666599</v>
      </c>
      <c r="K666" t="str">
        <f ca="1">IFERROR(__xludf.DUMMYFUNCTION("""COMPUTED_VALUE"""),"23ft Skiff (Bertha) FL7972LJ DEP07613")</f>
        <v>23ft Skiff (Bertha) FL7972LJ DEP07613</v>
      </c>
      <c r="M666" t="str">
        <f ca="1">IFERROR(__xludf.DUMMYFUNCTION("""COMPUTED_VALUE"""),"Ford F150 2015 (White) - DEP21448")</f>
        <v>Ford F150 2015 (White) - DEP21448</v>
      </c>
      <c r="N666" t="str">
        <f ca="1">IFERROR(__xludf.DUMMYFUNCTION("""COMPUTED_VALUE"""),"Pam Marcum, (480) 332-5414")</f>
        <v>Pam Marcum, (480) 332-5414</v>
      </c>
      <c r="O666" t="str">
        <f ca="1">IFERROR(__xludf.DUMMYFUNCTION("""COMPUTED_VALUE"""),"Alee Knoell, (619) 750-4833, Hunter Matthews")</f>
        <v>Alee Knoell, (619) 750-4833, Hunter Matthews</v>
      </c>
      <c r="P666" t="str">
        <f ca="1">IFERROR(__xludf.DUMMYFUNCTION("""COMPUTED_VALUE"""),"Pam")</f>
        <v>Pam</v>
      </c>
      <c r="Q666" t="str">
        <f ca="1">IFERROR(__xludf.DUMMYFUNCTION("""COMPUTED_VALUE"""),"All items in working order")</f>
        <v>All items in working order</v>
      </c>
      <c r="AE666" s="11"/>
      <c r="AF666" t="str">
        <v>Nikki.Dix@floridadep.gov</v>
      </c>
      <c r="AG666" s="18"/>
    </row>
    <row r="667" spans="1:33" ht="12.75">
      <c r="A667" s="10">
        <f ca="1">IFERROR(__xludf.DUMMYFUNCTION("""COMPUTED_VALUE"""),44306.3599660995)</f>
        <v>44306.359966099502</v>
      </c>
      <c r="B667" s="11" t="str">
        <f ca="1">IFERROR(__xludf.DUMMYFUNCTION("""COMPUTED_VALUE"""),"Pam Marcum")</f>
        <v>Pam Marcum</v>
      </c>
      <c r="C667" t="str">
        <f ca="1">IFERROR(__xludf.DUMMYFUNCTION("""COMPUTED_VALUE"""),"pamela.marcum@floridadep.gov")</f>
        <v>pamela.marcum@floridadep.gov</v>
      </c>
      <c r="D667" t="str">
        <f ca="1">IFERROR(__xludf.DUMMYFUNCTION("""COMPUTED_VALUE"""),"Nikki Dix")</f>
        <v>Nikki Dix</v>
      </c>
      <c r="E667" t="str">
        <f ca="1">IFERROR(__xludf.DUMMYFUNCTION("""COMPUTED_VALUE"""),"Shore Dr")</f>
        <v>Shore Dr</v>
      </c>
      <c r="F667" s="13">
        <f ca="1">IFERROR(__xludf.DUMMYFUNCTION("""COMPUTED_VALUE"""),0.361111111109494)</f>
        <v>0.36111111110949401</v>
      </c>
      <c r="G667" s="14">
        <f ca="1">IFERROR(__xludf.DUMMYFUNCTION("""COMPUTED_VALUE"""),44306)</f>
        <v>44306</v>
      </c>
      <c r="H667" t="str">
        <f ca="1">IFERROR(__xludf.DUMMYFUNCTION("""COMPUTED_VALUE"""),"Site 22")</f>
        <v>Site 22</v>
      </c>
      <c r="I667" s="15">
        <f ca="1">IFERROR(__xludf.DUMMYFUNCTION("""COMPUTED_VALUE"""),0.541666666667879)</f>
        <v>0.54166666666787899</v>
      </c>
      <c r="J667" s="16">
        <f ca="1">IFERROR(__xludf.DUMMYFUNCTION("""COMPUTED_VALUE"""),44306.5625)</f>
        <v>44306.5625</v>
      </c>
      <c r="K667" t="str">
        <f ca="1">IFERROR(__xludf.DUMMYFUNCTION("""COMPUTED_VALUE"""),"23ft Skiff (Bertha) FL7972LJ DEP07613")</f>
        <v>23ft Skiff (Bertha) FL7972LJ DEP07613</v>
      </c>
      <c r="M667" t="str">
        <f ca="1">IFERROR(__xludf.DUMMYFUNCTION("""COMPUTED_VALUE"""),"Ford F150 2015 (White) - DEP21448")</f>
        <v>Ford F150 2015 (White) - DEP21448</v>
      </c>
      <c r="N667" t="str">
        <f ca="1">IFERROR(__xludf.DUMMYFUNCTION("""COMPUTED_VALUE"""),"Pam Marcum, (480) 332-5414")</f>
        <v>Pam Marcum, (480) 332-5414</v>
      </c>
      <c r="O667" t="str">
        <f ca="1">IFERROR(__xludf.DUMMYFUNCTION("""COMPUTED_VALUE"""),"Alee Knoell, (619) 750-4833")</f>
        <v>Alee Knoell, (619) 750-4833</v>
      </c>
      <c r="P667" t="str">
        <f ca="1">IFERROR(__xludf.DUMMYFUNCTION("""COMPUTED_VALUE"""),"Pam")</f>
        <v>Pam</v>
      </c>
      <c r="Q667" t="str">
        <f ca="1">IFERROR(__xludf.DUMMYFUNCTION("""COMPUTED_VALUE"""),"All items in working order")</f>
        <v>All items in working order</v>
      </c>
      <c r="AE667" s="11"/>
      <c r="AF667" t="str">
        <v>Nikki.Dix@floridadep.gov</v>
      </c>
      <c r="AG667" s="18"/>
    </row>
    <row r="668" spans="1:33" ht="12.75">
      <c r="A668" s="10">
        <f ca="1">IFERROR(__xludf.DUMMYFUNCTION("""COMPUTED_VALUE"""),44307.3737870023)</f>
        <v>44307.373787002303</v>
      </c>
      <c r="B668" s="11" t="str">
        <f ca="1">IFERROR(__xludf.DUMMYFUNCTION("""COMPUTED_VALUE"""),"Pam Marcum")</f>
        <v>Pam Marcum</v>
      </c>
      <c r="C668" t="str">
        <f ca="1">IFERROR(__xludf.DUMMYFUNCTION("""COMPUTED_VALUE"""),"Pamela.Marcum@FloridaDEP.gov")</f>
        <v>Pamela.Marcum@FloridaDEP.gov</v>
      </c>
      <c r="D668" t="str">
        <f ca="1">IFERROR(__xludf.DUMMYFUNCTION("""COMPUTED_VALUE"""),"Nikki Dix")</f>
        <v>Nikki Dix</v>
      </c>
      <c r="E668" t="str">
        <f ca="1">IFERROR(__xludf.DUMMYFUNCTION("""COMPUTED_VALUE"""),"Aunt Kate's")</f>
        <v>Aunt Kate's</v>
      </c>
      <c r="F668" s="13">
        <f ca="1">IFERROR(__xludf.DUMMYFUNCTION("""COMPUTED_VALUE"""),0.39583333333212)</f>
        <v>0.39583333333212001</v>
      </c>
      <c r="G668" s="14">
        <f ca="1">IFERROR(__xludf.DUMMYFUNCTION("""COMPUTED_VALUE"""),44307)</f>
        <v>44307</v>
      </c>
      <c r="H668" t="str">
        <f ca="1">IFERROR(__xludf.DUMMYFUNCTION("""COMPUTED_VALUE"""),"Hat Island")</f>
        <v>Hat Island</v>
      </c>
      <c r="I668" s="15">
        <f ca="1">IFERROR(__xludf.DUMMYFUNCTION("""COMPUTED_VALUE"""),0.58333333333212)</f>
        <v>0.58333333333212001</v>
      </c>
      <c r="J668" s="16">
        <f ca="1">IFERROR(__xludf.DUMMYFUNCTION("""COMPUTED_VALUE"""),44307.625)</f>
        <v>44307.625</v>
      </c>
      <c r="K668" t="str">
        <f ca="1">IFERROR(__xludf.DUMMYFUNCTION("""COMPUTED_VALUE"""),"23ft Skiff (Bertha) FL7972LJ DEP07613")</f>
        <v>23ft Skiff (Bertha) FL7972LJ DEP07613</v>
      </c>
      <c r="M668" t="str">
        <f ca="1">IFERROR(__xludf.DUMMYFUNCTION("""COMPUTED_VALUE"""),"Ford F150 2015 (White) - DEP21448")</f>
        <v>Ford F150 2015 (White) - DEP21448</v>
      </c>
      <c r="N668" t="str">
        <f ca="1">IFERROR(__xludf.DUMMYFUNCTION("""COMPUTED_VALUE"""),"Pam Marcum, (480) 332-5414")</f>
        <v>Pam Marcum, (480) 332-5414</v>
      </c>
      <c r="O668" t="str">
        <f ca="1">IFERROR(__xludf.DUMMYFUNCTION("""COMPUTED_VALUE"""),"Alee Knoell, (619) 750-4833")</f>
        <v>Alee Knoell, (619) 750-4833</v>
      </c>
      <c r="P668" t="str">
        <f ca="1">IFERROR(__xludf.DUMMYFUNCTION("""COMPUTED_VALUE"""),"Pam")</f>
        <v>Pam</v>
      </c>
      <c r="Q668" t="str">
        <f ca="1">IFERROR(__xludf.DUMMYFUNCTION("""COMPUTED_VALUE"""),"All items in working order")</f>
        <v>All items in working order</v>
      </c>
      <c r="AE668" s="11"/>
      <c r="AF668" t="str">
        <v>Nikki.Dix@floridadep.gov</v>
      </c>
      <c r="AG668" s="18"/>
    </row>
    <row r="669" spans="1:33" ht="12.75">
      <c r="A669" s="10">
        <f ca="1">IFERROR(__xludf.DUMMYFUNCTION("""COMPUTED_VALUE"""),44313.3680976041)</f>
        <v>44313.3680976041</v>
      </c>
      <c r="B669" s="11" t="str">
        <f ca="1">IFERROR(__xludf.DUMMYFUNCTION("""COMPUTED_VALUE"""),"Pamela Marcum")</f>
        <v>Pamela Marcum</v>
      </c>
      <c r="C669" t="str">
        <f ca="1">IFERROR(__xludf.DUMMYFUNCTION("""COMPUTED_VALUE"""),"pamela.marcum@floridadep.gov")</f>
        <v>pamela.marcum@floridadep.gov</v>
      </c>
      <c r="D669" t="str">
        <f ca="1">IFERROR(__xludf.DUMMYFUNCTION("""COMPUTED_VALUE"""),"Pam Marcum")</f>
        <v>Pam Marcum</v>
      </c>
      <c r="E669" t="str">
        <f ca="1">IFERROR(__xludf.DUMMYFUNCTION("""COMPUTED_VALUE"""),"Faver-Dykes state park")</f>
        <v>Faver-Dykes state park</v>
      </c>
      <c r="F669" s="13">
        <f ca="1">IFERROR(__xludf.DUMMYFUNCTION("""COMPUTED_VALUE"""),0.36458333333212)</f>
        <v>0.36458333333212001</v>
      </c>
      <c r="G669" s="14">
        <f ca="1">IFERROR(__xludf.DUMMYFUNCTION("""COMPUTED_VALUE"""),44313)</f>
        <v>44313</v>
      </c>
      <c r="H669" t="str">
        <f ca="1">IFERROR(__xludf.DUMMYFUNCTION("""COMPUTED_VALUE"""),"Pellicer Creek")</f>
        <v>Pellicer Creek</v>
      </c>
      <c r="I669" s="15">
        <f ca="1">IFERROR(__xludf.DUMMYFUNCTION("""COMPUTED_VALUE"""),0.791666666667879)</f>
        <v>0.79166666666787899</v>
      </c>
      <c r="J669" s="16">
        <f ca="1">IFERROR(__xludf.DUMMYFUNCTION("""COMPUTED_VALUE"""),44313.8125)</f>
        <v>44313.8125</v>
      </c>
      <c r="K669" t="str">
        <f ca="1">IFERROR(__xludf.DUMMYFUNCTION("""COMPUTED_VALUE"""),"23ft Skiff (Bertha) FL7972LJ DEP07613")</f>
        <v>23ft Skiff (Bertha) FL7972LJ DEP07613</v>
      </c>
      <c r="M669" t="str">
        <f ca="1">IFERROR(__xludf.DUMMYFUNCTION("""COMPUTED_VALUE"""),"Ford F150 2015 (White) - DEP21448")</f>
        <v>Ford F150 2015 (White) - DEP21448</v>
      </c>
      <c r="N669" t="str">
        <f ca="1">IFERROR(__xludf.DUMMYFUNCTION("""COMPUTED_VALUE"""),"Pam Marcum, (480) 332-5414")</f>
        <v>Pam Marcum, (480) 332-5414</v>
      </c>
      <c r="O669" t="str">
        <f ca="1">IFERROR(__xludf.DUMMYFUNCTION("""COMPUTED_VALUE"""),"Vitalii Sheremet")</f>
        <v>Vitalii Sheremet</v>
      </c>
      <c r="P669" t="str">
        <f ca="1">IFERROR(__xludf.DUMMYFUNCTION("""COMPUTED_VALUE"""),"Pam")</f>
        <v>Pam</v>
      </c>
      <c r="Q669" t="str">
        <f ca="1">IFERROR(__xludf.DUMMYFUNCTION("""COMPUTED_VALUE"""),"All items in working order")</f>
        <v>All items in working order</v>
      </c>
      <c r="AE669" s="11"/>
      <c r="AF669" t="str">
        <v>Pamela.Marcum@floridadep.gov</v>
      </c>
      <c r="AG669" s="18"/>
    </row>
    <row r="670" spans="1:33" ht="12.75">
      <c r="A670" s="10">
        <f ca="1">IFERROR(__xludf.DUMMYFUNCTION("""COMPUTED_VALUE"""),44313.6971871643)</f>
        <v>44313.697187164304</v>
      </c>
      <c r="B670" s="11" t="str">
        <f ca="1">IFERROR(__xludf.DUMMYFUNCTION("""COMPUTED_VALUE"""),"Silas Tanner")</f>
        <v>Silas Tanner</v>
      </c>
      <c r="C670" t="str">
        <f ca="1">IFERROR(__xludf.DUMMYFUNCTION("""COMPUTED_VALUE"""),"silas.tanner@floridadep.gov")</f>
        <v>silas.tanner@floridadep.gov</v>
      </c>
      <c r="D670" t="str">
        <f ca="1">IFERROR(__xludf.DUMMYFUNCTION("""COMPUTED_VALUE"""),"Nikki Dix")</f>
        <v>Nikki Dix</v>
      </c>
      <c r="E670" t="str">
        <f ca="1">IFERROR(__xludf.DUMMYFUNCTION("""COMPUTED_VALUE"""),"Vilano Landing")</f>
        <v>Vilano Landing</v>
      </c>
      <c r="F670" s="13">
        <f ca="1">IFERROR(__xludf.DUMMYFUNCTION("""COMPUTED_VALUE"""),0.354166666667879)</f>
        <v>0.35416666666787899</v>
      </c>
      <c r="G670" s="14">
        <f ca="1">IFERROR(__xludf.DUMMYFUNCTION("""COMPUTED_VALUE"""),44314)</f>
        <v>44314</v>
      </c>
      <c r="H670" t="str">
        <f ca="1">IFERROR(__xludf.DUMMYFUNCTION("""COMPUTED_VALUE"""),"ICW SWMP Sites")</f>
        <v>ICW SWMP Sites</v>
      </c>
      <c r="I670" s="15">
        <f ca="1">IFERROR(__xludf.DUMMYFUNCTION("""COMPUTED_VALUE"""),0.604166666667879)</f>
        <v>0.60416666666787899</v>
      </c>
      <c r="J670" s="16">
        <f ca="1">IFERROR(__xludf.DUMMYFUNCTION("""COMPUTED_VALUE"""),44314.6875)</f>
        <v>44314.6875</v>
      </c>
      <c r="K670" t="str">
        <f ca="1">IFERROR(__xludf.DUMMYFUNCTION("""COMPUTED_VALUE"""),"20ft Sea Ark FL5351SJ UNF 2015")</f>
        <v>20ft Sea Ark FL5351SJ UNF 2015</v>
      </c>
      <c r="M670" t="str">
        <f ca="1">IFERROR(__xludf.DUMMYFUNCTION("""COMPUTED_VALUE"""),"Ford F250 2017 (Moby Dix) - DEP0021578")</f>
        <v>Ford F250 2017 (Moby Dix) - DEP0021578</v>
      </c>
      <c r="N670" t="str">
        <f ca="1">IFERROR(__xludf.DUMMYFUNCTION("""COMPUTED_VALUE"""),"Shannon Dunnigan, (803) 727-5734, Silas Tanner, (904) 483-8423")</f>
        <v>Shannon Dunnigan, (803) 727-5734, Silas Tanner, (904) 483-8423</v>
      </c>
      <c r="P670" t="str">
        <f ca="1">IFERROR(__xludf.DUMMYFUNCTION("""COMPUTED_VALUE"""),"Silas Tanner")</f>
        <v>Silas Tanner</v>
      </c>
      <c r="Q670" t="str">
        <f ca="1">IFERROR(__xludf.DUMMYFUNCTION("""COMPUTED_VALUE"""),"All items in working order")</f>
        <v>All items in working order</v>
      </c>
      <c r="AE670" s="11"/>
      <c r="AF670" t="str">
        <v>Nikki.Dix@floridadep.gov</v>
      </c>
      <c r="AG670" s="18"/>
    </row>
    <row r="671" spans="1:33" ht="12.75">
      <c r="A671" s="10">
        <f ca="1">IFERROR(__xludf.DUMMYFUNCTION("""COMPUTED_VALUE"""),44314.3128484837)</f>
        <v>44314.3128484837</v>
      </c>
      <c r="B671" s="11" t="str">
        <f ca="1">IFERROR(__xludf.DUMMYFUNCTION("""COMPUTED_VALUE"""),"Pamela Marcum")</f>
        <v>Pamela Marcum</v>
      </c>
      <c r="C671" t="str">
        <f ca="1">IFERROR(__xludf.DUMMYFUNCTION("""COMPUTED_VALUE"""),"pamela.marcum@floridadep.gov")</f>
        <v>pamela.marcum@floridadep.gov</v>
      </c>
      <c r="D671" t="str">
        <f ca="1">IFERROR(__xludf.DUMMYFUNCTION("""COMPUTED_VALUE"""),"Nikki Dix")</f>
        <v>Nikki Dix</v>
      </c>
      <c r="E671" t="str">
        <f ca="1">IFERROR(__xludf.DUMMYFUNCTION("""COMPUTED_VALUE"""),"Faver-dykes")</f>
        <v>Faver-dykes</v>
      </c>
      <c r="F671" s="13">
        <f ca="1">IFERROR(__xludf.DUMMYFUNCTION("""COMPUTED_VALUE"""),0.3125)</f>
        <v>0.3125</v>
      </c>
      <c r="G671" s="14">
        <f ca="1">IFERROR(__xludf.DUMMYFUNCTION("""COMPUTED_VALUE"""),44314)</f>
        <v>44314</v>
      </c>
      <c r="H671" t="str">
        <f ca="1">IFERROR(__xludf.DUMMYFUNCTION("""COMPUTED_VALUE"""),"Pellicer transects")</f>
        <v>Pellicer transects</v>
      </c>
      <c r="I671" s="15">
        <f ca="1">IFERROR(__xludf.DUMMYFUNCTION("""COMPUTED_VALUE"""),0.541666666667879)</f>
        <v>0.54166666666787899</v>
      </c>
      <c r="J671" s="16">
        <f ca="1">IFERROR(__xludf.DUMMYFUNCTION("""COMPUTED_VALUE"""),44314.5833333333)</f>
        <v>44314.583333333299</v>
      </c>
      <c r="K671" t="str">
        <f ca="1">IFERROR(__xludf.DUMMYFUNCTION("""COMPUTED_VALUE"""),"23ft Skiff (Bertha) FL7972LJ DEP07613")</f>
        <v>23ft Skiff (Bertha) FL7972LJ DEP07613</v>
      </c>
      <c r="M671" t="str">
        <f ca="1">IFERROR(__xludf.DUMMYFUNCTION("""COMPUTED_VALUE"""),"Ford F150 2015 (White) - DEP21448")</f>
        <v>Ford F150 2015 (White) - DEP21448</v>
      </c>
      <c r="N671" t="str">
        <f ca="1">IFERROR(__xludf.DUMMYFUNCTION("""COMPUTED_VALUE"""),"Pam Marcum, (480) 332-5414")</f>
        <v>Pam Marcum, (480) 332-5414</v>
      </c>
      <c r="O671" t="str">
        <f ca="1">IFERROR(__xludf.DUMMYFUNCTION("""COMPUTED_VALUE"""),"Alee Knoell, (619) 750-4833, Vitalii Sheremet")</f>
        <v>Alee Knoell, (619) 750-4833, Vitalii Sheremet</v>
      </c>
      <c r="P671" t="str">
        <f ca="1">IFERROR(__xludf.DUMMYFUNCTION("""COMPUTED_VALUE"""),"Pam")</f>
        <v>Pam</v>
      </c>
      <c r="Q671" t="str">
        <f ca="1">IFERROR(__xludf.DUMMYFUNCTION("""COMPUTED_VALUE"""),"All items in working order")</f>
        <v>All items in working order</v>
      </c>
      <c r="AE671" s="11"/>
      <c r="AF671" t="str">
        <v>Nikki.Dix@floridadep.gov</v>
      </c>
      <c r="AG671" s="18"/>
    </row>
    <row r="672" spans="1:33" ht="12.75">
      <c r="A672" s="10">
        <f ca="1">IFERROR(__xludf.DUMMYFUNCTION("""COMPUTED_VALUE"""),44326.3619516319)</f>
        <v>44326.361951631901</v>
      </c>
      <c r="B672" s="11" t="str">
        <f ca="1">IFERROR(__xludf.DUMMYFUNCTION("""COMPUTED_VALUE"""),"Jessica Lee")</f>
        <v>Jessica Lee</v>
      </c>
      <c r="C672" t="str">
        <f ca="1">IFERROR(__xludf.DUMMYFUNCTION("""COMPUTED_VALUE"""),"jessica.lee@floridadep.gov")</f>
        <v>jessica.lee@floridadep.gov</v>
      </c>
      <c r="D672" t="str">
        <f ca="1">IFERROR(__xludf.DUMMYFUNCTION("""COMPUTED_VALUE"""),"Shannon Dunnigan")</f>
        <v>Shannon Dunnigan</v>
      </c>
      <c r="E672" t="str">
        <f ca="1">IFERROR(__xludf.DUMMYFUNCTION("""COMPUTED_VALUE"""),"Guana River")</f>
        <v>Guana River</v>
      </c>
      <c r="F672" s="13">
        <f ca="1">IFERROR(__xludf.DUMMYFUNCTION("""COMPUTED_VALUE"""),0.385416666667879)</f>
        <v>0.38541666666787899</v>
      </c>
      <c r="G672" s="14">
        <f ca="1">IFERROR(__xludf.DUMMYFUNCTION("""COMPUTED_VALUE"""),44326)</f>
        <v>44326</v>
      </c>
      <c r="H672" t="str">
        <f ca="1">IFERROR(__xludf.DUMMYFUNCTION("""COMPUTED_VALUE"""),"Guana River")</f>
        <v>Guana River</v>
      </c>
      <c r="I672" s="15">
        <f ca="1">IFERROR(__xludf.DUMMYFUNCTION("""COMPUTED_VALUE"""),0.447916666667879)</f>
        <v>0.44791666666787899</v>
      </c>
      <c r="J672" s="16">
        <f ca="1">IFERROR(__xludf.DUMMYFUNCTION("""COMPUTED_VALUE"""),44326.4583333333)</f>
        <v>44326.458333333299</v>
      </c>
      <c r="K672" t="str">
        <f ca="1">IFERROR(__xludf.DUMMYFUNCTION("""COMPUTED_VALUE"""),"Jon Boat 1 FL5992RR DEP154045")</f>
        <v>Jon Boat 1 FL5992RR DEP154045</v>
      </c>
      <c r="M672" t="str">
        <f ca="1">IFERROR(__xludf.DUMMYFUNCTION("""COMPUTED_VALUE"""),"Ford F150 2015 (White) - DEP21448")</f>
        <v>Ford F150 2015 (White) - DEP21448</v>
      </c>
      <c r="N672" t="str">
        <f ca="1">IFERROR(__xludf.DUMMYFUNCTION("""COMPUTED_VALUE"""),"Jessica Lee")</f>
        <v>Jessica Lee</v>
      </c>
      <c r="O672" t="str">
        <f ca="1">IFERROR(__xludf.DUMMYFUNCTION("""COMPUTED_VALUE"""),"Ashley Smyth, AJ")</f>
        <v>Ashley Smyth, AJ</v>
      </c>
      <c r="P672" t="str">
        <f ca="1">IFERROR(__xludf.DUMMYFUNCTION("""COMPUTED_VALUE"""),"Jessica Lee")</f>
        <v>Jessica Lee</v>
      </c>
      <c r="Q672" t="str">
        <f ca="1">IFERROR(__xludf.DUMMYFUNCTION("""COMPUTED_VALUE"""),"All items in working order")</f>
        <v>All items in working order</v>
      </c>
      <c r="AE672" s="11"/>
      <c r="AF672" t="str">
        <v>Shannon.Dunnigan@floridadep.gov</v>
      </c>
      <c r="AG672" s="18"/>
    </row>
    <row r="673" spans="1:33" ht="12.75">
      <c r="A673" s="10">
        <f ca="1">IFERROR(__xludf.DUMMYFUNCTION("""COMPUTED_VALUE"""),44327.3569298032)</f>
        <v>44327.356929803202</v>
      </c>
      <c r="B673" s="11" t="str">
        <f ca="1">IFERROR(__xludf.DUMMYFUNCTION("""COMPUTED_VALUE"""),"Shannon Dunnigan")</f>
        <v>Shannon Dunnigan</v>
      </c>
      <c r="C673" t="str">
        <f ca="1">IFERROR(__xludf.DUMMYFUNCTION("""COMPUTED_VALUE"""),"shannon.dunnigan@floridadep.gov")</f>
        <v>shannon.dunnigan@floridadep.gov</v>
      </c>
      <c r="D673" t="str">
        <f ca="1">IFERROR(__xludf.DUMMYFUNCTION("""COMPUTED_VALUE"""),"Nikki Dix")</f>
        <v>Nikki Dix</v>
      </c>
      <c r="E673" t="str">
        <f ca="1">IFERROR(__xludf.DUMMYFUNCTION("""COMPUTED_VALUE"""),"Vilano")</f>
        <v>Vilano</v>
      </c>
      <c r="F673" s="13">
        <f ca="1">IFERROR(__xludf.DUMMYFUNCTION("""COMPUTED_VALUE"""),0.36458333333212)</f>
        <v>0.36458333333212001</v>
      </c>
      <c r="G673" s="14">
        <f ca="1">IFERROR(__xludf.DUMMYFUNCTION("""COMPUTED_VALUE"""),44327)</f>
        <v>44327</v>
      </c>
      <c r="H673" t="str">
        <f ca="1">IFERROR(__xludf.DUMMYFUNCTION("""COMPUTED_VALUE"""),"SWMP sites")</f>
        <v>SWMP sites</v>
      </c>
      <c r="I673" s="15">
        <f ca="1">IFERROR(__xludf.DUMMYFUNCTION("""COMPUTED_VALUE"""),0.541666666667879)</f>
        <v>0.54166666666787899</v>
      </c>
      <c r="J673" s="16">
        <f ca="1">IFERROR(__xludf.DUMMYFUNCTION("""COMPUTED_VALUE"""),44327.6041666666)</f>
        <v>44327.604166666599</v>
      </c>
      <c r="K673" t="str">
        <f ca="1">IFERROR(__xludf.DUMMYFUNCTION("""COMPUTED_VALUE"""),"20ft Sea Ark FL5351SJ UNF 2015")</f>
        <v>20ft Sea Ark FL5351SJ UNF 2015</v>
      </c>
      <c r="M673" t="str">
        <f ca="1">IFERROR(__xludf.DUMMYFUNCTION("""COMPUTED_VALUE"""),"Ford F150 2015 (White) - DEP21448")</f>
        <v>Ford F150 2015 (White) - DEP21448</v>
      </c>
      <c r="N673" t="str">
        <f ca="1">IFERROR(__xludf.DUMMYFUNCTION("""COMPUTED_VALUE"""),"Shannon Dunnigan, (803) 727-5734")</f>
        <v>Shannon Dunnigan, (803) 727-5734</v>
      </c>
      <c r="O673" t="str">
        <f ca="1">IFERROR(__xludf.DUMMYFUNCTION("""COMPUTED_VALUE"""),"Jason Lynn")</f>
        <v>Jason Lynn</v>
      </c>
      <c r="P673" t="str">
        <f ca="1">IFERROR(__xludf.DUMMYFUNCTION("""COMPUTED_VALUE"""),"Shannon")</f>
        <v>Shannon</v>
      </c>
      <c r="Q673" t="str">
        <f ca="1">IFERROR(__xludf.DUMMYFUNCTION("""COMPUTED_VALUE"""),"All items in working order")</f>
        <v>All items in working order</v>
      </c>
      <c r="AE673" s="11"/>
      <c r="AF673" t="str">
        <v>Nikki.Dix@floridadep.gov</v>
      </c>
      <c r="AG673" s="18"/>
    </row>
    <row r="674" spans="1:33" ht="12.75">
      <c r="A674" s="10">
        <f ca="1">IFERROR(__xludf.DUMMYFUNCTION("""COMPUTED_VALUE"""),44327.665355787)</f>
        <v>44327.665355787001</v>
      </c>
      <c r="B674" s="11" t="str">
        <f ca="1">IFERROR(__xludf.DUMMYFUNCTION("""COMPUTED_VALUE"""),"Shannon Dunnigan")</f>
        <v>Shannon Dunnigan</v>
      </c>
      <c r="C674" t="str">
        <f ca="1">IFERROR(__xludf.DUMMYFUNCTION("""COMPUTED_VALUE"""),"shannon.dunnigan@floridadep.gov")</f>
        <v>shannon.dunnigan@floridadep.gov</v>
      </c>
      <c r="D674" t="str">
        <f ca="1">IFERROR(__xludf.DUMMYFUNCTION("""COMPUTED_VALUE"""),"Nikki Dix")</f>
        <v>Nikki Dix</v>
      </c>
      <c r="E674" t="str">
        <f ca="1">IFERROR(__xludf.DUMMYFUNCTION("""COMPUTED_VALUE"""),"Vilano")</f>
        <v>Vilano</v>
      </c>
      <c r="F674" s="13">
        <f ca="1">IFERROR(__xludf.DUMMYFUNCTION("""COMPUTED_VALUE"""),0.36458333333212)</f>
        <v>0.36458333333212001</v>
      </c>
      <c r="G674" s="14">
        <f ca="1">IFERROR(__xludf.DUMMYFUNCTION("""COMPUTED_VALUE"""),44327)</f>
        <v>44327</v>
      </c>
      <c r="H674" t="str">
        <f ca="1">IFERROR(__xludf.DUMMYFUNCTION("""COMPUTED_VALUE"""),"SWMP sites")</f>
        <v>SWMP sites</v>
      </c>
      <c r="I674" s="15">
        <f ca="1">IFERROR(__xludf.DUMMYFUNCTION("""COMPUTED_VALUE"""),0.541666666667879)</f>
        <v>0.54166666666787899</v>
      </c>
      <c r="J674" s="16">
        <f ca="1">IFERROR(__xludf.DUMMYFUNCTION("""COMPUTED_VALUE"""),44327.6041666666)</f>
        <v>44327.604166666599</v>
      </c>
      <c r="K674" t="str">
        <f ca="1">IFERROR(__xludf.DUMMYFUNCTION("""COMPUTED_VALUE"""),"20ft Sea Ark FL5351SJ UNF 2015")</f>
        <v>20ft Sea Ark FL5351SJ UNF 2015</v>
      </c>
      <c r="M674" t="str">
        <f ca="1">IFERROR(__xludf.DUMMYFUNCTION("""COMPUTED_VALUE"""),"Ford F150 2015 (White) - DEP21448")</f>
        <v>Ford F150 2015 (White) - DEP21448</v>
      </c>
      <c r="N674" t="str">
        <f ca="1">IFERROR(__xludf.DUMMYFUNCTION("""COMPUTED_VALUE"""),"Shannon Dunnigan, (803) 727-5734")</f>
        <v>Shannon Dunnigan, (803) 727-5734</v>
      </c>
      <c r="O674" t="str">
        <f ca="1">IFERROR(__xludf.DUMMYFUNCTION("""COMPUTED_VALUE"""),"Jason Lynn")</f>
        <v>Jason Lynn</v>
      </c>
      <c r="P674" t="str">
        <f ca="1">IFERROR(__xludf.DUMMYFUNCTION("""COMPUTED_VALUE"""),"Shannon")</f>
        <v>Shannon</v>
      </c>
      <c r="Q674" t="str">
        <f ca="1">IFERROR(__xludf.DUMMYFUNCTION("""COMPUTED_VALUE"""),"All items in working order")</f>
        <v>All items in working order</v>
      </c>
      <c r="AE674" s="11"/>
      <c r="AF674" t="str">
        <v>Nikki.Dix@floridadep.gov</v>
      </c>
      <c r="AG674" s="18"/>
    </row>
    <row r="675" spans="1:33" ht="12.75">
      <c r="A675" s="10">
        <f ca="1">IFERROR(__xludf.DUMMYFUNCTION("""COMPUTED_VALUE"""),44330.3900261342)</f>
        <v>44330.390026134199</v>
      </c>
      <c r="B675" s="11" t="str">
        <f ca="1">IFERROR(__xludf.DUMMYFUNCTION("""COMPUTED_VALUE"""),"Silas Tanner")</f>
        <v>Silas Tanner</v>
      </c>
      <c r="C675" t="str">
        <f ca="1">IFERROR(__xludf.DUMMYFUNCTION("""COMPUTED_VALUE"""),"silas.tanner@floridadep.gov")</f>
        <v>silas.tanner@floridadep.gov</v>
      </c>
      <c r="D675" t="str">
        <f ca="1">IFERROR(__xludf.DUMMYFUNCTION("""COMPUTED_VALUE"""),"Alee Knoell")</f>
        <v>Alee Knoell</v>
      </c>
      <c r="E675" t="str">
        <f ca="1">IFERROR(__xludf.DUMMYFUNCTION("""COMPUTED_VALUE"""),"FDSP")</f>
        <v>FDSP</v>
      </c>
      <c r="F675" s="13">
        <f ca="1">IFERROR(__xludf.DUMMYFUNCTION("""COMPUTED_VALUE"""),0.416666666667879)</f>
        <v>0.41666666666787899</v>
      </c>
      <c r="G675" s="14">
        <f ca="1">IFERROR(__xludf.DUMMYFUNCTION("""COMPUTED_VALUE"""),44330)</f>
        <v>44330</v>
      </c>
      <c r="H675" t="str">
        <f ca="1">IFERROR(__xludf.DUMMYFUNCTION("""COMPUTED_VALUE"""),"Pellicer Creek")</f>
        <v>Pellicer Creek</v>
      </c>
      <c r="I675" s="15">
        <f ca="1">IFERROR(__xludf.DUMMYFUNCTION("""COMPUTED_VALUE"""),0.625)</f>
        <v>0.625</v>
      </c>
      <c r="J675" s="16">
        <f ca="1">IFERROR(__xludf.DUMMYFUNCTION("""COMPUTED_VALUE"""),44330.6666666666)</f>
        <v>44330.666666666599</v>
      </c>
      <c r="K675" t="str">
        <f ca="1">IFERROR(__xludf.DUMMYFUNCTION("""COMPUTED_VALUE"""),"20ft Sea Ark FL5351SJ UNF 2015")</f>
        <v>20ft Sea Ark FL5351SJ UNF 2015</v>
      </c>
      <c r="M675" t="str">
        <f ca="1">IFERROR(__xludf.DUMMYFUNCTION("""COMPUTED_VALUE"""),"Ford F250 2017 (Moby Dix) - DEP0021578")</f>
        <v>Ford F250 2017 (Moby Dix) - DEP0021578</v>
      </c>
      <c r="N675" t="str">
        <f ca="1">IFERROR(__xludf.DUMMYFUNCTION("""COMPUTED_VALUE"""),"Silas Tanner, (904) 483-8423")</f>
        <v>Silas Tanner, (904) 483-8423</v>
      </c>
      <c r="O675" t="str">
        <f ca="1">IFERROR(__xludf.DUMMYFUNCTION("""COMPUTED_VALUE"""),"Jessica Lee")</f>
        <v>Jessica Lee</v>
      </c>
      <c r="P675" t="str">
        <f ca="1">IFERROR(__xludf.DUMMYFUNCTION("""COMPUTED_VALUE"""),"Silas Tanner")</f>
        <v>Silas Tanner</v>
      </c>
      <c r="Q675" t="str">
        <f ca="1">IFERROR(__xludf.DUMMYFUNCTION("""COMPUTED_VALUE"""),"All items in working order")</f>
        <v>All items in working order</v>
      </c>
      <c r="AE675" s="11"/>
      <c r="AF675" t="str">
        <v/>
      </c>
      <c r="AG675" s="18"/>
    </row>
    <row r="676" spans="1:33" ht="12.75">
      <c r="A676" s="10">
        <f ca="1">IFERROR(__xludf.DUMMYFUNCTION("""COMPUTED_VALUE"""),44341.3382158101)</f>
        <v>44341.338215810101</v>
      </c>
      <c r="B676" s="11" t="str">
        <f ca="1">IFERROR(__xludf.DUMMYFUNCTION("""COMPUTED_VALUE"""),"Alexandria Knoell")</f>
        <v>Alexandria Knoell</v>
      </c>
      <c r="C676" t="str">
        <f ca="1">IFERROR(__xludf.DUMMYFUNCTION("""COMPUTED_VALUE"""),"alee.knoell@floridadep.gov")</f>
        <v>alee.knoell@floridadep.gov</v>
      </c>
      <c r="D676" t="str">
        <f ca="1">IFERROR(__xludf.DUMMYFUNCTION("""COMPUTED_VALUE"""),"Pam Marcum")</f>
        <v>Pam Marcum</v>
      </c>
      <c r="E676" t="str">
        <f ca="1">IFERROR(__xludf.DUMMYFUNCTION("""COMPUTED_VALUE"""),"Crane")</f>
        <v>Crane</v>
      </c>
      <c r="F676" s="13">
        <f ca="1">IFERROR(__xludf.DUMMYFUNCTION("""COMPUTED_VALUE"""),0.34375)</f>
        <v>0.34375</v>
      </c>
      <c r="G676" s="14">
        <f ca="1">IFERROR(__xludf.DUMMYFUNCTION("""COMPUTED_VALUE"""),44341)</f>
        <v>44341</v>
      </c>
      <c r="H676" t="str">
        <f ca="1">IFERROR(__xludf.DUMMYFUNCTION("""COMPUTED_VALUE"""),"Gabbys creek")</f>
        <v>Gabbys creek</v>
      </c>
      <c r="I676" s="15">
        <f ca="1">IFERROR(__xludf.DUMMYFUNCTION("""COMPUTED_VALUE"""),0.541666666667879)</f>
        <v>0.54166666666787899</v>
      </c>
      <c r="J676" s="16">
        <f ca="1">IFERROR(__xludf.DUMMYFUNCTION("""COMPUTED_VALUE"""),44341.5729166666)</f>
        <v>44341.572916666599</v>
      </c>
      <c r="K676" t="str">
        <f ca="1">IFERROR(__xludf.DUMMYFUNCTION("""COMPUTED_VALUE"""),"20ft Sea Ark FL5351SJ UNF 2015")</f>
        <v>20ft Sea Ark FL5351SJ UNF 2015</v>
      </c>
      <c r="M676" t="str">
        <f ca="1">IFERROR(__xludf.DUMMYFUNCTION("""COMPUTED_VALUE"""),"Ford F150 2015 (White) - DEP21448")</f>
        <v>Ford F150 2015 (White) - DEP21448</v>
      </c>
      <c r="N676" t="str">
        <f ca="1">IFERROR(__xludf.DUMMYFUNCTION("""COMPUTED_VALUE"""),"Gabriela canas")</f>
        <v>Gabriela canas</v>
      </c>
      <c r="O676" t="str">
        <f ca="1">IFERROR(__xludf.DUMMYFUNCTION("""COMPUTED_VALUE"""),"Alee Knoell, (619) 750-4833, Ches, WETFEET crew")</f>
        <v>Alee Knoell, (619) 750-4833, Ches, WETFEET crew</v>
      </c>
      <c r="P676" t="str">
        <f ca="1">IFERROR(__xludf.DUMMYFUNCTION("""COMPUTED_VALUE"""),"Gabby canas")</f>
        <v>Gabby canas</v>
      </c>
      <c r="Q676" t="str">
        <f ca="1">IFERROR(__xludf.DUMMYFUNCTION("""COMPUTED_VALUE"""),"All items in working order")</f>
        <v>All items in working order</v>
      </c>
      <c r="AE676" s="11"/>
      <c r="AF676" t="str">
        <v>Pamela.Marcum@floridadep.gov</v>
      </c>
      <c r="AG676" s="18"/>
    </row>
    <row r="677" spans="1:33" ht="12.75">
      <c r="A677" s="10">
        <f ca="1">IFERROR(__xludf.DUMMYFUNCTION("""COMPUTED_VALUE"""),44349.2854167592)</f>
        <v>44349.285416759201</v>
      </c>
      <c r="B677" s="11" t="str">
        <f ca="1">IFERROR(__xludf.DUMMYFUNCTION("""COMPUTED_VALUE"""),"Silas Tanner")</f>
        <v>Silas Tanner</v>
      </c>
      <c r="C677" t="str">
        <f ca="1">IFERROR(__xludf.DUMMYFUNCTION("""COMPUTED_VALUE"""),"silas.tanner@floridadep.gov")</f>
        <v>silas.tanner@floridadep.gov</v>
      </c>
      <c r="D677" t="str">
        <f ca="1">IFERROR(__xludf.DUMMYFUNCTION("""COMPUTED_VALUE"""),"Shannon Dunnigan")</f>
        <v>Shannon Dunnigan</v>
      </c>
      <c r="E677" t="str">
        <f ca="1">IFERROR(__xludf.DUMMYFUNCTION("""COMPUTED_VALUE"""),"Crane ")</f>
        <v xml:space="preserve">Crane </v>
      </c>
      <c r="F677" s="13">
        <f ca="1">IFERROR(__xludf.DUMMYFUNCTION("""COMPUTED_VALUE"""),0.36458333333212)</f>
        <v>0.36458333333212001</v>
      </c>
      <c r="G677" s="14">
        <f ca="1">IFERROR(__xludf.DUMMYFUNCTION("""COMPUTED_VALUE"""),44349)</f>
        <v>44349</v>
      </c>
      <c r="H677" t="str">
        <f ca="1">IFERROR(__xludf.DUMMYFUNCTION("""COMPUTED_VALUE"""),"ICW SWMP sites ")</f>
        <v xml:space="preserve">ICW SWMP sites </v>
      </c>
      <c r="I677" s="15">
        <f ca="1">IFERROR(__xludf.DUMMYFUNCTION("""COMPUTED_VALUE"""),0.58333333333212)</f>
        <v>0.58333333333212001</v>
      </c>
      <c r="J677" s="16">
        <f ca="1">IFERROR(__xludf.DUMMYFUNCTION("""COMPUTED_VALUE"""),44349.6666666666)</f>
        <v>44349.666666666599</v>
      </c>
      <c r="K677" t="str">
        <f ca="1">IFERROR(__xludf.DUMMYFUNCTION("""COMPUTED_VALUE"""),"20ft Sea Ark FL5351SJ UNF 2015")</f>
        <v>20ft Sea Ark FL5351SJ UNF 2015</v>
      </c>
      <c r="M677" t="str">
        <f ca="1">IFERROR(__xludf.DUMMYFUNCTION("""COMPUTED_VALUE"""),"Ford F250 2017 (Moby Dix) - DEP0021578")</f>
        <v>Ford F250 2017 (Moby Dix) - DEP0021578</v>
      </c>
      <c r="N677" t="str">
        <f ca="1">IFERROR(__xludf.DUMMYFUNCTION("""COMPUTED_VALUE"""),"Silas Tanner, (904) 483-8423, Remo Mondazzi ")</f>
        <v xml:space="preserve">Silas Tanner, (904) 483-8423, Remo Mondazzi </v>
      </c>
      <c r="O677" t="str">
        <f ca="1">IFERROR(__xludf.DUMMYFUNCTION("""COMPUTED_VALUE"""),"Kayla Hughes")</f>
        <v>Kayla Hughes</v>
      </c>
      <c r="P677" t="str">
        <f ca="1">IFERROR(__xludf.DUMMYFUNCTION("""COMPUTED_VALUE"""),"S Tanner")</f>
        <v>S Tanner</v>
      </c>
      <c r="Q677" t="str">
        <f ca="1">IFERROR(__xludf.DUMMYFUNCTION("""COMPUTED_VALUE"""),"All items in working order")</f>
        <v>All items in working order</v>
      </c>
      <c r="AE677" s="11"/>
      <c r="AF677" t="str">
        <v>Shannon.Dunnigan@floridadep.gov</v>
      </c>
      <c r="AG677" s="18"/>
    </row>
    <row r="678" spans="1:33" ht="12.75">
      <c r="A678" s="10">
        <f ca="1">IFERROR(__xludf.DUMMYFUNCTION("""COMPUTED_VALUE"""),44354.3459795949)</f>
        <v>44354.345979594902</v>
      </c>
      <c r="B678" s="11" t="str">
        <f ca="1">IFERROR(__xludf.DUMMYFUNCTION("""COMPUTED_VALUE"""),"Pamela Marcum")</f>
        <v>Pamela Marcum</v>
      </c>
      <c r="C678" t="str">
        <f ca="1">IFERROR(__xludf.DUMMYFUNCTION("""COMPUTED_VALUE"""),"pamela.marcum@floridadep.gov")</f>
        <v>pamela.marcum@floridadep.gov</v>
      </c>
      <c r="D678" t="str">
        <f ca="1">IFERROR(__xludf.DUMMYFUNCTION("""COMPUTED_VALUE"""),"Silas Tanner")</f>
        <v>Silas Tanner</v>
      </c>
      <c r="E678" t="str">
        <f ca="1">IFERROR(__xludf.DUMMYFUNCTION("""COMPUTED_VALUE"""),"Guana dam")</f>
        <v>Guana dam</v>
      </c>
      <c r="F678" s="13">
        <f ca="1">IFERROR(__xludf.DUMMYFUNCTION("""COMPUTED_VALUE"""),0.34375)</f>
        <v>0.34375</v>
      </c>
      <c r="G678" s="14">
        <f ca="1">IFERROR(__xludf.DUMMYFUNCTION("""COMPUTED_VALUE"""),44354)</f>
        <v>44354</v>
      </c>
      <c r="H678" t="str">
        <f ca="1">IFERROR(__xludf.DUMMYFUNCTION("""COMPUTED_VALUE"""),"Guana River")</f>
        <v>Guana River</v>
      </c>
      <c r="I678" s="15">
        <f ca="1">IFERROR(__xludf.DUMMYFUNCTION("""COMPUTED_VALUE"""),0.39583333333212)</f>
        <v>0.39583333333212001</v>
      </c>
      <c r="J678" s="16">
        <f ca="1">IFERROR(__xludf.DUMMYFUNCTION("""COMPUTED_VALUE"""),44354.3958333333)</f>
        <v>44354.395833333299</v>
      </c>
      <c r="K678" t="str">
        <f ca="1">IFERROR(__xludf.DUMMYFUNCTION("""COMPUTED_VALUE"""),"Jon Boat 1 FL5992RR DEP154045")</f>
        <v>Jon Boat 1 FL5992RR DEP154045</v>
      </c>
      <c r="M678" t="str">
        <f ca="1">IFERROR(__xludf.DUMMYFUNCTION("""COMPUTED_VALUE"""),"Ford F150 2015 (White) - DEP21448")</f>
        <v>Ford F150 2015 (White) - DEP21448</v>
      </c>
      <c r="N678" t="str">
        <f ca="1">IFERROR(__xludf.DUMMYFUNCTION("""COMPUTED_VALUE"""),"Nikki Dix, (352) 219-4079, Pam Marcum, (480) 332-5414")</f>
        <v>Nikki Dix, (352) 219-4079, Pam Marcum, (480) 332-5414</v>
      </c>
      <c r="O678" t="str">
        <f ca="1">IFERROR(__xludf.DUMMYFUNCTION("""COMPUTED_VALUE"""),"Olivia Roorbach")</f>
        <v>Olivia Roorbach</v>
      </c>
      <c r="P678" t="str">
        <f ca="1">IFERROR(__xludf.DUMMYFUNCTION("""COMPUTED_VALUE"""),"Pam")</f>
        <v>Pam</v>
      </c>
      <c r="Q678" t="str">
        <f ca="1">IFERROR(__xludf.DUMMYFUNCTION("""COMPUTED_VALUE"""),"All items in working order")</f>
        <v>All items in working order</v>
      </c>
      <c r="AE678" s="11"/>
      <c r="AF678" t="str">
        <v>Silas.Tanner@floridadep.gov</v>
      </c>
      <c r="AG678" s="18"/>
    </row>
    <row r="679" spans="1:33" ht="12.75">
      <c r="A679" s="10">
        <f ca="1">IFERROR(__xludf.DUMMYFUNCTION("""COMPUTED_VALUE"""),44355.2707065972)</f>
        <v>44355.270706597199</v>
      </c>
      <c r="B679" s="11" t="str">
        <f ca="1">IFERROR(__xludf.DUMMYFUNCTION("""COMPUTED_VALUE"""),"Pamela Marcum")</f>
        <v>Pamela Marcum</v>
      </c>
      <c r="C679" t="str">
        <f ca="1">IFERROR(__xludf.DUMMYFUNCTION("""COMPUTED_VALUE"""),"pamela.marcum@floridadep.gov")</f>
        <v>pamela.marcum@floridadep.gov</v>
      </c>
      <c r="D679" t="str">
        <f ca="1">IFERROR(__xludf.DUMMYFUNCTION("""COMPUTED_VALUE"""),"Nikki Dix")</f>
        <v>Nikki Dix</v>
      </c>
      <c r="E679" t="str">
        <f ca="1">IFERROR(__xludf.DUMMYFUNCTION("""COMPUTED_VALUE"""),"Faver-Dykes")</f>
        <v>Faver-Dykes</v>
      </c>
      <c r="F679" s="13">
        <f ca="1">IFERROR(__xludf.DUMMYFUNCTION("""COMPUTED_VALUE"""),0.27083333333212)</f>
        <v>0.27083333333212001</v>
      </c>
      <c r="G679" s="14">
        <f ca="1">IFERROR(__xludf.DUMMYFUNCTION("""COMPUTED_VALUE"""),44355)</f>
        <v>44355</v>
      </c>
      <c r="H679" t="str">
        <f ca="1">IFERROR(__xludf.DUMMYFUNCTION("""COMPUTED_VALUE"""),"Pellicer upper transect")</f>
        <v>Pellicer upper transect</v>
      </c>
      <c r="I679" s="15">
        <f ca="1">IFERROR(__xludf.DUMMYFUNCTION("""COMPUTED_VALUE"""),0.416666666667879)</f>
        <v>0.41666666666787899</v>
      </c>
      <c r="J679" s="16">
        <f ca="1">IFERROR(__xludf.DUMMYFUNCTION("""COMPUTED_VALUE"""),44355.4583333333)</f>
        <v>44355.458333333299</v>
      </c>
      <c r="K679" t="str">
        <f ca="1">IFERROR(__xludf.DUMMYFUNCTION("""COMPUTED_VALUE"""),"20ft Sea Ark FL5351SJ UNF 2015")</f>
        <v>20ft Sea Ark FL5351SJ UNF 2015</v>
      </c>
      <c r="M679" t="str">
        <f ca="1">IFERROR(__xludf.DUMMYFUNCTION("""COMPUTED_VALUE"""),"Marineland AP truck")</f>
        <v>Marineland AP truck</v>
      </c>
      <c r="N679" t="str">
        <f ca="1">IFERROR(__xludf.DUMMYFUNCTION("""COMPUTED_VALUE"""),"Pam Marcum, (480) 332-5414")</f>
        <v>Pam Marcum, (480) 332-5414</v>
      </c>
      <c r="O679" t="str">
        <f ca="1">IFERROR(__xludf.DUMMYFUNCTION("""COMPUTED_VALUE"""),"Allix North")</f>
        <v>Allix North</v>
      </c>
      <c r="P679" t="str">
        <f ca="1">IFERROR(__xludf.DUMMYFUNCTION("""COMPUTED_VALUE"""),"Pam")</f>
        <v>Pam</v>
      </c>
      <c r="Q679" t="str">
        <f ca="1">IFERROR(__xludf.DUMMYFUNCTION("""COMPUTED_VALUE"""),"All items in working order")</f>
        <v>All items in working order</v>
      </c>
      <c r="AE679" s="11"/>
      <c r="AF679" t="str">
        <v>Nikki.Dix@floridadep.gov</v>
      </c>
      <c r="AG679" s="18"/>
    </row>
    <row r="680" spans="1:33" ht="12.75">
      <c r="A680" s="10">
        <f ca="1">IFERROR(__xludf.DUMMYFUNCTION("""COMPUTED_VALUE"""),44355.3130798032)</f>
        <v>44355.3130798032</v>
      </c>
      <c r="B680" s="11" t="str">
        <f ca="1">IFERROR(__xludf.DUMMYFUNCTION("""COMPUTED_VALUE"""),"Alexandria Knoell")</f>
        <v>Alexandria Knoell</v>
      </c>
      <c r="C680" t="str">
        <f ca="1">IFERROR(__xludf.DUMMYFUNCTION("""COMPUTED_VALUE"""),"aknoell@hotmail.com")</f>
        <v>aknoell@hotmail.com</v>
      </c>
      <c r="D680" t="str">
        <f ca="1">IFERROR(__xludf.DUMMYFUNCTION("""COMPUTED_VALUE"""),"Nikki Dix")</f>
        <v>Nikki Dix</v>
      </c>
      <c r="E680" t="str">
        <f ca="1">IFERROR(__xludf.DUMMYFUNCTION("""COMPUTED_VALUE"""),"Vilano")</f>
        <v>Vilano</v>
      </c>
      <c r="F680" s="13">
        <f ca="1">IFERROR(__xludf.DUMMYFUNCTION("""COMPUTED_VALUE"""),0.322916666667879)</f>
        <v>0.32291666666787899</v>
      </c>
      <c r="G680" s="14">
        <f ca="1">IFERROR(__xludf.DUMMYFUNCTION("""COMPUTED_VALUE"""),44355)</f>
        <v>44355</v>
      </c>
      <c r="H680" t="str">
        <f ca="1">IFERROR(__xludf.DUMMYFUNCTION("""COMPUTED_VALUE"""),"SWMP stations ")</f>
        <v xml:space="preserve">SWMP stations </v>
      </c>
      <c r="I680" s="15">
        <f ca="1">IFERROR(__xludf.DUMMYFUNCTION("""COMPUTED_VALUE"""),0.541666666667879)</f>
        <v>0.54166666666787899</v>
      </c>
      <c r="J680" s="16">
        <f ca="1">IFERROR(__xludf.DUMMYFUNCTION("""COMPUTED_VALUE"""),44355.5729166666)</f>
        <v>44355.572916666599</v>
      </c>
      <c r="K680" t="str">
        <f ca="1">IFERROR(__xludf.DUMMYFUNCTION("""COMPUTED_VALUE"""),"23ft Skiff (Bertha) FL7972LJ DEP07613")</f>
        <v>23ft Skiff (Bertha) FL7972LJ DEP07613</v>
      </c>
      <c r="M680" t="str">
        <f ca="1">IFERROR(__xludf.DUMMYFUNCTION("""COMPUTED_VALUE"""),"Ford F150 2015 (White) - DEP21448")</f>
        <v>Ford F150 2015 (White) - DEP21448</v>
      </c>
      <c r="N680" t="str">
        <f ca="1">IFERROR(__xludf.DUMMYFUNCTION("""COMPUTED_VALUE"""),"Silas Tanner, (904) 483-8423")</f>
        <v>Silas Tanner, (904) 483-8423</v>
      </c>
      <c r="O680" t="str">
        <f ca="1">IFERROR(__xludf.DUMMYFUNCTION("""COMPUTED_VALUE"""),"Alee Knoell, (619) 750-4833, Ashley R")</f>
        <v>Alee Knoell, (619) 750-4833, Ashley R</v>
      </c>
      <c r="P680" t="str">
        <f ca="1">IFERROR(__xludf.DUMMYFUNCTION("""COMPUTED_VALUE"""),"Silas tanner ")</f>
        <v xml:space="preserve">Silas tanner </v>
      </c>
      <c r="Q680" t="str">
        <f ca="1">IFERROR(__xludf.DUMMYFUNCTION("""COMPUTED_VALUE"""),"All items in working order")</f>
        <v>All items in working order</v>
      </c>
      <c r="AE680" s="11"/>
      <c r="AF680" t="str">
        <v>Nikki.Dix@floridadep.gov</v>
      </c>
      <c r="AG680" s="18"/>
    </row>
    <row r="681" spans="1:33" ht="12.75">
      <c r="A681" s="10">
        <f ca="1">IFERROR(__xludf.DUMMYFUNCTION("""COMPUTED_VALUE"""),44356.2596123495)</f>
        <v>44356.259612349502</v>
      </c>
      <c r="B681" s="11" t="str">
        <f ca="1">IFERROR(__xludf.DUMMYFUNCTION("""COMPUTED_VALUE"""),"Pam Marcum")</f>
        <v>Pam Marcum</v>
      </c>
      <c r="C681" t="str">
        <f ca="1">IFERROR(__xludf.DUMMYFUNCTION("""COMPUTED_VALUE"""),"pamela.marcum@floridadep.gov")</f>
        <v>pamela.marcum@floridadep.gov</v>
      </c>
      <c r="D681" t="str">
        <f ca="1">IFERROR(__xludf.DUMMYFUNCTION("""COMPUTED_VALUE"""),"Nikki Dix")</f>
        <v>Nikki Dix</v>
      </c>
      <c r="E681" t="str">
        <f ca="1">IFERROR(__xludf.DUMMYFUNCTION("""COMPUTED_VALUE"""),"Faver-Dykes")</f>
        <v>Faver-Dykes</v>
      </c>
      <c r="F681" s="13">
        <f ca="1">IFERROR(__xludf.DUMMYFUNCTION("""COMPUTED_VALUE"""),0.260416666667879)</f>
        <v>0.26041666666787899</v>
      </c>
      <c r="G681" s="14">
        <f ca="1">IFERROR(__xludf.DUMMYFUNCTION("""COMPUTED_VALUE"""),44356)</f>
        <v>44356</v>
      </c>
      <c r="H681" t="str">
        <f ca="1">IFERROR(__xludf.DUMMYFUNCTION("""COMPUTED_VALUE"""),"Middle Pellicer Creek")</f>
        <v>Middle Pellicer Creek</v>
      </c>
      <c r="I681" s="15">
        <f ca="1">IFERROR(__xludf.DUMMYFUNCTION("""COMPUTED_VALUE"""),0.375)</f>
        <v>0.375</v>
      </c>
      <c r="J681" s="16">
        <f ca="1">IFERROR(__xludf.DUMMYFUNCTION("""COMPUTED_VALUE"""),44356.3958333333)</f>
        <v>44356.395833333299</v>
      </c>
      <c r="K681" t="str">
        <f ca="1">IFERROR(__xludf.DUMMYFUNCTION("""COMPUTED_VALUE"""),"20ft Sea Ark FL5351SJ UNF 2015")</f>
        <v>20ft Sea Ark FL5351SJ UNF 2015</v>
      </c>
      <c r="M681" t="str">
        <f ca="1">IFERROR(__xludf.DUMMYFUNCTION("""COMPUTED_VALUE"""),"Marineland AP truck")</f>
        <v>Marineland AP truck</v>
      </c>
      <c r="N681" t="str">
        <f ca="1">IFERROR(__xludf.DUMMYFUNCTION("""COMPUTED_VALUE"""),"Pam Marcum, (480) 332-5414")</f>
        <v>Pam Marcum, (480) 332-5414</v>
      </c>
      <c r="O681" t="str">
        <f ca="1">IFERROR(__xludf.DUMMYFUNCTION("""COMPUTED_VALUE"""),"Allix North")</f>
        <v>Allix North</v>
      </c>
      <c r="P681" t="str">
        <f ca="1">IFERROR(__xludf.DUMMYFUNCTION("""COMPUTED_VALUE"""),"Pam")</f>
        <v>Pam</v>
      </c>
      <c r="Q681" t="str">
        <f ca="1">IFERROR(__xludf.DUMMYFUNCTION("""COMPUTED_VALUE"""),"All items in working order")</f>
        <v>All items in working order</v>
      </c>
      <c r="AE681" s="11"/>
      <c r="AF681" t="str">
        <v>Nikki.Dix@floridadep.gov</v>
      </c>
      <c r="AG681" s="18"/>
    </row>
    <row r="682" spans="1:33" ht="12.75">
      <c r="A682" s="10">
        <f ca="1">IFERROR(__xludf.DUMMYFUNCTION("""COMPUTED_VALUE"""),44357.2845134722)</f>
        <v>44357.284513472201</v>
      </c>
      <c r="B682" s="11" t="str">
        <f ca="1">IFERROR(__xludf.DUMMYFUNCTION("""COMPUTED_VALUE"""),"Pam Marcum")</f>
        <v>Pam Marcum</v>
      </c>
      <c r="C682" t="str">
        <f ca="1">IFERROR(__xludf.DUMMYFUNCTION("""COMPUTED_VALUE"""),"pamela.marcum@floridadep.gov")</f>
        <v>pamela.marcum@floridadep.gov</v>
      </c>
      <c r="D682" t="str">
        <f ca="1">IFERROR(__xludf.DUMMYFUNCTION("""COMPUTED_VALUE"""),"Nikki Dix")</f>
        <v>Nikki Dix</v>
      </c>
      <c r="E682" t="str">
        <f ca="1">IFERROR(__xludf.DUMMYFUNCTION("""COMPUTED_VALUE"""),"Faver-Dykes")</f>
        <v>Faver-Dykes</v>
      </c>
      <c r="F682" s="13">
        <f ca="1">IFERROR(__xludf.DUMMYFUNCTION("""COMPUTED_VALUE"""),0.28125)</f>
        <v>0.28125</v>
      </c>
      <c r="G682" s="14">
        <f ca="1">IFERROR(__xludf.DUMMYFUNCTION("""COMPUTED_VALUE"""),44357)</f>
        <v>44357</v>
      </c>
      <c r="H682" t="str">
        <f ca="1">IFERROR(__xludf.DUMMYFUNCTION("""COMPUTED_VALUE"""),"Lower pellicer creek")</f>
        <v>Lower pellicer creek</v>
      </c>
      <c r="I682" s="15">
        <f ca="1">IFERROR(__xludf.DUMMYFUNCTION("""COMPUTED_VALUE"""),0.375)</f>
        <v>0.375</v>
      </c>
      <c r="J682" s="16">
        <f ca="1">IFERROR(__xludf.DUMMYFUNCTION("""COMPUTED_VALUE"""),44357.3958333333)</f>
        <v>44357.395833333299</v>
      </c>
      <c r="K682" t="str">
        <f ca="1">IFERROR(__xludf.DUMMYFUNCTION("""COMPUTED_VALUE"""),"20ft Sea Ark FL5351SJ UNF 2015")</f>
        <v>20ft Sea Ark FL5351SJ UNF 2015</v>
      </c>
      <c r="M682" t="str">
        <f ca="1">IFERROR(__xludf.DUMMYFUNCTION("""COMPUTED_VALUE"""),"ML AP F150")</f>
        <v>ML AP F150</v>
      </c>
      <c r="N682" t="str">
        <f ca="1">IFERROR(__xludf.DUMMYFUNCTION("""COMPUTED_VALUE"""),"Pam Marcum, (480) 332-5414")</f>
        <v>Pam Marcum, (480) 332-5414</v>
      </c>
      <c r="O682" t="str">
        <f ca="1">IFERROR(__xludf.DUMMYFUNCTION("""COMPUTED_VALUE"""),"Allix North")</f>
        <v>Allix North</v>
      </c>
      <c r="P682" t="str">
        <f ca="1">IFERROR(__xludf.DUMMYFUNCTION("""COMPUTED_VALUE"""),"Pam")</f>
        <v>Pam</v>
      </c>
      <c r="Q682" t="str">
        <f ca="1">IFERROR(__xludf.DUMMYFUNCTION("""COMPUTED_VALUE"""),"All items in working order")</f>
        <v>All items in working order</v>
      </c>
      <c r="AE682" s="11"/>
      <c r="AF682" t="str">
        <v>Nikki.Dix@floridadep.gov</v>
      </c>
      <c r="AG682" s="18"/>
    </row>
    <row r="683" spans="1:33" ht="12.75">
      <c r="A683" s="10">
        <f ca="1">IFERROR(__xludf.DUMMYFUNCTION("""COMPUTED_VALUE"""),44361.3578292476)</f>
        <v>44361.357829247601</v>
      </c>
      <c r="B683" s="11" t="str">
        <f ca="1">IFERROR(__xludf.DUMMYFUNCTION("""COMPUTED_VALUE"""),"Alexandria Knoell")</f>
        <v>Alexandria Knoell</v>
      </c>
      <c r="C683" t="str">
        <f ca="1">IFERROR(__xludf.DUMMYFUNCTION("""COMPUTED_VALUE"""),"aknoell@floridadep.gov")</f>
        <v>aknoell@floridadep.gov</v>
      </c>
      <c r="D683" t="str">
        <f ca="1">IFERROR(__xludf.DUMMYFUNCTION("""COMPUTED_VALUE"""),"Silas Tanner")</f>
        <v>Silas Tanner</v>
      </c>
      <c r="E683" t="str">
        <f ca="1">IFERROR(__xludf.DUMMYFUNCTION("""COMPUTED_VALUE"""),"Faver dykes")</f>
        <v>Faver dykes</v>
      </c>
      <c r="F683" s="13">
        <f ca="1">IFERROR(__xludf.DUMMYFUNCTION("""COMPUTED_VALUE"""),0.354166666667879)</f>
        <v>0.35416666666787899</v>
      </c>
      <c r="G683" s="14">
        <f ca="1">IFERROR(__xludf.DUMMYFUNCTION("""COMPUTED_VALUE"""),44361)</f>
        <v>44361</v>
      </c>
      <c r="H683" t="str">
        <f ca="1">IFERROR(__xludf.DUMMYFUNCTION("""COMPUTED_VALUE"""),"Ssam 1 transects")</f>
        <v>Ssam 1 transects</v>
      </c>
      <c r="I683" s="15">
        <f ca="1">IFERROR(__xludf.DUMMYFUNCTION("""COMPUTED_VALUE"""),0.5)</f>
        <v>0.5</v>
      </c>
      <c r="J683" s="16">
        <f ca="1">IFERROR(__xludf.DUMMYFUNCTION("""COMPUTED_VALUE"""),44361.5625)</f>
        <v>44361.5625</v>
      </c>
      <c r="K683" t="str">
        <f ca="1">IFERROR(__xludf.DUMMYFUNCTION("""COMPUTED_VALUE"""),"20ft Sea Ark FL5351SJ UNF 2015")</f>
        <v>20ft Sea Ark FL5351SJ UNF 2015</v>
      </c>
      <c r="M683" t="str">
        <f ca="1">IFERROR(__xludf.DUMMYFUNCTION("""COMPUTED_VALUE"""),"Ford F150 2015 (White) - DEP21448")</f>
        <v>Ford F150 2015 (White) - DEP21448</v>
      </c>
      <c r="N683" t="str">
        <f ca="1">IFERROR(__xludf.DUMMYFUNCTION("""COMPUTED_VALUE"""),"Pam Marcum, (480) 332-5414")</f>
        <v>Pam Marcum, (480) 332-5414</v>
      </c>
      <c r="O683" t="str">
        <f ca="1">IFERROR(__xludf.DUMMYFUNCTION("""COMPUTED_VALUE"""),"Alee Knoell, (619) 750-4833, Molly, Olivia")</f>
        <v>Alee Knoell, (619) 750-4833, Molly, Olivia</v>
      </c>
      <c r="P683" t="str">
        <f ca="1">IFERROR(__xludf.DUMMYFUNCTION("""COMPUTED_VALUE"""),"Pam")</f>
        <v>Pam</v>
      </c>
      <c r="Q683" t="str">
        <f ca="1">IFERROR(__xludf.DUMMYFUNCTION("""COMPUTED_VALUE"""),"All items in working order")</f>
        <v>All items in working order</v>
      </c>
      <c r="AE683" s="11"/>
      <c r="AF683" t="str">
        <v>Silas.Tanner@floridadep.gov</v>
      </c>
      <c r="AG683" s="18"/>
    </row>
    <row r="684" spans="1:33" ht="12.75">
      <c r="A684" s="10">
        <f ca="1">IFERROR(__xludf.DUMMYFUNCTION("""COMPUTED_VALUE"""),44362.3322087152)</f>
        <v>44362.332208715197</v>
      </c>
      <c r="B684" s="11" t="str">
        <f ca="1">IFERROR(__xludf.DUMMYFUNCTION("""COMPUTED_VALUE"""),"Pam Marcum")</f>
        <v>Pam Marcum</v>
      </c>
      <c r="C684" t="str">
        <f ca="1">IFERROR(__xludf.DUMMYFUNCTION("""COMPUTED_VALUE"""),"Pamela.Marcum@FloridaDEP.gov")</f>
        <v>Pamela.Marcum@FloridaDEP.gov</v>
      </c>
      <c r="D684" t="str">
        <f ca="1">IFERROR(__xludf.DUMMYFUNCTION("""COMPUTED_VALUE"""),"Silas Tanner")</f>
        <v>Silas Tanner</v>
      </c>
      <c r="E684" t="str">
        <f ca="1">IFERROR(__xludf.DUMMYFUNCTION("""COMPUTED_VALUE"""),"Faver-Dykes")</f>
        <v>Faver-Dykes</v>
      </c>
      <c r="F684" s="13">
        <f ca="1">IFERROR(__xludf.DUMMYFUNCTION("""COMPUTED_VALUE"""),0.375)</f>
        <v>0.375</v>
      </c>
      <c r="G684" s="14">
        <f ca="1">IFERROR(__xludf.DUMMYFUNCTION("""COMPUTED_VALUE"""),44362)</f>
        <v>44362</v>
      </c>
      <c r="H684" t="str">
        <f ca="1">IFERROR(__xludf.DUMMYFUNCTION("""COMPUTED_VALUE"""),"Upper Pellicer Creek")</f>
        <v>Upper Pellicer Creek</v>
      </c>
      <c r="I684" s="15">
        <f ca="1">IFERROR(__xludf.DUMMYFUNCTION("""COMPUTED_VALUE"""),0)</f>
        <v>0</v>
      </c>
      <c r="J684" s="16">
        <f ca="1">IFERROR(__xludf.DUMMYFUNCTION("""COMPUTED_VALUE"""),44362.5625)</f>
        <v>44362.5625</v>
      </c>
      <c r="K684" t="str">
        <f ca="1">IFERROR(__xludf.DUMMYFUNCTION("""COMPUTED_VALUE"""),"20ft Sea Ark FL5351SJ UNF 2015")</f>
        <v>20ft Sea Ark FL5351SJ UNF 2015</v>
      </c>
      <c r="M684" t="str">
        <f ca="1">IFERROR(__xludf.DUMMYFUNCTION("""COMPUTED_VALUE"""),"Ford F150 2015 (White) - DEP21448")</f>
        <v>Ford F150 2015 (White) - DEP21448</v>
      </c>
      <c r="N684" t="str">
        <f ca="1">IFERROR(__xludf.DUMMYFUNCTION("""COMPUTED_VALUE"""),"Pam Marcum, (480) 332-5414")</f>
        <v>Pam Marcum, (480) 332-5414</v>
      </c>
      <c r="O684" t="str">
        <f ca="1">IFERROR(__xludf.DUMMYFUNCTION("""COMPUTED_VALUE"""),"Alee Knoell, (619) 750-4833, Olivia Roorbach, Connor Kelly")</f>
        <v>Alee Knoell, (619) 750-4833, Olivia Roorbach, Connor Kelly</v>
      </c>
      <c r="P684" t="str">
        <f ca="1">IFERROR(__xludf.DUMMYFUNCTION("""COMPUTED_VALUE"""),"Pam")</f>
        <v>Pam</v>
      </c>
      <c r="Q684" t="str">
        <f ca="1">IFERROR(__xludf.DUMMYFUNCTION("""COMPUTED_VALUE"""),"All items in working order")</f>
        <v>All items in working order</v>
      </c>
      <c r="AE684" s="11"/>
      <c r="AF684" t="str">
        <v>Silas.Tanner@floridadep.gov</v>
      </c>
      <c r="AG684" s="18"/>
    </row>
    <row r="685" spans="1:33" ht="12.75">
      <c r="A685" s="10">
        <f ca="1">IFERROR(__xludf.DUMMYFUNCTION("""COMPUTED_VALUE"""),44363.2991996527)</f>
        <v>44363.299199652698</v>
      </c>
      <c r="B685" s="11" t="str">
        <f ca="1">IFERROR(__xludf.DUMMYFUNCTION("""COMPUTED_VALUE"""),"Silas Tanner")</f>
        <v>Silas Tanner</v>
      </c>
      <c r="C685" t="str">
        <f ca="1">IFERROR(__xludf.DUMMYFUNCTION("""COMPUTED_VALUE"""),"silas.tanner@floridadep.gov")</f>
        <v>silas.tanner@floridadep.gov</v>
      </c>
      <c r="D685" t="str">
        <f ca="1">IFERROR(__xludf.DUMMYFUNCTION("""COMPUTED_VALUE"""),"Pam Marcum")</f>
        <v>Pam Marcum</v>
      </c>
      <c r="E685" t="str">
        <f ca="1">IFERROR(__xludf.DUMMYFUNCTION("""COMPUTED_VALUE"""),"Vilano")</f>
        <v>Vilano</v>
      </c>
      <c r="F685" s="13">
        <f ca="1">IFERROR(__xludf.DUMMYFUNCTION("""COMPUTED_VALUE"""),0.3125)</f>
        <v>0.3125</v>
      </c>
      <c r="G685" s="14">
        <f ca="1">IFERROR(__xludf.DUMMYFUNCTION("""COMPUTED_VALUE"""),44363)</f>
        <v>44363</v>
      </c>
      <c r="H685" t="str">
        <f ca="1">IFERROR(__xludf.DUMMYFUNCTION("""COMPUTED_VALUE"""),"ICW SWMP Sites")</f>
        <v>ICW SWMP Sites</v>
      </c>
      <c r="I685" s="15">
        <f ca="1">IFERROR(__xludf.DUMMYFUNCTION("""COMPUTED_VALUE"""),0.572916666667879)</f>
        <v>0.57291666666787899</v>
      </c>
      <c r="J685" s="16">
        <f ca="1">IFERROR(__xludf.DUMMYFUNCTION("""COMPUTED_VALUE"""),44363.6666666666)</f>
        <v>44363.666666666599</v>
      </c>
      <c r="K685" t="str">
        <f ca="1">IFERROR(__xludf.DUMMYFUNCTION("""COMPUTED_VALUE"""),"20ft Sea Ark FL5351SJ UNF 2015")</f>
        <v>20ft Sea Ark FL5351SJ UNF 2015</v>
      </c>
      <c r="M685" t="str">
        <f ca="1">IFERROR(__xludf.DUMMYFUNCTION("""COMPUTED_VALUE"""),"Ford F150 2015 (White) - DEP21448")</f>
        <v>Ford F150 2015 (White) - DEP21448</v>
      </c>
      <c r="N685" t="str">
        <f ca="1">IFERROR(__xludf.DUMMYFUNCTION("""COMPUTED_VALUE"""),"Silas Tanner, (904) 483-8423")</f>
        <v>Silas Tanner, (904) 483-8423</v>
      </c>
      <c r="O685" t="str">
        <f ca="1">IFERROR(__xludf.DUMMYFUNCTION("""COMPUTED_VALUE"""),"Kayla Hughes")</f>
        <v>Kayla Hughes</v>
      </c>
      <c r="P685" t="str">
        <f ca="1">IFERROR(__xludf.DUMMYFUNCTION("""COMPUTED_VALUE"""),"Silas Tanner")</f>
        <v>Silas Tanner</v>
      </c>
      <c r="Q685" t="str">
        <f ca="1">IFERROR(__xludf.DUMMYFUNCTION("""COMPUTED_VALUE"""),"All items in working order")</f>
        <v>All items in working order</v>
      </c>
      <c r="AE685" s="11"/>
      <c r="AF685" t="str">
        <v>Pamela.Marcum@floridadep.gov</v>
      </c>
      <c r="AG685" s="18"/>
    </row>
    <row r="686" spans="1:33" ht="12.75">
      <c r="A686" s="10">
        <f ca="1">IFERROR(__xludf.DUMMYFUNCTION("""COMPUTED_VALUE"""),44365.2703520023)</f>
        <v>44365.270352002299</v>
      </c>
      <c r="B686" s="11" t="str">
        <f ca="1">IFERROR(__xludf.DUMMYFUNCTION("""COMPUTED_VALUE"""),"Pamela Marcum")</f>
        <v>Pamela Marcum</v>
      </c>
      <c r="C686" t="str">
        <f ca="1">IFERROR(__xludf.DUMMYFUNCTION("""COMPUTED_VALUE"""),"Pamela.Marcum@FloridaDEP.gov")</f>
        <v>Pamela.Marcum@FloridaDEP.gov</v>
      </c>
      <c r="D686" t="str">
        <f ca="1">IFERROR(__xludf.DUMMYFUNCTION("""COMPUTED_VALUE"""),"Katie Petrinec")</f>
        <v>Katie Petrinec</v>
      </c>
      <c r="E686" t="str">
        <f ca="1">IFERROR(__xludf.DUMMYFUNCTION("""COMPUTED_VALUE"""),"Faver-Dykes")</f>
        <v>Faver-Dykes</v>
      </c>
      <c r="F686" s="13">
        <f ca="1">IFERROR(__xludf.DUMMYFUNCTION("""COMPUTED_VALUE"""),0.3125)</f>
        <v>0.3125</v>
      </c>
      <c r="G686" s="14">
        <f ca="1">IFERROR(__xludf.DUMMYFUNCTION("""COMPUTED_VALUE"""),44365)</f>
        <v>44365</v>
      </c>
      <c r="H686" t="str">
        <f ca="1">IFERROR(__xludf.DUMMYFUNCTION("""COMPUTED_VALUE"""),"Pellicer Creek")</f>
        <v>Pellicer Creek</v>
      </c>
      <c r="I686" s="15">
        <f ca="1">IFERROR(__xludf.DUMMYFUNCTION("""COMPUTED_VALUE"""),0.625)</f>
        <v>0.625</v>
      </c>
      <c r="J686" s="16">
        <f ca="1">IFERROR(__xludf.DUMMYFUNCTION("""COMPUTED_VALUE"""),44365.6666666666)</f>
        <v>44365.666666666599</v>
      </c>
      <c r="K686" t="str">
        <f ca="1">IFERROR(__xludf.DUMMYFUNCTION("""COMPUTED_VALUE"""),"20ft Sea Ark FL5351SJ UNF 2015")</f>
        <v>20ft Sea Ark FL5351SJ UNF 2015</v>
      </c>
      <c r="M686" t="str">
        <f ca="1">IFERROR(__xludf.DUMMYFUNCTION("""COMPUTED_VALUE"""),"Ford F150 2015 (White) - DEP21448")</f>
        <v>Ford F150 2015 (White) - DEP21448</v>
      </c>
      <c r="N686" t="str">
        <f ca="1">IFERROR(__xludf.DUMMYFUNCTION("""COMPUTED_VALUE"""),"Pam Marcum, (480) 332-5414")</f>
        <v>Pam Marcum, (480) 332-5414</v>
      </c>
      <c r="O686" t="str">
        <f ca="1">IFERROR(__xludf.DUMMYFUNCTION("""COMPUTED_VALUE"""),"Alee Knoell, (619) 750-4833, Olivia Roorbach")</f>
        <v>Alee Knoell, (619) 750-4833, Olivia Roorbach</v>
      </c>
      <c r="P686" t="str">
        <f ca="1">IFERROR(__xludf.DUMMYFUNCTION("""COMPUTED_VALUE"""),"Pam")</f>
        <v>Pam</v>
      </c>
      <c r="Q686" t="str">
        <f ca="1">IFERROR(__xludf.DUMMYFUNCTION("""COMPUTED_VALUE"""),"All items in working order")</f>
        <v>All items in working order</v>
      </c>
      <c r="AE686" s="11"/>
      <c r="AF686" t="str">
        <v>Katherine.Petrinec@floridadep.gov</v>
      </c>
      <c r="AG686" s="18"/>
    </row>
    <row r="687" spans="1:33" ht="12.75">
      <c r="A687" s="10">
        <f ca="1">IFERROR(__xludf.DUMMYFUNCTION("""COMPUTED_VALUE"""),44375.3637062384)</f>
        <v>44375.3637062384</v>
      </c>
      <c r="B687" s="11" t="str">
        <f ca="1">IFERROR(__xludf.DUMMYFUNCTION("""COMPUTED_VALUE"""),"Alexandria Knoell")</f>
        <v>Alexandria Knoell</v>
      </c>
      <c r="C687" t="str">
        <f ca="1">IFERROR(__xludf.DUMMYFUNCTION("""COMPUTED_VALUE"""),"alee.knoell@floridadep.gov")</f>
        <v>alee.knoell@floridadep.gov</v>
      </c>
      <c r="D687" t="str">
        <f ca="1">IFERROR(__xludf.DUMMYFUNCTION("""COMPUTED_VALUE"""),"Nikki Dix")</f>
        <v>Nikki Dix</v>
      </c>
      <c r="E687" t="str">
        <f ca="1">IFERROR(__xludf.DUMMYFUNCTION("""COMPUTED_VALUE"""),"Aunt kates")</f>
        <v>Aunt kates</v>
      </c>
      <c r="F687" s="13">
        <f ca="1">IFERROR(__xludf.DUMMYFUNCTION("""COMPUTED_VALUE"""),0.375)</f>
        <v>0.375</v>
      </c>
      <c r="G687" s="14">
        <f ca="1">IFERROR(__xludf.DUMMYFUNCTION("""COMPUTED_VALUE"""),44375)</f>
        <v>44375</v>
      </c>
      <c r="H687" t="str">
        <f ca="1">IFERROR(__xludf.DUMMYFUNCTION("""COMPUTED_VALUE"""),"Training")</f>
        <v>Training</v>
      </c>
      <c r="I687" s="15">
        <f ca="1">IFERROR(__xludf.DUMMYFUNCTION("""COMPUTED_VALUE"""),0.48958333333212)</f>
        <v>0.48958333333212001</v>
      </c>
      <c r="J687" s="16">
        <f ca="1">IFERROR(__xludf.DUMMYFUNCTION("""COMPUTED_VALUE"""),44375.5)</f>
        <v>44375.5</v>
      </c>
      <c r="K687" t="str">
        <f ca="1">IFERROR(__xludf.DUMMYFUNCTION("""COMPUTED_VALUE"""),"20ft Sea Ark FL5351SJ UNF 2015")</f>
        <v>20ft Sea Ark FL5351SJ UNF 2015</v>
      </c>
      <c r="M687" t="str">
        <f ca="1">IFERROR(__xludf.DUMMYFUNCTION("""COMPUTED_VALUE"""),"Ford F150 2015 (White) - DEP21448")</f>
        <v>Ford F150 2015 (White) - DEP21448</v>
      </c>
      <c r="N687" t="str">
        <f ca="1">IFERROR(__xludf.DUMMYFUNCTION("""COMPUTED_VALUE"""),"Pam Marcum, (480) 332-5414")</f>
        <v>Pam Marcum, (480) 332-5414</v>
      </c>
      <c r="O687" t="str">
        <f ca="1">IFERROR(__xludf.DUMMYFUNCTION("""COMPUTED_VALUE"""),"Alee Knoell, (619) 750-4833")</f>
        <v>Alee Knoell, (619) 750-4833</v>
      </c>
      <c r="P687" t="str">
        <f ca="1">IFERROR(__xludf.DUMMYFUNCTION("""COMPUTED_VALUE"""),"Pam Marcum")</f>
        <v>Pam Marcum</v>
      </c>
      <c r="Q687" t="str">
        <f ca="1">IFERROR(__xludf.DUMMYFUNCTION("""COMPUTED_VALUE"""),"All items in working order")</f>
        <v>All items in working order</v>
      </c>
      <c r="AE687" s="11"/>
      <c r="AF687" t="str">
        <v>Nikki.Dix@floridadep.gov</v>
      </c>
      <c r="AG687" s="18"/>
    </row>
    <row r="688" spans="1:33" ht="12.75">
      <c r="A688" s="10">
        <f ca="1">IFERROR(__xludf.DUMMYFUNCTION("""COMPUTED_VALUE"""),44376.4939014814)</f>
        <v>44376.493901481401</v>
      </c>
      <c r="B688" s="11" t="str">
        <f ca="1">IFERROR(__xludf.DUMMYFUNCTION("""COMPUTED_VALUE"""),"Olivia Roorbach")</f>
        <v>Olivia Roorbach</v>
      </c>
      <c r="C688" t="str">
        <f ca="1">IFERROR(__xludf.DUMMYFUNCTION("""COMPUTED_VALUE"""),"olivia.roorbach@floridadep.gov")</f>
        <v>olivia.roorbach@floridadep.gov</v>
      </c>
      <c r="D688" t="str">
        <f ca="1">IFERROR(__xludf.DUMMYFUNCTION("""COMPUTED_VALUE"""),"Nikki Dix")</f>
        <v>Nikki Dix</v>
      </c>
      <c r="E688" t="str">
        <f ca="1">IFERROR(__xludf.DUMMYFUNCTION("""COMPUTED_VALUE"""),"Guana Dam")</f>
        <v>Guana Dam</v>
      </c>
      <c r="F688" s="13">
        <f ca="1">IFERROR(__xludf.DUMMYFUNCTION("""COMPUTED_VALUE"""),0.5)</f>
        <v>0.5</v>
      </c>
      <c r="G688" s="14">
        <f ca="1">IFERROR(__xludf.DUMMYFUNCTION("""COMPUTED_VALUE"""),44376)</f>
        <v>44376</v>
      </c>
      <c r="H688" t="str">
        <f ca="1">IFERROR(__xludf.DUMMYFUNCTION("""COMPUTED_VALUE"""),"Guana River")</f>
        <v>Guana River</v>
      </c>
      <c r="I688" s="15">
        <f ca="1">IFERROR(__xludf.DUMMYFUNCTION("""COMPUTED_VALUE"""),0.58333333333212)</f>
        <v>0.58333333333212001</v>
      </c>
      <c r="J688" s="16">
        <f ca="1">IFERROR(__xludf.DUMMYFUNCTION("""COMPUTED_VALUE"""),44376.5833333333)</f>
        <v>44376.583333333299</v>
      </c>
      <c r="K688" t="str">
        <f ca="1">IFERROR(__xludf.DUMMYFUNCTION("""COMPUTED_VALUE"""),"Jon Boat 1 FL5992RR DEP154045")</f>
        <v>Jon Boat 1 FL5992RR DEP154045</v>
      </c>
      <c r="M688" t="str">
        <f ca="1">IFERROR(__xludf.DUMMYFUNCTION("""COMPUTED_VALUE"""),"Ford F150 2015 (White) - DEP21448")</f>
        <v>Ford F150 2015 (White) - DEP21448</v>
      </c>
      <c r="N688" t="str">
        <f ca="1">IFERROR(__xludf.DUMMYFUNCTION("""COMPUTED_VALUE"""),"Pam Marcum, (480) 332-5414")</f>
        <v>Pam Marcum, (480) 332-5414</v>
      </c>
      <c r="O688" t="str">
        <f ca="1">IFERROR(__xludf.DUMMYFUNCTION("""COMPUTED_VALUE"""),"Olivia Roorbach, (404) 694-2653")</f>
        <v>Olivia Roorbach, (404) 694-2653</v>
      </c>
      <c r="P688" t="str">
        <f ca="1">IFERROR(__xludf.DUMMYFUNCTION("""COMPUTED_VALUE"""),"Olivia Roorbach")</f>
        <v>Olivia Roorbach</v>
      </c>
      <c r="Q688" t="str">
        <f ca="1">IFERROR(__xludf.DUMMYFUNCTION("""COMPUTED_VALUE"""),"All items in working order")</f>
        <v>All items in working order</v>
      </c>
      <c r="AE688" s="11"/>
      <c r="AF688" t="str">
        <v>Nikki.Dix@floridadep.gov</v>
      </c>
      <c r="AG688" s="18"/>
    </row>
    <row r="689" spans="1:33" ht="12.75">
      <c r="A689" s="10">
        <f ca="1">IFERROR(__xludf.DUMMYFUNCTION("""COMPUTED_VALUE"""),44377.3609931944)</f>
        <v>44377.360993194401</v>
      </c>
      <c r="B689" s="11" t="str">
        <f ca="1">IFERROR(__xludf.DUMMYFUNCTION("""COMPUTED_VALUE"""),"Silas Tanner")</f>
        <v>Silas Tanner</v>
      </c>
      <c r="C689" t="str">
        <f ca="1">IFERROR(__xludf.DUMMYFUNCTION("""COMPUTED_VALUE"""),"silas.tanner@floridadep.gov")</f>
        <v>silas.tanner@floridadep.gov</v>
      </c>
      <c r="D689" t="str">
        <f ca="1">IFERROR(__xludf.DUMMYFUNCTION("""COMPUTED_VALUE"""),"Nikki Dix")</f>
        <v>Nikki Dix</v>
      </c>
      <c r="E689" t="str">
        <f ca="1">IFERROR(__xludf.DUMMYFUNCTION("""COMPUTED_VALUE"""),"Green Rd, Villano")</f>
        <v>Green Rd, Villano</v>
      </c>
      <c r="F689" s="13">
        <f ca="1">IFERROR(__xludf.DUMMYFUNCTION("""COMPUTED_VALUE"""),0.4375)</f>
        <v>0.4375</v>
      </c>
      <c r="G689" s="14">
        <f ca="1">IFERROR(__xludf.DUMMYFUNCTION("""COMPUTED_VALUE"""),44377)</f>
        <v>44377</v>
      </c>
      <c r="H689" t="str">
        <f ca="1">IFERROR(__xludf.DUMMYFUNCTION("""COMPUTED_VALUE"""),"ICW SWMP sites")</f>
        <v>ICW SWMP sites</v>
      </c>
      <c r="I689" s="15">
        <f ca="1">IFERROR(__xludf.DUMMYFUNCTION("""COMPUTED_VALUE"""),0.64583333333212)</f>
        <v>0.64583333333212001</v>
      </c>
      <c r="J689" s="16">
        <f ca="1">IFERROR(__xludf.DUMMYFUNCTION("""COMPUTED_VALUE"""),44377.6875)</f>
        <v>44377.6875</v>
      </c>
      <c r="K689" t="str">
        <f ca="1">IFERROR(__xludf.DUMMYFUNCTION("""COMPUTED_VALUE"""),"20ft Sea Ark FL5351SJ UNF 2015")</f>
        <v>20ft Sea Ark FL5351SJ UNF 2015</v>
      </c>
      <c r="M689" t="str">
        <f ca="1">IFERROR(__xludf.DUMMYFUNCTION("""COMPUTED_VALUE"""),"Ford F150 2015 (White) - DEP21448")</f>
        <v>Ford F150 2015 (White) - DEP21448</v>
      </c>
      <c r="N689" t="str">
        <f ca="1">IFERROR(__xludf.DUMMYFUNCTION("""COMPUTED_VALUE"""),"Silas Tanner, (904) 483-8423")</f>
        <v>Silas Tanner, (904) 483-8423</v>
      </c>
      <c r="O689" t="str">
        <f ca="1">IFERROR(__xludf.DUMMYFUNCTION("""COMPUTED_VALUE"""),"Kayla Hughes")</f>
        <v>Kayla Hughes</v>
      </c>
      <c r="P689" t="str">
        <f ca="1">IFERROR(__xludf.DUMMYFUNCTION("""COMPUTED_VALUE"""),"Silas Tanner")</f>
        <v>Silas Tanner</v>
      </c>
      <c r="Q689" t="str">
        <f ca="1">IFERROR(__xludf.DUMMYFUNCTION("""COMPUTED_VALUE"""),"All items in working order")</f>
        <v>All items in working order</v>
      </c>
      <c r="AE689" s="11"/>
      <c r="AF689" t="str">
        <v>Nikki.Dix@floridadep.gov</v>
      </c>
      <c r="AG689" s="18"/>
    </row>
    <row r="690" spans="1:33" ht="12.75">
      <c r="A690" s="10">
        <f ca="1">IFERROR(__xludf.DUMMYFUNCTION("""COMPUTED_VALUE"""),44386.4375624999)</f>
        <v>44386.437562499901</v>
      </c>
      <c r="B690" s="11" t="str">
        <f ca="1">IFERROR(__xludf.DUMMYFUNCTION("""COMPUTED_VALUE"""),"Pam Marcum")</f>
        <v>Pam Marcum</v>
      </c>
      <c r="C690" t="str">
        <f ca="1">IFERROR(__xludf.DUMMYFUNCTION("""COMPUTED_VALUE"""),"pamela.marcum@floridadep.gov")</f>
        <v>pamela.marcum@floridadep.gov</v>
      </c>
      <c r="D690" t="str">
        <f ca="1">IFERROR(__xludf.DUMMYFUNCTION("""COMPUTED_VALUE"""),"Nikki Dix")</f>
        <v>Nikki Dix</v>
      </c>
      <c r="E690" t="str">
        <f ca="1">IFERROR(__xludf.DUMMYFUNCTION("""COMPUTED_VALUE"""),"Faver dykes")</f>
        <v>Faver dykes</v>
      </c>
      <c r="F690" s="13">
        <f ca="1">IFERROR(__xludf.DUMMYFUNCTION("""COMPUTED_VALUE"""),0.434027777777373)</f>
        <v>0.434027777777373</v>
      </c>
      <c r="G690" s="14">
        <f ca="1">IFERROR(__xludf.DUMMYFUNCTION("""COMPUTED_VALUE"""),44386)</f>
        <v>44386</v>
      </c>
      <c r="H690" t="str">
        <f ca="1">IFERROR(__xludf.DUMMYFUNCTION("""COMPUTED_VALUE"""),"Upper pellicer creek")</f>
        <v>Upper pellicer creek</v>
      </c>
      <c r="I690" s="15">
        <f ca="1">IFERROR(__xludf.DUMMYFUNCTION("""COMPUTED_VALUE"""),0.541666666667879)</f>
        <v>0.54166666666787899</v>
      </c>
      <c r="J690" s="16">
        <f ca="1">IFERROR(__xludf.DUMMYFUNCTION("""COMPUTED_VALUE"""),44386.5625)</f>
        <v>44386.5625</v>
      </c>
      <c r="K690" t="str">
        <f ca="1">IFERROR(__xludf.DUMMYFUNCTION("""COMPUTED_VALUE"""),"17ft Skiff (Marsha) FL0642GW DEP07239")</f>
        <v>17ft Skiff (Marsha) FL0642GW DEP07239</v>
      </c>
      <c r="M690" t="str">
        <f ca="1">IFERROR(__xludf.DUMMYFUNCTION("""COMPUTED_VALUE"""),"Ap explorer")</f>
        <v>Ap explorer</v>
      </c>
      <c r="N690" t="str">
        <f ca="1">IFERROR(__xludf.DUMMYFUNCTION("""COMPUTED_VALUE"""),"Pam Marcum, (480) 332-5414")</f>
        <v>Pam Marcum, (480) 332-5414</v>
      </c>
      <c r="O690" t="str">
        <f ca="1">IFERROR(__xludf.DUMMYFUNCTION("""COMPUTED_VALUE"""),"Allix north, erick rivuelta, megan mason")</f>
        <v>Allix north, erick rivuelta, megan mason</v>
      </c>
      <c r="P690" t="str">
        <f ca="1">IFERROR(__xludf.DUMMYFUNCTION("""COMPUTED_VALUE"""),"Pam")</f>
        <v>Pam</v>
      </c>
      <c r="Q690" t="str">
        <f ca="1">IFERROR(__xludf.DUMMYFUNCTION("""COMPUTED_VALUE"""),"All items in working order")</f>
        <v>All items in working order</v>
      </c>
      <c r="AE690" s="11"/>
      <c r="AF690" t="str">
        <v>Nikki.Dix@floridadep.gov</v>
      </c>
      <c r="AG690" s="18"/>
    </row>
    <row r="691" spans="1:33" ht="12.75">
      <c r="A691" s="10">
        <f ca="1">IFERROR(__xludf.DUMMYFUNCTION("""COMPUTED_VALUE"""),44390.4696999074)</f>
        <v>44390.4696999074</v>
      </c>
      <c r="B691" s="11" t="str">
        <f ca="1">IFERROR(__xludf.DUMMYFUNCTION("""COMPUTED_VALUE"""),"Pam Marcum")</f>
        <v>Pam Marcum</v>
      </c>
      <c r="C691" t="str">
        <f ca="1">IFERROR(__xludf.DUMMYFUNCTION("""COMPUTED_VALUE"""),"pamela.marcum@floridadep.gov")</f>
        <v>pamela.marcum@floridadep.gov</v>
      </c>
      <c r="D691" t="str">
        <f ca="1">IFERROR(__xludf.DUMMYFUNCTION("""COMPUTED_VALUE"""),"Nikki Dix")</f>
        <v>Nikki Dix</v>
      </c>
      <c r="E691" t="str">
        <f ca="1">IFERROR(__xludf.DUMMYFUNCTION("""COMPUTED_VALUE"""),"Faver dykes")</f>
        <v>Faver dykes</v>
      </c>
      <c r="F691" s="13">
        <f ca="1">IFERROR(__xludf.DUMMYFUNCTION("""COMPUTED_VALUE"""),0.46875)</f>
        <v>0.46875</v>
      </c>
      <c r="G691" s="14">
        <f ca="1">IFERROR(__xludf.DUMMYFUNCTION("""COMPUTED_VALUE"""),44390)</f>
        <v>44390</v>
      </c>
      <c r="H691" t="str">
        <f ca="1">IFERROR(__xludf.DUMMYFUNCTION("""COMPUTED_VALUE"""),"Pellicer transects")</f>
        <v>Pellicer transects</v>
      </c>
      <c r="I691" s="15">
        <f ca="1">IFERROR(__xludf.DUMMYFUNCTION("""COMPUTED_VALUE"""),0.625)</f>
        <v>0.625</v>
      </c>
      <c r="J691" s="16">
        <f ca="1">IFERROR(__xludf.DUMMYFUNCTION("""COMPUTED_VALUE"""),44390.6458333333)</f>
        <v>44390.645833333299</v>
      </c>
      <c r="K691" t="str">
        <f ca="1">IFERROR(__xludf.DUMMYFUNCTION("""COMPUTED_VALUE"""),"17ft Skiff (Marsha) FL0642GW DEP07239")</f>
        <v>17ft Skiff (Marsha) FL0642GW DEP07239</v>
      </c>
      <c r="M691" t="str">
        <f ca="1">IFERROR(__xludf.DUMMYFUNCTION("""COMPUTED_VALUE"""),"Ap explorer")</f>
        <v>Ap explorer</v>
      </c>
      <c r="N691" t="str">
        <f ca="1">IFERROR(__xludf.DUMMYFUNCTION("""COMPUTED_VALUE"""),"Pam Marcum, (480) 332-5414")</f>
        <v>Pam Marcum, (480) 332-5414</v>
      </c>
      <c r="O691" t="str">
        <f ca="1">IFERROR(__xludf.DUMMYFUNCTION("""COMPUTED_VALUE"""),"Allix north")</f>
        <v>Allix north</v>
      </c>
      <c r="P691" t="str">
        <f ca="1">IFERROR(__xludf.DUMMYFUNCTION("""COMPUTED_VALUE"""),"Pam")</f>
        <v>Pam</v>
      </c>
      <c r="Q691" t="str">
        <f ca="1">IFERROR(__xludf.DUMMYFUNCTION("""COMPUTED_VALUE"""),"All items in working order")</f>
        <v>All items in working order</v>
      </c>
      <c r="AE691" s="11"/>
      <c r="AF691" t="str">
        <v>Nikki.Dix@floridadep.gov</v>
      </c>
      <c r="AG691" s="18"/>
    </row>
    <row r="692" spans="1:33" ht="12.75">
      <c r="A692" s="10">
        <f ca="1">IFERROR(__xludf.DUMMYFUNCTION("""COMPUTED_VALUE"""),44391.3088711111)</f>
        <v>44391.308871111098</v>
      </c>
      <c r="B692" s="11" t="str">
        <f ca="1">IFERROR(__xludf.DUMMYFUNCTION("""COMPUTED_VALUE"""),"Silas Tanner")</f>
        <v>Silas Tanner</v>
      </c>
      <c r="C692" t="str">
        <f ca="1">IFERROR(__xludf.DUMMYFUNCTION("""COMPUTED_VALUE"""),"silas.tanner@floridadep.gov")</f>
        <v>silas.tanner@floridadep.gov</v>
      </c>
      <c r="D692" t="str">
        <f ca="1">IFERROR(__xludf.DUMMYFUNCTION("""COMPUTED_VALUE"""),"Nikki Dix")</f>
        <v>Nikki Dix</v>
      </c>
      <c r="E692" t="str">
        <f ca="1">IFERROR(__xludf.DUMMYFUNCTION("""COMPUTED_VALUE"""),"Crane")</f>
        <v>Crane</v>
      </c>
      <c r="F692" s="13">
        <f ca="1">IFERROR(__xludf.DUMMYFUNCTION("""COMPUTED_VALUE"""),0.33333333333212)</f>
        <v>0.33333333333212001</v>
      </c>
      <c r="G692" s="14">
        <f ca="1">IFERROR(__xludf.DUMMYFUNCTION("""COMPUTED_VALUE"""),44391)</f>
        <v>44391</v>
      </c>
      <c r="H692" t="str">
        <f ca="1">IFERROR(__xludf.DUMMYFUNCTION("""COMPUTED_VALUE"""),"ICW SWMP sites")</f>
        <v>ICW SWMP sites</v>
      </c>
      <c r="I692" s="15">
        <f ca="1">IFERROR(__xludf.DUMMYFUNCTION("""COMPUTED_VALUE"""),0.58333333333212)</f>
        <v>0.58333333333212001</v>
      </c>
      <c r="J692" s="16">
        <f ca="1">IFERROR(__xludf.DUMMYFUNCTION("""COMPUTED_VALUE"""),44391.625)</f>
        <v>44391.625</v>
      </c>
      <c r="K692" t="str">
        <f ca="1">IFERROR(__xludf.DUMMYFUNCTION("""COMPUTED_VALUE"""),"20ft Sea Ark FL5351SJ UNF 2015")</f>
        <v>20ft Sea Ark FL5351SJ UNF 2015</v>
      </c>
      <c r="M692" t="str">
        <f ca="1">IFERROR(__xludf.DUMMYFUNCTION("""COMPUTED_VALUE"""),"Ford F250 2017 (Moby Dix) - DEP0021578")</f>
        <v>Ford F250 2017 (Moby Dix) - DEP0021578</v>
      </c>
      <c r="N692" t="str">
        <f ca="1">IFERROR(__xludf.DUMMYFUNCTION("""COMPUTED_VALUE"""),"Silas Tanner, (904) 483-8423")</f>
        <v>Silas Tanner, (904) 483-8423</v>
      </c>
      <c r="O692" t="str">
        <f ca="1">IFERROR(__xludf.DUMMYFUNCTION("""COMPUTED_VALUE"""),"Kayla Hughes")</f>
        <v>Kayla Hughes</v>
      </c>
      <c r="P692" t="str">
        <f ca="1">IFERROR(__xludf.DUMMYFUNCTION("""COMPUTED_VALUE"""),"Silas Tanner")</f>
        <v>Silas Tanner</v>
      </c>
      <c r="Q692" t="str">
        <f ca="1">IFERROR(__xludf.DUMMYFUNCTION("""COMPUTED_VALUE"""),"All items in working order")</f>
        <v>All items in working order</v>
      </c>
      <c r="AE692" s="11"/>
      <c r="AF692" t="str">
        <v>Nikki.Dix@floridadep.gov</v>
      </c>
      <c r="AG692" s="18"/>
    </row>
    <row r="693" spans="1:33" ht="12.75">
      <c r="A693" s="10">
        <f ca="1">IFERROR(__xludf.DUMMYFUNCTION("""COMPUTED_VALUE"""),44391.4515884027)</f>
        <v>44391.451588402699</v>
      </c>
      <c r="B693" s="11" t="str">
        <f ca="1">IFERROR(__xludf.DUMMYFUNCTION("""COMPUTED_VALUE"""),"Alexandria Knoell")</f>
        <v>Alexandria Knoell</v>
      </c>
      <c r="C693" t="str">
        <f ca="1">IFERROR(__xludf.DUMMYFUNCTION("""COMPUTED_VALUE"""),"alee.knoell@floridadep.gov")</f>
        <v>alee.knoell@floridadep.gov</v>
      </c>
      <c r="D693" t="str">
        <f ca="1">IFERROR(__xludf.DUMMYFUNCTION("""COMPUTED_VALUE"""),"Nikki Dix")</f>
        <v>Nikki Dix</v>
      </c>
      <c r="E693" t="str">
        <f ca="1">IFERROR(__xludf.DUMMYFUNCTION("""COMPUTED_VALUE"""),"Pellicer")</f>
        <v>Pellicer</v>
      </c>
      <c r="F693" s="13">
        <f ca="1">IFERROR(__xludf.DUMMYFUNCTION("""COMPUTED_VALUE"""),0.447916666667879)</f>
        <v>0.44791666666787899</v>
      </c>
      <c r="G693" s="14">
        <f ca="1">IFERROR(__xludf.DUMMYFUNCTION("""COMPUTED_VALUE"""),44391)</f>
        <v>44391</v>
      </c>
      <c r="H693" t="str">
        <f ca="1">IFERROR(__xludf.DUMMYFUNCTION("""COMPUTED_VALUE"""),"Upper transect")</f>
        <v>Upper transect</v>
      </c>
      <c r="I693" s="15">
        <f ca="1">IFERROR(__xludf.DUMMYFUNCTION("""COMPUTED_VALUE"""),0.58333333333212)</f>
        <v>0.58333333333212001</v>
      </c>
      <c r="J693" s="16">
        <f ca="1">IFERROR(__xludf.DUMMYFUNCTION("""COMPUTED_VALUE"""),44391.6666666666)</f>
        <v>44391.666666666599</v>
      </c>
      <c r="K693" t="str">
        <f ca="1">IFERROR(__xludf.DUMMYFUNCTION("""COMPUTED_VALUE"""),"17ft Skiff (Marsha) FL0642GW DEP07239")</f>
        <v>17ft Skiff (Marsha) FL0642GW DEP07239</v>
      </c>
      <c r="M693" t="str">
        <f ca="1">IFERROR(__xludf.DUMMYFUNCTION("""COMPUTED_VALUE"""),"Ford F150 2015 (White) - DEP21448")</f>
        <v>Ford F150 2015 (White) - DEP21448</v>
      </c>
      <c r="N693" t="str">
        <f ca="1">IFERROR(__xludf.DUMMYFUNCTION("""COMPUTED_VALUE"""),"Pam Marcum, (480) 332-5414, Alee Knoell, (619) 750-4833")</f>
        <v>Pam Marcum, (480) 332-5414, Alee Knoell, (619) 750-4833</v>
      </c>
      <c r="P693" t="str">
        <f ca="1">IFERROR(__xludf.DUMMYFUNCTION("""COMPUTED_VALUE"""),"Pam marcum ")</f>
        <v xml:space="preserve">Pam marcum </v>
      </c>
      <c r="Q693" t="str">
        <f ca="1">IFERROR(__xludf.DUMMYFUNCTION("""COMPUTED_VALUE"""),"All items in working order")</f>
        <v>All items in working order</v>
      </c>
      <c r="AE693" s="11"/>
      <c r="AF693" t="str">
        <v>Nikki.Dix@floridadep.gov</v>
      </c>
      <c r="AG693" s="18"/>
    </row>
    <row r="694" spans="1:33" ht="12.75">
      <c r="A694" s="10">
        <f ca="1">IFERROR(__xludf.DUMMYFUNCTION("""COMPUTED_VALUE"""),44392.2850839814)</f>
        <v>44392.285083981398</v>
      </c>
      <c r="B694" s="11" t="str">
        <f ca="1">IFERROR(__xludf.DUMMYFUNCTION("""COMPUTED_VALUE"""),"Pam Marcum")</f>
        <v>Pam Marcum</v>
      </c>
      <c r="C694" t="str">
        <f ca="1">IFERROR(__xludf.DUMMYFUNCTION("""COMPUTED_VALUE"""),"pamela.marcum@floridadep.gov")</f>
        <v>pamela.marcum@floridadep.gov</v>
      </c>
      <c r="D694" t="str">
        <f ca="1">IFERROR(__xludf.DUMMYFUNCTION("""COMPUTED_VALUE"""),"Pam Marcum")</f>
        <v>Pam Marcum</v>
      </c>
      <c r="E694" t="str">
        <f ca="1">IFERROR(__xludf.DUMMYFUNCTION("""COMPUTED_VALUE"""),"Shore")</f>
        <v>Shore</v>
      </c>
      <c r="F694" s="13">
        <f ca="1">IFERROR(__xludf.DUMMYFUNCTION("""COMPUTED_VALUE"""),0.28125)</f>
        <v>0.28125</v>
      </c>
      <c r="G694" s="14">
        <f ca="1">IFERROR(__xludf.DUMMYFUNCTION("""COMPUTED_VALUE"""),44392)</f>
        <v>44392</v>
      </c>
      <c r="H694" t="str">
        <f ca="1">IFERROR(__xludf.DUMMYFUNCTION("""COMPUTED_VALUE"""),"312 bridge")</f>
        <v>312 bridge</v>
      </c>
      <c r="I694" s="15">
        <f ca="1">IFERROR(__xludf.DUMMYFUNCTION("""COMPUTED_VALUE"""),0.416666666667879)</f>
        <v>0.41666666666787899</v>
      </c>
      <c r="J694" s="16">
        <f ca="1">IFERROR(__xludf.DUMMYFUNCTION("""COMPUTED_VALUE"""),44392.4583333333)</f>
        <v>44392.458333333299</v>
      </c>
      <c r="K694" t="str">
        <f ca="1">IFERROR(__xludf.DUMMYFUNCTION("""COMPUTED_VALUE"""),"17ft Skiff (Marsha) FL0642GW DEP07239")</f>
        <v>17ft Skiff (Marsha) FL0642GW DEP07239</v>
      </c>
      <c r="M694" t="str">
        <f ca="1">IFERROR(__xludf.DUMMYFUNCTION("""COMPUTED_VALUE"""),"Ford F150 2015 (White) - DEP21448")</f>
        <v>Ford F150 2015 (White) - DEP21448</v>
      </c>
      <c r="N694" t="str">
        <f ca="1">IFERROR(__xludf.DUMMYFUNCTION("""COMPUTED_VALUE"""),"Pam Marcum, (480) 332-5414")</f>
        <v>Pam Marcum, (480) 332-5414</v>
      </c>
      <c r="O694" t="str">
        <f ca="1">IFERROR(__xludf.DUMMYFUNCTION("""COMPUTED_VALUE"""),"Allix North")</f>
        <v>Allix North</v>
      </c>
      <c r="P694" t="str">
        <f ca="1">IFERROR(__xludf.DUMMYFUNCTION("""COMPUTED_VALUE"""),"Pam")</f>
        <v>Pam</v>
      </c>
      <c r="Q694" t="str">
        <f ca="1">IFERROR(__xludf.DUMMYFUNCTION("""COMPUTED_VALUE"""),"All items in working order")</f>
        <v>All items in working order</v>
      </c>
      <c r="AE694" s="11"/>
      <c r="AF694" t="str">
        <v>Pamela.Marcum@floridadep.gov</v>
      </c>
      <c r="AG694" s="18"/>
    </row>
    <row r="695" spans="1:33" ht="12.75">
      <c r="A695" s="10">
        <f ca="1">IFERROR(__xludf.DUMMYFUNCTION("""COMPUTED_VALUE"""),44398.2870595601)</f>
        <v>44398.287059560098</v>
      </c>
      <c r="B695" s="11" t="str">
        <f ca="1">IFERROR(__xludf.DUMMYFUNCTION("""COMPUTED_VALUE"""),"Shannon Dunnigan")</f>
        <v>Shannon Dunnigan</v>
      </c>
      <c r="C695" t="str">
        <f ca="1">IFERROR(__xludf.DUMMYFUNCTION("""COMPUTED_VALUE"""),"shannon.dunnigan@floridadep.gov")</f>
        <v>shannon.dunnigan@floridadep.gov</v>
      </c>
      <c r="D695" t="str">
        <f ca="1">IFERROR(__xludf.DUMMYFUNCTION("""COMPUTED_VALUE"""),"Shannon Dunnigan")</f>
        <v>Shannon Dunnigan</v>
      </c>
      <c r="E695" t="str">
        <f ca="1">IFERROR(__xludf.DUMMYFUNCTION("""COMPUTED_VALUE"""),"Vilano")</f>
        <v>Vilano</v>
      </c>
      <c r="F695" s="13">
        <f ca="1">IFERROR(__xludf.DUMMYFUNCTION("""COMPUTED_VALUE"""),0.284722222222626)</f>
        <v>0.284722222222626</v>
      </c>
      <c r="G695" s="14">
        <f ca="1">IFERROR(__xludf.DUMMYFUNCTION("""COMPUTED_VALUE"""),44398)</f>
        <v>44398</v>
      </c>
      <c r="H695" t="str">
        <f ca="1">IFERROR(__xludf.DUMMYFUNCTION("""COMPUTED_VALUE"""),"ICW SWMP Sites")</f>
        <v>ICW SWMP Sites</v>
      </c>
      <c r="I695" s="15">
        <f ca="1">IFERROR(__xludf.DUMMYFUNCTION("""COMPUTED_VALUE"""),0.479166666667879)</f>
        <v>0.47916666666787899</v>
      </c>
      <c r="J695" s="16">
        <f ca="1">IFERROR(__xludf.DUMMYFUNCTION("""COMPUTED_VALUE"""),44398.5208333333)</f>
        <v>44398.520833333299</v>
      </c>
      <c r="K695" t="str">
        <f ca="1">IFERROR(__xludf.DUMMYFUNCTION("""COMPUTED_VALUE"""),"20ft Sea Ark FL5351SJ UNF 2015")</f>
        <v>20ft Sea Ark FL5351SJ UNF 2015</v>
      </c>
      <c r="M695" t="str">
        <f ca="1">IFERROR(__xludf.DUMMYFUNCTION("""COMPUTED_VALUE"""),"Ford F250 2017 (Moby Dix) - DEP0021578")</f>
        <v>Ford F250 2017 (Moby Dix) - DEP0021578</v>
      </c>
      <c r="N695" t="str">
        <f ca="1">IFERROR(__xludf.DUMMYFUNCTION("""COMPUTED_VALUE"""),"Shannon Dunnigan, (803) 727-5734")</f>
        <v>Shannon Dunnigan, (803) 727-5734</v>
      </c>
      <c r="O695" t="str">
        <f ca="1">IFERROR(__xludf.DUMMYFUNCTION("""COMPUTED_VALUE"""),"Abigail Kuhn, Kayla Hughes")</f>
        <v>Abigail Kuhn, Kayla Hughes</v>
      </c>
      <c r="P695" t="str">
        <f ca="1">IFERROR(__xludf.DUMMYFUNCTION("""COMPUTED_VALUE"""),"Shannon Dunnigan")</f>
        <v>Shannon Dunnigan</v>
      </c>
      <c r="Q695" t="str">
        <f ca="1">IFERROR(__xludf.DUMMYFUNCTION("""COMPUTED_VALUE"""),"All items in working order")</f>
        <v>All items in working order</v>
      </c>
      <c r="AE695" s="11"/>
      <c r="AF695" t="str">
        <v>Shannon.Dunnigan@floridadep.gov</v>
      </c>
      <c r="AG695" s="18"/>
    </row>
    <row r="696" spans="1:33" ht="12.75">
      <c r="A696" s="10">
        <f ca="1">IFERROR(__xludf.DUMMYFUNCTION("""COMPUTED_VALUE"""),44398.2993967592)</f>
        <v>44398.299396759197</v>
      </c>
      <c r="B696" s="11" t="str">
        <f ca="1">IFERROR(__xludf.DUMMYFUNCTION("""COMPUTED_VALUE"""),"Olivia Roorbach")</f>
        <v>Olivia Roorbach</v>
      </c>
      <c r="C696" t="str">
        <f ca="1">IFERROR(__xludf.DUMMYFUNCTION("""COMPUTED_VALUE"""),"olivia.roorbach@floridadep.gov")</f>
        <v>olivia.roorbach@floridadep.gov</v>
      </c>
      <c r="D696" t="str">
        <f ca="1">IFERROR(__xludf.DUMMYFUNCTION("""COMPUTED_VALUE"""),"Nikki Dix")</f>
        <v>Nikki Dix</v>
      </c>
      <c r="E696" t="str">
        <f ca="1">IFERROR(__xludf.DUMMYFUNCTION("""COMPUTED_VALUE"""),"Dam")</f>
        <v>Dam</v>
      </c>
      <c r="F696" s="13">
        <f ca="1">IFERROR(__xludf.DUMMYFUNCTION("""COMPUTED_VALUE"""),0.30208333333212)</f>
        <v>0.30208333333212001</v>
      </c>
      <c r="G696" s="14">
        <f ca="1">IFERROR(__xludf.DUMMYFUNCTION("""COMPUTED_VALUE"""),44398)</f>
        <v>44398</v>
      </c>
      <c r="H696" t="str">
        <f ca="1">IFERROR(__xludf.DUMMYFUNCTION("""COMPUTED_VALUE"""),"Guana river")</f>
        <v>Guana river</v>
      </c>
      <c r="I696" s="15">
        <f ca="1">IFERROR(__xludf.DUMMYFUNCTION("""COMPUTED_VALUE"""),0.375)</f>
        <v>0.375</v>
      </c>
      <c r="J696" s="16">
        <f ca="1">IFERROR(__xludf.DUMMYFUNCTION("""COMPUTED_VALUE"""),44398.3854166666)</f>
        <v>44398.385416666599</v>
      </c>
      <c r="K696" t="str">
        <f ca="1">IFERROR(__xludf.DUMMYFUNCTION("""COMPUTED_VALUE"""),"Jon Boat 1 FL5992RR DEP154045")</f>
        <v>Jon Boat 1 FL5992RR DEP154045</v>
      </c>
      <c r="M696" t="str">
        <f ca="1">IFERROR(__xludf.DUMMYFUNCTION("""COMPUTED_VALUE"""),"Ford F150 2015 (White) - DEP21448")</f>
        <v>Ford F150 2015 (White) - DEP21448</v>
      </c>
      <c r="N696" t="str">
        <f ca="1">IFERROR(__xludf.DUMMYFUNCTION("""COMPUTED_VALUE"""),"Olivia Roorbach")</f>
        <v>Olivia Roorbach</v>
      </c>
      <c r="O696" t="str">
        <f ca="1">IFERROR(__xludf.DUMMYFUNCTION("""COMPUTED_VALUE"""),"Ashely Reaume")</f>
        <v>Ashely Reaume</v>
      </c>
      <c r="P696" t="str">
        <f ca="1">IFERROR(__xludf.DUMMYFUNCTION("""COMPUTED_VALUE"""),"Olivia Roorbach ")</f>
        <v xml:space="preserve">Olivia Roorbach </v>
      </c>
      <c r="Q696" t="str">
        <f ca="1">IFERROR(__xludf.DUMMYFUNCTION("""COMPUTED_VALUE"""),"All items in working order")</f>
        <v>All items in working order</v>
      </c>
      <c r="AE696" s="11"/>
      <c r="AF696" t="str">
        <v>Nikki.Dix@floridadep.gov</v>
      </c>
      <c r="AG696" s="18"/>
    </row>
    <row r="697" spans="1:33" ht="12.75">
      <c r="A697" s="10">
        <f ca="1">IFERROR(__xludf.DUMMYFUNCTION("""COMPUTED_VALUE"""),44398.5114175347)</f>
        <v>44398.511417534697</v>
      </c>
      <c r="B697" s="11" t="str">
        <f ca="1">IFERROR(__xludf.DUMMYFUNCTION("""COMPUTED_VALUE"""),"Pam Marcum")</f>
        <v>Pam Marcum</v>
      </c>
      <c r="C697" t="str">
        <f ca="1">IFERROR(__xludf.DUMMYFUNCTION("""COMPUTED_VALUE"""),"pamela.marcum@floridadep.gov")</f>
        <v>pamela.marcum@floridadep.gov</v>
      </c>
      <c r="D697" t="str">
        <f ca="1">IFERROR(__xludf.DUMMYFUNCTION("""COMPUTED_VALUE"""),"Shannon Dunnigan")</f>
        <v>Shannon Dunnigan</v>
      </c>
      <c r="E697" t="str">
        <f ca="1">IFERROR(__xludf.DUMMYFUNCTION("""COMPUTED_VALUE"""),"Aunt kates")</f>
        <v>Aunt kates</v>
      </c>
      <c r="F697" s="13">
        <f ca="1">IFERROR(__xludf.DUMMYFUNCTION("""COMPUTED_VALUE"""),0.5)</f>
        <v>0.5</v>
      </c>
      <c r="G697" s="14">
        <f ca="1">IFERROR(__xludf.DUMMYFUNCTION("""COMPUTED_VALUE"""),44398)</f>
        <v>44398</v>
      </c>
      <c r="H697" t="str">
        <f ca="1">IFERROR(__xludf.DUMMYFUNCTION("""COMPUTED_VALUE"""),"Guana River")</f>
        <v>Guana River</v>
      </c>
      <c r="I697" s="15">
        <f ca="1">IFERROR(__xludf.DUMMYFUNCTION("""COMPUTED_VALUE"""),0.666666666667879)</f>
        <v>0.66666666666787899</v>
      </c>
      <c r="J697" s="16">
        <f ca="1">IFERROR(__xludf.DUMMYFUNCTION("""COMPUTED_VALUE"""),44398.6875)</f>
        <v>44398.6875</v>
      </c>
      <c r="K697" t="str">
        <f ca="1">IFERROR(__xludf.DUMMYFUNCTION("""COMPUTED_VALUE"""),"20ft Sea Ark FL5351SJ UNF 2015")</f>
        <v>20ft Sea Ark FL5351SJ UNF 2015</v>
      </c>
      <c r="M697" t="str">
        <f ca="1">IFERROR(__xludf.DUMMYFUNCTION("""COMPUTED_VALUE"""),"Ford F250 2017 (Moby Dix) - DEP0021578")</f>
        <v>Ford F250 2017 (Moby Dix) - DEP0021578</v>
      </c>
      <c r="N697" t="str">
        <f ca="1">IFERROR(__xludf.DUMMYFUNCTION("""COMPUTED_VALUE"""),"Pam Marcum, (480) 332-5414")</f>
        <v>Pam Marcum, (480) 332-5414</v>
      </c>
      <c r="O697" t="str">
        <f ca="1">IFERROR(__xludf.DUMMYFUNCTION("""COMPUTED_VALUE"""),"Hallie Fischman, Andrew, Orlando")</f>
        <v>Hallie Fischman, Andrew, Orlando</v>
      </c>
      <c r="P697" t="str">
        <f ca="1">IFERROR(__xludf.DUMMYFUNCTION("""COMPUTED_VALUE"""),"Pam")</f>
        <v>Pam</v>
      </c>
      <c r="Q697" t="str">
        <f ca="1">IFERROR(__xludf.DUMMYFUNCTION("""COMPUTED_VALUE"""),"All items in working order")</f>
        <v>All items in working order</v>
      </c>
      <c r="AE697" s="11"/>
      <c r="AF697" t="str">
        <v>Shannon.Dunnigan@floridadep.gov</v>
      </c>
      <c r="AG697" s="18"/>
    </row>
    <row r="698" spans="1:33" ht="12.75">
      <c r="A698" s="10">
        <f ca="1">IFERROR(__xludf.DUMMYFUNCTION("""COMPUTED_VALUE"""),44398.6266221527)</f>
        <v>44398.626622152697</v>
      </c>
      <c r="B698" s="11" t="str">
        <f ca="1">IFERROR(__xludf.DUMMYFUNCTION("""COMPUTED_VALUE"""),"Olivia Roorbach")</f>
        <v>Olivia Roorbach</v>
      </c>
      <c r="C698" t="str">
        <f ca="1">IFERROR(__xludf.DUMMYFUNCTION("""COMPUTED_VALUE"""),"olivia.roorbach@floridadep.gov")</f>
        <v>olivia.roorbach@floridadep.gov</v>
      </c>
      <c r="D698" t="str">
        <f ca="1">IFERROR(__xludf.DUMMYFUNCTION("""COMPUTED_VALUE"""),"Nikki Dix")</f>
        <v>Nikki Dix</v>
      </c>
      <c r="E698" t="str">
        <f ca="1">IFERROR(__xludf.DUMMYFUNCTION("""COMPUTED_VALUE"""),"Dam")</f>
        <v>Dam</v>
      </c>
      <c r="F698" s="13">
        <f ca="1">IFERROR(__xludf.DUMMYFUNCTION("""COMPUTED_VALUE"""),0.30208333333212)</f>
        <v>0.30208333333212001</v>
      </c>
      <c r="G698" s="14">
        <f ca="1">IFERROR(__xludf.DUMMYFUNCTION("""COMPUTED_VALUE"""),44398)</f>
        <v>44398</v>
      </c>
      <c r="H698" t="str">
        <f ca="1">IFERROR(__xludf.DUMMYFUNCTION("""COMPUTED_VALUE"""),"Guana river")</f>
        <v>Guana river</v>
      </c>
      <c r="I698" s="15">
        <f ca="1">IFERROR(__xludf.DUMMYFUNCTION("""COMPUTED_VALUE"""),0.375)</f>
        <v>0.375</v>
      </c>
      <c r="J698" s="16">
        <f ca="1">IFERROR(__xludf.DUMMYFUNCTION("""COMPUTED_VALUE"""),44398.3854166666)</f>
        <v>44398.385416666599</v>
      </c>
      <c r="K698" t="str">
        <f ca="1">IFERROR(__xludf.DUMMYFUNCTION("""COMPUTED_VALUE"""),"Jon Boat 1 FL5992RR DEP154045")</f>
        <v>Jon Boat 1 FL5992RR DEP154045</v>
      </c>
      <c r="M698" t="str">
        <f ca="1">IFERROR(__xludf.DUMMYFUNCTION("""COMPUTED_VALUE"""),"Ford F150 2015 (White) - DEP21448")</f>
        <v>Ford F150 2015 (White) - DEP21448</v>
      </c>
      <c r="N698" t="str">
        <f ca="1">IFERROR(__xludf.DUMMYFUNCTION("""COMPUTED_VALUE"""),"Olivia Roorbach")</f>
        <v>Olivia Roorbach</v>
      </c>
      <c r="O698" t="str">
        <f ca="1">IFERROR(__xludf.DUMMYFUNCTION("""COMPUTED_VALUE"""),"Ashely Reaume")</f>
        <v>Ashely Reaume</v>
      </c>
      <c r="P698" t="str">
        <f ca="1">IFERROR(__xludf.DUMMYFUNCTION("""COMPUTED_VALUE"""),"Olivia Roorbach ")</f>
        <v xml:space="preserve">Olivia Roorbach </v>
      </c>
      <c r="Q698" t="str">
        <f ca="1">IFERROR(__xludf.DUMMYFUNCTION("""COMPUTED_VALUE"""),"All items in working order")</f>
        <v>All items in working order</v>
      </c>
      <c r="AE698" s="11"/>
      <c r="AF698" t="str">
        <v>Nikki.Dix@floridadep.gov</v>
      </c>
      <c r="AG698" s="18"/>
    </row>
    <row r="699" spans="1:33" ht="12.75">
      <c r="A699" s="10">
        <f ca="1">IFERROR(__xludf.DUMMYFUNCTION("""COMPUTED_VALUE"""),44399.4390206481)</f>
        <v>44399.439020648097</v>
      </c>
      <c r="B699" s="11" t="str">
        <f ca="1">IFERROR(__xludf.DUMMYFUNCTION("""COMPUTED_VALUE"""),"Pam Marcum")</f>
        <v>Pam Marcum</v>
      </c>
      <c r="C699" t="str">
        <f ca="1">IFERROR(__xludf.DUMMYFUNCTION("""COMPUTED_VALUE"""),"Pamela.Marcum@FloridaDEP.gov")</f>
        <v>Pamela.Marcum@FloridaDEP.gov</v>
      </c>
      <c r="D699" t="str">
        <f ca="1">IFERROR(__xludf.DUMMYFUNCTION("""COMPUTED_VALUE"""),"Nikki Dix")</f>
        <v>Nikki Dix</v>
      </c>
      <c r="E699" t="str">
        <f ca="1">IFERROR(__xludf.DUMMYFUNCTION("""COMPUTED_VALUE"""),"Aunt Kate's")</f>
        <v>Aunt Kate's</v>
      </c>
      <c r="F699" s="13">
        <f ca="1">IFERROR(__xludf.DUMMYFUNCTION("""COMPUTED_VALUE"""),0.5)</f>
        <v>0.5</v>
      </c>
      <c r="G699" s="14"/>
      <c r="H699" t="str">
        <f ca="1">IFERROR(__xludf.DUMMYFUNCTION("""COMPUTED_VALUE"""),"Guana River")</f>
        <v>Guana River</v>
      </c>
      <c r="I699" s="15">
        <f ca="1">IFERROR(__xludf.DUMMYFUNCTION("""COMPUTED_VALUE"""),0.666666666667879)</f>
        <v>0.66666666666787899</v>
      </c>
      <c r="J699" s="16"/>
      <c r="K699" t="str">
        <f ca="1">IFERROR(__xludf.DUMMYFUNCTION("""COMPUTED_VALUE"""),"20ft Sea Ark FL5351SJ UNF 2015")</f>
        <v>20ft Sea Ark FL5351SJ UNF 2015</v>
      </c>
      <c r="M699" t="str">
        <f ca="1">IFERROR(__xludf.DUMMYFUNCTION("""COMPUTED_VALUE"""),"Ford F250 2017 (Moby Dix) - DEP0021578")</f>
        <v>Ford F250 2017 (Moby Dix) - DEP0021578</v>
      </c>
      <c r="N699" t="str">
        <f ca="1">IFERROR(__xludf.DUMMYFUNCTION("""COMPUTED_VALUE"""),"Pam Marcum, (480) 332-5414")</f>
        <v>Pam Marcum, (480) 332-5414</v>
      </c>
      <c r="O699" t="str">
        <f ca="1">IFERROR(__xludf.DUMMYFUNCTION("""COMPUTED_VALUE"""),"Halliee Fischman, Orlando Cordero, Andrew")</f>
        <v>Halliee Fischman, Orlando Cordero, Andrew</v>
      </c>
      <c r="P699" t="str">
        <f ca="1">IFERROR(__xludf.DUMMYFUNCTION("""COMPUTED_VALUE"""),"Pam")</f>
        <v>Pam</v>
      </c>
      <c r="Q699" t="str">
        <f ca="1">IFERROR(__xludf.DUMMYFUNCTION("""COMPUTED_VALUE"""),"All items in working order")</f>
        <v>All items in working order</v>
      </c>
      <c r="AE699" s="11"/>
      <c r="AF699" t="str">
        <v>Nikki.Dix@floridadep.gov</v>
      </c>
      <c r="AG699" s="18"/>
    </row>
    <row r="700" spans="1:33" ht="12.75">
      <c r="A700" s="10">
        <f ca="1">IFERROR(__xludf.DUMMYFUNCTION("""COMPUTED_VALUE"""),44405.3204045023)</f>
        <v>44405.320404502301</v>
      </c>
      <c r="B700" s="11" t="str">
        <f ca="1">IFERROR(__xludf.DUMMYFUNCTION("""COMPUTED_VALUE"""),"Silas Tanner")</f>
        <v>Silas Tanner</v>
      </c>
      <c r="C700" t="str">
        <f ca="1">IFERROR(__xludf.DUMMYFUNCTION("""COMPUTED_VALUE"""),"silas.tanner@floridadep.gov")</f>
        <v>silas.tanner@floridadep.gov</v>
      </c>
      <c r="D700" t="str">
        <f ca="1">IFERROR(__xludf.DUMMYFUNCTION("""COMPUTED_VALUE"""),"Nikki Dix")</f>
        <v>Nikki Dix</v>
      </c>
      <c r="E700" t="str">
        <f ca="1">IFERROR(__xludf.DUMMYFUNCTION("""COMPUTED_VALUE"""),"Vilano")</f>
        <v>Vilano</v>
      </c>
      <c r="F700" s="13">
        <f ca="1">IFERROR(__xludf.DUMMYFUNCTION("""COMPUTED_VALUE"""),0.375)</f>
        <v>0.375</v>
      </c>
      <c r="G700" s="14">
        <f ca="1">IFERROR(__xludf.DUMMYFUNCTION("""COMPUTED_VALUE"""),44405)</f>
        <v>44405</v>
      </c>
      <c r="H700" t="str">
        <f ca="1">IFERROR(__xludf.DUMMYFUNCTION("""COMPUTED_VALUE"""),"ICW SWMP Sites")</f>
        <v>ICW SWMP Sites</v>
      </c>
      <c r="I700" s="15">
        <f ca="1">IFERROR(__xludf.DUMMYFUNCTION("""COMPUTED_VALUE"""),0.625)</f>
        <v>0.625</v>
      </c>
      <c r="J700" s="16">
        <f ca="1">IFERROR(__xludf.DUMMYFUNCTION("""COMPUTED_VALUE"""),44405.6458333333)</f>
        <v>44405.645833333299</v>
      </c>
      <c r="K700" t="str">
        <f ca="1">IFERROR(__xludf.DUMMYFUNCTION("""COMPUTED_VALUE"""),"23ft Skiff (Bertha) FL7972LJ DEP07613")</f>
        <v>23ft Skiff (Bertha) FL7972LJ DEP07613</v>
      </c>
      <c r="M700" t="str">
        <f ca="1">IFERROR(__xludf.DUMMYFUNCTION("""COMPUTED_VALUE"""),"Ford F250 2017 (Moby Dix) - DEP0021578")</f>
        <v>Ford F250 2017 (Moby Dix) - DEP0021578</v>
      </c>
      <c r="N700" t="str">
        <f ca="1">IFERROR(__xludf.DUMMYFUNCTION("""COMPUTED_VALUE"""),"Silas Tanner, (904) 483-8423, Remo Mondazzi")</f>
        <v>Silas Tanner, (904) 483-8423, Remo Mondazzi</v>
      </c>
      <c r="O700" t="str">
        <f ca="1">IFERROR(__xludf.DUMMYFUNCTION("""COMPUTED_VALUE"""),"Kayla Hughes, Kaitlyn Campbell")</f>
        <v>Kayla Hughes, Kaitlyn Campbell</v>
      </c>
      <c r="P700" t="str">
        <f ca="1">IFERROR(__xludf.DUMMYFUNCTION("""COMPUTED_VALUE"""),"Silas Tanner")</f>
        <v>Silas Tanner</v>
      </c>
      <c r="Q700" t="str">
        <f ca="1">IFERROR(__xludf.DUMMYFUNCTION("""COMPUTED_VALUE"""),"All items in working order")</f>
        <v>All items in working order</v>
      </c>
      <c r="AE700" s="11"/>
      <c r="AF700" t="str">
        <v>Nikki.Dix@floridadep.gov</v>
      </c>
      <c r="AG700" s="18"/>
    </row>
    <row r="701" spans="1:33" ht="12.75">
      <c r="A701" s="10">
        <f ca="1">IFERROR(__xludf.DUMMYFUNCTION("""COMPUTED_VALUE"""),44411.4252721643)</f>
        <v>44411.425272164299</v>
      </c>
      <c r="B701" s="11" t="str">
        <f ca="1">IFERROR(__xludf.DUMMYFUNCTION("""COMPUTED_VALUE"""),"Gabriela Canas")</f>
        <v>Gabriela Canas</v>
      </c>
      <c r="C701" t="str">
        <f ca="1">IFERROR(__xludf.DUMMYFUNCTION("""COMPUTED_VALUE"""),"gabriela.canas@dep.state.fl.us")</f>
        <v>gabriela.canas@dep.state.fl.us</v>
      </c>
      <c r="D701" t="str">
        <f ca="1">IFERROR(__xludf.DUMMYFUNCTION("""COMPUTED_VALUE"""),"Shannon Dunnigan")</f>
        <v>Shannon Dunnigan</v>
      </c>
      <c r="E701" t="str">
        <f ca="1">IFERROR(__xludf.DUMMYFUNCTION("""COMPUTED_VALUE"""),"Aunt kates")</f>
        <v>Aunt kates</v>
      </c>
      <c r="F701" s="13">
        <f ca="1">IFERROR(__xludf.DUMMYFUNCTION("""COMPUTED_VALUE"""),0.4375)</f>
        <v>0.4375</v>
      </c>
      <c r="G701" s="14">
        <f ca="1">IFERROR(__xludf.DUMMYFUNCTION("""COMPUTED_VALUE"""),44410)</f>
        <v>44410</v>
      </c>
      <c r="H701" t="str">
        <f ca="1">IFERROR(__xludf.DUMMYFUNCTION("""COMPUTED_VALUE"""),"Guana")</f>
        <v>Guana</v>
      </c>
      <c r="I701" s="15">
        <f ca="1">IFERROR(__xludf.DUMMYFUNCTION("""COMPUTED_VALUE"""),0.5)</f>
        <v>0.5</v>
      </c>
      <c r="J701" s="16">
        <f ca="1">IFERROR(__xludf.DUMMYFUNCTION("""COMPUTED_VALUE"""),44410.0416666666)</f>
        <v>44410.041666666599</v>
      </c>
      <c r="K701" t="str">
        <f ca="1">IFERROR(__xludf.DUMMYFUNCTION("""COMPUTED_VALUE"""),"23ft Skiff (Bertha) FL7972LJ DEP07613")</f>
        <v>23ft Skiff (Bertha) FL7972LJ DEP07613</v>
      </c>
      <c r="M701" t="str">
        <f ca="1">IFERROR(__xludf.DUMMYFUNCTION("""COMPUTED_VALUE"""),"Ford F150 2015 (White) - DEP21448")</f>
        <v>Ford F150 2015 (White) - DEP21448</v>
      </c>
      <c r="N701" t="str">
        <f ca="1">IFERROR(__xludf.DUMMYFUNCTION("""COMPUTED_VALUE"""),"Pam Marcum, (480) 332-5414")</f>
        <v>Pam Marcum, (480) 332-5414</v>
      </c>
      <c r="O701" t="str">
        <f ca="1">IFERROR(__xludf.DUMMYFUNCTION("""COMPUTED_VALUE"""),"Gabriela Canas, (904) 891-9743")</f>
        <v>Gabriela Canas, (904) 891-9743</v>
      </c>
      <c r="P701" t="str">
        <f ca="1">IFERROR(__xludf.DUMMYFUNCTION("""COMPUTED_VALUE"""),"Pam")</f>
        <v>Pam</v>
      </c>
      <c r="Q701" t="str">
        <f ca="1">IFERROR(__xludf.DUMMYFUNCTION("""COMPUTED_VALUE"""),"All items in working order")</f>
        <v>All items in working order</v>
      </c>
      <c r="AD701" t="str">
        <f ca="1">IFERROR(__xludf.DUMMYFUNCTION("""COMPUTED_VALUE"""),"Afternoon storms ")</f>
        <v xml:space="preserve">Afternoon storms </v>
      </c>
      <c r="AE701" s="11" t="str">
        <f ca="1">IFERROR(__xludf.DUMMYFUNCTION("""COMPUTED_VALUE"""),"Outgoing. ")</f>
        <v xml:space="preserve">Outgoing. </v>
      </c>
      <c r="AF701" t="str">
        <v>Shannon.Dunnigan@floridadep.gov</v>
      </c>
      <c r="AG701" s="18"/>
    </row>
    <row r="702" spans="1:33" ht="12.75">
      <c r="A702" s="10">
        <f ca="1">IFERROR(__xludf.DUMMYFUNCTION("""COMPUTED_VALUE"""),44418.3901823958)</f>
        <v>44418.3901823958</v>
      </c>
      <c r="B702" s="11" t="str">
        <f ca="1">IFERROR(__xludf.DUMMYFUNCTION("""COMPUTED_VALUE"""),"Alexandria Knoell")</f>
        <v>Alexandria Knoell</v>
      </c>
      <c r="C702" t="str">
        <f ca="1">IFERROR(__xludf.DUMMYFUNCTION("""COMPUTED_VALUE"""),"alee.knoell@floridadep.gov")</f>
        <v>alee.knoell@floridadep.gov</v>
      </c>
      <c r="D702" t="str">
        <f ca="1">IFERROR(__xludf.DUMMYFUNCTION("""COMPUTED_VALUE"""),"Pam Marcum")</f>
        <v>Pam Marcum</v>
      </c>
      <c r="E702" t="str">
        <f ca="1">IFERROR(__xludf.DUMMYFUNCTION("""COMPUTED_VALUE"""),"Shore drive")</f>
        <v>Shore drive</v>
      </c>
      <c r="F702" s="13">
        <f ca="1">IFERROR(__xludf.DUMMYFUNCTION("""COMPUTED_VALUE"""),0.416666666667879)</f>
        <v>0.41666666666787899</v>
      </c>
      <c r="G702" s="14">
        <f ca="1">IFERROR(__xludf.DUMMYFUNCTION("""COMPUTED_VALUE"""),44418)</f>
        <v>44418</v>
      </c>
      <c r="H702" t="str">
        <f ca="1">IFERROR(__xludf.DUMMYFUNCTION("""COMPUTED_VALUE"""),"Gabbys creek")</f>
        <v>Gabbys creek</v>
      </c>
      <c r="I702" s="15">
        <f ca="1">IFERROR(__xludf.DUMMYFUNCTION("""COMPUTED_VALUE"""),0.58333333333212)</f>
        <v>0.58333333333212001</v>
      </c>
      <c r="J702" s="16">
        <f ca="1">IFERROR(__xludf.DUMMYFUNCTION("""COMPUTED_VALUE"""),44418.6041666666)</f>
        <v>44418.604166666599</v>
      </c>
      <c r="K702" t="str">
        <f ca="1">IFERROR(__xludf.DUMMYFUNCTION("""COMPUTED_VALUE"""),"23ft Skiff (Bertha) FL7972LJ DEP07613")</f>
        <v>23ft Skiff (Bertha) FL7972LJ DEP07613</v>
      </c>
      <c r="M702" t="str">
        <f ca="1">IFERROR(__xludf.DUMMYFUNCTION("""COMPUTED_VALUE"""),"Ford F150 2015 (White) - DEP21448")</f>
        <v>Ford F150 2015 (White) - DEP21448</v>
      </c>
      <c r="N702" t="str">
        <f ca="1">IFERROR(__xludf.DUMMYFUNCTION("""COMPUTED_VALUE"""),"Alee Knoell, (619) 750-4833")</f>
        <v>Alee Knoell, (619) 750-4833</v>
      </c>
      <c r="O702" t="str">
        <f ca="1">IFERROR(__xludf.DUMMYFUNCTION("""COMPUTED_VALUE"""),"Gabriela Canas, (904) 891-9743")</f>
        <v>Gabriela Canas, (904) 891-9743</v>
      </c>
      <c r="P702" t="str">
        <f ca="1">IFERROR(__xludf.DUMMYFUNCTION("""COMPUTED_VALUE"""),"Alee ")</f>
        <v xml:space="preserve">Alee </v>
      </c>
      <c r="Q702" t="str">
        <f ca="1">IFERROR(__xludf.DUMMYFUNCTION("""COMPUTED_VALUE"""),"All items in working order")</f>
        <v>All items in working order</v>
      </c>
      <c r="AE702" s="11"/>
      <c r="AF702" t="str">
        <v>Pamela.Marcum@floridadep.gov</v>
      </c>
      <c r="AG702" s="18"/>
    </row>
    <row r="703" spans="1:33" ht="12.75">
      <c r="A703" s="10">
        <f ca="1">IFERROR(__xludf.DUMMYFUNCTION("""COMPUTED_VALUE"""),44419.3505307986)</f>
        <v>44419.350530798598</v>
      </c>
      <c r="B703" s="11" t="str">
        <f ca="1">IFERROR(__xludf.DUMMYFUNCTION("""COMPUTED_VALUE"""),"Silas Tanner")</f>
        <v>Silas Tanner</v>
      </c>
      <c r="C703" t="str">
        <f ca="1">IFERROR(__xludf.DUMMYFUNCTION("""COMPUTED_VALUE"""),"silas.tanner@dep.state.fl.us")</f>
        <v>silas.tanner@dep.state.fl.us</v>
      </c>
      <c r="D703" t="str">
        <f ca="1">IFERROR(__xludf.DUMMYFUNCTION("""COMPUTED_VALUE"""),"Silas Tanner")</f>
        <v>Silas Tanner</v>
      </c>
      <c r="E703" t="str">
        <f ca="1">IFERROR(__xludf.DUMMYFUNCTION("""COMPUTED_VALUE"""),"Crane")</f>
        <v>Crane</v>
      </c>
      <c r="F703" s="13">
        <f ca="1">IFERROR(__xludf.DUMMYFUNCTION("""COMPUTED_VALUE"""),0.42708333333212)</f>
        <v>0.42708333333212001</v>
      </c>
      <c r="G703" s="14">
        <f ca="1">IFERROR(__xludf.DUMMYFUNCTION("""COMPUTED_VALUE"""),44419)</f>
        <v>44419</v>
      </c>
      <c r="H703" t="str">
        <f ca="1">IFERROR(__xludf.DUMMYFUNCTION("""COMPUTED_VALUE"""),"ICW SWMP sites")</f>
        <v>ICW SWMP sites</v>
      </c>
      <c r="I703" s="15">
        <f ca="1">IFERROR(__xludf.DUMMYFUNCTION("""COMPUTED_VALUE"""),0.61458333333212)</f>
        <v>0.61458333333212001</v>
      </c>
      <c r="J703" s="16">
        <f ca="1">IFERROR(__xludf.DUMMYFUNCTION("""COMPUTED_VALUE"""),44419.6458333333)</f>
        <v>44419.645833333299</v>
      </c>
      <c r="K703" t="str">
        <f ca="1">IFERROR(__xludf.DUMMYFUNCTION("""COMPUTED_VALUE"""),"23ft Skiff (Bertha) FL7972LJ DEP07613")</f>
        <v>23ft Skiff (Bertha) FL7972LJ DEP07613</v>
      </c>
      <c r="M703" t="str">
        <f ca="1">IFERROR(__xludf.DUMMYFUNCTION("""COMPUTED_VALUE"""),"Ford F150 2015 (White) - DEP21448")</f>
        <v>Ford F150 2015 (White) - DEP21448</v>
      </c>
      <c r="N703" t="str">
        <f ca="1">IFERROR(__xludf.DUMMYFUNCTION("""COMPUTED_VALUE"""),"Silas Tanner, (904) 483-8423, Remo Mondazzi")</f>
        <v>Silas Tanner, (904) 483-8423, Remo Mondazzi</v>
      </c>
      <c r="P703" t="str">
        <f ca="1">IFERROR(__xludf.DUMMYFUNCTION("""COMPUTED_VALUE"""),"Silas Tanner")</f>
        <v>Silas Tanner</v>
      </c>
      <c r="Q703" t="str">
        <f ca="1">IFERROR(__xludf.DUMMYFUNCTION("""COMPUTED_VALUE"""),"All items in working order")</f>
        <v>All items in working order</v>
      </c>
      <c r="AE703" s="11"/>
      <c r="AF703" t="str">
        <v>Silas.Tanner@floridadep.gov</v>
      </c>
      <c r="AG703" s="18"/>
    </row>
    <row r="704" spans="1:33" ht="12.75">
      <c r="A704" s="10">
        <f ca="1">IFERROR(__xludf.DUMMYFUNCTION("""COMPUTED_VALUE"""),44425.2770468171)</f>
        <v>44425.2770468171</v>
      </c>
      <c r="B704" s="11" t="str">
        <f ca="1">IFERROR(__xludf.DUMMYFUNCTION("""COMPUTED_VALUE"""),"Jimmy")</f>
        <v>Jimmy</v>
      </c>
      <c r="C704" t="str">
        <f ca="1">IFERROR(__xludf.DUMMYFUNCTION("""COMPUTED_VALUE"""),"james.tomazinis@floridadep.gov")</f>
        <v>james.tomazinis@floridadep.gov</v>
      </c>
      <c r="D704" t="str">
        <f ca="1">IFERROR(__xludf.DUMMYFUNCTION("""COMPUTED_VALUE"""),"Scott Eastman")</f>
        <v>Scott Eastman</v>
      </c>
      <c r="E704" t="str">
        <f ca="1">IFERROR(__xludf.DUMMYFUNCTION("""COMPUTED_VALUE"""),"Whitney")</f>
        <v>Whitney</v>
      </c>
      <c r="F704" s="13">
        <f ca="1">IFERROR(__xludf.DUMMYFUNCTION("""COMPUTED_VALUE"""),0.4375)</f>
        <v>0.4375</v>
      </c>
      <c r="G704" s="14">
        <f ca="1">IFERROR(__xludf.DUMMYFUNCTION("""COMPUTED_VALUE"""),44425)</f>
        <v>44425</v>
      </c>
      <c r="H704" t="str">
        <f ca="1">IFERROR(__xludf.DUMMYFUNCTION("""COMPUTED_VALUE"""),"Summerhaven and back")</f>
        <v>Summerhaven and back</v>
      </c>
      <c r="I704" s="15">
        <f ca="1">IFERROR(__xludf.DUMMYFUNCTION("""COMPUTED_VALUE"""),0.0833333333321206)</f>
        <v>8.3333333332120604E-2</v>
      </c>
      <c r="J704" s="16"/>
      <c r="K704" t="str">
        <f ca="1">IFERROR(__xludf.DUMMYFUNCTION("""COMPUTED_VALUE"""),"Kayak(s)")</f>
        <v>Kayak(s)</v>
      </c>
      <c r="L704">
        <f ca="1">IFERROR(__xludf.DUMMYFUNCTION("""COMPUTED_VALUE"""),6)</f>
        <v>6</v>
      </c>
      <c r="M704" t="str">
        <f ca="1">IFERROR(__xludf.DUMMYFUNCTION("""COMPUTED_VALUE"""),"F-bomb")</f>
        <v>F-bomb</v>
      </c>
      <c r="N704" t="str">
        <f ca="1">IFERROR(__xludf.DUMMYFUNCTION("""COMPUTED_VALUE"""),"Jimmy Tomazinis, (904) 547-0094")</f>
        <v>Jimmy Tomazinis, (904) 547-0094</v>
      </c>
      <c r="O704" t="str">
        <f ca="1">IFERROR(__xludf.DUMMYFUNCTION("""COMPUTED_VALUE"""),"Gabriela Canas, (904) 891-9743, Candace, Olivia, Sean, Zach ")</f>
        <v xml:space="preserve">Gabriela Canas, (904) 891-9743, Candace, Olivia, Sean, Zach </v>
      </c>
      <c r="P704" t="str">
        <f ca="1">IFERROR(__xludf.DUMMYFUNCTION("""COMPUTED_VALUE"""),"Jimmy")</f>
        <v>Jimmy</v>
      </c>
      <c r="Q704" t="str">
        <f ca="1">IFERROR(__xludf.DUMMYFUNCTION("""COMPUTED_VALUE"""),"All items in working order")</f>
        <v>All items in working order</v>
      </c>
      <c r="AE704" s="11"/>
      <c r="AF704" t="str">
        <v>Scott.Eastman@floridadep.gov</v>
      </c>
      <c r="AG704" s="18"/>
    </row>
    <row r="705" spans="1:33" ht="12.75">
      <c r="A705" s="10">
        <f ca="1">IFERROR(__xludf.DUMMYFUNCTION("""COMPUTED_VALUE"""),44426.2627060532)</f>
        <v>44426.262706053203</v>
      </c>
      <c r="B705" s="11" t="str">
        <f ca="1">IFERROR(__xludf.DUMMYFUNCTION("""COMPUTED_VALUE"""),"Olivia Roorbach")</f>
        <v>Olivia Roorbach</v>
      </c>
      <c r="C705" t="str">
        <f ca="1">IFERROR(__xludf.DUMMYFUNCTION("""COMPUTED_VALUE"""),"olivia.roorbach@floridadep.gov")</f>
        <v>olivia.roorbach@floridadep.gov</v>
      </c>
      <c r="D705" t="str">
        <f ca="1">IFERROR(__xludf.DUMMYFUNCTION("""COMPUTED_VALUE"""),"Pam Marcum")</f>
        <v>Pam Marcum</v>
      </c>
      <c r="E705" t="str">
        <f ca="1">IFERROR(__xludf.DUMMYFUNCTION("""COMPUTED_VALUE"""),"Dam")</f>
        <v>Dam</v>
      </c>
      <c r="F705" s="13">
        <f ca="1">IFERROR(__xludf.DUMMYFUNCTION("""COMPUTED_VALUE"""),0.27083333333212)</f>
        <v>0.27083333333212001</v>
      </c>
      <c r="G705" s="14">
        <f ca="1">IFERROR(__xludf.DUMMYFUNCTION("""COMPUTED_VALUE"""),44426)</f>
        <v>44426</v>
      </c>
      <c r="H705" t="str">
        <f ca="1">IFERROR(__xludf.DUMMYFUNCTION("""COMPUTED_VALUE"""),"Guana River and Guana Lake")</f>
        <v>Guana River and Guana Lake</v>
      </c>
      <c r="I705" s="15">
        <f ca="1">IFERROR(__xludf.DUMMYFUNCTION("""COMPUTED_VALUE"""),0.39583333333212)</f>
        <v>0.39583333333212001</v>
      </c>
      <c r="J705" s="16">
        <f ca="1">IFERROR(__xludf.DUMMYFUNCTION("""COMPUTED_VALUE"""),44426.4166666666)</f>
        <v>44426.416666666599</v>
      </c>
      <c r="K705" t="str">
        <f ca="1">IFERROR(__xludf.DUMMYFUNCTION("""COMPUTED_VALUE"""),"Jon Boat 1 FL5992RR DEP154045")</f>
        <v>Jon Boat 1 FL5992RR DEP154045</v>
      </c>
      <c r="M705" t="str">
        <f ca="1">IFERROR(__xludf.DUMMYFUNCTION("""COMPUTED_VALUE"""),"Ford F150 2015 (White) - DEP21448")</f>
        <v>Ford F150 2015 (White) - DEP21448</v>
      </c>
      <c r="N705" t="str">
        <f ca="1">IFERROR(__xludf.DUMMYFUNCTION("""COMPUTED_VALUE"""),"Olivia Roorbach, (404) 694-2653")</f>
        <v>Olivia Roorbach, (404) 694-2653</v>
      </c>
      <c r="O705" t="str">
        <f ca="1">IFERROR(__xludf.DUMMYFUNCTION("""COMPUTED_VALUE"""),"Ashley Reaume ")</f>
        <v xml:space="preserve">Ashley Reaume </v>
      </c>
      <c r="P705" t="str">
        <f ca="1">IFERROR(__xludf.DUMMYFUNCTION("""COMPUTED_VALUE"""),"Olivia Roorbach")</f>
        <v>Olivia Roorbach</v>
      </c>
      <c r="Q705" t="str">
        <f ca="1">IFERROR(__xludf.DUMMYFUNCTION("""COMPUTED_VALUE"""),"All items in working order")</f>
        <v>All items in working order</v>
      </c>
      <c r="AE705" s="11"/>
      <c r="AF705" t="str">
        <v>Pamela.Marcum@floridadep.gov</v>
      </c>
      <c r="AG705" s="18"/>
    </row>
    <row r="706" spans="1:33" ht="12.75">
      <c r="A706" s="10">
        <f ca="1">IFERROR(__xludf.DUMMYFUNCTION("""COMPUTED_VALUE"""),44426.3038889236)</f>
        <v>44426.303888923598</v>
      </c>
      <c r="B706" s="11" t="str">
        <f ca="1">IFERROR(__xludf.DUMMYFUNCTION("""COMPUTED_VALUE"""),"Jimmy")</f>
        <v>Jimmy</v>
      </c>
      <c r="C706" t="str">
        <f ca="1">IFERROR(__xludf.DUMMYFUNCTION("""COMPUTED_VALUE"""),"james.tomazinis@floridadep.gov")</f>
        <v>james.tomazinis@floridadep.gov</v>
      </c>
      <c r="D706" t="str">
        <f ca="1">IFERROR(__xludf.DUMMYFUNCTION("""COMPUTED_VALUE"""),"Scott Eastman")</f>
        <v>Scott Eastman</v>
      </c>
      <c r="E706" t="str">
        <f ca="1">IFERROR(__xludf.DUMMYFUNCTION("""COMPUTED_VALUE"""),"Whitney ")</f>
        <v xml:space="preserve">Whitney </v>
      </c>
      <c r="F706" s="13">
        <f ca="1">IFERROR(__xludf.DUMMYFUNCTION("""COMPUTED_VALUE"""),0.4375)</f>
        <v>0.4375</v>
      </c>
      <c r="G706" s="14">
        <f ca="1">IFERROR(__xludf.DUMMYFUNCTION("""COMPUTED_VALUE"""),44426)</f>
        <v>44426</v>
      </c>
      <c r="H706" t="str">
        <f ca="1">IFERROR(__xludf.DUMMYFUNCTION("""COMPUTED_VALUE"""),"ICW around Marineland")</f>
        <v>ICW around Marineland</v>
      </c>
      <c r="I706" s="15">
        <f ca="1">IFERROR(__xludf.DUMMYFUNCTION("""COMPUTED_VALUE"""),0.58333333333212)</f>
        <v>0.58333333333212001</v>
      </c>
      <c r="J706" s="16"/>
      <c r="K706" t="str">
        <f ca="1">IFERROR(__xludf.DUMMYFUNCTION("""COMPUTED_VALUE"""),"Kayak(s)")</f>
        <v>Kayak(s)</v>
      </c>
      <c r="L706">
        <f ca="1">IFERROR(__xludf.DUMMYFUNCTION("""COMPUTED_VALUE"""),4)</f>
        <v>4</v>
      </c>
      <c r="M706" t="str">
        <f ca="1">IFERROR(__xludf.DUMMYFUNCTION("""COMPUTED_VALUE"""),"F-bomb")</f>
        <v>F-bomb</v>
      </c>
      <c r="N706" t="str">
        <f ca="1">IFERROR(__xludf.DUMMYFUNCTION("""COMPUTED_VALUE"""),"Jimmy Tomazinis, (904) 547-0094")</f>
        <v>Jimmy Tomazinis, (904) 547-0094</v>
      </c>
      <c r="O706" t="str">
        <f ca="1">IFERROR(__xludf.DUMMYFUNCTION("""COMPUTED_VALUE"""),"Rauney, Courtney, Alyssa")</f>
        <v>Rauney, Courtney, Alyssa</v>
      </c>
      <c r="P706" t="str">
        <f ca="1">IFERROR(__xludf.DUMMYFUNCTION("""COMPUTED_VALUE"""),"Jimmy")</f>
        <v>Jimmy</v>
      </c>
      <c r="Q706" t="str">
        <f ca="1">IFERROR(__xludf.DUMMYFUNCTION("""COMPUTED_VALUE"""),"All items in working order")</f>
        <v>All items in working order</v>
      </c>
      <c r="AE706" s="11"/>
      <c r="AF706" t="str">
        <v>Scott.Eastman@floridadep.gov</v>
      </c>
      <c r="AG706" s="18"/>
    </row>
    <row r="707" spans="1:33" ht="12.75">
      <c r="A707" s="10">
        <f ca="1">IFERROR(__xludf.DUMMYFUNCTION("""COMPUTED_VALUE"""),44427.2717670949)</f>
        <v>44427.271767094899</v>
      </c>
      <c r="B707" s="11" t="str">
        <f ca="1">IFERROR(__xludf.DUMMYFUNCTION("""COMPUTED_VALUE"""),"Olivia Roorbach ")</f>
        <v xml:space="preserve">Olivia Roorbach </v>
      </c>
      <c r="C707" t="str">
        <f ca="1">IFERROR(__xludf.DUMMYFUNCTION("""COMPUTED_VALUE"""),"olivia.roorbach@floridadep.gov")</f>
        <v>olivia.roorbach@floridadep.gov</v>
      </c>
      <c r="D707" t="str">
        <f ca="1">IFERROR(__xludf.DUMMYFUNCTION("""COMPUTED_VALUE"""),"Shannon Dunnigan")</f>
        <v>Shannon Dunnigan</v>
      </c>
      <c r="E707" t="str">
        <f ca="1">IFERROR(__xludf.DUMMYFUNCTION("""COMPUTED_VALUE"""),"Vilano ")</f>
        <v xml:space="preserve">Vilano </v>
      </c>
      <c r="F707" s="13">
        <f ca="1">IFERROR(__xludf.DUMMYFUNCTION("""COMPUTED_VALUE"""),0.28125)</f>
        <v>0.28125</v>
      </c>
      <c r="G707" s="14">
        <f ca="1">IFERROR(__xludf.DUMMYFUNCTION("""COMPUTED_VALUE"""),44427)</f>
        <v>44427</v>
      </c>
      <c r="H707" t="str">
        <f ca="1">IFERROR(__xludf.DUMMYFUNCTION("""COMPUTED_VALUE"""),"SWMP sites")</f>
        <v>SWMP sites</v>
      </c>
      <c r="I707" s="15">
        <f ca="1">IFERROR(__xludf.DUMMYFUNCTION("""COMPUTED_VALUE"""),0.58333333333212)</f>
        <v>0.58333333333212001</v>
      </c>
      <c r="J707" s="16">
        <f ca="1">IFERROR(__xludf.DUMMYFUNCTION("""COMPUTED_VALUE"""),44427.6041666666)</f>
        <v>44427.604166666599</v>
      </c>
      <c r="K707" t="str">
        <f ca="1">IFERROR(__xludf.DUMMYFUNCTION("""COMPUTED_VALUE"""),"23ft Skiff (Bertha) FL7972LJ DEP07613")</f>
        <v>23ft Skiff (Bertha) FL7972LJ DEP07613</v>
      </c>
      <c r="M707" t="str">
        <f ca="1">IFERROR(__xludf.DUMMYFUNCTION("""COMPUTED_VALUE"""),"Ford F150 2015 (White) - DEP21448")</f>
        <v>Ford F150 2015 (White) - DEP21448</v>
      </c>
      <c r="N707" t="str">
        <f ca="1">IFERROR(__xludf.DUMMYFUNCTION("""COMPUTED_VALUE"""),"Alee Knoell, (619) 750-4833")</f>
        <v>Alee Knoell, (619) 750-4833</v>
      </c>
      <c r="O707" t="str">
        <f ca="1">IFERROR(__xludf.DUMMYFUNCTION("""COMPUTED_VALUE"""),"Olivia Roorbach, Ashley Reaume")</f>
        <v>Olivia Roorbach, Ashley Reaume</v>
      </c>
      <c r="P707" t="str">
        <f ca="1">IFERROR(__xludf.DUMMYFUNCTION("""COMPUTED_VALUE"""),"Alee Knoell ")</f>
        <v xml:space="preserve">Alee Knoell </v>
      </c>
      <c r="Q707" t="str">
        <f ca="1">IFERROR(__xludf.DUMMYFUNCTION("""COMPUTED_VALUE"""),"All items in working order")</f>
        <v>All items in working order</v>
      </c>
      <c r="AE707" s="11"/>
      <c r="AF707" t="str">
        <v>Shannon.Dunnigan@floridadep.gov</v>
      </c>
      <c r="AG707" s="18"/>
    </row>
    <row r="708" spans="1:33" ht="12.75">
      <c r="A708" s="10">
        <f ca="1">IFERROR(__xludf.DUMMYFUNCTION("""COMPUTED_VALUE"""),44432.326996412)</f>
        <v>44432.326996411997</v>
      </c>
      <c r="B708" s="11" t="str">
        <f ca="1">IFERROR(__xludf.DUMMYFUNCTION("""COMPUTED_VALUE"""),"Alexandria Knoell ")</f>
        <v xml:space="preserve">Alexandria Knoell </v>
      </c>
      <c r="C708" t="str">
        <f ca="1">IFERROR(__xludf.DUMMYFUNCTION("""COMPUTED_VALUE"""),"alee.knoell@floridadep.gov")</f>
        <v>alee.knoell@floridadep.gov</v>
      </c>
      <c r="D708" t="str">
        <f ca="1">IFERROR(__xludf.DUMMYFUNCTION("""COMPUTED_VALUE"""),"Nikki Dix")</f>
        <v>Nikki Dix</v>
      </c>
      <c r="E708" t="str">
        <f ca="1">IFERROR(__xludf.DUMMYFUNCTION("""COMPUTED_VALUE"""),"Faver dykes")</f>
        <v>Faver dykes</v>
      </c>
      <c r="F708" s="13">
        <f ca="1">IFERROR(__xludf.DUMMYFUNCTION("""COMPUTED_VALUE"""),0.322916666667879)</f>
        <v>0.32291666666787899</v>
      </c>
      <c r="G708" s="14">
        <f ca="1">IFERROR(__xludf.DUMMYFUNCTION("""COMPUTED_VALUE"""),44432)</f>
        <v>44432</v>
      </c>
      <c r="H708" t="str">
        <f ca="1">IFERROR(__xludf.DUMMYFUNCTION("""COMPUTED_VALUE"""),"Platforms")</f>
        <v>Platforms</v>
      </c>
      <c r="I708" s="15">
        <f ca="1">IFERROR(__xludf.DUMMYFUNCTION("""COMPUTED_VALUE"""),0.45833333333212)</f>
        <v>0.45833333333212001</v>
      </c>
      <c r="J708" s="16">
        <f ca="1">IFERROR(__xludf.DUMMYFUNCTION("""COMPUTED_VALUE"""),44432.5)</f>
        <v>44432.5</v>
      </c>
      <c r="K708" t="str">
        <f ca="1">IFERROR(__xludf.DUMMYFUNCTION("""COMPUTED_VALUE"""),"23ft Skiff (Bertha) FL7972LJ DEP07613")</f>
        <v>23ft Skiff (Bertha) FL7972LJ DEP07613</v>
      </c>
      <c r="M708" t="str">
        <f ca="1">IFERROR(__xludf.DUMMYFUNCTION("""COMPUTED_VALUE"""),"Ford F150 2015 (White) - DEP21448")</f>
        <v>Ford F150 2015 (White) - DEP21448</v>
      </c>
      <c r="N708" t="str">
        <f ca="1">IFERROR(__xludf.DUMMYFUNCTION("""COMPUTED_VALUE"""),"Pam Marcum, (480) 332-5414, Alee Knoell, (619) 750-4833")</f>
        <v>Pam Marcum, (480) 332-5414, Alee Knoell, (619) 750-4833</v>
      </c>
      <c r="P708" t="str">
        <f ca="1">IFERROR(__xludf.DUMMYFUNCTION("""COMPUTED_VALUE"""),"Pam Marcum")</f>
        <v>Pam Marcum</v>
      </c>
      <c r="Q708" t="str">
        <f ca="1">IFERROR(__xludf.DUMMYFUNCTION("""COMPUTED_VALUE"""),"All items in working order")</f>
        <v>All items in working order</v>
      </c>
      <c r="AE708" s="11"/>
      <c r="AF708" t="str">
        <v>Nikki.Dix@floridadep.gov</v>
      </c>
      <c r="AG708" s="18"/>
    </row>
    <row r="709" spans="1:33" ht="12.75">
      <c r="A709" s="10">
        <f ca="1">IFERROR(__xludf.DUMMYFUNCTION("""COMPUTED_VALUE"""),44433.3021493171)</f>
        <v>44433.302149317104</v>
      </c>
      <c r="B709" s="11" t="str">
        <f ca="1">IFERROR(__xludf.DUMMYFUNCTION("""COMPUTED_VALUE"""),"Shannon Dunnigan")</f>
        <v>Shannon Dunnigan</v>
      </c>
      <c r="C709" t="str">
        <f ca="1">IFERROR(__xludf.DUMMYFUNCTION("""COMPUTED_VALUE"""),"shannon.dunnigan@floridadep.gov")</f>
        <v>shannon.dunnigan@floridadep.gov</v>
      </c>
      <c r="D709" t="str">
        <f ca="1">IFERROR(__xludf.DUMMYFUNCTION("""COMPUTED_VALUE"""),"Pam Marcum")</f>
        <v>Pam Marcum</v>
      </c>
      <c r="E709" t="str">
        <f ca="1">IFERROR(__xludf.DUMMYFUNCTION("""COMPUTED_VALUE"""),"Vilano")</f>
        <v>Vilano</v>
      </c>
      <c r="F709" s="13">
        <f ca="1">IFERROR(__xludf.DUMMYFUNCTION("""COMPUTED_VALUE"""),0.3125)</f>
        <v>0.3125</v>
      </c>
      <c r="G709" s="14">
        <f ca="1">IFERROR(__xludf.DUMMYFUNCTION("""COMPUTED_VALUE"""),44433)</f>
        <v>44433</v>
      </c>
      <c r="H709" t="str">
        <f ca="1">IFERROR(__xludf.DUMMYFUNCTION("""COMPUTED_VALUE"""),"ICW SWMP sites")</f>
        <v>ICW SWMP sites</v>
      </c>
      <c r="I709" s="15">
        <f ca="1">IFERROR(__xludf.DUMMYFUNCTION("""COMPUTED_VALUE"""),0.52083333333212)</f>
        <v>0.52083333333212001</v>
      </c>
      <c r="J709" s="16">
        <f ca="1">IFERROR(__xludf.DUMMYFUNCTION("""COMPUTED_VALUE"""),44433.5520833333)</f>
        <v>44433.552083333299</v>
      </c>
      <c r="K709" t="str">
        <f ca="1">IFERROR(__xludf.DUMMYFUNCTION("""COMPUTED_VALUE"""),"23ft Skiff (Bertha) FL7972LJ DEP07613")</f>
        <v>23ft Skiff (Bertha) FL7972LJ DEP07613</v>
      </c>
      <c r="M709" t="str">
        <f ca="1">IFERROR(__xludf.DUMMYFUNCTION("""COMPUTED_VALUE"""),"Ford F250 2017 (Moby Dix) - DEP0021578")</f>
        <v>Ford F250 2017 (Moby Dix) - DEP0021578</v>
      </c>
      <c r="N709" t="str">
        <f ca="1">IFERROR(__xludf.DUMMYFUNCTION("""COMPUTED_VALUE"""),"Shannon Dunnigan, (803) 727-5734, Silas Tanner, (904) 483-8423")</f>
        <v>Shannon Dunnigan, (803) 727-5734, Silas Tanner, (904) 483-8423</v>
      </c>
      <c r="O709" t="str">
        <f ca="1">IFERROR(__xludf.DUMMYFUNCTION("""COMPUTED_VALUE"""),"Emma Wilkinson (intern)")</f>
        <v>Emma Wilkinson (intern)</v>
      </c>
      <c r="P709" t="str">
        <f ca="1">IFERROR(__xludf.DUMMYFUNCTION("""COMPUTED_VALUE"""),"Silas")</f>
        <v>Silas</v>
      </c>
      <c r="Q709" t="str">
        <f ca="1">IFERROR(__xludf.DUMMYFUNCTION("""COMPUTED_VALUE"""),"All items in working order")</f>
        <v>All items in working order</v>
      </c>
      <c r="AE709" s="11"/>
      <c r="AF709" t="str">
        <v>Pamela.Marcum@floridadep.gov</v>
      </c>
      <c r="AG709" s="18"/>
    </row>
    <row r="710" spans="1:33" ht="12.75">
      <c r="A710" s="10">
        <f ca="1">IFERROR(__xludf.DUMMYFUNCTION("""COMPUTED_VALUE"""),44434.3392420486)</f>
        <v>44434.339242048598</v>
      </c>
      <c r="B710" s="11" t="str">
        <f ca="1">IFERROR(__xludf.DUMMYFUNCTION("""COMPUTED_VALUE"""),"Pam Marcum")</f>
        <v>Pam Marcum</v>
      </c>
      <c r="C710" t="str">
        <f ca="1">IFERROR(__xludf.DUMMYFUNCTION("""COMPUTED_VALUE"""),"pamela.marcum@floridadep.gov")</f>
        <v>pamela.marcum@floridadep.gov</v>
      </c>
      <c r="D710" t="str">
        <f ca="1">IFERROR(__xludf.DUMMYFUNCTION("""COMPUTED_VALUE"""),"Nikki Dix")</f>
        <v>Nikki Dix</v>
      </c>
      <c r="E710" t="str">
        <f ca="1">IFERROR(__xludf.DUMMYFUNCTION("""COMPUTED_VALUE"""),"Shore dr")</f>
        <v>Shore dr</v>
      </c>
      <c r="F710" s="13">
        <f ca="1">IFERROR(__xludf.DUMMYFUNCTION("""COMPUTED_VALUE"""),0.33333333333212)</f>
        <v>0.33333333333212001</v>
      </c>
      <c r="G710" s="14">
        <f ca="1">IFERROR(__xludf.DUMMYFUNCTION("""COMPUTED_VALUE"""),44434)</f>
        <v>44434</v>
      </c>
      <c r="H710" t="str">
        <f ca="1">IFERROR(__xludf.DUMMYFUNCTION("""COMPUTED_VALUE"""),"Site 22")</f>
        <v>Site 22</v>
      </c>
      <c r="I710" s="15">
        <f ca="1">IFERROR(__xludf.DUMMYFUNCTION("""COMPUTED_VALUE"""),0.45833333333212)</f>
        <v>0.45833333333212001</v>
      </c>
      <c r="J710" s="16">
        <f ca="1">IFERROR(__xludf.DUMMYFUNCTION("""COMPUTED_VALUE"""),44434.4791666666)</f>
        <v>44434.479166666599</v>
      </c>
      <c r="K710" t="str">
        <f ca="1">IFERROR(__xludf.DUMMYFUNCTION("""COMPUTED_VALUE"""),"23ft Skiff (Bertha) FL7972LJ DEP07613")</f>
        <v>23ft Skiff (Bertha) FL7972LJ DEP07613</v>
      </c>
      <c r="M710" t="str">
        <f ca="1">IFERROR(__xludf.DUMMYFUNCTION("""COMPUTED_VALUE"""),"Ford F150 2015 (White) - DEP21448")</f>
        <v>Ford F150 2015 (White) - DEP21448</v>
      </c>
      <c r="N710" t="str">
        <f ca="1">IFERROR(__xludf.DUMMYFUNCTION("""COMPUTED_VALUE"""),"Pam Marcum, (480) 332-5414, Alee Knoell, (619) 750-4833")</f>
        <v>Pam Marcum, (480) 332-5414, Alee Knoell, (619) 750-4833</v>
      </c>
      <c r="P710" t="str">
        <f ca="1">IFERROR(__xludf.DUMMYFUNCTION("""COMPUTED_VALUE"""),"Pam")</f>
        <v>Pam</v>
      </c>
      <c r="Q710" t="str">
        <f ca="1">IFERROR(__xludf.DUMMYFUNCTION("""COMPUTED_VALUE"""),"All items in working order")</f>
        <v>All items in working order</v>
      </c>
      <c r="AE710" s="11"/>
      <c r="AF710" t="str">
        <v>Nikki.Dix@floridadep.gov</v>
      </c>
      <c r="AG710" s="18"/>
    </row>
    <row r="711" spans="1:33" ht="12.75">
      <c r="A711" s="10">
        <f ca="1">IFERROR(__xludf.DUMMYFUNCTION("""COMPUTED_VALUE"""),44435.5500709953)</f>
        <v>44435.550070995298</v>
      </c>
      <c r="B711" s="11" t="str">
        <f ca="1">IFERROR(__xludf.DUMMYFUNCTION("""COMPUTED_VALUE"""),"Alexandria Knoell ")</f>
        <v xml:space="preserve">Alexandria Knoell </v>
      </c>
      <c r="C711" t="str">
        <f ca="1">IFERROR(__xludf.DUMMYFUNCTION("""COMPUTED_VALUE"""),"alee.knoell@floridadep.gov")</f>
        <v>alee.knoell@floridadep.gov</v>
      </c>
      <c r="D711" t="str">
        <f ca="1">IFERROR(__xludf.DUMMYFUNCTION("""COMPUTED_VALUE"""),"Nikki Dix")</f>
        <v>Nikki Dix</v>
      </c>
      <c r="E711" t="str">
        <f ca="1">IFERROR(__xludf.DUMMYFUNCTION("""COMPUTED_VALUE"""),"Bings")</f>
        <v>Bings</v>
      </c>
      <c r="F711" s="13">
        <f ca="1">IFERROR(__xludf.DUMMYFUNCTION("""COMPUTED_VALUE"""),0.548611111109494)</f>
        <v>0.54861111110949401</v>
      </c>
      <c r="G711" s="14">
        <f ca="1">IFERROR(__xludf.DUMMYFUNCTION("""COMPUTED_VALUE"""),44435)</f>
        <v>44435</v>
      </c>
      <c r="H711" t="str">
        <f ca="1">IFERROR(__xludf.DUMMYFUNCTION("""COMPUTED_VALUE"""),"Platforms ")</f>
        <v xml:space="preserve">Platforms </v>
      </c>
      <c r="I711" s="15">
        <f ca="1">IFERROR(__xludf.DUMMYFUNCTION("""COMPUTED_VALUE"""),0.666666666667879)</f>
        <v>0.66666666666787899</v>
      </c>
      <c r="J711" s="16">
        <f ca="1">IFERROR(__xludf.DUMMYFUNCTION("""COMPUTED_VALUE"""),44435.7083333333)</f>
        <v>44435.708333333299</v>
      </c>
      <c r="K711" t="str">
        <f ca="1">IFERROR(__xludf.DUMMYFUNCTION("""COMPUTED_VALUE"""),"23ft Skiff (Bertha) FL7972LJ DEP07613")</f>
        <v>23ft Skiff (Bertha) FL7972LJ DEP07613</v>
      </c>
      <c r="M711" t="str">
        <f ca="1">IFERROR(__xludf.DUMMYFUNCTION("""COMPUTED_VALUE"""),"Ford F150 2015 (White) - DEP21448")</f>
        <v>Ford F150 2015 (White) - DEP21448</v>
      </c>
      <c r="N711" t="str">
        <f ca="1">IFERROR(__xludf.DUMMYFUNCTION("""COMPUTED_VALUE"""),"Pam Marcum, (480) 332-5414, Alee Knoell, (619) 750-4833")</f>
        <v>Pam Marcum, (480) 332-5414, Alee Knoell, (619) 750-4833</v>
      </c>
      <c r="P711" t="str">
        <f ca="1">IFERROR(__xludf.DUMMYFUNCTION("""COMPUTED_VALUE"""),"Alee")</f>
        <v>Alee</v>
      </c>
      <c r="Q711" t="str">
        <f ca="1">IFERROR(__xludf.DUMMYFUNCTION("""COMPUTED_VALUE"""),"All items in working order")</f>
        <v>All items in working order</v>
      </c>
      <c r="AE711" s="11"/>
      <c r="AF711" t="str">
        <v>Nikki.Dix@floridadep.gov</v>
      </c>
      <c r="AG711" s="18"/>
    </row>
    <row r="712" spans="1:33" ht="12.75">
      <c r="A712" s="10">
        <f ca="1">IFERROR(__xludf.DUMMYFUNCTION("""COMPUTED_VALUE"""),44439.2890620138)</f>
        <v>44439.289062013799</v>
      </c>
      <c r="B712" s="11" t="str">
        <f ca="1">IFERROR(__xludf.DUMMYFUNCTION("""COMPUTED_VALUE"""),"Pam Marcum")</f>
        <v>Pam Marcum</v>
      </c>
      <c r="C712" t="str">
        <f ca="1">IFERROR(__xludf.DUMMYFUNCTION("""COMPUTED_VALUE"""),"pamela.marcum@floridadep.gov")</f>
        <v>pamela.marcum@floridadep.gov</v>
      </c>
      <c r="D712" t="str">
        <f ca="1">IFERROR(__xludf.DUMMYFUNCTION("""COMPUTED_VALUE"""),"Nikki Dix")</f>
        <v>Nikki Dix</v>
      </c>
      <c r="E712" t="str">
        <f ca="1">IFERROR(__xludf.DUMMYFUNCTION("""COMPUTED_VALUE"""),"Butler")</f>
        <v>Butler</v>
      </c>
      <c r="F712" s="13">
        <f ca="1">IFERROR(__xludf.DUMMYFUNCTION("""COMPUTED_VALUE"""),0.291666666667879)</f>
        <v>0.29166666666787899</v>
      </c>
      <c r="G712" s="14">
        <f ca="1">IFERROR(__xludf.DUMMYFUNCTION("""COMPUTED_VALUE"""),44439)</f>
        <v>44439</v>
      </c>
      <c r="H712" t="str">
        <f ca="1">IFERROR(__xludf.DUMMYFUNCTION("""COMPUTED_VALUE"""),"Moses creek")</f>
        <v>Moses creek</v>
      </c>
      <c r="I712" s="15">
        <f ca="1">IFERROR(__xludf.DUMMYFUNCTION("""COMPUTED_VALUE"""),0.45833333333212)</f>
        <v>0.45833333333212001</v>
      </c>
      <c r="J712" s="16">
        <f ca="1">IFERROR(__xludf.DUMMYFUNCTION("""COMPUTED_VALUE"""),44439.5833333333)</f>
        <v>44439.583333333299</v>
      </c>
      <c r="K712" t="str">
        <f ca="1">IFERROR(__xludf.DUMMYFUNCTION("""COMPUTED_VALUE"""),"23ft Skiff (Bertha) FL7972LJ DEP07613")</f>
        <v>23ft Skiff (Bertha) FL7972LJ DEP07613</v>
      </c>
      <c r="M712" t="str">
        <f ca="1">IFERROR(__xludf.DUMMYFUNCTION("""COMPUTED_VALUE"""),"Ford F150 2015 (White) - DEP21448")</f>
        <v>Ford F150 2015 (White) - DEP21448</v>
      </c>
      <c r="N712" t="str">
        <f ca="1">IFERROR(__xludf.DUMMYFUNCTION("""COMPUTED_VALUE"""),"Pam Marcum, (480) 332-5414")</f>
        <v>Pam Marcum, (480) 332-5414</v>
      </c>
      <c r="O712" t="str">
        <f ca="1">IFERROR(__xludf.DUMMYFUNCTION("""COMPUTED_VALUE"""),"Brian Alexander")</f>
        <v>Brian Alexander</v>
      </c>
      <c r="P712" t="str">
        <f ca="1">IFERROR(__xludf.DUMMYFUNCTION("""COMPUTED_VALUE"""),"Pam")</f>
        <v>Pam</v>
      </c>
      <c r="Q712" t="str">
        <f ca="1">IFERROR(__xludf.DUMMYFUNCTION("""COMPUTED_VALUE"""),"All items in working order")</f>
        <v>All items in working order</v>
      </c>
      <c r="AE712" s="11"/>
      <c r="AF712" t="str">
        <v>Nikki.Dix@floridadep.gov</v>
      </c>
      <c r="AG712" s="18"/>
    </row>
    <row r="713" spans="1:33" ht="12.75">
      <c r="A713" s="10">
        <f ca="1">IFERROR(__xludf.DUMMYFUNCTION("""COMPUTED_VALUE"""),44439.4985228935)</f>
        <v>44439.498522893497</v>
      </c>
      <c r="B713" s="11" t="str">
        <f ca="1">IFERROR(__xludf.DUMMYFUNCTION("""COMPUTED_VALUE"""),"Pam Marcum")</f>
        <v>Pam Marcum</v>
      </c>
      <c r="C713" t="str">
        <f ca="1">IFERROR(__xludf.DUMMYFUNCTION("""COMPUTED_VALUE"""),"pamela.Marcum@floridadep.gov")</f>
        <v>pamela.Marcum@floridadep.gov</v>
      </c>
      <c r="D713" t="str">
        <f ca="1">IFERROR(__xludf.DUMMYFUNCTION("""COMPUTED_VALUE"""),"Nikki Dix")</f>
        <v>Nikki Dix</v>
      </c>
      <c r="E713" t="str">
        <f ca="1">IFERROR(__xludf.DUMMYFUNCTION("""COMPUTED_VALUE"""),"Bings")</f>
        <v>Bings</v>
      </c>
      <c r="F713" s="13">
        <f ca="1">IFERROR(__xludf.DUMMYFUNCTION("""COMPUTED_VALUE"""),0.5)</f>
        <v>0.5</v>
      </c>
      <c r="G713" s="14">
        <f ca="1">IFERROR(__xludf.DUMMYFUNCTION("""COMPUTED_VALUE"""),44439)</f>
        <v>44439</v>
      </c>
      <c r="H713" t="str">
        <f ca="1">IFERROR(__xludf.DUMMYFUNCTION("""COMPUTED_VALUE"""),"Wash oaks")</f>
        <v>Wash oaks</v>
      </c>
      <c r="I713" s="15">
        <f ca="1">IFERROR(__xludf.DUMMYFUNCTION("""COMPUTED_VALUE"""),0.58333333333212)</f>
        <v>0.58333333333212001</v>
      </c>
      <c r="J713" s="16">
        <f ca="1">IFERROR(__xludf.DUMMYFUNCTION("""COMPUTED_VALUE"""),44439.625)</f>
        <v>44439.625</v>
      </c>
      <c r="K713" t="str">
        <f ca="1">IFERROR(__xludf.DUMMYFUNCTION("""COMPUTED_VALUE"""),"23ft Skiff (Bertha) FL7972LJ DEP07613")</f>
        <v>23ft Skiff (Bertha) FL7972LJ DEP07613</v>
      </c>
      <c r="M713" t="str">
        <f ca="1">IFERROR(__xludf.DUMMYFUNCTION("""COMPUTED_VALUE"""),"Ford F150 2015 (White) - DEP21448")</f>
        <v>Ford F150 2015 (White) - DEP21448</v>
      </c>
      <c r="N713" t="str">
        <f ca="1">IFERROR(__xludf.DUMMYFUNCTION("""COMPUTED_VALUE"""),"Pam Marcum, (480) 332-5414")</f>
        <v>Pam Marcum, (480) 332-5414</v>
      </c>
      <c r="O713" t="str">
        <f ca="1">IFERROR(__xludf.DUMMYFUNCTION("""COMPUTED_VALUE"""),"Brian Alexander")</f>
        <v>Brian Alexander</v>
      </c>
      <c r="P713" t="str">
        <f ca="1">IFERROR(__xludf.DUMMYFUNCTION("""COMPUTED_VALUE"""),"Pam")</f>
        <v>Pam</v>
      </c>
      <c r="Q713" t="str">
        <f ca="1">IFERROR(__xludf.DUMMYFUNCTION("""COMPUTED_VALUE"""),"All items in working order")</f>
        <v>All items in working order</v>
      </c>
      <c r="AE713" s="11"/>
      <c r="AF713" t="str">
        <v>Nikki.Dix@floridadep.gov</v>
      </c>
      <c r="AG713" s="18"/>
    </row>
    <row r="714" spans="1:33" ht="12.75">
      <c r="A714" s="10">
        <f ca="1">IFERROR(__xludf.DUMMYFUNCTION("""COMPUTED_VALUE"""),44441.2864480902)</f>
        <v>44441.286448090199</v>
      </c>
      <c r="B714" s="11" t="str">
        <f ca="1">IFERROR(__xludf.DUMMYFUNCTION("""COMPUTED_VALUE"""),"Alexandria Knoell ")</f>
        <v xml:space="preserve">Alexandria Knoell </v>
      </c>
      <c r="C714" t="str">
        <f ca="1">IFERROR(__xludf.DUMMYFUNCTION("""COMPUTED_VALUE"""),"alee.knoell@floridadep.gov")</f>
        <v>alee.knoell@floridadep.gov</v>
      </c>
      <c r="D714" t="str">
        <f ca="1">IFERROR(__xludf.DUMMYFUNCTION("""COMPUTED_VALUE"""),"Nikki Dix")</f>
        <v>Nikki Dix</v>
      </c>
      <c r="E714" t="str">
        <f ca="1">IFERROR(__xludf.DUMMYFUNCTION("""COMPUTED_VALUE"""),"Aunt Kate’s ")</f>
        <v xml:space="preserve">Aunt Kate’s </v>
      </c>
      <c r="F714" s="13">
        <f ca="1">IFERROR(__xludf.DUMMYFUNCTION("""COMPUTED_VALUE"""),0.291666666667879)</f>
        <v>0.29166666666787899</v>
      </c>
      <c r="G714" s="14">
        <f ca="1">IFERROR(__xludf.DUMMYFUNCTION("""COMPUTED_VALUE"""),44441)</f>
        <v>44441</v>
      </c>
      <c r="H714" t="str">
        <f ca="1">IFERROR(__xludf.DUMMYFUNCTION("""COMPUTED_VALUE"""),"Hat island, pine island")</f>
        <v>Hat island, pine island</v>
      </c>
      <c r="I714" s="15">
        <f ca="1">IFERROR(__xludf.DUMMYFUNCTION("""COMPUTED_VALUE"""),0.541666666667879)</f>
        <v>0.54166666666787899</v>
      </c>
      <c r="J714" s="16">
        <f ca="1">IFERROR(__xludf.DUMMYFUNCTION("""COMPUTED_VALUE"""),44441.5625)</f>
        <v>44441.5625</v>
      </c>
      <c r="K714" t="str">
        <f ca="1">IFERROR(__xludf.DUMMYFUNCTION("""COMPUTED_VALUE"""),"23ft Skiff (Bertha) FL7972LJ DEP07613")</f>
        <v>23ft Skiff (Bertha) FL7972LJ DEP07613</v>
      </c>
      <c r="M714" t="str">
        <f ca="1">IFERROR(__xludf.DUMMYFUNCTION("""COMPUTED_VALUE"""),"Ford F150 2015 (White) - DEP21448")</f>
        <v>Ford F150 2015 (White) - DEP21448</v>
      </c>
      <c r="N714" t="str">
        <f ca="1">IFERROR(__xludf.DUMMYFUNCTION("""COMPUTED_VALUE"""),"Pam Marcum, (480) 332-5414, Alee Knoell, (619) 750-4833")</f>
        <v>Pam Marcum, (480) 332-5414, Alee Knoell, (619) 750-4833</v>
      </c>
      <c r="P714" t="str">
        <f ca="1">IFERROR(__xludf.DUMMYFUNCTION("""COMPUTED_VALUE"""),"Pam marcum")</f>
        <v>Pam marcum</v>
      </c>
      <c r="Q714" t="str">
        <f ca="1">IFERROR(__xludf.DUMMYFUNCTION("""COMPUTED_VALUE"""),"All items in working order")</f>
        <v>All items in working order</v>
      </c>
      <c r="AE714" s="11"/>
      <c r="AF714" t="str">
        <v>Nikki.Dix@floridadep.gov</v>
      </c>
      <c r="AG714" s="18"/>
    </row>
    <row r="715" spans="1:33" ht="12.75">
      <c r="A715" s="10">
        <f ca="1">IFERROR(__xludf.DUMMYFUNCTION("""COMPUTED_VALUE"""),44442.2961292824)</f>
        <v>44442.296129282397</v>
      </c>
      <c r="B715" s="11" t="str">
        <f ca="1">IFERROR(__xludf.DUMMYFUNCTION("""COMPUTED_VALUE"""),"Pam Marcum")</f>
        <v>Pam Marcum</v>
      </c>
      <c r="C715" t="str">
        <f ca="1">IFERROR(__xludf.DUMMYFUNCTION("""COMPUTED_VALUE"""),"pamela.marcum@floridadep.gov")</f>
        <v>pamela.marcum@floridadep.gov</v>
      </c>
      <c r="D715" t="str">
        <f ca="1">IFERROR(__xludf.DUMMYFUNCTION("""COMPUTED_VALUE"""),"Shannon Dunnigan")</f>
        <v>Shannon Dunnigan</v>
      </c>
      <c r="E715" t="str">
        <f ca="1">IFERROR(__xludf.DUMMYFUNCTION("""COMPUTED_VALUE"""),"Palm Valley")</f>
        <v>Palm Valley</v>
      </c>
      <c r="F715" s="13">
        <f ca="1">IFERROR(__xludf.DUMMYFUNCTION("""COMPUTED_VALUE"""),0.30208333333212)</f>
        <v>0.30208333333212001</v>
      </c>
      <c r="G715" s="14">
        <f ca="1">IFERROR(__xludf.DUMMYFUNCTION("""COMPUTED_VALUE"""),44442)</f>
        <v>44442</v>
      </c>
      <c r="H715" t="str">
        <f ca="1">IFERROR(__xludf.DUMMYFUNCTION("""COMPUTED_VALUE"""),"Pine Island")</f>
        <v>Pine Island</v>
      </c>
      <c r="I715" s="15">
        <f ca="1">IFERROR(__xludf.DUMMYFUNCTION("""COMPUTED_VALUE"""),0.541666666667879)</f>
        <v>0.54166666666787899</v>
      </c>
      <c r="J715" s="16">
        <f ca="1">IFERROR(__xludf.DUMMYFUNCTION("""COMPUTED_VALUE"""),44442.5625)</f>
        <v>44442.5625</v>
      </c>
      <c r="K715" t="str">
        <f ca="1">IFERROR(__xludf.DUMMYFUNCTION("""COMPUTED_VALUE"""),"23ft Skiff (Bertha) FL7972LJ DEP07613")</f>
        <v>23ft Skiff (Bertha) FL7972LJ DEP07613</v>
      </c>
      <c r="M715" t="str">
        <f ca="1">IFERROR(__xludf.DUMMYFUNCTION("""COMPUTED_VALUE"""),"Ford F150 2015 (White) - DEP21448")</f>
        <v>Ford F150 2015 (White) - DEP21448</v>
      </c>
      <c r="N715" t="str">
        <f ca="1">IFERROR(__xludf.DUMMYFUNCTION("""COMPUTED_VALUE"""),"Pam Marcum, (480) 332-5414, Alee Knoell, (619) 750-4833")</f>
        <v>Pam Marcum, (480) 332-5414, Alee Knoell, (619) 750-4833</v>
      </c>
      <c r="P715" t="str">
        <f ca="1">IFERROR(__xludf.DUMMYFUNCTION("""COMPUTED_VALUE"""),"Pam")</f>
        <v>Pam</v>
      </c>
      <c r="Q715" t="str">
        <f ca="1">IFERROR(__xludf.DUMMYFUNCTION("""COMPUTED_VALUE"""),"All items in working order")</f>
        <v>All items in working order</v>
      </c>
      <c r="AE715" s="11"/>
      <c r="AF715" t="str">
        <v>Shannon.Dunnigan@floridadep.gov</v>
      </c>
      <c r="AG715" s="18"/>
    </row>
    <row r="716" spans="1:33" ht="12.75">
      <c r="A716" s="10">
        <f ca="1">IFERROR(__xludf.DUMMYFUNCTION("""COMPUTED_VALUE"""),44446.3635890162)</f>
        <v>44446.363589016197</v>
      </c>
      <c r="B716" s="11" t="str">
        <f ca="1">IFERROR(__xludf.DUMMYFUNCTION("""COMPUTED_VALUE"""),"Olivia Roorbach")</f>
        <v>Olivia Roorbach</v>
      </c>
      <c r="C716" t="str">
        <f ca="1">IFERROR(__xludf.DUMMYFUNCTION("""COMPUTED_VALUE"""),"olivia.roorbach@floridadep.gov")</f>
        <v>olivia.roorbach@floridadep.gov</v>
      </c>
      <c r="D716" t="str">
        <f ca="1">IFERROR(__xludf.DUMMYFUNCTION("""COMPUTED_VALUE"""),"Pam Marcum")</f>
        <v>Pam Marcum</v>
      </c>
      <c r="E716" t="str">
        <f ca="1">IFERROR(__xludf.DUMMYFUNCTION("""COMPUTED_VALUE"""),"Guana dam")</f>
        <v>Guana dam</v>
      </c>
      <c r="F716" s="13">
        <f ca="1">IFERROR(__xludf.DUMMYFUNCTION("""COMPUTED_VALUE"""),0.430555555554747)</f>
        <v>0.430555555554747</v>
      </c>
      <c r="G716" s="14">
        <f ca="1">IFERROR(__xludf.DUMMYFUNCTION("""COMPUTED_VALUE"""),44446)</f>
        <v>44446</v>
      </c>
      <c r="H716" t="str">
        <f ca="1">IFERROR(__xludf.DUMMYFUNCTION("""COMPUTED_VALUE"""),"Guana river and lake")</f>
        <v>Guana river and lake</v>
      </c>
      <c r="I716" s="15">
        <f ca="1">IFERROR(__xludf.DUMMYFUNCTION("""COMPUTED_VALUE"""),0.604166666667879)</f>
        <v>0.60416666666787899</v>
      </c>
      <c r="J716" s="16">
        <f ca="1">IFERROR(__xludf.DUMMYFUNCTION("""COMPUTED_VALUE"""),44446.625)</f>
        <v>44446.625</v>
      </c>
      <c r="K716" t="str">
        <f ca="1">IFERROR(__xludf.DUMMYFUNCTION("""COMPUTED_VALUE"""),"Jon Boat 1 FL5992RR DEP154045, FWC airboat")</f>
        <v>Jon Boat 1 FL5992RR DEP154045, FWC airboat</v>
      </c>
      <c r="M716" t="str">
        <f ca="1">IFERROR(__xludf.DUMMYFUNCTION("""COMPUTED_VALUE"""),"Ford F150 2015 (White) - DEP21448")</f>
        <v>Ford F150 2015 (White) - DEP21448</v>
      </c>
      <c r="N716" t="str">
        <f ca="1">IFERROR(__xludf.DUMMYFUNCTION("""COMPUTED_VALUE"""),"Olivia Roorbach, (404) 694-2653")</f>
        <v>Olivia Roorbach, (404) 694-2653</v>
      </c>
      <c r="O716" t="str">
        <f ca="1">IFERROR(__xludf.DUMMYFUNCTION("""COMPUTED_VALUE"""),"Justina Dacey, Jenna Reimer")</f>
        <v>Justina Dacey, Jenna Reimer</v>
      </c>
      <c r="P716" t="str">
        <f ca="1">IFERROR(__xludf.DUMMYFUNCTION("""COMPUTED_VALUE"""),"Olivia Roorbach")</f>
        <v>Olivia Roorbach</v>
      </c>
      <c r="Q716" t="str">
        <f ca="1">IFERROR(__xludf.DUMMYFUNCTION("""COMPUTED_VALUE"""),"All items in working order")</f>
        <v>All items in working order</v>
      </c>
      <c r="AE716" s="11"/>
      <c r="AF716" t="str">
        <v>Pamela.Marcum@floridadep.gov</v>
      </c>
      <c r="AG716" s="18"/>
    </row>
    <row r="717" spans="1:33" ht="12.75">
      <c r="A717" s="10">
        <f ca="1">IFERROR(__xludf.DUMMYFUNCTION("""COMPUTED_VALUE"""),44447.4009582986)</f>
        <v>44447.400958298596</v>
      </c>
      <c r="B717" s="11" t="str">
        <f ca="1">IFERROR(__xludf.DUMMYFUNCTION("""COMPUTED_VALUE"""),"Alexandria Knoell ")</f>
        <v xml:space="preserve">Alexandria Knoell </v>
      </c>
      <c r="C717" t="str">
        <f ca="1">IFERROR(__xludf.DUMMYFUNCTION("""COMPUTED_VALUE"""),"alee.knoell@floridadep.gov")</f>
        <v>alee.knoell@floridadep.gov</v>
      </c>
      <c r="D717" t="str">
        <f ca="1">IFERROR(__xludf.DUMMYFUNCTION("""COMPUTED_VALUE"""),"Silas Tanner")</f>
        <v>Silas Tanner</v>
      </c>
      <c r="E717" t="str">
        <f ca="1">IFERROR(__xludf.DUMMYFUNCTION("""COMPUTED_VALUE"""),"Vilano")</f>
        <v>Vilano</v>
      </c>
      <c r="F717" s="13">
        <f ca="1">IFERROR(__xludf.DUMMYFUNCTION("""COMPUTED_VALUE"""),0.416666666667879)</f>
        <v>0.41666666666787899</v>
      </c>
      <c r="G717" s="14">
        <f ca="1">IFERROR(__xludf.DUMMYFUNCTION("""COMPUTED_VALUE"""),44447)</f>
        <v>44447</v>
      </c>
      <c r="H717" t="str">
        <f ca="1">IFERROR(__xludf.DUMMYFUNCTION("""COMPUTED_VALUE"""),"Nut run")</f>
        <v>Nut run</v>
      </c>
      <c r="I717" s="15">
        <f ca="1">IFERROR(__xludf.DUMMYFUNCTION("""COMPUTED_VALUE"""),0.58333333333212)</f>
        <v>0.58333333333212001</v>
      </c>
      <c r="J717" s="16">
        <f ca="1">IFERROR(__xludf.DUMMYFUNCTION("""COMPUTED_VALUE"""),44447.625)</f>
        <v>44447.625</v>
      </c>
      <c r="K717" t="str">
        <f ca="1">IFERROR(__xludf.DUMMYFUNCTION("""COMPUTED_VALUE"""),"23ft Skiff (Bertha) FL7972LJ DEP07613")</f>
        <v>23ft Skiff (Bertha) FL7972LJ DEP07613</v>
      </c>
      <c r="M717" t="str">
        <f ca="1">IFERROR(__xludf.DUMMYFUNCTION("""COMPUTED_VALUE"""),"Ford F150 2015 (White) - DEP21448")</f>
        <v>Ford F150 2015 (White) - DEP21448</v>
      </c>
      <c r="N717" t="str">
        <f ca="1">IFERROR(__xludf.DUMMYFUNCTION("""COMPUTED_VALUE"""),"Alee Knoell, (619) 750-4833")</f>
        <v>Alee Knoell, (619) 750-4833</v>
      </c>
      <c r="O717" t="str">
        <f ca="1">IFERROR(__xludf.DUMMYFUNCTION("""COMPUTED_VALUE"""),"Ashley r, Emma w")</f>
        <v>Ashley r, Emma w</v>
      </c>
      <c r="P717" t="str">
        <f ca="1">IFERROR(__xludf.DUMMYFUNCTION("""COMPUTED_VALUE"""),"Alee")</f>
        <v>Alee</v>
      </c>
      <c r="Q717" t="str">
        <f ca="1">IFERROR(__xludf.DUMMYFUNCTION("""COMPUTED_VALUE"""),"All items in working order")</f>
        <v>All items in working order</v>
      </c>
      <c r="AE717" s="11"/>
      <c r="AF717" t="str">
        <v>Silas.Tanner@floridadep.gov</v>
      </c>
      <c r="AG717" s="18"/>
    </row>
    <row r="718" spans="1:33" ht="12.75">
      <c r="A718" s="10">
        <f ca="1">IFERROR(__xludf.DUMMYFUNCTION("""COMPUTED_VALUE"""),44448.3391574884)</f>
        <v>44448.339157488401</v>
      </c>
      <c r="B718" s="11" t="str">
        <f ca="1">IFERROR(__xludf.DUMMYFUNCTION("""COMPUTED_VALUE"""),"Silas Tanner")</f>
        <v>Silas Tanner</v>
      </c>
      <c r="C718" t="str">
        <f ca="1">IFERROR(__xludf.DUMMYFUNCTION("""COMPUTED_VALUE"""),"silas.tanner@floridadep.gov")</f>
        <v>silas.tanner@floridadep.gov</v>
      </c>
      <c r="D718" t="str">
        <f ca="1">IFERROR(__xludf.DUMMYFUNCTION("""COMPUTED_VALUE"""),"Nikki Dix")</f>
        <v>Nikki Dix</v>
      </c>
      <c r="E718" t="str">
        <f ca="1">IFERROR(__xludf.DUMMYFUNCTION("""COMPUTED_VALUE"""),"Vilano")</f>
        <v>Vilano</v>
      </c>
      <c r="F718" s="13">
        <f ca="1">IFERROR(__xludf.DUMMYFUNCTION("""COMPUTED_VALUE"""),0.385416666667879)</f>
        <v>0.38541666666787899</v>
      </c>
      <c r="G718" s="14">
        <f ca="1">IFERROR(__xludf.DUMMYFUNCTION("""COMPUTED_VALUE"""),44448)</f>
        <v>44448</v>
      </c>
      <c r="H718" t="str">
        <f ca="1">IFERROR(__xludf.DUMMYFUNCTION("""COMPUTED_VALUE"""),"ICW SWMP Sites")</f>
        <v>ICW SWMP Sites</v>
      </c>
      <c r="I718" s="15">
        <f ca="1">IFERROR(__xludf.DUMMYFUNCTION("""COMPUTED_VALUE"""),0.625)</f>
        <v>0.625</v>
      </c>
      <c r="J718" s="16">
        <f ca="1">IFERROR(__xludf.DUMMYFUNCTION("""COMPUTED_VALUE"""),44448.6666666666)</f>
        <v>44448.666666666599</v>
      </c>
      <c r="K718" t="str">
        <f ca="1">IFERROR(__xludf.DUMMYFUNCTION("""COMPUTED_VALUE"""),"20ft Sea Ark FL5351SJ UNF 2015")</f>
        <v>20ft Sea Ark FL5351SJ UNF 2015</v>
      </c>
      <c r="M718" t="str">
        <f ca="1">IFERROR(__xludf.DUMMYFUNCTION("""COMPUTED_VALUE"""),"Ford F150 2015 (White) - DEP21448")</f>
        <v>Ford F150 2015 (White) - DEP21448</v>
      </c>
      <c r="N718" t="str">
        <f ca="1">IFERROR(__xludf.DUMMYFUNCTION("""COMPUTED_VALUE"""),"Silas Tanner, (904) 483-8423, Remo Mondazzi")</f>
        <v>Silas Tanner, (904) 483-8423, Remo Mondazzi</v>
      </c>
      <c r="P718" t="str">
        <f ca="1">IFERROR(__xludf.DUMMYFUNCTION("""COMPUTED_VALUE"""),"S. Tanner")</f>
        <v>S. Tanner</v>
      </c>
      <c r="Q718" t="str">
        <f ca="1">IFERROR(__xludf.DUMMYFUNCTION("""COMPUTED_VALUE"""),"All items in working order")</f>
        <v>All items in working order</v>
      </c>
      <c r="AE718" s="11"/>
      <c r="AF718" t="str">
        <v>Nikki.Dix@floridadep.gov</v>
      </c>
      <c r="AG718" s="18"/>
    </row>
    <row r="719" spans="1:33" ht="12.75">
      <c r="A719" s="10">
        <f ca="1">IFERROR(__xludf.DUMMYFUNCTION("""COMPUTED_VALUE"""),44453.3233247222)</f>
        <v>44453.323324722202</v>
      </c>
      <c r="B719" s="11" t="str">
        <f ca="1">IFERROR(__xludf.DUMMYFUNCTION("""COMPUTED_VALUE"""),"Pam Marcum")</f>
        <v>Pam Marcum</v>
      </c>
      <c r="C719" t="str">
        <f ca="1">IFERROR(__xludf.DUMMYFUNCTION("""COMPUTED_VALUE"""),"pamelamarcum@floridadep.gov")</f>
        <v>pamelamarcum@floridadep.gov</v>
      </c>
      <c r="D719" t="str">
        <f ca="1">IFERROR(__xludf.DUMMYFUNCTION("""COMPUTED_VALUE"""),"Alee Knoell")</f>
        <v>Alee Knoell</v>
      </c>
      <c r="E719" t="str">
        <f ca="1">IFERROR(__xludf.DUMMYFUNCTION("""COMPUTED_VALUE"""),"Palm Valley")</f>
        <v>Palm Valley</v>
      </c>
      <c r="F719" s="13">
        <f ca="1">IFERROR(__xludf.DUMMYFUNCTION("""COMPUTED_VALUE"""),0.322916666667879)</f>
        <v>0.32291666666787899</v>
      </c>
      <c r="G719" s="14">
        <f ca="1">IFERROR(__xludf.DUMMYFUNCTION("""COMPUTED_VALUE"""),44453)</f>
        <v>44453</v>
      </c>
      <c r="H719" t="str">
        <f ca="1">IFERROR(__xludf.DUMMYFUNCTION("""COMPUTED_VALUE"""),"Hat Island")</f>
        <v>Hat Island</v>
      </c>
      <c r="I719" s="15">
        <f ca="1">IFERROR(__xludf.DUMMYFUNCTION("""COMPUTED_VALUE"""),0.0208333333321206)</f>
        <v>2.0833333332120601E-2</v>
      </c>
      <c r="J719" s="16">
        <f ca="1">IFERROR(__xludf.DUMMYFUNCTION("""COMPUTED_VALUE"""),44453.5416666666)</f>
        <v>44453.541666666599</v>
      </c>
      <c r="K719" t="str">
        <f ca="1">IFERROR(__xludf.DUMMYFUNCTION("""COMPUTED_VALUE"""),"F 20ft Sea Ark (Easy 200) FL8534PY DEP21451")</f>
        <v>F 20ft Sea Ark (Easy 200) FL8534PY DEP21451</v>
      </c>
      <c r="M719" t="str">
        <f ca="1">IFERROR(__xludf.DUMMYFUNCTION("""COMPUTED_VALUE"""),"Old ap f150")</f>
        <v>Old ap f150</v>
      </c>
      <c r="N719" t="str">
        <f ca="1">IFERROR(__xludf.DUMMYFUNCTION("""COMPUTED_VALUE"""),"Pam Marcum, (480) 332-5414")</f>
        <v>Pam Marcum, (480) 332-5414</v>
      </c>
      <c r="O719" t="str">
        <f ca="1">IFERROR(__xludf.DUMMYFUNCTION("""COMPUTED_VALUE"""),"5 EWE passengers")</f>
        <v>5 EWE passengers</v>
      </c>
      <c r="P719" t="str">
        <f ca="1">IFERROR(__xludf.DUMMYFUNCTION("""COMPUTED_VALUE"""),"Pam")</f>
        <v>Pam</v>
      </c>
      <c r="Q719" t="str">
        <f ca="1">IFERROR(__xludf.DUMMYFUNCTION("""COMPUTED_VALUE"""),"All items in working order")</f>
        <v>All items in working order</v>
      </c>
      <c r="AE719" s="11"/>
      <c r="AF719" t="str">
        <v/>
      </c>
      <c r="AG719" s="18"/>
    </row>
    <row r="720" spans="1:33" ht="12.75">
      <c r="A720" s="10">
        <f ca="1">IFERROR(__xludf.DUMMYFUNCTION("""COMPUTED_VALUE"""),44453.3268161458)</f>
        <v>44453.326816145804</v>
      </c>
      <c r="B720" s="11" t="str">
        <f ca="1">IFERROR(__xludf.DUMMYFUNCTION("""COMPUTED_VALUE"""),"Silas Tanner")</f>
        <v>Silas Tanner</v>
      </c>
      <c r="C720" t="str">
        <f ca="1">IFERROR(__xludf.DUMMYFUNCTION("""COMPUTED_VALUE"""),"Silas.Tanner@floridadep.gov")</f>
        <v>Silas.Tanner@floridadep.gov</v>
      </c>
      <c r="D720" t="str">
        <f ca="1">IFERROR(__xludf.DUMMYFUNCTION("""COMPUTED_VALUE"""),"Alee Knoell")</f>
        <v>Alee Knoell</v>
      </c>
      <c r="E720" t="str">
        <f ca="1">IFERROR(__xludf.DUMMYFUNCTION("""COMPUTED_VALUE"""),"Palm Valley")</f>
        <v>Palm Valley</v>
      </c>
      <c r="F720" s="13">
        <f ca="1">IFERROR(__xludf.DUMMYFUNCTION("""COMPUTED_VALUE"""),0.322916666667879)</f>
        <v>0.32291666666787899</v>
      </c>
      <c r="G720" s="14">
        <f ca="1">IFERROR(__xludf.DUMMYFUNCTION("""COMPUTED_VALUE"""),44453)</f>
        <v>44453</v>
      </c>
      <c r="H720" t="str">
        <f ca="1">IFERROR(__xludf.DUMMYFUNCTION("""COMPUTED_VALUE"""),"Hat Island")</f>
        <v>Hat Island</v>
      </c>
      <c r="I720" s="15">
        <f ca="1">IFERROR(__xludf.DUMMYFUNCTION("""COMPUTED_VALUE"""),0.52083333333212)</f>
        <v>0.52083333333212001</v>
      </c>
      <c r="J720" s="16">
        <f ca="1">IFERROR(__xludf.DUMMYFUNCTION("""COMPUTED_VALUE"""),44453.5416666666)</f>
        <v>44453.541666666599</v>
      </c>
      <c r="K720" t="str">
        <f ca="1">IFERROR(__xludf.DUMMYFUNCTION("""COMPUTED_VALUE"""),"20ft Sea Ark FL5351SJ UNF 2015")</f>
        <v>20ft Sea Ark FL5351SJ UNF 2015</v>
      </c>
      <c r="M720" t="str">
        <f ca="1">IFERROR(__xludf.DUMMYFUNCTION("""COMPUTED_VALUE"""),"Ford F150 2010 (4 Door) - DEP07668")</f>
        <v>Ford F150 2010 (4 Door) - DEP07668</v>
      </c>
      <c r="N720" t="str">
        <f ca="1">IFERROR(__xludf.DUMMYFUNCTION("""COMPUTED_VALUE"""),"Silas Tanner, (904) 483-8423")</f>
        <v>Silas Tanner, (904) 483-8423</v>
      </c>
      <c r="O720" t="str">
        <f ca="1">IFERROR(__xludf.DUMMYFUNCTION("""COMPUTED_VALUE"""),"5 EWE Passengers")</f>
        <v>5 EWE Passengers</v>
      </c>
      <c r="P720" t="str">
        <f ca="1">IFERROR(__xludf.DUMMYFUNCTION("""COMPUTED_VALUE"""),"Silas")</f>
        <v>Silas</v>
      </c>
      <c r="Q720" t="str">
        <f ca="1">IFERROR(__xludf.DUMMYFUNCTION("""COMPUTED_VALUE"""),"All items in working order")</f>
        <v>All items in working order</v>
      </c>
      <c r="AE720" s="11"/>
      <c r="AF720" t="str">
        <v/>
      </c>
      <c r="AG720" s="18"/>
    </row>
    <row r="721" spans="1:33" ht="12.75">
      <c r="A721" s="10">
        <f ca="1">IFERROR(__xludf.DUMMYFUNCTION("""COMPUTED_VALUE"""),44453.3282197106)</f>
        <v>44453.328219710602</v>
      </c>
      <c r="B721" s="11" t="str">
        <f ca="1">IFERROR(__xludf.DUMMYFUNCTION("""COMPUTED_VALUE"""),"Gabby Canas")</f>
        <v>Gabby Canas</v>
      </c>
      <c r="C721" t="str">
        <f ca="1">IFERROR(__xludf.DUMMYFUNCTION("""COMPUTED_VALUE"""),"gabriela.canas@floridadep.gov")</f>
        <v>gabriela.canas@floridadep.gov</v>
      </c>
      <c r="D721" t="str">
        <f ca="1">IFERROR(__xludf.DUMMYFUNCTION("""COMPUTED_VALUE"""),"Alee Knoell")</f>
        <v>Alee Knoell</v>
      </c>
      <c r="E721" t="str">
        <f ca="1">IFERROR(__xludf.DUMMYFUNCTION("""COMPUTED_VALUE"""),"Palm valley")</f>
        <v>Palm valley</v>
      </c>
      <c r="F721" s="13">
        <f ca="1">IFERROR(__xludf.DUMMYFUNCTION("""COMPUTED_VALUE"""),0.322916666667879)</f>
        <v>0.32291666666787899</v>
      </c>
      <c r="G721" s="14">
        <f ca="1">IFERROR(__xludf.DUMMYFUNCTION("""COMPUTED_VALUE"""),44453)</f>
        <v>44453</v>
      </c>
      <c r="H721" t="str">
        <f ca="1">IFERROR(__xludf.DUMMYFUNCTION("""COMPUTED_VALUE"""),"Hat Island")</f>
        <v>Hat Island</v>
      </c>
      <c r="I721" s="15">
        <f ca="1">IFERROR(__xludf.DUMMYFUNCTION("""COMPUTED_VALUE"""),0.52083333333212)</f>
        <v>0.52083333333212001</v>
      </c>
      <c r="J721" s="16">
        <f ca="1">IFERROR(__xludf.DUMMYFUNCTION("""COMPUTED_VALUE"""),44453.5416666666)</f>
        <v>44453.541666666599</v>
      </c>
      <c r="K721" t="str">
        <f ca="1">IFERROR(__xludf.DUMMYFUNCTION("""COMPUTED_VALUE"""),"23ft Skiff (Bertha) FL7972LJ DEP07613")</f>
        <v>23ft Skiff (Bertha) FL7972LJ DEP07613</v>
      </c>
      <c r="M721" t="str">
        <f ca="1">IFERROR(__xludf.DUMMYFUNCTION("""COMPUTED_VALUE"""),"Ford F250 2017 (Moby Dix) - DEP0021578")</f>
        <v>Ford F250 2017 (Moby Dix) - DEP0021578</v>
      </c>
      <c r="N721" t="str">
        <f ca="1">IFERROR(__xludf.DUMMYFUNCTION("""COMPUTED_VALUE"""),"Gabby")</f>
        <v>Gabby</v>
      </c>
      <c r="O721" t="str">
        <f ca="1">IFERROR(__xludf.DUMMYFUNCTION("""COMPUTED_VALUE"""),"8 EWE passenger")</f>
        <v>8 EWE passenger</v>
      </c>
      <c r="P721" t="str">
        <f ca="1">IFERROR(__xludf.DUMMYFUNCTION("""COMPUTED_VALUE"""),"Gabby")</f>
        <v>Gabby</v>
      </c>
      <c r="Q721" t="str">
        <f ca="1">IFERROR(__xludf.DUMMYFUNCTION("""COMPUTED_VALUE"""),"All items in working order")</f>
        <v>All items in working order</v>
      </c>
      <c r="AE721" s="11"/>
      <c r="AF721" t="str">
        <v/>
      </c>
      <c r="AG721" s="18"/>
    </row>
    <row r="722" spans="1:33" ht="12.75">
      <c r="A722" s="10">
        <f ca="1">IFERROR(__xludf.DUMMYFUNCTION("""COMPUTED_VALUE"""),44454.3619181944)</f>
        <v>44454.361918194401</v>
      </c>
      <c r="B722" s="11" t="str">
        <f ca="1">IFERROR(__xludf.DUMMYFUNCTION("""COMPUTED_VALUE"""),"Gabriela Canas")</f>
        <v>Gabriela Canas</v>
      </c>
      <c r="C722" t="str">
        <f ca="1">IFERROR(__xludf.DUMMYFUNCTION("""COMPUTED_VALUE"""),"gabriela.canas@dep.state.fl.us")</f>
        <v>gabriela.canas@dep.state.fl.us</v>
      </c>
      <c r="D722" t="str">
        <f ca="1">IFERROR(__xludf.DUMMYFUNCTION("""COMPUTED_VALUE"""),"Pam Marcum")</f>
        <v>Pam Marcum</v>
      </c>
      <c r="E722" t="str">
        <f ca="1">IFERROR(__xludf.DUMMYFUNCTION("""COMPUTED_VALUE"""),"Douglas crabe")</f>
        <v>Douglas crabe</v>
      </c>
      <c r="F722" s="13">
        <f ca="1">IFERROR(__xludf.DUMMYFUNCTION("""COMPUTED_VALUE"""),0.375)</f>
        <v>0.375</v>
      </c>
      <c r="G722" s="14">
        <f ca="1">IFERROR(__xludf.DUMMYFUNCTION("""COMPUTED_VALUE"""),44453)</f>
        <v>44453</v>
      </c>
      <c r="H722" t="str">
        <f ca="1">IFERROR(__xludf.DUMMYFUNCTION("""COMPUTED_VALUE"""),"Wetfeet middle site")</f>
        <v>Wetfeet middle site</v>
      </c>
      <c r="I722" s="15">
        <f ca="1">IFERROR(__xludf.DUMMYFUNCTION("""COMPUTED_VALUE"""),0.625)</f>
        <v>0.625</v>
      </c>
      <c r="J722" s="16">
        <f ca="1">IFERROR(__xludf.DUMMYFUNCTION("""COMPUTED_VALUE"""),44454.6666666666)</f>
        <v>44454.666666666599</v>
      </c>
      <c r="K722" t="str">
        <f ca="1">IFERROR(__xludf.DUMMYFUNCTION("""COMPUTED_VALUE"""),"23ft Skiff (Bertha) FL7972LJ DEP07613")</f>
        <v>23ft Skiff (Bertha) FL7972LJ DEP07613</v>
      </c>
      <c r="M722" t="str">
        <f ca="1">IFERROR(__xludf.DUMMYFUNCTION("""COMPUTED_VALUE"""),"Ford F250 2017 (Moby Dix) - DEP0021578")</f>
        <v>Ford F250 2017 (Moby Dix) - DEP0021578</v>
      </c>
      <c r="N722" t="str">
        <f ca="1">IFERROR(__xludf.DUMMYFUNCTION("""COMPUTED_VALUE"""),"Gabby Canas 9048919743")</f>
        <v>Gabby Canas 9048919743</v>
      </c>
      <c r="O722" t="str">
        <f ca="1">IFERROR(__xludf.DUMMYFUNCTION("""COMPUTED_VALUE"""),"Gabriela Canas, (904) 891-9743, Sam Chapman, Adam Langley, Gregg, Emma, Morgan, Jocelyn, Tess, ")</f>
        <v xml:space="preserve">Gabriela Canas, (904) 891-9743, Sam Chapman, Adam Langley, Gregg, Emma, Morgan, Jocelyn, Tess, </v>
      </c>
      <c r="P722" t="str">
        <f ca="1">IFERROR(__xludf.DUMMYFUNCTION("""COMPUTED_VALUE"""),"Gabby canas")</f>
        <v>Gabby canas</v>
      </c>
      <c r="Q722" t="str">
        <f ca="1">IFERROR(__xludf.DUMMYFUNCTION("""COMPUTED_VALUE"""),"All items in working order")</f>
        <v>All items in working order</v>
      </c>
      <c r="AE722" s="11"/>
      <c r="AF722" t="str">
        <v>Pamela.Marcum@floridadep.gov</v>
      </c>
      <c r="AG722" s="18"/>
    </row>
    <row r="723" spans="1:33" ht="12.75">
      <c r="A723" s="10">
        <f ca="1">IFERROR(__xludf.DUMMYFUNCTION("""COMPUTED_VALUE"""),44460.295270787)</f>
        <v>44460.295270786999</v>
      </c>
      <c r="B723" s="11" t="str">
        <f ca="1">IFERROR(__xludf.DUMMYFUNCTION("""COMPUTED_VALUE"""),"Silas Tanner")</f>
        <v>Silas Tanner</v>
      </c>
      <c r="C723" t="str">
        <f ca="1">IFERROR(__xludf.DUMMYFUNCTION("""COMPUTED_VALUE"""),"silas.tanner@floridadep.gov")</f>
        <v>silas.tanner@floridadep.gov</v>
      </c>
      <c r="D723" t="str">
        <f ca="1">IFERROR(__xludf.DUMMYFUNCTION("""COMPUTED_VALUE"""),"Nikki Dix")</f>
        <v>Nikki Dix</v>
      </c>
      <c r="E723" t="str">
        <f ca="1">IFERROR(__xludf.DUMMYFUNCTION("""COMPUTED_VALUE"""),"Crane")</f>
        <v>Crane</v>
      </c>
      <c r="F723" s="13">
        <f ca="1">IFERROR(__xludf.DUMMYFUNCTION("""COMPUTED_VALUE"""),0.322916666667879)</f>
        <v>0.32291666666787899</v>
      </c>
      <c r="G723" s="14">
        <f ca="1">IFERROR(__xludf.DUMMYFUNCTION("""COMPUTED_VALUE"""),44460)</f>
        <v>44460</v>
      </c>
      <c r="H723" t="str">
        <f ca="1">IFERROR(__xludf.DUMMYFUNCTION("""COMPUTED_VALUE"""),"ICW SWMP Sites")</f>
        <v>ICW SWMP Sites</v>
      </c>
      <c r="I723" s="15">
        <f ca="1">IFERROR(__xludf.DUMMYFUNCTION("""COMPUTED_VALUE"""),0.541666666667879)</f>
        <v>0.54166666666787899</v>
      </c>
      <c r="J723" s="16">
        <f ca="1">IFERROR(__xludf.DUMMYFUNCTION("""COMPUTED_VALUE"""),44460.5729166666)</f>
        <v>44460.572916666599</v>
      </c>
      <c r="K723" t="str">
        <f ca="1">IFERROR(__xludf.DUMMYFUNCTION("""COMPUTED_VALUE"""),"20ft Sea Ark FL5351SJ UNF 2015")</f>
        <v>20ft Sea Ark FL5351SJ UNF 2015</v>
      </c>
      <c r="M723" t="str">
        <f ca="1">IFERROR(__xludf.DUMMYFUNCTION("""COMPUTED_VALUE"""),"Ford F250 2017 (Moby Dix) - DEP0021578")</f>
        <v>Ford F250 2017 (Moby Dix) - DEP0021578</v>
      </c>
      <c r="N723" t="str">
        <f ca="1">IFERROR(__xludf.DUMMYFUNCTION("""COMPUTED_VALUE"""),"Silas Tanner, (904) 483-8423, Remo")</f>
        <v>Silas Tanner, (904) 483-8423, Remo</v>
      </c>
      <c r="P723" t="str">
        <f ca="1">IFERROR(__xludf.DUMMYFUNCTION("""COMPUTED_VALUE"""),"Tanner")</f>
        <v>Tanner</v>
      </c>
      <c r="Q723" t="str">
        <f ca="1">IFERROR(__xludf.DUMMYFUNCTION("""COMPUTED_VALUE"""),"All items in working order")</f>
        <v>All items in working order</v>
      </c>
      <c r="AE723" s="11"/>
      <c r="AF723" t="str">
        <v>Nikki.Dix@floridadep.gov</v>
      </c>
      <c r="AG723" s="18"/>
    </row>
    <row r="724" spans="1:33" ht="12.75">
      <c r="A724" s="10">
        <f ca="1">IFERROR(__xludf.DUMMYFUNCTION("""COMPUTED_VALUE"""),44461.3413334374)</f>
        <v>44461.341333437398</v>
      </c>
      <c r="B724" s="11" t="str">
        <f ca="1">IFERROR(__xludf.DUMMYFUNCTION("""COMPUTED_VALUE"""),"Pam Marcum")</f>
        <v>Pam Marcum</v>
      </c>
      <c r="C724" t="str">
        <f ca="1">IFERROR(__xludf.DUMMYFUNCTION("""COMPUTED_VALUE"""),"pamela.marcum@floridadep.gov")</f>
        <v>pamela.marcum@floridadep.gov</v>
      </c>
      <c r="D724" t="str">
        <f ca="1">IFERROR(__xludf.DUMMYFUNCTION("""COMPUTED_VALUE"""),"Nikki Dix")</f>
        <v>Nikki Dix</v>
      </c>
      <c r="E724" t="str">
        <f ca="1">IFERROR(__xludf.DUMMYFUNCTION("""COMPUTED_VALUE"""),"Faver-dykes")</f>
        <v>Faver-dykes</v>
      </c>
      <c r="F724" s="13">
        <f ca="1">IFERROR(__xludf.DUMMYFUNCTION("""COMPUTED_VALUE"""),0.340277777777373)</f>
        <v>0.340277777777373</v>
      </c>
      <c r="G724" s="14">
        <f ca="1">IFERROR(__xludf.DUMMYFUNCTION("""COMPUTED_VALUE"""),44461)</f>
        <v>44461</v>
      </c>
      <c r="H724" t="str">
        <f ca="1">IFERROR(__xludf.DUMMYFUNCTION("""COMPUTED_VALUE"""),"Pellicer creek mouth")</f>
        <v>Pellicer creek mouth</v>
      </c>
      <c r="I724" s="15">
        <f ca="1">IFERROR(__xludf.DUMMYFUNCTION("""COMPUTED_VALUE"""),0.541666666667879)</f>
        <v>0.54166666666787899</v>
      </c>
      <c r="J724" s="16">
        <f ca="1">IFERROR(__xludf.DUMMYFUNCTION("""COMPUTED_VALUE"""),44461.5833333333)</f>
        <v>44461.583333333299</v>
      </c>
      <c r="K724" t="str">
        <f ca="1">IFERROR(__xludf.DUMMYFUNCTION("""COMPUTED_VALUE"""),"20ft Sea Ark FL5351SJ UNF 2015")</f>
        <v>20ft Sea Ark FL5351SJ UNF 2015</v>
      </c>
      <c r="M724" t="str">
        <f ca="1">IFERROR(__xludf.DUMMYFUNCTION("""COMPUTED_VALUE"""),"Ford F250 2017 (Moby Dix) - DEP0021578")</f>
        <v>Ford F250 2017 (Moby Dix) - DEP0021578</v>
      </c>
      <c r="N724" t="str">
        <f ca="1">IFERROR(__xludf.DUMMYFUNCTION("""COMPUTED_VALUE"""),"Pam Marcum, (480) 332-5414, Alee Knoell, (619) 750-4833")</f>
        <v>Pam Marcum, (480) 332-5414, Alee Knoell, (619) 750-4833</v>
      </c>
      <c r="P724" t="str">
        <f ca="1">IFERROR(__xludf.DUMMYFUNCTION("""COMPUTED_VALUE"""),"Pam")</f>
        <v>Pam</v>
      </c>
      <c r="Q724" t="str">
        <f ca="1">IFERROR(__xludf.DUMMYFUNCTION("""COMPUTED_VALUE"""),"All items in working order")</f>
        <v>All items in working order</v>
      </c>
      <c r="AE724" s="11"/>
      <c r="AF724" t="str">
        <v>Nikki.Dix@floridadep.gov</v>
      </c>
      <c r="AG724" s="18"/>
    </row>
    <row r="725" spans="1:33" ht="12.75">
      <c r="A725" s="10">
        <f ca="1">IFERROR(__xludf.DUMMYFUNCTION("""COMPUTED_VALUE"""),44462.2773576851)</f>
        <v>44462.277357685103</v>
      </c>
      <c r="B725" s="11" t="str">
        <f ca="1">IFERROR(__xludf.DUMMYFUNCTION("""COMPUTED_VALUE"""),"Pam Marcum")</f>
        <v>Pam Marcum</v>
      </c>
      <c r="C725" t="str">
        <f ca="1">IFERROR(__xludf.DUMMYFUNCTION("""COMPUTED_VALUE"""),"pamela.marcum@floridadep.gov")</f>
        <v>pamela.marcum@floridadep.gov</v>
      </c>
      <c r="D725" t="str">
        <f ca="1">IFERROR(__xludf.DUMMYFUNCTION("""COMPUTED_VALUE"""),"Nikki Dix")</f>
        <v>Nikki Dix</v>
      </c>
      <c r="E725" t="str">
        <f ca="1">IFERROR(__xludf.DUMMYFUNCTION("""COMPUTED_VALUE"""),"Bings")</f>
        <v>Bings</v>
      </c>
      <c r="F725" s="13">
        <f ca="1">IFERROR(__xludf.DUMMYFUNCTION("""COMPUTED_VALUE"""),0.27083333333212)</f>
        <v>0.27083333333212001</v>
      </c>
      <c r="G725" s="14">
        <f ca="1">IFERROR(__xludf.DUMMYFUNCTION("""COMPUTED_VALUE"""),44462)</f>
        <v>44462</v>
      </c>
      <c r="H725" t="str">
        <f ca="1">IFERROR(__xludf.DUMMYFUNCTION("""COMPUTED_VALUE"""),"Washington oaks platform")</f>
        <v>Washington oaks platform</v>
      </c>
      <c r="I725" s="15">
        <f ca="1">IFERROR(__xludf.DUMMYFUNCTION("""COMPUTED_VALUE"""),0.5)</f>
        <v>0.5</v>
      </c>
      <c r="J725" s="16">
        <f ca="1">IFERROR(__xludf.DUMMYFUNCTION("""COMPUTED_VALUE"""),44462.5416666666)</f>
        <v>44462.541666666599</v>
      </c>
      <c r="K725" t="str">
        <f ca="1">IFERROR(__xludf.DUMMYFUNCTION("""COMPUTED_VALUE"""),"20ft Sea Ark FL5351SJ UNF 2015")</f>
        <v>20ft Sea Ark FL5351SJ UNF 2015</v>
      </c>
      <c r="M725" t="str">
        <f ca="1">IFERROR(__xludf.DUMMYFUNCTION("""COMPUTED_VALUE"""),"Ford F250 2017 (Moby Dix) - DEP0021578")</f>
        <v>Ford F250 2017 (Moby Dix) - DEP0021578</v>
      </c>
      <c r="N725" t="str">
        <f ca="1">IFERROR(__xludf.DUMMYFUNCTION("""COMPUTED_VALUE"""),"Pam Marcum, (480) 332-5414, Alee Knoell, (619) 750-4833")</f>
        <v>Pam Marcum, (480) 332-5414, Alee Knoell, (619) 750-4833</v>
      </c>
      <c r="P725" t="str">
        <f ca="1">IFERROR(__xludf.DUMMYFUNCTION("""COMPUTED_VALUE"""),"Pam")</f>
        <v>Pam</v>
      </c>
      <c r="Q725" t="str">
        <f ca="1">IFERROR(__xludf.DUMMYFUNCTION("""COMPUTED_VALUE"""),"All items in working order")</f>
        <v>All items in working order</v>
      </c>
      <c r="AE725" s="11"/>
      <c r="AF725" t="str">
        <v>Nikki.Dix@floridadep.gov</v>
      </c>
      <c r="AG725" s="18"/>
    </row>
    <row r="726" spans="1:33" ht="12.75">
      <c r="A726" s="10">
        <f ca="1">IFERROR(__xludf.DUMMYFUNCTION("""COMPUTED_VALUE"""),44466.4073311805)</f>
        <v>44466.407331180497</v>
      </c>
      <c r="B726" s="11" t="str">
        <f ca="1">IFERROR(__xludf.DUMMYFUNCTION("""COMPUTED_VALUE"""),"Pam Marcum")</f>
        <v>Pam Marcum</v>
      </c>
      <c r="C726" t="str">
        <f ca="1">IFERROR(__xludf.DUMMYFUNCTION("""COMPUTED_VALUE"""),"pamela.marcum@floridadep.gov")</f>
        <v>pamela.marcum@floridadep.gov</v>
      </c>
      <c r="D726" t="str">
        <f ca="1">IFERROR(__xludf.DUMMYFUNCTION("""COMPUTED_VALUE"""),"Nikki Dix")</f>
        <v>Nikki Dix</v>
      </c>
      <c r="E726" t="str">
        <f ca="1">IFERROR(__xludf.DUMMYFUNCTION("""COMPUTED_VALUE"""),"Palm Valley")</f>
        <v>Palm Valley</v>
      </c>
      <c r="F726" s="13">
        <f ca="1">IFERROR(__xludf.DUMMYFUNCTION("""COMPUTED_VALUE"""),0.34375)</f>
        <v>0.34375</v>
      </c>
      <c r="G726" s="14">
        <f ca="1">IFERROR(__xludf.DUMMYFUNCTION("""COMPUTED_VALUE"""),44466)</f>
        <v>44466</v>
      </c>
      <c r="H726" t="str">
        <f ca="1">IFERROR(__xludf.DUMMYFUNCTION("""COMPUTED_VALUE"""),"Pine island")</f>
        <v>Pine island</v>
      </c>
      <c r="I726" s="15">
        <f ca="1">IFERROR(__xludf.DUMMYFUNCTION("""COMPUTED_VALUE"""),0.52083333333212)</f>
        <v>0.52083333333212001</v>
      </c>
      <c r="J726" s="16">
        <f ca="1">IFERROR(__xludf.DUMMYFUNCTION("""COMPUTED_VALUE"""),44466.5416666666)</f>
        <v>44466.541666666599</v>
      </c>
      <c r="K726" t="str">
        <f ca="1">IFERROR(__xludf.DUMMYFUNCTION("""COMPUTED_VALUE"""),"20ft Sea Ark FL5351SJ UNF 2015")</f>
        <v>20ft Sea Ark FL5351SJ UNF 2015</v>
      </c>
      <c r="M726" t="str">
        <f ca="1">IFERROR(__xludf.DUMMYFUNCTION("""COMPUTED_VALUE"""),"Ford F250 2017 (Moby Dix) - DEP0021578")</f>
        <v>Ford F250 2017 (Moby Dix) - DEP0021578</v>
      </c>
      <c r="N726" t="str">
        <f ca="1">IFERROR(__xludf.DUMMYFUNCTION("""COMPUTED_VALUE"""),"Pam Marcum, (480) 332-5414, Alee Knoell, (619) 750-4833")</f>
        <v>Pam Marcum, (480) 332-5414, Alee Knoell, (619) 750-4833</v>
      </c>
      <c r="O726" t="str">
        <f ca="1">IFERROR(__xludf.DUMMYFUNCTION("""COMPUTED_VALUE"""),"Walter Newsom, Emma Wilkinson")</f>
        <v>Walter Newsom, Emma Wilkinson</v>
      </c>
      <c r="P726" t="str">
        <f ca="1">IFERROR(__xludf.DUMMYFUNCTION("""COMPUTED_VALUE"""),"Pam")</f>
        <v>Pam</v>
      </c>
      <c r="Q726" t="str">
        <f ca="1">IFERROR(__xludf.DUMMYFUNCTION("""COMPUTED_VALUE"""),"All items in working order")</f>
        <v>All items in working order</v>
      </c>
      <c r="AE726" s="11"/>
      <c r="AF726" t="str">
        <v>Nikki.Dix@floridadep.gov</v>
      </c>
      <c r="AG726" s="18"/>
    </row>
    <row r="727" spans="1:33" ht="12.75">
      <c r="A727" s="10">
        <f ca="1">IFERROR(__xludf.DUMMYFUNCTION("""COMPUTED_VALUE"""),44467.3364815625)</f>
        <v>44467.336481562503</v>
      </c>
      <c r="B727" s="11" t="str">
        <f ca="1">IFERROR(__xludf.DUMMYFUNCTION("""COMPUTED_VALUE"""),"Pam Marcum")</f>
        <v>Pam Marcum</v>
      </c>
      <c r="C727" t="str">
        <f ca="1">IFERROR(__xludf.DUMMYFUNCTION("""COMPUTED_VALUE"""),"Pamela.Marcum@FloridaDEP.gov")</f>
        <v>Pamela.Marcum@FloridaDEP.gov</v>
      </c>
      <c r="D727" t="str">
        <f ca="1">IFERROR(__xludf.DUMMYFUNCTION("""COMPUTED_VALUE"""),"Nikki Dix")</f>
        <v>Nikki Dix</v>
      </c>
      <c r="E727" t="str">
        <f ca="1">IFERROR(__xludf.DUMMYFUNCTION("""COMPUTED_VALUE"""),"Shore Dr")</f>
        <v>Shore Dr</v>
      </c>
      <c r="F727" s="13">
        <f ca="1">IFERROR(__xludf.DUMMYFUNCTION("""COMPUTED_VALUE"""),0.33333333333212)</f>
        <v>0.33333333333212001</v>
      </c>
      <c r="G727" s="14">
        <f ca="1">IFERROR(__xludf.DUMMYFUNCTION("""COMPUTED_VALUE"""),44467)</f>
        <v>44467</v>
      </c>
      <c r="H727" t="str">
        <f ca="1">IFERROR(__xludf.DUMMYFUNCTION("""COMPUTED_VALUE"""),"Site 22")</f>
        <v>Site 22</v>
      </c>
      <c r="I727" s="15">
        <f ca="1">IFERROR(__xludf.DUMMYFUNCTION("""COMPUTED_VALUE"""),0)</f>
        <v>0</v>
      </c>
      <c r="J727" s="16">
        <f ca="1">IFERROR(__xludf.DUMMYFUNCTION("""COMPUTED_VALUE"""),44467.5416666666)</f>
        <v>44467.541666666599</v>
      </c>
      <c r="K727" t="str">
        <f ca="1">IFERROR(__xludf.DUMMYFUNCTION("""COMPUTED_VALUE"""),"20ft Sea Ark FL5351SJ UNF 2015")</f>
        <v>20ft Sea Ark FL5351SJ UNF 2015</v>
      </c>
      <c r="M727" t="str">
        <f ca="1">IFERROR(__xludf.DUMMYFUNCTION("""COMPUTED_VALUE"""),"Ford F250 2017 (Moby Dix) - DEP0021578")</f>
        <v>Ford F250 2017 (Moby Dix) - DEP0021578</v>
      </c>
      <c r="N727" t="str">
        <f ca="1">IFERROR(__xludf.DUMMYFUNCTION("""COMPUTED_VALUE"""),"Pam Marcum, (480) 332-5414, Alee Knoell, (619) 750-4833, Remo Mondazzi")</f>
        <v>Pam Marcum, (480) 332-5414, Alee Knoell, (619) 750-4833, Remo Mondazzi</v>
      </c>
      <c r="P727" t="str">
        <f ca="1">IFERROR(__xludf.DUMMYFUNCTION("""COMPUTED_VALUE"""),"Pam")</f>
        <v>Pam</v>
      </c>
      <c r="Q727" t="str">
        <f ca="1">IFERROR(__xludf.DUMMYFUNCTION("""COMPUTED_VALUE"""),"All items in working order")</f>
        <v>All items in working order</v>
      </c>
      <c r="AE727" s="11"/>
      <c r="AF727" t="str">
        <v>Nikki.Dix@floridadep.gov</v>
      </c>
      <c r="AG727" s="18"/>
    </row>
    <row r="728" spans="1:33" ht="12.75">
      <c r="A728" s="10">
        <f ca="1">IFERROR(__xludf.DUMMYFUNCTION("""COMPUTED_VALUE"""),44467.5938329745)</f>
        <v>44467.593832974497</v>
      </c>
      <c r="B728" s="11" t="str">
        <f ca="1">IFERROR(__xludf.DUMMYFUNCTION("""COMPUTED_VALUE"""),"Alee knoell")</f>
        <v>Alee knoell</v>
      </c>
      <c r="C728" t="str">
        <f ca="1">IFERROR(__xludf.DUMMYFUNCTION("""COMPUTED_VALUE"""),"alee.knoell@floridadep.gov")</f>
        <v>alee.knoell@floridadep.gov</v>
      </c>
      <c r="D728" t="str">
        <f ca="1">IFERROR(__xludf.DUMMYFUNCTION("""COMPUTED_VALUE"""),"Nikki Dix")</f>
        <v>Nikki Dix</v>
      </c>
      <c r="E728" t="str">
        <f ca="1">IFERROR(__xludf.DUMMYFUNCTION("""COMPUTED_VALUE"""),"Aunt Kate’s ")</f>
        <v xml:space="preserve">Aunt Kate’s </v>
      </c>
      <c r="F728" s="13">
        <f ca="1">IFERROR(__xludf.DUMMYFUNCTION("""COMPUTED_VALUE"""),0.590277777777373)</f>
        <v>0.590277777777373</v>
      </c>
      <c r="G728" s="14">
        <f ca="1">IFERROR(__xludf.DUMMYFUNCTION("""COMPUTED_VALUE"""),44467)</f>
        <v>44467</v>
      </c>
      <c r="H728" t="str">
        <f ca="1">IFERROR(__xludf.DUMMYFUNCTION("""COMPUTED_VALUE"""),"Hat island, pine island ")</f>
        <v xml:space="preserve">Hat island, pine island </v>
      </c>
      <c r="I728" s="15">
        <f ca="1">IFERROR(__xludf.DUMMYFUNCTION("""COMPUTED_VALUE"""),0.70833333333212)</f>
        <v>0.70833333333212001</v>
      </c>
      <c r="J728" s="16">
        <f ca="1">IFERROR(__xludf.DUMMYFUNCTION("""COMPUTED_VALUE"""),44467.7291666666)</f>
        <v>44467.729166666599</v>
      </c>
      <c r="K728" t="str">
        <f ca="1">IFERROR(__xludf.DUMMYFUNCTION("""COMPUTED_VALUE"""),"20ft Sea Ark FL5351SJ UNF 2015")</f>
        <v>20ft Sea Ark FL5351SJ UNF 2015</v>
      </c>
      <c r="M728" t="str">
        <f ca="1">IFERROR(__xludf.DUMMYFUNCTION("""COMPUTED_VALUE"""),"Ford F250 2017 (Moby Dix) - DEP0021578")</f>
        <v>Ford F250 2017 (Moby Dix) - DEP0021578</v>
      </c>
      <c r="N728" t="str">
        <f ca="1">IFERROR(__xludf.DUMMYFUNCTION("""COMPUTED_VALUE"""),"Pam Marcum, (480) 332-5414, Alee Knoell, (619) 750-4833")</f>
        <v>Pam Marcum, (480) 332-5414, Alee Knoell, (619) 750-4833</v>
      </c>
      <c r="P728" t="str">
        <f ca="1">IFERROR(__xludf.DUMMYFUNCTION("""COMPUTED_VALUE"""),"Pam marcum ")</f>
        <v xml:space="preserve">Pam marcum </v>
      </c>
      <c r="Q728" t="str">
        <f ca="1">IFERROR(__xludf.DUMMYFUNCTION("""COMPUTED_VALUE"""),"All items in working order")</f>
        <v>All items in working order</v>
      </c>
      <c r="AE728" s="11"/>
      <c r="AF728" t="str">
        <v>Nikki.Dix@floridadep.gov</v>
      </c>
      <c r="AG728" s="18"/>
    </row>
    <row r="729" spans="1:33" ht="12.75">
      <c r="A729" s="10">
        <f ca="1">IFERROR(__xludf.DUMMYFUNCTION("""COMPUTED_VALUE"""),44467.7606075347)</f>
        <v>44467.760607534699</v>
      </c>
      <c r="B729" s="11" t="str">
        <f ca="1">IFERROR(__xludf.DUMMYFUNCTION("""COMPUTED_VALUE"""),"Jimmy Tomazinis")</f>
        <v>Jimmy Tomazinis</v>
      </c>
      <c r="C729" t="str">
        <f ca="1">IFERROR(__xludf.DUMMYFUNCTION("""COMPUTED_VALUE"""),"james.tomazinis@floridadep.gov")</f>
        <v>james.tomazinis@floridadep.gov</v>
      </c>
      <c r="D729" t="str">
        <f ca="1">IFERROR(__xludf.DUMMYFUNCTION("""COMPUTED_VALUE"""),"Jimmy Tomazinis")</f>
        <v>Jimmy Tomazinis</v>
      </c>
      <c r="E729" t="str">
        <f ca="1">IFERROR(__xludf.DUMMYFUNCTION("""COMPUTED_VALUE"""),"Sawpit Creek")</f>
        <v>Sawpit Creek</v>
      </c>
      <c r="F729" s="13">
        <f ca="1">IFERROR(__xludf.DUMMYFUNCTION("""COMPUTED_VALUE"""),0.40625)</f>
        <v>0.40625</v>
      </c>
      <c r="G729" s="14">
        <f ca="1">IFERROR(__xludf.DUMMYFUNCTION("""COMPUTED_VALUE"""),44468)</f>
        <v>44468</v>
      </c>
      <c r="H729" t="str">
        <f ca="1">IFERROR(__xludf.DUMMYFUNCTION("""COMPUTED_VALUE"""),"Nassau and Amelia Rivers")</f>
        <v>Nassau and Amelia Rivers</v>
      </c>
      <c r="I729" s="15">
        <f ca="1">IFERROR(__xludf.DUMMYFUNCTION("""COMPUTED_VALUE"""),0.625)</f>
        <v>0.625</v>
      </c>
      <c r="J729" s="16"/>
      <c r="K729" t="str">
        <f ca="1">IFERROR(__xludf.DUMMYFUNCTION("""COMPUTED_VALUE"""),"F 20ft Sea Ark (Easy 200) FL8534PY DEP21451")</f>
        <v>F 20ft Sea Ark (Easy 200) FL8534PY DEP21451</v>
      </c>
      <c r="M729" t="str">
        <f ca="1">IFERROR(__xludf.DUMMYFUNCTION("""COMPUTED_VALUE"""),"F-bomb")</f>
        <v>F-bomb</v>
      </c>
      <c r="N729" t="str">
        <f ca="1">IFERROR(__xludf.DUMMYFUNCTION("""COMPUTED_VALUE"""),"Jimmy Tomazinis, (904) 547-0094")</f>
        <v>Jimmy Tomazinis, (904) 547-0094</v>
      </c>
      <c r="O729" t="str">
        <f ca="1">IFERROR(__xludf.DUMMYFUNCTION("""COMPUTED_VALUE"""),"Scott and Suzi")</f>
        <v>Scott and Suzi</v>
      </c>
      <c r="P729" t="str">
        <f ca="1">IFERROR(__xludf.DUMMYFUNCTION("""COMPUTED_VALUE"""),"Jimmy")</f>
        <v>Jimmy</v>
      </c>
      <c r="Q729" t="str">
        <f ca="1">IFERROR(__xludf.DUMMYFUNCTION("""COMPUTED_VALUE"""),"All items in working order")</f>
        <v>All items in working order</v>
      </c>
      <c r="AE729" s="11"/>
      <c r="AF729" t="str">
        <v>James.Tomazinis@floridadep.gov</v>
      </c>
      <c r="AG729" s="18"/>
    </row>
    <row r="730" spans="1:33" ht="12.75">
      <c r="A730" s="10">
        <f ca="1">IFERROR(__xludf.DUMMYFUNCTION("""COMPUTED_VALUE"""),44468.35675875)</f>
        <v>44468.35675875</v>
      </c>
      <c r="B730" s="11" t="str">
        <f ca="1">IFERROR(__xludf.DUMMYFUNCTION("""COMPUTED_VALUE"""),"Pam Marcum")</f>
        <v>Pam Marcum</v>
      </c>
      <c r="C730" t="str">
        <f ca="1">IFERROR(__xludf.DUMMYFUNCTION("""COMPUTED_VALUE"""),"Pamela.Marcum@FloridaDEP.gov")</f>
        <v>Pamela.Marcum@FloridaDEP.gov</v>
      </c>
      <c r="D730" t="str">
        <f ca="1">IFERROR(__xludf.DUMMYFUNCTION("""COMPUTED_VALUE"""),"Nikki Dix")</f>
        <v>Nikki Dix</v>
      </c>
      <c r="E730" t="str">
        <f ca="1">IFERROR(__xludf.DUMMYFUNCTION("""COMPUTED_VALUE"""),"Aunt Kates")</f>
        <v>Aunt Kates</v>
      </c>
      <c r="F730" s="13">
        <f ca="1">IFERROR(__xludf.DUMMYFUNCTION("""COMPUTED_VALUE"""),0.36458333333212)</f>
        <v>0.36458333333212001</v>
      </c>
      <c r="G730" s="14">
        <f ca="1">IFERROR(__xludf.DUMMYFUNCTION("""COMPUTED_VALUE"""),44468)</f>
        <v>44468</v>
      </c>
      <c r="H730" t="str">
        <f ca="1">IFERROR(__xludf.DUMMYFUNCTION("""COMPUTED_VALUE"""),"Hat Island, Pine island")</f>
        <v>Hat Island, Pine island</v>
      </c>
      <c r="I730" s="15">
        <f ca="1">IFERROR(__xludf.DUMMYFUNCTION("""COMPUTED_VALUE"""),0.541666666667879)</f>
        <v>0.54166666666787899</v>
      </c>
      <c r="J730" s="16">
        <f ca="1">IFERROR(__xludf.DUMMYFUNCTION("""COMPUTED_VALUE"""),44468.5625)</f>
        <v>44468.5625</v>
      </c>
      <c r="K730" t="str">
        <f ca="1">IFERROR(__xludf.DUMMYFUNCTION("""COMPUTED_VALUE"""),"20ft Sea Ark FL5351SJ UNF 2015")</f>
        <v>20ft Sea Ark FL5351SJ UNF 2015</v>
      </c>
      <c r="M730" t="str">
        <f ca="1">IFERROR(__xludf.DUMMYFUNCTION("""COMPUTED_VALUE"""),"Ford F250 2017 (Moby Dix) - DEP0021578")</f>
        <v>Ford F250 2017 (Moby Dix) - DEP0021578</v>
      </c>
      <c r="N730" t="str">
        <f ca="1">IFERROR(__xludf.DUMMYFUNCTION("""COMPUTED_VALUE"""),"Pam Marcum, (480) 332-5414, Alee Knoell, (619) 750-4833")</f>
        <v>Pam Marcum, (480) 332-5414, Alee Knoell, (619) 750-4833</v>
      </c>
      <c r="O730" t="str">
        <f ca="1">IFERROR(__xludf.DUMMYFUNCTION("""COMPUTED_VALUE"""),"Linda Krepp, Kyle Griffis")</f>
        <v>Linda Krepp, Kyle Griffis</v>
      </c>
      <c r="P730" t="str">
        <f ca="1">IFERROR(__xludf.DUMMYFUNCTION("""COMPUTED_VALUE"""),"Pam")</f>
        <v>Pam</v>
      </c>
      <c r="Q730" t="str">
        <f ca="1">IFERROR(__xludf.DUMMYFUNCTION("""COMPUTED_VALUE"""),"All items in working order")</f>
        <v>All items in working order</v>
      </c>
      <c r="AE730" s="11"/>
      <c r="AF730" t="str">
        <v>Nikki.Dix@floridadep.gov</v>
      </c>
      <c r="AG730" s="18"/>
    </row>
    <row r="731" spans="1:33" ht="12.75">
      <c r="A731" s="10">
        <f ca="1">IFERROR(__xludf.DUMMYFUNCTION("""COMPUTED_VALUE"""),44469.5781282986)</f>
        <v>44469.578128298599</v>
      </c>
      <c r="B731" s="11" t="str">
        <f ca="1">IFERROR(__xludf.DUMMYFUNCTION("""COMPUTED_VALUE"""),"Pam Marcum")</f>
        <v>Pam Marcum</v>
      </c>
      <c r="C731" t="str">
        <f ca="1">IFERROR(__xludf.DUMMYFUNCTION("""COMPUTED_VALUE"""),"Pamela.Marcum@FloridaDEP.gov")</f>
        <v>Pamela.Marcum@FloridaDEP.gov</v>
      </c>
      <c r="D731" t="str">
        <f ca="1">IFERROR(__xludf.DUMMYFUNCTION("""COMPUTED_VALUE"""),"Nikki Dix")</f>
        <v>Nikki Dix</v>
      </c>
      <c r="E731" t="str">
        <f ca="1">IFERROR(__xludf.DUMMYFUNCTION("""COMPUTED_VALUE"""),"Shore Dr")</f>
        <v>Shore Dr</v>
      </c>
      <c r="F731" s="13">
        <f ca="1">IFERROR(__xludf.DUMMYFUNCTION("""COMPUTED_VALUE"""),0.576388888890505)</f>
        <v>0.57638888889050499</v>
      </c>
      <c r="G731" s="14">
        <f ca="1">IFERROR(__xludf.DUMMYFUNCTION("""COMPUTED_VALUE"""),44469)</f>
        <v>44469</v>
      </c>
      <c r="H731" t="str">
        <f ca="1">IFERROR(__xludf.DUMMYFUNCTION("""COMPUTED_VALUE"""),"Site 22")</f>
        <v>Site 22</v>
      </c>
      <c r="I731" s="15">
        <f ca="1">IFERROR(__xludf.DUMMYFUNCTION("""COMPUTED_VALUE"""),0.666666666667879)</f>
        <v>0.66666666666787899</v>
      </c>
      <c r="J731" s="16">
        <f ca="1">IFERROR(__xludf.DUMMYFUNCTION("""COMPUTED_VALUE"""),44469.6875)</f>
        <v>44469.6875</v>
      </c>
      <c r="K731" t="str">
        <f ca="1">IFERROR(__xludf.DUMMYFUNCTION("""COMPUTED_VALUE"""),"23ft Skiff (Bertha) FL7972LJ DEP07613")</f>
        <v>23ft Skiff (Bertha) FL7972LJ DEP07613</v>
      </c>
      <c r="M731" t="str">
        <f ca="1">IFERROR(__xludf.DUMMYFUNCTION("""COMPUTED_VALUE"""),"Ford F250 2017 (Moby Dix) - DEP0021578")</f>
        <v>Ford F250 2017 (Moby Dix) - DEP0021578</v>
      </c>
      <c r="N731" t="str">
        <f ca="1">IFERROR(__xludf.DUMMYFUNCTION("""COMPUTED_VALUE"""),"Pam Marcum, (480) 332-5414, Alee Knoell, (619) 750-4833")</f>
        <v>Pam Marcum, (480) 332-5414, Alee Knoell, (619) 750-4833</v>
      </c>
      <c r="P731" t="str">
        <f ca="1">IFERROR(__xludf.DUMMYFUNCTION("""COMPUTED_VALUE"""),"Pam")</f>
        <v>Pam</v>
      </c>
      <c r="Q731" t="str">
        <f ca="1">IFERROR(__xludf.DUMMYFUNCTION("""COMPUTED_VALUE"""),"All items in working order")</f>
        <v>All items in working order</v>
      </c>
      <c r="AE731" s="11"/>
      <c r="AF731" t="str">
        <v>Nikki.Dix@floridadep.gov</v>
      </c>
      <c r="AG731" s="18"/>
    </row>
    <row r="732" spans="1:33" ht="12.75">
      <c r="A732" s="10">
        <f ca="1">IFERROR(__xludf.DUMMYFUNCTION("""COMPUTED_VALUE"""),44470.5129663541)</f>
        <v>44470.512966354101</v>
      </c>
      <c r="B732" s="11" t="str">
        <f ca="1">IFERROR(__xludf.DUMMYFUNCTION("""COMPUTED_VALUE"""),"Pam Marcum")</f>
        <v>Pam Marcum</v>
      </c>
      <c r="C732" t="str">
        <f ca="1">IFERROR(__xludf.DUMMYFUNCTION("""COMPUTED_VALUE"""),"Pamela.Marcum@FloridaDEP.gov")</f>
        <v>Pamela.Marcum@FloridaDEP.gov</v>
      </c>
      <c r="D732" t="str">
        <f ca="1">IFERROR(__xludf.DUMMYFUNCTION("""COMPUTED_VALUE"""),"Nikki Dix")</f>
        <v>Nikki Dix</v>
      </c>
      <c r="E732" t="str">
        <f ca="1">IFERROR(__xludf.DUMMYFUNCTION("""COMPUTED_VALUE"""),"Vilano")</f>
        <v>Vilano</v>
      </c>
      <c r="F732" s="13">
        <f ca="1">IFERROR(__xludf.DUMMYFUNCTION("""COMPUTED_VALUE"""),0.510416666667879)</f>
        <v>0.51041666666787899</v>
      </c>
      <c r="G732" s="14">
        <f ca="1">IFERROR(__xludf.DUMMYFUNCTION("""COMPUTED_VALUE"""),44470)</f>
        <v>44470</v>
      </c>
      <c r="H732" t="str">
        <f ca="1">IFERROR(__xludf.DUMMYFUNCTION("""COMPUTED_VALUE"""),"Site 22 &amp; gabby creek")</f>
        <v>Site 22 &amp; gabby creek</v>
      </c>
      <c r="I732" s="15">
        <f ca="1">IFERROR(__xludf.DUMMYFUNCTION("""COMPUTED_VALUE"""),0.666666666667879)</f>
        <v>0.66666666666787899</v>
      </c>
      <c r="J732" s="16">
        <f ca="1">IFERROR(__xludf.DUMMYFUNCTION("""COMPUTED_VALUE"""),44470.6875)</f>
        <v>44470.6875</v>
      </c>
      <c r="K732" t="str">
        <f ca="1">IFERROR(__xludf.DUMMYFUNCTION("""COMPUTED_VALUE"""),"23ft Skiff (Bertha) FL7972LJ DEP07613")</f>
        <v>23ft Skiff (Bertha) FL7972LJ DEP07613</v>
      </c>
      <c r="M732" t="str">
        <f ca="1">IFERROR(__xludf.DUMMYFUNCTION("""COMPUTED_VALUE"""),"Ford F250 2017 (Moby Dix) - DEP0021578")</f>
        <v>Ford F250 2017 (Moby Dix) - DEP0021578</v>
      </c>
      <c r="N732" t="str">
        <f ca="1">IFERROR(__xludf.DUMMYFUNCTION("""COMPUTED_VALUE"""),"Pam Marcum, (480) 332-5414, Alee Knoell, (619) 750-4833")</f>
        <v>Pam Marcum, (480) 332-5414, Alee Knoell, (619) 750-4833</v>
      </c>
      <c r="P732" t="str">
        <f ca="1">IFERROR(__xludf.DUMMYFUNCTION("""COMPUTED_VALUE"""),"Pam")</f>
        <v>Pam</v>
      </c>
      <c r="Q732" t="str">
        <f ca="1">IFERROR(__xludf.DUMMYFUNCTION("""COMPUTED_VALUE"""),"All items in working order")</f>
        <v>All items in working order</v>
      </c>
      <c r="AE732" s="11"/>
      <c r="AF732" t="str">
        <v>Nikki.Dix@floridadep.gov</v>
      </c>
      <c r="AG732" s="18"/>
    </row>
    <row r="733" spans="1:33" ht="12.75">
      <c r="A733" s="10">
        <f ca="1">IFERROR(__xludf.DUMMYFUNCTION("""COMPUTED_VALUE"""),44474.3142888657)</f>
        <v>44474.314288865702</v>
      </c>
      <c r="B733" s="11" t="str">
        <f ca="1">IFERROR(__xludf.DUMMYFUNCTION("""COMPUTED_VALUE"""),"Silas Tanner")</f>
        <v>Silas Tanner</v>
      </c>
      <c r="C733" t="str">
        <f ca="1">IFERROR(__xludf.DUMMYFUNCTION("""COMPUTED_VALUE"""),"silas.tanner@floridadep.gov")</f>
        <v>silas.tanner@floridadep.gov</v>
      </c>
      <c r="D733" t="str">
        <f ca="1">IFERROR(__xludf.DUMMYFUNCTION("""COMPUTED_VALUE"""),"Nikki Dix")</f>
        <v>Nikki Dix</v>
      </c>
      <c r="E733" t="str">
        <f ca="1">IFERROR(__xludf.DUMMYFUNCTION("""COMPUTED_VALUE"""),"Vilano Landing")</f>
        <v>Vilano Landing</v>
      </c>
      <c r="F733" s="13">
        <f ca="1">IFERROR(__xludf.DUMMYFUNCTION("""COMPUTED_VALUE"""),0.33333333333212)</f>
        <v>0.33333333333212001</v>
      </c>
      <c r="G733" s="14">
        <f ca="1">IFERROR(__xludf.DUMMYFUNCTION("""COMPUTED_VALUE"""),44474)</f>
        <v>44474</v>
      </c>
      <c r="H733" t="str">
        <f ca="1">IFERROR(__xludf.DUMMYFUNCTION("""COMPUTED_VALUE"""),"ICW SWMP sites")</f>
        <v>ICW SWMP sites</v>
      </c>
      <c r="I733" s="15">
        <f ca="1">IFERROR(__xludf.DUMMYFUNCTION("""COMPUTED_VALUE"""),0.604166666667879)</f>
        <v>0.60416666666787899</v>
      </c>
      <c r="J733" s="16">
        <f ca="1">IFERROR(__xludf.DUMMYFUNCTION("""COMPUTED_VALUE"""),44474.6145833333)</f>
        <v>44474.614583333299</v>
      </c>
      <c r="K733" t="str">
        <f ca="1">IFERROR(__xludf.DUMMYFUNCTION("""COMPUTED_VALUE"""),"23ft Skiff (Bertha) FL7972LJ DEP07613")</f>
        <v>23ft Skiff (Bertha) FL7972LJ DEP07613</v>
      </c>
      <c r="M733" t="str">
        <f ca="1">IFERROR(__xludf.DUMMYFUNCTION("""COMPUTED_VALUE"""),"Ford F250 2017 (Moby Dix) - DEP0021578")</f>
        <v>Ford F250 2017 (Moby Dix) - DEP0021578</v>
      </c>
      <c r="N733" t="str">
        <f ca="1">IFERROR(__xludf.DUMMYFUNCTION("""COMPUTED_VALUE"""),"Shannon Dunnigan, (803) 727-5734, Silas Tanner, (904) 483-8423")</f>
        <v>Shannon Dunnigan, (803) 727-5734, Silas Tanner, (904) 483-8423</v>
      </c>
      <c r="O733" t="str">
        <f ca="1">IFERROR(__xludf.DUMMYFUNCTION("""COMPUTED_VALUE"""),"Ashley R")</f>
        <v>Ashley R</v>
      </c>
      <c r="P733" t="str">
        <f ca="1">IFERROR(__xludf.DUMMYFUNCTION("""COMPUTED_VALUE"""),"Silas Tanner")</f>
        <v>Silas Tanner</v>
      </c>
      <c r="Q733" t="str">
        <f ca="1">IFERROR(__xludf.DUMMYFUNCTION("""COMPUTED_VALUE"""),"All items in working order")</f>
        <v>All items in working order</v>
      </c>
      <c r="AE733" s="11"/>
      <c r="AF733" t="str">
        <v>Nikki.Dix@floridadep.gov</v>
      </c>
      <c r="AG733" s="18"/>
    </row>
    <row r="734" spans="1:33" ht="12.75">
      <c r="A734" s="10">
        <f ca="1">IFERROR(__xludf.DUMMYFUNCTION("""COMPUTED_VALUE"""),44475.4980488773)</f>
        <v>44475.4980488773</v>
      </c>
      <c r="B734" s="11" t="str">
        <f ca="1">IFERROR(__xludf.DUMMYFUNCTION("""COMPUTED_VALUE"""),"Olivia Roorbach")</f>
        <v>Olivia Roorbach</v>
      </c>
      <c r="C734" t="str">
        <f ca="1">IFERROR(__xludf.DUMMYFUNCTION("""COMPUTED_VALUE"""),"olivia.roorbach@floridadep.gov")</f>
        <v>olivia.roorbach@floridadep.gov</v>
      </c>
      <c r="D734" t="str">
        <f ca="1">IFERROR(__xludf.DUMMYFUNCTION("""COMPUTED_VALUE"""),"Alee Knoell")</f>
        <v>Alee Knoell</v>
      </c>
      <c r="E734" t="str">
        <f ca="1">IFERROR(__xludf.DUMMYFUNCTION("""COMPUTED_VALUE"""),"Dam")</f>
        <v>Dam</v>
      </c>
      <c r="F734" s="13">
        <f ca="1">IFERROR(__xludf.DUMMYFUNCTION("""COMPUTED_VALUE"""),0.409722222222626)</f>
        <v>0.409722222222626</v>
      </c>
      <c r="G734" s="14">
        <f ca="1">IFERROR(__xludf.DUMMYFUNCTION("""COMPUTED_VALUE"""),44475)</f>
        <v>44475</v>
      </c>
      <c r="H734" t="str">
        <f ca="1">IFERROR(__xludf.DUMMYFUNCTION("""COMPUTED_VALUE"""),"Guana river and lake")</f>
        <v>Guana river and lake</v>
      </c>
      <c r="I734" s="15">
        <f ca="1">IFERROR(__xludf.DUMMYFUNCTION("""COMPUTED_VALUE"""),0.5625)</f>
        <v>0.5625</v>
      </c>
      <c r="J734" s="16">
        <f ca="1">IFERROR(__xludf.DUMMYFUNCTION("""COMPUTED_VALUE"""),44475.5833333333)</f>
        <v>44475.583333333299</v>
      </c>
      <c r="K734" t="str">
        <f ca="1">IFERROR(__xludf.DUMMYFUNCTION("""COMPUTED_VALUE"""),"Jon Boat 1 FL5992RR DEP154045, Air boat")</f>
        <v>Jon Boat 1 FL5992RR DEP154045, Air boat</v>
      </c>
      <c r="M734" t="str">
        <f ca="1">IFERROR(__xludf.DUMMYFUNCTION("""COMPUTED_VALUE"""),"Ford F250 2017 (Moby Dix) - DEP0021578")</f>
        <v>Ford F250 2017 (Moby Dix) - DEP0021578</v>
      </c>
      <c r="N734" t="str">
        <f ca="1">IFERROR(__xludf.DUMMYFUNCTION("""COMPUTED_VALUE"""),"Olivia Roorbach, (404) 694-2653")</f>
        <v>Olivia Roorbach, (404) 694-2653</v>
      </c>
      <c r="O734" t="str">
        <f ca="1">IFERROR(__xludf.DUMMYFUNCTION("""COMPUTED_VALUE"""),"Ashely Reaume ")</f>
        <v xml:space="preserve">Ashely Reaume </v>
      </c>
      <c r="P734" t="str">
        <f ca="1">IFERROR(__xludf.DUMMYFUNCTION("""COMPUTED_VALUE"""),"Olivia Roorbach")</f>
        <v>Olivia Roorbach</v>
      </c>
      <c r="Q734" t="str">
        <f ca="1">IFERROR(__xludf.DUMMYFUNCTION("""COMPUTED_VALUE"""),"All items in working order")</f>
        <v>All items in working order</v>
      </c>
      <c r="AE734" s="11"/>
      <c r="AF734" t="str">
        <v/>
      </c>
      <c r="AG734" s="18"/>
    </row>
    <row r="735" spans="1:33" ht="12.75">
      <c r="A735" s="10">
        <f ca="1">IFERROR(__xludf.DUMMYFUNCTION("""COMPUTED_VALUE"""),44480.3425502893)</f>
        <v>44480.342550289301</v>
      </c>
      <c r="B735" s="11" t="str">
        <f ca="1">IFERROR(__xludf.DUMMYFUNCTION("""COMPUTED_VALUE"""),"Pam Marcum")</f>
        <v>Pam Marcum</v>
      </c>
      <c r="C735" t="str">
        <f ca="1">IFERROR(__xludf.DUMMYFUNCTION("""COMPUTED_VALUE"""),"Pamela.Marcum@FloridaDEP.gov")</f>
        <v>Pamela.Marcum@FloridaDEP.gov</v>
      </c>
      <c r="D735" t="str">
        <f ca="1">IFERROR(__xludf.DUMMYFUNCTION("""COMPUTED_VALUE"""),"Nikki Dix")</f>
        <v>Nikki Dix</v>
      </c>
      <c r="E735" t="str">
        <f ca="1">IFERROR(__xludf.DUMMYFUNCTION("""COMPUTED_VALUE"""),"Faver-Dykes")</f>
        <v>Faver-Dykes</v>
      </c>
      <c r="F735" s="13">
        <f ca="1">IFERROR(__xludf.DUMMYFUNCTION("""COMPUTED_VALUE"""),0.34375)</f>
        <v>0.34375</v>
      </c>
      <c r="G735" s="14">
        <f ca="1">IFERROR(__xludf.DUMMYFUNCTION("""COMPUTED_VALUE"""),44480)</f>
        <v>44480</v>
      </c>
      <c r="H735" t="str">
        <f ca="1">IFERROR(__xludf.DUMMYFUNCTION("""COMPUTED_VALUE"""),"Pellicer Creek")</f>
        <v>Pellicer Creek</v>
      </c>
      <c r="I735" s="15">
        <f ca="1">IFERROR(__xludf.DUMMYFUNCTION("""COMPUTED_VALUE"""),0.58333333333212)</f>
        <v>0.58333333333212001</v>
      </c>
      <c r="J735" s="16">
        <f ca="1">IFERROR(__xludf.DUMMYFUNCTION("""COMPUTED_VALUE"""),44480.7083333333)</f>
        <v>44480.708333333299</v>
      </c>
      <c r="K735" t="str">
        <f ca="1">IFERROR(__xludf.DUMMYFUNCTION("""COMPUTED_VALUE"""),"20ft Sea Ark FL5351SJ UNF 2015")</f>
        <v>20ft Sea Ark FL5351SJ UNF 2015</v>
      </c>
      <c r="M735" t="str">
        <f ca="1">IFERROR(__xludf.DUMMYFUNCTION("""COMPUTED_VALUE"""),"Ford F250 2017 (Moby Dix) - DEP0021578")</f>
        <v>Ford F250 2017 (Moby Dix) - DEP0021578</v>
      </c>
      <c r="N735" t="str">
        <f ca="1">IFERROR(__xludf.DUMMYFUNCTION("""COMPUTED_VALUE"""),"Pam Marcum, (480) 332-5414, Alee Knoell, (619) 750-4833")</f>
        <v>Pam Marcum, (480) 332-5414, Alee Knoell, (619) 750-4833</v>
      </c>
      <c r="P735" t="str">
        <f ca="1">IFERROR(__xludf.DUMMYFUNCTION("""COMPUTED_VALUE"""),"Alee")</f>
        <v>Alee</v>
      </c>
      <c r="Q735" t="str">
        <f ca="1">IFERROR(__xludf.DUMMYFUNCTION("""COMPUTED_VALUE"""),"All items in working order")</f>
        <v>All items in working order</v>
      </c>
      <c r="AE735" s="11"/>
      <c r="AF735" t="str">
        <v>Nikki.Dix@floridadep.gov</v>
      </c>
      <c r="AG735" s="18"/>
    </row>
    <row r="736" spans="1:33" ht="12.75">
      <c r="A736" s="10">
        <f ca="1">IFERROR(__xludf.DUMMYFUNCTION("""COMPUTED_VALUE"""),44480.555975949)</f>
        <v>44480.555975948999</v>
      </c>
      <c r="B736" s="11" t="str">
        <f ca="1">IFERROR(__xludf.DUMMYFUNCTION("""COMPUTED_VALUE"""),"Jimmy")</f>
        <v>Jimmy</v>
      </c>
      <c r="C736" t="str">
        <f ca="1">IFERROR(__xludf.DUMMYFUNCTION("""COMPUTED_VALUE"""),"james.tomazinis@floridadep.gov")</f>
        <v>james.tomazinis@floridadep.gov</v>
      </c>
      <c r="D736" t="str">
        <f ca="1">IFERROR(__xludf.DUMMYFUNCTION("""COMPUTED_VALUE"""),"Jimmy Tomazinis")</f>
        <v>Jimmy Tomazinis</v>
      </c>
      <c r="E736" t="str">
        <f ca="1">IFERROR(__xludf.DUMMYFUNCTION("""COMPUTED_VALUE"""),"Guana Dam")</f>
        <v>Guana Dam</v>
      </c>
      <c r="F736" s="13">
        <f ca="1">IFERROR(__xludf.DUMMYFUNCTION("""COMPUTED_VALUE"""),0.58333333333212)</f>
        <v>0.58333333333212001</v>
      </c>
      <c r="G736" s="14">
        <f ca="1">IFERROR(__xludf.DUMMYFUNCTION("""COMPUTED_VALUE"""),44480)</f>
        <v>44480</v>
      </c>
      <c r="H736" t="str">
        <f ca="1">IFERROR(__xludf.DUMMYFUNCTION("""COMPUTED_VALUE"""),"Guana Lake")</f>
        <v>Guana Lake</v>
      </c>
      <c r="I736" s="15">
        <f ca="1">IFERROR(__xludf.DUMMYFUNCTION("""COMPUTED_VALUE"""),0.666666666667879)</f>
        <v>0.66666666666787899</v>
      </c>
      <c r="J736" s="16"/>
      <c r="K736" t="str">
        <f ca="1">IFERROR(__xludf.DUMMYFUNCTION("""COMPUTED_VALUE"""),"Jon Boat 2 FL4480RJ DEP152154")</f>
        <v>Jon Boat 2 FL4480RJ DEP152154</v>
      </c>
      <c r="M736" t="str">
        <f ca="1">IFERROR(__xludf.DUMMYFUNCTION("""COMPUTED_VALUE"""),"Ford F150 2007 (F-Bomb) - DEP07055")</f>
        <v>Ford F150 2007 (F-Bomb) - DEP07055</v>
      </c>
      <c r="N736" t="str">
        <f ca="1">IFERROR(__xludf.DUMMYFUNCTION("""COMPUTED_VALUE"""),"Jimmy Tomazinis, (904) 547-0094")</f>
        <v>Jimmy Tomazinis, (904) 547-0094</v>
      </c>
      <c r="O736" t="str">
        <f ca="1">IFERROR(__xludf.DUMMYFUNCTION("""COMPUTED_VALUE"""),"Chris")</f>
        <v>Chris</v>
      </c>
      <c r="P736" t="str">
        <f ca="1">IFERROR(__xludf.DUMMYFUNCTION("""COMPUTED_VALUE"""),"Jimmy")</f>
        <v>Jimmy</v>
      </c>
      <c r="Q736" t="str">
        <f ca="1">IFERROR(__xludf.DUMMYFUNCTION("""COMPUTED_VALUE"""),"All items in working order")</f>
        <v>All items in working order</v>
      </c>
      <c r="AE736" s="11"/>
      <c r="AF736" t="str">
        <v>James.Tomazinis@floridadep.gov</v>
      </c>
      <c r="AG736" s="18"/>
    </row>
    <row r="737" spans="1:33" ht="12.75">
      <c r="A737" s="10">
        <f ca="1">IFERROR(__xludf.DUMMYFUNCTION("""COMPUTED_VALUE"""),44480.5625781134)</f>
        <v>44480.5625781134</v>
      </c>
      <c r="B737" s="11" t="str">
        <f ca="1">IFERROR(__xludf.DUMMYFUNCTION("""COMPUTED_VALUE"""),"Pam Marcum")</f>
        <v>Pam Marcum</v>
      </c>
      <c r="C737" t="str">
        <f ca="1">IFERROR(__xludf.DUMMYFUNCTION("""COMPUTED_VALUE"""),"Pamela.Marcum@FloridaDEP.gov")</f>
        <v>Pamela.Marcum@FloridaDEP.gov</v>
      </c>
      <c r="D737" t="str">
        <f ca="1">IFERROR(__xludf.DUMMYFUNCTION("""COMPUTED_VALUE"""),"Nikki Dix")</f>
        <v>Nikki Dix</v>
      </c>
      <c r="E737" t="str">
        <f ca="1">IFERROR(__xludf.DUMMYFUNCTION("""COMPUTED_VALUE"""),"Butler")</f>
        <v>Butler</v>
      </c>
      <c r="F737" s="13">
        <f ca="1">IFERROR(__xludf.DUMMYFUNCTION("""COMPUTED_VALUE"""),0.5625)</f>
        <v>0.5625</v>
      </c>
      <c r="G737" s="14">
        <f ca="1">IFERROR(__xludf.DUMMYFUNCTION("""COMPUTED_VALUE"""),44480)</f>
        <v>44480</v>
      </c>
      <c r="H737" t="str">
        <f ca="1">IFERROR(__xludf.DUMMYFUNCTION("""COMPUTED_VALUE"""),"Moses creek")</f>
        <v>Moses creek</v>
      </c>
      <c r="I737" s="15">
        <f ca="1">IFERROR(__xludf.DUMMYFUNCTION("""COMPUTED_VALUE"""),0.666666666667879)</f>
        <v>0.66666666666787899</v>
      </c>
      <c r="J737" s="16">
        <f ca="1">IFERROR(__xludf.DUMMYFUNCTION("""COMPUTED_VALUE"""),44480.7083333333)</f>
        <v>44480.708333333299</v>
      </c>
      <c r="K737" t="str">
        <f ca="1">IFERROR(__xludf.DUMMYFUNCTION("""COMPUTED_VALUE"""),"20ft Sea Ark FL5351SJ UNF 2015")</f>
        <v>20ft Sea Ark FL5351SJ UNF 2015</v>
      </c>
      <c r="M737" t="str">
        <f ca="1">IFERROR(__xludf.DUMMYFUNCTION("""COMPUTED_VALUE"""),"Ford F250 2017 (Moby Dix) - DEP0021578")</f>
        <v>Ford F250 2017 (Moby Dix) - DEP0021578</v>
      </c>
      <c r="N737" t="str">
        <f ca="1">IFERROR(__xludf.DUMMYFUNCTION("""COMPUTED_VALUE"""),"Pam Marcum, (480) 332-5414, Alee Knoell, (619) 750-4833")</f>
        <v>Pam Marcum, (480) 332-5414, Alee Knoell, (619) 750-4833</v>
      </c>
      <c r="P737" t="str">
        <f ca="1">IFERROR(__xludf.DUMMYFUNCTION("""COMPUTED_VALUE"""),"Pam")</f>
        <v>Pam</v>
      </c>
      <c r="Q737" t="str">
        <f ca="1">IFERROR(__xludf.DUMMYFUNCTION("""COMPUTED_VALUE"""),"All items in working order")</f>
        <v>All items in working order</v>
      </c>
      <c r="AE737" s="11"/>
      <c r="AF737" t="str">
        <v>Nikki.Dix@floridadep.gov</v>
      </c>
      <c r="AG737" s="18"/>
    </row>
    <row r="738" spans="1:33" ht="12.75">
      <c r="A738" s="10">
        <f ca="1">IFERROR(__xludf.DUMMYFUNCTION("""COMPUTED_VALUE"""),44481.2982142592)</f>
        <v>44481.298214259201</v>
      </c>
      <c r="B738" s="11" t="str">
        <f ca="1">IFERROR(__xludf.DUMMYFUNCTION("""COMPUTED_VALUE"""),"Pam Marcum")</f>
        <v>Pam Marcum</v>
      </c>
      <c r="C738" t="str">
        <f ca="1">IFERROR(__xludf.DUMMYFUNCTION("""COMPUTED_VALUE"""),"Pamela.Marcum@FloridaDEP.gov")</f>
        <v>Pamela.Marcum@FloridaDEP.gov</v>
      </c>
      <c r="D738" t="str">
        <f ca="1">IFERROR(__xludf.DUMMYFUNCTION("""COMPUTED_VALUE"""),"Nikki Dix")</f>
        <v>Nikki Dix</v>
      </c>
      <c r="E738" t="str">
        <f ca="1">IFERROR(__xludf.DUMMYFUNCTION("""COMPUTED_VALUE"""),"Butler")</f>
        <v>Butler</v>
      </c>
      <c r="F738" s="13">
        <f ca="1">IFERROR(__xludf.DUMMYFUNCTION("""COMPUTED_VALUE"""),0.298611111109494)</f>
        <v>0.29861111110949401</v>
      </c>
      <c r="G738" s="14">
        <f ca="1">IFERROR(__xludf.DUMMYFUNCTION("""COMPUTED_VALUE"""),44481)</f>
        <v>44481</v>
      </c>
      <c r="H738" t="str">
        <f ca="1">IFERROR(__xludf.DUMMYFUNCTION("""COMPUTED_VALUE"""),"Moses creek")</f>
        <v>Moses creek</v>
      </c>
      <c r="I738" s="15">
        <f ca="1">IFERROR(__xludf.DUMMYFUNCTION("""COMPUTED_VALUE"""),0.5)</f>
        <v>0.5</v>
      </c>
      <c r="J738" s="16">
        <f ca="1">IFERROR(__xludf.DUMMYFUNCTION("""COMPUTED_VALUE"""),44481.6666666666)</f>
        <v>44481.666666666599</v>
      </c>
      <c r="K738" t="str">
        <f ca="1">IFERROR(__xludf.DUMMYFUNCTION("""COMPUTED_VALUE"""),"20ft Sea Ark FL5351SJ UNF 2015")</f>
        <v>20ft Sea Ark FL5351SJ UNF 2015</v>
      </c>
      <c r="M738" t="str">
        <f ca="1">IFERROR(__xludf.DUMMYFUNCTION("""COMPUTED_VALUE"""),"Ford F250 2017 (Moby Dix) - DEP0021578")</f>
        <v>Ford F250 2017 (Moby Dix) - DEP0021578</v>
      </c>
      <c r="N738" t="str">
        <f ca="1">IFERROR(__xludf.DUMMYFUNCTION("""COMPUTED_VALUE"""),"Pam Marcum, (480) 332-5414")</f>
        <v>Pam Marcum, (480) 332-5414</v>
      </c>
      <c r="O738" t="str">
        <f ca="1">IFERROR(__xludf.DUMMYFUNCTION("""COMPUTED_VALUE"""),"Allix North")</f>
        <v>Allix North</v>
      </c>
      <c r="P738" t="str">
        <f ca="1">IFERROR(__xludf.DUMMYFUNCTION("""COMPUTED_VALUE"""),"Pam")</f>
        <v>Pam</v>
      </c>
      <c r="Q738" t="str">
        <f ca="1">IFERROR(__xludf.DUMMYFUNCTION("""COMPUTED_VALUE"""),"All items in working order")</f>
        <v>All items in working order</v>
      </c>
      <c r="AE738" s="11"/>
      <c r="AF738" t="str">
        <v>Nikki.Dix@floridadep.gov</v>
      </c>
      <c r="AG738" s="18"/>
    </row>
    <row r="739" spans="1:33" ht="12.75">
      <c r="A739" s="10">
        <f ca="1">IFERROR(__xludf.DUMMYFUNCTION("""COMPUTED_VALUE"""),44481.3170846064)</f>
        <v>44481.317084606402</v>
      </c>
      <c r="B739" s="11" t="str">
        <f ca="1">IFERROR(__xludf.DUMMYFUNCTION("""COMPUTED_VALUE"""),"Jimmy")</f>
        <v>Jimmy</v>
      </c>
      <c r="C739" t="str">
        <f ca="1">IFERROR(__xludf.DUMMYFUNCTION("""COMPUTED_VALUE"""),"james.tomazinis@floridadep.gov")</f>
        <v>james.tomazinis@floridadep.gov</v>
      </c>
      <c r="D739" t="str">
        <f ca="1">IFERROR(__xludf.DUMMYFUNCTION("""COMPUTED_VALUE"""),"Jimmy Tomazinis")</f>
        <v>Jimmy Tomazinis</v>
      </c>
      <c r="E739" t="str">
        <f ca="1">IFERROR(__xludf.DUMMYFUNCTION("""COMPUTED_VALUE"""),"Guana Dam")</f>
        <v>Guana Dam</v>
      </c>
      <c r="F739" s="13">
        <f ca="1">IFERROR(__xludf.DUMMYFUNCTION("""COMPUTED_VALUE"""),0.5)</f>
        <v>0.5</v>
      </c>
      <c r="G739" s="14">
        <f ca="1">IFERROR(__xludf.DUMMYFUNCTION("""COMPUTED_VALUE"""),44481)</f>
        <v>44481</v>
      </c>
      <c r="H739" t="str">
        <f ca="1">IFERROR(__xludf.DUMMYFUNCTION("""COMPUTED_VALUE"""),"Guana Lake")</f>
        <v>Guana Lake</v>
      </c>
      <c r="I739" s="15">
        <f ca="1">IFERROR(__xludf.DUMMYFUNCTION("""COMPUTED_VALUE"""),0.625)</f>
        <v>0.625</v>
      </c>
      <c r="J739" s="16"/>
      <c r="K739" t="str">
        <f ca="1">IFERROR(__xludf.DUMMYFUNCTION("""COMPUTED_VALUE"""),"Jon Boat 1 FL5992RR DEP154045")</f>
        <v>Jon Boat 1 FL5992RR DEP154045</v>
      </c>
      <c r="M739" t="str">
        <f ca="1">IFERROR(__xludf.DUMMYFUNCTION("""COMPUTED_VALUE"""),"Ford F150 2007 (F-Bomb) - DEP07055")</f>
        <v>Ford F150 2007 (F-Bomb) - DEP07055</v>
      </c>
      <c r="N739" t="str">
        <f ca="1">IFERROR(__xludf.DUMMYFUNCTION("""COMPUTED_VALUE"""),"Jimmy Tomazinis, (904) 547-0094")</f>
        <v>Jimmy Tomazinis, (904) 547-0094</v>
      </c>
      <c r="O739" t="str">
        <f ca="1">IFERROR(__xludf.DUMMYFUNCTION("""COMPUTED_VALUE"""),"Chris")</f>
        <v>Chris</v>
      </c>
      <c r="P739" t="str">
        <f ca="1">IFERROR(__xludf.DUMMYFUNCTION("""COMPUTED_VALUE"""),"Jimmy ")</f>
        <v xml:space="preserve">Jimmy </v>
      </c>
      <c r="Q739" t="str">
        <f ca="1">IFERROR(__xludf.DUMMYFUNCTION("""COMPUTED_VALUE"""),"All items in working order")</f>
        <v>All items in working order</v>
      </c>
      <c r="AE739" s="11"/>
      <c r="AF739" t="str">
        <v>James.Tomazinis@floridadep.gov</v>
      </c>
      <c r="AG739" s="18"/>
    </row>
    <row r="740" spans="1:33" ht="12.75">
      <c r="A740" s="10">
        <f ca="1">IFERROR(__xludf.DUMMYFUNCTION("""COMPUTED_VALUE"""),44482.3268451041)</f>
        <v>44482.3268451041</v>
      </c>
      <c r="B740" s="11" t="str">
        <f ca="1">IFERROR(__xludf.DUMMYFUNCTION("""COMPUTED_VALUE"""),"Pam Marcum")</f>
        <v>Pam Marcum</v>
      </c>
      <c r="C740" t="str">
        <f ca="1">IFERROR(__xludf.DUMMYFUNCTION("""COMPUTED_VALUE"""),"Pamela.Marcum@FloridaDEP.gov")</f>
        <v>Pamela.Marcum@FloridaDEP.gov</v>
      </c>
      <c r="D740" t="str">
        <f ca="1">IFERROR(__xludf.DUMMYFUNCTION("""COMPUTED_VALUE"""),"Nikki Dix")</f>
        <v>Nikki Dix</v>
      </c>
      <c r="E740" t="str">
        <f ca="1">IFERROR(__xludf.DUMMYFUNCTION("""COMPUTED_VALUE"""),"Aunt Kate's")</f>
        <v>Aunt Kate's</v>
      </c>
      <c r="F740" s="13">
        <f ca="1">IFERROR(__xludf.DUMMYFUNCTION("""COMPUTED_VALUE"""),0.326388888890505)</f>
        <v>0.32638888889050499</v>
      </c>
      <c r="G740" s="14">
        <f ca="1">IFERROR(__xludf.DUMMYFUNCTION("""COMPUTED_VALUE"""),44482)</f>
        <v>44482</v>
      </c>
      <c r="H740" t="str">
        <f ca="1">IFERROR(__xludf.DUMMYFUNCTION("""COMPUTED_VALUE"""),"Hat Island")</f>
        <v>Hat Island</v>
      </c>
      <c r="I740" s="15">
        <f ca="1">IFERROR(__xludf.DUMMYFUNCTION("""COMPUTED_VALUE"""),0.45833333333212)</f>
        <v>0.45833333333212001</v>
      </c>
      <c r="J740" s="16">
        <f ca="1">IFERROR(__xludf.DUMMYFUNCTION("""COMPUTED_VALUE"""),44482.4791666666)</f>
        <v>44482.479166666599</v>
      </c>
      <c r="K740" t="str">
        <f ca="1">IFERROR(__xludf.DUMMYFUNCTION("""COMPUTED_VALUE"""),"20ft Sea Ark FL5351SJ UNF 2015")</f>
        <v>20ft Sea Ark FL5351SJ UNF 2015</v>
      </c>
      <c r="M740" t="str">
        <f ca="1">IFERROR(__xludf.DUMMYFUNCTION("""COMPUTED_VALUE"""),"Ford F250 2017 (Moby Dix) - DEP0021578")</f>
        <v>Ford F250 2017 (Moby Dix) - DEP0021578</v>
      </c>
      <c r="N740" t="str">
        <f ca="1">IFERROR(__xludf.DUMMYFUNCTION("""COMPUTED_VALUE"""),"Pam Marcum, (480) 332-5414, Alee Knoell, (619) 750-4833")</f>
        <v>Pam Marcum, (480) 332-5414, Alee Knoell, (619) 750-4833</v>
      </c>
      <c r="O740" t="str">
        <f ca="1">IFERROR(__xludf.DUMMYFUNCTION("""COMPUTED_VALUE"""),"Sabanna mathis")</f>
        <v>Sabanna mathis</v>
      </c>
      <c r="P740" t="str">
        <f ca="1">IFERROR(__xludf.DUMMYFUNCTION("""COMPUTED_VALUE"""),"Pam")</f>
        <v>Pam</v>
      </c>
      <c r="Q740" t="str">
        <f ca="1">IFERROR(__xludf.DUMMYFUNCTION("""COMPUTED_VALUE"""),"All items in working order")</f>
        <v>All items in working order</v>
      </c>
      <c r="AE740" s="11"/>
      <c r="AF740" t="str">
        <v>Nikki.Dix@floridadep.gov</v>
      </c>
      <c r="AG740" s="18"/>
    </row>
    <row r="741" spans="1:33" ht="12.75">
      <c r="A741" s="10">
        <f ca="1">IFERROR(__xludf.DUMMYFUNCTION("""COMPUTED_VALUE"""),44482.4352710995)</f>
        <v>44482.435271099501</v>
      </c>
      <c r="B741" s="11" t="str">
        <f ca="1">IFERROR(__xludf.DUMMYFUNCTION("""COMPUTED_VALUE"""),"Pam Marcum")</f>
        <v>Pam Marcum</v>
      </c>
      <c r="C741" t="str">
        <f ca="1">IFERROR(__xludf.DUMMYFUNCTION("""COMPUTED_VALUE"""),"Pamela.Marcum@FloridaDEP.gov")</f>
        <v>Pamela.Marcum@FloridaDEP.gov</v>
      </c>
      <c r="D741" t="str">
        <f ca="1">IFERROR(__xludf.DUMMYFUNCTION("""COMPUTED_VALUE"""),"Nikki Dix")</f>
        <v>Nikki Dix</v>
      </c>
      <c r="E741" t="str">
        <f ca="1">IFERROR(__xludf.DUMMYFUNCTION("""COMPUTED_VALUE"""),"Bings")</f>
        <v>Bings</v>
      </c>
      <c r="F741" s="13">
        <f ca="1">IFERROR(__xludf.DUMMYFUNCTION("""COMPUTED_VALUE"""),0.46875)</f>
        <v>0.46875</v>
      </c>
      <c r="G741" s="14">
        <f ca="1">IFERROR(__xludf.DUMMYFUNCTION("""COMPUTED_VALUE"""),44482)</f>
        <v>44482</v>
      </c>
      <c r="H741" t="str">
        <f ca="1">IFERROR(__xludf.DUMMYFUNCTION("""COMPUTED_VALUE"""),"Wash oaks")</f>
        <v>Wash oaks</v>
      </c>
      <c r="I741" s="15">
        <f ca="1">IFERROR(__xludf.DUMMYFUNCTION("""COMPUTED_VALUE"""),0.625)</f>
        <v>0.625</v>
      </c>
      <c r="J741" s="16">
        <f ca="1">IFERROR(__xludf.DUMMYFUNCTION("""COMPUTED_VALUE"""),44482.6666666666)</f>
        <v>44482.666666666599</v>
      </c>
      <c r="K741" t="str">
        <f ca="1">IFERROR(__xludf.DUMMYFUNCTION("""COMPUTED_VALUE"""),"20ft Sea Ark FL5351SJ UNF 2015")</f>
        <v>20ft Sea Ark FL5351SJ UNF 2015</v>
      </c>
      <c r="M741" t="str">
        <f ca="1">IFERROR(__xludf.DUMMYFUNCTION("""COMPUTED_VALUE"""),"Ford F250 2017 (Moby Dix) - DEP0021578")</f>
        <v>Ford F250 2017 (Moby Dix) - DEP0021578</v>
      </c>
      <c r="N741" t="str">
        <f ca="1">IFERROR(__xludf.DUMMYFUNCTION("""COMPUTED_VALUE"""),"Pam Marcum, (480) 332-5414, Alee Knoell, (619) 750-4833")</f>
        <v>Pam Marcum, (480) 332-5414, Alee Knoell, (619) 750-4833</v>
      </c>
      <c r="O741" t="str">
        <f ca="1">IFERROR(__xludf.DUMMYFUNCTION("""COMPUTED_VALUE"""),"Savanna Mathis")</f>
        <v>Savanna Mathis</v>
      </c>
      <c r="P741" t="str">
        <f ca="1">IFERROR(__xludf.DUMMYFUNCTION("""COMPUTED_VALUE"""),"Pam")</f>
        <v>Pam</v>
      </c>
      <c r="Q741" t="str">
        <f ca="1">IFERROR(__xludf.DUMMYFUNCTION("""COMPUTED_VALUE"""),"All items in working order")</f>
        <v>All items in working order</v>
      </c>
      <c r="AE741" s="11"/>
      <c r="AF741" t="str">
        <v>Nikki.Dix@floridadep.gov</v>
      </c>
      <c r="AG741" s="18"/>
    </row>
    <row r="742" spans="1:33" ht="12.75">
      <c r="A742" s="10">
        <f ca="1">IFERROR(__xludf.DUMMYFUNCTION("""COMPUTED_VALUE"""),44483.3677759259)</f>
        <v>44483.367775925901</v>
      </c>
      <c r="B742" s="11" t="str">
        <f ca="1">IFERROR(__xludf.DUMMYFUNCTION("""COMPUTED_VALUE"""),"Silas Tanner")</f>
        <v>Silas Tanner</v>
      </c>
      <c r="C742" t="str">
        <f ca="1">IFERROR(__xludf.DUMMYFUNCTION("""COMPUTED_VALUE"""),"silas.tanner@floridadep.gov")</f>
        <v>silas.tanner@floridadep.gov</v>
      </c>
      <c r="D742" t="str">
        <f ca="1">IFERROR(__xludf.DUMMYFUNCTION("""COMPUTED_VALUE"""),"Nikki Dix")</f>
        <v>Nikki Dix</v>
      </c>
      <c r="E742" t="str">
        <f ca="1">IFERROR(__xludf.DUMMYFUNCTION("""COMPUTED_VALUE"""),"210 Palm Valley")</f>
        <v>210 Palm Valley</v>
      </c>
      <c r="F742" s="13">
        <f ca="1">IFERROR(__xludf.DUMMYFUNCTION("""COMPUTED_VALUE"""),0.42708333333212)</f>
        <v>0.42708333333212001</v>
      </c>
      <c r="G742" s="14">
        <f ca="1">IFERROR(__xludf.DUMMYFUNCTION("""COMPUTED_VALUE"""),44483)</f>
        <v>44483</v>
      </c>
      <c r="H742" t="str">
        <f ca="1">IFERROR(__xludf.DUMMYFUNCTION("""COMPUTED_VALUE"""),"ICW PI SWMP Site")</f>
        <v>ICW PI SWMP Site</v>
      </c>
      <c r="I742" s="15">
        <f ca="1">IFERROR(__xludf.DUMMYFUNCTION("""COMPUTED_VALUE"""),0.625)</f>
        <v>0.625</v>
      </c>
      <c r="J742" s="16">
        <f ca="1">IFERROR(__xludf.DUMMYFUNCTION("""COMPUTED_VALUE"""),44483.6666666666)</f>
        <v>44483.666666666599</v>
      </c>
      <c r="K742" t="str">
        <f ca="1">IFERROR(__xludf.DUMMYFUNCTION("""COMPUTED_VALUE"""),"23ft Skiff (Bertha) FL7972LJ DEP07613")</f>
        <v>23ft Skiff (Bertha) FL7972LJ DEP07613</v>
      </c>
      <c r="M742" t="str">
        <f ca="1">IFERROR(__xludf.DUMMYFUNCTION("""COMPUTED_VALUE"""),"210 Silver F150 (Ranger)")</f>
        <v>210 Silver F150 (Ranger)</v>
      </c>
      <c r="N742" t="str">
        <f ca="1">IFERROR(__xludf.DUMMYFUNCTION("""COMPUTED_VALUE"""),"Silas Tanner, (904) 483-8423")</f>
        <v>Silas Tanner, (904) 483-8423</v>
      </c>
      <c r="O742" t="str">
        <f ca="1">IFERROR(__xludf.DUMMYFUNCTION("""COMPUTED_VALUE"""),"Jake Waggoner")</f>
        <v>Jake Waggoner</v>
      </c>
      <c r="P742" t="str">
        <f ca="1">IFERROR(__xludf.DUMMYFUNCTION("""COMPUTED_VALUE"""),"S. Tanner")</f>
        <v>S. Tanner</v>
      </c>
      <c r="Q742" t="str">
        <f ca="1">IFERROR(__xludf.DUMMYFUNCTION("""COMPUTED_VALUE"""),"All items in working order")</f>
        <v>All items in working order</v>
      </c>
      <c r="AE742" s="11"/>
      <c r="AF742" t="str">
        <v>Nikki.Dix@floridadep.gov</v>
      </c>
      <c r="AG742" s="18"/>
    </row>
    <row r="743" spans="1:33" ht="12.75">
      <c r="A743" s="10">
        <f ca="1">IFERROR(__xludf.DUMMYFUNCTION("""COMPUTED_VALUE"""),44483.4065979745)</f>
        <v>44483.406597974499</v>
      </c>
      <c r="B743" s="11" t="str">
        <f ca="1">IFERROR(__xludf.DUMMYFUNCTION("""COMPUTED_VALUE"""),"Pam Marcum")</f>
        <v>Pam Marcum</v>
      </c>
      <c r="C743" t="str">
        <f ca="1">IFERROR(__xludf.DUMMYFUNCTION("""COMPUTED_VALUE"""),"Pamela.Marcum@FloridaDEP.gov")</f>
        <v>Pamela.Marcum@FloridaDEP.gov</v>
      </c>
      <c r="D743" t="str">
        <f ca="1">IFERROR(__xludf.DUMMYFUNCTION("""COMPUTED_VALUE"""),"Nikki Dix")</f>
        <v>Nikki Dix</v>
      </c>
      <c r="E743" t="str">
        <f ca="1">IFERROR(__xludf.DUMMYFUNCTION("""COMPUTED_VALUE"""),"Palm Valley")</f>
        <v>Palm Valley</v>
      </c>
      <c r="F743" s="13">
        <f ca="1">IFERROR(__xludf.DUMMYFUNCTION("""COMPUTED_VALUE"""),0.402777777777373)</f>
        <v>0.402777777777373</v>
      </c>
      <c r="G743" s="14">
        <f ca="1">IFERROR(__xludf.DUMMYFUNCTION("""COMPUTED_VALUE"""),44483)</f>
        <v>44483</v>
      </c>
      <c r="H743" t="str">
        <f ca="1">IFERROR(__xludf.DUMMYFUNCTION("""COMPUTED_VALUE"""),"Pine island platforms")</f>
        <v>Pine island platforms</v>
      </c>
      <c r="I743" s="15">
        <f ca="1">IFERROR(__xludf.DUMMYFUNCTION("""COMPUTED_VALUE"""),0.58333333333212)</f>
        <v>0.58333333333212001</v>
      </c>
      <c r="J743" s="16">
        <f ca="1">IFERROR(__xludf.DUMMYFUNCTION("""COMPUTED_VALUE"""),44483.6041666666)</f>
        <v>44483.604166666599</v>
      </c>
      <c r="K743" t="str">
        <f ca="1">IFERROR(__xludf.DUMMYFUNCTION("""COMPUTED_VALUE"""),"20ft Sea Ark FL5351SJ UNF 2015")</f>
        <v>20ft Sea Ark FL5351SJ UNF 2015</v>
      </c>
      <c r="M743" t="str">
        <f ca="1">IFERROR(__xludf.DUMMYFUNCTION("""COMPUTED_VALUE"""),"Ford F250 2017 (Moby Dix) - DEP0021578")</f>
        <v>Ford F250 2017 (Moby Dix) - DEP0021578</v>
      </c>
      <c r="N743" t="str">
        <f ca="1">IFERROR(__xludf.DUMMYFUNCTION("""COMPUTED_VALUE"""),"Pam Marcum, (480) 332-5414, Alee Knoell, (619) 750-4833")</f>
        <v>Pam Marcum, (480) 332-5414, Alee Knoell, (619) 750-4833</v>
      </c>
      <c r="O743" t="str">
        <f ca="1">IFERROR(__xludf.DUMMYFUNCTION("""COMPUTED_VALUE"""),"Savanna Mathis")</f>
        <v>Savanna Mathis</v>
      </c>
      <c r="P743" t="str">
        <f ca="1">IFERROR(__xludf.DUMMYFUNCTION("""COMPUTED_VALUE"""),"Alee")</f>
        <v>Alee</v>
      </c>
      <c r="Q743" t="str">
        <f ca="1">IFERROR(__xludf.DUMMYFUNCTION("""COMPUTED_VALUE"""),"All items in working order")</f>
        <v>All items in working order</v>
      </c>
      <c r="AE743" s="11"/>
      <c r="AF743" t="str">
        <v>Nikki.Dix@floridadep.gov</v>
      </c>
      <c r="AG743" s="18"/>
    </row>
    <row r="744" spans="1:33" ht="12.75">
      <c r="A744" s="10">
        <f ca="1">IFERROR(__xludf.DUMMYFUNCTION("""COMPUTED_VALUE"""),44484.4778872685)</f>
        <v>44484.477887268498</v>
      </c>
      <c r="B744" s="11" t="str">
        <f ca="1">IFERROR(__xludf.DUMMYFUNCTION("""COMPUTED_VALUE"""),"Pam Marcum")</f>
        <v>Pam Marcum</v>
      </c>
      <c r="C744" t="str">
        <f ca="1">IFERROR(__xludf.DUMMYFUNCTION("""COMPUTED_VALUE"""),"Pamela.Marcum@FloridaDEP.gov")</f>
        <v>Pamela.Marcum@FloridaDEP.gov</v>
      </c>
      <c r="D744" t="str">
        <f ca="1">IFERROR(__xludf.DUMMYFUNCTION("""COMPUTED_VALUE"""),"Pam Marcum")</f>
        <v>Pam Marcum</v>
      </c>
      <c r="E744" t="str">
        <f ca="1">IFERROR(__xludf.DUMMYFUNCTION("""COMPUTED_VALUE"""),"Shore Dr")</f>
        <v>Shore Dr</v>
      </c>
      <c r="F744" s="13">
        <f ca="1">IFERROR(__xludf.DUMMYFUNCTION("""COMPUTED_VALUE"""),0.45833333333212)</f>
        <v>0.45833333333212001</v>
      </c>
      <c r="G744" s="14">
        <f ca="1">IFERROR(__xludf.DUMMYFUNCTION("""COMPUTED_VALUE"""),44484)</f>
        <v>44484</v>
      </c>
      <c r="H744" t="str">
        <f ca="1">IFERROR(__xludf.DUMMYFUNCTION("""COMPUTED_VALUE"""),"Site 22/ mangrove creek")</f>
        <v>Site 22/ mangrove creek</v>
      </c>
      <c r="I744" s="15">
        <f ca="1">IFERROR(__xludf.DUMMYFUNCTION("""COMPUTED_VALUE"""),0.625)</f>
        <v>0.625</v>
      </c>
      <c r="J744" s="16">
        <f ca="1">IFERROR(__xludf.DUMMYFUNCTION("""COMPUTED_VALUE"""),44484.6666666666)</f>
        <v>44484.666666666599</v>
      </c>
      <c r="K744" t="str">
        <f ca="1">IFERROR(__xludf.DUMMYFUNCTION("""COMPUTED_VALUE"""),"20ft Sea Ark FL5351SJ UNF 2015")</f>
        <v>20ft Sea Ark FL5351SJ UNF 2015</v>
      </c>
      <c r="M744" t="str">
        <f ca="1">IFERROR(__xludf.DUMMYFUNCTION("""COMPUTED_VALUE"""),"Ford F250 2017 (Moby Dix) - DEP0021578")</f>
        <v>Ford F250 2017 (Moby Dix) - DEP0021578</v>
      </c>
      <c r="N744" t="str">
        <f ca="1">IFERROR(__xludf.DUMMYFUNCTION("""COMPUTED_VALUE"""),"Pam Marcum, (480) 332-5414")</f>
        <v>Pam Marcum, (480) 332-5414</v>
      </c>
      <c r="O744" t="str">
        <f ca="1">IFERROR(__xludf.DUMMYFUNCTION("""COMPUTED_VALUE"""),"Allix North, Savanna Mathis")</f>
        <v>Allix North, Savanna Mathis</v>
      </c>
      <c r="P744" t="str">
        <f ca="1">IFERROR(__xludf.DUMMYFUNCTION("""COMPUTED_VALUE"""),"Pam")</f>
        <v>Pam</v>
      </c>
      <c r="Q744" t="str">
        <f ca="1">IFERROR(__xludf.DUMMYFUNCTION("""COMPUTED_VALUE"""),"All items in working order")</f>
        <v>All items in working order</v>
      </c>
      <c r="AE744" s="11"/>
      <c r="AF744" t="str">
        <v>Pamela.Marcum@floridadep.gov</v>
      </c>
      <c r="AG744" s="18"/>
    </row>
    <row r="745" spans="1:33" ht="12.75">
      <c r="A745" s="10">
        <f ca="1">IFERROR(__xludf.DUMMYFUNCTION("""COMPUTED_VALUE"""),44489.3229603356)</f>
        <v>44489.322960335601</v>
      </c>
      <c r="B745" s="11" t="str">
        <f ca="1">IFERROR(__xludf.DUMMYFUNCTION("""COMPUTED_VALUE"""),"Silas Tanner")</f>
        <v>Silas Tanner</v>
      </c>
      <c r="C745" t="str">
        <f ca="1">IFERROR(__xludf.DUMMYFUNCTION("""COMPUTED_VALUE"""),"silas.tanner@floridadep.gov")</f>
        <v>silas.tanner@floridadep.gov</v>
      </c>
      <c r="D745" t="str">
        <f ca="1">IFERROR(__xludf.DUMMYFUNCTION("""COMPUTED_VALUE"""),"Shannon Dunnigan")</f>
        <v>Shannon Dunnigan</v>
      </c>
      <c r="E745" t="str">
        <f ca="1">IFERROR(__xludf.DUMMYFUNCTION("""COMPUTED_VALUE"""),"Vilano Landing")</f>
        <v>Vilano Landing</v>
      </c>
      <c r="F745" s="13">
        <f ca="1">IFERROR(__xludf.DUMMYFUNCTION("""COMPUTED_VALUE"""),0.375)</f>
        <v>0.375</v>
      </c>
      <c r="G745" s="14">
        <f ca="1">IFERROR(__xludf.DUMMYFUNCTION("""COMPUTED_VALUE"""),44489)</f>
        <v>44489</v>
      </c>
      <c r="H745" t="str">
        <f ca="1">IFERROR(__xludf.DUMMYFUNCTION("""COMPUTED_VALUE"""),"ICW SWMP Sites")</f>
        <v>ICW SWMP Sites</v>
      </c>
      <c r="I745" s="15">
        <f ca="1">IFERROR(__xludf.DUMMYFUNCTION("""COMPUTED_VALUE"""),0.5625)</f>
        <v>0.5625</v>
      </c>
      <c r="J745" s="16">
        <f ca="1">IFERROR(__xludf.DUMMYFUNCTION("""COMPUTED_VALUE"""),44489.5833333333)</f>
        <v>44489.583333333299</v>
      </c>
      <c r="K745" t="str">
        <f ca="1">IFERROR(__xludf.DUMMYFUNCTION("""COMPUTED_VALUE"""),"20ft Sea Ark FL5351SJ UNF 2015")</f>
        <v>20ft Sea Ark FL5351SJ UNF 2015</v>
      </c>
      <c r="M745" t="str">
        <f ca="1">IFERROR(__xludf.DUMMYFUNCTION("""COMPUTED_VALUE"""),"Ford F250 2017 (Moby Dix) - DEP0021578")</f>
        <v>Ford F250 2017 (Moby Dix) - DEP0021578</v>
      </c>
      <c r="N745" t="str">
        <f ca="1">IFERROR(__xludf.DUMMYFUNCTION("""COMPUTED_VALUE"""),"Silas Tanner, (904) 483-8423")</f>
        <v>Silas Tanner, (904) 483-8423</v>
      </c>
      <c r="O745" t="str">
        <f ca="1">IFERROR(__xludf.DUMMYFUNCTION("""COMPUTED_VALUE"""),"Emma Wilkinson")</f>
        <v>Emma Wilkinson</v>
      </c>
      <c r="P745" t="str">
        <f ca="1">IFERROR(__xludf.DUMMYFUNCTION("""COMPUTED_VALUE"""),"Silas Tanner")</f>
        <v>Silas Tanner</v>
      </c>
      <c r="Q745" t="str">
        <f ca="1">IFERROR(__xludf.DUMMYFUNCTION("""COMPUTED_VALUE"""),"All items in working order")</f>
        <v>All items in working order</v>
      </c>
      <c r="AE745" s="11"/>
      <c r="AF745" t="str">
        <v>Shannon.Dunnigan@floridadep.gov</v>
      </c>
      <c r="AG745" s="18"/>
    </row>
    <row r="746" spans="1:33" ht="12.75">
      <c r="A746" s="10">
        <f ca="1">IFERROR(__xludf.DUMMYFUNCTION("""COMPUTED_VALUE"""),44491.3802042129)</f>
        <v>44491.380204212903</v>
      </c>
      <c r="B746" s="11" t="str">
        <f ca="1">IFERROR(__xludf.DUMMYFUNCTION("""COMPUTED_VALUE"""),"Pam Marcum")</f>
        <v>Pam Marcum</v>
      </c>
      <c r="C746" t="str">
        <f ca="1">IFERROR(__xludf.DUMMYFUNCTION("""COMPUTED_VALUE"""),"Pamela.Marcum@FloridaDEP.gov")</f>
        <v>Pamela.Marcum@FloridaDEP.gov</v>
      </c>
      <c r="D746" t="str">
        <f ca="1">IFERROR(__xludf.DUMMYFUNCTION("""COMPUTED_VALUE"""),"Alee Knoell")</f>
        <v>Alee Knoell</v>
      </c>
      <c r="E746" t="str">
        <f ca="1">IFERROR(__xludf.DUMMYFUNCTION("""COMPUTED_VALUE"""),"Faver Dykes")</f>
        <v>Faver Dykes</v>
      </c>
      <c r="F746" s="13">
        <f ca="1">IFERROR(__xludf.DUMMYFUNCTION("""COMPUTED_VALUE"""),0.375)</f>
        <v>0.375</v>
      </c>
      <c r="G746" s="14">
        <f ca="1">IFERROR(__xludf.DUMMYFUNCTION("""COMPUTED_VALUE"""),44491)</f>
        <v>44491</v>
      </c>
      <c r="H746" t="str">
        <f ca="1">IFERROR(__xludf.DUMMYFUNCTION("""COMPUTED_VALUE"""),"Pellicer Creek")</f>
        <v>Pellicer Creek</v>
      </c>
      <c r="I746" s="15">
        <f ca="1">IFERROR(__xludf.DUMMYFUNCTION("""COMPUTED_VALUE"""),0.5)</f>
        <v>0.5</v>
      </c>
      <c r="J746" s="16">
        <f ca="1">IFERROR(__xludf.DUMMYFUNCTION("""COMPUTED_VALUE"""),44491.5416666666)</f>
        <v>44491.541666666599</v>
      </c>
      <c r="K746" t="str">
        <f ca="1">IFERROR(__xludf.DUMMYFUNCTION("""COMPUTED_VALUE"""),"20ft Sea Ark FL5351SJ UNF 2015")</f>
        <v>20ft Sea Ark FL5351SJ UNF 2015</v>
      </c>
      <c r="M746" t="str">
        <f ca="1">IFERROR(__xludf.DUMMYFUNCTION("""COMPUTED_VALUE"""),"Ford F250 2017 (Moby Dix) - DEP0021578")</f>
        <v>Ford F250 2017 (Moby Dix) - DEP0021578</v>
      </c>
      <c r="N746" t="str">
        <f ca="1">IFERROR(__xludf.DUMMYFUNCTION("""COMPUTED_VALUE"""),"Nikki Dix, (352) 219-4079, Pam Marcum, (480) 332-5414")</f>
        <v>Nikki Dix, (352) 219-4079, Pam Marcum, (480) 332-5414</v>
      </c>
      <c r="O746" t="str">
        <f ca="1">IFERROR(__xludf.DUMMYFUNCTION("""COMPUTED_VALUE"""),"Vitalii Sheremet")</f>
        <v>Vitalii Sheremet</v>
      </c>
      <c r="P746" t="str">
        <f ca="1">IFERROR(__xludf.DUMMYFUNCTION("""COMPUTED_VALUE"""),"Pam")</f>
        <v>Pam</v>
      </c>
      <c r="Q746" t="str">
        <f ca="1">IFERROR(__xludf.DUMMYFUNCTION("""COMPUTED_VALUE"""),"All items in working order")</f>
        <v>All items in working order</v>
      </c>
      <c r="AE746" s="11"/>
      <c r="AF746" t="str">
        <v/>
      </c>
      <c r="AG746" s="18"/>
    </row>
    <row r="747" spans="1:33" ht="12.75">
      <c r="A747" s="10">
        <f ca="1">IFERROR(__xludf.DUMMYFUNCTION("""COMPUTED_VALUE"""),44495.3121051851)</f>
        <v>44495.312105185098</v>
      </c>
      <c r="B747" s="11" t="str">
        <f ca="1">IFERROR(__xludf.DUMMYFUNCTION("""COMPUTED_VALUE"""),"Alee Knoell ")</f>
        <v xml:space="preserve">Alee Knoell </v>
      </c>
      <c r="C747" t="str">
        <f ca="1">IFERROR(__xludf.DUMMYFUNCTION("""COMPUTED_VALUE"""),"alee.knoell@floridadep.gov")</f>
        <v>alee.knoell@floridadep.gov</v>
      </c>
      <c r="D747" t="str">
        <f ca="1">IFERROR(__xludf.DUMMYFUNCTION("""COMPUTED_VALUE"""),"Pam Marcum")</f>
        <v>Pam Marcum</v>
      </c>
      <c r="E747" t="str">
        <f ca="1">IFERROR(__xludf.DUMMYFUNCTION("""COMPUTED_VALUE"""),"Palm valley")</f>
        <v>Palm valley</v>
      </c>
      <c r="F747" s="13">
        <f ca="1">IFERROR(__xludf.DUMMYFUNCTION("""COMPUTED_VALUE"""),0.3125)</f>
        <v>0.3125</v>
      </c>
      <c r="G747" s="14">
        <f ca="1">IFERROR(__xludf.DUMMYFUNCTION("""COMPUTED_VALUE"""),44495)</f>
        <v>44495</v>
      </c>
      <c r="H747" t="str">
        <f ca="1">IFERROR(__xludf.DUMMYFUNCTION("""COMPUTED_VALUE"""),"pine island ")</f>
        <v xml:space="preserve">pine island </v>
      </c>
      <c r="I747" s="15">
        <f ca="1">IFERROR(__xludf.DUMMYFUNCTION("""COMPUTED_VALUE"""),0.52083333333212)</f>
        <v>0.52083333333212001</v>
      </c>
      <c r="J747" s="16">
        <f ca="1">IFERROR(__xludf.DUMMYFUNCTION("""COMPUTED_VALUE"""),44495.5416666666)</f>
        <v>44495.541666666599</v>
      </c>
      <c r="K747" t="str">
        <f ca="1">IFERROR(__xludf.DUMMYFUNCTION("""COMPUTED_VALUE"""),"20ft Sea Ark FL5351SJ UNF 2015")</f>
        <v>20ft Sea Ark FL5351SJ UNF 2015</v>
      </c>
      <c r="M747" t="str">
        <f ca="1">IFERROR(__xludf.DUMMYFUNCTION("""COMPUTED_VALUE"""),"Ford F250 2017 (Moby Dix) - DEP0021578")</f>
        <v>Ford F250 2017 (Moby Dix) - DEP0021578</v>
      </c>
      <c r="N747" t="str">
        <f ca="1">IFERROR(__xludf.DUMMYFUNCTION("""COMPUTED_VALUE"""),"Alee Knoell, (619) 750-4833")</f>
        <v>Alee Knoell, (619) 750-4833</v>
      </c>
      <c r="O747" t="str">
        <f ca="1">IFERROR(__xludf.DUMMYFUNCTION("""COMPUTED_VALUE"""),"Rauney Mitchell")</f>
        <v>Rauney Mitchell</v>
      </c>
      <c r="P747" t="str">
        <f ca="1">IFERROR(__xludf.DUMMYFUNCTION("""COMPUTED_VALUE"""),"Alee knoell")</f>
        <v>Alee knoell</v>
      </c>
      <c r="Q747" t="str">
        <f ca="1">IFERROR(__xludf.DUMMYFUNCTION("""COMPUTED_VALUE"""),"All items in working order")</f>
        <v>All items in working order</v>
      </c>
      <c r="AE747" s="11"/>
      <c r="AF747" t="str">
        <v>Pamela.Marcum@floridadep.gov</v>
      </c>
      <c r="AG747" s="18"/>
    </row>
    <row r="748" spans="1:33" ht="12.75">
      <c r="A748" s="10">
        <f ca="1">IFERROR(__xludf.DUMMYFUNCTION("""COMPUTED_VALUE"""),44495.5882900925)</f>
        <v>44495.588290092499</v>
      </c>
      <c r="B748" s="11" t="str">
        <f ca="1">IFERROR(__xludf.DUMMYFUNCTION("""COMPUTED_VALUE"""),"Pam Marcum")</f>
        <v>Pam Marcum</v>
      </c>
      <c r="C748" t="str">
        <f ca="1">IFERROR(__xludf.DUMMYFUNCTION("""COMPUTED_VALUE"""),"Pamela.Marcum@FloridaDEP.gov")</f>
        <v>Pamela.Marcum@FloridaDEP.gov</v>
      </c>
      <c r="D748" t="str">
        <f ca="1">IFERROR(__xludf.DUMMYFUNCTION("""COMPUTED_VALUE"""),"Nikki Dix")</f>
        <v>Nikki Dix</v>
      </c>
      <c r="E748" t="str">
        <f ca="1">IFERROR(__xludf.DUMMYFUNCTION("""COMPUTED_VALUE"""),"Bings")</f>
        <v>Bings</v>
      </c>
      <c r="F748" s="13">
        <f ca="1">IFERROR(__xludf.DUMMYFUNCTION("""COMPUTED_VALUE"""),0.58333333333212)</f>
        <v>0.58333333333212001</v>
      </c>
      <c r="G748" s="14">
        <f ca="1">IFERROR(__xludf.DUMMYFUNCTION("""COMPUTED_VALUE"""),44495)</f>
        <v>44495</v>
      </c>
      <c r="H748" t="str">
        <f ca="1">IFERROR(__xludf.DUMMYFUNCTION("""COMPUTED_VALUE"""),"Wash oaks")</f>
        <v>Wash oaks</v>
      </c>
      <c r="I748" s="15">
        <f ca="1">IFERROR(__xludf.DUMMYFUNCTION("""COMPUTED_VALUE"""),0.64583333333212)</f>
        <v>0.64583333333212001</v>
      </c>
      <c r="J748" s="16">
        <f ca="1">IFERROR(__xludf.DUMMYFUNCTION("""COMPUTED_VALUE"""),44495.6666666666)</f>
        <v>44495.666666666599</v>
      </c>
      <c r="K748" t="str">
        <f ca="1">IFERROR(__xludf.DUMMYFUNCTION("""COMPUTED_VALUE"""),"20ft Sea Ark FL5351SJ UNF 2015")</f>
        <v>20ft Sea Ark FL5351SJ UNF 2015</v>
      </c>
      <c r="M748" t="str">
        <f ca="1">IFERROR(__xludf.DUMMYFUNCTION("""COMPUTED_VALUE"""),"Ford F250 2017 (Moby Dix) - DEP0021578")</f>
        <v>Ford F250 2017 (Moby Dix) - DEP0021578</v>
      </c>
      <c r="N748" t="str">
        <f ca="1">IFERROR(__xludf.DUMMYFUNCTION("""COMPUTED_VALUE"""),"Pam Marcum, (480) 332-5414, Alee Knoell, (619) 750-4833")</f>
        <v>Pam Marcum, (480) 332-5414, Alee Knoell, (619) 750-4833</v>
      </c>
      <c r="P748" t="str">
        <f ca="1">IFERROR(__xludf.DUMMYFUNCTION("""COMPUTED_VALUE"""),"Pam")</f>
        <v>Pam</v>
      </c>
      <c r="Q748" t="str">
        <f ca="1">IFERROR(__xludf.DUMMYFUNCTION("""COMPUTED_VALUE"""),"All items in working order")</f>
        <v>All items in working order</v>
      </c>
      <c r="AE748" s="11"/>
      <c r="AF748" t="str">
        <v>Nikki.Dix@floridadep.gov</v>
      </c>
      <c r="AG748" s="18"/>
    </row>
    <row r="749" spans="1:33" ht="12.75">
      <c r="A749" s="10">
        <f ca="1">IFERROR(__xludf.DUMMYFUNCTION("""COMPUTED_VALUE"""),44495.653365324)</f>
        <v>44495.653365323997</v>
      </c>
      <c r="B749" s="11" t="str">
        <f ca="1">IFERROR(__xludf.DUMMYFUNCTION("""COMPUTED_VALUE"""),"Pam Marcum")</f>
        <v>Pam Marcum</v>
      </c>
      <c r="C749" t="str">
        <f ca="1">IFERROR(__xludf.DUMMYFUNCTION("""COMPUTED_VALUE"""),"Pamela.Marcum@FloridaDEP.gov")</f>
        <v>Pamela.Marcum@FloridaDEP.gov</v>
      </c>
      <c r="D749" t="str">
        <f ca="1">IFERROR(__xludf.DUMMYFUNCTION("""COMPUTED_VALUE"""),"Nikki Dix")</f>
        <v>Nikki Dix</v>
      </c>
      <c r="E749" t="str">
        <f ca="1">IFERROR(__xludf.DUMMYFUNCTION("""COMPUTED_VALUE"""),"Butler")</f>
        <v>Butler</v>
      </c>
      <c r="F749" s="13">
        <f ca="1">IFERROR(__xludf.DUMMYFUNCTION("""COMPUTED_VALUE"""),0.652777777777373)</f>
        <v>0.652777777777373</v>
      </c>
      <c r="G749" s="14">
        <f ca="1">IFERROR(__xludf.DUMMYFUNCTION("""COMPUTED_VALUE"""),44495)</f>
        <v>44495</v>
      </c>
      <c r="H749" t="str">
        <f ca="1">IFERROR(__xludf.DUMMYFUNCTION("""COMPUTED_VALUE"""),"Moses Creek")</f>
        <v>Moses Creek</v>
      </c>
      <c r="I749" s="15">
        <f ca="1">IFERROR(__xludf.DUMMYFUNCTION("""COMPUTED_VALUE"""),0.75)</f>
        <v>0.75</v>
      </c>
      <c r="J749" s="16">
        <f ca="1">IFERROR(__xludf.DUMMYFUNCTION("""COMPUTED_VALUE"""),44495.7708333333)</f>
        <v>44495.770833333299</v>
      </c>
      <c r="K749" t="str">
        <f ca="1">IFERROR(__xludf.DUMMYFUNCTION("""COMPUTED_VALUE"""),"20ft Sea Ark FL5351SJ UNF 2015")</f>
        <v>20ft Sea Ark FL5351SJ UNF 2015</v>
      </c>
      <c r="M749" t="str">
        <f ca="1">IFERROR(__xludf.DUMMYFUNCTION("""COMPUTED_VALUE"""),"Ford F250 2017 (Moby Dix) - DEP0021578")</f>
        <v>Ford F250 2017 (Moby Dix) - DEP0021578</v>
      </c>
      <c r="N749" t="str">
        <f ca="1">IFERROR(__xludf.DUMMYFUNCTION("""COMPUTED_VALUE"""),"Pam Marcum, (480) 332-5414, Alee Knoell, (619) 750-4833")</f>
        <v>Pam Marcum, (480) 332-5414, Alee Knoell, (619) 750-4833</v>
      </c>
      <c r="P749" t="str">
        <f ca="1">IFERROR(__xludf.DUMMYFUNCTION("""COMPUTED_VALUE"""),"Pam")</f>
        <v>Pam</v>
      </c>
      <c r="Q749" t="str">
        <f ca="1">IFERROR(__xludf.DUMMYFUNCTION("""COMPUTED_VALUE"""),"All items in working order")</f>
        <v>All items in working order</v>
      </c>
      <c r="AE749" s="11"/>
      <c r="AF749" t="str">
        <v>Nikki.Dix@floridadep.gov</v>
      </c>
      <c r="AG749" s="18"/>
    </row>
    <row r="750" spans="1:33" ht="12.75">
      <c r="A750" s="10">
        <f ca="1">IFERROR(__xludf.DUMMYFUNCTION("""COMPUTED_VALUE"""),44496.3188779745)</f>
        <v>44496.318877974503</v>
      </c>
      <c r="B750" s="11" t="str">
        <f ca="1">IFERROR(__xludf.DUMMYFUNCTION("""COMPUTED_VALUE"""),"Alee Knoell")</f>
        <v>Alee Knoell</v>
      </c>
      <c r="C750" t="str">
        <f ca="1">IFERROR(__xludf.DUMMYFUNCTION("""COMPUTED_VALUE"""),"alee.knoell@hotmail.com")</f>
        <v>alee.knoell@hotmail.com</v>
      </c>
      <c r="D750" t="str">
        <f ca="1">IFERROR(__xludf.DUMMYFUNCTION("""COMPUTED_VALUE"""),"Nikki Dix")</f>
        <v>Nikki Dix</v>
      </c>
      <c r="E750" t="str">
        <f ca="1">IFERROR(__xludf.DUMMYFUNCTION("""COMPUTED_VALUE"""),"Aunt Kate’s ")</f>
        <v xml:space="preserve">Aunt Kate’s </v>
      </c>
      <c r="F750" s="13">
        <f ca="1">IFERROR(__xludf.DUMMYFUNCTION("""COMPUTED_VALUE"""),0.322916666667879)</f>
        <v>0.32291666666787899</v>
      </c>
      <c r="G750" s="14">
        <f ca="1">IFERROR(__xludf.DUMMYFUNCTION("""COMPUTED_VALUE"""),44496)</f>
        <v>44496</v>
      </c>
      <c r="H750" t="str">
        <f ca="1">IFERROR(__xludf.DUMMYFUNCTION("""COMPUTED_VALUE"""),"Hat island ")</f>
        <v xml:space="preserve">Hat island </v>
      </c>
      <c r="I750" s="15">
        <f ca="1">IFERROR(__xludf.DUMMYFUNCTION("""COMPUTED_VALUE"""),0.48958333333212)</f>
        <v>0.48958333333212001</v>
      </c>
      <c r="J750" s="16">
        <f ca="1">IFERROR(__xludf.DUMMYFUNCTION("""COMPUTED_VALUE"""),44496.5104166666)</f>
        <v>44496.510416666599</v>
      </c>
      <c r="K750" t="str">
        <f ca="1">IFERROR(__xludf.DUMMYFUNCTION("""COMPUTED_VALUE"""),"20ft Sea Ark FL5351SJ UNF 2015")</f>
        <v>20ft Sea Ark FL5351SJ UNF 2015</v>
      </c>
      <c r="M750" t="str">
        <f ca="1">IFERROR(__xludf.DUMMYFUNCTION("""COMPUTED_VALUE"""),"Ford F250 2017 (Moby Dix) - DEP0021578")</f>
        <v>Ford F250 2017 (Moby Dix) - DEP0021578</v>
      </c>
      <c r="N750" t="str">
        <f ca="1">IFERROR(__xludf.DUMMYFUNCTION("""COMPUTED_VALUE"""),"Pam Marcum, (480) 332-5414, Alee Knoell, (619) 750-4833")</f>
        <v>Pam Marcum, (480) 332-5414, Alee Knoell, (619) 750-4833</v>
      </c>
      <c r="O750" t="str">
        <f ca="1">IFERROR(__xludf.DUMMYFUNCTION("""COMPUTED_VALUE"""),"Emma Wilkinson ")</f>
        <v xml:space="preserve">Emma Wilkinson </v>
      </c>
      <c r="P750" t="str">
        <f ca="1">IFERROR(__xludf.DUMMYFUNCTION("""COMPUTED_VALUE"""),"Pam marcum")</f>
        <v>Pam marcum</v>
      </c>
      <c r="Q750" t="str">
        <f ca="1">IFERROR(__xludf.DUMMYFUNCTION("""COMPUTED_VALUE"""),"All items in working order")</f>
        <v>All items in working order</v>
      </c>
      <c r="AE750" s="11"/>
      <c r="AF750" t="str">
        <v>Nikki.Dix@floridadep.gov</v>
      </c>
      <c r="AG750" s="18"/>
    </row>
    <row r="751" spans="1:33" ht="12.75">
      <c r="A751" s="10">
        <f ca="1">IFERROR(__xludf.DUMMYFUNCTION("""COMPUTED_VALUE"""),44496.5849385648)</f>
        <v>44496.584938564803</v>
      </c>
      <c r="B751" s="11" t="str">
        <f ca="1">IFERROR(__xludf.DUMMYFUNCTION("""COMPUTED_VALUE"""),"Alee knoell")</f>
        <v>Alee knoell</v>
      </c>
      <c r="C751" t="str">
        <f ca="1">IFERROR(__xludf.DUMMYFUNCTION("""COMPUTED_VALUE"""),"aknoell@hotmail.com")</f>
        <v>aknoell@hotmail.com</v>
      </c>
      <c r="D751" t="str">
        <f ca="1">IFERROR(__xludf.DUMMYFUNCTION("""COMPUTED_VALUE"""),"Nikki Dix")</f>
        <v>Nikki Dix</v>
      </c>
      <c r="E751" t="str">
        <f ca="1">IFERROR(__xludf.DUMMYFUNCTION("""COMPUTED_VALUE"""),"Bings")</f>
        <v>Bings</v>
      </c>
      <c r="F751" s="13">
        <f ca="1">IFERROR(__xludf.DUMMYFUNCTION("""COMPUTED_VALUE"""),0.604166666667879)</f>
        <v>0.60416666666787899</v>
      </c>
      <c r="G751" s="14">
        <f ca="1">IFERROR(__xludf.DUMMYFUNCTION("""COMPUTED_VALUE"""),44496)</f>
        <v>44496</v>
      </c>
      <c r="H751" t="str">
        <f ca="1">IFERROR(__xludf.DUMMYFUNCTION("""COMPUTED_VALUE"""),"Wash oaks")</f>
        <v>Wash oaks</v>
      </c>
      <c r="I751" s="15">
        <f ca="1">IFERROR(__xludf.DUMMYFUNCTION("""COMPUTED_VALUE"""),0.64583333333212)</f>
        <v>0.64583333333212001</v>
      </c>
      <c r="J751" s="16">
        <f ca="1">IFERROR(__xludf.DUMMYFUNCTION("""COMPUTED_VALUE"""),44496.7291666666)</f>
        <v>44496.729166666599</v>
      </c>
      <c r="K751" t="str">
        <f ca="1">IFERROR(__xludf.DUMMYFUNCTION("""COMPUTED_VALUE"""),"20ft Sea Ark FL5351SJ UNF 2015")</f>
        <v>20ft Sea Ark FL5351SJ UNF 2015</v>
      </c>
      <c r="M751" t="str">
        <f ca="1">IFERROR(__xludf.DUMMYFUNCTION("""COMPUTED_VALUE"""),"Ford F250 2017 (Moby Dix) - DEP0021578")</f>
        <v>Ford F250 2017 (Moby Dix) - DEP0021578</v>
      </c>
      <c r="N751" t="str">
        <f ca="1">IFERROR(__xludf.DUMMYFUNCTION("""COMPUTED_VALUE"""),"Pam Marcum, (480) 332-5414, Alee Knoell, (619) 750-4833")</f>
        <v>Pam Marcum, (480) 332-5414, Alee Knoell, (619) 750-4833</v>
      </c>
      <c r="P751" t="str">
        <f ca="1">IFERROR(__xludf.DUMMYFUNCTION("""COMPUTED_VALUE"""),"Alee")</f>
        <v>Alee</v>
      </c>
      <c r="Q751" t="str">
        <f ca="1">IFERROR(__xludf.DUMMYFUNCTION("""COMPUTED_VALUE"""),"All items in working order")</f>
        <v>All items in working order</v>
      </c>
      <c r="AE751" s="11"/>
      <c r="AF751" t="str">
        <v>Nikki.Dix@floridadep.gov</v>
      </c>
      <c r="AG751" s="18"/>
    </row>
    <row r="752" spans="1:33" ht="12.75">
      <c r="A752" s="10">
        <f ca="1">IFERROR(__xludf.DUMMYFUNCTION("""COMPUTED_VALUE"""),44496.6511399537)</f>
        <v>44496.651139953698</v>
      </c>
      <c r="B752" s="11" t="str">
        <f ca="1">IFERROR(__xludf.DUMMYFUNCTION("""COMPUTED_VALUE"""),"Alee knoell")</f>
        <v>Alee knoell</v>
      </c>
      <c r="C752" t="str">
        <f ca="1">IFERROR(__xludf.DUMMYFUNCTION("""COMPUTED_VALUE"""),"alee.knoell@hotmail.com")</f>
        <v>alee.knoell@hotmail.com</v>
      </c>
      <c r="D752" t="str">
        <f ca="1">IFERROR(__xludf.DUMMYFUNCTION("""COMPUTED_VALUE"""),"Nikki Dix")</f>
        <v>Nikki Dix</v>
      </c>
      <c r="E752" t="str">
        <f ca="1">IFERROR(__xludf.DUMMYFUNCTION("""COMPUTED_VALUE"""),"Butler")</f>
        <v>Butler</v>
      </c>
      <c r="F752" s="13">
        <f ca="1">IFERROR(__xludf.DUMMYFUNCTION("""COMPUTED_VALUE"""),0.65625)</f>
        <v>0.65625</v>
      </c>
      <c r="G752" s="14">
        <f ca="1">IFERROR(__xludf.DUMMYFUNCTION("""COMPUTED_VALUE"""),44496)</f>
        <v>44496</v>
      </c>
      <c r="H752" t="str">
        <f ca="1">IFERROR(__xludf.DUMMYFUNCTION("""COMPUTED_VALUE"""),"Moses")</f>
        <v>Moses</v>
      </c>
      <c r="I752" s="15">
        <f ca="1">IFERROR(__xludf.DUMMYFUNCTION("""COMPUTED_VALUE"""),0.729166666667879)</f>
        <v>0.72916666666787899</v>
      </c>
      <c r="J752" s="16">
        <f ca="1">IFERROR(__xludf.DUMMYFUNCTION("""COMPUTED_VALUE"""),44496.7708333333)</f>
        <v>44496.770833333299</v>
      </c>
      <c r="K752" t="str">
        <f ca="1">IFERROR(__xludf.DUMMYFUNCTION("""COMPUTED_VALUE"""),"20ft Sea Ark FL5351SJ UNF 2015")</f>
        <v>20ft Sea Ark FL5351SJ UNF 2015</v>
      </c>
      <c r="M752" t="str">
        <f ca="1">IFERROR(__xludf.DUMMYFUNCTION("""COMPUTED_VALUE"""),"Ford F250 2017 (Moby Dix) - DEP0021578")</f>
        <v>Ford F250 2017 (Moby Dix) - DEP0021578</v>
      </c>
      <c r="N752" t="str">
        <f ca="1">IFERROR(__xludf.DUMMYFUNCTION("""COMPUTED_VALUE"""),"Pam Marcum, (480) 332-5414, Alee Knoell, (619) 750-4833")</f>
        <v>Pam Marcum, (480) 332-5414, Alee Knoell, (619) 750-4833</v>
      </c>
      <c r="P752" t="str">
        <f ca="1">IFERROR(__xludf.DUMMYFUNCTION("""COMPUTED_VALUE"""),"Pam")</f>
        <v>Pam</v>
      </c>
      <c r="Q752" t="str">
        <f ca="1">IFERROR(__xludf.DUMMYFUNCTION("""COMPUTED_VALUE"""),"All items in working order")</f>
        <v>All items in working order</v>
      </c>
      <c r="AE752" s="11"/>
      <c r="AF752" t="str">
        <v>Nikki.Dix@floridadep.gov</v>
      </c>
      <c r="AG752" s="18"/>
    </row>
    <row r="753" spans="1:33" ht="12.75">
      <c r="A753" s="10">
        <f ca="1">IFERROR(__xludf.DUMMYFUNCTION("""COMPUTED_VALUE"""),44501.5603610416)</f>
        <v>44501.5603610416</v>
      </c>
      <c r="B753" s="11" t="str">
        <f ca="1">IFERROR(__xludf.DUMMYFUNCTION("""COMPUTED_VALUE"""),"Pam Marcum")</f>
        <v>Pam Marcum</v>
      </c>
      <c r="C753" t="str">
        <f ca="1">IFERROR(__xludf.DUMMYFUNCTION("""COMPUTED_VALUE"""),"pamela.marcum@floridadep.gov")</f>
        <v>pamela.marcum@floridadep.gov</v>
      </c>
      <c r="D753" t="str">
        <f ca="1">IFERROR(__xludf.DUMMYFUNCTION("""COMPUTED_VALUE"""),"Nikki Dix")</f>
        <v>Nikki Dix</v>
      </c>
      <c r="E753" t="str">
        <f ca="1">IFERROR(__xludf.DUMMYFUNCTION("""COMPUTED_VALUE"""),"Palm valley")</f>
        <v>Palm valley</v>
      </c>
      <c r="F753" s="13">
        <f ca="1">IFERROR(__xludf.DUMMYFUNCTION("""COMPUTED_VALUE"""),0.55208333333212)</f>
        <v>0.55208333333212001</v>
      </c>
      <c r="G753" s="14">
        <f ca="1">IFERROR(__xludf.DUMMYFUNCTION("""COMPUTED_VALUE"""),44501)</f>
        <v>44501</v>
      </c>
      <c r="H753" t="str">
        <f ca="1">IFERROR(__xludf.DUMMYFUNCTION("""COMPUTED_VALUE"""),"Pine island")</f>
        <v>Pine island</v>
      </c>
      <c r="I753" s="15">
        <f ca="1">IFERROR(__xludf.DUMMYFUNCTION("""COMPUTED_VALUE"""),0.70833333333212)</f>
        <v>0.70833333333212001</v>
      </c>
      <c r="J753" s="16">
        <f ca="1">IFERROR(__xludf.DUMMYFUNCTION("""COMPUTED_VALUE"""),44501.7291666666)</f>
        <v>44501.729166666599</v>
      </c>
      <c r="K753" t="str">
        <f ca="1">IFERROR(__xludf.DUMMYFUNCTION("""COMPUTED_VALUE"""),"20ft Sea Ark FL5351SJ UNF 2015")</f>
        <v>20ft Sea Ark FL5351SJ UNF 2015</v>
      </c>
      <c r="M753" t="str">
        <f ca="1">IFERROR(__xludf.DUMMYFUNCTION("""COMPUTED_VALUE"""),"Ford F250 2017 (Moby Dix) - DEP0021578")</f>
        <v>Ford F250 2017 (Moby Dix) - DEP0021578</v>
      </c>
      <c r="N753" t="str">
        <f ca="1">IFERROR(__xludf.DUMMYFUNCTION("""COMPUTED_VALUE"""),"Pam Marcum, (480) 332-5414, Gabby Canas, (904) 891-9743")</f>
        <v>Pam Marcum, (480) 332-5414, Gabby Canas, (904) 891-9743</v>
      </c>
      <c r="P753" t="str">
        <f ca="1">IFERROR(__xludf.DUMMYFUNCTION("""COMPUTED_VALUE"""),"Pam")</f>
        <v>Pam</v>
      </c>
      <c r="Q753" t="str">
        <f ca="1">IFERROR(__xludf.DUMMYFUNCTION("""COMPUTED_VALUE"""),"All items in working order")</f>
        <v>All items in working order</v>
      </c>
      <c r="AE753" s="11"/>
      <c r="AF753" t="str">
        <v>Nikki.Dix@floridadep.gov</v>
      </c>
      <c r="AG753" s="18"/>
    </row>
    <row r="754" spans="1:33" ht="12.75">
      <c r="A754" s="10">
        <f ca="1">IFERROR(__xludf.DUMMYFUNCTION("""COMPUTED_VALUE"""),44502.2797120023)</f>
        <v>44502.279712002302</v>
      </c>
      <c r="B754" s="11" t="str">
        <f ca="1">IFERROR(__xludf.DUMMYFUNCTION("""COMPUTED_VALUE"""),"Silas Tanner")</f>
        <v>Silas Tanner</v>
      </c>
      <c r="C754" t="str">
        <f ca="1">IFERROR(__xludf.DUMMYFUNCTION("""COMPUTED_VALUE"""),"silas.tanner@floridadep.gov")</f>
        <v>silas.tanner@floridadep.gov</v>
      </c>
      <c r="D754" t="str">
        <f ca="1">IFERROR(__xludf.DUMMYFUNCTION("""COMPUTED_VALUE"""),"Alee Knoell")</f>
        <v>Alee Knoell</v>
      </c>
      <c r="E754" t="str">
        <f ca="1">IFERROR(__xludf.DUMMYFUNCTION("""COMPUTED_VALUE"""),"Vilano Landing")</f>
        <v>Vilano Landing</v>
      </c>
      <c r="F754" s="13">
        <f ca="1">IFERROR(__xludf.DUMMYFUNCTION("""COMPUTED_VALUE"""),0.30208333333212)</f>
        <v>0.30208333333212001</v>
      </c>
      <c r="G754" s="14">
        <f ca="1">IFERROR(__xludf.DUMMYFUNCTION("""COMPUTED_VALUE"""),44502)</f>
        <v>44502</v>
      </c>
      <c r="H754" t="str">
        <f ca="1">IFERROR(__xludf.DUMMYFUNCTION("""COMPUTED_VALUE"""),"ICW SWMP Sites")</f>
        <v>ICW SWMP Sites</v>
      </c>
      <c r="I754" s="15">
        <f ca="1">IFERROR(__xludf.DUMMYFUNCTION("""COMPUTED_VALUE"""),0.5625)</f>
        <v>0.5625</v>
      </c>
      <c r="J754" s="16">
        <f ca="1">IFERROR(__xludf.DUMMYFUNCTION("""COMPUTED_VALUE"""),44502.5729166666)</f>
        <v>44502.572916666599</v>
      </c>
      <c r="K754" t="str">
        <f ca="1">IFERROR(__xludf.DUMMYFUNCTION("""COMPUTED_VALUE"""),"23ft Skiff (Bertha) FL7972LJ DEP07613")</f>
        <v>23ft Skiff (Bertha) FL7972LJ DEP07613</v>
      </c>
      <c r="M754" t="str">
        <f ca="1">IFERROR(__xludf.DUMMYFUNCTION("""COMPUTED_VALUE"""),"Ford F250 2017 (Moby Dix) - DEP0021578")</f>
        <v>Ford F250 2017 (Moby Dix) - DEP0021578</v>
      </c>
      <c r="N754" t="str">
        <f ca="1">IFERROR(__xludf.DUMMYFUNCTION("""COMPUTED_VALUE"""),"Silas Tanner, (904) 483-8423, Alee Knoell, (619) 750-4833")</f>
        <v>Silas Tanner, (904) 483-8423, Alee Knoell, (619) 750-4833</v>
      </c>
      <c r="P754" t="str">
        <f ca="1">IFERROR(__xludf.DUMMYFUNCTION("""COMPUTED_VALUE"""),"Silas Tanner")</f>
        <v>Silas Tanner</v>
      </c>
      <c r="Q754" t="str">
        <f ca="1">IFERROR(__xludf.DUMMYFUNCTION("""COMPUTED_VALUE"""),"All items in working order")</f>
        <v>All items in working order</v>
      </c>
      <c r="AE754" s="11"/>
      <c r="AF754" t="str">
        <v/>
      </c>
      <c r="AG754" s="18"/>
    </row>
    <row r="755" spans="1:33" ht="12.75">
      <c r="A755" s="10">
        <f ca="1">IFERROR(__xludf.DUMMYFUNCTION("""COMPUTED_VALUE"""),44503.3502339004)</f>
        <v>44503.350233900397</v>
      </c>
      <c r="B755" s="11" t="str">
        <f ca="1">IFERROR(__xludf.DUMMYFUNCTION("""COMPUTED_VALUE"""),"Olivia Roorbach")</f>
        <v>Olivia Roorbach</v>
      </c>
      <c r="C755" t="str">
        <f ca="1">IFERROR(__xludf.DUMMYFUNCTION("""COMPUTED_VALUE"""),"olivia.roorbach@floridafep.gov")</f>
        <v>olivia.roorbach@floridafep.gov</v>
      </c>
      <c r="D755" t="str">
        <f ca="1">IFERROR(__xludf.DUMMYFUNCTION("""COMPUTED_VALUE"""),"Alee Knoell")</f>
        <v>Alee Knoell</v>
      </c>
      <c r="E755" t="str">
        <f ca="1">IFERROR(__xludf.DUMMYFUNCTION("""COMPUTED_VALUE"""),"Guana Dam")</f>
        <v>Guana Dam</v>
      </c>
      <c r="F755" s="13">
        <f ca="1">IFERROR(__xludf.DUMMYFUNCTION("""COMPUTED_VALUE"""),0.354166666667879)</f>
        <v>0.35416666666787899</v>
      </c>
      <c r="G755" s="14">
        <f ca="1">IFERROR(__xludf.DUMMYFUNCTION("""COMPUTED_VALUE"""),44503)</f>
        <v>44503</v>
      </c>
      <c r="H755" t="str">
        <f ca="1">IFERROR(__xludf.DUMMYFUNCTION("""COMPUTED_VALUE"""),"Guana Lake and River ")</f>
        <v xml:space="preserve">Guana Lake and River </v>
      </c>
      <c r="I755" s="15">
        <f ca="1">IFERROR(__xludf.DUMMYFUNCTION("""COMPUTED_VALUE"""),0.541666666667879)</f>
        <v>0.54166666666787899</v>
      </c>
      <c r="J755" s="16">
        <f ca="1">IFERROR(__xludf.DUMMYFUNCTION("""COMPUTED_VALUE"""),44503.5520833333)</f>
        <v>44503.552083333299</v>
      </c>
      <c r="K755" t="str">
        <f ca="1">IFERROR(__xludf.DUMMYFUNCTION("""COMPUTED_VALUE"""),"Jon Boat 1 FL5992RR DEP154045, FWC airboat")</f>
        <v>Jon Boat 1 FL5992RR DEP154045, FWC airboat</v>
      </c>
      <c r="M755" t="str">
        <f ca="1">IFERROR(__xludf.DUMMYFUNCTION("""COMPUTED_VALUE"""),"Ford F250 2017 (Moby Dix) - DEP0021578")</f>
        <v>Ford F250 2017 (Moby Dix) - DEP0021578</v>
      </c>
      <c r="N755" t="str">
        <f ca="1">IFERROR(__xludf.DUMMYFUNCTION("""COMPUTED_VALUE"""),"Olivia Roorbach, (404) 694-2653")</f>
        <v>Olivia Roorbach, (404) 694-2653</v>
      </c>
      <c r="O755" t="str">
        <f ca="1">IFERROR(__xludf.DUMMYFUNCTION("""COMPUTED_VALUE"""),"Emma Wilkinson ")</f>
        <v xml:space="preserve">Emma Wilkinson </v>
      </c>
      <c r="P755" t="str">
        <f ca="1">IFERROR(__xludf.DUMMYFUNCTION("""COMPUTED_VALUE"""),"Olivia Roorbach")</f>
        <v>Olivia Roorbach</v>
      </c>
      <c r="Q755" t="str">
        <f ca="1">IFERROR(__xludf.DUMMYFUNCTION("""COMPUTED_VALUE"""),"All items in working order")</f>
        <v>All items in working order</v>
      </c>
      <c r="AE755" s="11"/>
      <c r="AF755" t="str">
        <v/>
      </c>
      <c r="AG755" s="18"/>
    </row>
    <row r="756" spans="1:33" ht="12.75">
      <c r="A756" s="10">
        <f ca="1">IFERROR(__xludf.DUMMYFUNCTION("""COMPUTED_VALUE"""),44516.3400248148)</f>
        <v>44516.340024814803</v>
      </c>
      <c r="B756" s="11" t="str">
        <f ca="1">IFERROR(__xludf.DUMMYFUNCTION("""COMPUTED_VALUE"""),"Silas Tanner")</f>
        <v>Silas Tanner</v>
      </c>
      <c r="C756" t="str">
        <f ca="1">IFERROR(__xludf.DUMMYFUNCTION("""COMPUTED_VALUE"""),"silas.tanner@floridadep.gov")</f>
        <v>silas.tanner@floridadep.gov</v>
      </c>
      <c r="D756" t="str">
        <f ca="1">IFERROR(__xludf.DUMMYFUNCTION("""COMPUTED_VALUE"""),"Nikki Dix")</f>
        <v>Nikki Dix</v>
      </c>
      <c r="E756" t="str">
        <f ca="1">IFERROR(__xludf.DUMMYFUNCTION("""COMPUTED_VALUE"""),"Palm Valley")</f>
        <v>Palm Valley</v>
      </c>
      <c r="F756" s="13">
        <f ca="1">IFERROR(__xludf.DUMMYFUNCTION("""COMPUTED_VALUE"""),0.52083333333212)</f>
        <v>0.52083333333212001</v>
      </c>
      <c r="G756" s="14">
        <f ca="1">IFERROR(__xludf.DUMMYFUNCTION("""COMPUTED_VALUE"""),44516)</f>
        <v>44516</v>
      </c>
      <c r="H756" t="str">
        <f ca="1">IFERROR(__xludf.DUMMYFUNCTION("""COMPUTED_VALUE"""),"ICW SWMP sites")</f>
        <v>ICW SWMP sites</v>
      </c>
      <c r="I756" s="15">
        <f ca="1">IFERROR(__xludf.DUMMYFUNCTION("""COMPUTED_VALUE"""),0.6875)</f>
        <v>0.6875</v>
      </c>
      <c r="J756" s="16">
        <f ca="1">IFERROR(__xludf.DUMMYFUNCTION("""COMPUTED_VALUE"""),44516.7083333333)</f>
        <v>44516.708333333299</v>
      </c>
      <c r="K756" t="str">
        <f ca="1">IFERROR(__xludf.DUMMYFUNCTION("""COMPUTED_VALUE"""),"20ft Sea Ark FL5351SJ UNF 2015")</f>
        <v>20ft Sea Ark FL5351SJ UNF 2015</v>
      </c>
      <c r="M756" t="str">
        <f ca="1">IFERROR(__xludf.DUMMYFUNCTION("""COMPUTED_VALUE"""),"Ford F250 2017 (Moby Dix) - DEP0021578")</f>
        <v>Ford F250 2017 (Moby Dix) - DEP0021578</v>
      </c>
      <c r="N756" t="str">
        <f ca="1">IFERROR(__xludf.DUMMYFUNCTION("""COMPUTED_VALUE"""),"Silas Tanner, (904) 483-8423")</f>
        <v>Silas Tanner, (904) 483-8423</v>
      </c>
      <c r="O756" t="str">
        <f ca="1">IFERROR(__xludf.DUMMYFUNCTION("""COMPUTED_VALUE"""),"Hunter Mathews")</f>
        <v>Hunter Mathews</v>
      </c>
      <c r="P756" t="str">
        <f ca="1">IFERROR(__xludf.DUMMYFUNCTION("""COMPUTED_VALUE"""),"Silas Tanner")</f>
        <v>Silas Tanner</v>
      </c>
      <c r="Q756" t="str">
        <f ca="1">IFERROR(__xludf.DUMMYFUNCTION("""COMPUTED_VALUE"""),"All items in working order")</f>
        <v>All items in working order</v>
      </c>
      <c r="AE756" s="11"/>
      <c r="AF756" t="str">
        <v>Nikki.Dix@floridadep.gov</v>
      </c>
      <c r="AG756" s="18"/>
    </row>
    <row r="757" spans="1:33" ht="12.75">
      <c r="A757" s="10">
        <f ca="1">IFERROR(__xludf.DUMMYFUNCTION("""COMPUTED_VALUE"""),44516.5329092592)</f>
        <v>44516.5329092592</v>
      </c>
      <c r="B757" s="11" t="str">
        <f ca="1">IFERROR(__xludf.DUMMYFUNCTION("""COMPUTED_VALUE"""),"Jimmy")</f>
        <v>Jimmy</v>
      </c>
      <c r="C757" t="str">
        <f ca="1">IFERROR(__xludf.DUMMYFUNCTION("""COMPUTED_VALUE"""),"james.tomazinis@floridadep.gov")</f>
        <v>james.tomazinis@floridadep.gov</v>
      </c>
      <c r="D757" t="str">
        <f ca="1">IFERROR(__xludf.DUMMYFUNCTION("""COMPUTED_VALUE"""),"Jimmy Tomazinis")</f>
        <v>Jimmy Tomazinis</v>
      </c>
      <c r="E757" t="str">
        <f ca="1">IFERROR(__xludf.DUMMYFUNCTION("""COMPUTED_VALUE"""),"Half Moon Island Park")</f>
        <v>Half Moon Island Park</v>
      </c>
      <c r="F757" s="13">
        <f ca="1">IFERROR(__xludf.DUMMYFUNCTION("""COMPUTED_VALUE"""),0.604166666667879)</f>
        <v>0.60416666666787899</v>
      </c>
      <c r="G757" s="14">
        <f ca="1">IFERROR(__xludf.DUMMYFUNCTION("""COMPUTED_VALUE"""),44516)</f>
        <v>44516</v>
      </c>
      <c r="H757" t="str">
        <f ca="1">IFERROR(__xludf.DUMMYFUNCTION("""COMPUTED_VALUE"""),"Half Moon Island Fishing Pier")</f>
        <v>Half Moon Island Fishing Pier</v>
      </c>
      <c r="I757" s="15">
        <f ca="1">IFERROR(__xludf.DUMMYFUNCTION("""COMPUTED_VALUE"""),0.729166666667879)</f>
        <v>0.72916666666787899</v>
      </c>
      <c r="J757" s="16"/>
      <c r="K757" t="str">
        <f ca="1">IFERROR(__xludf.DUMMYFUNCTION("""COMPUTED_VALUE"""),"F 20ft Sea Ark (Easy 200) FL8534PY DEP21451")</f>
        <v>F 20ft Sea Ark (Easy 200) FL8534PY DEP21451</v>
      </c>
      <c r="M757" t="str">
        <f ca="1">IFERROR(__xludf.DUMMYFUNCTION("""COMPUTED_VALUE"""),"Ford F150 2007 (F-Bomb) - DEP07055")</f>
        <v>Ford F150 2007 (F-Bomb) - DEP07055</v>
      </c>
      <c r="N757" t="str">
        <f ca="1">IFERROR(__xludf.DUMMYFUNCTION("""COMPUTED_VALUE"""),"Jimmy Tomazinis, (904) 547-0094")</f>
        <v>Jimmy Tomazinis, (904) 547-0094</v>
      </c>
      <c r="O757" t="str">
        <f ca="1">IFERROR(__xludf.DUMMYFUNCTION("""COMPUTED_VALUE"""),"Chris Kurtz")</f>
        <v>Chris Kurtz</v>
      </c>
      <c r="P757" t="str">
        <f ca="1">IFERROR(__xludf.DUMMYFUNCTION("""COMPUTED_VALUE"""),"Jimmy")</f>
        <v>Jimmy</v>
      </c>
      <c r="Q757" t="str">
        <f ca="1">IFERROR(__xludf.DUMMYFUNCTION("""COMPUTED_VALUE"""),"All items in working order")</f>
        <v>All items in working order</v>
      </c>
      <c r="AE757" s="11"/>
      <c r="AF757" t="str">
        <v>James.Tomazinis@floridadep.gov</v>
      </c>
      <c r="AG757" s="18"/>
    </row>
    <row r="758" spans="1:33" ht="12.75">
      <c r="A758" s="10">
        <f ca="1">IFERROR(__xludf.DUMMYFUNCTION("""COMPUTED_VALUE"""),44517.424485706)</f>
        <v>44517.424485705997</v>
      </c>
      <c r="B758" s="11" t="str">
        <f ca="1">IFERROR(__xludf.DUMMYFUNCTION("""COMPUTED_VALUE"""),"Pamela Marcum")</f>
        <v>Pamela Marcum</v>
      </c>
      <c r="C758" t="str">
        <f ca="1">IFERROR(__xludf.DUMMYFUNCTION("""COMPUTED_VALUE"""),"Pamela.Marcum@FloridaDEP.gov")</f>
        <v>Pamela.Marcum@FloridaDEP.gov</v>
      </c>
      <c r="D758" t="str">
        <f ca="1">IFERROR(__xludf.DUMMYFUNCTION("""COMPUTED_VALUE"""),"Alee Knoell")</f>
        <v>Alee Knoell</v>
      </c>
      <c r="E758" t="str">
        <f ca="1">IFERROR(__xludf.DUMMYFUNCTION("""COMPUTED_VALUE"""),"Aunt Kates")</f>
        <v>Aunt Kates</v>
      </c>
      <c r="F758" s="13">
        <f ca="1">IFERROR(__xludf.DUMMYFUNCTION("""COMPUTED_VALUE"""),0.416666666667879)</f>
        <v>0.41666666666787899</v>
      </c>
      <c r="G758" s="14">
        <f ca="1">IFERROR(__xludf.DUMMYFUNCTION("""COMPUTED_VALUE"""),44517)</f>
        <v>44517</v>
      </c>
      <c r="H758" t="str">
        <f ca="1">IFERROR(__xludf.DUMMYFUNCTION("""COMPUTED_VALUE"""),"Tolomato River")</f>
        <v>Tolomato River</v>
      </c>
      <c r="I758" s="15">
        <f ca="1">IFERROR(__xludf.DUMMYFUNCTION("""COMPUTED_VALUE"""),0.5)</f>
        <v>0.5</v>
      </c>
      <c r="J758" s="16">
        <f ca="1">IFERROR(__xludf.DUMMYFUNCTION("""COMPUTED_VALUE"""),44517.5416666666)</f>
        <v>44517.541666666599</v>
      </c>
      <c r="K758" t="str">
        <f ca="1">IFERROR(__xludf.DUMMYFUNCTION("""COMPUTED_VALUE"""),"23ft Skiff (Bertha) FL7972LJ DEP07613")</f>
        <v>23ft Skiff (Bertha) FL7972LJ DEP07613</v>
      </c>
      <c r="M758" t="str">
        <f ca="1">IFERROR(__xludf.DUMMYFUNCTION("""COMPUTED_VALUE"""),"Ford F250 2017 (Moby Dix) - DEP0021578")</f>
        <v>Ford F250 2017 (Moby Dix) - DEP0021578</v>
      </c>
      <c r="N758" t="str">
        <f ca="1">IFERROR(__xludf.DUMMYFUNCTION("""COMPUTED_VALUE"""),"Scott Eastman, (904) 501-9267, Nikki Dix, (352) 219-4079, Pam Marcum, (480) 332-5414")</f>
        <v>Scott Eastman, (904) 501-9267, Nikki Dix, (352) 219-4079, Pam Marcum, (480) 332-5414</v>
      </c>
      <c r="O758" t="str">
        <f ca="1">IFERROR(__xludf.DUMMYFUNCTION("""COMPUTED_VALUE"""),"Michael Shirley, Lia Sansom, (520) 940-4888, Alex Reed, Mark Rains, Mrs. Rains")</f>
        <v>Michael Shirley, Lia Sansom, (520) 940-4888, Alex Reed, Mark Rains, Mrs. Rains</v>
      </c>
      <c r="P758" t="str">
        <f ca="1">IFERROR(__xludf.DUMMYFUNCTION("""COMPUTED_VALUE"""),"Pam")</f>
        <v>Pam</v>
      </c>
      <c r="Q758" t="str">
        <f ca="1">IFERROR(__xludf.DUMMYFUNCTION("""COMPUTED_VALUE"""),"All items in working order")</f>
        <v>All items in working order</v>
      </c>
      <c r="AE758" s="11"/>
      <c r="AF758" t="str">
        <v/>
      </c>
      <c r="AG758" s="18"/>
    </row>
    <row r="759" spans="1:33" ht="12.75">
      <c r="A759" s="10">
        <f ca="1">IFERROR(__xludf.DUMMYFUNCTION("""COMPUTED_VALUE"""),44518.3887448958)</f>
        <v>44518.388744895798</v>
      </c>
      <c r="B759" s="11" t="str">
        <f ca="1">IFERROR(__xludf.DUMMYFUNCTION("""COMPUTED_VALUE"""),"Jimmy")</f>
        <v>Jimmy</v>
      </c>
      <c r="C759" t="str">
        <f ca="1">IFERROR(__xludf.DUMMYFUNCTION("""COMPUTED_VALUE"""),"james.tomazinis@floridadep.gov")</f>
        <v>james.tomazinis@floridadep.gov</v>
      </c>
      <c r="D759" t="str">
        <f ca="1">IFERROR(__xludf.DUMMYFUNCTION("""COMPUTED_VALUE"""),"Jimmy Tomazinis")</f>
        <v>Jimmy Tomazinis</v>
      </c>
      <c r="E759" t="str">
        <f ca="1">IFERROR(__xludf.DUMMYFUNCTION("""COMPUTED_VALUE"""),"Dee Dee Bartels and Holly Point")</f>
        <v>Dee Dee Bartels and Holly Point</v>
      </c>
      <c r="F759" s="13">
        <f ca="1">IFERROR(__xludf.DUMMYFUNCTION("""COMPUTED_VALUE"""),0.416666666667879)</f>
        <v>0.41666666666787899</v>
      </c>
      <c r="G759" s="14">
        <f ca="1">IFERROR(__xludf.DUMMYFUNCTION("""COMPUTED_VALUE"""),44518)</f>
        <v>44518</v>
      </c>
      <c r="H759" t="str">
        <f ca="1">IFERROR(__xludf.DUMMYFUNCTION("""COMPUTED_VALUE"""),"NEAP WQ sites")</f>
        <v>NEAP WQ sites</v>
      </c>
      <c r="I759" s="15">
        <f ca="1">IFERROR(__xludf.DUMMYFUNCTION("""COMPUTED_VALUE"""),0.625)</f>
        <v>0.625</v>
      </c>
      <c r="J759" s="16"/>
      <c r="K759" t="str">
        <f ca="1">IFERROR(__xludf.DUMMYFUNCTION("""COMPUTED_VALUE"""),"F 20ft Sea Ark (Easy 200) FL8534PY DEP21451")</f>
        <v>F 20ft Sea Ark (Easy 200) FL8534PY DEP21451</v>
      </c>
      <c r="M759" t="str">
        <f ca="1">IFERROR(__xludf.DUMMYFUNCTION("""COMPUTED_VALUE"""),"Ford F150 2007 (F-Bomb) - DEP07055")</f>
        <v>Ford F150 2007 (F-Bomb) - DEP07055</v>
      </c>
      <c r="N759" t="str">
        <f ca="1">IFERROR(__xludf.DUMMYFUNCTION("""COMPUTED_VALUE"""),"Jimmy Tomazinis, (904) 547-0094")</f>
        <v>Jimmy Tomazinis, (904) 547-0094</v>
      </c>
      <c r="O759" t="str">
        <f ca="1">IFERROR(__xludf.DUMMYFUNCTION("""COMPUTED_VALUE"""),"Chris Kurtz")</f>
        <v>Chris Kurtz</v>
      </c>
      <c r="P759" t="str">
        <f ca="1">IFERROR(__xludf.DUMMYFUNCTION("""COMPUTED_VALUE"""),"Jimmy")</f>
        <v>Jimmy</v>
      </c>
      <c r="Q759" t="str">
        <f ca="1">IFERROR(__xludf.DUMMYFUNCTION("""COMPUTED_VALUE"""),"All items in working order")</f>
        <v>All items in working order</v>
      </c>
      <c r="AE759" s="11"/>
      <c r="AF759" t="str">
        <v>James.Tomazinis@floridadep.gov</v>
      </c>
      <c r="AG759" s="18"/>
    </row>
    <row r="760" spans="1:33" ht="12.75">
      <c r="A760" s="10">
        <f ca="1">IFERROR(__xludf.DUMMYFUNCTION("""COMPUTED_VALUE"""),44519.3178730555)</f>
        <v>44519.317873055501</v>
      </c>
      <c r="B760" s="11" t="str">
        <f ca="1">IFERROR(__xludf.DUMMYFUNCTION("""COMPUTED_VALUE"""),"Alee knoell")</f>
        <v>Alee knoell</v>
      </c>
      <c r="C760" t="str">
        <f ca="1">IFERROR(__xludf.DUMMYFUNCTION("""COMPUTED_VALUE"""),"Pamela.Marcum@FloridaDEP.gov")</f>
        <v>Pamela.Marcum@FloridaDEP.gov</v>
      </c>
      <c r="D760" t="str">
        <f ca="1">IFERROR(__xludf.DUMMYFUNCTION("""COMPUTED_VALUE"""),"Nikki Dix")</f>
        <v>Nikki Dix</v>
      </c>
      <c r="E760" t="str">
        <f ca="1">IFERROR(__xludf.DUMMYFUNCTION("""COMPUTED_VALUE"""),"Pellicer creek")</f>
        <v>Pellicer creek</v>
      </c>
      <c r="F760" s="13">
        <f ca="1">IFERROR(__xludf.DUMMYFUNCTION("""COMPUTED_VALUE"""),0.3125)</f>
        <v>0.3125</v>
      </c>
      <c r="G760" s="14">
        <f ca="1">IFERROR(__xludf.DUMMYFUNCTION("""COMPUTED_VALUE"""),44519)</f>
        <v>44519</v>
      </c>
      <c r="H760" t="str">
        <f ca="1">IFERROR(__xludf.DUMMYFUNCTION("""COMPUTED_VALUE"""),"Upper transect")</f>
        <v>Upper transect</v>
      </c>
      <c r="I760" s="15">
        <f ca="1">IFERROR(__xludf.DUMMYFUNCTION("""COMPUTED_VALUE"""),0.541666666667879)</f>
        <v>0.54166666666787899</v>
      </c>
      <c r="J760" s="16">
        <f ca="1">IFERROR(__xludf.DUMMYFUNCTION("""COMPUTED_VALUE"""),44519.6041666666)</f>
        <v>44519.604166666599</v>
      </c>
      <c r="K760" t="str">
        <f ca="1">IFERROR(__xludf.DUMMYFUNCTION("""COMPUTED_VALUE"""),"23ft Skiff (Bertha) FL7972LJ DEP07613")</f>
        <v>23ft Skiff (Bertha) FL7972LJ DEP07613</v>
      </c>
      <c r="M760" t="str">
        <f ca="1">IFERROR(__xludf.DUMMYFUNCTION("""COMPUTED_VALUE"""),"Ford F250 2017 (Moby Dix) - DEP0021578")</f>
        <v>Ford F250 2017 (Moby Dix) - DEP0021578</v>
      </c>
      <c r="N760" t="str">
        <f ca="1">IFERROR(__xludf.DUMMYFUNCTION("""COMPUTED_VALUE"""),"Pam Marcum, (480) 332-5414, Alee Knoell, (619) 750-4833")</f>
        <v>Pam Marcum, (480) 332-5414, Alee Knoell, (619) 750-4833</v>
      </c>
      <c r="O760" t="str">
        <f ca="1">IFERROR(__xludf.DUMMYFUNCTION("""COMPUTED_VALUE"""),"Rauney")</f>
        <v>Rauney</v>
      </c>
      <c r="P760" t="str">
        <f ca="1">IFERROR(__xludf.DUMMYFUNCTION("""COMPUTED_VALUE"""),"Pam ")</f>
        <v xml:space="preserve">Pam </v>
      </c>
      <c r="Q760" t="str">
        <f ca="1">IFERROR(__xludf.DUMMYFUNCTION("""COMPUTED_VALUE"""),"All items in working order")</f>
        <v>All items in working order</v>
      </c>
      <c r="AE760" s="11"/>
      <c r="AF760" t="str">
        <v>Nikki.Dix@floridadep.gov</v>
      </c>
      <c r="AG760" s="18"/>
    </row>
    <row r="761" spans="1:33" ht="12.75">
      <c r="A761" s="10">
        <f ca="1">IFERROR(__xludf.DUMMYFUNCTION("""COMPUTED_VALUE"""),44528.8218765162)</f>
        <v>44528.821876516202</v>
      </c>
      <c r="B761" s="11" t="str">
        <f ca="1">IFERROR(__xludf.DUMMYFUNCTION("""COMPUTED_VALUE"""),"Jimmy")</f>
        <v>Jimmy</v>
      </c>
      <c r="C761" t="str">
        <f ca="1">IFERROR(__xludf.DUMMYFUNCTION("""COMPUTED_VALUE"""),"james.tomazinis@floridadep.gov")</f>
        <v>james.tomazinis@floridadep.gov</v>
      </c>
      <c r="D761" t="str">
        <f ca="1">IFERROR(__xludf.DUMMYFUNCTION("""COMPUTED_VALUE"""),"Jimmy Tomazinis")</f>
        <v>Jimmy Tomazinis</v>
      </c>
      <c r="E761" t="str">
        <f ca="1">IFERROR(__xludf.DUMMYFUNCTION("""COMPUTED_VALUE"""),"Vilano")</f>
        <v>Vilano</v>
      </c>
      <c r="F761" s="13">
        <f ca="1">IFERROR(__xludf.DUMMYFUNCTION("""COMPUTED_VALUE"""),0.375)</f>
        <v>0.375</v>
      </c>
      <c r="G761" s="14">
        <f ca="1">IFERROR(__xludf.DUMMYFUNCTION("""COMPUTED_VALUE"""),44529)</f>
        <v>44529</v>
      </c>
      <c r="H761" t="str">
        <f ca="1">IFERROR(__xludf.DUMMYFUNCTION("""COMPUTED_VALUE"""),"Tolomato River")</f>
        <v>Tolomato River</v>
      </c>
      <c r="I761" s="15">
        <f ca="1">IFERROR(__xludf.DUMMYFUNCTION("""COMPUTED_VALUE"""),0.625)</f>
        <v>0.625</v>
      </c>
      <c r="J761" s="16"/>
      <c r="K761" t="str">
        <f ca="1">IFERROR(__xludf.DUMMYFUNCTION("""COMPUTED_VALUE"""),"23ft Skiff (Bertha) FL7972LJ DEP07613")</f>
        <v>23ft Skiff (Bertha) FL7972LJ DEP07613</v>
      </c>
      <c r="M761" t="str">
        <f ca="1">IFERROR(__xludf.DUMMYFUNCTION("""COMPUTED_VALUE"""),"Ford F150 2007 (F-Bomb) - DEP07055")</f>
        <v>Ford F150 2007 (F-Bomb) - DEP07055</v>
      </c>
      <c r="N761" t="str">
        <f ca="1">IFERROR(__xludf.DUMMYFUNCTION("""COMPUTED_VALUE"""),"Jimmy Tomazinis, (904) 547-0094")</f>
        <v>Jimmy Tomazinis, (904) 547-0094</v>
      </c>
      <c r="O761" t="str">
        <f ca="1">IFERROR(__xludf.DUMMYFUNCTION("""COMPUTED_VALUE"""),"Allix North, Chris Kurtz")</f>
        <v>Allix North, Chris Kurtz</v>
      </c>
      <c r="P761" t="str">
        <f ca="1">IFERROR(__xludf.DUMMYFUNCTION("""COMPUTED_VALUE"""),"Jimmy")</f>
        <v>Jimmy</v>
      </c>
      <c r="Q761" t="str">
        <f ca="1">IFERROR(__xludf.DUMMYFUNCTION("""COMPUTED_VALUE"""),"All items in working order")</f>
        <v>All items in working order</v>
      </c>
      <c r="AE761" s="11"/>
      <c r="AF761" t="str">
        <v>James.Tomazinis@floridadep.gov</v>
      </c>
      <c r="AG761" s="18"/>
    </row>
    <row r="762" spans="1:33" ht="12.75">
      <c r="A762" s="10">
        <f ca="1">IFERROR(__xludf.DUMMYFUNCTION("""COMPUTED_VALUE"""),44530.2868227777)</f>
        <v>44530.2868227777</v>
      </c>
      <c r="B762" s="11" t="str">
        <f ca="1">IFERROR(__xludf.DUMMYFUNCTION("""COMPUTED_VALUE"""),"Jimmy")</f>
        <v>Jimmy</v>
      </c>
      <c r="C762" t="str">
        <f ca="1">IFERROR(__xludf.DUMMYFUNCTION("""COMPUTED_VALUE"""),"james.tomazinis@floridadep.gov")</f>
        <v>james.tomazinis@floridadep.gov</v>
      </c>
      <c r="D762" t="str">
        <f ca="1">IFERROR(__xludf.DUMMYFUNCTION("""COMPUTED_VALUE"""),"Jimmy Tomazinis")</f>
        <v>Jimmy Tomazinis</v>
      </c>
      <c r="E762" t="str">
        <f ca="1">IFERROR(__xludf.DUMMYFUNCTION("""COMPUTED_VALUE"""),"Vilano")</f>
        <v>Vilano</v>
      </c>
      <c r="F762" s="13">
        <f ca="1">IFERROR(__xludf.DUMMYFUNCTION("""COMPUTED_VALUE"""),0.375)</f>
        <v>0.375</v>
      </c>
      <c r="G762" s="14">
        <f ca="1">IFERROR(__xludf.DUMMYFUNCTION("""COMPUTED_VALUE"""),44530)</f>
        <v>44530</v>
      </c>
      <c r="H762" t="str">
        <f ca="1">IFERROR(__xludf.DUMMYFUNCTION("""COMPUTED_VALUE"""),"Tolomato River")</f>
        <v>Tolomato River</v>
      </c>
      <c r="I762" s="15">
        <f ca="1">IFERROR(__xludf.DUMMYFUNCTION("""COMPUTED_VALUE"""),0.625)</f>
        <v>0.625</v>
      </c>
      <c r="J762" s="16"/>
      <c r="K762" t="str">
        <f ca="1">IFERROR(__xludf.DUMMYFUNCTION("""COMPUTED_VALUE"""),"F 20ft Sea Ark (Easy 200) FL8534PY DEP21451")</f>
        <v>F 20ft Sea Ark (Easy 200) FL8534PY DEP21451</v>
      </c>
      <c r="M762" t="str">
        <f ca="1">IFERROR(__xludf.DUMMYFUNCTION("""COMPUTED_VALUE"""),"Ford F150 2007 (F-Bomb) - DEP07055")</f>
        <v>Ford F150 2007 (F-Bomb) - DEP07055</v>
      </c>
      <c r="N762" t="str">
        <f ca="1">IFERROR(__xludf.DUMMYFUNCTION("""COMPUTED_VALUE"""),"Jimmy Tomazinis, (904) 547-0094")</f>
        <v>Jimmy Tomazinis, (904) 547-0094</v>
      </c>
      <c r="O762" t="str">
        <f ca="1">IFERROR(__xludf.DUMMYFUNCTION("""COMPUTED_VALUE"""),"Allix North and Chris Kurtz ")</f>
        <v xml:space="preserve">Allix North and Chris Kurtz </v>
      </c>
      <c r="P762" t="str">
        <f ca="1">IFERROR(__xludf.DUMMYFUNCTION("""COMPUTED_VALUE"""),"Jimmy ")</f>
        <v xml:space="preserve">Jimmy </v>
      </c>
      <c r="Q762" t="str">
        <f ca="1">IFERROR(__xludf.DUMMYFUNCTION("""COMPUTED_VALUE"""),"All items in working order")</f>
        <v>All items in working order</v>
      </c>
      <c r="AE762" s="11"/>
      <c r="AF762" t="str">
        <v>James.Tomazinis@floridadep.gov</v>
      </c>
      <c r="AG762" s="18"/>
    </row>
    <row r="763" spans="1:33" ht="12.75">
      <c r="A763" s="10">
        <f ca="1">IFERROR(__xludf.DUMMYFUNCTION("""COMPUTED_VALUE"""),44530.4435661111)</f>
        <v>44530.443566111098</v>
      </c>
      <c r="B763" s="11" t="str">
        <f ca="1">IFERROR(__xludf.DUMMYFUNCTION("""COMPUTED_VALUE"""),"Alexandria Knoell ")</f>
        <v xml:space="preserve">Alexandria Knoell </v>
      </c>
      <c r="C763" t="str">
        <f ca="1">IFERROR(__xludf.DUMMYFUNCTION("""COMPUTED_VALUE"""),"alee.knoell@floridadep.gov")</f>
        <v>alee.knoell@floridadep.gov</v>
      </c>
      <c r="D763" t="str">
        <f ca="1">IFERROR(__xludf.DUMMYFUNCTION("""COMPUTED_VALUE"""),"Shannon Dunnigan")</f>
        <v>Shannon Dunnigan</v>
      </c>
      <c r="E763" t="str">
        <f ca="1">IFERROR(__xludf.DUMMYFUNCTION("""COMPUTED_VALUE"""),"Faver dykes")</f>
        <v>Faver dykes</v>
      </c>
      <c r="F763" s="13">
        <f ca="1">IFERROR(__xludf.DUMMYFUNCTION("""COMPUTED_VALUE"""),0.45833333333212)</f>
        <v>0.45833333333212001</v>
      </c>
      <c r="G763" s="14">
        <f ca="1">IFERROR(__xludf.DUMMYFUNCTION("""COMPUTED_VALUE"""),44530)</f>
        <v>44530</v>
      </c>
      <c r="H763" t="str">
        <f ca="1">IFERROR(__xludf.DUMMYFUNCTION("""COMPUTED_VALUE"""),"Upper transect")</f>
        <v>Upper transect</v>
      </c>
      <c r="I763" s="15">
        <f ca="1">IFERROR(__xludf.DUMMYFUNCTION("""COMPUTED_VALUE"""),0.666666666667879)</f>
        <v>0.66666666666787899</v>
      </c>
      <c r="J763" s="16">
        <f ca="1">IFERROR(__xludf.DUMMYFUNCTION("""COMPUTED_VALUE"""),44530.7083333333)</f>
        <v>44530.708333333299</v>
      </c>
      <c r="K763" t="str">
        <f ca="1">IFERROR(__xludf.DUMMYFUNCTION("""COMPUTED_VALUE"""),"23ft Skiff (Bertha) FL7972LJ DEP07613")</f>
        <v>23ft Skiff (Bertha) FL7972LJ DEP07613</v>
      </c>
      <c r="M763" t="str">
        <f ca="1">IFERROR(__xludf.DUMMYFUNCTION("""COMPUTED_VALUE"""),"Ford F250 2017 (Moby Dix) - DEP0021578")</f>
        <v>Ford F250 2017 (Moby Dix) - DEP0021578</v>
      </c>
      <c r="N763" t="str">
        <f ca="1">IFERROR(__xludf.DUMMYFUNCTION("""COMPUTED_VALUE"""),"Pam Marcum, (480) 332-5414, Alee Knoell, (619) 750-4833")</f>
        <v>Pam Marcum, (480) 332-5414, Alee Knoell, (619) 750-4833</v>
      </c>
      <c r="P763" t="str">
        <f ca="1">IFERROR(__xludf.DUMMYFUNCTION("""COMPUTED_VALUE"""),"Pam")</f>
        <v>Pam</v>
      </c>
      <c r="Q763" t="str">
        <f ca="1">IFERROR(__xludf.DUMMYFUNCTION("""COMPUTED_VALUE"""),"All items in working order")</f>
        <v>All items in working order</v>
      </c>
      <c r="AE763" s="11"/>
      <c r="AF763" t="str">
        <v>Shannon.Dunnigan@floridadep.gov</v>
      </c>
      <c r="AG763" s="18"/>
    </row>
    <row r="764" spans="1:33" ht="12.75">
      <c r="A764" s="10">
        <f ca="1">IFERROR(__xludf.DUMMYFUNCTION("""COMPUTED_VALUE"""),44530.4701899537)</f>
        <v>44530.470189953703</v>
      </c>
      <c r="B764" s="11" t="str">
        <f ca="1">IFERROR(__xludf.DUMMYFUNCTION("""COMPUTED_VALUE"""),"Silas Tanner")</f>
        <v>Silas Tanner</v>
      </c>
      <c r="C764" t="str">
        <f ca="1">IFERROR(__xludf.DUMMYFUNCTION("""COMPUTED_VALUE"""),"silas.tanner@floridadep.gov")</f>
        <v>silas.tanner@floridadep.gov</v>
      </c>
      <c r="D764" t="str">
        <f ca="1">IFERROR(__xludf.DUMMYFUNCTION("""COMPUTED_VALUE"""),"Shannon Dunnigan")</f>
        <v>Shannon Dunnigan</v>
      </c>
      <c r="E764" t="str">
        <f ca="1">IFERROR(__xludf.DUMMYFUNCTION("""COMPUTED_VALUE"""),"Crane Park")</f>
        <v>Crane Park</v>
      </c>
      <c r="F764" s="13">
        <f ca="1">IFERROR(__xludf.DUMMYFUNCTION("""COMPUTED_VALUE"""),0.375)</f>
        <v>0.375</v>
      </c>
      <c r="G764" s="14">
        <f ca="1">IFERROR(__xludf.DUMMYFUNCTION("""COMPUTED_VALUE"""),44531)</f>
        <v>44531</v>
      </c>
      <c r="H764" t="str">
        <f ca="1">IFERROR(__xludf.DUMMYFUNCTION("""COMPUTED_VALUE"""),"ICW SWMP sites")</f>
        <v>ICW SWMP sites</v>
      </c>
      <c r="I764" s="15">
        <f ca="1">IFERROR(__xludf.DUMMYFUNCTION("""COMPUTED_VALUE"""),0.58333333333212)</f>
        <v>0.58333333333212001</v>
      </c>
      <c r="J764" s="16">
        <f ca="1">IFERROR(__xludf.DUMMYFUNCTION("""COMPUTED_VALUE"""),44531.6041666666)</f>
        <v>44531.604166666599</v>
      </c>
      <c r="K764" t="str">
        <f ca="1">IFERROR(__xludf.DUMMYFUNCTION("""COMPUTED_VALUE"""),"20ft Sea Ark FL5351SJ UNF 2015")</f>
        <v>20ft Sea Ark FL5351SJ UNF 2015</v>
      </c>
      <c r="M764" t="str">
        <f ca="1">IFERROR(__xludf.DUMMYFUNCTION("""COMPUTED_VALUE"""),"Ford F250 2017 (Moby Dix) - DEP0021578")</f>
        <v>Ford F250 2017 (Moby Dix) - DEP0021578</v>
      </c>
      <c r="N764" t="str">
        <f ca="1">IFERROR(__xludf.DUMMYFUNCTION("""COMPUTED_VALUE"""),"Silas Tanner, (904) 483-8423, Remo Mondazzi")</f>
        <v>Silas Tanner, (904) 483-8423, Remo Mondazzi</v>
      </c>
      <c r="P764" t="str">
        <f ca="1">IFERROR(__xludf.DUMMYFUNCTION("""COMPUTED_VALUE"""),"Silas Tanner")</f>
        <v>Silas Tanner</v>
      </c>
      <c r="Q764" t="str">
        <f ca="1">IFERROR(__xludf.DUMMYFUNCTION("""COMPUTED_VALUE"""),"All items in working order")</f>
        <v>All items in working order</v>
      </c>
      <c r="AE764" s="11"/>
      <c r="AF764" t="str">
        <v>Shannon.Dunnigan@floridadep.gov</v>
      </c>
      <c r="AG764" s="18"/>
    </row>
    <row r="765" spans="1:33" ht="12.75">
      <c r="A765" s="10">
        <f ca="1">IFERROR(__xludf.DUMMYFUNCTION("""COMPUTED_VALUE"""),44531.2743263773)</f>
        <v>44531.274326377301</v>
      </c>
      <c r="B765" s="11" t="str">
        <f ca="1">IFERROR(__xludf.DUMMYFUNCTION("""COMPUTED_VALUE"""),"Olivia Roorbach")</f>
        <v>Olivia Roorbach</v>
      </c>
      <c r="C765" t="str">
        <f ca="1">IFERROR(__xludf.DUMMYFUNCTION("""COMPUTED_VALUE"""),"olivia.roorbach@floridadep.gov")</f>
        <v>olivia.roorbach@floridadep.gov</v>
      </c>
      <c r="D765" t="str">
        <f ca="1">IFERROR(__xludf.DUMMYFUNCTION("""COMPUTED_VALUE"""),"Silas Tanner")</f>
        <v>Silas Tanner</v>
      </c>
      <c r="E765" t="str">
        <f ca="1">IFERROR(__xludf.DUMMYFUNCTION("""COMPUTED_VALUE"""),"Guana dam")</f>
        <v>Guana dam</v>
      </c>
      <c r="F765" s="13">
        <f ca="1">IFERROR(__xludf.DUMMYFUNCTION("""COMPUTED_VALUE"""),0.27083333333212)</f>
        <v>0.27083333333212001</v>
      </c>
      <c r="G765" s="14">
        <f ca="1">IFERROR(__xludf.DUMMYFUNCTION("""COMPUTED_VALUE"""),44531)</f>
        <v>44531</v>
      </c>
      <c r="H765" t="str">
        <f ca="1">IFERROR(__xludf.DUMMYFUNCTION("""COMPUTED_VALUE"""),"Guana river and lake")</f>
        <v>Guana river and lake</v>
      </c>
      <c r="I765" s="15">
        <f ca="1">IFERROR(__xludf.DUMMYFUNCTION("""COMPUTED_VALUE"""),0.416666666667879)</f>
        <v>0.41666666666787899</v>
      </c>
      <c r="J765" s="16">
        <f ca="1">IFERROR(__xludf.DUMMYFUNCTION("""COMPUTED_VALUE"""),44531.4270833333)</f>
        <v>44531.427083333299</v>
      </c>
      <c r="K765" t="str">
        <f ca="1">IFERROR(__xludf.DUMMYFUNCTION("""COMPUTED_VALUE"""),"Jon Boat 1 FL5992RR DEP154045, Airboat ")</f>
        <v xml:space="preserve">Jon Boat 1 FL5992RR DEP154045, Airboat </v>
      </c>
      <c r="M765" t="str">
        <f ca="1">IFERROR(__xludf.DUMMYFUNCTION("""COMPUTED_VALUE"""),"Silver ranger truck")</f>
        <v>Silver ranger truck</v>
      </c>
      <c r="N765" t="str">
        <f ca="1">IFERROR(__xludf.DUMMYFUNCTION("""COMPUTED_VALUE"""),"Olivia Roorbach, (404) 694-2653")</f>
        <v>Olivia Roorbach, (404) 694-2653</v>
      </c>
      <c r="O765" t="str">
        <f ca="1">IFERROR(__xludf.DUMMYFUNCTION("""COMPUTED_VALUE"""),"Kaitlyn Dietz, (678) 372-2155, Emma Wilkinson ")</f>
        <v xml:space="preserve">Kaitlyn Dietz, (678) 372-2155, Emma Wilkinson </v>
      </c>
      <c r="P765" t="str">
        <f ca="1">IFERROR(__xludf.DUMMYFUNCTION("""COMPUTED_VALUE"""),"Olivia Roorbach")</f>
        <v>Olivia Roorbach</v>
      </c>
      <c r="Q765" t="str">
        <f ca="1">IFERROR(__xludf.DUMMYFUNCTION("""COMPUTED_VALUE"""),"All items in working order")</f>
        <v>All items in working order</v>
      </c>
      <c r="AE765" s="11"/>
      <c r="AF765" t="str">
        <v>Silas.Tanner@floridadep.gov</v>
      </c>
      <c r="AG765" s="18"/>
    </row>
    <row r="766" spans="1:33" ht="12.75">
      <c r="A766" s="10">
        <f ca="1">IFERROR(__xludf.DUMMYFUNCTION("""COMPUTED_VALUE"""),44531.468503125)</f>
        <v>44531.468503124997</v>
      </c>
      <c r="B766" s="11" t="str">
        <f ca="1">IFERROR(__xludf.DUMMYFUNCTION("""COMPUTED_VALUE"""),"Alee Knoell ")</f>
        <v xml:space="preserve">Alee Knoell </v>
      </c>
      <c r="C766" t="str">
        <f ca="1">IFERROR(__xludf.DUMMYFUNCTION("""COMPUTED_VALUE"""),"alee.knoell@floridadep.gov")</f>
        <v>alee.knoell@floridadep.gov</v>
      </c>
      <c r="D766" t="str">
        <f ca="1">IFERROR(__xludf.DUMMYFUNCTION("""COMPUTED_VALUE"""),"Nikki Dix")</f>
        <v>Nikki Dix</v>
      </c>
      <c r="E766" t="str">
        <f ca="1">IFERROR(__xludf.DUMMYFUNCTION("""COMPUTED_VALUE"""),"Faver dykes ")</f>
        <v xml:space="preserve">Faver dykes </v>
      </c>
      <c r="F766" s="13">
        <f ca="1">IFERROR(__xludf.DUMMYFUNCTION("""COMPUTED_VALUE"""),0.48958333333212)</f>
        <v>0.48958333333212001</v>
      </c>
      <c r="G766" s="14">
        <f ca="1">IFERROR(__xludf.DUMMYFUNCTION("""COMPUTED_VALUE"""),44531)</f>
        <v>44531</v>
      </c>
      <c r="H766" t="str">
        <f ca="1">IFERROR(__xludf.DUMMYFUNCTION("""COMPUTED_VALUE"""),"Upper transect ")</f>
        <v xml:space="preserve">Upper transect </v>
      </c>
      <c r="I766" s="15">
        <f ca="1">IFERROR(__xludf.DUMMYFUNCTION("""COMPUTED_VALUE"""),0.510416666667879)</f>
        <v>0.51041666666787899</v>
      </c>
      <c r="J766" s="16">
        <f ca="1">IFERROR(__xludf.DUMMYFUNCTION("""COMPUTED_VALUE"""),44531.5520833333)</f>
        <v>44531.552083333299</v>
      </c>
      <c r="K766" t="str">
        <f ca="1">IFERROR(__xludf.DUMMYFUNCTION("""COMPUTED_VALUE"""),"Jon Boat 1 FL5992RR DEP154045")</f>
        <v>Jon Boat 1 FL5992RR DEP154045</v>
      </c>
      <c r="M766" t="str">
        <f ca="1">IFERROR(__xludf.DUMMYFUNCTION("""COMPUTED_VALUE"""),"Ford F150 2018 (ML AP) - DEP21637")</f>
        <v>Ford F150 2018 (ML AP) - DEP21637</v>
      </c>
      <c r="N766" t="str">
        <f ca="1">IFERROR(__xludf.DUMMYFUNCTION("""COMPUTED_VALUE"""),"Pam Marcum, (480) 332-5414")</f>
        <v>Pam Marcum, (480) 332-5414</v>
      </c>
      <c r="O766" t="str">
        <f ca="1">IFERROR(__xludf.DUMMYFUNCTION("""COMPUTED_VALUE"""),"Alee Knoell ")</f>
        <v xml:space="preserve">Alee Knoell </v>
      </c>
      <c r="P766" t="str">
        <f ca="1">IFERROR(__xludf.DUMMYFUNCTION("""COMPUTED_VALUE"""),"Pam")</f>
        <v>Pam</v>
      </c>
      <c r="Q766" t="str">
        <f ca="1">IFERROR(__xludf.DUMMYFUNCTION("""COMPUTED_VALUE"""),"All items in working order")</f>
        <v>All items in working order</v>
      </c>
      <c r="AE766" s="11"/>
      <c r="AF766" t="str">
        <v>Nikki.Dix@floridadep.gov</v>
      </c>
      <c r="AG766" s="18"/>
    </row>
    <row r="767" spans="1:33" ht="12.75">
      <c r="A767" s="10">
        <f ca="1">IFERROR(__xludf.DUMMYFUNCTION("""COMPUTED_VALUE"""),44536.4351721527)</f>
        <v>44536.435172152698</v>
      </c>
      <c r="B767" s="11" t="str">
        <f ca="1">IFERROR(__xludf.DUMMYFUNCTION("""COMPUTED_VALUE"""),"Shannon")</f>
        <v>Shannon</v>
      </c>
      <c r="C767" t="str">
        <f ca="1">IFERROR(__xludf.DUMMYFUNCTION("""COMPUTED_VALUE"""),"shannon.dunnigan@floridadep.gov")</f>
        <v>shannon.dunnigan@floridadep.gov</v>
      </c>
      <c r="D767" t="str">
        <f ca="1">IFERROR(__xludf.DUMMYFUNCTION("""COMPUTED_VALUE"""),"Silas Tanner")</f>
        <v>Silas Tanner</v>
      </c>
      <c r="E767" t="str">
        <f ca="1">IFERROR(__xludf.DUMMYFUNCTION("""COMPUTED_VALUE"""),"Vilano")</f>
        <v>Vilano</v>
      </c>
      <c r="F767" s="13">
        <f ca="1">IFERROR(__xludf.DUMMYFUNCTION("""COMPUTED_VALUE"""),0.4375)</f>
        <v>0.4375</v>
      </c>
      <c r="G767" s="14">
        <f ca="1">IFERROR(__xludf.DUMMYFUNCTION("""COMPUTED_VALUE"""),44536)</f>
        <v>44536</v>
      </c>
      <c r="H767" t="str">
        <f ca="1">IFERROR(__xludf.DUMMYFUNCTION("""COMPUTED_VALUE"""),"ICW SWMP sites")</f>
        <v>ICW SWMP sites</v>
      </c>
      <c r="I767" s="15">
        <f ca="1">IFERROR(__xludf.DUMMYFUNCTION("""COMPUTED_VALUE"""),0.58333333333212)</f>
        <v>0.58333333333212001</v>
      </c>
      <c r="J767" s="16">
        <f ca="1">IFERROR(__xludf.DUMMYFUNCTION("""COMPUTED_VALUE"""),44536.6041666666)</f>
        <v>44536.604166666599</v>
      </c>
      <c r="K767" t="str">
        <f ca="1">IFERROR(__xludf.DUMMYFUNCTION("""COMPUTED_VALUE"""),"23ft Skiff (Bertha) FL7972LJ DEP07613")</f>
        <v>23ft Skiff (Bertha) FL7972LJ DEP07613</v>
      </c>
      <c r="M767" t="str">
        <f ca="1">IFERROR(__xludf.DUMMYFUNCTION("""COMPUTED_VALUE"""),"Ford F250 2017 (Moby Dix) - DEP0021578")</f>
        <v>Ford F250 2017 (Moby Dix) - DEP0021578</v>
      </c>
      <c r="N767" t="str">
        <f ca="1">IFERROR(__xludf.DUMMYFUNCTION("""COMPUTED_VALUE"""),"Nikki Dix, (352) 219-4079, Shannon Dunnigan, (803) 727-5734")</f>
        <v>Nikki Dix, (352) 219-4079, Shannon Dunnigan, (803) 727-5734</v>
      </c>
      <c r="P767" t="str">
        <f ca="1">IFERROR(__xludf.DUMMYFUNCTION("""COMPUTED_VALUE"""),"Shannon")</f>
        <v>Shannon</v>
      </c>
      <c r="Q767" t="str">
        <f ca="1">IFERROR(__xludf.DUMMYFUNCTION("""COMPUTED_VALUE"""),"All items in working order")</f>
        <v>All items in working order</v>
      </c>
      <c r="AE767" s="11"/>
      <c r="AF767" t="str">
        <v>Silas.Tanner@floridadep.gov</v>
      </c>
      <c r="AG767" s="18"/>
    </row>
    <row r="768" spans="1:33" ht="12.75">
      <c r="A768" s="10">
        <f ca="1">IFERROR(__xludf.DUMMYFUNCTION("""COMPUTED_VALUE"""),44543.2974015162)</f>
        <v>44543.297401516204</v>
      </c>
      <c r="B768" s="11" t="str">
        <f ca="1">IFERROR(__xludf.DUMMYFUNCTION("""COMPUTED_VALUE"""),"Jimmy")</f>
        <v>Jimmy</v>
      </c>
      <c r="C768" t="str">
        <f ca="1">IFERROR(__xludf.DUMMYFUNCTION("""COMPUTED_VALUE"""),"james.tomazinis@floridadep.gov")</f>
        <v>james.tomazinis@floridadep.gov</v>
      </c>
      <c r="D768" t="str">
        <f ca="1">IFERROR(__xludf.DUMMYFUNCTION("""COMPUTED_VALUE"""),"Jimmy Tomazinis")</f>
        <v>Jimmy Tomazinis</v>
      </c>
      <c r="E768" t="str">
        <f ca="1">IFERROR(__xludf.DUMMYFUNCTION("""COMPUTED_VALUE"""),"Palm Valley ")</f>
        <v xml:space="preserve">Palm Valley </v>
      </c>
      <c r="F768" s="13">
        <f ca="1">IFERROR(__xludf.DUMMYFUNCTION("""COMPUTED_VALUE"""),0.39583333333212)</f>
        <v>0.39583333333212001</v>
      </c>
      <c r="G768" s="14">
        <f ca="1">IFERROR(__xludf.DUMMYFUNCTION("""COMPUTED_VALUE"""),44543)</f>
        <v>44543</v>
      </c>
      <c r="H768" t="str">
        <f ca="1">IFERROR(__xludf.DUMMYFUNCTION("""COMPUTED_VALUE"""),"Tolomato to Pine Island ")</f>
        <v xml:space="preserve">Tolomato to Pine Island </v>
      </c>
      <c r="I768" s="15">
        <f ca="1">IFERROR(__xludf.DUMMYFUNCTION("""COMPUTED_VALUE"""),0.625)</f>
        <v>0.625</v>
      </c>
      <c r="J768" s="16"/>
      <c r="K768" t="str">
        <f ca="1">IFERROR(__xludf.DUMMYFUNCTION("""COMPUTED_VALUE"""),"23ft Skiff (Bertha) FL7972LJ DEP07613")</f>
        <v>23ft Skiff (Bertha) FL7972LJ DEP07613</v>
      </c>
      <c r="M768" t="str">
        <f ca="1">IFERROR(__xludf.DUMMYFUNCTION("""COMPUTED_VALUE"""),"Ford F150 2007 (F-Bomb) - DEP07055")</f>
        <v>Ford F150 2007 (F-Bomb) - DEP07055</v>
      </c>
      <c r="N768" t="str">
        <f ca="1">IFERROR(__xludf.DUMMYFUNCTION("""COMPUTED_VALUE"""),"Jimmy Tomazinis, (904) 547-0094")</f>
        <v>Jimmy Tomazinis, (904) 547-0094</v>
      </c>
      <c r="O768" t="str">
        <f ca="1">IFERROR(__xludf.DUMMYFUNCTION("""COMPUTED_VALUE"""),"Allix and Savanna")</f>
        <v>Allix and Savanna</v>
      </c>
      <c r="P768" t="str">
        <f ca="1">IFERROR(__xludf.DUMMYFUNCTION("""COMPUTED_VALUE"""),"Jimmy")</f>
        <v>Jimmy</v>
      </c>
      <c r="Q768" t="str">
        <f ca="1">IFERROR(__xludf.DUMMYFUNCTION("""COMPUTED_VALUE"""),"All items in working order")</f>
        <v>All items in working order</v>
      </c>
      <c r="AE768" s="11"/>
      <c r="AF768" t="str">
        <v>James.Tomazinis@floridadep.gov</v>
      </c>
      <c r="AG768" s="18"/>
    </row>
    <row r="769" spans="1:33" ht="12.75">
      <c r="A769" s="10">
        <f ca="1">IFERROR(__xludf.DUMMYFUNCTION("""COMPUTED_VALUE"""),44548.5358564699)</f>
        <v>44548.535856469898</v>
      </c>
      <c r="B769" s="11" t="str">
        <f ca="1">IFERROR(__xludf.DUMMYFUNCTION("""COMPUTED_VALUE"""),"Nikki Dix")</f>
        <v>Nikki Dix</v>
      </c>
      <c r="C769" t="str">
        <f ca="1">IFERROR(__xludf.DUMMYFUNCTION("""COMPUTED_VALUE"""),"nikki.dix@dep.state.fl.us")</f>
        <v>nikki.dix@dep.state.fl.us</v>
      </c>
      <c r="D769" t="str">
        <f ca="1">IFERROR(__xludf.DUMMYFUNCTION("""COMPUTED_VALUE"""),"Pam Marcum")</f>
        <v>Pam Marcum</v>
      </c>
      <c r="E769" t="str">
        <f ca="1">IFERROR(__xludf.DUMMYFUNCTION("""COMPUTED_VALUE"""),"Aunt Kate’s ")</f>
        <v xml:space="preserve">Aunt Kate’s </v>
      </c>
      <c r="F769" s="13">
        <f ca="1">IFERROR(__xludf.DUMMYFUNCTION("""COMPUTED_VALUE"""),0.541666666667879)</f>
        <v>0.54166666666787899</v>
      </c>
      <c r="G769" s="14">
        <f ca="1">IFERROR(__xludf.DUMMYFUNCTION("""COMPUTED_VALUE"""),44548)</f>
        <v>44548</v>
      </c>
      <c r="H769" t="str">
        <f ca="1">IFERROR(__xludf.DUMMYFUNCTION("""COMPUTED_VALUE"""),"Palm Valley")</f>
        <v>Palm Valley</v>
      </c>
      <c r="I769" s="15">
        <f ca="1">IFERROR(__xludf.DUMMYFUNCTION("""COMPUTED_VALUE"""),0.6875)</f>
        <v>0.6875</v>
      </c>
      <c r="J769" s="16">
        <f ca="1">IFERROR(__xludf.DUMMYFUNCTION("""COMPUTED_VALUE"""),44548.7083333333)</f>
        <v>44548.708333333299</v>
      </c>
      <c r="K769" t="str">
        <f ca="1">IFERROR(__xludf.DUMMYFUNCTION("""COMPUTED_VALUE"""),"23ft Skiff (Bertha) FL7972LJ DEP07613")</f>
        <v>23ft Skiff (Bertha) FL7972LJ DEP07613</v>
      </c>
      <c r="M769" t="str">
        <f ca="1">IFERROR(__xludf.DUMMYFUNCTION("""COMPUTED_VALUE"""),"Ford F250 2017 (Moby Dix) - DEP0021578")</f>
        <v>Ford F250 2017 (Moby Dix) - DEP0021578</v>
      </c>
      <c r="N769" t="str">
        <f ca="1">IFERROR(__xludf.DUMMYFUNCTION("""COMPUTED_VALUE"""),"Nikki Dix, (352) 219-4079, Shannon Dunnigan, (803) 727-5734, Silas Tanner, (904) 483-8423")</f>
        <v>Nikki Dix, (352) 219-4079, Shannon Dunnigan, (803) 727-5734, Silas Tanner, (904) 483-8423</v>
      </c>
      <c r="O769" t="str">
        <f ca="1">IFERROR(__xludf.DUMMYFUNCTION("""COMPUTED_VALUE"""),"Steve, Hannah, Jacob")</f>
        <v>Steve, Hannah, Jacob</v>
      </c>
      <c r="P769" t="str">
        <f ca="1">IFERROR(__xludf.DUMMYFUNCTION("""COMPUTED_VALUE"""),"Silas Tanner")</f>
        <v>Silas Tanner</v>
      </c>
      <c r="Q769" t="str">
        <f ca="1">IFERROR(__xludf.DUMMYFUNCTION("""COMPUTED_VALUE"""),"All items in working order")</f>
        <v>All items in working order</v>
      </c>
      <c r="AE769" s="11"/>
      <c r="AF769" t="str">
        <v>Pamela.Marcum@floridadep.gov</v>
      </c>
      <c r="AG769" s="18"/>
    </row>
    <row r="770" spans="1:33" ht="12.75">
      <c r="A770" s="10">
        <f ca="1">IFERROR(__xludf.DUMMYFUNCTION("""COMPUTED_VALUE"""),44550.4880243287)</f>
        <v>44550.488024328697</v>
      </c>
      <c r="B770" s="11" t="str">
        <f ca="1">IFERROR(__xludf.DUMMYFUNCTION("""COMPUTED_VALUE"""),"Shannon")</f>
        <v>Shannon</v>
      </c>
      <c r="C770" t="str">
        <f ca="1">IFERROR(__xludf.DUMMYFUNCTION("""COMPUTED_VALUE"""),"shannon.dunnigan@dep.state.fl.us")</f>
        <v>shannon.dunnigan@dep.state.fl.us</v>
      </c>
      <c r="D770" t="str">
        <f ca="1">IFERROR(__xludf.DUMMYFUNCTION("""COMPUTED_VALUE"""),"Nikki Dix")</f>
        <v>Nikki Dix</v>
      </c>
      <c r="E770" t="str">
        <f ca="1">IFERROR(__xludf.DUMMYFUNCTION("""COMPUTED_VALUE"""),"Greene")</f>
        <v>Greene</v>
      </c>
      <c r="F770" s="13">
        <f ca="1">IFERROR(__xludf.DUMMYFUNCTION("""COMPUTED_VALUE"""),0.48958333333212)</f>
        <v>0.48958333333212001</v>
      </c>
      <c r="G770" s="14">
        <f ca="1">IFERROR(__xludf.DUMMYFUNCTION("""COMPUTED_VALUE"""),44550)</f>
        <v>44550</v>
      </c>
      <c r="H770" t="str">
        <f ca="1">IFERROR(__xludf.DUMMYFUNCTION("""COMPUTED_VALUE"""),"FM")</f>
        <v>FM</v>
      </c>
      <c r="I770" s="15">
        <f ca="1">IFERROR(__xludf.DUMMYFUNCTION("""COMPUTED_VALUE"""),0.53125)</f>
        <v>0.53125</v>
      </c>
      <c r="J770" s="16">
        <f ca="1">IFERROR(__xludf.DUMMYFUNCTION("""COMPUTED_VALUE"""),44550.7083333333)</f>
        <v>44550.708333333299</v>
      </c>
      <c r="K770" t="str">
        <f ca="1">IFERROR(__xludf.DUMMYFUNCTION("""COMPUTED_VALUE"""),"20ft Sea Ark FL5351SJ UNF 2015")</f>
        <v>20ft Sea Ark FL5351SJ UNF 2015</v>
      </c>
      <c r="M770" t="str">
        <f ca="1">IFERROR(__xludf.DUMMYFUNCTION("""COMPUTED_VALUE"""),"Ford F250 2017 (Moby Dix) - DEP0021578")</f>
        <v>Ford F250 2017 (Moby Dix) - DEP0021578</v>
      </c>
      <c r="N770" t="str">
        <f ca="1">IFERROR(__xludf.DUMMYFUNCTION("""COMPUTED_VALUE"""),"Shannon Dunnigan, (803) 727-5734, Silas Tanner, (904) 483-8423")</f>
        <v>Shannon Dunnigan, (803) 727-5734, Silas Tanner, (904) 483-8423</v>
      </c>
      <c r="P770" t="str">
        <f ca="1">IFERROR(__xludf.DUMMYFUNCTION("""COMPUTED_VALUE"""),"Silas")</f>
        <v>Silas</v>
      </c>
      <c r="Q770" t="str">
        <f ca="1">IFERROR(__xludf.DUMMYFUNCTION("""COMPUTED_VALUE"""),"All items in working order")</f>
        <v>All items in working order</v>
      </c>
      <c r="AE770" s="11"/>
      <c r="AF770" t="str">
        <v>Nikki.Dix@floridadep.gov</v>
      </c>
      <c r="AG770" s="18"/>
    </row>
    <row r="771" spans="1:33" ht="12.75">
      <c r="A771" s="10">
        <f ca="1">IFERROR(__xludf.DUMMYFUNCTION("""COMPUTED_VALUE"""),44550.5541914583)</f>
        <v>44550.554191458301</v>
      </c>
      <c r="B771" s="11" t="str">
        <f ca="1">IFERROR(__xludf.DUMMYFUNCTION("""COMPUTED_VALUE"""),"Shannon Dunnigan")</f>
        <v>Shannon Dunnigan</v>
      </c>
      <c r="C771" t="str">
        <f ca="1">IFERROR(__xludf.DUMMYFUNCTION("""COMPUTED_VALUE"""),"shannon.dunnigan@dep.state.fl.us")</f>
        <v>shannon.dunnigan@dep.state.fl.us</v>
      </c>
      <c r="D771" t="str">
        <f ca="1">IFERROR(__xludf.DUMMYFUNCTION("""COMPUTED_VALUE"""),"Nikki Dix")</f>
        <v>Nikki Dix</v>
      </c>
      <c r="E771" t="str">
        <f ca="1">IFERROR(__xludf.DUMMYFUNCTION("""COMPUTED_VALUE"""),"Crane")</f>
        <v>Crane</v>
      </c>
      <c r="F771" s="13">
        <f ca="1">IFERROR(__xludf.DUMMYFUNCTION("""COMPUTED_VALUE"""),0.555555555554747)</f>
        <v>0.555555555554747</v>
      </c>
      <c r="G771" s="14">
        <f ca="1">IFERROR(__xludf.DUMMYFUNCTION("""COMPUTED_VALUE"""),44550)</f>
        <v>44550</v>
      </c>
      <c r="H771" t="str">
        <f ca="1">IFERROR(__xludf.DUMMYFUNCTION("""COMPUTED_VALUE"""),"SS Swmp")</f>
        <v>SS Swmp</v>
      </c>
      <c r="I771" s="15">
        <f ca="1">IFERROR(__xludf.DUMMYFUNCTION("""COMPUTED_VALUE"""),0.604166666667879)</f>
        <v>0.60416666666787899</v>
      </c>
      <c r="J771" s="16">
        <f ca="1">IFERROR(__xludf.DUMMYFUNCTION("""COMPUTED_VALUE"""),44550.7083333333)</f>
        <v>44550.708333333299</v>
      </c>
      <c r="K771" t="str">
        <f ca="1">IFERROR(__xludf.DUMMYFUNCTION("""COMPUTED_VALUE"""),"20ft Sea Ark FL5351SJ UNF 2015")</f>
        <v>20ft Sea Ark FL5351SJ UNF 2015</v>
      </c>
      <c r="M771" t="str">
        <f ca="1">IFERROR(__xludf.DUMMYFUNCTION("""COMPUTED_VALUE"""),"Ford F250 2017 (Moby Dix) - DEP0021578")</f>
        <v>Ford F250 2017 (Moby Dix) - DEP0021578</v>
      </c>
      <c r="N771" t="str">
        <f ca="1">IFERROR(__xludf.DUMMYFUNCTION("""COMPUTED_VALUE"""),"Shannon Dunnigan, (803) 727-5734, Silas Tanner, (904) 483-8423")</f>
        <v>Shannon Dunnigan, (803) 727-5734, Silas Tanner, (904) 483-8423</v>
      </c>
      <c r="P771" t="str">
        <f ca="1">IFERROR(__xludf.DUMMYFUNCTION("""COMPUTED_VALUE"""),"Silas")</f>
        <v>Silas</v>
      </c>
      <c r="Q771" t="str">
        <f ca="1">IFERROR(__xludf.DUMMYFUNCTION("""COMPUTED_VALUE"""),"All items in working order")</f>
        <v>All items in working order</v>
      </c>
      <c r="AE771" s="11"/>
      <c r="AF771" t="str">
        <v>Nikki.Dix@floridadep.gov</v>
      </c>
      <c r="AG771" s="18"/>
    </row>
    <row r="772" spans="1:33" ht="12.75">
      <c r="A772" s="10">
        <f ca="1">IFERROR(__xludf.DUMMYFUNCTION("""COMPUTED_VALUE"""),44550.6209978009)</f>
        <v>44550.620997800899</v>
      </c>
      <c r="B772" s="11" t="str">
        <f ca="1">IFERROR(__xludf.DUMMYFUNCTION("""COMPUTED_VALUE"""),"Shannon Dunnigan")</f>
        <v>Shannon Dunnigan</v>
      </c>
      <c r="C772" t="str">
        <f ca="1">IFERROR(__xludf.DUMMYFUNCTION("""COMPUTED_VALUE"""),"shannon.dunnigan@dep.state.fl.us")</f>
        <v>shannon.dunnigan@dep.state.fl.us</v>
      </c>
      <c r="D772" t="str">
        <f ca="1">IFERROR(__xludf.DUMMYFUNCTION("""COMPUTED_VALUE"""),"Nikki Dix")</f>
        <v>Nikki Dix</v>
      </c>
      <c r="E772" t="str">
        <f ca="1">IFERROR(__xludf.DUMMYFUNCTION("""COMPUTED_VALUE"""),"Palm Valley (pickup at Aunt Kates)")</f>
        <v>Palm Valley (pickup at Aunt Kates)</v>
      </c>
      <c r="F772" s="13">
        <f ca="1">IFERROR(__xludf.DUMMYFUNCTION("""COMPUTED_VALUE"""),0.635416666667879)</f>
        <v>0.63541666666787899</v>
      </c>
      <c r="G772" s="14">
        <f ca="1">IFERROR(__xludf.DUMMYFUNCTION("""COMPUTED_VALUE"""),44550)</f>
        <v>44550</v>
      </c>
      <c r="H772" t="str">
        <f ca="1">IFERROR(__xludf.DUMMYFUNCTION("""COMPUTED_VALUE"""),"PI SWMP")</f>
        <v>PI SWMP</v>
      </c>
      <c r="I772" s="15">
        <f ca="1">IFERROR(__xludf.DUMMYFUNCTION("""COMPUTED_VALUE"""),0.6875)</f>
        <v>0.6875</v>
      </c>
      <c r="J772" s="16">
        <f ca="1">IFERROR(__xludf.DUMMYFUNCTION("""COMPUTED_VALUE"""),44550.7083333333)</f>
        <v>44550.708333333299</v>
      </c>
      <c r="K772" t="str">
        <f ca="1">IFERROR(__xludf.DUMMYFUNCTION("""COMPUTED_VALUE"""),"20ft Sea Ark FL5351SJ UNF 2015")</f>
        <v>20ft Sea Ark FL5351SJ UNF 2015</v>
      </c>
      <c r="M772" t="str">
        <f ca="1">IFERROR(__xludf.DUMMYFUNCTION("""COMPUTED_VALUE"""),"Ford F250 2017 (Moby Dix) - DEP0021578")</f>
        <v>Ford F250 2017 (Moby Dix) - DEP0021578</v>
      </c>
      <c r="N772" t="str">
        <f ca="1">IFERROR(__xludf.DUMMYFUNCTION("""COMPUTED_VALUE"""),"Shannon Dunnigan, (803) 727-5734, Silas Tanner, (904) 483-8423")</f>
        <v>Shannon Dunnigan, (803) 727-5734, Silas Tanner, (904) 483-8423</v>
      </c>
      <c r="P772" t="str">
        <f ca="1">IFERROR(__xludf.DUMMYFUNCTION("""COMPUTED_VALUE"""),"Silas")</f>
        <v>Silas</v>
      </c>
      <c r="Q772" t="str">
        <f ca="1">IFERROR(__xludf.DUMMYFUNCTION("""COMPUTED_VALUE"""),"All items in working order")</f>
        <v>All items in working order</v>
      </c>
      <c r="AE772" s="11"/>
      <c r="AF772" t="str">
        <v>Nikki.Dix@floridadep.gov</v>
      </c>
      <c r="AG772" s="18"/>
    </row>
    <row r="773" spans="1:33" ht="12.75">
      <c r="A773" s="10">
        <f ca="1">IFERROR(__xludf.DUMMYFUNCTION("""COMPUTED_VALUE"""),44565.394527199)</f>
        <v>44565.394527199001</v>
      </c>
      <c r="B773" s="11" t="str">
        <f ca="1">IFERROR(__xludf.DUMMYFUNCTION("""COMPUTED_VALUE"""),"Shannon Dunnigan")</f>
        <v>Shannon Dunnigan</v>
      </c>
      <c r="C773" t="str">
        <f ca="1">IFERROR(__xludf.DUMMYFUNCTION("""COMPUTED_VALUE"""),"shannon.dunnigan@dep.state.fl.us")</f>
        <v>shannon.dunnigan@dep.state.fl.us</v>
      </c>
      <c r="D773" t="str">
        <f ca="1">IFERROR(__xludf.DUMMYFUNCTION("""COMPUTED_VALUE"""),"Nikki Dix")</f>
        <v>Nikki Dix</v>
      </c>
      <c r="E773" t="str">
        <f ca="1">IFERROR(__xludf.DUMMYFUNCTION("""COMPUTED_VALUE"""),"Vilano ")</f>
        <v xml:space="preserve">Vilano </v>
      </c>
      <c r="F773" s="13">
        <f ca="1">IFERROR(__xludf.DUMMYFUNCTION("""COMPUTED_VALUE"""),0.39583333333212)</f>
        <v>0.39583333333212001</v>
      </c>
      <c r="G773" s="14">
        <f ca="1">IFERROR(__xludf.DUMMYFUNCTION("""COMPUTED_VALUE"""),44565)</f>
        <v>44565</v>
      </c>
      <c r="H773" t="str">
        <f ca="1">IFERROR(__xludf.DUMMYFUNCTION("""COMPUTED_VALUE"""),"SWMP sites")</f>
        <v>SWMP sites</v>
      </c>
      <c r="I773" s="15">
        <f ca="1">IFERROR(__xludf.DUMMYFUNCTION("""COMPUTED_VALUE"""),0.604166666667879)</f>
        <v>0.60416666666787899</v>
      </c>
      <c r="J773" s="16">
        <f ca="1">IFERROR(__xludf.DUMMYFUNCTION("""COMPUTED_VALUE"""),44565.625)</f>
        <v>44565.625</v>
      </c>
      <c r="K773" t="str">
        <f ca="1">IFERROR(__xludf.DUMMYFUNCTION("""COMPUTED_VALUE"""),"23ft Skiff (Bertha) FL7972LJ DEP07613")</f>
        <v>23ft Skiff (Bertha) FL7972LJ DEP07613</v>
      </c>
      <c r="M773" t="str">
        <f ca="1">IFERROR(__xludf.DUMMYFUNCTION("""COMPUTED_VALUE"""),"Ford F250 2017 (Moby Dix) - DEP0021578")</f>
        <v>Ford F250 2017 (Moby Dix) - DEP0021578</v>
      </c>
      <c r="N773" t="str">
        <f ca="1">IFERROR(__xludf.DUMMYFUNCTION("""COMPUTED_VALUE"""),"Olivia Roorbach, (404) 694-2653")</f>
        <v>Olivia Roorbach, (404) 694-2653</v>
      </c>
      <c r="O773" t="str">
        <f ca="1">IFERROR(__xludf.DUMMYFUNCTION("""COMPUTED_VALUE"""),"Casey McClure")</f>
        <v>Casey McClure</v>
      </c>
      <c r="P773" t="str">
        <f ca="1">IFERROR(__xludf.DUMMYFUNCTION("""COMPUTED_VALUE"""),"Shannon")</f>
        <v>Shannon</v>
      </c>
      <c r="Q773" t="str">
        <f ca="1">IFERROR(__xludf.DUMMYFUNCTION("""COMPUTED_VALUE"""),"All items in working order")</f>
        <v>All items in working order</v>
      </c>
      <c r="AE773" s="11"/>
      <c r="AF773" t="str">
        <v>Nikki.Dix@floridadep.gov</v>
      </c>
      <c r="AG773" s="18"/>
    </row>
    <row r="774" spans="1:33" ht="12.75">
      <c r="A774" s="10">
        <f ca="1">IFERROR(__xludf.DUMMYFUNCTION("""COMPUTED_VALUE"""),44572.3546222338)</f>
        <v>44572.354622233797</v>
      </c>
      <c r="B774" s="11" t="str">
        <f ca="1">IFERROR(__xludf.DUMMYFUNCTION("""COMPUTED_VALUE"""),"Pam marcum ")</f>
        <v xml:space="preserve">Pam marcum </v>
      </c>
      <c r="C774" t="str">
        <f ca="1">IFERROR(__xludf.DUMMYFUNCTION("""COMPUTED_VALUE"""),"Pamela.Marcum@FloridaDEP.gov")</f>
        <v>Pamela.Marcum@FloridaDEP.gov</v>
      </c>
      <c r="D774" t="str">
        <f ca="1">IFERROR(__xludf.DUMMYFUNCTION("""COMPUTED_VALUE"""),"Nikki Dix")</f>
        <v>Nikki Dix</v>
      </c>
      <c r="E774" t="str">
        <f ca="1">IFERROR(__xludf.DUMMYFUNCTION("""COMPUTED_VALUE"""),"May Street Bridge")</f>
        <v>May Street Bridge</v>
      </c>
      <c r="F774" s="13">
        <f ca="1">IFERROR(__xludf.DUMMYFUNCTION("""COMPUTED_VALUE"""),0.34375)</f>
        <v>0.34375</v>
      </c>
      <c r="G774" s="14">
        <f ca="1">IFERROR(__xludf.DUMMYFUNCTION("""COMPUTED_VALUE"""),44572)</f>
        <v>44572</v>
      </c>
      <c r="H774" t="str">
        <f ca="1">IFERROR(__xludf.DUMMYFUNCTION("""COMPUTED_VALUE"""),"Hospital Creek")</f>
        <v>Hospital Creek</v>
      </c>
      <c r="I774" s="15">
        <f ca="1">IFERROR(__xludf.DUMMYFUNCTION("""COMPUTED_VALUE"""),0.4375)</f>
        <v>0.4375</v>
      </c>
      <c r="J774" s="16">
        <f ca="1">IFERROR(__xludf.DUMMYFUNCTION("""COMPUTED_VALUE"""),44572.4583333333)</f>
        <v>44572.458333333299</v>
      </c>
      <c r="K774" t="str">
        <f ca="1">IFERROR(__xludf.DUMMYFUNCTION("""COMPUTED_VALUE"""),"Jon Boat 1 FL5992RR DEP154045")</f>
        <v>Jon Boat 1 FL5992RR DEP154045</v>
      </c>
      <c r="M774" t="str">
        <f ca="1">IFERROR(__xludf.DUMMYFUNCTION("""COMPUTED_VALUE"""),"Ford F150 2015 (White) - DEP21448")</f>
        <v>Ford F150 2015 (White) - DEP21448</v>
      </c>
      <c r="N774" t="str">
        <f ca="1">IFERROR(__xludf.DUMMYFUNCTION("""COMPUTED_VALUE"""),"Pam Marcum, (480) 332-5414, Alee Knoell, (619) 750-4833")</f>
        <v>Pam Marcum, (480) 332-5414, Alee Knoell, (619) 750-4833</v>
      </c>
      <c r="P774" t="str">
        <f ca="1">IFERROR(__xludf.DUMMYFUNCTION("""COMPUTED_VALUE"""),"Pam")</f>
        <v>Pam</v>
      </c>
      <c r="Q774" t="str">
        <f ca="1">IFERROR(__xludf.DUMMYFUNCTION("""COMPUTED_VALUE"""),"All items in working order")</f>
        <v>All items in working order</v>
      </c>
      <c r="AE774" s="11"/>
      <c r="AF774" t="str">
        <v>Nikki.Dix@floridadep.gov</v>
      </c>
      <c r="AG774" s="18"/>
    </row>
    <row r="775" spans="1:33" ht="12.75">
      <c r="A775" s="10">
        <f ca="1">IFERROR(__xludf.DUMMYFUNCTION("""COMPUTED_VALUE"""),44572.459162199)</f>
        <v>44572.459162198997</v>
      </c>
      <c r="B775" s="11" t="str">
        <f ca="1">IFERROR(__xludf.DUMMYFUNCTION("""COMPUTED_VALUE"""),"Silas Tanner")</f>
        <v>Silas Tanner</v>
      </c>
      <c r="C775" t="str">
        <f ca="1">IFERROR(__xludf.DUMMYFUNCTION("""COMPUTED_VALUE"""),"silas.tanner@floridadep.gov")</f>
        <v>silas.tanner@floridadep.gov</v>
      </c>
      <c r="D775" t="str">
        <f ca="1">IFERROR(__xludf.DUMMYFUNCTION("""COMPUTED_VALUE"""),"Shannon Dunnigan")</f>
        <v>Shannon Dunnigan</v>
      </c>
      <c r="E775" t="str">
        <f ca="1">IFERROR(__xludf.DUMMYFUNCTION("""COMPUTED_VALUE"""),"Vilano, Green Rd")</f>
        <v>Vilano, Green Rd</v>
      </c>
      <c r="F775" s="13">
        <f ca="1">IFERROR(__xludf.DUMMYFUNCTION("""COMPUTED_VALUE"""),0.447916666667879)</f>
        <v>0.44791666666787899</v>
      </c>
      <c r="G775" s="14">
        <f ca="1">IFERROR(__xludf.DUMMYFUNCTION("""COMPUTED_VALUE"""),44572)</f>
        <v>44572</v>
      </c>
      <c r="H775" t="str">
        <f ca="1">IFERROR(__xludf.DUMMYFUNCTION("""COMPUTED_VALUE"""),"SWMP sites ")</f>
        <v xml:space="preserve">SWMP sites </v>
      </c>
      <c r="I775" s="15">
        <f ca="1">IFERROR(__xludf.DUMMYFUNCTION("""COMPUTED_VALUE"""),0.64583333333212)</f>
        <v>0.64583333333212001</v>
      </c>
      <c r="J775" s="16">
        <f ca="1">IFERROR(__xludf.DUMMYFUNCTION("""COMPUTED_VALUE"""),44572.7083333333)</f>
        <v>44572.708333333299</v>
      </c>
      <c r="K775" t="str">
        <f ca="1">IFERROR(__xludf.DUMMYFUNCTION("""COMPUTED_VALUE"""),"20ft Sea Ark FL5351SJ UNF 2015")</f>
        <v>20ft Sea Ark FL5351SJ UNF 2015</v>
      </c>
      <c r="M775" t="str">
        <f ca="1">IFERROR(__xludf.DUMMYFUNCTION("""COMPUTED_VALUE"""),"Ford F250 2017 (Moby Dix) - DEP0021578")</f>
        <v>Ford F250 2017 (Moby Dix) - DEP0021578</v>
      </c>
      <c r="N775" t="str">
        <f ca="1">IFERROR(__xludf.DUMMYFUNCTION("""COMPUTED_VALUE"""),"Silas Tanner, (904) 483-8423, Remo")</f>
        <v>Silas Tanner, (904) 483-8423, Remo</v>
      </c>
      <c r="O775" t="str">
        <f ca="1">IFERROR(__xludf.DUMMYFUNCTION("""COMPUTED_VALUE"""),"Casey McClure")</f>
        <v>Casey McClure</v>
      </c>
      <c r="P775" t="str">
        <f ca="1">IFERROR(__xludf.DUMMYFUNCTION("""COMPUTED_VALUE"""),"Tanner")</f>
        <v>Tanner</v>
      </c>
      <c r="Q775" t="str">
        <f ca="1">IFERROR(__xludf.DUMMYFUNCTION("""COMPUTED_VALUE"""),"All items in working order")</f>
        <v>All items in working order</v>
      </c>
      <c r="AE775" s="11"/>
      <c r="AF775" t="str">
        <v>Shannon.Dunnigan@floridadep.gov</v>
      </c>
      <c r="AG775" s="18"/>
    </row>
    <row r="776" spans="1:33" ht="12.75">
      <c r="A776" s="10">
        <f ca="1">IFERROR(__xludf.DUMMYFUNCTION("""COMPUTED_VALUE"""),44572.6282217824)</f>
        <v>44572.628221782397</v>
      </c>
      <c r="B776" s="11" t="str">
        <f ca="1">IFERROR(__xludf.DUMMYFUNCTION("""COMPUTED_VALUE"""),"Pam")</f>
        <v>Pam</v>
      </c>
      <c r="C776" t="str">
        <f ca="1">IFERROR(__xludf.DUMMYFUNCTION("""COMPUTED_VALUE"""),"Pamela.Marcum@FloridaDEP.gov")</f>
        <v>Pamela.Marcum@FloridaDEP.gov</v>
      </c>
      <c r="D776" t="str">
        <f ca="1">IFERROR(__xludf.DUMMYFUNCTION("""COMPUTED_VALUE"""),"Nikki Dix")</f>
        <v>Nikki Dix</v>
      </c>
      <c r="E776" t="str">
        <f ca="1">IFERROR(__xludf.DUMMYFUNCTION("""COMPUTED_VALUE"""),"Shore")</f>
        <v>Shore</v>
      </c>
      <c r="F776" s="13">
        <f ca="1">IFERROR(__xludf.DUMMYFUNCTION("""COMPUTED_VALUE"""),0.625)</f>
        <v>0.625</v>
      </c>
      <c r="G776" s="14">
        <f ca="1">IFERROR(__xludf.DUMMYFUNCTION("""COMPUTED_VALUE"""),44572)</f>
        <v>44572</v>
      </c>
      <c r="H776" t="str">
        <f ca="1">IFERROR(__xludf.DUMMYFUNCTION("""COMPUTED_VALUE"""),"312 bridge")</f>
        <v>312 bridge</v>
      </c>
      <c r="I776" s="15">
        <f ca="1">IFERROR(__xludf.DUMMYFUNCTION("""COMPUTED_VALUE"""),0.666666666667879)</f>
        <v>0.66666666666787899</v>
      </c>
      <c r="J776" s="16">
        <f ca="1">IFERROR(__xludf.DUMMYFUNCTION("""COMPUTED_VALUE"""),44572.6875)</f>
        <v>44572.6875</v>
      </c>
      <c r="K776" t="str">
        <f ca="1">IFERROR(__xludf.DUMMYFUNCTION("""COMPUTED_VALUE"""),"23ft Skiff (Bertha) FL7972LJ DEP07613")</f>
        <v>23ft Skiff (Bertha) FL7972LJ DEP07613</v>
      </c>
      <c r="M776" t="str">
        <f ca="1">IFERROR(__xludf.DUMMYFUNCTION("""COMPUTED_VALUE"""),"Ford F150 2015 (White) - DEP21448")</f>
        <v>Ford F150 2015 (White) - DEP21448</v>
      </c>
      <c r="N776" t="str">
        <f ca="1">IFERROR(__xludf.DUMMYFUNCTION("""COMPUTED_VALUE"""),"Pam Marcum, (480) 332-5414")</f>
        <v>Pam Marcum, (480) 332-5414</v>
      </c>
      <c r="P776" t="str">
        <f ca="1">IFERROR(__xludf.DUMMYFUNCTION("""COMPUTED_VALUE"""),"Pam")</f>
        <v>Pam</v>
      </c>
      <c r="Q776" t="str">
        <f ca="1">IFERROR(__xludf.DUMMYFUNCTION("""COMPUTED_VALUE"""),"All items in working order")</f>
        <v>All items in working order</v>
      </c>
      <c r="AE776" s="11"/>
      <c r="AF776" t="str">
        <v>Nikki.Dix@floridadep.gov</v>
      </c>
      <c r="AG776" s="18"/>
    </row>
    <row r="777" spans="1:33" ht="12.75">
      <c r="A777" s="10">
        <f ca="1">IFERROR(__xludf.DUMMYFUNCTION("""COMPUTED_VALUE"""),44573.3839318865)</f>
        <v>44573.383931886499</v>
      </c>
      <c r="B777" s="11" t="str">
        <f ca="1">IFERROR(__xludf.DUMMYFUNCTION("""COMPUTED_VALUE"""),"Allix North")</f>
        <v>Allix North</v>
      </c>
      <c r="C777" t="str">
        <f ca="1">IFERROR(__xludf.DUMMYFUNCTION("""COMPUTED_VALUE"""),"allix.north@dep.state.fl.us")</f>
        <v>allix.north@dep.state.fl.us</v>
      </c>
      <c r="D777" t="str">
        <f ca="1">IFERROR(__xludf.DUMMYFUNCTION("""COMPUTED_VALUE"""),"Scott Eastman")</f>
        <v>Scott Eastman</v>
      </c>
      <c r="E777" t="str">
        <f ca="1">IFERROR(__xludf.DUMMYFUNCTION("""COMPUTED_VALUE"""),"Green or Butler will advise via text")</f>
        <v>Green or Butler will advise via text</v>
      </c>
      <c r="F777" s="13">
        <f ca="1">IFERROR(__xludf.DUMMYFUNCTION("""COMPUTED_VALUE"""),0.416666666667879)</f>
        <v>0.41666666666787899</v>
      </c>
      <c r="G777" s="14">
        <f ca="1">IFERROR(__xludf.DUMMYFUNCTION("""COMPUTED_VALUE"""),44573)</f>
        <v>44573</v>
      </c>
      <c r="H777" t="str">
        <f ca="1">IFERROR(__xludf.DUMMYFUNCTION("""COMPUTED_VALUE"""),"206 Bridge to Matanzas Inlet")</f>
        <v>206 Bridge to Matanzas Inlet</v>
      </c>
      <c r="I777" s="15">
        <f ca="1">IFERROR(__xludf.DUMMYFUNCTION("""COMPUTED_VALUE"""),0.58333333333212)</f>
        <v>0.58333333333212001</v>
      </c>
      <c r="J777" s="16">
        <f ca="1">IFERROR(__xludf.DUMMYFUNCTION("""COMPUTED_VALUE"""),44573.6041666666)</f>
        <v>44573.604166666599</v>
      </c>
      <c r="K777" t="str">
        <f ca="1">IFERROR(__xludf.DUMMYFUNCTION("""COMPUTED_VALUE"""),"17ft Skiff (Marsha) FL0642GW DEP07239")</f>
        <v>17ft Skiff (Marsha) FL0642GW DEP07239</v>
      </c>
      <c r="M777" t="str">
        <f ca="1">IFERROR(__xludf.DUMMYFUNCTION("""COMPUTED_VALUE"""),"Ford F150 2018 (ML AP) - DEP21637")</f>
        <v>Ford F150 2018 (ML AP) - DEP21637</v>
      </c>
      <c r="N777" t="str">
        <f ca="1">IFERROR(__xludf.DUMMYFUNCTION("""COMPUTED_VALUE"""),"Jimmy Tomazinis, (904) 547-0094")</f>
        <v>Jimmy Tomazinis, (904) 547-0094</v>
      </c>
      <c r="O777" t="str">
        <f ca="1">IFERROR(__xludf.DUMMYFUNCTION("""COMPUTED_VALUE"""),"Allix North 850-420-7495")</f>
        <v>Allix North 850-420-7495</v>
      </c>
      <c r="P777" t="str">
        <f ca="1">IFERROR(__xludf.DUMMYFUNCTION("""COMPUTED_VALUE"""),"Jimmy Tomazinis")</f>
        <v>Jimmy Tomazinis</v>
      </c>
      <c r="Q777" t="str">
        <f ca="1">IFERROR(__xludf.DUMMYFUNCTION("""COMPUTED_VALUE"""),"All items in working order")</f>
        <v>All items in working order</v>
      </c>
      <c r="AE777" s="11"/>
      <c r="AF777" t="str">
        <v>Scott.Eastman@floridadep.gov</v>
      </c>
      <c r="AG777" s="18"/>
    </row>
    <row r="778" spans="1:33" ht="12.75">
      <c r="A778" s="10">
        <f ca="1">IFERROR(__xludf.DUMMYFUNCTION("""COMPUTED_VALUE"""),44573.4237524421)</f>
        <v>44573.423752442097</v>
      </c>
      <c r="B778" s="11" t="str">
        <f ca="1">IFERROR(__xludf.DUMMYFUNCTION("""COMPUTED_VALUE"""),"Pam Marcum")</f>
        <v>Pam Marcum</v>
      </c>
      <c r="C778" t="str">
        <f ca="1">IFERROR(__xludf.DUMMYFUNCTION("""COMPUTED_VALUE"""),"Pamela.Marcum@FloridaDEP.gov")</f>
        <v>Pamela.Marcum@FloridaDEP.gov</v>
      </c>
      <c r="D778" t="str">
        <f ca="1">IFERROR(__xludf.DUMMYFUNCTION("""COMPUTED_VALUE"""),"Nikki Dix")</f>
        <v>Nikki Dix</v>
      </c>
      <c r="E778" t="str">
        <f ca="1">IFERROR(__xludf.DUMMYFUNCTION("""COMPUTED_VALUE"""),"Usina")</f>
        <v>Usina</v>
      </c>
      <c r="F778" s="13">
        <f ca="1">IFERROR(__xludf.DUMMYFUNCTION("""COMPUTED_VALUE"""),0.42708333333212)</f>
        <v>0.42708333333212001</v>
      </c>
      <c r="G778" s="14">
        <f ca="1">IFERROR(__xludf.DUMMYFUNCTION("""COMPUTED_VALUE"""),44573)</f>
        <v>44573</v>
      </c>
      <c r="H778" t="str">
        <f ca="1">IFERROR(__xludf.DUMMYFUNCTION("""COMPUTED_VALUE"""),"Guana River")</f>
        <v>Guana River</v>
      </c>
      <c r="I778" s="15">
        <f ca="1">IFERROR(__xludf.DUMMYFUNCTION("""COMPUTED_VALUE"""),0.52083333333212)</f>
        <v>0.52083333333212001</v>
      </c>
      <c r="J778" s="16">
        <f ca="1">IFERROR(__xludf.DUMMYFUNCTION("""COMPUTED_VALUE"""),44573.5416666666)</f>
        <v>44573.541666666599</v>
      </c>
      <c r="K778" t="str">
        <f ca="1">IFERROR(__xludf.DUMMYFUNCTION("""COMPUTED_VALUE"""),"F 20ft Sea Ark (Easy 200) FL8534PY DEP21451")</f>
        <v>F 20ft Sea Ark (Easy 200) FL8534PY DEP21451</v>
      </c>
      <c r="M778" t="str">
        <f ca="1">IFERROR(__xludf.DUMMYFUNCTION("""COMPUTED_VALUE"""),"Ford F250 2017 (Moby Dix) - DEP0021578")</f>
        <v>Ford F250 2017 (Moby Dix) - DEP0021578</v>
      </c>
      <c r="N778" t="str">
        <f ca="1">IFERROR(__xludf.DUMMYFUNCTION("""COMPUTED_VALUE"""),"Pam Marcum, (480) 332-5414, Alee Knoell, (619) 750-4833")</f>
        <v>Pam Marcum, (480) 332-5414, Alee Knoell, (619) 750-4833</v>
      </c>
      <c r="O778" t="str">
        <f ca="1">IFERROR(__xludf.DUMMYFUNCTION("""COMPUTED_VALUE"""),"Debbie Dix, Carol Williams, Valerie Granger")</f>
        <v>Debbie Dix, Carol Williams, Valerie Granger</v>
      </c>
      <c r="P778" t="str">
        <f ca="1">IFERROR(__xludf.DUMMYFUNCTION("""COMPUTED_VALUE"""),"Pam")</f>
        <v>Pam</v>
      </c>
      <c r="Q778" t="str">
        <f ca="1">IFERROR(__xludf.DUMMYFUNCTION("""COMPUTED_VALUE"""),"All items in working order")</f>
        <v>All items in working order</v>
      </c>
      <c r="AE778" s="11"/>
      <c r="AF778" t="str">
        <v>Nikki.Dix@floridadep.gov</v>
      </c>
      <c r="AG778" s="18"/>
    </row>
    <row r="779" spans="1:33" ht="12.75">
      <c r="A779" s="10">
        <f ca="1">IFERROR(__xludf.DUMMYFUNCTION("""COMPUTED_VALUE"""),44574.2831654398)</f>
        <v>44574.283165439803</v>
      </c>
      <c r="B779" s="11" t="str">
        <f ca="1">IFERROR(__xludf.DUMMYFUNCTION("""COMPUTED_VALUE"""),"Olivia Roorbach")</f>
        <v>Olivia Roorbach</v>
      </c>
      <c r="C779" t="str">
        <f ca="1">IFERROR(__xludf.DUMMYFUNCTION("""COMPUTED_VALUE"""),"olivia.roorbach@floridadep.gov")</f>
        <v>olivia.roorbach@floridadep.gov</v>
      </c>
      <c r="D779" t="str">
        <f ca="1">IFERROR(__xludf.DUMMYFUNCTION("""COMPUTED_VALUE"""),"Shannon Dunnigan")</f>
        <v>Shannon Dunnigan</v>
      </c>
      <c r="E779" t="str">
        <f ca="1">IFERROR(__xludf.DUMMYFUNCTION("""COMPUTED_VALUE"""),"Guana ")</f>
        <v xml:space="preserve">Guana </v>
      </c>
      <c r="F779" s="13">
        <f ca="1">IFERROR(__xludf.DUMMYFUNCTION("""COMPUTED_VALUE"""),0.291666666667879)</f>
        <v>0.29166666666787899</v>
      </c>
      <c r="G779" s="14">
        <f ca="1">IFERROR(__xludf.DUMMYFUNCTION("""COMPUTED_VALUE"""),44574)</f>
        <v>44574</v>
      </c>
      <c r="H779" t="str">
        <f ca="1">IFERROR(__xludf.DUMMYFUNCTION("""COMPUTED_VALUE"""),"Guana river and lake ")</f>
        <v xml:space="preserve">Guana river and lake </v>
      </c>
      <c r="I779" s="15">
        <f ca="1">IFERROR(__xludf.DUMMYFUNCTION("""COMPUTED_VALUE"""),0.58333333333212)</f>
        <v>0.58333333333212001</v>
      </c>
      <c r="J779" s="16">
        <f ca="1">IFERROR(__xludf.DUMMYFUNCTION("""COMPUTED_VALUE"""),44574.1041666666)</f>
        <v>44574.104166666599</v>
      </c>
      <c r="K779" t="str">
        <f ca="1">IFERROR(__xludf.DUMMYFUNCTION("""COMPUTED_VALUE"""),"Jon Boat 1 FL5992RR DEP154045, Airboat ")</f>
        <v xml:space="preserve">Jon Boat 1 FL5992RR DEP154045, Airboat </v>
      </c>
      <c r="M779" t="str">
        <f ca="1">IFERROR(__xludf.DUMMYFUNCTION("""COMPUTED_VALUE"""),"Ford F150 2015 (White) - DEP21448")</f>
        <v>Ford F150 2015 (White) - DEP21448</v>
      </c>
      <c r="N779" t="str">
        <f ca="1">IFERROR(__xludf.DUMMYFUNCTION("""COMPUTED_VALUE"""),"Olivia Roorbach, (404) 694-2653")</f>
        <v>Olivia Roorbach, (404) 694-2653</v>
      </c>
      <c r="O779" t="str">
        <f ca="1">IFERROR(__xludf.DUMMYFUNCTION("""COMPUTED_VALUE"""),"Justina dacey, Jenna reimer")</f>
        <v>Justina dacey, Jenna reimer</v>
      </c>
      <c r="P779" t="str">
        <f ca="1">IFERROR(__xludf.DUMMYFUNCTION("""COMPUTED_VALUE"""),"Olivia Roorbach")</f>
        <v>Olivia Roorbach</v>
      </c>
      <c r="Q779" t="str">
        <f ca="1">IFERROR(__xludf.DUMMYFUNCTION("""COMPUTED_VALUE"""),"All items in working order")</f>
        <v>All items in working order</v>
      </c>
      <c r="AE779" s="11"/>
      <c r="AF779" t="str">
        <v>Shannon.Dunnigan@floridadep.gov</v>
      </c>
      <c r="AG779" s="18"/>
    </row>
    <row r="780" spans="1:33" ht="12.75">
      <c r="A780" s="10">
        <f ca="1">IFERROR(__xludf.DUMMYFUNCTION("""COMPUTED_VALUE"""),44574.4615038773)</f>
        <v>44574.461503877297</v>
      </c>
      <c r="B780" s="11" t="str">
        <f ca="1">IFERROR(__xludf.DUMMYFUNCTION("""COMPUTED_VALUE"""),"Pam Marcum")</f>
        <v>Pam Marcum</v>
      </c>
      <c r="C780" t="str">
        <f ca="1">IFERROR(__xludf.DUMMYFUNCTION("""COMPUTED_VALUE"""),"Pamela.Marcum@FloridaDEP.gov")</f>
        <v>Pamela.Marcum@FloridaDEP.gov</v>
      </c>
      <c r="D780" t="str">
        <f ca="1">IFERROR(__xludf.DUMMYFUNCTION("""COMPUTED_VALUE"""),"Nikki Dix")</f>
        <v>Nikki Dix</v>
      </c>
      <c r="E780" t="str">
        <f ca="1">IFERROR(__xludf.DUMMYFUNCTION("""COMPUTED_VALUE"""),"Usina")</f>
        <v>Usina</v>
      </c>
      <c r="F780" s="13">
        <f ca="1">IFERROR(__xludf.DUMMYFUNCTION("""COMPUTED_VALUE"""),0.465277777777373)</f>
        <v>0.465277777777373</v>
      </c>
      <c r="G780" s="14">
        <f ca="1">IFERROR(__xludf.DUMMYFUNCTION("""COMPUTED_VALUE"""),44574)</f>
        <v>44574</v>
      </c>
      <c r="H780" t="str">
        <f ca="1">IFERROR(__xludf.DUMMYFUNCTION("""COMPUTED_VALUE"""),"Guana River")</f>
        <v>Guana River</v>
      </c>
      <c r="I780" s="15">
        <f ca="1">IFERROR(__xludf.DUMMYFUNCTION("""COMPUTED_VALUE"""),0.625)</f>
        <v>0.625</v>
      </c>
      <c r="J780" s="16">
        <f ca="1">IFERROR(__xludf.DUMMYFUNCTION("""COMPUTED_VALUE"""),44574.6458333333)</f>
        <v>44574.645833333299</v>
      </c>
      <c r="K780" t="str">
        <f ca="1">IFERROR(__xludf.DUMMYFUNCTION("""COMPUTED_VALUE"""),"F 20ft Sea Ark (Easy 200) FL8534PY DEP21451")</f>
        <v>F 20ft Sea Ark (Easy 200) FL8534PY DEP21451</v>
      </c>
      <c r="M780" t="str">
        <f ca="1">IFERROR(__xludf.DUMMYFUNCTION("""COMPUTED_VALUE"""),"Ford F250 2017 (Moby Dix) - DEP0021578")</f>
        <v>Ford F250 2017 (Moby Dix) - DEP0021578</v>
      </c>
      <c r="N780" t="str">
        <f ca="1">IFERROR(__xludf.DUMMYFUNCTION("""COMPUTED_VALUE"""),"Pam Marcum, (480) 332-5414, Alee Knoell, (619) 750-4833")</f>
        <v>Pam Marcum, (480) 332-5414, Alee Knoell, (619) 750-4833</v>
      </c>
      <c r="O780" t="str">
        <f ca="1">IFERROR(__xludf.DUMMYFUNCTION("""COMPUTED_VALUE"""),"Nathan Yonally, Spencer Baba, Patty Hutfles")</f>
        <v>Nathan Yonally, Spencer Baba, Patty Hutfles</v>
      </c>
      <c r="P780" t="str">
        <f ca="1">IFERROR(__xludf.DUMMYFUNCTION("""COMPUTED_VALUE"""),"Pam")</f>
        <v>Pam</v>
      </c>
      <c r="Q780" t="str">
        <f ca="1">IFERROR(__xludf.DUMMYFUNCTION("""COMPUTED_VALUE"""),"All items in working order")</f>
        <v>All items in working order</v>
      </c>
      <c r="AE780" s="11"/>
      <c r="AF780" t="str">
        <v>Nikki.Dix@floridadep.gov</v>
      </c>
      <c r="AG780" s="18"/>
    </row>
    <row r="781" spans="1:33" ht="12.75">
      <c r="A781" s="10">
        <f ca="1">IFERROR(__xludf.DUMMYFUNCTION("""COMPUTED_VALUE"""),44578.5401918518)</f>
        <v>44578.540191851796</v>
      </c>
      <c r="B781" s="11" t="str">
        <f ca="1">IFERROR(__xludf.DUMMYFUNCTION("""COMPUTED_VALUE"""),"Courtney Schultz")</f>
        <v>Courtney Schultz</v>
      </c>
      <c r="C781" t="str">
        <f ca="1">IFERROR(__xludf.DUMMYFUNCTION("""COMPUTED_VALUE"""),"courtney.l.schultz@FloridaDEP.gov")</f>
        <v>courtney.l.schultz@FloridaDEP.gov</v>
      </c>
      <c r="D781" t="str">
        <f ca="1">IFERROR(__xludf.DUMMYFUNCTION("""COMPUTED_VALUE"""),"Candace Killian")</f>
        <v>Candace Killian</v>
      </c>
      <c r="E781" t="str">
        <f ca="1">IFERROR(__xludf.DUMMYFUNCTION("""COMPUTED_VALUE"""),"Whitney Lab ")</f>
        <v xml:space="preserve">Whitney Lab </v>
      </c>
      <c r="F781" s="13">
        <f ca="1">IFERROR(__xludf.DUMMYFUNCTION("""COMPUTED_VALUE"""),0.666666666667879)</f>
        <v>0.66666666666787899</v>
      </c>
      <c r="G781" s="14">
        <f ca="1">IFERROR(__xludf.DUMMYFUNCTION("""COMPUTED_VALUE"""),44580)</f>
        <v>44580</v>
      </c>
      <c r="H781" t="str">
        <f ca="1">IFERROR(__xludf.DUMMYFUNCTION("""COMPUTED_VALUE"""),"Around nearby oyster beds to collect crown conch.")</f>
        <v>Around nearby oyster beds to collect crown conch.</v>
      </c>
      <c r="I781" s="15">
        <f ca="1">IFERROR(__xludf.DUMMYFUNCTION("""COMPUTED_VALUE"""),0.75)</f>
        <v>0.75</v>
      </c>
      <c r="J781" s="16">
        <f ca="1">IFERROR(__xludf.DUMMYFUNCTION("""COMPUTED_VALUE"""),44580.7916666666)</f>
        <v>44580.791666666599</v>
      </c>
      <c r="K781" t="str">
        <f ca="1">IFERROR(__xludf.DUMMYFUNCTION("""COMPUTED_VALUE"""),"Kayak(s)")</f>
        <v>Kayak(s)</v>
      </c>
      <c r="L781">
        <f ca="1">IFERROR(__xludf.DUMMYFUNCTION("""COMPUTED_VALUE"""),1)</f>
        <v>1</v>
      </c>
      <c r="M781" t="str">
        <f ca="1">IFERROR(__xludf.DUMMYFUNCTION("""COMPUTED_VALUE"""),"N/A")</f>
        <v>N/A</v>
      </c>
      <c r="N781" t="str">
        <f ca="1">IFERROR(__xludf.DUMMYFUNCTION("""COMPUTED_VALUE"""),"Courtney Schultz")</f>
        <v>Courtney Schultz</v>
      </c>
      <c r="P781" t="str">
        <f ca="1">IFERROR(__xludf.DUMMYFUNCTION("""COMPUTED_VALUE"""),"Courtney Schultz")</f>
        <v>Courtney Schultz</v>
      </c>
      <c r="Q781" t="str">
        <f ca="1">IFERROR(__xludf.DUMMYFUNCTION("""COMPUTED_VALUE"""),"All items in working order")</f>
        <v>All items in working order</v>
      </c>
      <c r="AD781" t="str">
        <f ca="1">IFERROR(__xludf.DUMMYFUNCTION("""COMPUTED_VALUE"""),"Sunny ")</f>
        <v xml:space="preserve">Sunny </v>
      </c>
      <c r="AE781" s="11" t="str">
        <f ca="1">IFERROR(__xludf.DUMMYFUNCTION("""COMPUTED_VALUE"""),"Low tide ")</f>
        <v xml:space="preserve">Low tide </v>
      </c>
      <c r="AF781" t="str">
        <v/>
      </c>
      <c r="AG781" s="18"/>
    </row>
    <row r="782" spans="1:33" ht="12.75">
      <c r="A782" s="10">
        <f ca="1">IFERROR(__xludf.DUMMYFUNCTION("""COMPUTED_VALUE"""),44579.398958912)</f>
        <v>44579.398958912003</v>
      </c>
      <c r="B782" s="11" t="str">
        <f ca="1">IFERROR(__xludf.DUMMYFUNCTION("""COMPUTED_VALUE"""),"Courtney Schultz")</f>
        <v>Courtney Schultz</v>
      </c>
      <c r="C782" t="str">
        <f ca="1">IFERROR(__xludf.DUMMYFUNCTION("""COMPUTED_VALUE"""),"Courtney.L.Schultz@floridadep.gov")</f>
        <v>Courtney.L.Schultz@floridadep.gov</v>
      </c>
      <c r="D782" t="str">
        <f ca="1">IFERROR(__xludf.DUMMYFUNCTION("""COMPUTED_VALUE"""),"Candace Killian")</f>
        <v>Candace Killian</v>
      </c>
      <c r="E782" t="str">
        <f ca="1">IFERROR(__xludf.DUMMYFUNCTION("""COMPUTED_VALUE"""),"Whitney Lab")</f>
        <v>Whitney Lab</v>
      </c>
      <c r="F782" s="13">
        <f ca="1">IFERROR(__xludf.DUMMYFUNCTION("""COMPUTED_VALUE"""),0.625)</f>
        <v>0.625</v>
      </c>
      <c r="G782" s="14">
        <f ca="1">IFERROR(__xludf.DUMMYFUNCTION("""COMPUTED_VALUE"""),44580)</f>
        <v>44580</v>
      </c>
      <c r="H782" t="str">
        <f ca="1">IFERROR(__xludf.DUMMYFUNCTION("""COMPUTED_VALUE"""),"Nearby oyster reefs to collect crown conch.")</f>
        <v>Nearby oyster reefs to collect crown conch.</v>
      </c>
      <c r="I782" s="15">
        <f ca="1">IFERROR(__xludf.DUMMYFUNCTION("""COMPUTED_VALUE"""),0.75)</f>
        <v>0.75</v>
      </c>
      <c r="J782" s="16">
        <f ca="1">IFERROR(__xludf.DUMMYFUNCTION("""COMPUTED_VALUE"""),44580.7916666666)</f>
        <v>44580.791666666599</v>
      </c>
      <c r="K782" t="str">
        <f ca="1">IFERROR(__xludf.DUMMYFUNCTION("""COMPUTED_VALUE"""),"Kayak(s)")</f>
        <v>Kayak(s)</v>
      </c>
      <c r="L782">
        <f ca="1">IFERROR(__xludf.DUMMYFUNCTION("""COMPUTED_VALUE"""),2)</f>
        <v>2</v>
      </c>
      <c r="M782" t="str">
        <f ca="1">IFERROR(__xludf.DUMMYFUNCTION("""COMPUTED_VALUE"""),"N/A Ecotours loaning kayaks")</f>
        <v>N/A Ecotours loaning kayaks</v>
      </c>
      <c r="N782" t="str">
        <f ca="1">IFERROR(__xludf.DUMMYFUNCTION("""COMPUTED_VALUE"""),"Courtney Schultz")</f>
        <v>Courtney Schultz</v>
      </c>
      <c r="O782" t="str">
        <f ca="1">IFERROR(__xludf.DUMMYFUNCTION("""COMPUTED_VALUE"""),"Brad and Ester M")</f>
        <v>Brad and Ester M</v>
      </c>
      <c r="P782" t="str">
        <f ca="1">IFERROR(__xludf.DUMMYFUNCTION("""COMPUTED_VALUE"""),"Courtney Schultz ")</f>
        <v xml:space="preserve">Courtney Schultz </v>
      </c>
      <c r="Q782" t="str">
        <f ca="1">IFERROR(__xludf.DUMMYFUNCTION("""COMPUTED_VALUE"""),"All items in working order")</f>
        <v>All items in working order</v>
      </c>
      <c r="AD782" t="str">
        <f ca="1">IFERROR(__xludf.DUMMYFUNCTION("""COMPUTED_VALUE"""),"Sunny")</f>
        <v>Sunny</v>
      </c>
      <c r="AE782" s="11" t="str">
        <f ca="1">IFERROR(__xludf.DUMMYFUNCTION("""COMPUTED_VALUE"""),"Low tide ")</f>
        <v xml:space="preserve">Low tide </v>
      </c>
      <c r="AF782" t="str">
        <v/>
      </c>
      <c r="AG782" s="18"/>
    </row>
    <row r="783" spans="1:33" ht="12.75">
      <c r="A783" s="10">
        <f ca="1">IFERROR(__xludf.DUMMYFUNCTION("""COMPUTED_VALUE"""),44579.4866032523)</f>
        <v>44579.486603252299</v>
      </c>
      <c r="B783" s="11" t="str">
        <f ca="1">IFERROR(__xludf.DUMMYFUNCTION("""COMPUTED_VALUE"""),"Alee Knoell")</f>
        <v>Alee Knoell</v>
      </c>
      <c r="C783" t="str">
        <f ca="1">IFERROR(__xludf.DUMMYFUNCTION("""COMPUTED_VALUE"""),"alee.knoell@hotmail.com")</f>
        <v>alee.knoell@hotmail.com</v>
      </c>
      <c r="D783" t="str">
        <f ca="1">IFERROR(__xludf.DUMMYFUNCTION("""COMPUTED_VALUE"""),"Nikki Dix")</f>
        <v>Nikki Dix</v>
      </c>
      <c r="E783" t="str">
        <f ca="1">IFERROR(__xludf.DUMMYFUNCTION("""COMPUTED_VALUE"""),"Aunt Kate’s ")</f>
        <v xml:space="preserve">Aunt Kate’s </v>
      </c>
      <c r="F783" s="13">
        <f ca="1">IFERROR(__xludf.DUMMYFUNCTION("""COMPUTED_VALUE"""),0.479166666667879)</f>
        <v>0.47916666666787899</v>
      </c>
      <c r="G783" s="14">
        <f ca="1">IFERROR(__xludf.DUMMYFUNCTION("""COMPUTED_VALUE"""),44579)</f>
        <v>44579</v>
      </c>
      <c r="H783" t="str">
        <f ca="1">IFERROR(__xludf.DUMMYFUNCTION("""COMPUTED_VALUE"""),"TR Reefs")</f>
        <v>TR Reefs</v>
      </c>
      <c r="I783" s="15">
        <f ca="1">IFERROR(__xludf.DUMMYFUNCTION("""COMPUTED_VALUE"""),0.666666666667879)</f>
        <v>0.66666666666787899</v>
      </c>
      <c r="J783" s="16">
        <f ca="1">IFERROR(__xludf.DUMMYFUNCTION("""COMPUTED_VALUE"""),44579.6875)</f>
        <v>44579.6875</v>
      </c>
      <c r="K783" t="str">
        <f ca="1">IFERROR(__xludf.DUMMYFUNCTION("""COMPUTED_VALUE"""),"23ft Skiff (Bertha) FL7972LJ DEP07613")</f>
        <v>23ft Skiff (Bertha) FL7972LJ DEP07613</v>
      </c>
      <c r="M783" t="str">
        <f ca="1">IFERROR(__xludf.DUMMYFUNCTION("""COMPUTED_VALUE"""),"Ford F250 2017 (Moby Dix) - DEP0021578")</f>
        <v>Ford F250 2017 (Moby Dix) - DEP0021578</v>
      </c>
      <c r="N783" t="str">
        <f ca="1">IFERROR(__xludf.DUMMYFUNCTION("""COMPUTED_VALUE"""),"Pam Marcum, (480) 332-5414, Alee Knoell, (619) 750-4833")</f>
        <v>Pam Marcum, (480) 332-5414, Alee Knoell, (619) 750-4833</v>
      </c>
      <c r="O783" t="str">
        <f ca="1">IFERROR(__xludf.DUMMYFUNCTION("""COMPUTED_VALUE"""),"Walt, Russ, Randy")</f>
        <v>Walt, Russ, Randy</v>
      </c>
      <c r="P783" t="str">
        <f ca="1">IFERROR(__xludf.DUMMYFUNCTION("""COMPUTED_VALUE"""),"Alee Knoell")</f>
        <v>Alee Knoell</v>
      </c>
      <c r="Q783" t="str">
        <f ca="1">IFERROR(__xludf.DUMMYFUNCTION("""COMPUTED_VALUE"""),"All items in working order")</f>
        <v>All items in working order</v>
      </c>
      <c r="AE783" s="11"/>
      <c r="AF783" t="str">
        <v>Nikki.Dix@floridadep.gov</v>
      </c>
      <c r="AG783" s="18"/>
    </row>
    <row r="784" spans="1:33" ht="12.75">
      <c r="A784" s="10">
        <f ca="1">IFERROR(__xludf.DUMMYFUNCTION("""COMPUTED_VALUE"""),44580.5452787615)</f>
        <v>44580.5452787615</v>
      </c>
      <c r="B784" s="11" t="str">
        <f ca="1">IFERROR(__xludf.DUMMYFUNCTION("""COMPUTED_VALUE"""),"Alexandria Knoell")</f>
        <v>Alexandria Knoell</v>
      </c>
      <c r="C784" t="str">
        <f ca="1">IFERROR(__xludf.DUMMYFUNCTION("""COMPUTED_VALUE"""),"alee.knoell@floridadep.gov")</f>
        <v>alee.knoell@floridadep.gov</v>
      </c>
      <c r="D784" t="str">
        <f ca="1">IFERROR(__xludf.DUMMYFUNCTION("""COMPUTED_VALUE"""),"Shannon Dunnigan")</f>
        <v>Shannon Dunnigan</v>
      </c>
      <c r="E784" t="str">
        <f ca="1">IFERROR(__xludf.DUMMYFUNCTION("""COMPUTED_VALUE"""),"Vilano")</f>
        <v>Vilano</v>
      </c>
      <c r="F784" s="13">
        <f ca="1">IFERROR(__xludf.DUMMYFUNCTION("""COMPUTED_VALUE"""),0.541666666667879)</f>
        <v>0.54166666666787899</v>
      </c>
      <c r="G784" s="14">
        <f ca="1">IFERROR(__xludf.DUMMYFUNCTION("""COMPUTED_VALUE"""),44580)</f>
        <v>44580</v>
      </c>
      <c r="H784" t="str">
        <f ca="1">IFERROR(__xludf.DUMMYFUNCTION("""COMPUTED_VALUE"""),"TR Reefs")</f>
        <v>TR Reefs</v>
      </c>
      <c r="I784" s="15">
        <f ca="1">IFERROR(__xludf.DUMMYFUNCTION("""COMPUTED_VALUE"""),0.625)</f>
        <v>0.625</v>
      </c>
      <c r="J784" s="16">
        <f ca="1">IFERROR(__xludf.DUMMYFUNCTION("""COMPUTED_VALUE"""),44580.6458333333)</f>
        <v>44580.645833333299</v>
      </c>
      <c r="K784" t="str">
        <f ca="1">IFERROR(__xludf.DUMMYFUNCTION("""COMPUTED_VALUE"""),"23ft Skiff (Bertha) FL7972LJ DEP07613")</f>
        <v>23ft Skiff (Bertha) FL7972LJ DEP07613</v>
      </c>
      <c r="M784" t="str">
        <f ca="1">IFERROR(__xludf.DUMMYFUNCTION("""COMPUTED_VALUE"""),"Ford F250 2017 (Moby Dix) - DEP0021578")</f>
        <v>Ford F250 2017 (Moby Dix) - DEP0021578</v>
      </c>
      <c r="N784" t="str">
        <f ca="1">IFERROR(__xludf.DUMMYFUNCTION("""COMPUTED_VALUE"""),"Nikki Dix, (352) 219-4079, Pam Marcum, (480) 332-5414, Alee Knoell, (619) 750-4833")</f>
        <v>Nikki Dix, (352) 219-4079, Pam Marcum, (480) 332-5414, Alee Knoell, (619) 750-4833</v>
      </c>
      <c r="O784" t="str">
        <f ca="1">IFERROR(__xludf.DUMMYFUNCTION("""COMPUTED_VALUE"""),"Jeff, vallery")</f>
        <v>Jeff, vallery</v>
      </c>
      <c r="P784" t="str">
        <f ca="1">IFERROR(__xludf.DUMMYFUNCTION("""COMPUTED_VALUE"""),"Alee knoell")</f>
        <v>Alee knoell</v>
      </c>
      <c r="Q784" t="str">
        <f ca="1">IFERROR(__xludf.DUMMYFUNCTION("""COMPUTED_VALUE"""),"All items in working order")</f>
        <v>All items in working order</v>
      </c>
      <c r="AE784" s="11"/>
      <c r="AF784" t="str">
        <v>Shannon.Dunnigan@floridadep.gov</v>
      </c>
      <c r="AG784" s="18"/>
    </row>
    <row r="785" spans="1:33" ht="12.75">
      <c r="A785" s="10">
        <f ca="1">IFERROR(__xludf.DUMMYFUNCTION("""COMPUTED_VALUE"""),44581.5649441666)</f>
        <v>44581.564944166603</v>
      </c>
      <c r="B785" s="11" t="str">
        <f ca="1">IFERROR(__xludf.DUMMYFUNCTION("""COMPUTED_VALUE"""),"Pam Marcum ")</f>
        <v xml:space="preserve">Pam Marcum </v>
      </c>
      <c r="C785" t="str">
        <f ca="1">IFERROR(__xludf.DUMMYFUNCTION("""COMPUTED_VALUE"""),"Pamela.Marcum@FloridaDEP.gov")</f>
        <v>Pamela.Marcum@FloridaDEP.gov</v>
      </c>
      <c r="D785" t="str">
        <f ca="1">IFERROR(__xludf.DUMMYFUNCTION("""COMPUTED_VALUE"""),"Nikki Dix")</f>
        <v>Nikki Dix</v>
      </c>
      <c r="E785" t="str">
        <f ca="1">IFERROR(__xludf.DUMMYFUNCTION("""COMPUTED_VALUE"""),"Aunt Kate's ")</f>
        <v xml:space="preserve">Aunt Kate's </v>
      </c>
      <c r="F785" s="13">
        <f ca="1">IFERROR(__xludf.DUMMYFUNCTION("""COMPUTED_VALUE"""),0.5625)</f>
        <v>0.5625</v>
      </c>
      <c r="G785" s="14">
        <f ca="1">IFERROR(__xludf.DUMMYFUNCTION("""COMPUTED_VALUE"""),44581)</f>
        <v>44581</v>
      </c>
      <c r="H785" t="str">
        <f ca="1">IFERROR(__xludf.DUMMYFUNCTION("""COMPUTED_VALUE"""),"Guana River")</f>
        <v>Guana River</v>
      </c>
      <c r="I785" s="15">
        <f ca="1">IFERROR(__xludf.DUMMYFUNCTION("""COMPUTED_VALUE"""),0.75)</f>
        <v>0.75</v>
      </c>
      <c r="J785" s="16">
        <f ca="1">IFERROR(__xludf.DUMMYFUNCTION("""COMPUTED_VALUE"""),44581.7708333333)</f>
        <v>44581.770833333299</v>
      </c>
      <c r="K785" t="str">
        <f ca="1">IFERROR(__xludf.DUMMYFUNCTION("""COMPUTED_VALUE"""),"23ft Skiff (Bertha) FL7972LJ DEP07613")</f>
        <v>23ft Skiff (Bertha) FL7972LJ DEP07613</v>
      </c>
      <c r="M785" t="str">
        <f ca="1">IFERROR(__xludf.DUMMYFUNCTION("""COMPUTED_VALUE"""),"Ford F150 2015 (White) - DEP21448")</f>
        <v>Ford F150 2015 (White) - DEP21448</v>
      </c>
      <c r="N785" t="str">
        <f ca="1">IFERROR(__xludf.DUMMYFUNCTION("""COMPUTED_VALUE"""),"Pam Marcum, (480) 332-5414")</f>
        <v>Pam Marcum, (480) 332-5414</v>
      </c>
      <c r="O785" t="str">
        <f ca="1">IFERROR(__xludf.DUMMYFUNCTION("""COMPUTED_VALUE"""),"Hallie Fischman, Kristie Perez")</f>
        <v>Hallie Fischman, Kristie Perez</v>
      </c>
      <c r="P785" t="str">
        <f ca="1">IFERROR(__xludf.DUMMYFUNCTION("""COMPUTED_VALUE"""),"Pam")</f>
        <v>Pam</v>
      </c>
      <c r="Q785" t="str">
        <f ca="1">IFERROR(__xludf.DUMMYFUNCTION("""COMPUTED_VALUE"""),"All items in working order")</f>
        <v>All items in working order</v>
      </c>
      <c r="AE785" s="11"/>
      <c r="AF785" t="str">
        <v>Nikki.Dix@floridadep.gov</v>
      </c>
      <c r="AG785" s="18"/>
    </row>
    <row r="786" spans="1:33" ht="12.75">
      <c r="A786" s="10">
        <f ca="1">IFERROR(__xludf.DUMMYFUNCTION("""COMPUTED_VALUE"""),44586.372146331)</f>
        <v>44586.372146330999</v>
      </c>
      <c r="B786" s="11" t="str">
        <f ca="1">IFERROR(__xludf.DUMMYFUNCTION("""COMPUTED_VALUE"""),"Pamela Marcum ")</f>
        <v xml:space="preserve">Pamela Marcum </v>
      </c>
      <c r="C786" t="str">
        <f ca="1">IFERROR(__xludf.DUMMYFUNCTION("""COMPUTED_VALUE"""),"Pamela.Marcum@FloridaDEP.gov")</f>
        <v>Pamela.Marcum@FloridaDEP.gov</v>
      </c>
      <c r="D786" t="str">
        <f ca="1">IFERROR(__xludf.DUMMYFUNCTION("""COMPUTED_VALUE"""),"Nikki Dix")</f>
        <v>Nikki Dix</v>
      </c>
      <c r="E786" t="str">
        <f ca="1">IFERROR(__xludf.DUMMYFUNCTION("""COMPUTED_VALUE"""),"Palm Valley")</f>
        <v>Palm Valley</v>
      </c>
      <c r="F786" s="13">
        <f ca="1">IFERROR(__xludf.DUMMYFUNCTION("""COMPUTED_VALUE"""),0.375)</f>
        <v>0.375</v>
      </c>
      <c r="G786" s="14">
        <f ca="1">IFERROR(__xludf.DUMMYFUNCTION("""COMPUTED_VALUE"""),44586)</f>
        <v>44586</v>
      </c>
      <c r="H786" t="str">
        <f ca="1">IFERROR(__xludf.DUMMYFUNCTION("""COMPUTED_VALUE"""),"North Tolomator River")</f>
        <v>North Tolomator River</v>
      </c>
      <c r="I786" s="15">
        <f ca="1">IFERROR(__xludf.DUMMYFUNCTION("""COMPUTED_VALUE"""),0.5)</f>
        <v>0.5</v>
      </c>
      <c r="J786" s="16">
        <f ca="1">IFERROR(__xludf.DUMMYFUNCTION("""COMPUTED_VALUE"""),44586.5208333333)</f>
        <v>44586.520833333299</v>
      </c>
      <c r="K786" t="str">
        <f ca="1">IFERROR(__xludf.DUMMYFUNCTION("""COMPUTED_VALUE"""),"23ft Skiff (Bertha) FL7972LJ DEP07613")</f>
        <v>23ft Skiff (Bertha) FL7972LJ DEP07613</v>
      </c>
      <c r="M786" t="str">
        <f ca="1">IFERROR(__xludf.DUMMYFUNCTION("""COMPUTED_VALUE"""),"Ford F150 2015 (White) - DEP21448")</f>
        <v>Ford F150 2015 (White) - DEP21448</v>
      </c>
      <c r="N786" t="str">
        <f ca="1">IFERROR(__xludf.DUMMYFUNCTION("""COMPUTED_VALUE"""),"Pam Marcum, (480) 332-5414, Alee Knoell, (619) 750-4833")</f>
        <v>Pam Marcum, (480) 332-5414, Alee Knoell, (619) 750-4833</v>
      </c>
      <c r="O786" t="str">
        <f ca="1">IFERROR(__xludf.DUMMYFUNCTION("""COMPUTED_VALUE"""),"Debbie Dix, Russ Sumter, Walt Newsom")</f>
        <v>Debbie Dix, Russ Sumter, Walt Newsom</v>
      </c>
      <c r="P786" t="str">
        <f ca="1">IFERROR(__xludf.DUMMYFUNCTION("""COMPUTED_VALUE"""),"Pam")</f>
        <v>Pam</v>
      </c>
      <c r="Q786" t="str">
        <f ca="1">IFERROR(__xludf.DUMMYFUNCTION("""COMPUTED_VALUE"""),"All items in working order")</f>
        <v>All items in working order</v>
      </c>
      <c r="AE786" s="11"/>
      <c r="AF786" t="str">
        <v>Nikki.Dix@floridadep.gov</v>
      </c>
      <c r="AG786" s="18"/>
    </row>
    <row r="787" spans="1:33" ht="12.75">
      <c r="A787" s="10">
        <f ca="1">IFERROR(__xludf.DUMMYFUNCTION("""COMPUTED_VALUE"""),44587.3831817013)</f>
        <v>44587.383181701298</v>
      </c>
      <c r="B787" s="11" t="str">
        <f ca="1">IFERROR(__xludf.DUMMYFUNCTION("""COMPUTED_VALUE"""),"Pamela Marcum ")</f>
        <v xml:space="preserve">Pamela Marcum </v>
      </c>
      <c r="C787" t="str">
        <f ca="1">IFERROR(__xludf.DUMMYFUNCTION("""COMPUTED_VALUE"""),"Pamela.Marcum@FloridaDEP.gov")</f>
        <v>Pamela.Marcum@FloridaDEP.gov</v>
      </c>
      <c r="D787" t="str">
        <f ca="1">IFERROR(__xludf.DUMMYFUNCTION("""COMPUTED_VALUE"""),"Nikki Dix")</f>
        <v>Nikki Dix</v>
      </c>
      <c r="E787" t="str">
        <f ca="1">IFERROR(__xludf.DUMMYFUNCTION("""COMPUTED_VALUE"""),"Palm Valley")</f>
        <v>Palm Valley</v>
      </c>
      <c r="F787" s="13">
        <f ca="1">IFERROR(__xludf.DUMMYFUNCTION("""COMPUTED_VALUE"""),0.381944444445252)</f>
        <v>0.381944444445252</v>
      </c>
      <c r="G787" s="14">
        <f ca="1">IFERROR(__xludf.DUMMYFUNCTION("""COMPUTED_VALUE"""),44587)</f>
        <v>44587</v>
      </c>
      <c r="H787" t="str">
        <f ca="1">IFERROR(__xludf.DUMMYFUNCTION("""COMPUTED_VALUE"""),"Tolomato  river")</f>
        <v>Tolomato  river</v>
      </c>
      <c r="I787" s="15">
        <f ca="1">IFERROR(__xludf.DUMMYFUNCTION("""COMPUTED_VALUE"""),0.5)</f>
        <v>0.5</v>
      </c>
      <c r="J787" s="16">
        <f ca="1">IFERROR(__xludf.DUMMYFUNCTION("""COMPUTED_VALUE"""),44587.5208333333)</f>
        <v>44587.520833333299</v>
      </c>
      <c r="K787" t="str">
        <f ca="1">IFERROR(__xludf.DUMMYFUNCTION("""COMPUTED_VALUE"""),"23ft Skiff (Bertha) FL7972LJ DEP07613")</f>
        <v>23ft Skiff (Bertha) FL7972LJ DEP07613</v>
      </c>
      <c r="M787" t="str">
        <f ca="1">IFERROR(__xludf.DUMMYFUNCTION("""COMPUTED_VALUE"""),"Ford F150 2015 (White) - DEP21448")</f>
        <v>Ford F150 2015 (White) - DEP21448</v>
      </c>
      <c r="N787" t="str">
        <f ca="1">IFERROR(__xludf.DUMMYFUNCTION("""COMPUTED_VALUE"""),"Pam Marcum, (480) 332-5414, Alee Knoell, (619) 750-4833")</f>
        <v>Pam Marcum, (480) 332-5414, Alee Knoell, (619) 750-4833</v>
      </c>
      <c r="O787" t="str">
        <f ca="1">IFERROR(__xludf.DUMMYFUNCTION("""COMPUTED_VALUE"""),"Spencer Baba, Paul Yonally, Mike Darragh")</f>
        <v>Spencer Baba, Paul Yonally, Mike Darragh</v>
      </c>
      <c r="P787" t="str">
        <f ca="1">IFERROR(__xludf.DUMMYFUNCTION("""COMPUTED_VALUE"""),"Pam")</f>
        <v>Pam</v>
      </c>
      <c r="Q787" t="str">
        <f ca="1">IFERROR(__xludf.DUMMYFUNCTION("""COMPUTED_VALUE"""),"All items in working order")</f>
        <v>All items in working order</v>
      </c>
      <c r="AE787" s="11"/>
      <c r="AF787" t="str">
        <v>Nikki.Dix@floridadep.gov</v>
      </c>
      <c r="AG787" s="18"/>
    </row>
    <row r="788" spans="1:33" ht="12.75">
      <c r="A788" s="10">
        <f ca="1">IFERROR(__xludf.DUMMYFUNCTION("""COMPUTED_VALUE"""),44588.4154305092)</f>
        <v>44588.415430509202</v>
      </c>
      <c r="B788" s="11" t="str">
        <f ca="1">IFERROR(__xludf.DUMMYFUNCTION("""COMPUTED_VALUE"""),"Pamela Marcum ")</f>
        <v xml:space="preserve">Pamela Marcum </v>
      </c>
      <c r="C788" t="str">
        <f ca="1">IFERROR(__xludf.DUMMYFUNCTION("""COMPUTED_VALUE"""),"Pamela.Marcum@FloridaDEP.gov")</f>
        <v>Pamela.Marcum@FloridaDEP.gov</v>
      </c>
      <c r="D788" t="str">
        <f ca="1">IFERROR(__xludf.DUMMYFUNCTION("""COMPUTED_VALUE"""),"Nikki Dix")</f>
        <v>Nikki Dix</v>
      </c>
      <c r="E788" t="str">
        <f ca="1">IFERROR(__xludf.DUMMYFUNCTION("""COMPUTED_VALUE"""),"Aunt Kates")</f>
        <v>Aunt Kates</v>
      </c>
      <c r="F788" s="13">
        <f ca="1">IFERROR(__xludf.DUMMYFUNCTION("""COMPUTED_VALUE"""),0.416666666667879)</f>
        <v>0.41666666666787899</v>
      </c>
      <c r="G788" s="14">
        <f ca="1">IFERROR(__xludf.DUMMYFUNCTION("""COMPUTED_VALUE"""),44588)</f>
        <v>44588</v>
      </c>
      <c r="H788" t="str">
        <f ca="1">IFERROR(__xludf.DUMMYFUNCTION("""COMPUTED_VALUE"""),"Guana River ")</f>
        <v xml:space="preserve">Guana River </v>
      </c>
      <c r="I788" s="15">
        <f ca="1">IFERROR(__xludf.DUMMYFUNCTION("""COMPUTED_VALUE"""),0.52083333333212)</f>
        <v>0.52083333333212001</v>
      </c>
      <c r="J788" s="16">
        <f ca="1">IFERROR(__xludf.DUMMYFUNCTION("""COMPUTED_VALUE"""),44588.5416666666)</f>
        <v>44588.541666666599</v>
      </c>
      <c r="K788" t="str">
        <f ca="1">IFERROR(__xludf.DUMMYFUNCTION("""COMPUTED_VALUE"""),"23ft Skiff (Bertha) FL7972LJ DEP07613")</f>
        <v>23ft Skiff (Bertha) FL7972LJ DEP07613</v>
      </c>
      <c r="M788" t="str">
        <f ca="1">IFERROR(__xludf.DUMMYFUNCTION("""COMPUTED_VALUE"""),"Ford F150 2015 (White) - DEP21448")</f>
        <v>Ford F150 2015 (White) - DEP21448</v>
      </c>
      <c r="N788" t="str">
        <f ca="1">IFERROR(__xludf.DUMMYFUNCTION("""COMPUTED_VALUE"""),"Pam Marcum, (480) 332-5414, Alee Knoell, (619) 750-4833")</f>
        <v>Pam Marcum, (480) 332-5414, Alee Knoell, (619) 750-4833</v>
      </c>
      <c r="O788" t="str">
        <f ca="1">IFERROR(__xludf.DUMMYFUNCTION("""COMPUTED_VALUE"""),"Jeff Finnan, Mike Darragh, Steve Davies")</f>
        <v>Jeff Finnan, Mike Darragh, Steve Davies</v>
      </c>
      <c r="P788" t="str">
        <f ca="1">IFERROR(__xludf.DUMMYFUNCTION("""COMPUTED_VALUE"""),"Pam")</f>
        <v>Pam</v>
      </c>
      <c r="Q788" t="str">
        <f ca="1">IFERROR(__xludf.DUMMYFUNCTION("""COMPUTED_VALUE"""),"All items in working order")</f>
        <v>All items in working order</v>
      </c>
      <c r="AE788" s="11"/>
      <c r="AF788" t="str">
        <v>Nikki.Dix@floridadep.gov</v>
      </c>
      <c r="AG788" s="18"/>
    </row>
    <row r="789" spans="1:33" ht="12.75">
      <c r="A789" s="10">
        <f ca="1">IFERROR(__xludf.DUMMYFUNCTION("""COMPUTED_VALUE"""),44589.3782150115)</f>
        <v>44589.3782150115</v>
      </c>
      <c r="B789" s="11" t="str">
        <f ca="1">IFERROR(__xludf.DUMMYFUNCTION("""COMPUTED_VALUE"""),"Jimmy Tomazinis")</f>
        <v>Jimmy Tomazinis</v>
      </c>
      <c r="C789" t="str">
        <f ca="1">IFERROR(__xludf.DUMMYFUNCTION("""COMPUTED_VALUE"""),"james.tomazinis@floridadep.gov")</f>
        <v>james.tomazinis@floridadep.gov</v>
      </c>
      <c r="D789" t="str">
        <f ca="1">IFERROR(__xludf.DUMMYFUNCTION("""COMPUTED_VALUE"""),"Jimmy Tomazinis")</f>
        <v>Jimmy Tomazinis</v>
      </c>
      <c r="E789" t="str">
        <f ca="1">IFERROR(__xludf.DUMMYFUNCTION("""COMPUTED_VALUE"""),"Mayport")</f>
        <v>Mayport</v>
      </c>
      <c r="F789" s="13">
        <f ca="1">IFERROR(__xludf.DUMMYFUNCTION("""COMPUTED_VALUE"""),0.447916666667879)</f>
        <v>0.44791666666787899</v>
      </c>
      <c r="G789" s="14">
        <f ca="1">IFERROR(__xludf.DUMMYFUNCTION("""COMPUTED_VALUE"""),44589)</f>
        <v>44589</v>
      </c>
      <c r="H789" t="str">
        <f ca="1">IFERROR(__xludf.DUMMYFUNCTION("""COMPUTED_VALUE"""),"Shad Creek system")</f>
        <v>Shad Creek system</v>
      </c>
      <c r="I789" s="15">
        <f ca="1">IFERROR(__xludf.DUMMYFUNCTION("""COMPUTED_VALUE"""),0.625)</f>
        <v>0.625</v>
      </c>
      <c r="J789" s="16"/>
      <c r="K789" t="str">
        <f ca="1">IFERROR(__xludf.DUMMYFUNCTION("""COMPUTED_VALUE"""),"Jon Boat 1 FL5992RR DEP154045")</f>
        <v>Jon Boat 1 FL5992RR DEP154045</v>
      </c>
      <c r="M789" t="str">
        <f ca="1">IFERROR(__xludf.DUMMYFUNCTION("""COMPUTED_VALUE"""),"Ford F150 2007 (F-Bomb) - DEP07055")</f>
        <v>Ford F150 2007 (F-Bomb) - DEP07055</v>
      </c>
      <c r="N789" t="str">
        <f ca="1">IFERROR(__xludf.DUMMYFUNCTION("""COMPUTED_VALUE"""),"Jimmy Tomazinis, (904) 547-0094")</f>
        <v>Jimmy Tomazinis, (904) 547-0094</v>
      </c>
      <c r="O789" t="str">
        <f ca="1">IFERROR(__xludf.DUMMYFUNCTION("""COMPUTED_VALUE"""),"Chris Kurtz")</f>
        <v>Chris Kurtz</v>
      </c>
      <c r="P789" t="str">
        <f ca="1">IFERROR(__xludf.DUMMYFUNCTION("""COMPUTED_VALUE"""),"Jimmy")</f>
        <v>Jimmy</v>
      </c>
      <c r="Q789" t="str">
        <f ca="1">IFERROR(__xludf.DUMMYFUNCTION("""COMPUTED_VALUE"""),"All items in working order")</f>
        <v>All items in working order</v>
      </c>
      <c r="AE789" s="11"/>
      <c r="AF789" t="str">
        <v>James.Tomazinis@floridadep.gov</v>
      </c>
      <c r="AG789" s="18"/>
    </row>
    <row r="790" spans="1:33" ht="12.75">
      <c r="A790" s="10">
        <f ca="1">IFERROR(__xludf.DUMMYFUNCTION("""COMPUTED_VALUE"""),44593.3429666088)</f>
        <v>44593.342966608798</v>
      </c>
      <c r="B790" s="11" t="str">
        <f ca="1">IFERROR(__xludf.DUMMYFUNCTION("""COMPUTED_VALUE"""),"Alee")</f>
        <v>Alee</v>
      </c>
      <c r="C790" t="str">
        <f ca="1">IFERROR(__xludf.DUMMYFUNCTION("""COMPUTED_VALUE"""),"alee.knoell@floridadep.gov")</f>
        <v>alee.knoell@floridadep.gov</v>
      </c>
      <c r="D790" t="str">
        <f ca="1">IFERROR(__xludf.DUMMYFUNCTION("""COMPUTED_VALUE"""),"Pam Marcum")</f>
        <v>Pam Marcum</v>
      </c>
      <c r="E790" t="str">
        <f ca="1">IFERROR(__xludf.DUMMYFUNCTION("""COMPUTED_VALUE"""),"Vilano")</f>
        <v>Vilano</v>
      </c>
      <c r="F790" s="13">
        <f ca="1">IFERROR(__xludf.DUMMYFUNCTION("""COMPUTED_VALUE"""),0.34375)</f>
        <v>0.34375</v>
      </c>
      <c r="G790" s="14">
        <f ca="1">IFERROR(__xludf.DUMMYFUNCTION("""COMPUTED_VALUE"""),44593)</f>
        <v>44593</v>
      </c>
      <c r="H790" t="str">
        <f ca="1">IFERROR(__xludf.DUMMYFUNCTION("""COMPUTED_VALUE"""),"SWMP sites")</f>
        <v>SWMP sites</v>
      </c>
      <c r="I790" s="15">
        <f ca="1">IFERROR(__xludf.DUMMYFUNCTION("""COMPUTED_VALUE"""),0.58333333333212)</f>
        <v>0.58333333333212001</v>
      </c>
      <c r="J790" s="16">
        <f ca="1">IFERROR(__xludf.DUMMYFUNCTION("""COMPUTED_VALUE"""),44593.6145833333)</f>
        <v>44593.614583333299</v>
      </c>
      <c r="K790" t="str">
        <f ca="1">IFERROR(__xludf.DUMMYFUNCTION("""COMPUTED_VALUE"""),"20ft Sea Ark FL5351SJ UNF 2015")</f>
        <v>20ft Sea Ark FL5351SJ UNF 2015</v>
      </c>
      <c r="M790" t="str">
        <f ca="1">IFERROR(__xludf.DUMMYFUNCTION("""COMPUTED_VALUE"""),"Ford F250 2017 (Moby Dix) - DEP0021578")</f>
        <v>Ford F250 2017 (Moby Dix) - DEP0021578</v>
      </c>
      <c r="N790" t="str">
        <f ca="1">IFERROR(__xludf.DUMMYFUNCTION("""COMPUTED_VALUE"""),"Shannon Dunnigan, (803) 727-5734, Silas Tanner, (904) 483-8423, Alee Knoell, (619) 750-4833")</f>
        <v>Shannon Dunnigan, (803) 727-5734, Silas Tanner, (904) 483-8423, Alee Knoell, (619) 750-4833</v>
      </c>
      <c r="P790" t="str">
        <f ca="1">IFERROR(__xludf.DUMMYFUNCTION("""COMPUTED_VALUE"""),"Silas ")</f>
        <v xml:space="preserve">Silas </v>
      </c>
      <c r="Q790" t="str">
        <f ca="1">IFERROR(__xludf.DUMMYFUNCTION("""COMPUTED_VALUE"""),"All items in working order")</f>
        <v>All items in working order</v>
      </c>
      <c r="AE790" s="11"/>
      <c r="AF790" t="str">
        <v>Pamela.Marcum@floridadep.gov</v>
      </c>
      <c r="AG790" s="18"/>
    </row>
    <row r="791" spans="1:33" ht="12.75">
      <c r="A791" s="10">
        <f ca="1">IFERROR(__xludf.DUMMYFUNCTION("""COMPUTED_VALUE"""),44593.4963314004)</f>
        <v>44593.496331400398</v>
      </c>
      <c r="B791" s="11" t="str">
        <f ca="1">IFERROR(__xludf.DUMMYFUNCTION("""COMPUTED_VALUE"""),"Jimmy Tomazinis")</f>
        <v>Jimmy Tomazinis</v>
      </c>
      <c r="C791" t="str">
        <f ca="1">IFERROR(__xludf.DUMMYFUNCTION("""COMPUTED_VALUE"""),"james.tomazinis@floridadep.gov")</f>
        <v>james.tomazinis@floridadep.gov</v>
      </c>
      <c r="D791" t="str">
        <f ca="1">IFERROR(__xludf.DUMMYFUNCTION("""COMPUTED_VALUE"""),"Jimmy Tomazinis")</f>
        <v>Jimmy Tomazinis</v>
      </c>
      <c r="E791" t="str">
        <f ca="1">IFERROR(__xludf.DUMMYFUNCTION("""COMPUTED_VALUE"""),"sawpit")</f>
        <v>sawpit</v>
      </c>
      <c r="F791" s="13">
        <f ca="1">IFERROR(__xludf.DUMMYFUNCTION("""COMPUTED_VALUE"""),0.0520833333321206)</f>
        <v>5.2083333332120597E-2</v>
      </c>
      <c r="G791" s="14">
        <f ca="1">IFERROR(__xludf.DUMMYFUNCTION("""COMPUTED_VALUE"""),44593)</f>
        <v>44593</v>
      </c>
      <c r="H791" t="str">
        <f ca="1">IFERROR(__xludf.DUMMYFUNCTION("""COMPUTED_VALUE"""),"Nassau River")</f>
        <v>Nassau River</v>
      </c>
      <c r="I791" s="15">
        <f ca="1">IFERROR(__xludf.DUMMYFUNCTION("""COMPUTED_VALUE"""),0.6875)</f>
        <v>0.6875</v>
      </c>
      <c r="J791" s="16"/>
      <c r="K791" t="str">
        <f ca="1">IFERROR(__xludf.DUMMYFUNCTION("""COMPUTED_VALUE"""),"Jon Boat 1 FL5992RR DEP154045")</f>
        <v>Jon Boat 1 FL5992RR DEP154045</v>
      </c>
      <c r="M791" t="str">
        <f ca="1">IFERROR(__xludf.DUMMYFUNCTION("""COMPUTED_VALUE"""),"Ford F150 2007 (F-Bomb) - DEP07055")</f>
        <v>Ford F150 2007 (F-Bomb) - DEP07055</v>
      </c>
      <c r="N791" t="str">
        <f ca="1">IFERROR(__xludf.DUMMYFUNCTION("""COMPUTED_VALUE"""),"Jimmy Tomazinis, (904) 547-0094")</f>
        <v>Jimmy Tomazinis, (904) 547-0094</v>
      </c>
      <c r="O791" t="str">
        <f ca="1">IFERROR(__xludf.DUMMYFUNCTION("""COMPUTED_VALUE"""),"Chris Kurtz")</f>
        <v>Chris Kurtz</v>
      </c>
      <c r="P791" t="str">
        <f ca="1">IFERROR(__xludf.DUMMYFUNCTION("""COMPUTED_VALUE"""),"Jimmy")</f>
        <v>Jimmy</v>
      </c>
      <c r="Q791" t="str">
        <f ca="1">IFERROR(__xludf.DUMMYFUNCTION("""COMPUTED_VALUE"""),"All items in working order")</f>
        <v>All items in working order</v>
      </c>
      <c r="AE791" s="11"/>
      <c r="AF791" t="str">
        <v>James.Tomazinis@floridadep.gov</v>
      </c>
      <c r="AG791" s="18"/>
    </row>
    <row r="792" spans="1:33" ht="12.75">
      <c r="A792" s="10">
        <f ca="1">IFERROR(__xludf.DUMMYFUNCTION("""COMPUTED_VALUE"""),44599.3104258449)</f>
        <v>44599.310425844902</v>
      </c>
      <c r="B792" s="11" t="str">
        <f ca="1">IFERROR(__xludf.DUMMYFUNCTION("""COMPUTED_VALUE"""),"Pamela Marcum ")</f>
        <v xml:space="preserve">Pamela Marcum </v>
      </c>
      <c r="C792" t="str">
        <f ca="1">IFERROR(__xludf.DUMMYFUNCTION("""COMPUTED_VALUE"""),"Pamela.Marcum@FloridaDEP.gov")</f>
        <v>Pamela.Marcum@FloridaDEP.gov</v>
      </c>
      <c r="D792" t="str">
        <f ca="1">IFERROR(__xludf.DUMMYFUNCTION("""COMPUTED_VALUE"""),"Nikki Dix")</f>
        <v>Nikki Dix</v>
      </c>
      <c r="E792" t="str">
        <f ca="1">IFERROR(__xludf.DUMMYFUNCTION("""COMPUTED_VALUE"""),"Usina/Aunt Kates ")</f>
        <v xml:space="preserve">Usina/Aunt Kates </v>
      </c>
      <c r="F792" s="13">
        <f ca="1">IFERROR(__xludf.DUMMYFUNCTION("""COMPUTED_VALUE"""),0.3125)</f>
        <v>0.3125</v>
      </c>
      <c r="G792" s="14">
        <f ca="1">IFERROR(__xludf.DUMMYFUNCTION("""COMPUTED_VALUE"""),44599)</f>
        <v>44599</v>
      </c>
      <c r="H792" t="str">
        <f ca="1">IFERROR(__xludf.DUMMYFUNCTION("""COMPUTED_VALUE"""),"Tolomato river")</f>
        <v>Tolomato river</v>
      </c>
      <c r="I792" s="15">
        <f ca="1">IFERROR(__xludf.DUMMYFUNCTION("""COMPUTED_VALUE"""),0.447916666667879)</f>
        <v>0.44791666666787899</v>
      </c>
      <c r="J792" s="16">
        <f ca="1">IFERROR(__xludf.DUMMYFUNCTION("""COMPUTED_VALUE"""),44599.4583333333)</f>
        <v>44599.458333333299</v>
      </c>
      <c r="K792" t="str">
        <f ca="1">IFERROR(__xludf.DUMMYFUNCTION("""COMPUTED_VALUE"""),"20ft Sea Ark FL5351SJ UNF 2015")</f>
        <v>20ft Sea Ark FL5351SJ UNF 2015</v>
      </c>
      <c r="M792" t="str">
        <f ca="1">IFERROR(__xludf.DUMMYFUNCTION("""COMPUTED_VALUE"""),"Ford F150 2015 (White) - DEP21448")</f>
        <v>Ford F150 2015 (White) - DEP21448</v>
      </c>
      <c r="N792" t="str">
        <f ca="1">IFERROR(__xludf.DUMMYFUNCTION("""COMPUTED_VALUE"""),"Pam Marcum, (480) 332-5414, Alee Knoell, (619) 750-4833")</f>
        <v>Pam Marcum, (480) 332-5414, Alee Knoell, (619) 750-4833</v>
      </c>
      <c r="O792" t="str">
        <f ca="1">IFERROR(__xludf.DUMMYFUNCTION("""COMPUTED_VALUE"""),"Savanna Matthis, Paul Yonally, Spencer Baba, Walt Newsom")</f>
        <v>Savanna Matthis, Paul Yonally, Spencer Baba, Walt Newsom</v>
      </c>
      <c r="P792" t="str">
        <f ca="1">IFERROR(__xludf.DUMMYFUNCTION("""COMPUTED_VALUE"""),"Pam")</f>
        <v>Pam</v>
      </c>
      <c r="Q792" t="str">
        <f ca="1">IFERROR(__xludf.DUMMYFUNCTION("""COMPUTED_VALUE"""),"All items in working order")</f>
        <v>All items in working order</v>
      </c>
      <c r="AE792" s="11"/>
      <c r="AF792" t="str">
        <v>Nikki.Dix@floridadep.gov</v>
      </c>
      <c r="AG792" s="18"/>
    </row>
    <row r="793" spans="1:33" ht="12.75">
      <c r="A793" s="10">
        <f ca="1">IFERROR(__xludf.DUMMYFUNCTION("""COMPUTED_VALUE"""),44600.346236875)</f>
        <v>44600.346236874997</v>
      </c>
      <c r="B793" s="11" t="str">
        <f ca="1">IFERROR(__xludf.DUMMYFUNCTION("""COMPUTED_VALUE"""),"Pamela Marcum ")</f>
        <v xml:space="preserve">Pamela Marcum </v>
      </c>
      <c r="C793" t="str">
        <f ca="1">IFERROR(__xludf.DUMMYFUNCTION("""COMPUTED_VALUE"""),"Pamela.Marcum@FloridaDEP.gov")</f>
        <v>Pamela.Marcum@FloridaDEP.gov</v>
      </c>
      <c r="D793" t="str">
        <f ca="1">IFERROR(__xludf.DUMMYFUNCTION("""COMPUTED_VALUE"""),"Nikki Dix")</f>
        <v>Nikki Dix</v>
      </c>
      <c r="E793" t="str">
        <f ca="1">IFERROR(__xludf.DUMMYFUNCTION("""COMPUTED_VALUE"""),"Aunt Kates ")</f>
        <v xml:space="preserve">Aunt Kates </v>
      </c>
      <c r="F793" s="13">
        <f ca="1">IFERROR(__xludf.DUMMYFUNCTION("""COMPUTED_VALUE"""),0.34375)</f>
        <v>0.34375</v>
      </c>
      <c r="G793" s="14">
        <f ca="1">IFERROR(__xludf.DUMMYFUNCTION("""COMPUTED_VALUE"""),44600)</f>
        <v>44600</v>
      </c>
      <c r="H793" t="str">
        <f ca="1">IFERROR(__xludf.DUMMYFUNCTION("""COMPUTED_VALUE"""),"Tolomato river ")</f>
        <v xml:space="preserve">Tolomato river </v>
      </c>
      <c r="I793" s="15">
        <f ca="1">IFERROR(__xludf.DUMMYFUNCTION("""COMPUTED_VALUE"""),0.45833333333212)</f>
        <v>0.45833333333212001</v>
      </c>
      <c r="J793" s="16">
        <f ca="1">IFERROR(__xludf.DUMMYFUNCTION("""COMPUTED_VALUE"""),44600.4791666666)</f>
        <v>44600.479166666599</v>
      </c>
      <c r="K793" t="str">
        <f ca="1">IFERROR(__xludf.DUMMYFUNCTION("""COMPUTED_VALUE"""),"23ft Skiff (Bertha) FL7972LJ DEP07613")</f>
        <v>23ft Skiff (Bertha) FL7972LJ DEP07613</v>
      </c>
      <c r="M793" t="str">
        <f ca="1">IFERROR(__xludf.DUMMYFUNCTION("""COMPUTED_VALUE"""),"Ford F150 2015 (White) - DEP21448")</f>
        <v>Ford F150 2015 (White) - DEP21448</v>
      </c>
      <c r="N793" t="str">
        <f ca="1">IFERROR(__xludf.DUMMYFUNCTION("""COMPUTED_VALUE"""),"Pam Marcum, (480) 332-5414, Alee Knoell, (619) 750-4833")</f>
        <v>Pam Marcum, (480) 332-5414, Alee Knoell, (619) 750-4833</v>
      </c>
      <c r="O793" t="str">
        <f ca="1">IFERROR(__xludf.DUMMYFUNCTION("""COMPUTED_VALUE"""),"Debbie Dix, Steve Brown, Mike Darragh")</f>
        <v>Debbie Dix, Steve Brown, Mike Darragh</v>
      </c>
      <c r="P793" t="str">
        <f ca="1">IFERROR(__xludf.DUMMYFUNCTION("""COMPUTED_VALUE"""),"Pam")</f>
        <v>Pam</v>
      </c>
      <c r="Q793" t="str">
        <f ca="1">IFERROR(__xludf.DUMMYFUNCTION("""COMPUTED_VALUE"""),"All items in working order")</f>
        <v>All items in working order</v>
      </c>
      <c r="AE793" s="11"/>
      <c r="AF793" t="str">
        <v>Nikki.Dix@floridadep.gov</v>
      </c>
      <c r="AG793" s="18"/>
    </row>
    <row r="794" spans="1:33" ht="12.75">
      <c r="A794" s="10">
        <f ca="1">IFERROR(__xludf.DUMMYFUNCTION("""COMPUTED_VALUE"""),44601.3559957754)</f>
        <v>44601.355995775397</v>
      </c>
      <c r="B794" s="11" t="str">
        <f ca="1">IFERROR(__xludf.DUMMYFUNCTION("""COMPUTED_VALUE"""),"Pamela Marcum ")</f>
        <v xml:space="preserve">Pamela Marcum </v>
      </c>
      <c r="C794" t="str">
        <f ca="1">IFERROR(__xludf.DUMMYFUNCTION("""COMPUTED_VALUE"""),"Pamela.Marcum@FloridaDEP.gov")</f>
        <v>Pamela.Marcum@FloridaDEP.gov</v>
      </c>
      <c r="D794" t="str">
        <f ca="1">IFERROR(__xludf.DUMMYFUNCTION("""COMPUTED_VALUE"""),"Nikki Dix")</f>
        <v>Nikki Dix</v>
      </c>
      <c r="E794" t="str">
        <f ca="1">IFERROR(__xludf.DUMMYFUNCTION("""COMPUTED_VALUE"""),"Aunt Kates ")</f>
        <v xml:space="preserve">Aunt Kates </v>
      </c>
      <c r="F794" s="13">
        <f ca="1">IFERROR(__xludf.DUMMYFUNCTION("""COMPUTED_VALUE"""),0.354166666667879)</f>
        <v>0.35416666666787899</v>
      </c>
      <c r="G794" s="14">
        <f ca="1">IFERROR(__xludf.DUMMYFUNCTION("""COMPUTED_VALUE"""),44601)</f>
        <v>44601</v>
      </c>
      <c r="H794" t="str">
        <f ca="1">IFERROR(__xludf.DUMMYFUNCTION("""COMPUTED_VALUE"""),"Guana  and Tolomato")</f>
        <v>Guana  and Tolomato</v>
      </c>
      <c r="I794" s="15">
        <f ca="1">IFERROR(__xludf.DUMMYFUNCTION("""COMPUTED_VALUE"""),0.5)</f>
        <v>0.5</v>
      </c>
      <c r="J794" s="16">
        <f ca="1">IFERROR(__xludf.DUMMYFUNCTION("""COMPUTED_VALUE"""),44601.5208333333)</f>
        <v>44601.520833333299</v>
      </c>
      <c r="K794" t="str">
        <f ca="1">IFERROR(__xludf.DUMMYFUNCTION("""COMPUTED_VALUE"""),"20ft Sea Ark FL5351SJ UNF 2015")</f>
        <v>20ft Sea Ark FL5351SJ UNF 2015</v>
      </c>
      <c r="M794" t="str">
        <f ca="1">IFERROR(__xludf.DUMMYFUNCTION("""COMPUTED_VALUE"""),"Ford F150 2015 (White) - DEP21448")</f>
        <v>Ford F150 2015 (White) - DEP21448</v>
      </c>
      <c r="N794" t="str">
        <f ca="1">IFERROR(__xludf.DUMMYFUNCTION("""COMPUTED_VALUE"""),"Pam Marcum, (480) 332-5414, Alee Knoell, (619) 750-4833")</f>
        <v>Pam Marcum, (480) 332-5414, Alee Knoell, (619) 750-4833</v>
      </c>
      <c r="O794" t="str">
        <f ca="1">IFERROR(__xludf.DUMMYFUNCTION("""COMPUTED_VALUE"""),"Sean Hatton, Ava Larsen, Paul Yonally, Spencer Baba")</f>
        <v>Sean Hatton, Ava Larsen, Paul Yonally, Spencer Baba</v>
      </c>
      <c r="P794" t="str">
        <f ca="1">IFERROR(__xludf.DUMMYFUNCTION("""COMPUTED_VALUE"""),"Pam")</f>
        <v>Pam</v>
      </c>
      <c r="Q794" t="str">
        <f ca="1">IFERROR(__xludf.DUMMYFUNCTION("""COMPUTED_VALUE"""),"All items in working order")</f>
        <v>All items in working order</v>
      </c>
      <c r="AE794" s="11"/>
      <c r="AF794" t="str">
        <v>Nikki.Dix@floridadep.gov</v>
      </c>
      <c r="AG794" s="18"/>
    </row>
    <row r="795" spans="1:33" ht="12.75">
      <c r="A795" s="10">
        <f ca="1">IFERROR(__xludf.DUMMYFUNCTION("""COMPUTED_VALUE"""),44602.3798831481)</f>
        <v>44602.379883148104</v>
      </c>
      <c r="B795" s="11" t="str">
        <f ca="1">IFERROR(__xludf.DUMMYFUNCTION("""COMPUTED_VALUE"""),"Pamela Marcum ")</f>
        <v xml:space="preserve">Pamela Marcum </v>
      </c>
      <c r="C795" t="str">
        <f ca="1">IFERROR(__xludf.DUMMYFUNCTION("""COMPUTED_VALUE"""),"Pamela.Marcum@FloridaDEP.gov")</f>
        <v>Pamela.Marcum@FloridaDEP.gov</v>
      </c>
      <c r="D795" t="str">
        <f ca="1">IFERROR(__xludf.DUMMYFUNCTION("""COMPUTED_VALUE"""),"Nikki Dix")</f>
        <v>Nikki Dix</v>
      </c>
      <c r="E795" t="str">
        <f ca="1">IFERROR(__xludf.DUMMYFUNCTION("""COMPUTED_VALUE"""),"Usina")</f>
        <v>Usina</v>
      </c>
      <c r="F795" s="13">
        <f ca="1">IFERROR(__xludf.DUMMYFUNCTION("""COMPUTED_VALUE"""),0.381944444445252)</f>
        <v>0.381944444445252</v>
      </c>
      <c r="G795" s="14">
        <f ca="1">IFERROR(__xludf.DUMMYFUNCTION("""COMPUTED_VALUE"""),44602)</f>
        <v>44602</v>
      </c>
      <c r="H795" t="str">
        <f ca="1">IFERROR(__xludf.DUMMYFUNCTION("""COMPUTED_VALUE"""),"Tolomato river ")</f>
        <v xml:space="preserve">Tolomato river </v>
      </c>
      <c r="I795" s="15">
        <f ca="1">IFERROR(__xludf.DUMMYFUNCTION("""COMPUTED_VALUE"""),0.52083333333212)</f>
        <v>0.52083333333212001</v>
      </c>
      <c r="J795" s="16">
        <f ca="1">IFERROR(__xludf.DUMMYFUNCTION("""COMPUTED_VALUE"""),44602.5416666666)</f>
        <v>44602.541666666599</v>
      </c>
      <c r="K795" t="str">
        <f ca="1">IFERROR(__xludf.DUMMYFUNCTION("""COMPUTED_VALUE"""),"20ft Sea Ark FL5351SJ UNF 2015")</f>
        <v>20ft Sea Ark FL5351SJ UNF 2015</v>
      </c>
      <c r="M795" t="str">
        <f ca="1">IFERROR(__xludf.DUMMYFUNCTION("""COMPUTED_VALUE"""),"Ford F150 2015 (White) - DEP21448")</f>
        <v>Ford F150 2015 (White) - DEP21448</v>
      </c>
      <c r="N795" t="str">
        <f ca="1">IFERROR(__xludf.DUMMYFUNCTION("""COMPUTED_VALUE"""),"Pam Marcum, (480) 332-5414, Alee Knoell, (619) 750-4833")</f>
        <v>Pam Marcum, (480) 332-5414, Alee Knoell, (619) 750-4833</v>
      </c>
      <c r="O795" t="str">
        <f ca="1">IFERROR(__xludf.DUMMYFUNCTION("""COMPUTED_VALUE"""),"John Ciupak, Ciel Brooks, Mike Brooks")</f>
        <v>John Ciupak, Ciel Brooks, Mike Brooks</v>
      </c>
      <c r="P795" t="str">
        <f ca="1">IFERROR(__xludf.DUMMYFUNCTION("""COMPUTED_VALUE"""),"Pam")</f>
        <v>Pam</v>
      </c>
      <c r="Q795" t="str">
        <f ca="1">IFERROR(__xludf.DUMMYFUNCTION("""COMPUTED_VALUE"""),"All items in working order")</f>
        <v>All items in working order</v>
      </c>
      <c r="AE795" s="11"/>
      <c r="AF795" t="str">
        <v>Nikki.Dix@floridadep.gov</v>
      </c>
      <c r="AG795" s="18"/>
    </row>
    <row r="796" spans="1:33" ht="12.75">
      <c r="A796" s="10">
        <f ca="1">IFERROR(__xludf.DUMMYFUNCTION("""COMPUTED_VALUE"""),44603.4022555439)</f>
        <v>44603.402255543901</v>
      </c>
      <c r="B796" s="11" t="str">
        <f ca="1">IFERROR(__xludf.DUMMYFUNCTION("""COMPUTED_VALUE"""),"Pamela Marcum ")</f>
        <v xml:space="preserve">Pamela Marcum </v>
      </c>
      <c r="C796" t="str">
        <f ca="1">IFERROR(__xludf.DUMMYFUNCTION("""COMPUTED_VALUE"""),"Pamela.Marcum@FloridaDEP.gov")</f>
        <v>Pamela.Marcum@FloridaDEP.gov</v>
      </c>
      <c r="D796" t="str">
        <f ca="1">IFERROR(__xludf.DUMMYFUNCTION("""COMPUTED_VALUE"""),"Nikki Dix")</f>
        <v>Nikki Dix</v>
      </c>
      <c r="E796" t="str">
        <f ca="1">IFERROR(__xludf.DUMMYFUNCTION("""COMPUTED_VALUE"""),"Aunt Kates ")</f>
        <v xml:space="preserve">Aunt Kates </v>
      </c>
      <c r="F796" s="13">
        <f ca="1">IFERROR(__xludf.DUMMYFUNCTION("""COMPUTED_VALUE"""),0.39583333333212)</f>
        <v>0.39583333333212001</v>
      </c>
      <c r="G796" s="14">
        <f ca="1">IFERROR(__xludf.DUMMYFUNCTION("""COMPUTED_VALUE"""),44603)</f>
        <v>44603</v>
      </c>
      <c r="H796" t="str">
        <f ca="1">IFERROR(__xludf.DUMMYFUNCTION("""COMPUTED_VALUE"""),"Tolomato river ")</f>
        <v xml:space="preserve">Tolomato river </v>
      </c>
      <c r="I796" s="15">
        <f ca="1">IFERROR(__xludf.DUMMYFUNCTION("""COMPUTED_VALUE"""),0.52083333333212)</f>
        <v>0.52083333333212001</v>
      </c>
      <c r="J796" s="16">
        <f ca="1">IFERROR(__xludf.DUMMYFUNCTION("""COMPUTED_VALUE"""),44603.5416666666)</f>
        <v>44603.541666666599</v>
      </c>
      <c r="K796" t="str">
        <f ca="1">IFERROR(__xludf.DUMMYFUNCTION("""COMPUTED_VALUE"""),"20ft Sea Ark FL5351SJ UNF 2015")</f>
        <v>20ft Sea Ark FL5351SJ UNF 2015</v>
      </c>
      <c r="M796" t="str">
        <f ca="1">IFERROR(__xludf.DUMMYFUNCTION("""COMPUTED_VALUE"""),"Ford F150 2015 (White) - DEP21448")</f>
        <v>Ford F150 2015 (White) - DEP21448</v>
      </c>
      <c r="N796" t="str">
        <f ca="1">IFERROR(__xludf.DUMMYFUNCTION("""COMPUTED_VALUE"""),"Pam Marcum, (480) 332-5414, Alee Knoell, (619) 750-4833")</f>
        <v>Pam Marcum, (480) 332-5414, Alee Knoell, (619) 750-4833</v>
      </c>
      <c r="O796" t="str">
        <f ca="1">IFERROR(__xludf.DUMMYFUNCTION("""COMPUTED_VALUE"""),"Walt Newsom, Mike Darragh, Kristine Seager, Noah Riccio")</f>
        <v>Walt Newsom, Mike Darragh, Kristine Seager, Noah Riccio</v>
      </c>
      <c r="P796" t="str">
        <f ca="1">IFERROR(__xludf.DUMMYFUNCTION("""COMPUTED_VALUE"""),"Pam")</f>
        <v>Pam</v>
      </c>
      <c r="Q796" t="str">
        <f ca="1">IFERROR(__xludf.DUMMYFUNCTION("""COMPUTED_VALUE"""),"All items in working order")</f>
        <v>All items in working order</v>
      </c>
      <c r="AE796" s="11"/>
      <c r="AF796" t="str">
        <v>Nikki.Dix@floridadep.gov</v>
      </c>
      <c r="AG796" s="18"/>
    </row>
    <row r="797" spans="1:33" ht="12.75">
      <c r="A797" s="10">
        <f ca="1">IFERROR(__xludf.DUMMYFUNCTION("""COMPUTED_VALUE"""),44606.3509261805)</f>
        <v>44606.350926180501</v>
      </c>
      <c r="B797" s="11" t="str">
        <f ca="1">IFERROR(__xludf.DUMMYFUNCTION("""COMPUTED_VALUE"""),"Olivia Roorbach")</f>
        <v>Olivia Roorbach</v>
      </c>
      <c r="C797" t="str">
        <f ca="1">IFERROR(__xludf.DUMMYFUNCTION("""COMPUTED_VALUE"""),"olivia.roorbach@floridadep.gov")</f>
        <v>olivia.roorbach@floridadep.gov</v>
      </c>
      <c r="D797" t="str">
        <f ca="1">IFERROR(__xludf.DUMMYFUNCTION("""COMPUTED_VALUE"""),"Alee Knoell")</f>
        <v>Alee Knoell</v>
      </c>
      <c r="E797" t="str">
        <f ca="1">IFERROR(__xludf.DUMMYFUNCTION("""COMPUTED_VALUE"""),"Guana river and lake")</f>
        <v>Guana river and lake</v>
      </c>
      <c r="F797" s="13">
        <f ca="1">IFERROR(__xludf.DUMMYFUNCTION("""COMPUTED_VALUE"""),0.33333333333212)</f>
        <v>0.33333333333212001</v>
      </c>
      <c r="G797" s="14">
        <f ca="1">IFERROR(__xludf.DUMMYFUNCTION("""COMPUTED_VALUE"""),44606)</f>
        <v>44606</v>
      </c>
      <c r="H797" t="str">
        <f ca="1">IFERROR(__xludf.DUMMYFUNCTION("""COMPUTED_VALUE"""),"Guana river and lake ")</f>
        <v xml:space="preserve">Guana river and lake </v>
      </c>
      <c r="I797" s="15">
        <f ca="1">IFERROR(__xludf.DUMMYFUNCTION("""COMPUTED_VALUE"""),0.58333333333212)</f>
        <v>0.58333333333212001</v>
      </c>
      <c r="J797" s="16">
        <f ca="1">IFERROR(__xludf.DUMMYFUNCTION("""COMPUTED_VALUE"""),44606.5833333333)</f>
        <v>44606.583333333299</v>
      </c>
      <c r="K797" t="str">
        <f ca="1">IFERROR(__xludf.DUMMYFUNCTION("""COMPUTED_VALUE"""),"Jon Boat 1 FL5992RR DEP154045")</f>
        <v>Jon Boat 1 FL5992RR DEP154045</v>
      </c>
      <c r="M797" t="str">
        <f ca="1">IFERROR(__xludf.DUMMYFUNCTION("""COMPUTED_VALUE"""),"Ford F250 2017 (Moby Dix) - DEP0021578")</f>
        <v>Ford F250 2017 (Moby Dix) - DEP0021578</v>
      </c>
      <c r="N797" t="str">
        <f ca="1">IFERROR(__xludf.DUMMYFUNCTION("""COMPUTED_VALUE"""),"Olivia Roorbach, (404) 694-2653")</f>
        <v>Olivia Roorbach, (404) 694-2653</v>
      </c>
      <c r="O797" t="str">
        <f ca="1">IFERROR(__xludf.DUMMYFUNCTION("""COMPUTED_VALUE"""),"Jenna reimer, Nicole De Venoge")</f>
        <v>Jenna reimer, Nicole De Venoge</v>
      </c>
      <c r="P797" t="str">
        <f ca="1">IFERROR(__xludf.DUMMYFUNCTION("""COMPUTED_VALUE"""),"Olivia Roorbach ")</f>
        <v xml:space="preserve">Olivia Roorbach </v>
      </c>
      <c r="Q797" t="str">
        <f ca="1">IFERROR(__xludf.DUMMYFUNCTION("""COMPUTED_VALUE"""),"All items in working order")</f>
        <v>All items in working order</v>
      </c>
      <c r="AE797" s="11"/>
      <c r="AF797" t="str">
        <v/>
      </c>
      <c r="AG797" s="18"/>
    </row>
    <row r="798" spans="1:33" ht="12.75">
      <c r="A798" s="10">
        <f ca="1">IFERROR(__xludf.DUMMYFUNCTION("""COMPUTED_VALUE"""),44606.4462998958)</f>
        <v>44606.446299895797</v>
      </c>
      <c r="B798" s="11" t="str">
        <f ca="1">IFERROR(__xludf.DUMMYFUNCTION("""COMPUTED_VALUE"""),"Pam Marcum ")</f>
        <v xml:space="preserve">Pam Marcum </v>
      </c>
      <c r="C798" t="str">
        <f ca="1">IFERROR(__xludf.DUMMYFUNCTION("""COMPUTED_VALUE"""),"Pamela.Marcum@FloridaDEP.gov")</f>
        <v>Pamela.Marcum@FloridaDEP.gov</v>
      </c>
      <c r="D798" t="str">
        <f ca="1">IFERROR(__xludf.DUMMYFUNCTION("""COMPUTED_VALUE"""),"Nikki Dix")</f>
        <v>Nikki Dix</v>
      </c>
      <c r="E798" t="str">
        <f ca="1">IFERROR(__xludf.DUMMYFUNCTION("""COMPUTED_VALUE"""),"Aunt kates")</f>
        <v>Aunt kates</v>
      </c>
      <c r="F798" s="13">
        <f ca="1">IFERROR(__xludf.DUMMYFUNCTION("""COMPUTED_VALUE"""),0.444444444445252)</f>
        <v>0.444444444445252</v>
      </c>
      <c r="G798" s="14">
        <f ca="1">IFERROR(__xludf.DUMMYFUNCTION("""COMPUTED_VALUE"""),44606)</f>
        <v>44606</v>
      </c>
      <c r="H798" t="str">
        <f ca="1">IFERROR(__xludf.DUMMYFUNCTION("""COMPUTED_VALUE"""),"Gauana and Tolomato ")</f>
        <v xml:space="preserve">Gauana and Tolomato </v>
      </c>
      <c r="I798" s="15">
        <f ca="1">IFERROR(__xludf.DUMMYFUNCTION("""COMPUTED_VALUE"""),0.666666666667879)</f>
        <v>0.66666666666787899</v>
      </c>
      <c r="J798" s="16">
        <f ca="1">IFERROR(__xludf.DUMMYFUNCTION("""COMPUTED_VALUE"""),44606.6875)</f>
        <v>44606.6875</v>
      </c>
      <c r="K798" t="str">
        <f ca="1">IFERROR(__xludf.DUMMYFUNCTION("""COMPUTED_VALUE"""),"23ft Skiff (Bertha) FL7972LJ DEP07613")</f>
        <v>23ft Skiff (Bertha) FL7972LJ DEP07613</v>
      </c>
      <c r="M798" t="str">
        <f ca="1">IFERROR(__xludf.DUMMYFUNCTION("""COMPUTED_VALUE"""),"Ford F150 2015 (White) - DEP21448")</f>
        <v>Ford F150 2015 (White) - DEP21448</v>
      </c>
      <c r="N798" t="str">
        <f ca="1">IFERROR(__xludf.DUMMYFUNCTION("""COMPUTED_VALUE"""),"Pam Marcum, (480) 332-5414, Alee Knoell, (619) 750-4833")</f>
        <v>Pam Marcum, (480) 332-5414, Alee Knoell, (619) 750-4833</v>
      </c>
      <c r="O798" t="str">
        <f ca="1">IFERROR(__xludf.DUMMYFUNCTION("""COMPUTED_VALUE"""),"Jeff finnan, molly gadawski, oliver devries, leslie anchor, allix north, zach lepera")</f>
        <v>Jeff finnan, molly gadawski, oliver devries, leslie anchor, allix north, zach lepera</v>
      </c>
      <c r="P798" t="str">
        <f ca="1">IFERROR(__xludf.DUMMYFUNCTION("""COMPUTED_VALUE"""),"Pam")</f>
        <v>Pam</v>
      </c>
      <c r="Q798" t="str">
        <f ca="1">IFERROR(__xludf.DUMMYFUNCTION("""COMPUTED_VALUE"""),"All items in working order")</f>
        <v>All items in working order</v>
      </c>
      <c r="AE798" s="11"/>
      <c r="AF798" t="str">
        <v>Nikki.Dix@floridadep.gov</v>
      </c>
      <c r="AG798" s="18"/>
    </row>
    <row r="799" spans="1:33" ht="12.75">
      <c r="A799" s="10">
        <f ca="1">IFERROR(__xludf.DUMMYFUNCTION("""COMPUTED_VALUE"""),44606.7448027892)</f>
        <v>44606.744802789297</v>
      </c>
      <c r="B799" s="11" t="str">
        <f ca="1">IFERROR(__xludf.DUMMYFUNCTION("""COMPUTED_VALUE"""),"Jimmy")</f>
        <v>Jimmy</v>
      </c>
      <c r="C799" t="str">
        <f ca="1">IFERROR(__xludf.DUMMYFUNCTION("""COMPUTED_VALUE"""),"james.tomazinis@floridadep.gov")</f>
        <v>james.tomazinis@floridadep.gov</v>
      </c>
      <c r="D799" t="str">
        <f ca="1">IFERROR(__xludf.DUMMYFUNCTION("""COMPUTED_VALUE"""),"Scott Eastman")</f>
        <v>Scott Eastman</v>
      </c>
      <c r="E799" t="str">
        <f ca="1">IFERROR(__xludf.DUMMYFUNCTION("""COMPUTED_VALUE"""),"Mayport")</f>
        <v>Mayport</v>
      </c>
      <c r="F799" s="13">
        <f ca="1">IFERROR(__xludf.DUMMYFUNCTION("""COMPUTED_VALUE"""),0.45833333333212)</f>
        <v>0.45833333333212001</v>
      </c>
      <c r="G799" s="14">
        <f ca="1">IFERROR(__xludf.DUMMYFUNCTION("""COMPUTED_VALUE"""),44607)</f>
        <v>44607</v>
      </c>
      <c r="H799" t="str">
        <f ca="1">IFERROR(__xludf.DUMMYFUNCTION("""COMPUTED_VALUE"""),"Shad Creek system")</f>
        <v>Shad Creek system</v>
      </c>
      <c r="I799" s="15">
        <f ca="1">IFERROR(__xludf.DUMMYFUNCTION("""COMPUTED_VALUE"""),0.625)</f>
        <v>0.625</v>
      </c>
      <c r="J799" s="16"/>
      <c r="K799" t="str">
        <f ca="1">IFERROR(__xludf.DUMMYFUNCTION("""COMPUTED_VALUE"""),"Jon Boat 1 FL5992RR DEP154045")</f>
        <v>Jon Boat 1 FL5992RR DEP154045</v>
      </c>
      <c r="M799" t="str">
        <f ca="1">IFERROR(__xludf.DUMMYFUNCTION("""COMPUTED_VALUE"""),"Ford F150 2007 (F-Bomb) - DEP07055")</f>
        <v>Ford F150 2007 (F-Bomb) - DEP07055</v>
      </c>
      <c r="N799" t="str">
        <f ca="1">IFERROR(__xludf.DUMMYFUNCTION("""COMPUTED_VALUE"""),"Jimmy Tomazinis, (904) 547-0094")</f>
        <v>Jimmy Tomazinis, (904) 547-0094</v>
      </c>
      <c r="O799" t="str">
        <f ca="1">IFERROR(__xludf.DUMMYFUNCTION("""COMPUTED_VALUE"""),"Chris Kurtz")</f>
        <v>Chris Kurtz</v>
      </c>
      <c r="P799" t="str">
        <f ca="1">IFERROR(__xludf.DUMMYFUNCTION("""COMPUTED_VALUE"""),"Jimmy")</f>
        <v>Jimmy</v>
      </c>
      <c r="Q799" t="str">
        <f ca="1">IFERROR(__xludf.DUMMYFUNCTION("""COMPUTED_VALUE"""),"All items in working order")</f>
        <v>All items in working order</v>
      </c>
      <c r="AE799" s="11"/>
      <c r="AF799" t="str">
        <v>Scott.Eastman@floridadep.gov</v>
      </c>
      <c r="AG799" s="18"/>
    </row>
    <row r="800" spans="1:33" ht="12.75">
      <c r="A800" s="10">
        <f ca="1">IFERROR(__xludf.DUMMYFUNCTION("""COMPUTED_VALUE"""),44607.4837071064)</f>
        <v>44607.483707106403</v>
      </c>
      <c r="B800" s="11" t="str">
        <f ca="1">IFERROR(__xludf.DUMMYFUNCTION("""COMPUTED_VALUE"""),"Pamela Marcum ")</f>
        <v xml:space="preserve">Pamela Marcum </v>
      </c>
      <c r="C800" t="str">
        <f ca="1">IFERROR(__xludf.DUMMYFUNCTION("""COMPUTED_VALUE"""),"Pamela.Marcum@FloridaDEP.gov")</f>
        <v>Pamela.Marcum@FloridaDEP.gov</v>
      </c>
      <c r="D800" t="str">
        <f ca="1">IFERROR(__xludf.DUMMYFUNCTION("""COMPUTED_VALUE"""),"Nikki Dix")</f>
        <v>Nikki Dix</v>
      </c>
      <c r="E800" t="str">
        <f ca="1">IFERROR(__xludf.DUMMYFUNCTION("""COMPUTED_VALUE"""),"Vilano")</f>
        <v>Vilano</v>
      </c>
      <c r="F800" s="13">
        <f ca="1">IFERROR(__xludf.DUMMYFUNCTION("""COMPUTED_VALUE"""),0.479166666667879)</f>
        <v>0.47916666666787899</v>
      </c>
      <c r="G800" s="14">
        <f ca="1">IFERROR(__xludf.DUMMYFUNCTION("""COMPUTED_VALUE"""),44607)</f>
        <v>44607</v>
      </c>
      <c r="H800" t="str">
        <f ca="1">IFERROR(__xludf.DUMMYFUNCTION("""COMPUTED_VALUE"""),"Tolomato")</f>
        <v>Tolomato</v>
      </c>
      <c r="I800" s="15">
        <f ca="1">IFERROR(__xludf.DUMMYFUNCTION("""COMPUTED_VALUE"""),0.6875)</f>
        <v>0.6875</v>
      </c>
      <c r="J800" s="16">
        <f ca="1">IFERROR(__xludf.DUMMYFUNCTION("""COMPUTED_VALUE"""),44607.7083333333)</f>
        <v>44607.708333333299</v>
      </c>
      <c r="K800" t="str">
        <f ca="1">IFERROR(__xludf.DUMMYFUNCTION("""COMPUTED_VALUE"""),"23ft Skiff (Bertha) FL7972LJ DEP07613")</f>
        <v>23ft Skiff (Bertha) FL7972LJ DEP07613</v>
      </c>
      <c r="M800" t="str">
        <f ca="1">IFERROR(__xludf.DUMMYFUNCTION("""COMPUTED_VALUE"""),"Ford F150 2015 (White) - DEP21448")</f>
        <v>Ford F150 2015 (White) - DEP21448</v>
      </c>
      <c r="N800" t="str">
        <f ca="1">IFERROR(__xludf.DUMMYFUNCTION("""COMPUTED_VALUE"""),"Pam Marcum, (480) 332-5414")</f>
        <v>Pam Marcum, (480) 332-5414</v>
      </c>
      <c r="O800" t="str">
        <f ca="1">IFERROR(__xludf.DUMMYFUNCTION("""COMPUTED_VALUE"""),"Ava Larsen, steve brown")</f>
        <v>Ava Larsen, steve brown</v>
      </c>
      <c r="P800" t="str">
        <f ca="1">IFERROR(__xludf.DUMMYFUNCTION("""COMPUTED_VALUE"""),"Pam")</f>
        <v>Pam</v>
      </c>
      <c r="Q800" t="str">
        <f ca="1">IFERROR(__xludf.DUMMYFUNCTION("""COMPUTED_VALUE"""),"All items in working order")</f>
        <v>All items in working order</v>
      </c>
      <c r="AE800" s="11"/>
      <c r="AF800" t="str">
        <v>Nikki.Dix@floridadep.gov</v>
      </c>
      <c r="AG800" s="18"/>
    </row>
    <row r="801" spans="1:33" ht="12.75">
      <c r="A801" s="10">
        <f ca="1">IFERROR(__xludf.DUMMYFUNCTION("""COMPUTED_VALUE"""),44607.8953367361)</f>
        <v>44607.895336736103</v>
      </c>
      <c r="B801" s="11" t="str">
        <f ca="1">IFERROR(__xludf.DUMMYFUNCTION("""COMPUTED_VALUE"""),"Jimmy")</f>
        <v>Jimmy</v>
      </c>
      <c r="C801" t="str">
        <f ca="1">IFERROR(__xludf.DUMMYFUNCTION("""COMPUTED_VALUE"""),"james.tomazinis@floridadep.gov")</f>
        <v>james.tomazinis@floridadep.gov</v>
      </c>
      <c r="D801" t="str">
        <f ca="1">IFERROR(__xludf.DUMMYFUNCTION("""COMPUTED_VALUE"""),"Scott Eastman")</f>
        <v>Scott Eastman</v>
      </c>
      <c r="E801" t="str">
        <f ca="1">IFERROR(__xludf.DUMMYFUNCTION("""COMPUTED_VALUE"""),"Dee Dee Bartels and Holly Point")</f>
        <v>Dee Dee Bartels and Holly Point</v>
      </c>
      <c r="F801" s="13">
        <f ca="1">IFERROR(__xludf.DUMMYFUNCTION("""COMPUTED_VALUE"""),0.39583333333212)</f>
        <v>0.39583333333212001</v>
      </c>
      <c r="G801" s="14">
        <f ca="1">IFERROR(__xludf.DUMMYFUNCTION("""COMPUTED_VALUE"""),44608)</f>
        <v>44608</v>
      </c>
      <c r="H801" t="str">
        <f ca="1">IFERROR(__xludf.DUMMYFUNCTION("""COMPUTED_VALUE"""),"NEAP HAB sites")</f>
        <v>NEAP HAB sites</v>
      </c>
      <c r="I801" s="15">
        <f ca="1">IFERROR(__xludf.DUMMYFUNCTION("""COMPUTED_VALUE"""),0.625)</f>
        <v>0.625</v>
      </c>
      <c r="J801" s="16"/>
      <c r="K801" t="str">
        <f ca="1">IFERROR(__xludf.DUMMYFUNCTION("""COMPUTED_VALUE"""),"F 20ft Sea Ark (Easy 200) FL8534PY DEP21451")</f>
        <v>F 20ft Sea Ark (Easy 200) FL8534PY DEP21451</v>
      </c>
      <c r="M801" t="str">
        <f ca="1">IFERROR(__xludf.DUMMYFUNCTION("""COMPUTED_VALUE"""),"Ford F150 2007 (F-Bomb) - DEP07055")</f>
        <v>Ford F150 2007 (F-Bomb) - DEP07055</v>
      </c>
      <c r="N801" t="str">
        <f ca="1">IFERROR(__xludf.DUMMYFUNCTION("""COMPUTED_VALUE"""),"Jimmy Tomazinis, (904) 547-0094")</f>
        <v>Jimmy Tomazinis, (904) 547-0094</v>
      </c>
      <c r="O801" t="str">
        <f ca="1">IFERROR(__xludf.DUMMYFUNCTION("""COMPUTED_VALUE"""),"Chris Kurtz ")</f>
        <v xml:space="preserve">Chris Kurtz </v>
      </c>
      <c r="P801" t="str">
        <f ca="1">IFERROR(__xludf.DUMMYFUNCTION("""COMPUTED_VALUE"""),"Jimmy")</f>
        <v>Jimmy</v>
      </c>
      <c r="Q801" t="str">
        <f ca="1">IFERROR(__xludf.DUMMYFUNCTION("""COMPUTED_VALUE"""),"All items in working order")</f>
        <v>All items in working order</v>
      </c>
      <c r="AE801" s="11"/>
      <c r="AF801" t="str">
        <v>Scott.Eastman@floridadep.gov</v>
      </c>
      <c r="AG801" s="18"/>
    </row>
    <row r="802" spans="1:33" ht="12.75">
      <c r="A802" s="10">
        <f ca="1">IFERROR(__xludf.DUMMYFUNCTION("""COMPUTED_VALUE"""),44610.4837190625)</f>
        <v>44610.483719062497</v>
      </c>
      <c r="B802" s="11" t="str">
        <f ca="1">IFERROR(__xludf.DUMMYFUNCTION("""COMPUTED_VALUE"""),"Jimmy")</f>
        <v>Jimmy</v>
      </c>
      <c r="C802" t="str">
        <f ca="1">IFERROR(__xludf.DUMMYFUNCTION("""COMPUTED_VALUE"""),"james.tomazinis@floridadep.gov")</f>
        <v>james.tomazinis@floridadep.gov</v>
      </c>
      <c r="D802" t="str">
        <f ca="1">IFERROR(__xludf.DUMMYFUNCTION("""COMPUTED_VALUE"""),"Scott Eastman")</f>
        <v>Scott Eastman</v>
      </c>
      <c r="E802" t="str">
        <f ca="1">IFERROR(__xludf.DUMMYFUNCTION("""COMPUTED_VALUE"""),"Gamble Rogers")</f>
        <v>Gamble Rogers</v>
      </c>
      <c r="F802" s="13">
        <f ca="1">IFERROR(__xludf.DUMMYFUNCTION("""COMPUTED_VALUE"""),0.541666666667879)</f>
        <v>0.54166666666787899</v>
      </c>
      <c r="G802" s="14">
        <f ca="1">IFERROR(__xludf.DUMMYFUNCTION("""COMPUTED_VALUE"""),44610)</f>
        <v>44610</v>
      </c>
      <c r="H802" t="str">
        <f ca="1">IFERROR(__xludf.DUMMYFUNCTION("""COMPUTED_VALUE"""),"Tomoka WQ station")</f>
        <v>Tomoka WQ station</v>
      </c>
      <c r="I802" s="15">
        <f ca="1">IFERROR(__xludf.DUMMYFUNCTION("""COMPUTED_VALUE"""),0.58333333333212)</f>
        <v>0.58333333333212001</v>
      </c>
      <c r="J802" s="16"/>
      <c r="K802" t="str">
        <f ca="1">IFERROR(__xludf.DUMMYFUNCTION("""COMPUTED_VALUE"""),"17ft Skiff (Marsha) FL0642GW DEP07239")</f>
        <v>17ft Skiff (Marsha) FL0642GW DEP07239</v>
      </c>
      <c r="M802" t="str">
        <f ca="1">IFERROR(__xludf.DUMMYFUNCTION("""COMPUTED_VALUE"""),"Ford F150 2018 (ML AP) - DEP21637")</f>
        <v>Ford F150 2018 (ML AP) - DEP21637</v>
      </c>
      <c r="N802" t="str">
        <f ca="1">IFERROR(__xludf.DUMMYFUNCTION("""COMPUTED_VALUE"""),"Jimmy Tomazinis, (904) 547-0094")</f>
        <v>Jimmy Tomazinis, (904) 547-0094</v>
      </c>
      <c r="O802" t="str">
        <f ca="1">IFERROR(__xludf.DUMMYFUNCTION("""COMPUTED_VALUE"""),"Chris Kurtz")</f>
        <v>Chris Kurtz</v>
      </c>
      <c r="P802" t="str">
        <f ca="1">IFERROR(__xludf.DUMMYFUNCTION("""COMPUTED_VALUE"""),"Jimmy")</f>
        <v>Jimmy</v>
      </c>
      <c r="Q802" t="str">
        <f ca="1">IFERROR(__xludf.DUMMYFUNCTION("""COMPUTED_VALUE"""),"All items in working order")</f>
        <v>All items in working order</v>
      </c>
      <c r="AE802" s="11"/>
      <c r="AF802" t="str">
        <v>Scott.Eastman@floridadep.gov</v>
      </c>
      <c r="AG802" s="18"/>
    </row>
    <row r="803" spans="1:33" ht="12.75">
      <c r="A803" s="10">
        <f ca="1">IFERROR(__xludf.DUMMYFUNCTION("""COMPUTED_VALUE"""),44614.20912125)</f>
        <v>44614.209121250002</v>
      </c>
      <c r="B803" s="11" t="str">
        <f ca="1">IFERROR(__xludf.DUMMYFUNCTION("""COMPUTED_VALUE"""),"Jimmy")</f>
        <v>Jimmy</v>
      </c>
      <c r="C803" t="str">
        <f ca="1">IFERROR(__xludf.DUMMYFUNCTION("""COMPUTED_VALUE"""),"james_tomazinis@floridadep.gov")</f>
        <v>james_tomazinis@floridadep.gov</v>
      </c>
      <c r="D803" t="str">
        <f ca="1">IFERROR(__xludf.DUMMYFUNCTION("""COMPUTED_VALUE"""),"Scott Eastman")</f>
        <v>Scott Eastman</v>
      </c>
      <c r="E803" t="str">
        <f ca="1">IFERROR(__xludf.DUMMYFUNCTION("""COMPUTED_VALUE"""),"Melton Nelson")</f>
        <v>Melton Nelson</v>
      </c>
      <c r="F803" s="13">
        <f ca="1">IFERROR(__xludf.DUMMYFUNCTION("""COMPUTED_VALUE"""),0.375)</f>
        <v>0.375</v>
      </c>
      <c r="G803" s="14">
        <f ca="1">IFERROR(__xludf.DUMMYFUNCTION("""COMPUTED_VALUE"""),44614)</f>
        <v>44614</v>
      </c>
      <c r="H803" t="str">
        <f ca="1">IFERROR(__xludf.DUMMYFUNCTION("""COMPUTED_VALUE"""),"Lofton Creek to North Hampton Dock")</f>
        <v>Lofton Creek to North Hampton Dock</v>
      </c>
      <c r="I803" s="15">
        <f ca="1">IFERROR(__xludf.DUMMYFUNCTION("""COMPUTED_VALUE"""),0.58333333333212)</f>
        <v>0.58333333333212001</v>
      </c>
      <c r="J803" s="16"/>
      <c r="K803" t="str">
        <f ca="1">IFERROR(__xludf.DUMMYFUNCTION("""COMPUTED_VALUE"""),"Jon Boat 1 FL5992RR DEP154045")</f>
        <v>Jon Boat 1 FL5992RR DEP154045</v>
      </c>
      <c r="M803" t="str">
        <f ca="1">IFERROR(__xludf.DUMMYFUNCTION("""COMPUTED_VALUE"""),"Ford F150 2007 (F-Bomb) - DEP07055")</f>
        <v>Ford F150 2007 (F-Bomb) - DEP07055</v>
      </c>
      <c r="N803" t="str">
        <f ca="1">IFERROR(__xludf.DUMMYFUNCTION("""COMPUTED_VALUE"""),"Jimmy Tomazinis, (904) 547-0094")</f>
        <v>Jimmy Tomazinis, (904) 547-0094</v>
      </c>
      <c r="O803" t="str">
        <f ca="1">IFERROR(__xludf.DUMMYFUNCTION("""COMPUTED_VALUE"""),"Chris Kurtz")</f>
        <v>Chris Kurtz</v>
      </c>
      <c r="P803" t="str">
        <f ca="1">IFERROR(__xludf.DUMMYFUNCTION("""COMPUTED_VALUE"""),"Jimmy")</f>
        <v>Jimmy</v>
      </c>
      <c r="Q803" t="str">
        <f ca="1">IFERROR(__xludf.DUMMYFUNCTION("""COMPUTED_VALUE"""),"All items in working order")</f>
        <v>All items in working order</v>
      </c>
      <c r="AE803" s="11"/>
      <c r="AF803" t="str">
        <v>Scott.Eastman@floridadep.gov</v>
      </c>
      <c r="AG803" s="18"/>
    </row>
    <row r="804" spans="1:33" ht="12.75">
      <c r="A804" s="10">
        <f ca="1">IFERROR(__xludf.DUMMYFUNCTION("""COMPUTED_VALUE"""),44614.2525725463)</f>
        <v>44614.252572546298</v>
      </c>
      <c r="B804" s="11" t="str">
        <f ca="1">IFERROR(__xludf.DUMMYFUNCTION("""COMPUTED_VALUE"""),"Pam Marcum")</f>
        <v>Pam Marcum</v>
      </c>
      <c r="C804" t="str">
        <f ca="1">IFERROR(__xludf.DUMMYFUNCTION("""COMPUTED_VALUE"""),"Pamela.Marcum@FloridaDEP.gov")</f>
        <v>Pamela.Marcum@FloridaDEP.gov</v>
      </c>
      <c r="D804" t="str">
        <f ca="1">IFERROR(__xludf.DUMMYFUNCTION("""COMPUTED_VALUE"""),"Nikki Dix")</f>
        <v>Nikki Dix</v>
      </c>
      <c r="E804" t="str">
        <f ca="1">IFERROR(__xludf.DUMMYFUNCTION("""COMPUTED_VALUE"""),"Aunt Kate's")</f>
        <v>Aunt Kate's</v>
      </c>
      <c r="F804" s="13">
        <f ca="1">IFERROR(__xludf.DUMMYFUNCTION("""COMPUTED_VALUE"""),0.27083333333212)</f>
        <v>0.27083333333212001</v>
      </c>
      <c r="G804" s="14">
        <f ca="1">IFERROR(__xludf.DUMMYFUNCTION("""COMPUTED_VALUE"""),44614)</f>
        <v>44614</v>
      </c>
      <c r="H804" t="str">
        <f ca="1">IFERROR(__xludf.DUMMYFUNCTION("""COMPUTED_VALUE"""),"Guana River &amp; Pine Island")</f>
        <v>Guana River &amp; Pine Island</v>
      </c>
      <c r="I804" s="15">
        <f ca="1">IFERROR(__xludf.DUMMYFUNCTION("""COMPUTED_VALUE"""),0.45833333333212)</f>
        <v>0.45833333333212001</v>
      </c>
      <c r="J804" s="16">
        <f ca="1">IFERROR(__xludf.DUMMYFUNCTION("""COMPUTED_VALUE"""),44614.4791666666)</f>
        <v>44614.479166666599</v>
      </c>
      <c r="K804" t="str">
        <f ca="1">IFERROR(__xludf.DUMMYFUNCTION("""COMPUTED_VALUE"""),"23ft Skiff (Bertha) FL7972LJ DEP07613")</f>
        <v>23ft Skiff (Bertha) FL7972LJ DEP07613</v>
      </c>
      <c r="M804" t="str">
        <f ca="1">IFERROR(__xludf.DUMMYFUNCTION("""COMPUTED_VALUE"""),"Ford F150 2015 (White) - DEP21448")</f>
        <v>Ford F150 2015 (White) - DEP21448</v>
      </c>
      <c r="N804" t="str">
        <f ca="1">IFERROR(__xludf.DUMMYFUNCTION("""COMPUTED_VALUE"""),"Pam Marcum, (480) 332-5414, Alee Knoell, (619) 750-4833, Gabby Canas, (904) 891-9743")</f>
        <v>Pam Marcum, (480) 332-5414, Alee Knoell, (619) 750-4833, Gabby Canas, (904) 891-9743</v>
      </c>
      <c r="O804" t="str">
        <f ca="1">IFERROR(__xludf.DUMMYFUNCTION("""COMPUTED_VALUE"""),"Olivia Roorbach, (404) 694-2653, Mike Darragh")</f>
        <v>Olivia Roorbach, (404) 694-2653, Mike Darragh</v>
      </c>
      <c r="P804" t="str">
        <f ca="1">IFERROR(__xludf.DUMMYFUNCTION("""COMPUTED_VALUE"""),"Pam")</f>
        <v>Pam</v>
      </c>
      <c r="Q804" t="str">
        <f ca="1">IFERROR(__xludf.DUMMYFUNCTION("""COMPUTED_VALUE"""),"All items in working order")</f>
        <v>All items in working order</v>
      </c>
      <c r="AE804" s="11"/>
      <c r="AF804" t="str">
        <v>Nikki.Dix@floridadep.gov</v>
      </c>
      <c r="AG804" s="18"/>
    </row>
    <row r="805" spans="1:33" ht="12.75">
      <c r="A805" s="10">
        <f ca="1">IFERROR(__xludf.DUMMYFUNCTION("""COMPUTED_VALUE"""),44614.3396626157)</f>
        <v>44614.339662615697</v>
      </c>
      <c r="B805" s="11" t="str">
        <f ca="1">IFERROR(__xludf.DUMMYFUNCTION("""COMPUTED_VALUE"""),"Silas Tanner")</f>
        <v>Silas Tanner</v>
      </c>
      <c r="C805" t="str">
        <f ca="1">IFERROR(__xludf.DUMMYFUNCTION("""COMPUTED_VALUE"""),"silas.tanner@floridadep.gov")</f>
        <v>silas.tanner@floridadep.gov</v>
      </c>
      <c r="D805" t="str">
        <f ca="1">IFERROR(__xludf.DUMMYFUNCTION("""COMPUTED_VALUE"""),"Nikki Dix")</f>
        <v>Nikki Dix</v>
      </c>
      <c r="E805" t="str">
        <f ca="1">IFERROR(__xludf.DUMMYFUNCTION("""COMPUTED_VALUE"""),"Vilano Landing")</f>
        <v>Vilano Landing</v>
      </c>
      <c r="F805" s="13">
        <f ca="1">IFERROR(__xludf.DUMMYFUNCTION("""COMPUTED_VALUE"""),0.385416666667879)</f>
        <v>0.38541666666787899</v>
      </c>
      <c r="G805" s="14">
        <f ca="1">IFERROR(__xludf.DUMMYFUNCTION("""COMPUTED_VALUE"""),44614)</f>
        <v>44614</v>
      </c>
      <c r="H805" t="str">
        <f ca="1">IFERROR(__xludf.DUMMYFUNCTION("""COMPUTED_VALUE"""),"ICW SWMP sites")</f>
        <v>ICW SWMP sites</v>
      </c>
      <c r="I805" s="15">
        <f ca="1">IFERROR(__xludf.DUMMYFUNCTION("""COMPUTED_VALUE"""),0.604166666667879)</f>
        <v>0.60416666666787899</v>
      </c>
      <c r="J805" s="16">
        <f ca="1">IFERROR(__xludf.DUMMYFUNCTION("""COMPUTED_VALUE"""),44614.6458333333)</f>
        <v>44614.645833333299</v>
      </c>
      <c r="K805" t="str">
        <f ca="1">IFERROR(__xludf.DUMMYFUNCTION("""COMPUTED_VALUE"""),"20ft Sea Ark FL5351SJ UNF 2015")</f>
        <v>20ft Sea Ark FL5351SJ UNF 2015</v>
      </c>
      <c r="M805" t="str">
        <f ca="1">IFERROR(__xludf.DUMMYFUNCTION("""COMPUTED_VALUE"""),"Ford F250 2017 (Moby Dix) - DEP0021578")</f>
        <v>Ford F250 2017 (Moby Dix) - DEP0021578</v>
      </c>
      <c r="N805" t="str">
        <f ca="1">IFERROR(__xludf.DUMMYFUNCTION("""COMPUTED_VALUE"""),"Silas Tanner, (904) 483-8423")</f>
        <v>Silas Tanner, (904) 483-8423</v>
      </c>
      <c r="O805" t="str">
        <f ca="1">IFERROR(__xludf.DUMMYFUNCTION("""COMPUTED_VALUE"""),"Annie Hurley, Courtney Schultz ")</f>
        <v xml:space="preserve">Annie Hurley, Courtney Schultz </v>
      </c>
      <c r="P805" t="str">
        <f ca="1">IFERROR(__xludf.DUMMYFUNCTION("""COMPUTED_VALUE"""),"Silas Tanner")</f>
        <v>Silas Tanner</v>
      </c>
      <c r="Q805" t="str">
        <f ca="1">IFERROR(__xludf.DUMMYFUNCTION("""COMPUTED_VALUE"""),"All items in working order")</f>
        <v>All items in working order</v>
      </c>
      <c r="AE805" s="11"/>
      <c r="AF805" t="str">
        <v>Nikki.Dix@floridadep.gov</v>
      </c>
      <c r="AG805" s="18"/>
    </row>
    <row r="806" spans="1:33" ht="12.75">
      <c r="A806" s="10">
        <f ca="1">IFERROR(__xludf.DUMMYFUNCTION("""COMPUTED_VALUE"""),44616.5468757523)</f>
        <v>44616.546875752298</v>
      </c>
      <c r="B806" s="11" t="str">
        <f ca="1">IFERROR(__xludf.DUMMYFUNCTION("""COMPUTED_VALUE"""),"Jimmy")</f>
        <v>Jimmy</v>
      </c>
      <c r="C806" t="str">
        <f ca="1">IFERROR(__xludf.DUMMYFUNCTION("""COMPUTED_VALUE"""),"james.tomazinis@floridadep.gov")</f>
        <v>james.tomazinis@floridadep.gov</v>
      </c>
      <c r="D806" t="str">
        <f ca="1">IFERROR(__xludf.DUMMYFUNCTION("""COMPUTED_VALUE"""),"Scott Eastman")</f>
        <v>Scott Eastman</v>
      </c>
      <c r="E806" t="str">
        <f ca="1">IFERROR(__xludf.DUMMYFUNCTION("""COMPUTED_VALUE"""),"Palm Valley")</f>
        <v>Palm Valley</v>
      </c>
      <c r="F806" s="13">
        <f ca="1">IFERROR(__xludf.DUMMYFUNCTION("""COMPUTED_VALUE"""),0.541666666667879)</f>
        <v>0.54166666666787899</v>
      </c>
      <c r="G806" s="14">
        <f ca="1">IFERROR(__xludf.DUMMYFUNCTION("""COMPUTED_VALUE"""),44616)</f>
        <v>44616</v>
      </c>
      <c r="H806" t="str">
        <f ca="1">IFERROR(__xludf.DUMMYFUNCTION("""COMPUTED_VALUE"""),"Spoil island near Bone Island ")</f>
        <v xml:space="preserve">Spoil island near Bone Island </v>
      </c>
      <c r="I806" s="15">
        <f ca="1">IFERROR(__xludf.DUMMYFUNCTION("""COMPUTED_VALUE"""),0.625)</f>
        <v>0.625</v>
      </c>
      <c r="J806" s="16"/>
      <c r="K806" t="str">
        <f ca="1">IFERROR(__xludf.DUMMYFUNCTION("""COMPUTED_VALUE"""),"Jon Boat 1 FL5992RR DEP154045")</f>
        <v>Jon Boat 1 FL5992RR DEP154045</v>
      </c>
      <c r="M806" t="str">
        <f ca="1">IFERROR(__xludf.DUMMYFUNCTION("""COMPUTED_VALUE"""),"Ford F150 2007 (F-Bomb) - DEP07055")</f>
        <v>Ford F150 2007 (F-Bomb) - DEP07055</v>
      </c>
      <c r="N806" t="str">
        <f ca="1">IFERROR(__xludf.DUMMYFUNCTION("""COMPUTED_VALUE"""),"Jimmy Tomazinis, (904) 547-0094")</f>
        <v>Jimmy Tomazinis, (904) 547-0094</v>
      </c>
      <c r="O806" t="str">
        <f ca="1">IFERROR(__xludf.DUMMYFUNCTION("""COMPUTED_VALUE"""),"Chris Kurtz")</f>
        <v>Chris Kurtz</v>
      </c>
      <c r="P806" t="str">
        <f ca="1">IFERROR(__xludf.DUMMYFUNCTION("""COMPUTED_VALUE"""),"Jimmy")</f>
        <v>Jimmy</v>
      </c>
      <c r="Q806" t="str">
        <f ca="1">IFERROR(__xludf.DUMMYFUNCTION("""COMPUTED_VALUE"""),"All items in working order")</f>
        <v>All items in working order</v>
      </c>
      <c r="AE806" s="11"/>
      <c r="AF806" t="str">
        <v>Scott.Eastman@floridadep.gov</v>
      </c>
      <c r="AG806" s="18"/>
    </row>
    <row r="807" spans="1:33" ht="12.75">
      <c r="A807" s="10">
        <f ca="1">IFERROR(__xludf.DUMMYFUNCTION("""COMPUTED_VALUE"""),44621.3106535995)</f>
        <v>44621.310653599503</v>
      </c>
      <c r="B807" s="11" t="str">
        <f ca="1">IFERROR(__xludf.DUMMYFUNCTION("""COMPUTED_VALUE"""),"Olivia Roorbach")</f>
        <v>Olivia Roorbach</v>
      </c>
      <c r="C807" t="str">
        <f ca="1">IFERROR(__xludf.DUMMYFUNCTION("""COMPUTED_VALUE"""),"olivia.roorbach@floridadep.gov")</f>
        <v>olivia.roorbach@floridadep.gov</v>
      </c>
      <c r="D807" t="str">
        <f ca="1">IFERROR(__xludf.DUMMYFUNCTION("""COMPUTED_VALUE"""),"Shannon Dunnigan")</f>
        <v>Shannon Dunnigan</v>
      </c>
      <c r="E807" t="str">
        <f ca="1">IFERROR(__xludf.DUMMYFUNCTION("""COMPUTED_VALUE"""),"Guana dam ")</f>
        <v xml:space="preserve">Guana dam </v>
      </c>
      <c r="F807" s="13">
        <f ca="1">IFERROR(__xludf.DUMMYFUNCTION("""COMPUTED_VALUE"""),0.33333333333212)</f>
        <v>0.33333333333212001</v>
      </c>
      <c r="G807" s="14">
        <f ca="1">IFERROR(__xludf.DUMMYFUNCTION("""COMPUTED_VALUE"""),44621)</f>
        <v>44621</v>
      </c>
      <c r="H807" t="str">
        <f ca="1">IFERROR(__xludf.DUMMYFUNCTION("""COMPUTED_VALUE"""),"Guana river and lake ")</f>
        <v xml:space="preserve">Guana river and lake </v>
      </c>
      <c r="I807" s="15">
        <f ca="1">IFERROR(__xludf.DUMMYFUNCTION("""COMPUTED_VALUE"""),0.58333333333212)</f>
        <v>0.58333333333212001</v>
      </c>
      <c r="J807" s="16">
        <f ca="1">IFERROR(__xludf.DUMMYFUNCTION("""COMPUTED_VALUE"""),44621.5833333333)</f>
        <v>44621.583333333299</v>
      </c>
      <c r="K807" t="str">
        <f ca="1">IFERROR(__xludf.DUMMYFUNCTION("""COMPUTED_VALUE"""),"Jon Boat 1 FL5992RR DEP154045, Airboat ")</f>
        <v xml:space="preserve">Jon Boat 1 FL5992RR DEP154045, Airboat </v>
      </c>
      <c r="M807" t="str">
        <f ca="1">IFERROR(__xludf.DUMMYFUNCTION("""COMPUTED_VALUE"""),"Ford F150 2015 (White) - DEP21448")</f>
        <v>Ford F150 2015 (White) - DEP21448</v>
      </c>
      <c r="N807" t="str">
        <f ca="1">IFERROR(__xludf.DUMMYFUNCTION("""COMPUTED_VALUE"""),"Olivia Roorbach, (404) 694-2653")</f>
        <v>Olivia Roorbach, (404) 694-2653</v>
      </c>
      <c r="O807" t="str">
        <f ca="1">IFERROR(__xludf.DUMMYFUNCTION("""COMPUTED_VALUE"""),"Jenna Reimer, Nicole De Venoge")</f>
        <v>Jenna Reimer, Nicole De Venoge</v>
      </c>
      <c r="P807" t="str">
        <f ca="1">IFERROR(__xludf.DUMMYFUNCTION("""COMPUTED_VALUE"""),"Olivia Roorbach")</f>
        <v>Olivia Roorbach</v>
      </c>
      <c r="Q807" t="str">
        <f ca="1">IFERROR(__xludf.DUMMYFUNCTION("""COMPUTED_VALUE"""),"All items in working order")</f>
        <v>All items in working order</v>
      </c>
      <c r="AE807" s="11"/>
      <c r="AF807" t="str">
        <v>Shannon.Dunnigan@floridadep.gov</v>
      </c>
      <c r="AG807" s="18"/>
    </row>
    <row r="808" spans="1:33" ht="12.75">
      <c r="A808" s="10">
        <f ca="1">IFERROR(__xludf.DUMMYFUNCTION("""COMPUTED_VALUE"""),44621.4274065625)</f>
        <v>44621.4274065625</v>
      </c>
      <c r="B808" s="11" t="str">
        <f ca="1">IFERROR(__xludf.DUMMYFUNCTION("""COMPUTED_VALUE"""),"Jimmy")</f>
        <v>Jimmy</v>
      </c>
      <c r="C808" t="str">
        <f ca="1">IFERROR(__xludf.DUMMYFUNCTION("""COMPUTED_VALUE"""),"james.tomazinis@floridadep.gov")</f>
        <v>james.tomazinis@floridadep.gov</v>
      </c>
      <c r="D808" t="str">
        <f ca="1">IFERROR(__xludf.DUMMYFUNCTION("""COMPUTED_VALUE"""),"Scott Eastman")</f>
        <v>Scott Eastman</v>
      </c>
      <c r="E808" t="str">
        <f ca="1">IFERROR(__xludf.DUMMYFUNCTION("""COMPUTED_VALUE"""),"Holly Point")</f>
        <v>Holly Point</v>
      </c>
      <c r="F808" s="13">
        <f ca="1">IFERROR(__xludf.DUMMYFUNCTION("""COMPUTED_VALUE"""),0.541666666667879)</f>
        <v>0.54166666666787899</v>
      </c>
      <c r="G808" s="14">
        <f ca="1">IFERROR(__xludf.DUMMYFUNCTION("""COMPUTED_VALUE"""),44621)</f>
        <v>44621</v>
      </c>
      <c r="H808" t="str">
        <f ca="1">IFERROR(__xludf.DUMMYFUNCTION("""COMPUTED_VALUE"""),"Edwards WQ site")</f>
        <v>Edwards WQ site</v>
      </c>
      <c r="I808" s="15">
        <f ca="1">IFERROR(__xludf.DUMMYFUNCTION("""COMPUTED_VALUE"""),0.70833333333212)</f>
        <v>0.70833333333212001</v>
      </c>
      <c r="J808" s="16"/>
      <c r="K808" t="str">
        <f ca="1">IFERROR(__xludf.DUMMYFUNCTION("""COMPUTED_VALUE"""),"F 20ft Sea Ark (Easy 200) FL8534PY DEP21451")</f>
        <v>F 20ft Sea Ark (Easy 200) FL8534PY DEP21451</v>
      </c>
      <c r="M808" t="str">
        <f ca="1">IFERROR(__xludf.DUMMYFUNCTION("""COMPUTED_VALUE"""),"Ford F150 2007 (F-Bomb) - DEP07055")</f>
        <v>Ford F150 2007 (F-Bomb) - DEP07055</v>
      </c>
      <c r="N808" t="str">
        <f ca="1">IFERROR(__xludf.DUMMYFUNCTION("""COMPUTED_VALUE"""),"Jimmy Tomazinis, (904) 547-0094")</f>
        <v>Jimmy Tomazinis, (904) 547-0094</v>
      </c>
      <c r="O808" t="str">
        <f ca="1">IFERROR(__xludf.DUMMYFUNCTION("""COMPUTED_VALUE"""),"Chris Kurtz")</f>
        <v>Chris Kurtz</v>
      </c>
      <c r="P808" t="str">
        <f ca="1">IFERROR(__xludf.DUMMYFUNCTION("""COMPUTED_VALUE"""),"Jimmy")</f>
        <v>Jimmy</v>
      </c>
      <c r="Q808" t="str">
        <f ca="1">IFERROR(__xludf.DUMMYFUNCTION("""COMPUTED_VALUE"""),"All items in working order")</f>
        <v>All items in working order</v>
      </c>
      <c r="AE808" s="11"/>
      <c r="AF808" t="str">
        <v>Scott.Eastman@floridadep.gov</v>
      </c>
      <c r="AG808" s="18"/>
    </row>
    <row r="809" spans="1:33" ht="12.75">
      <c r="A809" s="10">
        <f ca="1">IFERROR(__xludf.DUMMYFUNCTION("""COMPUTED_VALUE"""),44621.5215160069)</f>
        <v>44621.521516006898</v>
      </c>
      <c r="B809" s="11" t="str">
        <f ca="1">IFERROR(__xludf.DUMMYFUNCTION("""COMPUTED_VALUE"""),"Pam Marcum ")</f>
        <v xml:space="preserve">Pam Marcum </v>
      </c>
      <c r="C809" t="str">
        <f ca="1">IFERROR(__xludf.DUMMYFUNCTION("""COMPUTED_VALUE"""),"Pamela.Marcum@FloridaDEP.gov")</f>
        <v>Pamela.Marcum@FloridaDEP.gov</v>
      </c>
      <c r="D809" t="str">
        <f ca="1">IFERROR(__xludf.DUMMYFUNCTION("""COMPUTED_VALUE"""),"Shannon Dunnigan")</f>
        <v>Shannon Dunnigan</v>
      </c>
      <c r="E809" t="str">
        <f ca="1">IFERROR(__xludf.DUMMYFUNCTION("""COMPUTED_VALUE"""),"Aunt Kates ")</f>
        <v xml:space="preserve">Aunt Kates </v>
      </c>
      <c r="F809" s="13">
        <f ca="1">IFERROR(__xludf.DUMMYFUNCTION("""COMPUTED_VALUE"""),0.5)</f>
        <v>0.5</v>
      </c>
      <c r="G809" s="14">
        <f ca="1">IFERROR(__xludf.DUMMYFUNCTION("""COMPUTED_VALUE"""),44621)</f>
        <v>44621</v>
      </c>
      <c r="H809" t="str">
        <f ca="1">IFERROR(__xludf.DUMMYFUNCTION("""COMPUTED_VALUE"""),"Robinson creek and tolomato")</f>
        <v>Robinson creek and tolomato</v>
      </c>
      <c r="I809" s="15">
        <f ca="1">IFERROR(__xludf.DUMMYFUNCTION("""COMPUTED_VALUE"""),0.64583333333212)</f>
        <v>0.64583333333212001</v>
      </c>
      <c r="J809" s="16">
        <f ca="1">IFERROR(__xludf.DUMMYFUNCTION("""COMPUTED_VALUE"""),44621.6666666666)</f>
        <v>44621.666666666599</v>
      </c>
      <c r="K809" t="str">
        <f ca="1">IFERROR(__xludf.DUMMYFUNCTION("""COMPUTED_VALUE"""),"23ft Skiff (Bertha) FL7972LJ DEP07613")</f>
        <v>23ft Skiff (Bertha) FL7972LJ DEP07613</v>
      </c>
      <c r="M809" t="str">
        <f ca="1">IFERROR(__xludf.DUMMYFUNCTION("""COMPUTED_VALUE"""),"Ford F250 2017 (Moby Dix) - DEP0021578")</f>
        <v>Ford F250 2017 (Moby Dix) - DEP0021578</v>
      </c>
      <c r="N809" t="str">
        <f ca="1">IFERROR(__xludf.DUMMYFUNCTION("""COMPUTED_VALUE"""),"Pam Marcum, (480) 332-5414")</f>
        <v>Pam Marcum, (480) 332-5414</v>
      </c>
      <c r="O809" t="str">
        <f ca="1">IFERROR(__xludf.DUMMYFUNCTION("""COMPUTED_VALUE"""),"Savana Mathis, Debbie Dix, Jeff Finnan")</f>
        <v>Savana Mathis, Debbie Dix, Jeff Finnan</v>
      </c>
      <c r="P809" t="str">
        <f ca="1">IFERROR(__xludf.DUMMYFUNCTION("""COMPUTED_VALUE"""),"Pam")</f>
        <v>Pam</v>
      </c>
      <c r="Q809" t="str">
        <f ca="1">IFERROR(__xludf.DUMMYFUNCTION("""COMPUTED_VALUE"""),"All items in working order")</f>
        <v>All items in working order</v>
      </c>
      <c r="AE809" s="11"/>
      <c r="AF809" t="str">
        <v>Shannon.Dunnigan@floridadep.gov</v>
      </c>
      <c r="AG809" s="18"/>
    </row>
    <row r="810" spans="1:33" ht="12.75">
      <c r="A810" s="10">
        <f ca="1">IFERROR(__xludf.DUMMYFUNCTION("""COMPUTED_VALUE"""),44622.3361142708)</f>
        <v>44622.336114270802</v>
      </c>
      <c r="B810" s="11" t="str">
        <f ca="1">IFERROR(__xludf.DUMMYFUNCTION("""COMPUTED_VALUE"""),"Alexandria Knoell")</f>
        <v>Alexandria Knoell</v>
      </c>
      <c r="C810" t="str">
        <f ca="1">IFERROR(__xludf.DUMMYFUNCTION("""COMPUTED_VALUE"""),"alee.knoell@floridadep.gov")</f>
        <v>alee.knoell@floridadep.gov</v>
      </c>
      <c r="D810" t="str">
        <f ca="1">IFERROR(__xludf.DUMMYFUNCTION("""COMPUTED_VALUE"""),"Silas Tanner")</f>
        <v>Silas Tanner</v>
      </c>
      <c r="E810" t="str">
        <f ca="1">IFERROR(__xludf.DUMMYFUNCTION("""COMPUTED_VALUE"""),"Vilano")</f>
        <v>Vilano</v>
      </c>
      <c r="F810" s="13">
        <f ca="1">IFERROR(__xludf.DUMMYFUNCTION("""COMPUTED_VALUE"""),0.33333333333212)</f>
        <v>0.33333333333212001</v>
      </c>
      <c r="G810" s="14">
        <f ca="1">IFERROR(__xludf.DUMMYFUNCTION("""COMPUTED_VALUE"""),44622)</f>
        <v>44622</v>
      </c>
      <c r="H810" t="str">
        <f ca="1">IFERROR(__xludf.DUMMYFUNCTION("""COMPUTED_VALUE"""),"SWMP sites")</f>
        <v>SWMP sites</v>
      </c>
      <c r="I810" s="15">
        <f ca="1">IFERROR(__xludf.DUMMYFUNCTION("""COMPUTED_VALUE"""),0.5)</f>
        <v>0.5</v>
      </c>
      <c r="J810" s="16">
        <f ca="1">IFERROR(__xludf.DUMMYFUNCTION("""COMPUTED_VALUE"""),44622.5416666666)</f>
        <v>44622.541666666599</v>
      </c>
      <c r="K810" t="str">
        <f ca="1">IFERROR(__xludf.DUMMYFUNCTION("""COMPUTED_VALUE"""),"23ft Skiff (Bertha) FL7972LJ DEP07613")</f>
        <v>23ft Skiff (Bertha) FL7972LJ DEP07613</v>
      </c>
      <c r="M810" t="str">
        <f ca="1">IFERROR(__xludf.DUMMYFUNCTION("""COMPUTED_VALUE"""),"Ford F250 2017 (Moby Dix) - DEP0021578")</f>
        <v>Ford F250 2017 (Moby Dix) - DEP0021578</v>
      </c>
      <c r="N810" t="str">
        <f ca="1">IFERROR(__xludf.DUMMYFUNCTION("""COMPUTED_VALUE"""),"Shannon Dunnigan, (803) 727-5734, Alee Knoell, (619) 750-4833")</f>
        <v>Shannon Dunnigan, (803) 727-5734, Alee Knoell, (619) 750-4833</v>
      </c>
      <c r="P810" t="str">
        <f ca="1">IFERROR(__xludf.DUMMYFUNCTION("""COMPUTED_VALUE"""),"Shannon Dunnigan ")</f>
        <v xml:space="preserve">Shannon Dunnigan </v>
      </c>
      <c r="Q810" t="str">
        <f ca="1">IFERROR(__xludf.DUMMYFUNCTION("""COMPUTED_VALUE"""),"All items in working order")</f>
        <v>All items in working order</v>
      </c>
      <c r="AE810" s="11"/>
      <c r="AF810" t="str">
        <v>Silas.Tanner@floridadep.gov</v>
      </c>
      <c r="AG810" s="18"/>
    </row>
    <row r="811" spans="1:33" ht="12.75">
      <c r="A811" s="10">
        <f ca="1">IFERROR(__xludf.DUMMYFUNCTION("""COMPUTED_VALUE"""),44622.5175622338)</f>
        <v>44622.517562233799</v>
      </c>
      <c r="B811" s="11" t="str">
        <f ca="1">IFERROR(__xludf.DUMMYFUNCTION("""COMPUTED_VALUE"""),"Pam Marcum ")</f>
        <v xml:space="preserve">Pam Marcum </v>
      </c>
      <c r="C811" t="str">
        <f ca="1">IFERROR(__xludf.DUMMYFUNCTION("""COMPUTED_VALUE"""),"Pamela.Marcum@FloridaDEP.gov")</f>
        <v>Pamela.Marcum@FloridaDEP.gov</v>
      </c>
      <c r="D811" t="str">
        <f ca="1">IFERROR(__xludf.DUMMYFUNCTION("""COMPUTED_VALUE"""),"Nikki Dix")</f>
        <v>Nikki Dix</v>
      </c>
      <c r="E811" t="str">
        <f ca="1">IFERROR(__xludf.DUMMYFUNCTION("""COMPUTED_VALUE"""),"Vilano")</f>
        <v>Vilano</v>
      </c>
      <c r="F811" s="13">
        <f ca="1">IFERROR(__xludf.DUMMYFUNCTION("""COMPUTED_VALUE"""),0.52083333333212)</f>
        <v>0.52083333333212001</v>
      </c>
      <c r="G811" s="14">
        <f ca="1">IFERROR(__xludf.DUMMYFUNCTION("""COMPUTED_VALUE"""),44622)</f>
        <v>44622</v>
      </c>
      <c r="H811" t="str">
        <f ca="1">IFERROR(__xludf.DUMMYFUNCTION("""COMPUTED_VALUE"""),"Tolomato  river")</f>
        <v>Tolomato  river</v>
      </c>
      <c r="I811" s="15">
        <f ca="1">IFERROR(__xludf.DUMMYFUNCTION("""COMPUTED_VALUE"""),0.666666666667879)</f>
        <v>0.66666666666787899</v>
      </c>
      <c r="J811" s="16">
        <f ca="1">IFERROR(__xludf.DUMMYFUNCTION("""COMPUTED_VALUE"""),44622.6875)</f>
        <v>44622.6875</v>
      </c>
      <c r="K811" t="str">
        <f ca="1">IFERROR(__xludf.DUMMYFUNCTION("""COMPUTED_VALUE"""),"Jon Boat 1 FL5992RR DEP154045")</f>
        <v>Jon Boat 1 FL5992RR DEP154045</v>
      </c>
      <c r="M811" t="str">
        <f ca="1">IFERROR(__xludf.DUMMYFUNCTION("""COMPUTED_VALUE"""),"Ford F150 2015 (White) - DEP21448")</f>
        <v>Ford F150 2015 (White) - DEP21448</v>
      </c>
      <c r="N811" t="str">
        <f ca="1">IFERROR(__xludf.DUMMYFUNCTION("""COMPUTED_VALUE"""),"Pam Marcum, (480) 332-5414")</f>
        <v>Pam Marcum, (480) 332-5414</v>
      </c>
      <c r="O811" t="str">
        <f ca="1">IFERROR(__xludf.DUMMYFUNCTION("""COMPUTED_VALUE"""),"Ciel Brooks, Jeff Finnan")</f>
        <v>Ciel Brooks, Jeff Finnan</v>
      </c>
      <c r="P811" t="str">
        <f ca="1">IFERROR(__xludf.DUMMYFUNCTION("""COMPUTED_VALUE"""),"Pam")</f>
        <v>Pam</v>
      </c>
      <c r="Q811" t="str">
        <f ca="1">IFERROR(__xludf.DUMMYFUNCTION("""COMPUTED_VALUE"""),"All items in working order")</f>
        <v>All items in working order</v>
      </c>
      <c r="AE811" s="11"/>
      <c r="AF811" t="str">
        <v>Nikki.Dix@floridadep.gov</v>
      </c>
      <c r="AG811" s="18"/>
    </row>
    <row r="812" spans="1:33" ht="12.75">
      <c r="A812" s="10">
        <f ca="1">IFERROR(__xludf.DUMMYFUNCTION("""COMPUTED_VALUE"""),44623.5749540277)</f>
        <v>44623.574954027703</v>
      </c>
      <c r="B812" s="11" t="str">
        <f ca="1">IFERROR(__xludf.DUMMYFUNCTION("""COMPUTED_VALUE"""),"Alexandria Knoell")</f>
        <v>Alexandria Knoell</v>
      </c>
      <c r="C812" t="str">
        <f ca="1">IFERROR(__xludf.DUMMYFUNCTION("""COMPUTED_VALUE"""),"alee.knoell@floridadep.gov")</f>
        <v>alee.knoell@floridadep.gov</v>
      </c>
      <c r="D812" t="str">
        <f ca="1">IFERROR(__xludf.DUMMYFUNCTION("""COMPUTED_VALUE"""),"Nikki Dix")</f>
        <v>Nikki Dix</v>
      </c>
      <c r="E812" t="str">
        <f ca="1">IFERROR(__xludf.DUMMYFUNCTION("""COMPUTED_VALUE"""),"Aunt kates")</f>
        <v>Aunt kates</v>
      </c>
      <c r="F812" s="13">
        <f ca="1">IFERROR(__xludf.DUMMYFUNCTION("""COMPUTED_VALUE"""),0.5625)</f>
        <v>0.5625</v>
      </c>
      <c r="G812" s="14">
        <f ca="1">IFERROR(__xludf.DUMMYFUNCTION("""COMPUTED_VALUE"""),44623)</f>
        <v>44623</v>
      </c>
      <c r="H812" t="str">
        <f ca="1">IFERROR(__xludf.DUMMYFUNCTION("""COMPUTED_VALUE"""),"Tolomato/ Guana")</f>
        <v>Tolomato/ Guana</v>
      </c>
      <c r="I812" s="15">
        <f ca="1">IFERROR(__xludf.DUMMYFUNCTION("""COMPUTED_VALUE"""),0.6875)</f>
        <v>0.6875</v>
      </c>
      <c r="J812" s="16">
        <f ca="1">IFERROR(__xludf.DUMMYFUNCTION("""COMPUTED_VALUE"""),44623.71875)</f>
        <v>44623.71875</v>
      </c>
      <c r="K812" t="str">
        <f ca="1">IFERROR(__xludf.DUMMYFUNCTION("""COMPUTED_VALUE"""),"23ft Skiff (Bertha) FL7972LJ DEP07613")</f>
        <v>23ft Skiff (Bertha) FL7972LJ DEP07613</v>
      </c>
      <c r="M812" t="str">
        <f ca="1">IFERROR(__xludf.DUMMYFUNCTION("""COMPUTED_VALUE"""),"Ford F250 2017 (Moby Dix) - DEP0021578")</f>
        <v>Ford F250 2017 (Moby Dix) - DEP0021578</v>
      </c>
      <c r="N812" t="str">
        <f ca="1">IFERROR(__xludf.DUMMYFUNCTION("""COMPUTED_VALUE"""),"Pam Marcum, (480) 332-5414, Alee Knoell, (619) 750-4833")</f>
        <v>Pam Marcum, (480) 332-5414, Alee Knoell, (619) 750-4833</v>
      </c>
      <c r="O812" t="str">
        <f ca="1">IFERROR(__xludf.DUMMYFUNCTION("""COMPUTED_VALUE"""),"Mike daragh, Michelle simonds , Matt debaun ")</f>
        <v xml:space="preserve">Mike daragh, Michelle simonds , Matt debaun </v>
      </c>
      <c r="P812" t="str">
        <f ca="1">IFERROR(__xludf.DUMMYFUNCTION("""COMPUTED_VALUE"""),"Pam m")</f>
        <v>Pam m</v>
      </c>
      <c r="Q812" t="str">
        <f ca="1">IFERROR(__xludf.DUMMYFUNCTION("""COMPUTED_VALUE"""),"All items in working order")</f>
        <v>All items in working order</v>
      </c>
      <c r="AE812" s="11"/>
      <c r="AF812" t="str">
        <v>Nikki.Dix@floridadep.gov</v>
      </c>
      <c r="AG812" s="18"/>
    </row>
    <row r="813" spans="1:33" ht="12.75">
      <c r="A813" s="10">
        <f ca="1">IFERROR(__xludf.DUMMYFUNCTION("""COMPUTED_VALUE"""),44627.293520243)</f>
        <v>44627.293520243002</v>
      </c>
      <c r="B813" s="11" t="str">
        <f ca="1">IFERROR(__xludf.DUMMYFUNCTION("""COMPUTED_VALUE"""),"Pam Marcum ")</f>
        <v xml:space="preserve">Pam Marcum </v>
      </c>
      <c r="C813" t="str">
        <f ca="1">IFERROR(__xludf.DUMMYFUNCTION("""COMPUTED_VALUE"""),"Pamela.Marcum@FloridaDEP.gov")</f>
        <v>Pamela.Marcum@FloridaDEP.gov</v>
      </c>
      <c r="D813" t="str">
        <f ca="1">IFERROR(__xludf.DUMMYFUNCTION("""COMPUTED_VALUE"""),"Nikki Dix")</f>
        <v>Nikki Dix</v>
      </c>
      <c r="E813" t="str">
        <f ca="1">IFERROR(__xludf.DUMMYFUNCTION("""COMPUTED_VALUE"""),"Palm valley")</f>
        <v>Palm valley</v>
      </c>
      <c r="F813" s="13">
        <f ca="1">IFERROR(__xludf.DUMMYFUNCTION("""COMPUTED_VALUE"""),0.30208333333212)</f>
        <v>0.30208333333212001</v>
      </c>
      <c r="G813" s="14">
        <f ca="1">IFERROR(__xludf.DUMMYFUNCTION("""COMPUTED_VALUE"""),44627)</f>
        <v>44627</v>
      </c>
      <c r="H813" t="str">
        <f ca="1">IFERROR(__xludf.DUMMYFUNCTION("""COMPUTED_VALUE"""),"Pine island")</f>
        <v>Pine island</v>
      </c>
      <c r="I813" s="15">
        <f ca="1">IFERROR(__xludf.DUMMYFUNCTION("""COMPUTED_VALUE"""),0.45833333333212)</f>
        <v>0.45833333333212001</v>
      </c>
      <c r="J813" s="16">
        <f ca="1">IFERROR(__xludf.DUMMYFUNCTION("""COMPUTED_VALUE"""),44627.4791666666)</f>
        <v>44627.479166666599</v>
      </c>
      <c r="K813" t="str">
        <f ca="1">IFERROR(__xludf.DUMMYFUNCTION("""COMPUTED_VALUE"""),"23ft Skiff (Bertha) FL7972LJ DEP07613")</f>
        <v>23ft Skiff (Bertha) FL7972LJ DEP07613</v>
      </c>
      <c r="M813" t="str">
        <f ca="1">IFERROR(__xludf.DUMMYFUNCTION("""COMPUTED_VALUE"""),"Ford F250 2017 (Moby Dix) - DEP0021578")</f>
        <v>Ford F250 2017 (Moby Dix) - DEP0021578</v>
      </c>
      <c r="N813" t="str">
        <f ca="1">IFERROR(__xludf.DUMMYFUNCTION("""COMPUTED_VALUE"""),"Pam Marcum, (480) 332-5414, Alee Knoell, (619) 750-4833")</f>
        <v>Pam Marcum, (480) 332-5414, Alee Knoell, (619) 750-4833</v>
      </c>
      <c r="O813" t="str">
        <f ca="1">IFERROR(__xludf.DUMMYFUNCTION("""COMPUTED_VALUE"""),"Amy Brownfield")</f>
        <v>Amy Brownfield</v>
      </c>
      <c r="P813" t="str">
        <f ca="1">IFERROR(__xludf.DUMMYFUNCTION("""COMPUTED_VALUE"""),"Pam")</f>
        <v>Pam</v>
      </c>
      <c r="Q813" t="str">
        <f ca="1">IFERROR(__xludf.DUMMYFUNCTION("""COMPUTED_VALUE"""),"All items in working order")</f>
        <v>All items in working order</v>
      </c>
      <c r="AE813" s="11"/>
      <c r="AF813" t="str">
        <v>Nikki.Dix@floridadep.gov</v>
      </c>
      <c r="AG813" s="18"/>
    </row>
    <row r="814" spans="1:33" ht="12.75">
      <c r="A814" s="10">
        <f ca="1">IFERROR(__xludf.DUMMYFUNCTION("""COMPUTED_VALUE"""),44628.3087461574)</f>
        <v>44628.308746157403</v>
      </c>
      <c r="B814" s="11" t="str">
        <f ca="1">IFERROR(__xludf.DUMMYFUNCTION("""COMPUTED_VALUE"""),"Silas Tanner")</f>
        <v>Silas Tanner</v>
      </c>
      <c r="C814" t="str">
        <f ca="1">IFERROR(__xludf.DUMMYFUNCTION("""COMPUTED_VALUE"""),"silas.tanner@floridadep.gov")</f>
        <v>silas.tanner@floridadep.gov</v>
      </c>
      <c r="D814" t="str">
        <f ca="1">IFERROR(__xludf.DUMMYFUNCTION("""COMPUTED_VALUE"""),"Nikki Dix")</f>
        <v>Nikki Dix</v>
      </c>
      <c r="E814" t="str">
        <f ca="1">IFERROR(__xludf.DUMMYFUNCTION("""COMPUTED_VALUE"""),"Vilano Landing")</f>
        <v>Vilano Landing</v>
      </c>
      <c r="F814" s="13">
        <f ca="1">IFERROR(__xludf.DUMMYFUNCTION("""COMPUTED_VALUE"""),0.354166666667879)</f>
        <v>0.35416666666787899</v>
      </c>
      <c r="G814" s="14">
        <f ca="1">IFERROR(__xludf.DUMMYFUNCTION("""COMPUTED_VALUE"""),44628)</f>
        <v>44628</v>
      </c>
      <c r="H814" t="str">
        <f ca="1">IFERROR(__xludf.DUMMYFUNCTION("""COMPUTED_VALUE"""),"ICW SWMP Sites")</f>
        <v>ICW SWMP Sites</v>
      </c>
      <c r="I814" s="15">
        <f ca="1">IFERROR(__xludf.DUMMYFUNCTION("""COMPUTED_VALUE"""),0.5625)</f>
        <v>0.5625</v>
      </c>
      <c r="J814" s="16">
        <f ca="1">IFERROR(__xludf.DUMMYFUNCTION("""COMPUTED_VALUE"""),44628.5833333333)</f>
        <v>44628.583333333299</v>
      </c>
      <c r="K814" t="str">
        <f ca="1">IFERROR(__xludf.DUMMYFUNCTION("""COMPUTED_VALUE"""),"23ft Skiff (Bertha) FL7972LJ DEP07613")</f>
        <v>23ft Skiff (Bertha) FL7972LJ DEP07613</v>
      </c>
      <c r="M814" t="str">
        <f ca="1">IFERROR(__xludf.DUMMYFUNCTION("""COMPUTED_VALUE"""),"Ford F250 2017 (Moby Dix) - DEP0021578")</f>
        <v>Ford F250 2017 (Moby Dix) - DEP0021578</v>
      </c>
      <c r="N814" t="str">
        <f ca="1">IFERROR(__xludf.DUMMYFUNCTION("""COMPUTED_VALUE"""),"Silas Tanner, (904) 483-8423, Remo Mondazzi")</f>
        <v>Silas Tanner, (904) 483-8423, Remo Mondazzi</v>
      </c>
      <c r="P814" t="str">
        <f ca="1">IFERROR(__xludf.DUMMYFUNCTION("""COMPUTED_VALUE"""),"Silas Tanner")</f>
        <v>Silas Tanner</v>
      </c>
      <c r="Q814" t="str">
        <f ca="1">IFERROR(__xludf.DUMMYFUNCTION("""COMPUTED_VALUE"""),"All items in working order")</f>
        <v>All items in working order</v>
      </c>
      <c r="AE814" s="11"/>
      <c r="AF814" t="str">
        <v>Nikki.Dix@floridadep.gov</v>
      </c>
      <c r="AG814" s="18"/>
    </row>
    <row r="815" spans="1:33" ht="12.75">
      <c r="A815" s="10">
        <f ca="1">IFERROR(__xludf.DUMMYFUNCTION("""COMPUTED_VALUE"""),44629.3015242476)</f>
        <v>44629.301524247603</v>
      </c>
      <c r="B815" s="11" t="str">
        <f ca="1">IFERROR(__xludf.DUMMYFUNCTION("""COMPUTED_VALUE"""),"Pam Marcum ")</f>
        <v xml:space="preserve">Pam Marcum </v>
      </c>
      <c r="C815" t="str">
        <f ca="1">IFERROR(__xludf.DUMMYFUNCTION("""COMPUTED_VALUE"""),"Pamela.Marcum@FloridaDEP.gov")</f>
        <v>Pamela.Marcum@FloridaDEP.gov</v>
      </c>
      <c r="D815" t="str">
        <f ca="1">IFERROR(__xludf.DUMMYFUNCTION("""COMPUTED_VALUE"""),"Nikki Dix")</f>
        <v>Nikki Dix</v>
      </c>
      <c r="E815" t="str">
        <f ca="1">IFERROR(__xludf.DUMMYFUNCTION("""COMPUTED_VALUE"""),"Palm valley ")</f>
        <v xml:space="preserve">Palm valley </v>
      </c>
      <c r="F815" s="13">
        <f ca="1">IFERROR(__xludf.DUMMYFUNCTION("""COMPUTED_VALUE"""),0.30208333333212)</f>
        <v>0.30208333333212001</v>
      </c>
      <c r="G815" s="14">
        <f ca="1">IFERROR(__xludf.DUMMYFUNCTION("""COMPUTED_VALUE"""),44629)</f>
        <v>44629</v>
      </c>
      <c r="H815" t="str">
        <f ca="1">IFERROR(__xludf.DUMMYFUNCTION("""COMPUTED_VALUE"""),"Tolomato river ")</f>
        <v xml:space="preserve">Tolomato river </v>
      </c>
      <c r="I815" s="15">
        <f ca="1">IFERROR(__xludf.DUMMYFUNCTION("""COMPUTED_VALUE"""),0.447916666667879)</f>
        <v>0.44791666666787899</v>
      </c>
      <c r="J815" s="16">
        <f ca="1">IFERROR(__xludf.DUMMYFUNCTION("""COMPUTED_VALUE"""),44629.4583333333)</f>
        <v>44629.458333333299</v>
      </c>
      <c r="K815" t="str">
        <f ca="1">IFERROR(__xludf.DUMMYFUNCTION("""COMPUTED_VALUE"""),"23ft Skiff (Bertha) FL7972LJ DEP07613")</f>
        <v>23ft Skiff (Bertha) FL7972LJ DEP07613</v>
      </c>
      <c r="M815" t="str">
        <f ca="1">IFERROR(__xludf.DUMMYFUNCTION("""COMPUTED_VALUE"""),"Ford F250 2017 (Moby Dix) - DEP0021578")</f>
        <v>Ford F250 2017 (Moby Dix) - DEP0021578</v>
      </c>
      <c r="N815" t="str">
        <f ca="1">IFERROR(__xludf.DUMMYFUNCTION("""COMPUTED_VALUE"""),"Pam Marcum, (480) 332-5414")</f>
        <v>Pam Marcum, (480) 332-5414</v>
      </c>
      <c r="O815" t="str">
        <f ca="1">IFERROR(__xludf.DUMMYFUNCTION("""COMPUTED_VALUE"""),"Savanna Mathis, Bevwrly Winstanley, Karen Adams")</f>
        <v>Savanna Mathis, Bevwrly Winstanley, Karen Adams</v>
      </c>
      <c r="P815" t="str">
        <f ca="1">IFERROR(__xludf.DUMMYFUNCTION("""COMPUTED_VALUE"""),"Pam")</f>
        <v>Pam</v>
      </c>
      <c r="Q815" t="str">
        <f ca="1">IFERROR(__xludf.DUMMYFUNCTION("""COMPUTED_VALUE"""),"All items in working order")</f>
        <v>All items in working order</v>
      </c>
      <c r="AE815" s="11"/>
      <c r="AF815" t="str">
        <v>Nikki.Dix@floridadep.gov</v>
      </c>
      <c r="AG815" s="18"/>
    </row>
    <row r="816" spans="1:33" ht="12.75">
      <c r="A816" s="10">
        <f ca="1">IFERROR(__xludf.DUMMYFUNCTION("""COMPUTED_VALUE"""),44631.3834680555)</f>
        <v>44631.383468055501</v>
      </c>
      <c r="B816" s="11" t="str">
        <f ca="1">IFERROR(__xludf.DUMMYFUNCTION("""COMPUTED_VALUE"""),"Pam Marcum ")</f>
        <v xml:space="preserve">Pam Marcum </v>
      </c>
      <c r="C816" t="str">
        <f ca="1">IFERROR(__xludf.DUMMYFUNCTION("""COMPUTED_VALUE"""),"Pamela.Marcum@FloridaDEP.gov")</f>
        <v>Pamela.Marcum@FloridaDEP.gov</v>
      </c>
      <c r="D816" t="str">
        <f ca="1">IFERROR(__xludf.DUMMYFUNCTION("""COMPUTED_VALUE"""),"Nikki Dix")</f>
        <v>Nikki Dix</v>
      </c>
      <c r="E816" t="str">
        <f ca="1">IFERROR(__xludf.DUMMYFUNCTION("""COMPUTED_VALUE"""),"Palm valley ")</f>
        <v xml:space="preserve">Palm valley </v>
      </c>
      <c r="F816" s="13">
        <f ca="1">IFERROR(__xludf.DUMMYFUNCTION("""COMPUTED_VALUE"""),0.39583333333212)</f>
        <v>0.39583333333212001</v>
      </c>
      <c r="G816" s="14">
        <f ca="1">IFERROR(__xludf.DUMMYFUNCTION("""COMPUTED_VALUE"""),44631)</f>
        <v>44631</v>
      </c>
      <c r="H816" t="str">
        <f ca="1">IFERROR(__xludf.DUMMYFUNCTION("""COMPUTED_VALUE"""),"Tolomato river ")</f>
        <v xml:space="preserve">Tolomato river </v>
      </c>
      <c r="I816" s="15">
        <f ca="1">IFERROR(__xludf.DUMMYFUNCTION("""COMPUTED_VALUE"""),0.45833333333212)</f>
        <v>0.45833333333212001</v>
      </c>
      <c r="J816" s="16">
        <f ca="1">IFERROR(__xludf.DUMMYFUNCTION("""COMPUTED_VALUE"""),44631.5)</f>
        <v>44631.5</v>
      </c>
      <c r="K816" t="str">
        <f ca="1">IFERROR(__xludf.DUMMYFUNCTION("""COMPUTED_VALUE"""),"23ft Skiff (Bertha) FL7972LJ DEP07613")</f>
        <v>23ft Skiff (Bertha) FL7972LJ DEP07613</v>
      </c>
      <c r="M816" t="str">
        <f ca="1">IFERROR(__xludf.DUMMYFUNCTION("""COMPUTED_VALUE"""),"Ford F250 2017 (Moby Dix) - DEP0021578")</f>
        <v>Ford F250 2017 (Moby Dix) - DEP0021578</v>
      </c>
      <c r="N816" t="str">
        <f ca="1">IFERROR(__xludf.DUMMYFUNCTION("""COMPUTED_VALUE"""),"Pam Marcum, (480) 332-5414")</f>
        <v>Pam Marcum, (480) 332-5414</v>
      </c>
      <c r="O816" t="str">
        <f ca="1">IFERROR(__xludf.DUMMYFUNCTION("""COMPUTED_VALUE"""),"Amy, mike, don, nick")</f>
        <v>Amy, mike, don, nick</v>
      </c>
      <c r="P816" t="str">
        <f ca="1">IFERROR(__xludf.DUMMYFUNCTION("""COMPUTED_VALUE"""),"Pam")</f>
        <v>Pam</v>
      </c>
      <c r="Q816" t="str">
        <f ca="1">IFERROR(__xludf.DUMMYFUNCTION("""COMPUTED_VALUE"""),"All items in working order")</f>
        <v>All items in working order</v>
      </c>
      <c r="AE816" s="11"/>
      <c r="AF816" t="str">
        <v>Nikki.Dix@floridadep.gov</v>
      </c>
      <c r="AG816" s="18"/>
    </row>
    <row r="817" spans="1:33" ht="12.75">
      <c r="A817" s="10">
        <f ca="1">IFERROR(__xludf.DUMMYFUNCTION("""COMPUTED_VALUE"""),44631.435759456)</f>
        <v>44631.435759455999</v>
      </c>
      <c r="B817" s="11" t="str">
        <f ca="1">IFERROR(__xludf.DUMMYFUNCTION("""COMPUTED_VALUE"""),"Courtney Schultz")</f>
        <v>Courtney Schultz</v>
      </c>
      <c r="C817" t="str">
        <f ca="1">IFERROR(__xludf.DUMMYFUNCTION("""COMPUTED_VALUE"""),"Courtney.L.Schultz@FloridaDEP.gov")</f>
        <v>Courtney.L.Schultz@FloridaDEP.gov</v>
      </c>
      <c r="D817" t="str">
        <f ca="1">IFERROR(__xludf.DUMMYFUNCTION("""COMPUTED_VALUE"""),"Candace Killian")</f>
        <v>Candace Killian</v>
      </c>
      <c r="E817" t="str">
        <f ca="1">IFERROR(__xludf.DUMMYFUNCTION("""COMPUTED_VALUE"""),"Whitney Lab- EcoTours")</f>
        <v>Whitney Lab- EcoTours</v>
      </c>
      <c r="F817" s="13">
        <f ca="1">IFERROR(__xludf.DUMMYFUNCTION("""COMPUTED_VALUE"""),0.36458333333212)</f>
        <v>0.36458333333212001</v>
      </c>
      <c r="G817" s="14">
        <f ca="1">IFERROR(__xludf.DUMMYFUNCTION("""COMPUTED_VALUE"""),44643)</f>
        <v>44643</v>
      </c>
      <c r="H817" t="str">
        <f ca="1">IFERROR(__xludf.DUMMYFUNCTION("""COMPUTED_VALUE"""),"Around the oyster beds- not far from the launch point.")</f>
        <v>Around the oyster beds- not far from the launch point.</v>
      </c>
      <c r="I817" s="15">
        <f ca="1">IFERROR(__xludf.DUMMYFUNCTION("""COMPUTED_VALUE"""),0.48958333333212)</f>
        <v>0.48958333333212001</v>
      </c>
      <c r="J817" s="16">
        <f ca="1">IFERROR(__xludf.DUMMYFUNCTION("""COMPUTED_VALUE"""),44643.5416666666)</f>
        <v>44643.541666666599</v>
      </c>
      <c r="K817" t="str">
        <f ca="1">IFERROR(__xludf.DUMMYFUNCTION("""COMPUTED_VALUE"""),"Kayak(s)")</f>
        <v>Kayak(s)</v>
      </c>
      <c r="L817">
        <f ca="1">IFERROR(__xludf.DUMMYFUNCTION("""COMPUTED_VALUE"""),1)</f>
        <v>1</v>
      </c>
      <c r="M817" t="str">
        <f ca="1">IFERROR(__xludf.DUMMYFUNCTION("""COMPUTED_VALUE"""),"n/a kayak on loan from ecotour")</f>
        <v>n/a kayak on loan from ecotour</v>
      </c>
      <c r="N817" t="str">
        <f ca="1">IFERROR(__xludf.DUMMYFUNCTION("""COMPUTED_VALUE"""),"n/a")</f>
        <v>n/a</v>
      </c>
      <c r="O817" t="str">
        <f ca="1">IFERROR(__xludf.DUMMYFUNCTION("""COMPUTED_VALUE"""),"Molly (education team member)")</f>
        <v>Molly (education team member)</v>
      </c>
      <c r="P817" t="str">
        <f ca="1">IFERROR(__xludf.DUMMYFUNCTION("""COMPUTED_VALUE"""),"Courtney Schultz")</f>
        <v>Courtney Schultz</v>
      </c>
      <c r="Q817" t="str">
        <f ca="1">IFERROR(__xludf.DUMMYFUNCTION("""COMPUTED_VALUE"""),"All items in working order")</f>
        <v>All items in working order</v>
      </c>
      <c r="AD817" t="str">
        <f ca="1">IFERROR(__xludf.DUMMYFUNCTION("""COMPUTED_VALUE"""),"Light rain ")</f>
        <v xml:space="preserve">Light rain </v>
      </c>
      <c r="AE817" s="11" t="str">
        <f ca="1">IFERROR(__xludf.DUMMYFUNCTION("""COMPUTED_VALUE"""),"Low tide")</f>
        <v>Low tide</v>
      </c>
      <c r="AF817" t="str">
        <v/>
      </c>
      <c r="AG817" s="18"/>
    </row>
    <row r="818" spans="1:33" ht="12.75">
      <c r="A818" s="10">
        <f ca="1">IFERROR(__xludf.DUMMYFUNCTION("""COMPUTED_VALUE"""),44634.4969698032)</f>
        <v>44634.4969698032</v>
      </c>
      <c r="B818" s="11" t="str">
        <f ca="1">IFERROR(__xludf.DUMMYFUNCTION("""COMPUTED_VALUE"""),"Pam Marcum ")</f>
        <v xml:space="preserve">Pam Marcum </v>
      </c>
      <c r="C818" t="str">
        <f ca="1">IFERROR(__xludf.DUMMYFUNCTION("""COMPUTED_VALUE"""),"Pamela.Marcum@FloridaDEP.gov")</f>
        <v>Pamela.Marcum@FloridaDEP.gov</v>
      </c>
      <c r="D818" t="str">
        <f ca="1">IFERROR(__xludf.DUMMYFUNCTION("""COMPUTED_VALUE"""),"Nikki Dix")</f>
        <v>Nikki Dix</v>
      </c>
      <c r="E818" t="str">
        <f ca="1">IFERROR(__xludf.DUMMYFUNCTION("""COMPUTED_VALUE"""),"Aunt Kates ")</f>
        <v xml:space="preserve">Aunt Kates </v>
      </c>
      <c r="F818" s="13">
        <f ca="1">IFERROR(__xludf.DUMMYFUNCTION("""COMPUTED_VALUE"""),0.5)</f>
        <v>0.5</v>
      </c>
      <c r="G818" s="14">
        <f ca="1">IFERROR(__xludf.DUMMYFUNCTION("""COMPUTED_VALUE"""),44634)</f>
        <v>44634</v>
      </c>
      <c r="H818" t="str">
        <f ca="1">IFERROR(__xludf.DUMMYFUNCTION("""COMPUTED_VALUE"""),"Tolomato river ")</f>
        <v xml:space="preserve">Tolomato river </v>
      </c>
      <c r="I818" s="15">
        <f ca="1">IFERROR(__xludf.DUMMYFUNCTION("""COMPUTED_VALUE"""),0.6875)</f>
        <v>0.6875</v>
      </c>
      <c r="J818" s="16">
        <f ca="1">IFERROR(__xludf.DUMMYFUNCTION("""COMPUTED_VALUE"""),44634.7083333333)</f>
        <v>44634.708333333299</v>
      </c>
      <c r="K818" t="str">
        <f ca="1">IFERROR(__xludf.DUMMYFUNCTION("""COMPUTED_VALUE"""),"23ft Skiff (Bertha) FL7972LJ DEP07613")</f>
        <v>23ft Skiff (Bertha) FL7972LJ DEP07613</v>
      </c>
      <c r="M818" t="str">
        <f ca="1">IFERROR(__xludf.DUMMYFUNCTION("""COMPUTED_VALUE"""),"Ford F250 2017 (Moby Dix) - DEP0021578")</f>
        <v>Ford F250 2017 (Moby Dix) - DEP0021578</v>
      </c>
      <c r="N818" t="str">
        <f ca="1">IFERROR(__xludf.DUMMYFUNCTION("""COMPUTED_VALUE"""),"Pam Marcum, (480) 332-5414, Alee Knoell, (619) 750-4833")</f>
        <v>Pam Marcum, (480) 332-5414, Alee Knoell, (619) 750-4833</v>
      </c>
      <c r="O818" t="str">
        <f ca="1">IFERROR(__xludf.DUMMYFUNCTION("""COMPUTED_VALUE"""),"Amy B., Jeff F., Nick Z., Don Z.")</f>
        <v>Amy B., Jeff F., Nick Z., Don Z.</v>
      </c>
      <c r="P818" t="str">
        <f ca="1">IFERROR(__xludf.DUMMYFUNCTION("""COMPUTED_VALUE"""),"Pam")</f>
        <v>Pam</v>
      </c>
      <c r="Q818" t="str">
        <f ca="1">IFERROR(__xludf.DUMMYFUNCTION("""COMPUTED_VALUE"""),"All items in working order")</f>
        <v>All items in working order</v>
      </c>
      <c r="AE818" s="11"/>
      <c r="AF818" t="str">
        <v>Nikki.Dix@floridadep.gov</v>
      </c>
      <c r="AG818" s="18"/>
    </row>
    <row r="819" spans="1:33" ht="12.75">
      <c r="A819" s="10">
        <f ca="1">IFERROR(__xludf.DUMMYFUNCTION("""COMPUTED_VALUE"""),44635.5166091435)</f>
        <v>44635.516609143502</v>
      </c>
      <c r="B819" s="11" t="str">
        <f ca="1">IFERROR(__xludf.DUMMYFUNCTION("""COMPUTED_VALUE"""),"Pam Marcum ")</f>
        <v xml:space="preserve">Pam Marcum </v>
      </c>
      <c r="C819" t="str">
        <f ca="1">IFERROR(__xludf.DUMMYFUNCTION("""COMPUTED_VALUE"""),"Pamela.Marcum@FloridaDEP.gov")</f>
        <v>Pamela.Marcum@FloridaDEP.gov</v>
      </c>
      <c r="D819" t="str">
        <f ca="1">IFERROR(__xludf.DUMMYFUNCTION("""COMPUTED_VALUE"""),"Nikki Dix")</f>
        <v>Nikki Dix</v>
      </c>
      <c r="E819" t="str">
        <f ca="1">IFERROR(__xludf.DUMMYFUNCTION("""COMPUTED_VALUE"""),"Aunt kates")</f>
        <v>Aunt kates</v>
      </c>
      <c r="F819" s="13">
        <f ca="1">IFERROR(__xludf.DUMMYFUNCTION("""COMPUTED_VALUE"""),0.52083333333212)</f>
        <v>0.52083333333212001</v>
      </c>
      <c r="G819" s="14">
        <f ca="1">IFERROR(__xludf.DUMMYFUNCTION("""COMPUTED_VALUE"""),44635)</f>
        <v>44635</v>
      </c>
      <c r="H819" t="str">
        <f ca="1">IFERROR(__xludf.DUMMYFUNCTION("""COMPUTED_VALUE"""),"Tolomato River")</f>
        <v>Tolomato River</v>
      </c>
      <c r="I819" s="15">
        <f ca="1">IFERROR(__xludf.DUMMYFUNCTION("""COMPUTED_VALUE"""),0.6875)</f>
        <v>0.6875</v>
      </c>
      <c r="J819" s="16">
        <f ca="1">IFERROR(__xludf.DUMMYFUNCTION("""COMPUTED_VALUE"""),44635.7083333333)</f>
        <v>44635.708333333299</v>
      </c>
      <c r="K819" t="str">
        <f ca="1">IFERROR(__xludf.DUMMYFUNCTION("""COMPUTED_VALUE"""),"23ft Skiff (Bertha) FL7972LJ DEP07613")</f>
        <v>23ft Skiff (Bertha) FL7972LJ DEP07613</v>
      </c>
      <c r="M819" t="str">
        <f ca="1">IFERROR(__xludf.DUMMYFUNCTION("""COMPUTED_VALUE"""),"Ford F250 2017 (Moby Dix) - DEP0021578")</f>
        <v>Ford F250 2017 (Moby Dix) - DEP0021578</v>
      </c>
      <c r="N819" t="str">
        <f ca="1">IFERROR(__xludf.DUMMYFUNCTION("""COMPUTED_VALUE"""),"Pam Marcum, (480) 332-5414, Alee Knoell, (619) 750-4833")</f>
        <v>Pam Marcum, (480) 332-5414, Alee Knoell, (619) 750-4833</v>
      </c>
      <c r="O819" t="str">
        <f ca="1">IFERROR(__xludf.DUMMYFUNCTION("""COMPUTED_VALUE"""),"Jeff F., Mike D.")</f>
        <v>Jeff F., Mike D.</v>
      </c>
      <c r="P819" t="str">
        <f ca="1">IFERROR(__xludf.DUMMYFUNCTION("""COMPUTED_VALUE"""),"Pam")</f>
        <v>Pam</v>
      </c>
      <c r="Q819" t="str">
        <f ca="1">IFERROR(__xludf.DUMMYFUNCTION("""COMPUTED_VALUE"""),"All items in working order")</f>
        <v>All items in working order</v>
      </c>
      <c r="AE819" s="11"/>
      <c r="AF819" t="str">
        <v>Nikki.Dix@floridadep.gov</v>
      </c>
      <c r="AG819" s="18"/>
    </row>
    <row r="820" spans="1:33" ht="12.75">
      <c r="A820" s="10">
        <f ca="1">IFERROR(__xludf.DUMMYFUNCTION("""COMPUTED_VALUE"""),44636.5064093171)</f>
        <v>44636.506409317102</v>
      </c>
      <c r="B820" s="11" t="str">
        <f ca="1">IFERROR(__xludf.DUMMYFUNCTION("""COMPUTED_VALUE"""),"Pam Marcum ")</f>
        <v xml:space="preserve">Pam Marcum </v>
      </c>
      <c r="C820" t="str">
        <f ca="1">IFERROR(__xludf.DUMMYFUNCTION("""COMPUTED_VALUE"""),"Pamela.Marcum@FloridaDEP.gov")</f>
        <v>Pamela.Marcum@FloridaDEP.gov</v>
      </c>
      <c r="D820" t="str">
        <f ca="1">IFERROR(__xludf.DUMMYFUNCTION("""COMPUTED_VALUE"""),"Nikki Dix")</f>
        <v>Nikki Dix</v>
      </c>
      <c r="E820" t="str">
        <f ca="1">IFERROR(__xludf.DUMMYFUNCTION("""COMPUTED_VALUE"""),"Dam")</f>
        <v>Dam</v>
      </c>
      <c r="F820" s="13">
        <f ca="1">IFERROR(__xludf.DUMMYFUNCTION("""COMPUTED_VALUE"""),0.510416666667879)</f>
        <v>0.51041666666787899</v>
      </c>
      <c r="G820" s="14">
        <f ca="1">IFERROR(__xludf.DUMMYFUNCTION("""COMPUTED_VALUE"""),44636)</f>
        <v>44636</v>
      </c>
      <c r="H820" t="str">
        <f ca="1">IFERROR(__xludf.DUMMYFUNCTION("""COMPUTED_VALUE"""),"Guana River")</f>
        <v>Guana River</v>
      </c>
      <c r="I820" s="15">
        <f ca="1">IFERROR(__xludf.DUMMYFUNCTION("""COMPUTED_VALUE"""),0.64583333333212)</f>
        <v>0.64583333333212001</v>
      </c>
      <c r="J820" s="16">
        <f ca="1">IFERROR(__xludf.DUMMYFUNCTION("""COMPUTED_VALUE"""),44636.6458333333)</f>
        <v>44636.645833333299</v>
      </c>
      <c r="K820" t="str">
        <f ca="1">IFERROR(__xludf.DUMMYFUNCTION("""COMPUTED_VALUE"""),"Canoe/Kayak Trailer DEP06086")</f>
        <v>Canoe/Kayak Trailer DEP06086</v>
      </c>
      <c r="L820">
        <f ca="1">IFERROR(__xludf.DUMMYFUNCTION("""COMPUTED_VALUE"""),1)</f>
        <v>1</v>
      </c>
      <c r="M820" t="str">
        <f ca="1">IFERROR(__xludf.DUMMYFUNCTION("""COMPUTED_VALUE"""),"Ford F150 2015 (White) - DEP21448")</f>
        <v>Ford F150 2015 (White) - DEP21448</v>
      </c>
      <c r="N820" t="str">
        <f ca="1">IFERROR(__xludf.DUMMYFUNCTION("""COMPUTED_VALUE"""),"Pam Marcum, (480) 332-5414, Alee Knoell, (619) 750-4833")</f>
        <v>Pam Marcum, (480) 332-5414, Alee Knoell, (619) 750-4833</v>
      </c>
      <c r="P820" t="str">
        <f ca="1">IFERROR(__xludf.DUMMYFUNCTION("""COMPUTED_VALUE"""),"Pam")</f>
        <v>Pam</v>
      </c>
      <c r="Q820" t="str">
        <f ca="1">IFERROR(__xludf.DUMMYFUNCTION("""COMPUTED_VALUE"""),"All items in working order")</f>
        <v>All items in working order</v>
      </c>
      <c r="AE820" s="11"/>
      <c r="AF820" t="str">
        <v>Nikki.Dix@floridadep.gov</v>
      </c>
      <c r="AG820" s="18"/>
    </row>
    <row r="821" spans="1:33" ht="12.75">
      <c r="A821" s="10">
        <f ca="1">IFERROR(__xludf.DUMMYFUNCTION("""COMPUTED_VALUE"""),44637.5656350462)</f>
        <v>44637.565635046201</v>
      </c>
      <c r="B821" s="11" t="str">
        <f ca="1">IFERROR(__xludf.DUMMYFUNCTION("""COMPUTED_VALUE"""),"Pam Marcum ")</f>
        <v xml:space="preserve">Pam Marcum </v>
      </c>
      <c r="C821" t="str">
        <f ca="1">IFERROR(__xludf.DUMMYFUNCTION("""COMPUTED_VALUE"""),"Pamela.Marcum@FloridaDEP.gov")</f>
        <v>Pamela.Marcum@FloridaDEP.gov</v>
      </c>
      <c r="D821" t="str">
        <f ca="1">IFERROR(__xludf.DUMMYFUNCTION("""COMPUTED_VALUE"""),"Alee Knoell")</f>
        <v>Alee Knoell</v>
      </c>
      <c r="E821" t="str">
        <f ca="1">IFERROR(__xludf.DUMMYFUNCTION("""COMPUTED_VALUE"""),"Aunt Kates")</f>
        <v>Aunt Kates</v>
      </c>
      <c r="F821" s="13">
        <f ca="1">IFERROR(__xludf.DUMMYFUNCTION("""COMPUTED_VALUE"""),0.541666666667879)</f>
        <v>0.54166666666787899</v>
      </c>
      <c r="G821" s="14">
        <f ca="1">IFERROR(__xludf.DUMMYFUNCTION("""COMPUTED_VALUE"""),44637)</f>
        <v>44637</v>
      </c>
      <c r="H821" t="str">
        <f ca="1">IFERROR(__xludf.DUMMYFUNCTION("""COMPUTED_VALUE"""),"Guana mouth, pine island")</f>
        <v>Guana mouth, pine island</v>
      </c>
      <c r="I821" s="15">
        <f ca="1">IFERROR(__xludf.DUMMYFUNCTION("""COMPUTED_VALUE"""),0.729166666667879)</f>
        <v>0.72916666666787899</v>
      </c>
      <c r="J821" s="16">
        <f ca="1">IFERROR(__xludf.DUMMYFUNCTION("""COMPUTED_VALUE"""),44637.75)</f>
        <v>44637.75</v>
      </c>
      <c r="K821" t="str">
        <f ca="1">IFERROR(__xludf.DUMMYFUNCTION("""COMPUTED_VALUE"""),"23ft Skiff (Bertha) FL7972LJ DEP07613")</f>
        <v>23ft Skiff (Bertha) FL7972LJ DEP07613</v>
      </c>
      <c r="M821" t="str">
        <f ca="1">IFERROR(__xludf.DUMMYFUNCTION("""COMPUTED_VALUE"""),"Ford F250 2017 (Moby Dix) - DEP0021578")</f>
        <v>Ford F250 2017 (Moby Dix) - DEP0021578</v>
      </c>
      <c r="N821" t="str">
        <f ca="1">IFERROR(__xludf.DUMMYFUNCTION("""COMPUTED_VALUE"""),"Pam Marcum, (480) 332-5414")</f>
        <v>Pam Marcum, (480) 332-5414</v>
      </c>
      <c r="O821" t="str">
        <f ca="1">IFERROR(__xludf.DUMMYFUNCTION("""COMPUTED_VALUE"""),"Jeff Finnan, Mike Darragh ")</f>
        <v xml:space="preserve">Jeff Finnan, Mike Darragh </v>
      </c>
      <c r="P821" t="str">
        <f ca="1">IFERROR(__xludf.DUMMYFUNCTION("""COMPUTED_VALUE"""),"Pam")</f>
        <v>Pam</v>
      </c>
      <c r="Q821" t="str">
        <f ca="1">IFERROR(__xludf.DUMMYFUNCTION("""COMPUTED_VALUE"""),"All items in working order")</f>
        <v>All items in working order</v>
      </c>
      <c r="AE821" s="11"/>
      <c r="AF821" t="str">
        <v/>
      </c>
      <c r="AG821" s="18"/>
    </row>
    <row r="822" spans="1:33" ht="12.75">
      <c r="A822" s="10">
        <f ca="1">IFERROR(__xludf.DUMMYFUNCTION("""COMPUTED_VALUE"""),44638.5763082754)</f>
        <v>44638.576308275398</v>
      </c>
      <c r="B822" s="11" t="str">
        <f ca="1">IFERROR(__xludf.DUMMYFUNCTION("""COMPUTED_VALUE"""),"Pam Marcum ")</f>
        <v xml:space="preserve">Pam Marcum </v>
      </c>
      <c r="C822" t="str">
        <f ca="1">IFERROR(__xludf.DUMMYFUNCTION("""COMPUTED_VALUE"""),"Pamela.Marcum@FloridaDEP.gov")</f>
        <v>Pamela.Marcum@FloridaDEP.gov</v>
      </c>
      <c r="D822" t="str">
        <f ca="1">IFERROR(__xludf.DUMMYFUNCTION("""COMPUTED_VALUE"""),"Pam Marcum")</f>
        <v>Pam Marcum</v>
      </c>
      <c r="E822" t="str">
        <f ca="1">IFERROR(__xludf.DUMMYFUNCTION("""COMPUTED_VALUE"""),"Aunt Kates ")</f>
        <v xml:space="preserve">Aunt Kates </v>
      </c>
      <c r="F822" s="13">
        <f ca="1">IFERROR(__xludf.DUMMYFUNCTION("""COMPUTED_VALUE"""),0.541666666667879)</f>
        <v>0.54166666666787899</v>
      </c>
      <c r="G822" s="14">
        <f ca="1">IFERROR(__xludf.DUMMYFUNCTION("""COMPUTED_VALUE"""),44638)</f>
        <v>44638</v>
      </c>
      <c r="H822" t="str">
        <f ca="1">IFERROR(__xludf.DUMMYFUNCTION("""COMPUTED_VALUE"""),"Pine island")</f>
        <v>Pine island</v>
      </c>
      <c r="I822" s="15">
        <f ca="1">IFERROR(__xludf.DUMMYFUNCTION("""COMPUTED_VALUE"""),0.70833333333212)</f>
        <v>0.70833333333212001</v>
      </c>
      <c r="J822" s="16">
        <f ca="1">IFERROR(__xludf.DUMMYFUNCTION("""COMPUTED_VALUE"""),44638.7291666666)</f>
        <v>44638.729166666599</v>
      </c>
      <c r="K822" t="str">
        <f ca="1">IFERROR(__xludf.DUMMYFUNCTION("""COMPUTED_VALUE"""),"23ft Skiff (Bertha) FL7972LJ DEP07613")</f>
        <v>23ft Skiff (Bertha) FL7972LJ DEP07613</v>
      </c>
      <c r="M822" t="str">
        <f ca="1">IFERROR(__xludf.DUMMYFUNCTION("""COMPUTED_VALUE"""),"Ford F250 2017 (Moby Dix) - DEP0021578")</f>
        <v>Ford F250 2017 (Moby Dix) - DEP0021578</v>
      </c>
      <c r="N822" t="str">
        <f ca="1">IFERROR(__xludf.DUMMYFUNCTION("""COMPUTED_VALUE"""),"Pam Marcum, (480) 332-5414, Alee Knoell, (619) 750-4833")</f>
        <v>Pam Marcum, (480) 332-5414, Alee Knoell, (619) 750-4833</v>
      </c>
      <c r="O822" t="str">
        <f ca="1">IFERROR(__xludf.DUMMYFUNCTION("""COMPUTED_VALUE"""),"Jeff Finnan, Spencer Baba, Paul Yonally")</f>
        <v>Jeff Finnan, Spencer Baba, Paul Yonally</v>
      </c>
      <c r="P822" t="str">
        <f ca="1">IFERROR(__xludf.DUMMYFUNCTION("""COMPUTED_VALUE"""),"Alee")</f>
        <v>Alee</v>
      </c>
      <c r="Q822" t="str">
        <f ca="1">IFERROR(__xludf.DUMMYFUNCTION("""COMPUTED_VALUE"""),"All items in working order")</f>
        <v>All items in working order</v>
      </c>
      <c r="AE822" s="11"/>
      <c r="AF822" t="str">
        <v>Pamela.Marcum@floridadep.gov</v>
      </c>
      <c r="AG822" s="18"/>
    </row>
    <row r="823" spans="1:33" ht="12.75">
      <c r="A823" s="10">
        <f ca="1">IFERROR(__xludf.DUMMYFUNCTION("""COMPUTED_VALUE"""),44642.7235037268)</f>
        <v>44642.723503726796</v>
      </c>
      <c r="B823" s="11" t="str">
        <f ca="1">IFERROR(__xludf.DUMMYFUNCTION("""COMPUTED_VALUE"""),"Silas Tanner")</f>
        <v>Silas Tanner</v>
      </c>
      <c r="C823" t="str">
        <f ca="1">IFERROR(__xludf.DUMMYFUNCTION("""COMPUTED_VALUE"""),"silas.tanner@floridadep.gov")</f>
        <v>silas.tanner@floridadep.gov</v>
      </c>
      <c r="D823" t="str">
        <f ca="1">IFERROR(__xludf.DUMMYFUNCTION("""COMPUTED_VALUE"""),"Nikki Dix")</f>
        <v>Nikki Dix</v>
      </c>
      <c r="E823" t="str">
        <f ca="1">IFERROR(__xludf.DUMMYFUNCTION("""COMPUTED_VALUE"""),"Vilano Landing")</f>
        <v>Vilano Landing</v>
      </c>
      <c r="F823" s="13">
        <f ca="1">IFERROR(__xludf.DUMMYFUNCTION("""COMPUTED_VALUE"""),0.375)</f>
        <v>0.375</v>
      </c>
      <c r="G823" s="14">
        <f ca="1">IFERROR(__xludf.DUMMYFUNCTION("""COMPUTED_VALUE"""),44643)</f>
        <v>44643</v>
      </c>
      <c r="H823" t="str">
        <f ca="1">IFERROR(__xludf.DUMMYFUNCTION("""COMPUTED_VALUE"""),"ICW SWMP sites")</f>
        <v>ICW SWMP sites</v>
      </c>
      <c r="I823" s="15">
        <f ca="1">IFERROR(__xludf.DUMMYFUNCTION("""COMPUTED_VALUE"""),0.572916666667879)</f>
        <v>0.57291666666787899</v>
      </c>
      <c r="J823" s="16">
        <f ca="1">IFERROR(__xludf.DUMMYFUNCTION("""COMPUTED_VALUE"""),44643.6041666666)</f>
        <v>44643.604166666599</v>
      </c>
      <c r="K823" t="str">
        <f ca="1">IFERROR(__xludf.DUMMYFUNCTION("""COMPUTED_VALUE"""),"23ft Skiff (Bertha) FL7972LJ DEP07613")</f>
        <v>23ft Skiff (Bertha) FL7972LJ DEP07613</v>
      </c>
      <c r="M823" t="str">
        <f ca="1">IFERROR(__xludf.DUMMYFUNCTION("""COMPUTED_VALUE"""),"Ford F250 2017 (Moby Dix) - DEP0021578")</f>
        <v>Ford F250 2017 (Moby Dix) - DEP0021578</v>
      </c>
      <c r="N823" t="str">
        <f ca="1">IFERROR(__xludf.DUMMYFUNCTION("""COMPUTED_VALUE"""),"Silas Tanner, (904) 483-8423, Remo Mondazzi")</f>
        <v>Silas Tanner, (904) 483-8423, Remo Mondazzi</v>
      </c>
      <c r="P823" t="str">
        <f ca="1">IFERROR(__xludf.DUMMYFUNCTION("""COMPUTED_VALUE"""),"S. Tanner")</f>
        <v>S. Tanner</v>
      </c>
      <c r="Q823" t="str">
        <f ca="1">IFERROR(__xludf.DUMMYFUNCTION("""COMPUTED_VALUE"""),"All items in working order")</f>
        <v>All items in working order</v>
      </c>
      <c r="AE823" s="11"/>
      <c r="AF823" t="str">
        <v>Nikki.Dix@floridadep.gov</v>
      </c>
      <c r="AG823" s="18"/>
    </row>
    <row r="824" spans="1:33" ht="12.75">
      <c r="A824" s="10">
        <f ca="1">IFERROR(__xludf.DUMMYFUNCTION("""COMPUTED_VALUE"""),44643.2699403356)</f>
        <v>44643.269940335602</v>
      </c>
      <c r="B824" s="11" t="str">
        <f ca="1">IFERROR(__xludf.DUMMYFUNCTION("""COMPUTED_VALUE"""),"Jimmy")</f>
        <v>Jimmy</v>
      </c>
      <c r="C824" t="str">
        <f ca="1">IFERROR(__xludf.DUMMYFUNCTION("""COMPUTED_VALUE"""),"james_tomazinis@floridadep.gov")</f>
        <v>james_tomazinis@floridadep.gov</v>
      </c>
      <c r="D824" t="str">
        <f ca="1">IFERROR(__xludf.DUMMYFUNCTION("""COMPUTED_VALUE"""),"Scott Eastman")</f>
        <v>Scott Eastman</v>
      </c>
      <c r="E824" t="str">
        <f ca="1">IFERROR(__xludf.DUMMYFUNCTION("""COMPUTED_VALUE"""),"Dee Dee Bartels and Holly Point")</f>
        <v>Dee Dee Bartels and Holly Point</v>
      </c>
      <c r="F824" s="13">
        <f ca="1">IFERROR(__xludf.DUMMYFUNCTION("""COMPUTED_VALUE"""),0.375)</f>
        <v>0.375</v>
      </c>
      <c r="G824" s="14">
        <f ca="1">IFERROR(__xludf.DUMMYFUNCTION("""COMPUTED_VALUE"""),44643)</f>
        <v>44643</v>
      </c>
      <c r="H824" t="str">
        <f ca="1">IFERROR(__xludf.DUMMYFUNCTION("""COMPUTED_VALUE"""),"NEAP WQ sites")</f>
        <v>NEAP WQ sites</v>
      </c>
      <c r="I824" s="15">
        <f ca="1">IFERROR(__xludf.DUMMYFUNCTION("""COMPUTED_VALUE"""),0.52083333333212)</f>
        <v>0.52083333333212001</v>
      </c>
      <c r="J824" s="16"/>
      <c r="K824" t="str">
        <f ca="1">IFERROR(__xludf.DUMMYFUNCTION("""COMPUTED_VALUE"""),"F 20ft Sea Ark (Easy 200) FL8534PY DEP21451")</f>
        <v>F 20ft Sea Ark (Easy 200) FL8534PY DEP21451</v>
      </c>
      <c r="M824" t="str">
        <f ca="1">IFERROR(__xludf.DUMMYFUNCTION("""COMPUTED_VALUE"""),"Ford F150 2007 (F-Bomb) - DEP07055")</f>
        <v>Ford F150 2007 (F-Bomb) - DEP07055</v>
      </c>
      <c r="N824" t="str">
        <f ca="1">IFERROR(__xludf.DUMMYFUNCTION("""COMPUTED_VALUE"""),"Jimmy Tomazinis, (904) 547-0094")</f>
        <v>Jimmy Tomazinis, (904) 547-0094</v>
      </c>
      <c r="O824" t="str">
        <f ca="1">IFERROR(__xludf.DUMMYFUNCTION("""COMPUTED_VALUE"""),"Chris Kurtz")</f>
        <v>Chris Kurtz</v>
      </c>
      <c r="P824" t="str">
        <f ca="1">IFERROR(__xludf.DUMMYFUNCTION("""COMPUTED_VALUE"""),"Jimmy")</f>
        <v>Jimmy</v>
      </c>
      <c r="Q824" t="str">
        <f ca="1">IFERROR(__xludf.DUMMYFUNCTION("""COMPUTED_VALUE"""),"All items in working order")</f>
        <v>All items in working order</v>
      </c>
      <c r="AE824" s="11"/>
      <c r="AF824" t="str">
        <v>Scott.Eastman@floridadep.gov</v>
      </c>
      <c r="AG824" s="18"/>
    </row>
    <row r="825" spans="1:33" ht="12.75">
      <c r="A825" s="10">
        <f ca="1">IFERROR(__xludf.DUMMYFUNCTION("""COMPUTED_VALUE"""),44648.3223808796)</f>
        <v>44648.322380879603</v>
      </c>
      <c r="B825" s="11" t="str">
        <f ca="1">IFERROR(__xludf.DUMMYFUNCTION("""COMPUTED_VALUE"""),"Olivia Roorbach")</f>
        <v>Olivia Roorbach</v>
      </c>
      <c r="C825" t="str">
        <f ca="1">IFERROR(__xludf.DUMMYFUNCTION("""COMPUTED_VALUE"""),"olivia.roorbach@floridadep.gov")</f>
        <v>olivia.roorbach@floridadep.gov</v>
      </c>
      <c r="D825" t="str">
        <f ca="1">IFERROR(__xludf.DUMMYFUNCTION("""COMPUTED_VALUE"""),"Alee Knoell")</f>
        <v>Alee Knoell</v>
      </c>
      <c r="E825" t="str">
        <f ca="1">IFERROR(__xludf.DUMMYFUNCTION("""COMPUTED_VALUE"""),"6 mile ")</f>
        <v xml:space="preserve">6 mile </v>
      </c>
      <c r="F825" s="13">
        <f ca="1">IFERROR(__xludf.DUMMYFUNCTION("""COMPUTED_VALUE"""),0.322916666667879)</f>
        <v>0.32291666666787899</v>
      </c>
      <c r="G825" s="14">
        <f ca="1">IFERROR(__xludf.DUMMYFUNCTION("""COMPUTED_VALUE"""),44648)</f>
        <v>44648</v>
      </c>
      <c r="H825" t="str">
        <f ca="1">IFERROR(__xludf.DUMMYFUNCTION("""COMPUTED_VALUE"""),"Guana lake ")</f>
        <v xml:space="preserve">Guana lake </v>
      </c>
      <c r="I825" s="15">
        <f ca="1">IFERROR(__xludf.DUMMYFUNCTION("""COMPUTED_VALUE"""),0.4375)</f>
        <v>0.4375</v>
      </c>
      <c r="J825" s="16">
        <f ca="1">IFERROR(__xludf.DUMMYFUNCTION("""COMPUTED_VALUE"""),44648.4583333333)</f>
        <v>44648.458333333299</v>
      </c>
      <c r="K825" t="str">
        <f ca="1">IFERROR(__xludf.DUMMYFUNCTION("""COMPUTED_VALUE"""),"Jon Boat 1 FL5992RR DEP154045")</f>
        <v>Jon Boat 1 FL5992RR DEP154045</v>
      </c>
      <c r="M825" t="str">
        <f ca="1">IFERROR(__xludf.DUMMYFUNCTION("""COMPUTED_VALUE"""),"Ford F150 2015 (White) - DEP21448")</f>
        <v>Ford F150 2015 (White) - DEP21448</v>
      </c>
      <c r="N825" t="str">
        <f ca="1">IFERROR(__xludf.DUMMYFUNCTION("""COMPUTED_VALUE"""),"Olivia Roorbach, (404) 694-2653")</f>
        <v>Olivia Roorbach, (404) 694-2653</v>
      </c>
      <c r="O825" t="str">
        <f ca="1">IFERROR(__xludf.DUMMYFUNCTION("""COMPUTED_VALUE"""),"Justina Dacey, Ashley Smyth, Gabrielle Foursa")</f>
        <v>Justina Dacey, Ashley Smyth, Gabrielle Foursa</v>
      </c>
      <c r="P825" t="str">
        <f ca="1">IFERROR(__xludf.DUMMYFUNCTION("""COMPUTED_VALUE"""),"Olivia Roorbach")</f>
        <v>Olivia Roorbach</v>
      </c>
      <c r="Q825" t="str">
        <f ca="1">IFERROR(__xludf.DUMMYFUNCTION("""COMPUTED_VALUE"""),"All items in working order")</f>
        <v>All items in working order</v>
      </c>
      <c r="AE825" s="11"/>
      <c r="AF825" t="str">
        <v/>
      </c>
      <c r="AG825" s="18"/>
    </row>
    <row r="826" spans="1:33" ht="12.75">
      <c r="A826" s="10">
        <f ca="1">IFERROR(__xludf.DUMMYFUNCTION("""COMPUTED_VALUE"""),44649.9003118171)</f>
        <v>44649.900311817102</v>
      </c>
      <c r="B826" s="11" t="str">
        <f ca="1">IFERROR(__xludf.DUMMYFUNCTION("""COMPUTED_VALUE"""),"Jimmy")</f>
        <v>Jimmy</v>
      </c>
      <c r="C826" t="str">
        <f ca="1">IFERROR(__xludf.DUMMYFUNCTION("""COMPUTED_VALUE"""),"james.tomazinis@floridadep.gov")</f>
        <v>james.tomazinis@floridadep.gov</v>
      </c>
      <c r="D826" t="str">
        <f ca="1">IFERROR(__xludf.DUMMYFUNCTION("""COMPUTED_VALUE"""),"Scott Eastman")</f>
        <v>Scott Eastman</v>
      </c>
      <c r="E826" t="str">
        <f ca="1">IFERROR(__xludf.DUMMYFUNCTION("""COMPUTED_VALUE"""),"Dee Dee Bartels and Holly Point")</f>
        <v>Dee Dee Bartels and Holly Point</v>
      </c>
      <c r="F826" s="13">
        <f ca="1">IFERROR(__xludf.DUMMYFUNCTION("""COMPUTED_VALUE"""),0.385416666667879)</f>
        <v>0.38541666666787899</v>
      </c>
      <c r="G826" s="14">
        <f ca="1">IFERROR(__xludf.DUMMYFUNCTION("""COMPUTED_VALUE"""),44650)</f>
        <v>44650</v>
      </c>
      <c r="H826" t="str">
        <f ca="1">IFERROR(__xludf.DUMMYFUNCTION("""COMPUTED_VALUE"""),"NEAP WQ sites ")</f>
        <v xml:space="preserve">NEAP WQ sites </v>
      </c>
      <c r="I826" s="15">
        <f ca="1">IFERROR(__xludf.DUMMYFUNCTION("""COMPUTED_VALUE"""),0.58333333333212)</f>
        <v>0.58333333333212001</v>
      </c>
      <c r="J826" s="16"/>
      <c r="K826" t="str">
        <f ca="1">IFERROR(__xludf.DUMMYFUNCTION("""COMPUTED_VALUE"""),"F 20ft Sea Ark (Easy 200) FL8534PY DEP21451")</f>
        <v>F 20ft Sea Ark (Easy 200) FL8534PY DEP21451</v>
      </c>
      <c r="M826" t="str">
        <f ca="1">IFERROR(__xludf.DUMMYFUNCTION("""COMPUTED_VALUE"""),"Ford F150 2007 (F-Bomb) - DEP07055")</f>
        <v>Ford F150 2007 (F-Bomb) - DEP07055</v>
      </c>
      <c r="N826" t="str">
        <f ca="1">IFERROR(__xludf.DUMMYFUNCTION("""COMPUTED_VALUE"""),"Jimmy Tomazinis, (904) 547-0094")</f>
        <v>Jimmy Tomazinis, (904) 547-0094</v>
      </c>
      <c r="O826" t="str">
        <f ca="1">IFERROR(__xludf.DUMMYFUNCTION("""COMPUTED_VALUE"""),"Chris Kurtz")</f>
        <v>Chris Kurtz</v>
      </c>
      <c r="P826" t="str">
        <f ca="1">IFERROR(__xludf.DUMMYFUNCTION("""COMPUTED_VALUE"""),"Jimmy")</f>
        <v>Jimmy</v>
      </c>
      <c r="Q826" t="str">
        <f ca="1">IFERROR(__xludf.DUMMYFUNCTION("""COMPUTED_VALUE"""),"All items in working order")</f>
        <v>All items in working order</v>
      </c>
      <c r="AE826" s="11"/>
      <c r="AF826" t="str">
        <v>Scott.Eastman@floridadep.gov</v>
      </c>
      <c r="AG826" s="18"/>
    </row>
    <row r="827" spans="1:33" ht="12.75">
      <c r="A827" s="10">
        <f ca="1">IFERROR(__xludf.DUMMYFUNCTION("""COMPUTED_VALUE"""),44650.446185081)</f>
        <v>44650.446185080997</v>
      </c>
      <c r="B827" s="11" t="str">
        <f ca="1">IFERROR(__xludf.DUMMYFUNCTION("""COMPUTED_VALUE"""),"Pam Marcum ")</f>
        <v xml:space="preserve">Pam Marcum </v>
      </c>
      <c r="C827" t="str">
        <f ca="1">IFERROR(__xludf.DUMMYFUNCTION("""COMPUTED_VALUE"""),"Pamela.Marcum@FloridaDEP.gov")</f>
        <v>Pamela.Marcum@FloridaDEP.gov</v>
      </c>
      <c r="D827" t="str">
        <f ca="1">IFERROR(__xludf.DUMMYFUNCTION("""COMPUTED_VALUE"""),"Silas Tanner")</f>
        <v>Silas Tanner</v>
      </c>
      <c r="E827" t="str">
        <f ca="1">IFERROR(__xludf.DUMMYFUNCTION("""COMPUTED_VALUE"""),"Shore dr")</f>
        <v>Shore dr</v>
      </c>
      <c r="F827" s="13">
        <f ca="1">IFERROR(__xludf.DUMMYFUNCTION("""COMPUTED_VALUE"""),0.444444444445252)</f>
        <v>0.444444444445252</v>
      </c>
      <c r="G827" s="14">
        <f ca="1">IFERROR(__xludf.DUMMYFUNCTION("""COMPUTED_VALUE"""),44650)</f>
        <v>44650</v>
      </c>
      <c r="H827" t="str">
        <f ca="1">IFERROR(__xludf.DUMMYFUNCTION("""COMPUTED_VALUE"""),"Moses and mangrove creek")</f>
        <v>Moses and mangrove creek</v>
      </c>
      <c r="I827" s="15">
        <f ca="1">IFERROR(__xludf.DUMMYFUNCTION("""COMPUTED_VALUE"""),0.541666666667879)</f>
        <v>0.54166666666787899</v>
      </c>
      <c r="J827" s="16">
        <f ca="1">IFERROR(__xludf.DUMMYFUNCTION("""COMPUTED_VALUE"""),44650.5416666666)</f>
        <v>44650.541666666599</v>
      </c>
      <c r="K827" t="str">
        <f ca="1">IFERROR(__xludf.DUMMYFUNCTION("""COMPUTED_VALUE"""),"20ft Sea Ark FL5351SJ UNF 2015")</f>
        <v>20ft Sea Ark FL5351SJ UNF 2015</v>
      </c>
      <c r="M827" t="str">
        <f ca="1">IFERROR(__xludf.DUMMYFUNCTION("""COMPUTED_VALUE"""),"Ford F150 2015 (White) - DEP21448")</f>
        <v>Ford F150 2015 (White) - DEP21448</v>
      </c>
      <c r="N827" t="str">
        <f ca="1">IFERROR(__xludf.DUMMYFUNCTION("""COMPUTED_VALUE"""),"Pam Marcum, (480) 332-5414, Alee Knoell, (619) 750-4833")</f>
        <v>Pam Marcum, (480) 332-5414, Alee Knoell, (619) 750-4833</v>
      </c>
      <c r="P827" t="str">
        <f ca="1">IFERROR(__xludf.DUMMYFUNCTION("""COMPUTED_VALUE"""),"Pam")</f>
        <v>Pam</v>
      </c>
      <c r="Q827" t="str">
        <f ca="1">IFERROR(__xludf.DUMMYFUNCTION("""COMPUTED_VALUE"""),"All items in working order")</f>
        <v>All items in working order</v>
      </c>
      <c r="AE827" s="11"/>
      <c r="AF827" t="str">
        <v>Silas.Tanner@floridadep.gov</v>
      </c>
      <c r="AG827" s="18"/>
    </row>
    <row r="828" spans="1:33" ht="12.75">
      <c r="A828" s="10">
        <f ca="1">IFERROR(__xludf.DUMMYFUNCTION("""COMPUTED_VALUE"""),44650.5877272685)</f>
        <v>44650.587727268503</v>
      </c>
      <c r="B828" s="11" t="str">
        <f ca="1">IFERROR(__xludf.DUMMYFUNCTION("""COMPUTED_VALUE"""),"Pam Marcum ")</f>
        <v xml:space="preserve">Pam Marcum </v>
      </c>
      <c r="C828" t="str">
        <f ca="1">IFERROR(__xludf.DUMMYFUNCTION("""COMPUTED_VALUE"""),"Pamela.Marcum@FloridaDEP.gov")</f>
        <v>Pamela.Marcum@FloridaDEP.gov</v>
      </c>
      <c r="D828" t="str">
        <f ca="1">IFERROR(__xludf.DUMMYFUNCTION("""COMPUTED_VALUE"""),"Silas Tanner")</f>
        <v>Silas Tanner</v>
      </c>
      <c r="E828" t="str">
        <f ca="1">IFERROR(__xludf.DUMMYFUNCTION("""COMPUTED_VALUE"""),"Bings")</f>
        <v>Bings</v>
      </c>
      <c r="F828" s="13">
        <f ca="1">IFERROR(__xludf.DUMMYFUNCTION("""COMPUTED_VALUE"""),0.58333333333212)</f>
        <v>0.58333333333212001</v>
      </c>
      <c r="G828" s="14">
        <f ca="1">IFERROR(__xludf.DUMMYFUNCTION("""COMPUTED_VALUE"""),44650)</f>
        <v>44650</v>
      </c>
      <c r="H828" t="str">
        <f ca="1">IFERROR(__xludf.DUMMYFUNCTION("""COMPUTED_VALUE"""),"Washington oaks platforms")</f>
        <v>Washington oaks platforms</v>
      </c>
      <c r="I828" s="15">
        <f ca="1">IFERROR(__xludf.DUMMYFUNCTION("""COMPUTED_VALUE"""),0.625)</f>
        <v>0.625</v>
      </c>
      <c r="J828" s="16">
        <f ca="1">IFERROR(__xludf.DUMMYFUNCTION("""COMPUTED_VALUE"""),44650.625)</f>
        <v>44650.625</v>
      </c>
      <c r="K828" t="str">
        <f ca="1">IFERROR(__xludf.DUMMYFUNCTION("""COMPUTED_VALUE"""),"20ft Sea Ark FL5351SJ UNF 2015")</f>
        <v>20ft Sea Ark FL5351SJ UNF 2015</v>
      </c>
      <c r="M828" t="str">
        <f ca="1">IFERROR(__xludf.DUMMYFUNCTION("""COMPUTED_VALUE"""),"Ford F150 2015 (White) - DEP21448")</f>
        <v>Ford F150 2015 (White) - DEP21448</v>
      </c>
      <c r="N828" t="str">
        <f ca="1">IFERROR(__xludf.DUMMYFUNCTION("""COMPUTED_VALUE"""),"Pam Marcum, (480) 332-5414, Alee Knoell, (619) 750-4833")</f>
        <v>Pam Marcum, (480) 332-5414, Alee Knoell, (619) 750-4833</v>
      </c>
      <c r="P828" t="str">
        <f ca="1">IFERROR(__xludf.DUMMYFUNCTION("""COMPUTED_VALUE"""),"Pam")</f>
        <v>Pam</v>
      </c>
      <c r="Q828" t="str">
        <f ca="1">IFERROR(__xludf.DUMMYFUNCTION("""COMPUTED_VALUE"""),"All items in working order")</f>
        <v>All items in working order</v>
      </c>
      <c r="AE828" s="11"/>
      <c r="AF828" t="str">
        <v>Silas.Tanner@floridadep.gov</v>
      </c>
      <c r="AG828" s="18"/>
    </row>
    <row r="829" spans="1:33" ht="12.75">
      <c r="A829" s="10">
        <f ca="1">IFERROR(__xludf.DUMMYFUNCTION("""COMPUTED_VALUE"""),44650.6301496412)</f>
        <v>44650.630149641198</v>
      </c>
      <c r="B829" s="11" t="str">
        <f ca="1">IFERROR(__xludf.DUMMYFUNCTION("""COMPUTED_VALUE"""),"Pam Marcum ")</f>
        <v xml:space="preserve">Pam Marcum </v>
      </c>
      <c r="C829" t="str">
        <f ca="1">IFERROR(__xludf.DUMMYFUNCTION("""COMPUTED_VALUE"""),"Pamela.Marcum@FloridaDEP.gov")</f>
        <v>Pamela.Marcum@FloridaDEP.gov</v>
      </c>
      <c r="D829" t="str">
        <f ca="1">IFERROR(__xludf.DUMMYFUNCTION("""COMPUTED_VALUE"""),"Silas Tanner")</f>
        <v>Silas Tanner</v>
      </c>
      <c r="E829" t="str">
        <f ca="1">IFERROR(__xludf.DUMMYFUNCTION("""COMPUTED_VALUE"""),"Faver dykes")</f>
        <v>Faver dykes</v>
      </c>
      <c r="F829" s="13">
        <f ca="1">IFERROR(__xludf.DUMMYFUNCTION("""COMPUTED_VALUE"""),0.635416666667879)</f>
        <v>0.63541666666787899</v>
      </c>
      <c r="G829" s="14">
        <f ca="1">IFERROR(__xludf.DUMMYFUNCTION("""COMPUTED_VALUE"""),44650)</f>
        <v>44650</v>
      </c>
      <c r="H829" t="str">
        <f ca="1">IFERROR(__xludf.DUMMYFUNCTION("""COMPUTED_VALUE"""),"Pellicer mouth ")</f>
        <v xml:space="preserve">Pellicer mouth </v>
      </c>
      <c r="I829" s="15">
        <f ca="1">IFERROR(__xludf.DUMMYFUNCTION("""COMPUTED_VALUE"""),0.666666666667879)</f>
        <v>0.66666666666787899</v>
      </c>
      <c r="J829" s="16">
        <f ca="1">IFERROR(__xludf.DUMMYFUNCTION("""COMPUTED_VALUE"""),44650.7083333333)</f>
        <v>44650.708333333299</v>
      </c>
      <c r="K829" t="str">
        <f ca="1">IFERROR(__xludf.DUMMYFUNCTION("""COMPUTED_VALUE"""),"20ft Sea Ark FL5351SJ UNF 2015")</f>
        <v>20ft Sea Ark FL5351SJ UNF 2015</v>
      </c>
      <c r="M829" t="str">
        <f ca="1">IFERROR(__xludf.DUMMYFUNCTION("""COMPUTED_VALUE"""),"Ford F150 2015 (White) - DEP21448")</f>
        <v>Ford F150 2015 (White) - DEP21448</v>
      </c>
      <c r="N829" t="str">
        <f ca="1">IFERROR(__xludf.DUMMYFUNCTION("""COMPUTED_VALUE"""),"Pam Marcum, (480) 332-5414, Alee Knoell, (619) 750-4833")</f>
        <v>Pam Marcum, (480) 332-5414, Alee Knoell, (619) 750-4833</v>
      </c>
      <c r="P829" t="str">
        <f ca="1">IFERROR(__xludf.DUMMYFUNCTION("""COMPUTED_VALUE"""),"Pam")</f>
        <v>Pam</v>
      </c>
      <c r="Q829" t="str">
        <f ca="1">IFERROR(__xludf.DUMMYFUNCTION("""COMPUTED_VALUE"""),"All items in working order")</f>
        <v>All items in working order</v>
      </c>
      <c r="AE829" s="11"/>
      <c r="AF829" t="str">
        <v>Silas.Tanner@floridadep.gov</v>
      </c>
      <c r="AG829" s="18"/>
    </row>
    <row r="830" spans="1:33" ht="12.75">
      <c r="A830" s="10">
        <f ca="1">IFERROR(__xludf.DUMMYFUNCTION("""COMPUTED_VALUE"""),44652.638418831)</f>
        <v>44652.638418830997</v>
      </c>
      <c r="B830" s="11" t="str">
        <f ca="1">IFERROR(__xludf.DUMMYFUNCTION("""COMPUTED_VALUE"""),"Pam Marcum ")</f>
        <v xml:space="preserve">Pam Marcum </v>
      </c>
      <c r="C830" t="str">
        <f ca="1">IFERROR(__xludf.DUMMYFUNCTION("""COMPUTED_VALUE"""),"Pamela.Marcum@FloridaDEP.gov")</f>
        <v>Pamela.Marcum@FloridaDEP.gov</v>
      </c>
      <c r="D830" t="str">
        <f ca="1">IFERROR(__xludf.DUMMYFUNCTION("""COMPUTED_VALUE"""),"Nikki Dix")</f>
        <v>Nikki Dix</v>
      </c>
      <c r="E830" t="str">
        <f ca="1">IFERROR(__xludf.DUMMYFUNCTION("""COMPUTED_VALUE"""),"Aunt kates")</f>
        <v>Aunt kates</v>
      </c>
      <c r="F830" s="13">
        <f ca="1">IFERROR(__xludf.DUMMYFUNCTION("""COMPUTED_VALUE"""),0.58333333333212)</f>
        <v>0.58333333333212001</v>
      </c>
      <c r="G830" s="14">
        <f ca="1">IFERROR(__xludf.DUMMYFUNCTION("""COMPUTED_VALUE"""),44652)</f>
        <v>44652</v>
      </c>
      <c r="H830" t="str">
        <f ca="1">IFERROR(__xludf.DUMMYFUNCTION("""COMPUTED_VALUE"""),"Hat island and pine island")</f>
        <v>Hat island and pine island</v>
      </c>
      <c r="I830" s="15">
        <f ca="1">IFERROR(__xludf.DUMMYFUNCTION("""COMPUTED_VALUE"""),0.75)</f>
        <v>0.75</v>
      </c>
      <c r="J830" s="16">
        <f ca="1">IFERROR(__xludf.DUMMYFUNCTION("""COMPUTED_VALUE"""),44652.7708333333)</f>
        <v>44652.770833333299</v>
      </c>
      <c r="K830" t="str">
        <f ca="1">IFERROR(__xludf.DUMMYFUNCTION("""COMPUTED_VALUE"""),"20ft Sea Ark FL5351SJ UNF 2015")</f>
        <v>20ft Sea Ark FL5351SJ UNF 2015</v>
      </c>
      <c r="M830" t="str">
        <f ca="1">IFERROR(__xludf.DUMMYFUNCTION("""COMPUTED_VALUE"""),"Ford F150 2015 (White) - DEP21448")</f>
        <v>Ford F150 2015 (White) - DEP21448</v>
      </c>
      <c r="N830" t="str">
        <f ca="1">IFERROR(__xludf.DUMMYFUNCTION("""COMPUTED_VALUE"""),"Pam Marcum, (480) 332-5414")</f>
        <v>Pam Marcum, (480) 332-5414</v>
      </c>
      <c r="O830" t="str">
        <f ca="1">IFERROR(__xludf.DUMMYFUNCTION("""COMPUTED_VALUE"""),"Sam chapman, tess adgie")</f>
        <v>Sam chapman, tess adgie</v>
      </c>
      <c r="P830" t="str">
        <f ca="1">IFERROR(__xludf.DUMMYFUNCTION("""COMPUTED_VALUE"""),"Pam")</f>
        <v>Pam</v>
      </c>
      <c r="Q830" t="str">
        <f ca="1">IFERROR(__xludf.DUMMYFUNCTION("""COMPUTED_VALUE"""),"All items in working order")</f>
        <v>All items in working order</v>
      </c>
      <c r="AE830" s="11"/>
      <c r="AF830" t="str">
        <v>Nikki.Dix@floridadep.gov</v>
      </c>
      <c r="AG830" s="18"/>
    </row>
    <row r="831" spans="1:33" ht="12.75">
      <c r="A831" s="10">
        <f ca="1">IFERROR(__xludf.DUMMYFUNCTION("""COMPUTED_VALUE"""),44655.2084379282)</f>
        <v>44655.208437928202</v>
      </c>
      <c r="B831" s="11" t="str">
        <f ca="1">IFERROR(__xludf.DUMMYFUNCTION("""COMPUTED_VALUE"""),"Pam Marcum ")</f>
        <v xml:space="preserve">Pam Marcum </v>
      </c>
      <c r="C831" t="str">
        <f ca="1">IFERROR(__xludf.DUMMYFUNCTION("""COMPUTED_VALUE"""),"Pamela.Marcum@FloridaDEP.gov")</f>
        <v>Pamela.Marcum@FloridaDEP.gov</v>
      </c>
      <c r="D831" t="str">
        <f ca="1">IFERROR(__xludf.DUMMYFUNCTION("""COMPUTED_VALUE"""),"Nikki Dix")</f>
        <v>Nikki Dix</v>
      </c>
      <c r="E831" t="str">
        <f ca="1">IFERROR(__xludf.DUMMYFUNCTION("""COMPUTED_VALUE"""),"Butler")</f>
        <v>Butler</v>
      </c>
      <c r="F831" s="13">
        <f ca="1">IFERROR(__xludf.DUMMYFUNCTION("""COMPUTED_VALUE"""),0.20833333333212)</f>
        <v>0.20833333333212001</v>
      </c>
      <c r="G831" s="14">
        <f ca="1">IFERROR(__xludf.DUMMYFUNCTION("""COMPUTED_VALUE"""),44655)</f>
        <v>44655</v>
      </c>
      <c r="H831" t="str">
        <f ca="1">IFERROR(__xludf.DUMMYFUNCTION("""COMPUTED_VALUE"""),"Moses creek")</f>
        <v>Moses creek</v>
      </c>
      <c r="I831" s="15">
        <f ca="1">IFERROR(__xludf.DUMMYFUNCTION("""COMPUTED_VALUE"""),0.5)</f>
        <v>0.5</v>
      </c>
      <c r="J831" s="16">
        <f ca="1">IFERROR(__xludf.DUMMYFUNCTION("""COMPUTED_VALUE"""),44655.5416666666)</f>
        <v>44655.541666666599</v>
      </c>
      <c r="K831" t="str">
        <f ca="1">IFERROR(__xludf.DUMMYFUNCTION("""COMPUTED_VALUE"""),"20ft Sea Ark FL5351SJ UNF 2015")</f>
        <v>20ft Sea Ark FL5351SJ UNF 2015</v>
      </c>
      <c r="M831" t="str">
        <f ca="1">IFERROR(__xludf.DUMMYFUNCTION("""COMPUTED_VALUE"""),"Ford F150 2015 (White) - DEP21448")</f>
        <v>Ford F150 2015 (White) - DEP21448</v>
      </c>
      <c r="N831" t="str">
        <f ca="1">IFERROR(__xludf.DUMMYFUNCTION("""COMPUTED_VALUE"""),"Pam Marcum, (480) 332-5414")</f>
        <v>Pam Marcum, (480) 332-5414</v>
      </c>
      <c r="O831" t="str">
        <f ca="1">IFERROR(__xludf.DUMMYFUNCTION("""COMPUTED_VALUE"""),"Allix North ")</f>
        <v xml:space="preserve">Allix North </v>
      </c>
      <c r="P831" t="str">
        <f ca="1">IFERROR(__xludf.DUMMYFUNCTION("""COMPUTED_VALUE"""),"Pam")</f>
        <v>Pam</v>
      </c>
      <c r="Q831" t="str">
        <f ca="1">IFERROR(__xludf.DUMMYFUNCTION("""COMPUTED_VALUE"""),"All items in working order")</f>
        <v>All items in working order</v>
      </c>
      <c r="AE831" s="11"/>
      <c r="AF831" t="str">
        <v>Nikki.Dix@floridadep.gov</v>
      </c>
      <c r="AG831" s="18"/>
    </row>
    <row r="832" spans="1:33" ht="12.75">
      <c r="A832" s="10">
        <f ca="1">IFERROR(__xludf.DUMMYFUNCTION("""COMPUTED_VALUE"""),44656.3546638657)</f>
        <v>44656.354663865699</v>
      </c>
      <c r="B832" s="11" t="str">
        <f ca="1">IFERROR(__xludf.DUMMYFUNCTION("""COMPUTED_VALUE"""),"Silas Tanner")</f>
        <v>Silas Tanner</v>
      </c>
      <c r="C832" t="str">
        <f ca="1">IFERROR(__xludf.DUMMYFUNCTION("""COMPUTED_VALUE"""),"silas.tanner@dep.state.fl.us")</f>
        <v>silas.tanner@dep.state.fl.us</v>
      </c>
      <c r="D832" t="str">
        <f ca="1">IFERROR(__xludf.DUMMYFUNCTION("""COMPUTED_VALUE"""),"Nikki Dix")</f>
        <v>Nikki Dix</v>
      </c>
      <c r="E832" t="str">
        <f ca="1">IFERROR(__xludf.DUMMYFUNCTION("""COMPUTED_VALUE"""),"Vilano Landing")</f>
        <v>Vilano Landing</v>
      </c>
      <c r="F832" s="13">
        <f ca="1">IFERROR(__xludf.DUMMYFUNCTION("""COMPUTED_VALUE"""),0.375)</f>
        <v>0.375</v>
      </c>
      <c r="G832" s="14">
        <f ca="1">IFERROR(__xludf.DUMMYFUNCTION("""COMPUTED_VALUE"""),44656)</f>
        <v>44656</v>
      </c>
      <c r="H832" t="str">
        <f ca="1">IFERROR(__xludf.DUMMYFUNCTION("""COMPUTED_VALUE"""),"ICW SWMP sites")</f>
        <v>ICW SWMP sites</v>
      </c>
      <c r="I832" s="15">
        <f ca="1">IFERROR(__xludf.DUMMYFUNCTION("""COMPUTED_VALUE"""),0.58333333333212)</f>
        <v>0.58333333333212001</v>
      </c>
      <c r="J832" s="16">
        <f ca="1">IFERROR(__xludf.DUMMYFUNCTION("""COMPUTED_VALUE"""),44656.6666666666)</f>
        <v>44656.666666666599</v>
      </c>
      <c r="K832" t="str">
        <f ca="1">IFERROR(__xludf.DUMMYFUNCTION("""COMPUTED_VALUE"""),"20ft Sea Ark FL5351SJ UNF 2015")</f>
        <v>20ft Sea Ark FL5351SJ UNF 2015</v>
      </c>
      <c r="M832" t="str">
        <f ca="1">IFERROR(__xludf.DUMMYFUNCTION("""COMPUTED_VALUE"""),"Ford F150 2015 (White) - DEP21448")</f>
        <v>Ford F150 2015 (White) - DEP21448</v>
      </c>
      <c r="N832" t="str">
        <f ca="1">IFERROR(__xludf.DUMMYFUNCTION("""COMPUTED_VALUE"""),"Silas Tanner, (904) 483-8423, Remo Mondazzi")</f>
        <v>Silas Tanner, (904) 483-8423, Remo Mondazzi</v>
      </c>
      <c r="P832" t="str">
        <f ca="1">IFERROR(__xludf.DUMMYFUNCTION("""COMPUTED_VALUE"""),"Silas Tanner")</f>
        <v>Silas Tanner</v>
      </c>
      <c r="Q832" t="str">
        <f ca="1">IFERROR(__xludf.DUMMYFUNCTION("""COMPUTED_VALUE"""),"All items in working order")</f>
        <v>All items in working order</v>
      </c>
      <c r="AE832" s="11"/>
      <c r="AF832" t="str">
        <v>Nikki.Dix@floridadep.gov</v>
      </c>
      <c r="AG832" s="18"/>
    </row>
    <row r="833" spans="1:33" ht="12.75">
      <c r="A833" s="10">
        <f ca="1">IFERROR(__xludf.DUMMYFUNCTION("""COMPUTED_VALUE"""),44656.3869553703)</f>
        <v>44656.386955370297</v>
      </c>
      <c r="B833" s="11" t="str">
        <f ca="1">IFERROR(__xludf.DUMMYFUNCTION("""COMPUTED_VALUE"""),"Pam Marcum ")</f>
        <v xml:space="preserve">Pam Marcum </v>
      </c>
      <c r="C833" t="str">
        <f ca="1">IFERROR(__xludf.DUMMYFUNCTION("""COMPUTED_VALUE"""),"Pamela.Marcum@FloridaDEP.gov")</f>
        <v>Pamela.Marcum@FloridaDEP.gov</v>
      </c>
      <c r="D833" t="str">
        <f ca="1">IFERROR(__xludf.DUMMYFUNCTION("""COMPUTED_VALUE"""),"Nikki Dix")</f>
        <v>Nikki Dix</v>
      </c>
      <c r="E833" t="str">
        <f ca="1">IFERROR(__xludf.DUMMYFUNCTION("""COMPUTED_VALUE"""),"Faver dykes")</f>
        <v>Faver dykes</v>
      </c>
      <c r="F833" s="13">
        <f ca="1">IFERROR(__xludf.DUMMYFUNCTION("""COMPUTED_VALUE"""),0.375)</f>
        <v>0.375</v>
      </c>
      <c r="G833" s="14">
        <f ca="1">IFERROR(__xludf.DUMMYFUNCTION("""COMPUTED_VALUE"""),44656)</f>
        <v>44656</v>
      </c>
      <c r="H833" t="str">
        <f ca="1">IFERROR(__xludf.DUMMYFUNCTION("""COMPUTED_VALUE"""),"Pc mouth")</f>
        <v>Pc mouth</v>
      </c>
      <c r="I833" s="15">
        <f ca="1">IFERROR(__xludf.DUMMYFUNCTION("""COMPUTED_VALUE"""),0.52083333333212)</f>
        <v>0.52083333333212001</v>
      </c>
      <c r="J833" s="16">
        <f ca="1">IFERROR(__xludf.DUMMYFUNCTION("""COMPUTED_VALUE"""),44656.5416666666)</f>
        <v>44656.541666666599</v>
      </c>
      <c r="K833" t="str">
        <f ca="1">IFERROR(__xludf.DUMMYFUNCTION("""COMPUTED_VALUE"""),"23ft Skiff (Bertha) FL7972LJ DEP07613")</f>
        <v>23ft Skiff (Bertha) FL7972LJ DEP07613</v>
      </c>
      <c r="M833" t="str">
        <f ca="1">IFERROR(__xludf.DUMMYFUNCTION("""COMPUTED_VALUE"""),"Ford F250 2017 (Moby Dix) - DEP0021578")</f>
        <v>Ford F250 2017 (Moby Dix) - DEP0021578</v>
      </c>
      <c r="N833" t="str">
        <f ca="1">IFERROR(__xludf.DUMMYFUNCTION("""COMPUTED_VALUE"""),"Pam Marcum, (480) 332-5414, Alee Knoell, (619) 750-4833")</f>
        <v>Pam Marcum, (480) 332-5414, Alee Knoell, (619) 750-4833</v>
      </c>
      <c r="P833" t="str">
        <f ca="1">IFERROR(__xludf.DUMMYFUNCTION("""COMPUTED_VALUE"""),"Pam")</f>
        <v>Pam</v>
      </c>
      <c r="Q833" t="str">
        <f ca="1">IFERROR(__xludf.DUMMYFUNCTION("""COMPUTED_VALUE"""),"All items in working order")</f>
        <v>All items in working order</v>
      </c>
      <c r="AE833" s="11"/>
      <c r="AF833" t="str">
        <v>Nikki.Dix@floridadep.gov</v>
      </c>
      <c r="AG833" s="18"/>
    </row>
    <row r="834" spans="1:33" ht="12.75">
      <c r="A834" s="10">
        <f ca="1">IFERROR(__xludf.DUMMYFUNCTION("""COMPUTED_VALUE"""),44657.3104907986)</f>
        <v>44657.310490798598</v>
      </c>
      <c r="B834" s="11" t="str">
        <f ca="1">IFERROR(__xludf.DUMMYFUNCTION("""COMPUTED_VALUE"""),"Pam Marcum ")</f>
        <v xml:space="preserve">Pam Marcum </v>
      </c>
      <c r="C834" t="str">
        <f ca="1">IFERROR(__xludf.DUMMYFUNCTION("""COMPUTED_VALUE"""),"Pamela.Marcum@FloridaDEP.gov")</f>
        <v>Pamela.Marcum@FloridaDEP.gov</v>
      </c>
      <c r="D834" t="str">
        <f ca="1">IFERROR(__xludf.DUMMYFUNCTION("""COMPUTED_VALUE"""),"Nikki Dix")</f>
        <v>Nikki Dix</v>
      </c>
      <c r="E834" t="str">
        <f ca="1">IFERROR(__xludf.DUMMYFUNCTION("""COMPUTED_VALUE"""),"Palm valley")</f>
        <v>Palm valley</v>
      </c>
      <c r="F834" s="13">
        <f ca="1">IFERROR(__xludf.DUMMYFUNCTION("""COMPUTED_VALUE"""),0.30208333333212)</f>
        <v>0.30208333333212001</v>
      </c>
      <c r="G834" s="14">
        <f ca="1">IFERROR(__xludf.DUMMYFUNCTION("""COMPUTED_VALUE"""),44657)</f>
        <v>44657</v>
      </c>
      <c r="H834" t="str">
        <f ca="1">IFERROR(__xludf.DUMMYFUNCTION("""COMPUTED_VALUE"""),"Pine island")</f>
        <v>Pine island</v>
      </c>
      <c r="I834" s="15">
        <f ca="1">IFERROR(__xludf.DUMMYFUNCTION("""COMPUTED_VALUE"""),0.416666666667879)</f>
        <v>0.41666666666787899</v>
      </c>
      <c r="J834" s="16">
        <f ca="1">IFERROR(__xludf.DUMMYFUNCTION("""COMPUTED_VALUE"""),44657.4375)</f>
        <v>44657.4375</v>
      </c>
      <c r="K834" t="str">
        <f ca="1">IFERROR(__xludf.DUMMYFUNCTION("""COMPUTED_VALUE"""),"20ft Sea Ark FL5351SJ UNF 2015")</f>
        <v>20ft Sea Ark FL5351SJ UNF 2015</v>
      </c>
      <c r="M834" t="str">
        <f ca="1">IFERROR(__xludf.DUMMYFUNCTION("""COMPUTED_VALUE"""),"Ford F150 2015 (White) - DEP21448")</f>
        <v>Ford F150 2015 (White) - DEP21448</v>
      </c>
      <c r="N834" t="str">
        <f ca="1">IFERROR(__xludf.DUMMYFUNCTION("""COMPUTED_VALUE"""),"Pam Marcum, (480) 332-5414")</f>
        <v>Pam Marcum, (480) 332-5414</v>
      </c>
      <c r="O834" t="str">
        <f ca="1">IFERROR(__xludf.DUMMYFUNCTION("""COMPUTED_VALUE"""),"Allix North, Savanna Mathis")</f>
        <v>Allix North, Savanna Mathis</v>
      </c>
      <c r="P834" t="str">
        <f ca="1">IFERROR(__xludf.DUMMYFUNCTION("""COMPUTED_VALUE"""),"Pam")</f>
        <v>Pam</v>
      </c>
      <c r="Q834" t="str">
        <f ca="1">IFERROR(__xludf.DUMMYFUNCTION("""COMPUTED_VALUE"""),"All items in working order")</f>
        <v>All items in working order</v>
      </c>
      <c r="AE834" s="11"/>
      <c r="AF834" t="str">
        <v>Nikki.Dix@floridadep.gov</v>
      </c>
      <c r="AG834" s="18"/>
    </row>
    <row r="835" spans="1:33" ht="12.75">
      <c r="A835" s="10">
        <f ca="1">IFERROR(__xludf.DUMMYFUNCTION("""COMPUTED_VALUE"""),44659.3370828819)</f>
        <v>44659.337082881902</v>
      </c>
      <c r="B835" s="11" t="str">
        <f ca="1">IFERROR(__xludf.DUMMYFUNCTION("""COMPUTED_VALUE"""),"Alexandria Knoell")</f>
        <v>Alexandria Knoell</v>
      </c>
      <c r="C835" t="str">
        <f ca="1">IFERROR(__xludf.DUMMYFUNCTION("""COMPUTED_VALUE"""),"alee.knoell@floridadep.gov")</f>
        <v>alee.knoell@floridadep.gov</v>
      </c>
      <c r="D835" t="str">
        <f ca="1">IFERROR(__xludf.DUMMYFUNCTION("""COMPUTED_VALUE"""),"Pam Marcum")</f>
        <v>Pam Marcum</v>
      </c>
      <c r="E835" t="str">
        <f ca="1">IFERROR(__xludf.DUMMYFUNCTION("""COMPUTED_VALUE"""),"Usina ")</f>
        <v xml:space="preserve">Usina </v>
      </c>
      <c r="F835" s="13">
        <f ca="1">IFERROR(__xludf.DUMMYFUNCTION("""COMPUTED_VALUE"""),0.33333333333212)</f>
        <v>0.33333333333212001</v>
      </c>
      <c r="G835" s="14">
        <f ca="1">IFERROR(__xludf.DUMMYFUNCTION("""COMPUTED_VALUE"""),44659)</f>
        <v>44659</v>
      </c>
      <c r="H835" t="str">
        <f ca="1">IFERROR(__xludf.DUMMYFUNCTION("""COMPUTED_VALUE"""),"Hat island")</f>
        <v>Hat island</v>
      </c>
      <c r="I835" s="15">
        <f ca="1">IFERROR(__xludf.DUMMYFUNCTION("""COMPUTED_VALUE"""),0.375)</f>
        <v>0.375</v>
      </c>
      <c r="J835" s="16">
        <f ca="1">IFERROR(__xludf.DUMMYFUNCTION("""COMPUTED_VALUE"""),44659.6666666666)</f>
        <v>44659.666666666599</v>
      </c>
      <c r="K835" t="str">
        <f ca="1">IFERROR(__xludf.DUMMYFUNCTION("""COMPUTED_VALUE"""),"23ft Skiff (Bertha) FL7972LJ DEP07613")</f>
        <v>23ft Skiff (Bertha) FL7972LJ DEP07613</v>
      </c>
      <c r="M835" t="str">
        <f ca="1">IFERROR(__xludf.DUMMYFUNCTION("""COMPUTED_VALUE"""),"Ford F250 2017 (Moby Dix) - DEP0021578")</f>
        <v>Ford F250 2017 (Moby Dix) - DEP0021578</v>
      </c>
      <c r="N835" t="str">
        <f ca="1">IFERROR(__xludf.DUMMYFUNCTION("""COMPUTED_VALUE"""),"Alee Knoell, (619) 750-4833")</f>
        <v>Alee Knoell, (619) 750-4833</v>
      </c>
      <c r="O835" t="str">
        <f ca="1">IFERROR(__xludf.DUMMYFUNCTION("""COMPUTED_VALUE"""),"Alix, Savanna ")</f>
        <v xml:space="preserve">Alix, Savanna </v>
      </c>
      <c r="P835" t="str">
        <f ca="1">IFERROR(__xludf.DUMMYFUNCTION("""COMPUTED_VALUE"""),"Alee Knoe")</f>
        <v>Alee Knoe</v>
      </c>
      <c r="Q835" t="str">
        <f ca="1">IFERROR(__xludf.DUMMYFUNCTION("""COMPUTED_VALUE"""),"All items in working order")</f>
        <v>All items in working order</v>
      </c>
      <c r="AE835" s="11"/>
      <c r="AF835" t="str">
        <v>Pamela.Marcum@floridadep.gov</v>
      </c>
      <c r="AG835" s="18"/>
    </row>
    <row r="836" spans="1:33" ht="12.75">
      <c r="A836" s="10">
        <f ca="1">IFERROR(__xludf.DUMMYFUNCTION("""COMPUTED_VALUE"""),44659.4715475578)</f>
        <v>44659.471547557798</v>
      </c>
      <c r="B836" s="11" t="str">
        <f ca="1">IFERROR(__xludf.DUMMYFUNCTION("""COMPUTED_VALUE"""),"Alexandria Knoell")</f>
        <v>Alexandria Knoell</v>
      </c>
      <c r="C836" t="str">
        <f ca="1">IFERROR(__xludf.DUMMYFUNCTION("""COMPUTED_VALUE"""),"aleeknoell@hotmail.com")</f>
        <v>aleeknoell@hotmail.com</v>
      </c>
      <c r="D836" t="str">
        <f ca="1">IFERROR(__xludf.DUMMYFUNCTION("""COMPUTED_VALUE"""),"Nikki Dix")</f>
        <v>Nikki Dix</v>
      </c>
      <c r="E836" t="str">
        <f ca="1">IFERROR(__xludf.DUMMYFUNCTION("""COMPUTED_VALUE"""),"Crane")</f>
        <v>Crane</v>
      </c>
      <c r="F836" s="13">
        <f ca="1">IFERROR(__xludf.DUMMYFUNCTION("""COMPUTED_VALUE"""),0.46875)</f>
        <v>0.46875</v>
      </c>
      <c r="G836" s="14">
        <f ca="1">IFERROR(__xludf.DUMMYFUNCTION("""COMPUTED_VALUE"""),44659)</f>
        <v>44659</v>
      </c>
      <c r="H836" t="str">
        <f ca="1">IFERROR(__xludf.DUMMYFUNCTION("""COMPUTED_VALUE"""),"Site 22")</f>
        <v>Site 22</v>
      </c>
      <c r="I836" s="15">
        <f ca="1">IFERROR(__xludf.DUMMYFUNCTION("""COMPUTED_VALUE"""),0.58333333333212)</f>
        <v>0.58333333333212001</v>
      </c>
      <c r="J836" s="16">
        <f ca="1">IFERROR(__xludf.DUMMYFUNCTION("""COMPUTED_VALUE"""),44659.6666666666)</f>
        <v>44659.666666666599</v>
      </c>
      <c r="K836" t="str">
        <f ca="1">IFERROR(__xludf.DUMMYFUNCTION("""COMPUTED_VALUE"""),"23ft Skiff (Bertha) FL7972LJ DEP07613")</f>
        <v>23ft Skiff (Bertha) FL7972LJ DEP07613</v>
      </c>
      <c r="M836" t="str">
        <f ca="1">IFERROR(__xludf.DUMMYFUNCTION("""COMPUTED_VALUE"""),"Ford F250 2017 (Moby Dix) - DEP0021578")</f>
        <v>Ford F250 2017 (Moby Dix) - DEP0021578</v>
      </c>
      <c r="N836" t="str">
        <f ca="1">IFERROR(__xludf.DUMMYFUNCTION("""COMPUTED_VALUE"""),"Pam Marcum, (480) 332-5414, Alee Knoell, (619) 750-4833")</f>
        <v>Pam Marcum, (480) 332-5414, Alee Knoell, (619) 750-4833</v>
      </c>
      <c r="O836" t="str">
        <f ca="1">IFERROR(__xludf.DUMMYFUNCTION("""COMPUTED_VALUE"""),"Savanna")</f>
        <v>Savanna</v>
      </c>
      <c r="P836" t="str">
        <f ca="1">IFERROR(__xludf.DUMMYFUNCTION("""COMPUTED_VALUE"""),"Pam marcum")</f>
        <v>Pam marcum</v>
      </c>
      <c r="Q836" t="str">
        <f ca="1">IFERROR(__xludf.DUMMYFUNCTION("""COMPUTED_VALUE"""),"All items in working order")</f>
        <v>All items in working order</v>
      </c>
      <c r="AE836" s="11"/>
      <c r="AF836" t="str">
        <v>Nikki.Dix@floridadep.gov</v>
      </c>
      <c r="AG836" s="18"/>
    </row>
    <row r="837" spans="1:33" ht="12.75">
      <c r="A837" s="10">
        <f ca="1">IFERROR(__xludf.DUMMYFUNCTION("""COMPUTED_VALUE"""),44662.4578947222)</f>
        <v>44662.457894722203</v>
      </c>
      <c r="B837" s="11" t="str">
        <f ca="1">IFERROR(__xludf.DUMMYFUNCTION("""COMPUTED_VALUE"""),"Jimmy")</f>
        <v>Jimmy</v>
      </c>
      <c r="C837" t="str">
        <f ca="1">IFERROR(__xludf.DUMMYFUNCTION("""COMPUTED_VALUE"""),"james.tomazinis@floridadep.gov")</f>
        <v>james.tomazinis@floridadep.gov</v>
      </c>
      <c r="D837" t="str">
        <f ca="1">IFERROR(__xludf.DUMMYFUNCTION("""COMPUTED_VALUE"""),"Scott Eastman")</f>
        <v>Scott Eastman</v>
      </c>
      <c r="E837" t="str">
        <f ca="1">IFERROR(__xludf.DUMMYFUNCTION("""COMPUTED_VALUE"""),"Sawpit")</f>
        <v>Sawpit</v>
      </c>
      <c r="F837" s="13">
        <f ca="1">IFERROR(__xludf.DUMMYFUNCTION("""COMPUTED_VALUE"""),0.45833333333212)</f>
        <v>0.45833333333212001</v>
      </c>
      <c r="G837" s="14">
        <f ca="1">IFERROR(__xludf.DUMMYFUNCTION("""COMPUTED_VALUE"""),44662)</f>
        <v>44662</v>
      </c>
      <c r="H837" t="str">
        <f ca="1">IFERROR(__xludf.DUMMYFUNCTION("""COMPUTED_VALUE"""),"Black Hammock Island")</f>
        <v>Black Hammock Island</v>
      </c>
      <c r="I837" s="15">
        <f ca="1">IFERROR(__xludf.DUMMYFUNCTION("""COMPUTED_VALUE"""),0.625)</f>
        <v>0.625</v>
      </c>
      <c r="J837" s="16"/>
      <c r="K837" t="str">
        <f ca="1">IFERROR(__xludf.DUMMYFUNCTION("""COMPUTED_VALUE"""),"F 20ft Sea Ark (Easy 200) FL8534PY DEP21451")</f>
        <v>F 20ft Sea Ark (Easy 200) FL8534PY DEP21451</v>
      </c>
      <c r="M837" t="str">
        <f ca="1">IFERROR(__xludf.DUMMYFUNCTION("""COMPUTED_VALUE"""),"Ford F150 2007 (F-Bomb) - DEP07055")</f>
        <v>Ford F150 2007 (F-Bomb) - DEP07055</v>
      </c>
      <c r="N837" t="str">
        <f ca="1">IFERROR(__xludf.DUMMYFUNCTION("""COMPUTED_VALUE"""),"Jimmy Tomazinis, (904) 547-0094")</f>
        <v>Jimmy Tomazinis, (904) 547-0094</v>
      </c>
      <c r="O837" t="str">
        <f ca="1">IFERROR(__xludf.DUMMYFUNCTION("""COMPUTED_VALUE"""),"Chris Kurtz")</f>
        <v>Chris Kurtz</v>
      </c>
      <c r="P837" t="str">
        <f ca="1">IFERROR(__xludf.DUMMYFUNCTION("""COMPUTED_VALUE"""),"Jimmy")</f>
        <v>Jimmy</v>
      </c>
      <c r="Q837" t="str">
        <f ca="1">IFERROR(__xludf.DUMMYFUNCTION("""COMPUTED_VALUE"""),"All items in working order")</f>
        <v>All items in working order</v>
      </c>
      <c r="AE837" s="11"/>
      <c r="AF837" t="str">
        <v>Scott.Eastman@floridadep.gov</v>
      </c>
      <c r="AG837" s="18"/>
    </row>
    <row r="838" spans="1:33" ht="12.75">
      <c r="A838" s="10">
        <f ca="1">IFERROR(__xludf.DUMMYFUNCTION("""COMPUTED_VALUE"""),44663.3079412037)</f>
        <v>44663.307941203697</v>
      </c>
      <c r="B838" s="11" t="str">
        <f ca="1">IFERROR(__xludf.DUMMYFUNCTION("""COMPUTED_VALUE"""),"Olivia Roorbach")</f>
        <v>Olivia Roorbach</v>
      </c>
      <c r="C838" t="str">
        <f ca="1">IFERROR(__xludf.DUMMYFUNCTION("""COMPUTED_VALUE"""),"olivia.roorbach@floridadep.gov")</f>
        <v>olivia.roorbach@floridadep.gov</v>
      </c>
      <c r="D838" t="str">
        <f ca="1">IFERROR(__xludf.DUMMYFUNCTION("""COMPUTED_VALUE"""),"Shannon Dunnigan")</f>
        <v>Shannon Dunnigan</v>
      </c>
      <c r="E838" t="str">
        <f ca="1">IFERROR(__xludf.DUMMYFUNCTION("""COMPUTED_VALUE"""),"Guana river")</f>
        <v>Guana river</v>
      </c>
      <c r="F838" s="13">
        <f ca="1">IFERROR(__xludf.DUMMYFUNCTION("""COMPUTED_VALUE"""),0.30208333333212)</f>
        <v>0.30208333333212001</v>
      </c>
      <c r="G838" s="14">
        <f ca="1">IFERROR(__xludf.DUMMYFUNCTION("""COMPUTED_VALUE"""),44663)</f>
        <v>44663</v>
      </c>
      <c r="H838" t="str">
        <f ca="1">IFERROR(__xludf.DUMMYFUNCTION("""COMPUTED_VALUE"""),"Guana river and lake")</f>
        <v>Guana river and lake</v>
      </c>
      <c r="I838" s="15">
        <f ca="1">IFERROR(__xludf.DUMMYFUNCTION("""COMPUTED_VALUE"""),0.486111111109494)</f>
        <v>0.48611111110949401</v>
      </c>
      <c r="J838" s="16">
        <f ca="1">IFERROR(__xludf.DUMMYFUNCTION("""COMPUTED_VALUE"""),44663.5)</f>
        <v>44663.5</v>
      </c>
      <c r="K838" t="str">
        <f ca="1">IFERROR(__xludf.DUMMYFUNCTION("""COMPUTED_VALUE"""),"Jon Boat 1 FL5992RR DEP154045, Airboat")</f>
        <v>Jon Boat 1 FL5992RR DEP154045, Airboat</v>
      </c>
      <c r="M838" t="str">
        <f ca="1">IFERROR(__xludf.DUMMYFUNCTION("""COMPUTED_VALUE"""),"Ford F150 2015 (White) - DEP21448")</f>
        <v>Ford F150 2015 (White) - DEP21448</v>
      </c>
      <c r="N838" t="str">
        <f ca="1">IFERROR(__xludf.DUMMYFUNCTION("""COMPUTED_VALUE"""),"Olivia Roorbach, (404) 694-2653")</f>
        <v>Olivia Roorbach, (404) 694-2653</v>
      </c>
      <c r="O838" t="str">
        <f ca="1">IFERROR(__xludf.DUMMYFUNCTION("""COMPUTED_VALUE"""),"Jenna Reimer")</f>
        <v>Jenna Reimer</v>
      </c>
      <c r="P838" t="str">
        <f ca="1">IFERROR(__xludf.DUMMYFUNCTION("""COMPUTED_VALUE"""),"Olivia Roorbach")</f>
        <v>Olivia Roorbach</v>
      </c>
      <c r="Q838" t="str">
        <f ca="1">IFERROR(__xludf.DUMMYFUNCTION("""COMPUTED_VALUE"""),"All items in working order")</f>
        <v>All items in working order</v>
      </c>
      <c r="AE838" s="11"/>
      <c r="AF838" t="str">
        <v>Shannon.Dunnigan@floridadep.gov</v>
      </c>
      <c r="AG838" s="18"/>
    </row>
    <row r="839" spans="1:33" ht="12.75">
      <c r="A839" s="10">
        <f ca="1">IFERROR(__xludf.DUMMYFUNCTION("""COMPUTED_VALUE"""),44663.3932591087)</f>
        <v>44663.3932591087</v>
      </c>
      <c r="B839" s="11" t="str">
        <f ca="1">IFERROR(__xludf.DUMMYFUNCTION("""COMPUTED_VALUE"""),"Pam Marcum ")</f>
        <v xml:space="preserve">Pam Marcum </v>
      </c>
      <c r="C839" t="str">
        <f ca="1">IFERROR(__xludf.DUMMYFUNCTION("""COMPUTED_VALUE"""),"Pamela.Marcum@FloridaDEP.gov")</f>
        <v>Pamela.Marcum@FloridaDEP.gov</v>
      </c>
      <c r="D839" t="str">
        <f ca="1">IFERROR(__xludf.DUMMYFUNCTION("""COMPUTED_VALUE"""),"Nikki Dix")</f>
        <v>Nikki Dix</v>
      </c>
      <c r="E839" t="str">
        <f ca="1">IFERROR(__xludf.DUMMYFUNCTION("""COMPUTED_VALUE"""),"Crane/shore dr")</f>
        <v>Crane/shore dr</v>
      </c>
      <c r="F839" s="13">
        <f ca="1">IFERROR(__xludf.DUMMYFUNCTION("""COMPUTED_VALUE"""),0.39583333333212)</f>
        <v>0.39583333333212001</v>
      </c>
      <c r="G839" s="14">
        <f ca="1">IFERROR(__xludf.DUMMYFUNCTION("""COMPUTED_VALUE"""),44663)</f>
        <v>44663</v>
      </c>
      <c r="H839" t="str">
        <f ca="1">IFERROR(__xludf.DUMMYFUNCTION("""COMPUTED_VALUE"""),"Mangrove creek/site 22")</f>
        <v>Mangrove creek/site 22</v>
      </c>
      <c r="I839" s="15">
        <f ca="1">IFERROR(__xludf.DUMMYFUNCTION("""COMPUTED_VALUE"""),0.58333333333212)</f>
        <v>0.58333333333212001</v>
      </c>
      <c r="J839" s="16">
        <f ca="1">IFERROR(__xludf.DUMMYFUNCTION("""COMPUTED_VALUE"""),44663.625)</f>
        <v>44663.625</v>
      </c>
      <c r="K839" t="str">
        <f ca="1">IFERROR(__xludf.DUMMYFUNCTION("""COMPUTED_VALUE"""),"23ft Skiff (Bertha) FL7972LJ DEP07613")</f>
        <v>23ft Skiff (Bertha) FL7972LJ DEP07613</v>
      </c>
      <c r="M839" t="str">
        <f ca="1">IFERROR(__xludf.DUMMYFUNCTION("""COMPUTED_VALUE"""),"Ford F250 2017 (Moby Dix) - DEP0021578")</f>
        <v>Ford F250 2017 (Moby Dix) - DEP0021578</v>
      </c>
      <c r="N839" t="str">
        <f ca="1">IFERROR(__xludf.DUMMYFUNCTION("""COMPUTED_VALUE"""),"Pam Marcum, (480) 332-5414")</f>
        <v>Pam Marcum, (480) 332-5414</v>
      </c>
      <c r="O839" t="str">
        <f ca="1">IFERROR(__xludf.DUMMYFUNCTION("""COMPUTED_VALUE"""),"Savanna Mathis")</f>
        <v>Savanna Mathis</v>
      </c>
      <c r="P839" t="str">
        <f ca="1">IFERROR(__xludf.DUMMYFUNCTION("""COMPUTED_VALUE"""),"Pam")</f>
        <v>Pam</v>
      </c>
      <c r="Q839" t="str">
        <f ca="1">IFERROR(__xludf.DUMMYFUNCTION("""COMPUTED_VALUE"""),"All items in working order")</f>
        <v>All items in working order</v>
      </c>
      <c r="AE839" s="11"/>
      <c r="AF839" t="str">
        <v>Nikki.Dix@floridadep.gov</v>
      </c>
      <c r="AG839" s="18"/>
    </row>
    <row r="840" spans="1:33" ht="12.75">
      <c r="A840" s="10">
        <f ca="1">IFERROR(__xludf.DUMMYFUNCTION("""COMPUTED_VALUE"""),44663.4774425347)</f>
        <v>44663.477442534699</v>
      </c>
      <c r="B840" s="11" t="str">
        <f ca="1">IFERROR(__xludf.DUMMYFUNCTION("""COMPUTED_VALUE"""),"Jimmy ")</f>
        <v xml:space="preserve">Jimmy </v>
      </c>
      <c r="C840" t="str">
        <f ca="1">IFERROR(__xludf.DUMMYFUNCTION("""COMPUTED_VALUE"""),"james.tomazinis@floridadep.gov")</f>
        <v>james.tomazinis@floridadep.gov</v>
      </c>
      <c r="D840" t="str">
        <f ca="1">IFERROR(__xludf.DUMMYFUNCTION("""COMPUTED_VALUE"""),"Scott Eastman")</f>
        <v>Scott Eastman</v>
      </c>
      <c r="E840" t="str">
        <f ca="1">IFERROR(__xludf.DUMMYFUNCTION("""COMPUTED_VALUE"""),"Mayport")</f>
        <v>Mayport</v>
      </c>
      <c r="F840" s="13">
        <f ca="1">IFERROR(__xludf.DUMMYFUNCTION("""COMPUTED_VALUE"""),0.45833333333212)</f>
        <v>0.45833333333212001</v>
      </c>
      <c r="G840" s="14">
        <f ca="1">IFERROR(__xludf.DUMMYFUNCTION("""COMPUTED_VALUE"""),45028)</f>
        <v>45028</v>
      </c>
      <c r="H840" t="str">
        <f ca="1">IFERROR(__xludf.DUMMYFUNCTION("""COMPUTED_VALUE"""),"NEAP")</f>
        <v>NEAP</v>
      </c>
      <c r="I840" s="15">
        <f ca="1">IFERROR(__xludf.DUMMYFUNCTION("""COMPUTED_VALUE"""),0.604166666667879)</f>
        <v>0.60416666666787899</v>
      </c>
      <c r="J840" s="16"/>
      <c r="K840" t="str">
        <f ca="1">IFERROR(__xludf.DUMMYFUNCTION("""COMPUTED_VALUE"""),"F 20ft Sea Ark (Easy 200) FL8534PY DEP21451")</f>
        <v>F 20ft Sea Ark (Easy 200) FL8534PY DEP21451</v>
      </c>
      <c r="M840" t="str">
        <f ca="1">IFERROR(__xludf.DUMMYFUNCTION("""COMPUTED_VALUE"""),"Ford F150 2007 (F-Bomb) - DEP07055")</f>
        <v>Ford F150 2007 (F-Bomb) - DEP07055</v>
      </c>
      <c r="N840" t="str">
        <f ca="1">IFERROR(__xludf.DUMMYFUNCTION("""COMPUTED_VALUE"""),"Jimmy Tomazinis, (904) 547-0094")</f>
        <v>Jimmy Tomazinis, (904) 547-0094</v>
      </c>
      <c r="O840" t="str">
        <f ca="1">IFERROR(__xludf.DUMMYFUNCTION("""COMPUTED_VALUE"""),"Chris Kurtz")</f>
        <v>Chris Kurtz</v>
      </c>
      <c r="P840" t="str">
        <f ca="1">IFERROR(__xludf.DUMMYFUNCTION("""COMPUTED_VALUE"""),"Jimmy")</f>
        <v>Jimmy</v>
      </c>
      <c r="Q840" t="str">
        <f ca="1">IFERROR(__xludf.DUMMYFUNCTION("""COMPUTED_VALUE"""),"All items in working order")</f>
        <v>All items in working order</v>
      </c>
      <c r="AE840" s="11"/>
      <c r="AF840" t="str">
        <v>Scott.Eastman@floridadep.gov</v>
      </c>
      <c r="AG840" s="18"/>
    </row>
    <row r="841" spans="1:33" ht="12.75">
      <c r="A841" s="10">
        <f ca="1">IFERROR(__xludf.DUMMYFUNCTION("""COMPUTED_VALUE"""),44664.2976090972)</f>
        <v>44664.297609097201</v>
      </c>
      <c r="B841" s="11" t="str">
        <f ca="1">IFERROR(__xludf.DUMMYFUNCTION("""COMPUTED_VALUE"""),"Shannon Dunnigan")</f>
        <v>Shannon Dunnigan</v>
      </c>
      <c r="C841" t="str">
        <f ca="1">IFERROR(__xludf.DUMMYFUNCTION("""COMPUTED_VALUE"""),"shannon.dunnigan@dep.state.fl.us")</f>
        <v>shannon.dunnigan@dep.state.fl.us</v>
      </c>
      <c r="D841" t="str">
        <f ca="1">IFERROR(__xludf.DUMMYFUNCTION("""COMPUTED_VALUE"""),"Nikki Dix")</f>
        <v>Nikki Dix</v>
      </c>
      <c r="E841" t="str">
        <f ca="1">IFERROR(__xludf.DUMMYFUNCTION("""COMPUTED_VALUE"""),"Vilano")</f>
        <v>Vilano</v>
      </c>
      <c r="F841" s="13">
        <f ca="1">IFERROR(__xludf.DUMMYFUNCTION("""COMPUTED_VALUE"""),0.305555555554747)</f>
        <v>0.305555555554747</v>
      </c>
      <c r="G841" s="14">
        <f ca="1">IFERROR(__xludf.DUMMYFUNCTION("""COMPUTED_VALUE"""),44664)</f>
        <v>44664</v>
      </c>
      <c r="H841" t="str">
        <f ca="1">IFERROR(__xludf.DUMMYFUNCTION("""COMPUTED_VALUE"""),"ICWW SWMP sites")</f>
        <v>ICWW SWMP sites</v>
      </c>
      <c r="I841" s="15">
        <f ca="1">IFERROR(__xludf.DUMMYFUNCTION("""COMPUTED_VALUE"""),0.5625)</f>
        <v>0.5625</v>
      </c>
      <c r="J841" s="16">
        <f ca="1">IFERROR(__xludf.DUMMYFUNCTION("""COMPUTED_VALUE"""),44664.5833333333)</f>
        <v>44664.583333333299</v>
      </c>
      <c r="K841" t="str">
        <f ca="1">IFERROR(__xludf.DUMMYFUNCTION("""COMPUTED_VALUE"""),"23ft Skiff (Bertha) FL7972LJ DEP07613")</f>
        <v>23ft Skiff (Bertha) FL7972LJ DEP07613</v>
      </c>
      <c r="M841" t="str">
        <f ca="1">IFERROR(__xludf.DUMMYFUNCTION("""COMPUTED_VALUE"""),"Ford F250 2017 (Moby Dix) - DEP0021578")</f>
        <v>Ford F250 2017 (Moby Dix) - DEP0021578</v>
      </c>
      <c r="N841" t="str">
        <f ca="1">IFERROR(__xludf.DUMMYFUNCTION("""COMPUTED_VALUE"""),"Shannon Dunnigan, (803) 727-5734, Alee Knoell, (619) 750-4833, Gabby Canas, (904) 891-9743")</f>
        <v>Shannon Dunnigan, (803) 727-5734, Alee Knoell, (619) 750-4833, Gabby Canas, (904) 891-9743</v>
      </c>
      <c r="P841" t="str">
        <f ca="1">IFERROR(__xludf.DUMMYFUNCTION("""COMPUTED_VALUE"""),"Shannon")</f>
        <v>Shannon</v>
      </c>
      <c r="Q841" t="str">
        <f ca="1">IFERROR(__xludf.DUMMYFUNCTION("""COMPUTED_VALUE"""),"All items in working order")</f>
        <v>All items in working order</v>
      </c>
      <c r="AE841" s="11"/>
      <c r="AF841" t="str">
        <v>Nikki.Dix@floridadep.gov</v>
      </c>
      <c r="AG841" s="18"/>
    </row>
    <row r="842" spans="1:33" ht="12.75">
      <c r="A842" s="10">
        <f ca="1">IFERROR(__xludf.DUMMYFUNCTION("""COMPUTED_VALUE"""),44664.4244113194)</f>
        <v>44664.4244113194</v>
      </c>
      <c r="B842" s="11" t="str">
        <f ca="1">IFERROR(__xludf.DUMMYFUNCTION("""COMPUTED_VALUE"""),"Jimmy")</f>
        <v>Jimmy</v>
      </c>
      <c r="C842" t="str">
        <f ca="1">IFERROR(__xludf.DUMMYFUNCTION("""COMPUTED_VALUE"""),"james.tomazinis@floridadep.gov")</f>
        <v>james.tomazinis@floridadep.gov</v>
      </c>
      <c r="D842" t="str">
        <f ca="1">IFERROR(__xludf.DUMMYFUNCTION("""COMPUTED_VALUE"""),"Suzi Porterfield")</f>
        <v>Suzi Porterfield</v>
      </c>
      <c r="E842" t="str">
        <f ca="1">IFERROR(__xludf.DUMMYFUNCTION("""COMPUTED_VALUE"""),"Holly Point and Dee Dee Bartels")</f>
        <v>Holly Point and Dee Dee Bartels</v>
      </c>
      <c r="F842" s="13">
        <f ca="1">IFERROR(__xludf.DUMMYFUNCTION("""COMPUTED_VALUE"""),0.416666666667879)</f>
        <v>0.41666666666787899</v>
      </c>
      <c r="G842" s="14">
        <f ca="1">IFERROR(__xludf.DUMMYFUNCTION("""COMPUTED_VALUE"""),44664)</f>
        <v>44664</v>
      </c>
      <c r="H842" t="str">
        <f ca="1">IFERROR(__xludf.DUMMYFUNCTION("""COMPUTED_VALUE"""),"NEAP WQ sites")</f>
        <v>NEAP WQ sites</v>
      </c>
      <c r="I842" s="15">
        <f ca="1">IFERROR(__xludf.DUMMYFUNCTION("""COMPUTED_VALUE"""),0.0416666666678793)</f>
        <v>4.1666666667879299E-2</v>
      </c>
      <c r="J842" s="16"/>
      <c r="K842" t="str">
        <f ca="1">IFERROR(__xludf.DUMMYFUNCTION("""COMPUTED_VALUE"""),"F 20ft Sea Ark (Easy 200) FL8534PY DEP21451")</f>
        <v>F 20ft Sea Ark (Easy 200) FL8534PY DEP21451</v>
      </c>
      <c r="M842" t="str">
        <f ca="1">IFERROR(__xludf.DUMMYFUNCTION("""COMPUTED_VALUE"""),"Ford F150 2007 (F-Bomb) - DEP07055")</f>
        <v>Ford F150 2007 (F-Bomb) - DEP07055</v>
      </c>
      <c r="N842" t="str">
        <f ca="1">IFERROR(__xludf.DUMMYFUNCTION("""COMPUTED_VALUE"""),"Jimmy Tomazinis, (904) 547-0094")</f>
        <v>Jimmy Tomazinis, (904) 547-0094</v>
      </c>
      <c r="O842" t="str">
        <f ca="1">IFERROR(__xludf.DUMMYFUNCTION("""COMPUTED_VALUE"""),"Chris Kurtz ")</f>
        <v xml:space="preserve">Chris Kurtz </v>
      </c>
      <c r="P842" t="str">
        <f ca="1">IFERROR(__xludf.DUMMYFUNCTION("""COMPUTED_VALUE"""),"Jimmy ")</f>
        <v xml:space="preserve">Jimmy </v>
      </c>
      <c r="Q842" t="str">
        <f ca="1">IFERROR(__xludf.DUMMYFUNCTION("""COMPUTED_VALUE"""),"All items in working order")</f>
        <v>All items in working order</v>
      </c>
      <c r="AE842" s="11"/>
      <c r="AF842" t="str">
        <v>Susan.Porterfield@floridadep.gov</v>
      </c>
      <c r="AG842" s="18"/>
    </row>
    <row r="843" spans="1:33" ht="12.75">
      <c r="A843" s="10">
        <f ca="1">IFERROR(__xludf.DUMMYFUNCTION("""COMPUTED_VALUE"""),44665.5362059606)</f>
        <v>44665.536205960598</v>
      </c>
      <c r="B843" s="11" t="str">
        <f ca="1">IFERROR(__xludf.DUMMYFUNCTION("""COMPUTED_VALUE"""),"Pam Marcum ")</f>
        <v xml:space="preserve">Pam Marcum </v>
      </c>
      <c r="C843" t="str">
        <f ca="1">IFERROR(__xludf.DUMMYFUNCTION("""COMPUTED_VALUE"""),"Pamela.Marcum@FloridaDEP.gov")</f>
        <v>Pamela.Marcum@FloridaDEP.gov</v>
      </c>
      <c r="D843" t="str">
        <f ca="1">IFERROR(__xludf.DUMMYFUNCTION("""COMPUTED_VALUE"""),"Nikki Dix")</f>
        <v>Nikki Dix</v>
      </c>
      <c r="E843" t="str">
        <f ca="1">IFERROR(__xludf.DUMMYFUNCTION("""COMPUTED_VALUE"""),"Aunt kates")</f>
        <v>Aunt kates</v>
      </c>
      <c r="F843" s="13">
        <f ca="1">IFERROR(__xludf.DUMMYFUNCTION("""COMPUTED_VALUE"""),0.534722222222626)</f>
        <v>0.534722222222626</v>
      </c>
      <c r="G843" s="14">
        <f ca="1">IFERROR(__xludf.DUMMYFUNCTION("""COMPUTED_VALUE"""),44665)</f>
        <v>44665</v>
      </c>
      <c r="H843" t="str">
        <f ca="1">IFERROR(__xludf.DUMMYFUNCTION("""COMPUTED_VALUE"""),"Hat island ")</f>
        <v xml:space="preserve">Hat island </v>
      </c>
      <c r="I843" s="15">
        <f ca="1">IFERROR(__xludf.DUMMYFUNCTION("""COMPUTED_VALUE"""),0.70833333333212)</f>
        <v>0.70833333333212001</v>
      </c>
      <c r="J843" s="16">
        <f ca="1">IFERROR(__xludf.DUMMYFUNCTION("""COMPUTED_VALUE"""),44665.7291666666)</f>
        <v>44665.729166666599</v>
      </c>
      <c r="K843" t="str">
        <f ca="1">IFERROR(__xludf.DUMMYFUNCTION("""COMPUTED_VALUE"""),"20ft Sea Ark FL5351SJ UNF 2015")</f>
        <v>20ft Sea Ark FL5351SJ UNF 2015</v>
      </c>
      <c r="M843" t="str">
        <f ca="1">IFERROR(__xludf.DUMMYFUNCTION("""COMPUTED_VALUE"""),"Ford F150 2015 (White) - DEP21448")</f>
        <v>Ford F150 2015 (White) - DEP21448</v>
      </c>
      <c r="N843" t="str">
        <f ca="1">IFERROR(__xludf.DUMMYFUNCTION("""COMPUTED_VALUE"""),"Pam Marcum, (480) 332-5414, Alee Knoell, (619) 750-4833")</f>
        <v>Pam Marcum, (480) 332-5414, Alee Knoell, (619) 750-4833</v>
      </c>
      <c r="O843" t="str">
        <f ca="1">IFERROR(__xludf.DUMMYFUNCTION("""COMPUTED_VALUE"""),"Savanna, allix")</f>
        <v>Savanna, allix</v>
      </c>
      <c r="P843" t="str">
        <f ca="1">IFERROR(__xludf.DUMMYFUNCTION("""COMPUTED_VALUE"""),"Pam")</f>
        <v>Pam</v>
      </c>
      <c r="Q843" t="str">
        <f ca="1">IFERROR(__xludf.DUMMYFUNCTION("""COMPUTED_VALUE"""),"All items in working order")</f>
        <v>All items in working order</v>
      </c>
      <c r="AE843" s="11"/>
      <c r="AF843" t="str">
        <v>Nikki.Dix@floridadep.gov</v>
      </c>
      <c r="AG843" s="18"/>
    </row>
    <row r="844" spans="1:33" ht="12.75">
      <c r="A844" s="10">
        <f ca="1">IFERROR(__xludf.DUMMYFUNCTION("""COMPUTED_VALUE"""),44669.2982353819)</f>
        <v>44669.298235381902</v>
      </c>
      <c r="B844" s="11" t="str">
        <f ca="1">IFERROR(__xludf.DUMMYFUNCTION("""COMPUTED_VALUE"""),"Pam Marcum ")</f>
        <v xml:space="preserve">Pam Marcum </v>
      </c>
      <c r="C844" t="str">
        <f ca="1">IFERROR(__xludf.DUMMYFUNCTION("""COMPUTED_VALUE"""),"Pamela.Marcum@FloridaDEP.gov")</f>
        <v>Pamela.Marcum@FloridaDEP.gov</v>
      </c>
      <c r="D844" t="str">
        <f ca="1">IFERROR(__xludf.DUMMYFUNCTION("""COMPUTED_VALUE"""),"Nikki Dix")</f>
        <v>Nikki Dix</v>
      </c>
      <c r="E844" t="str">
        <f ca="1">IFERROR(__xludf.DUMMYFUNCTION("""COMPUTED_VALUE"""),"Faver Dykes")</f>
        <v>Faver Dykes</v>
      </c>
      <c r="F844" s="13">
        <f ca="1">IFERROR(__xludf.DUMMYFUNCTION("""COMPUTED_VALUE"""),0.291666666667879)</f>
        <v>0.29166666666787899</v>
      </c>
      <c r="G844" s="14">
        <f ca="1">IFERROR(__xludf.DUMMYFUNCTION("""COMPUTED_VALUE"""),44669)</f>
        <v>44669</v>
      </c>
      <c r="H844" t="str">
        <f ca="1">IFERROR(__xludf.DUMMYFUNCTION("""COMPUTED_VALUE"""),"Pellicer mouth")</f>
        <v>Pellicer mouth</v>
      </c>
      <c r="I844" s="15">
        <f ca="1">IFERROR(__xludf.DUMMYFUNCTION("""COMPUTED_VALUE"""),0.5)</f>
        <v>0.5</v>
      </c>
      <c r="J844" s="16">
        <f ca="1">IFERROR(__xludf.DUMMYFUNCTION("""COMPUTED_VALUE"""),44669.5208333333)</f>
        <v>44669.520833333299</v>
      </c>
      <c r="K844" t="str">
        <f ca="1">IFERROR(__xludf.DUMMYFUNCTION("""COMPUTED_VALUE"""),"20ft Sea Ark FL5351SJ UNF 2015")</f>
        <v>20ft Sea Ark FL5351SJ UNF 2015</v>
      </c>
      <c r="M844" t="str">
        <f ca="1">IFERROR(__xludf.DUMMYFUNCTION("""COMPUTED_VALUE"""),"Ford F150 2015 (White) - DEP21448")</f>
        <v>Ford F150 2015 (White) - DEP21448</v>
      </c>
      <c r="N844" t="str">
        <f ca="1">IFERROR(__xludf.DUMMYFUNCTION("""COMPUTED_VALUE"""),"Pam Marcum, (480) 332-5414")</f>
        <v>Pam Marcum, (480) 332-5414</v>
      </c>
      <c r="O844" t="str">
        <f ca="1">IFERROR(__xludf.DUMMYFUNCTION("""COMPUTED_VALUE"""),"Savanna Mathis, Suma Ray ")</f>
        <v xml:space="preserve">Savanna Mathis, Suma Ray </v>
      </c>
      <c r="P844" t="str">
        <f ca="1">IFERROR(__xludf.DUMMYFUNCTION("""COMPUTED_VALUE"""),"Pam")</f>
        <v>Pam</v>
      </c>
      <c r="Q844" t="str">
        <f ca="1">IFERROR(__xludf.DUMMYFUNCTION("""COMPUTED_VALUE"""),"All items in working order")</f>
        <v>All items in working order</v>
      </c>
      <c r="AE844" s="11"/>
      <c r="AF844" t="str">
        <v>Nikki.Dix@floridadep.gov</v>
      </c>
      <c r="AG844" s="18"/>
    </row>
    <row r="845" spans="1:33" ht="12.75">
      <c r="A845" s="10">
        <f ca="1">IFERROR(__xludf.DUMMYFUNCTION("""COMPUTED_VALUE"""),44670.2985516087)</f>
        <v>44670.298551608699</v>
      </c>
      <c r="B845" s="11" t="str">
        <f ca="1">IFERROR(__xludf.DUMMYFUNCTION("""COMPUTED_VALUE"""),"Pam Marcum ")</f>
        <v xml:space="preserve">Pam Marcum </v>
      </c>
      <c r="C845" t="str">
        <f ca="1">IFERROR(__xludf.DUMMYFUNCTION("""COMPUTED_VALUE"""),"Pamela.Marcum@FloridaDEP.gov")</f>
        <v>Pamela.Marcum@FloridaDEP.gov</v>
      </c>
      <c r="D845" t="str">
        <f ca="1">IFERROR(__xludf.DUMMYFUNCTION("""COMPUTED_VALUE"""),"Nikki Dix")</f>
        <v>Nikki Dix</v>
      </c>
      <c r="E845" t="str">
        <f ca="1">IFERROR(__xludf.DUMMYFUNCTION("""COMPUTED_VALUE"""),"Bings ")</f>
        <v xml:space="preserve">Bings </v>
      </c>
      <c r="F845" s="13">
        <f ca="1">IFERROR(__xludf.DUMMYFUNCTION("""COMPUTED_VALUE"""),0.291666666667879)</f>
        <v>0.29166666666787899</v>
      </c>
      <c r="G845" s="14">
        <f ca="1">IFERROR(__xludf.DUMMYFUNCTION("""COMPUTED_VALUE"""),44670)</f>
        <v>44670</v>
      </c>
      <c r="H845" t="str">
        <f ca="1">IFERROR(__xludf.DUMMYFUNCTION("""COMPUTED_VALUE"""),"Washington oak ")</f>
        <v xml:space="preserve">Washington oak </v>
      </c>
      <c r="I845" s="15">
        <f ca="1">IFERROR(__xludf.DUMMYFUNCTION("""COMPUTED_VALUE"""),0.5)</f>
        <v>0.5</v>
      </c>
      <c r="J845" s="16">
        <f ca="1">IFERROR(__xludf.DUMMYFUNCTION("""COMPUTED_VALUE"""),44670.5416666666)</f>
        <v>44670.541666666599</v>
      </c>
      <c r="K845" t="str">
        <f ca="1">IFERROR(__xludf.DUMMYFUNCTION("""COMPUTED_VALUE"""),"20ft Sea Ark FL5351SJ UNF 2015")</f>
        <v>20ft Sea Ark FL5351SJ UNF 2015</v>
      </c>
      <c r="M845" t="str">
        <f ca="1">IFERROR(__xludf.DUMMYFUNCTION("""COMPUTED_VALUE"""),"Ford F150 2015 (White) - DEP21448")</f>
        <v>Ford F150 2015 (White) - DEP21448</v>
      </c>
      <c r="N845" t="str">
        <f ca="1">IFERROR(__xludf.DUMMYFUNCTION("""COMPUTED_VALUE"""),"Pam Marcum, (480) 332-5414")</f>
        <v>Pam Marcum, (480) 332-5414</v>
      </c>
      <c r="O845" t="str">
        <f ca="1">IFERROR(__xludf.DUMMYFUNCTION("""COMPUTED_VALUE"""),"Allix, Savanna, Jeff Finnan")</f>
        <v>Allix, Savanna, Jeff Finnan</v>
      </c>
      <c r="P845" t="str">
        <f ca="1">IFERROR(__xludf.DUMMYFUNCTION("""COMPUTED_VALUE"""),"Allix")</f>
        <v>Allix</v>
      </c>
      <c r="Q845" t="str">
        <f ca="1">IFERROR(__xludf.DUMMYFUNCTION("""COMPUTED_VALUE"""),"All items in working order")</f>
        <v>All items in working order</v>
      </c>
      <c r="AE845" s="11"/>
      <c r="AF845" t="str">
        <v>Nikki.Dix@floridadep.gov</v>
      </c>
      <c r="AG845" s="18"/>
    </row>
    <row r="846" spans="1:33" ht="12.75">
      <c r="A846" s="10">
        <f ca="1">IFERROR(__xludf.DUMMYFUNCTION("""COMPUTED_VALUE"""),44671.3768692361)</f>
        <v>44671.376869236097</v>
      </c>
      <c r="B846" s="11" t="str">
        <f ca="1">IFERROR(__xludf.DUMMYFUNCTION("""COMPUTED_VALUE"""),"Pam Marcum ")</f>
        <v xml:space="preserve">Pam Marcum </v>
      </c>
      <c r="C846" t="str">
        <f ca="1">IFERROR(__xludf.DUMMYFUNCTION("""COMPUTED_VALUE"""),"Pamela.Marcum@FloridaDEP.gov")</f>
        <v>Pamela.Marcum@FloridaDEP.gov</v>
      </c>
      <c r="D846" t="str">
        <f ca="1">IFERROR(__xludf.DUMMYFUNCTION("""COMPUTED_VALUE"""),"Nikki Dix")</f>
        <v>Nikki Dix</v>
      </c>
      <c r="E846" t="str">
        <f ca="1">IFERROR(__xludf.DUMMYFUNCTION("""COMPUTED_VALUE"""),"Moses Creek floating dock")</f>
        <v>Moses Creek floating dock</v>
      </c>
      <c r="F846" s="13">
        <f ca="1">IFERROR(__xludf.DUMMYFUNCTION("""COMPUTED_VALUE"""),0.33333333333212)</f>
        <v>0.33333333333212001</v>
      </c>
      <c r="G846" s="14">
        <f ca="1">IFERROR(__xludf.DUMMYFUNCTION("""COMPUTED_VALUE"""),44671)</f>
        <v>44671</v>
      </c>
      <c r="H846" t="str">
        <f ca="1">IFERROR(__xludf.DUMMYFUNCTION("""COMPUTED_VALUE"""),"Moses creek")</f>
        <v>Moses creek</v>
      </c>
      <c r="I846" s="15">
        <f ca="1">IFERROR(__xludf.DUMMYFUNCTION("""COMPUTED_VALUE"""),0.58333333333212)</f>
        <v>0.58333333333212001</v>
      </c>
      <c r="J846" s="16">
        <f ca="1">IFERROR(__xludf.DUMMYFUNCTION("""COMPUTED_VALUE"""),44671.625)</f>
        <v>44671.625</v>
      </c>
      <c r="K846" t="str">
        <f ca="1">IFERROR(__xludf.DUMMYFUNCTION("""COMPUTED_VALUE"""),"Canoe/Kayak Trailer DEP06086")</f>
        <v>Canoe/Kayak Trailer DEP06086</v>
      </c>
      <c r="L846">
        <f ca="1">IFERROR(__xludf.DUMMYFUNCTION("""COMPUTED_VALUE"""),3)</f>
        <v>3</v>
      </c>
      <c r="M846" t="str">
        <f ca="1">IFERROR(__xludf.DUMMYFUNCTION("""COMPUTED_VALUE"""),"Ford F150 2015 (White) - DEP21448")</f>
        <v>Ford F150 2015 (White) - DEP21448</v>
      </c>
      <c r="N846" t="str">
        <f ca="1">IFERROR(__xludf.DUMMYFUNCTION("""COMPUTED_VALUE"""),"Pam Marcum, (480) 332-5414, Allix, Savanna")</f>
        <v>Pam Marcum, (480) 332-5414, Allix, Savanna</v>
      </c>
      <c r="O846" t="str">
        <f ca="1">IFERROR(__xludf.DUMMYFUNCTION("""COMPUTED_VALUE"""),"Ruben Allen")</f>
        <v>Ruben Allen</v>
      </c>
      <c r="P846" t="str">
        <f ca="1">IFERROR(__xludf.DUMMYFUNCTION("""COMPUTED_VALUE"""),"Pam")</f>
        <v>Pam</v>
      </c>
      <c r="Q846" t="str">
        <f ca="1">IFERROR(__xludf.DUMMYFUNCTION("""COMPUTED_VALUE"""),"All items in working order")</f>
        <v>All items in working order</v>
      </c>
      <c r="AE846" s="11"/>
      <c r="AF846" t="str">
        <v>Nikki.Dix@floridadep.gov</v>
      </c>
      <c r="AG846" s="18"/>
    </row>
    <row r="847" spans="1:33" ht="12.75">
      <c r="A847" s="10">
        <f ca="1">IFERROR(__xludf.DUMMYFUNCTION("""COMPUTED_VALUE"""),44671.3805659259)</f>
        <v>44671.380565925901</v>
      </c>
      <c r="B847" s="11" t="str">
        <f ca="1">IFERROR(__xludf.DUMMYFUNCTION("""COMPUTED_VALUE"""),"Silas Tanner")</f>
        <v>Silas Tanner</v>
      </c>
      <c r="C847" t="str">
        <f ca="1">IFERROR(__xludf.DUMMYFUNCTION("""COMPUTED_VALUE"""),"silas.tanner@floridadep.gov")</f>
        <v>silas.tanner@floridadep.gov</v>
      </c>
      <c r="D847" t="str">
        <f ca="1">IFERROR(__xludf.DUMMYFUNCTION("""COMPUTED_VALUE"""),"Nikki Dix")</f>
        <v>Nikki Dix</v>
      </c>
      <c r="E847" t="str">
        <f ca="1">IFERROR(__xludf.DUMMYFUNCTION("""COMPUTED_VALUE"""),"Vilano Landing")</f>
        <v>Vilano Landing</v>
      </c>
      <c r="F847" s="13">
        <f ca="1">IFERROR(__xludf.DUMMYFUNCTION("""COMPUTED_VALUE"""),0.416666666667879)</f>
        <v>0.41666666666787899</v>
      </c>
      <c r="G847" s="14">
        <f ca="1">IFERROR(__xludf.DUMMYFUNCTION("""COMPUTED_VALUE"""),44671)</f>
        <v>44671</v>
      </c>
      <c r="H847" t="str">
        <f ca="1">IFERROR(__xludf.DUMMYFUNCTION("""COMPUTED_VALUE"""),"ICW SWMP sites")</f>
        <v>ICW SWMP sites</v>
      </c>
      <c r="I847" s="15">
        <f ca="1">IFERROR(__xludf.DUMMYFUNCTION("""COMPUTED_VALUE"""),0.61458333333212)</f>
        <v>0.61458333333212001</v>
      </c>
      <c r="J847" s="16">
        <f ca="1">IFERROR(__xludf.DUMMYFUNCTION("""COMPUTED_VALUE"""),44671.6354166666)</f>
        <v>44671.635416666599</v>
      </c>
      <c r="K847" t="str">
        <f ca="1">IFERROR(__xludf.DUMMYFUNCTION("""COMPUTED_VALUE"""),"20ft Sea Ark FL5351SJ UNF 2015")</f>
        <v>20ft Sea Ark FL5351SJ UNF 2015</v>
      </c>
      <c r="M847" t="str">
        <f ca="1">IFERROR(__xludf.DUMMYFUNCTION("""COMPUTED_VALUE"""),"Ford F250 2017 (Moby Dix) - DEP0021578")</f>
        <v>Ford F250 2017 (Moby Dix) - DEP0021578</v>
      </c>
      <c r="N847" t="str">
        <f ca="1">IFERROR(__xludf.DUMMYFUNCTION("""COMPUTED_VALUE"""),"Silas Tanner, (904) 483-8423, Remo")</f>
        <v>Silas Tanner, (904) 483-8423, Remo</v>
      </c>
      <c r="P847" t="str">
        <f ca="1">IFERROR(__xludf.DUMMYFUNCTION("""COMPUTED_VALUE"""),"Silas Tanner")</f>
        <v>Silas Tanner</v>
      </c>
      <c r="Q847" t="str">
        <f ca="1">IFERROR(__xludf.DUMMYFUNCTION("""COMPUTED_VALUE"""),"All items in working order")</f>
        <v>All items in working order</v>
      </c>
      <c r="AE847" s="11"/>
      <c r="AF847" t="str">
        <v>Nikki.Dix@floridadep.gov</v>
      </c>
      <c r="AG847" s="18"/>
    </row>
    <row r="848" spans="1:33" ht="12.75">
      <c r="A848" s="10">
        <f ca="1">IFERROR(__xludf.DUMMYFUNCTION("""COMPUTED_VALUE"""),44672.3302733912)</f>
        <v>44672.330273391199</v>
      </c>
      <c r="B848" s="11" t="str">
        <f ca="1">IFERROR(__xludf.DUMMYFUNCTION("""COMPUTED_VALUE"""),"Pam Marcum ")</f>
        <v xml:space="preserve">Pam Marcum </v>
      </c>
      <c r="C848" t="str">
        <f ca="1">IFERROR(__xludf.DUMMYFUNCTION("""COMPUTED_VALUE"""),"Pamela.Marcum@FloridaDEP.gov")</f>
        <v>Pamela.Marcum@FloridaDEP.gov</v>
      </c>
      <c r="D848" t="str">
        <f ca="1">IFERROR(__xludf.DUMMYFUNCTION("""COMPUTED_VALUE"""),"Nikki Dix")</f>
        <v>Nikki Dix</v>
      </c>
      <c r="E848" t="str">
        <f ca="1">IFERROR(__xludf.DUMMYFUNCTION("""COMPUTED_VALUE"""),"Palm Valley ")</f>
        <v xml:space="preserve">Palm Valley </v>
      </c>
      <c r="F848" s="13">
        <f ca="1">IFERROR(__xludf.DUMMYFUNCTION("""COMPUTED_VALUE"""),0.326388888890505)</f>
        <v>0.32638888889050499</v>
      </c>
      <c r="G848" s="14">
        <f ca="1">IFERROR(__xludf.DUMMYFUNCTION("""COMPUTED_VALUE"""),44672)</f>
        <v>44672</v>
      </c>
      <c r="H848" t="str">
        <f ca="1">IFERROR(__xludf.DUMMYFUNCTION("""COMPUTED_VALUE"""),"Pine islans platforms")</f>
        <v>Pine islans platforms</v>
      </c>
      <c r="I848" s="15">
        <f ca="1">IFERROR(__xludf.DUMMYFUNCTION("""COMPUTED_VALUE"""),0.58333333333212)</f>
        <v>0.58333333333212001</v>
      </c>
      <c r="J848" s="16">
        <f ca="1">IFERROR(__xludf.DUMMYFUNCTION("""COMPUTED_VALUE"""),44672.625)</f>
        <v>44672.625</v>
      </c>
      <c r="K848" t="str">
        <f ca="1">IFERROR(__xludf.DUMMYFUNCTION("""COMPUTED_VALUE"""),"20ft Sea Ark FL5351SJ UNF 2015")</f>
        <v>20ft Sea Ark FL5351SJ UNF 2015</v>
      </c>
      <c r="M848" t="str">
        <f ca="1">IFERROR(__xludf.DUMMYFUNCTION("""COMPUTED_VALUE"""),"Ford F150 2015 (White) - DEP21448")</f>
        <v>Ford F150 2015 (White) - DEP21448</v>
      </c>
      <c r="N848" t="str">
        <f ca="1">IFERROR(__xludf.DUMMYFUNCTION("""COMPUTED_VALUE"""),"Pam Marcum, (480) 332-5414")</f>
        <v>Pam Marcum, (480) 332-5414</v>
      </c>
      <c r="O848" t="str">
        <f ca="1">IFERROR(__xludf.DUMMYFUNCTION("""COMPUTED_VALUE"""),"Allix, Savanna")</f>
        <v>Allix, Savanna</v>
      </c>
      <c r="P848" t="str">
        <f ca="1">IFERROR(__xludf.DUMMYFUNCTION("""COMPUTED_VALUE"""),"Pam")</f>
        <v>Pam</v>
      </c>
      <c r="Q848" t="str">
        <f ca="1">IFERROR(__xludf.DUMMYFUNCTION("""COMPUTED_VALUE"""),"All items in working order")</f>
        <v>All items in working order</v>
      </c>
      <c r="AE848" s="11"/>
      <c r="AF848" t="str">
        <v>Nikki.Dix@floridadep.gov</v>
      </c>
      <c r="AG848" s="18"/>
    </row>
    <row r="849" spans="1:34" ht="12.75">
      <c r="A849" s="10">
        <f ca="1">IFERROR(__xludf.DUMMYFUNCTION("""COMPUTED_VALUE"""),44673.3620661226)</f>
        <v>44673.362066122601</v>
      </c>
      <c r="B849" s="11" t="str">
        <f ca="1">IFERROR(__xludf.DUMMYFUNCTION("""COMPUTED_VALUE"""),"Pam Marcum ")</f>
        <v xml:space="preserve">Pam Marcum </v>
      </c>
      <c r="C849" t="str">
        <f ca="1">IFERROR(__xludf.DUMMYFUNCTION("""COMPUTED_VALUE"""),"Pamela.Marcum@FloridaDEP.gov")</f>
        <v>Pamela.Marcum@FloridaDEP.gov</v>
      </c>
      <c r="D849" t="str">
        <f ca="1">IFERROR(__xludf.DUMMYFUNCTION("""COMPUTED_VALUE"""),"Shannon Dunnigan")</f>
        <v>Shannon Dunnigan</v>
      </c>
      <c r="E849" t="str">
        <f ca="1">IFERROR(__xludf.DUMMYFUNCTION("""COMPUTED_VALUE"""),"Shore dr")</f>
        <v>Shore dr</v>
      </c>
      <c r="F849" s="13">
        <f ca="1">IFERROR(__xludf.DUMMYFUNCTION("""COMPUTED_VALUE"""),0.354166666667879)</f>
        <v>0.35416666666787899</v>
      </c>
      <c r="G849" s="14">
        <f ca="1">IFERROR(__xludf.DUMMYFUNCTION("""COMPUTED_VALUE"""),44673)</f>
        <v>44673</v>
      </c>
      <c r="H849" t="str">
        <f ca="1">IFERROR(__xludf.DUMMYFUNCTION("""COMPUTED_VALUE"""),"Site 22 platforms")</f>
        <v>Site 22 platforms</v>
      </c>
      <c r="I849" s="15">
        <f ca="1">IFERROR(__xludf.DUMMYFUNCTION("""COMPUTED_VALUE"""),0.58333333333212)</f>
        <v>0.58333333333212001</v>
      </c>
      <c r="J849" s="16">
        <f ca="1">IFERROR(__xludf.DUMMYFUNCTION("""COMPUTED_VALUE"""),44673.625)</f>
        <v>44673.625</v>
      </c>
      <c r="K849" t="str">
        <f ca="1">IFERROR(__xludf.DUMMYFUNCTION("""COMPUTED_VALUE"""),"23ft Skiff (Bertha) FL7972LJ DEP07613")</f>
        <v>23ft Skiff (Bertha) FL7972LJ DEP07613</v>
      </c>
      <c r="M849" t="str">
        <f ca="1">IFERROR(__xludf.DUMMYFUNCTION("""COMPUTED_VALUE"""),"Ford F250 2017 (Moby Dix) - DEP0021578")</f>
        <v>Ford F250 2017 (Moby Dix) - DEP0021578</v>
      </c>
      <c r="N849" t="str">
        <f ca="1">IFERROR(__xludf.DUMMYFUNCTION("""COMPUTED_VALUE"""),"Nikki Dix, (352) 219-4079, Pam Marcum, (480) 332-5414, Remo Mondazzi")</f>
        <v>Nikki Dix, (352) 219-4079, Pam Marcum, (480) 332-5414, Remo Mondazzi</v>
      </c>
      <c r="O849" t="str">
        <f ca="1">IFERROR(__xludf.DUMMYFUNCTION("""COMPUTED_VALUE"""),"Allix, Savanna, Steve Brown")</f>
        <v>Allix, Savanna, Steve Brown</v>
      </c>
      <c r="P849" t="str">
        <f ca="1">IFERROR(__xludf.DUMMYFUNCTION("""COMPUTED_VALUE"""),"Allix")</f>
        <v>Allix</v>
      </c>
      <c r="Q849" t="str">
        <f ca="1">IFERROR(__xludf.DUMMYFUNCTION("""COMPUTED_VALUE"""),"All items in working order")</f>
        <v>All items in working order</v>
      </c>
      <c r="AE849" s="11"/>
      <c r="AF849" t="str">
        <v>Shannon.Dunnigan@floridadep.gov</v>
      </c>
      <c r="AG849" s="18"/>
    </row>
    <row r="850" spans="1:34" ht="12.75">
      <c r="A850" s="10">
        <f ca="1">IFERROR(__xludf.DUMMYFUNCTION("""COMPUTED_VALUE"""),44677.4204651273)</f>
        <v>44677.420465127303</v>
      </c>
      <c r="B850" s="11" t="str">
        <f ca="1">IFERROR(__xludf.DUMMYFUNCTION("""COMPUTED_VALUE"""),"Jimmy")</f>
        <v>Jimmy</v>
      </c>
      <c r="C850" t="str">
        <f ca="1">IFERROR(__xludf.DUMMYFUNCTION("""COMPUTED_VALUE"""),"james.tomazinis@floridadep.gov")</f>
        <v>james.tomazinis@floridadep.gov</v>
      </c>
      <c r="D850" t="str">
        <f ca="1">IFERROR(__xludf.DUMMYFUNCTION("""COMPUTED_VALUE"""),"Scott Eastman")</f>
        <v>Scott Eastman</v>
      </c>
      <c r="E850" t="str">
        <f ca="1">IFERROR(__xludf.DUMMYFUNCTION("""COMPUTED_VALUE"""),"Guana Dam")</f>
        <v>Guana Dam</v>
      </c>
      <c r="F850" s="13">
        <f ca="1">IFERROR(__xludf.DUMMYFUNCTION("""COMPUTED_VALUE"""),0.42708333333212)</f>
        <v>0.42708333333212001</v>
      </c>
      <c r="G850" s="14">
        <f ca="1">IFERROR(__xludf.DUMMYFUNCTION("""COMPUTED_VALUE"""),44677)</f>
        <v>44677</v>
      </c>
      <c r="H850" t="str">
        <f ca="1">IFERROR(__xludf.DUMMYFUNCTION("""COMPUTED_VALUE"""),"Guana Lake")</f>
        <v>Guana Lake</v>
      </c>
      <c r="I850" s="15">
        <f ca="1">IFERROR(__xludf.DUMMYFUNCTION("""COMPUTED_VALUE"""),0.625)</f>
        <v>0.625</v>
      </c>
      <c r="J850" s="16"/>
      <c r="K850" t="str">
        <f ca="1">IFERROR(__xludf.DUMMYFUNCTION("""COMPUTED_VALUE"""),"Jon Boat 1 FL5992RR DEP154045")</f>
        <v>Jon Boat 1 FL5992RR DEP154045</v>
      </c>
      <c r="M850" t="str">
        <f ca="1">IFERROR(__xludf.DUMMYFUNCTION("""COMPUTED_VALUE"""),"Ford F150 2007 (F-Bomb) - DEP07055")</f>
        <v>Ford F150 2007 (F-Bomb) - DEP07055</v>
      </c>
      <c r="N850" t="str">
        <f ca="1">IFERROR(__xludf.DUMMYFUNCTION("""COMPUTED_VALUE"""),"Jimmy Tomazinis, (904) 547-0094")</f>
        <v>Jimmy Tomazinis, (904) 547-0094</v>
      </c>
      <c r="O850" t="str">
        <f ca="1">IFERROR(__xludf.DUMMYFUNCTION("""COMPUTED_VALUE"""),"Chris Kurtz ")</f>
        <v xml:space="preserve">Chris Kurtz </v>
      </c>
      <c r="P850" t="str">
        <f ca="1">IFERROR(__xludf.DUMMYFUNCTION("""COMPUTED_VALUE"""),"Jimmy")</f>
        <v>Jimmy</v>
      </c>
      <c r="Q850" t="str">
        <f ca="1">IFERROR(__xludf.DUMMYFUNCTION("""COMPUTED_VALUE"""),"All items in working order")</f>
        <v>All items in working order</v>
      </c>
      <c r="AE850" s="11"/>
      <c r="AF850" t="str">
        <v>Scott.Eastman@floridadep.gov</v>
      </c>
      <c r="AG850" s="18"/>
    </row>
    <row r="851" spans="1:34" ht="12.75">
      <c r="A851" s="10">
        <f ca="1">IFERROR(__xludf.DUMMYFUNCTION("""COMPUTED_VALUE"""),44679.2578021643)</f>
        <v>44679.257802164298</v>
      </c>
      <c r="B851" s="11" t="str">
        <f ca="1">IFERROR(__xludf.DUMMYFUNCTION("""COMPUTED_VALUE"""),"Jimmy")</f>
        <v>Jimmy</v>
      </c>
      <c r="C851" t="str">
        <f ca="1">IFERROR(__xludf.DUMMYFUNCTION("""COMPUTED_VALUE"""),"james.tomazinis@floridadep.gov")</f>
        <v>james.tomazinis@floridadep.gov</v>
      </c>
      <c r="D851" t="str">
        <f ca="1">IFERROR(__xludf.DUMMYFUNCTION("""COMPUTED_VALUE"""),"Scott Eastman")</f>
        <v>Scott Eastman</v>
      </c>
      <c r="E851" t="str">
        <f ca="1">IFERROR(__xludf.DUMMYFUNCTION("""COMPUTED_VALUE"""),"Nelson Melton")</f>
        <v>Nelson Melton</v>
      </c>
      <c r="F851" s="13">
        <f ca="1">IFERROR(__xludf.DUMMYFUNCTION("""COMPUTED_VALUE"""),0.39583333333212)</f>
        <v>0.39583333333212001</v>
      </c>
      <c r="G851" s="14">
        <f ca="1">IFERROR(__xludf.DUMMYFUNCTION("""COMPUTED_VALUE"""),44679)</f>
        <v>44679</v>
      </c>
      <c r="H851" t="str">
        <f ca="1">IFERROR(__xludf.DUMMYFUNCTION("""COMPUTED_VALUE"""),"Lofton Creek to North Hampton Dock")</f>
        <v>Lofton Creek to North Hampton Dock</v>
      </c>
      <c r="I851" s="15">
        <f ca="1">IFERROR(__xludf.DUMMYFUNCTION("""COMPUTED_VALUE"""),0.58333333333212)</f>
        <v>0.58333333333212001</v>
      </c>
      <c r="J851" s="16"/>
      <c r="K851" t="str">
        <f ca="1">IFERROR(__xludf.DUMMYFUNCTION("""COMPUTED_VALUE"""),"Jon Boat 1 FL5992RR DEP154045")</f>
        <v>Jon Boat 1 FL5992RR DEP154045</v>
      </c>
      <c r="M851" t="str">
        <f ca="1">IFERROR(__xludf.DUMMYFUNCTION("""COMPUTED_VALUE"""),"Ford F150 2007 (F-Bomb) - DEP07055")</f>
        <v>Ford F150 2007 (F-Bomb) - DEP07055</v>
      </c>
      <c r="N851" t="str">
        <f ca="1">IFERROR(__xludf.DUMMYFUNCTION("""COMPUTED_VALUE"""),"Jimmy Tomazinis, (904) 547-0094")</f>
        <v>Jimmy Tomazinis, (904) 547-0094</v>
      </c>
      <c r="O851" t="str">
        <f ca="1">IFERROR(__xludf.DUMMYFUNCTION("""COMPUTED_VALUE"""),"Chris Kurtz")</f>
        <v>Chris Kurtz</v>
      </c>
      <c r="P851" t="str">
        <f ca="1">IFERROR(__xludf.DUMMYFUNCTION("""COMPUTED_VALUE"""),"Jimmy")</f>
        <v>Jimmy</v>
      </c>
      <c r="Q851" t="str">
        <f ca="1">IFERROR(__xludf.DUMMYFUNCTION("""COMPUTED_VALUE"""),"All items in working order")</f>
        <v>All items in working order</v>
      </c>
      <c r="AE851" s="11"/>
      <c r="AF851" t="str">
        <v>Scott.Eastman@floridadep.gov</v>
      </c>
      <c r="AG851" s="18"/>
    </row>
    <row r="852" spans="1:34" ht="12.75">
      <c r="A852" s="10">
        <f ca="1">IFERROR(__xludf.DUMMYFUNCTION("""COMPUTED_VALUE"""),44679.6003001273)</f>
        <v>44679.600300127298</v>
      </c>
      <c r="B852" s="11" t="str">
        <f ca="1">IFERROR(__xludf.DUMMYFUNCTION("""COMPUTED_VALUE"""),"Pam Marcum ")</f>
        <v xml:space="preserve">Pam Marcum </v>
      </c>
      <c r="C852" t="str">
        <f ca="1">IFERROR(__xludf.DUMMYFUNCTION("""COMPUTED_VALUE"""),"Pamela.Marcum@FloridaDEP.gov")</f>
        <v>Pamela.Marcum@FloridaDEP.gov</v>
      </c>
      <c r="D852" t="str">
        <f ca="1">IFERROR(__xludf.DUMMYFUNCTION("""COMPUTED_VALUE"""),"Pam Marcum")</f>
        <v>Pam Marcum</v>
      </c>
      <c r="E852" t="str">
        <f ca="1">IFERROR(__xludf.DUMMYFUNCTION("""COMPUTED_VALUE"""),"Faver dykes")</f>
        <v>Faver dykes</v>
      </c>
      <c r="F852" s="13">
        <f ca="1">IFERROR(__xludf.DUMMYFUNCTION("""COMPUTED_VALUE"""),0.59375)</f>
        <v>0.59375</v>
      </c>
      <c r="G852" s="14">
        <f ca="1">IFERROR(__xludf.DUMMYFUNCTION("""COMPUTED_VALUE"""),44679)</f>
        <v>44679</v>
      </c>
      <c r="H852" t="str">
        <f ca="1">IFERROR(__xludf.DUMMYFUNCTION("""COMPUTED_VALUE"""),"Pellicer creek")</f>
        <v>Pellicer creek</v>
      </c>
      <c r="I852" s="15">
        <f ca="1">IFERROR(__xludf.DUMMYFUNCTION("""COMPUTED_VALUE"""),0.666666666667879)</f>
        <v>0.66666666666787899</v>
      </c>
      <c r="J852" s="16">
        <f ca="1">IFERROR(__xludf.DUMMYFUNCTION("""COMPUTED_VALUE"""),44679.7083333333)</f>
        <v>44679.708333333299</v>
      </c>
      <c r="K852" t="str">
        <f ca="1">IFERROR(__xludf.DUMMYFUNCTION("""COMPUTED_VALUE"""),"20ft Sea Ark FL5351SJ UNF 2015")</f>
        <v>20ft Sea Ark FL5351SJ UNF 2015</v>
      </c>
      <c r="M852" t="str">
        <f ca="1">IFERROR(__xludf.DUMMYFUNCTION("""COMPUTED_VALUE"""),"Ford F150 2015 (White) - DEP21448")</f>
        <v>Ford F150 2015 (White) - DEP21448</v>
      </c>
      <c r="N852" t="str">
        <f ca="1">IFERROR(__xludf.DUMMYFUNCTION("""COMPUTED_VALUE"""),"Pam Marcum, (480) 332-5414")</f>
        <v>Pam Marcum, (480) 332-5414</v>
      </c>
      <c r="O852" t="str">
        <f ca="1">IFERROR(__xludf.DUMMYFUNCTION("""COMPUTED_VALUE"""),"Vitalii Sheremet")</f>
        <v>Vitalii Sheremet</v>
      </c>
      <c r="P852" t="str">
        <f ca="1">IFERROR(__xludf.DUMMYFUNCTION("""COMPUTED_VALUE"""),"Pam")</f>
        <v>Pam</v>
      </c>
      <c r="Q852" t="str">
        <f ca="1">IFERROR(__xludf.DUMMYFUNCTION("""COMPUTED_VALUE"""),"All items in working order")</f>
        <v>All items in working order</v>
      </c>
      <c r="AE852" s="11"/>
      <c r="AF852" t="str">
        <v>Pamela.Marcum@floridadep.gov</v>
      </c>
      <c r="AG852" s="18"/>
    </row>
    <row r="853" spans="1:34" ht="12.75">
      <c r="A853" s="10">
        <f ca="1">IFERROR(__xludf.DUMMYFUNCTION("""COMPUTED_VALUE"""),44680.4139110416)</f>
        <v>44680.4139110416</v>
      </c>
      <c r="B853" s="11" t="str">
        <f ca="1">IFERROR(__xludf.DUMMYFUNCTION("""COMPUTED_VALUE"""),"Allix North")</f>
        <v>Allix North</v>
      </c>
      <c r="C853" t="str">
        <f ca="1">IFERROR(__xludf.DUMMYFUNCTION("""COMPUTED_VALUE"""),"Allix.North@dep.state.fl.us")</f>
        <v>Allix.North@dep.state.fl.us</v>
      </c>
      <c r="D853" t="str">
        <f ca="1">IFERROR(__xludf.DUMMYFUNCTION("""COMPUTED_VALUE"""),"Scott Eastman")</f>
        <v>Scott Eastman</v>
      </c>
      <c r="E853" t="str">
        <f ca="1">IFERROR(__xludf.DUMMYFUNCTION("""COMPUTED_VALUE"""),"Palm Valley")</f>
        <v>Palm Valley</v>
      </c>
      <c r="F853" s="13">
        <f ca="1">IFERROR(__xludf.DUMMYFUNCTION("""COMPUTED_VALUE"""),0.4375)</f>
        <v>0.4375</v>
      </c>
      <c r="G853" s="14">
        <f ca="1">IFERROR(__xludf.DUMMYFUNCTION("""COMPUTED_VALUE"""),44680)</f>
        <v>44680</v>
      </c>
      <c r="H853" t="str">
        <f ca="1">IFERROR(__xludf.DUMMYFUNCTION("""COMPUTED_VALUE"""),"Tolomato River")</f>
        <v>Tolomato River</v>
      </c>
      <c r="I853" s="15">
        <f ca="1">IFERROR(__xludf.DUMMYFUNCTION("""COMPUTED_VALUE"""),0.58333333333212)</f>
        <v>0.58333333333212001</v>
      </c>
      <c r="J853" s="16">
        <f ca="1">IFERROR(__xludf.DUMMYFUNCTION("""COMPUTED_VALUE"""),44680.6145833333)</f>
        <v>44680.614583333299</v>
      </c>
      <c r="K853" t="str">
        <f ca="1">IFERROR(__xludf.DUMMYFUNCTION("""COMPUTED_VALUE"""),"23ft Skiff (Bertha) FL7972LJ DEP07613")</f>
        <v>23ft Skiff (Bertha) FL7972LJ DEP07613</v>
      </c>
      <c r="M853" t="str">
        <f ca="1">IFERROR(__xludf.DUMMYFUNCTION("""COMPUTED_VALUE"""),"Ford F150 2018 (ML AP) - DEP21637")</f>
        <v>Ford F150 2018 (ML AP) - DEP21637</v>
      </c>
      <c r="N853" t="str">
        <f ca="1">IFERROR(__xludf.DUMMYFUNCTION("""COMPUTED_VALUE"""),"Jimmy Tomazinis, (904) 547-0094")</f>
        <v>Jimmy Tomazinis, (904) 547-0094</v>
      </c>
      <c r="O853" t="str">
        <f ca="1">IFERROR(__xludf.DUMMYFUNCTION("""COMPUTED_VALUE"""),"Allix North (850)420-7495")</f>
        <v>Allix North (850)420-7495</v>
      </c>
      <c r="P853" t="str">
        <f ca="1">IFERROR(__xludf.DUMMYFUNCTION("""COMPUTED_VALUE"""),"Jimmy Tomazinis")</f>
        <v>Jimmy Tomazinis</v>
      </c>
      <c r="Q853" t="str">
        <f ca="1">IFERROR(__xludf.DUMMYFUNCTION("""COMPUTED_VALUE"""),"All items in working order")</f>
        <v>All items in working order</v>
      </c>
      <c r="AD853" t="str">
        <f ca="1">IFERROR(__xludf.DUMMYFUNCTION("""COMPUTED_VALUE"""),"Yes")</f>
        <v>Yes</v>
      </c>
      <c r="AE853" s="11" t="str">
        <f ca="1">IFERROR(__xludf.DUMMYFUNCTION("""COMPUTED_VALUE"""),"Yes")</f>
        <v>Yes</v>
      </c>
      <c r="AF853" t="str">
        <v>Scott.Eastman@floridadep.gov</v>
      </c>
      <c r="AG853" s="18"/>
    </row>
    <row r="854" spans="1:34" ht="12.75">
      <c r="A854" s="10">
        <f ca="1">IFERROR(__xludf.DUMMYFUNCTION("""COMPUTED_VALUE"""),44683.4431653472)</f>
        <v>44683.443165347198</v>
      </c>
      <c r="B854" s="11" t="str">
        <f ca="1">IFERROR(__xludf.DUMMYFUNCTION("""COMPUTED_VALUE"""),"Gabriela Canas")</f>
        <v>Gabriela Canas</v>
      </c>
      <c r="C854" t="str">
        <f ca="1">IFERROR(__xludf.DUMMYFUNCTION("""COMPUTED_VALUE"""),"gabriela.canas@dep.state.fl.us")</f>
        <v>gabriela.canas@dep.state.fl.us</v>
      </c>
      <c r="D854" t="str">
        <f ca="1">IFERROR(__xludf.DUMMYFUNCTION("""COMPUTED_VALUE"""),"Nikki Dix")</f>
        <v>Nikki Dix</v>
      </c>
      <c r="E854" t="str">
        <f ca="1">IFERROR(__xludf.DUMMYFUNCTION("""COMPUTED_VALUE"""),"Vilano")</f>
        <v>Vilano</v>
      </c>
      <c r="F854" s="13">
        <f ca="1">IFERROR(__xludf.DUMMYFUNCTION("""COMPUTED_VALUE"""),0.4375)</f>
        <v>0.4375</v>
      </c>
      <c r="G854" s="14">
        <f ca="1">IFERROR(__xludf.DUMMYFUNCTION("""COMPUTED_VALUE"""),44683)</f>
        <v>44683</v>
      </c>
      <c r="H854" t="str">
        <f ca="1">IFERROR(__xludf.DUMMYFUNCTION("""COMPUTED_VALUE"""),"Icw swmp")</f>
        <v>Icw swmp</v>
      </c>
      <c r="I854" s="15">
        <f ca="1">IFERROR(__xludf.DUMMYFUNCTION("""COMPUTED_VALUE"""),0.604166666667879)</f>
        <v>0.60416666666787899</v>
      </c>
      <c r="J854" s="16">
        <f ca="1">IFERROR(__xludf.DUMMYFUNCTION("""COMPUTED_VALUE"""),44683.625)</f>
        <v>44683.625</v>
      </c>
      <c r="K854" t="str">
        <f ca="1">IFERROR(__xludf.DUMMYFUNCTION("""COMPUTED_VALUE"""),"17ft Skiff (Marsha) FL0642GW DEP07239")</f>
        <v>17ft Skiff (Marsha) FL0642GW DEP07239</v>
      </c>
      <c r="M854" t="str">
        <f ca="1">IFERROR(__xludf.DUMMYFUNCTION("""COMPUTED_VALUE"""),"Ford F250 2017 (Moby Dix) - DEP0021578")</f>
        <v>Ford F250 2017 (Moby Dix) - DEP0021578</v>
      </c>
      <c r="N854" t="str">
        <f ca="1">IFERROR(__xludf.DUMMYFUNCTION("""COMPUTED_VALUE"""),"Shannon Dunnigan, (803) 727-5734, Gabby Canas, (904) 891-9743")</f>
        <v>Shannon Dunnigan, (803) 727-5734, Gabby Canas, (904) 891-9743</v>
      </c>
      <c r="P854" t="str">
        <f ca="1">IFERROR(__xludf.DUMMYFUNCTION("""COMPUTED_VALUE"""),"Shannon ")</f>
        <v xml:space="preserve">Shannon </v>
      </c>
      <c r="Q854" t="str">
        <f ca="1">IFERROR(__xludf.DUMMYFUNCTION("""COMPUTED_VALUE"""),"All items in working order")</f>
        <v>All items in working order</v>
      </c>
      <c r="AE854" s="11"/>
      <c r="AF854" t="str">
        <v>Nikki.Dix@floridadep.gov</v>
      </c>
      <c r="AG854" s="18"/>
    </row>
    <row r="855" spans="1:34" ht="12.75">
      <c r="A855" s="10">
        <f ca="1">IFERROR(__xludf.DUMMYFUNCTION("""COMPUTED_VALUE"""),44685.2971636226)</f>
        <v>44685.297163622599</v>
      </c>
      <c r="B855" s="11" t="str">
        <f ca="1">IFERROR(__xludf.DUMMYFUNCTION("""COMPUTED_VALUE"""),"Silas Tanner")</f>
        <v>Silas Tanner</v>
      </c>
      <c r="C855" t="str">
        <f ca="1">IFERROR(__xludf.DUMMYFUNCTION("""COMPUTED_VALUE"""),"silas.tanner@floridadep.gov")</f>
        <v>silas.tanner@floridadep.gov</v>
      </c>
      <c r="D855" t="str">
        <f ca="1">IFERROR(__xludf.DUMMYFUNCTION("""COMPUTED_VALUE"""),"Shannon Dunnigan")</f>
        <v>Shannon Dunnigan</v>
      </c>
      <c r="E855" t="str">
        <f ca="1">IFERROR(__xludf.DUMMYFUNCTION("""COMPUTED_VALUE"""),"Vilano Landing")</f>
        <v>Vilano Landing</v>
      </c>
      <c r="F855" s="13">
        <f ca="1">IFERROR(__xludf.DUMMYFUNCTION("""COMPUTED_VALUE"""),0.3125)</f>
        <v>0.3125</v>
      </c>
      <c r="G855" s="14">
        <f ca="1">IFERROR(__xludf.DUMMYFUNCTION("""COMPUTED_VALUE"""),44685)</f>
        <v>44685</v>
      </c>
      <c r="H855" t="str">
        <f ca="1">IFERROR(__xludf.DUMMYFUNCTION("""COMPUTED_VALUE"""),"ICW SWMP sites")</f>
        <v>ICW SWMP sites</v>
      </c>
      <c r="I855" s="15">
        <f ca="1">IFERROR(__xludf.DUMMYFUNCTION("""COMPUTED_VALUE"""),0.52083333333212)</f>
        <v>0.52083333333212001</v>
      </c>
      <c r="J855" s="16">
        <f ca="1">IFERROR(__xludf.DUMMYFUNCTION("""COMPUTED_VALUE"""),44685.5416666666)</f>
        <v>44685.541666666599</v>
      </c>
      <c r="K855" t="str">
        <f ca="1">IFERROR(__xludf.DUMMYFUNCTION("""COMPUTED_VALUE"""),"23ft Skiff (Bertha) FL7972LJ DEP07613")</f>
        <v>23ft Skiff (Bertha) FL7972LJ DEP07613</v>
      </c>
      <c r="M855" t="str">
        <f ca="1">IFERROR(__xludf.DUMMYFUNCTION("""COMPUTED_VALUE"""),"Ford F250 2017 (Moby Dix) - DEP0021578")</f>
        <v>Ford F250 2017 (Moby Dix) - DEP0021578</v>
      </c>
      <c r="N855" t="str">
        <f ca="1">IFERROR(__xludf.DUMMYFUNCTION("""COMPUTED_VALUE"""),"Silas Tanner, (904) 483-8423, Remo Mondazzi")</f>
        <v>Silas Tanner, (904) 483-8423, Remo Mondazzi</v>
      </c>
      <c r="O855" t="str">
        <f ca="1">IFERROR(__xludf.DUMMYFUNCTION("""COMPUTED_VALUE"""),"Jim Tanner")</f>
        <v>Jim Tanner</v>
      </c>
      <c r="P855" t="str">
        <f ca="1">IFERROR(__xludf.DUMMYFUNCTION("""COMPUTED_VALUE"""),"Silas Tanner")</f>
        <v>Silas Tanner</v>
      </c>
      <c r="Q855" t="str">
        <f ca="1">IFERROR(__xludf.DUMMYFUNCTION("""COMPUTED_VALUE"""),"All items in working order")</f>
        <v>All items in working order</v>
      </c>
      <c r="AE855" s="11"/>
      <c r="AF855" t="str">
        <v>Shannon.Dunnigan@floridadep.gov</v>
      </c>
      <c r="AG855" s="18"/>
    </row>
    <row r="856" spans="1:34" ht="12.75">
      <c r="A856" s="10">
        <f ca="1">IFERROR(__xludf.DUMMYFUNCTION("""COMPUTED_VALUE"""),44686.3597915856)</f>
        <v>44686.359791585601</v>
      </c>
      <c r="B856" s="11" t="str">
        <f ca="1">IFERROR(__xludf.DUMMYFUNCTION("""COMPUTED_VALUE"""),"Silas Tanner")</f>
        <v>Silas Tanner</v>
      </c>
      <c r="C856" t="str">
        <f ca="1">IFERROR(__xludf.DUMMYFUNCTION("""COMPUTED_VALUE"""),"silas.tanner@floridadep.gov")</f>
        <v>silas.tanner@floridadep.gov</v>
      </c>
      <c r="D856" t="str">
        <f ca="1">IFERROR(__xludf.DUMMYFUNCTION("""COMPUTED_VALUE"""),"Shannon Dunnigan")</f>
        <v>Shannon Dunnigan</v>
      </c>
      <c r="E856" t="str">
        <f ca="1">IFERROR(__xludf.DUMMYFUNCTION("""COMPUTED_VALUE"""),"Vilano Landing")</f>
        <v>Vilano Landing</v>
      </c>
      <c r="F856" s="13">
        <f ca="1">IFERROR(__xludf.DUMMYFUNCTION("""COMPUTED_VALUE"""),0.36458333333212)</f>
        <v>0.36458333333212001</v>
      </c>
      <c r="G856" s="14">
        <f ca="1">IFERROR(__xludf.DUMMYFUNCTION("""COMPUTED_VALUE"""),44686)</f>
        <v>44686</v>
      </c>
      <c r="H856" t="str">
        <f ca="1">IFERROR(__xludf.DUMMYFUNCTION("""COMPUTED_VALUE"""),"ICW north to Guana")</f>
        <v>ICW north to Guana</v>
      </c>
      <c r="I856" s="15">
        <f ca="1">IFERROR(__xludf.DUMMYFUNCTION("""COMPUTED_VALUE"""),0.53125)</f>
        <v>0.53125</v>
      </c>
      <c r="J856" s="16">
        <f ca="1">IFERROR(__xludf.DUMMYFUNCTION("""COMPUTED_VALUE"""),44686.5520833333)</f>
        <v>44686.552083333299</v>
      </c>
      <c r="K856" t="str">
        <f ca="1">IFERROR(__xludf.DUMMYFUNCTION("""COMPUTED_VALUE"""),"23ft Skiff (Bertha) FL7972LJ DEP07613")</f>
        <v>23ft Skiff (Bertha) FL7972LJ DEP07613</v>
      </c>
      <c r="M856" t="str">
        <f ca="1">IFERROR(__xludf.DUMMYFUNCTION("""COMPUTED_VALUE"""),"Ford F250 2017 (Moby Dix) - DEP0021578")</f>
        <v>Ford F250 2017 (Moby Dix) - DEP0021578</v>
      </c>
      <c r="N856" t="str">
        <f ca="1">IFERROR(__xludf.DUMMYFUNCTION("""COMPUTED_VALUE"""),"Nikki Dix, (352) 219-4079, Silas Tanner, (904) 483-8423")</f>
        <v>Nikki Dix, (352) 219-4079, Silas Tanner, (904) 483-8423</v>
      </c>
      <c r="O856" t="str">
        <f ca="1">IFERROR(__xludf.DUMMYFUNCTION("""COMPUTED_VALUE"""),"Josie Spearman, (386) 627-0816, Lia Sansom, (520) 940-4888, , Congressman Rutherford, Katie  Heffernan and Chris Miller")</f>
        <v>Josie Spearman, (386) 627-0816, Lia Sansom, (520) 940-4888, , Congressman Rutherford, Katie  Heffernan and Chris Miller</v>
      </c>
      <c r="P856" t="str">
        <f ca="1">IFERROR(__xludf.DUMMYFUNCTION("""COMPUTED_VALUE"""),"Silas Tanner")</f>
        <v>Silas Tanner</v>
      </c>
      <c r="Q856" t="str">
        <f ca="1">IFERROR(__xludf.DUMMYFUNCTION("""COMPUTED_VALUE"""),"All items in working order")</f>
        <v>All items in working order</v>
      </c>
      <c r="AE856" s="11"/>
      <c r="AF856" t="str">
        <v>Shannon.Dunnigan@floridadep.gov</v>
      </c>
      <c r="AG856" s="17" t="s">
        <v>639</v>
      </c>
      <c r="AH856" s="12">
        <v>1105</v>
      </c>
    </row>
    <row r="857" spans="1:34" ht="12.75">
      <c r="A857" s="10">
        <f ca="1">IFERROR(__xludf.DUMMYFUNCTION("""COMPUTED_VALUE"""),44689.9138774074)</f>
        <v>44689.913877407402</v>
      </c>
      <c r="B857" s="11" t="str">
        <f ca="1">IFERROR(__xludf.DUMMYFUNCTION("""COMPUTED_VALUE"""),"Jimmy")</f>
        <v>Jimmy</v>
      </c>
      <c r="C857" t="str">
        <f ca="1">IFERROR(__xludf.DUMMYFUNCTION("""COMPUTED_VALUE"""),"james.tomazinis@floridadep.gov")</f>
        <v>james.tomazinis@floridadep.gov</v>
      </c>
      <c r="D857" t="str">
        <f ca="1">IFERROR(__xludf.DUMMYFUNCTION("""COMPUTED_VALUE"""),"Scott Eastman")</f>
        <v>Scott Eastman</v>
      </c>
      <c r="E857" t="str">
        <f ca="1">IFERROR(__xludf.DUMMYFUNCTION("""COMPUTED_VALUE"""),"Holly Point")</f>
        <v>Holly Point</v>
      </c>
      <c r="F857" s="13">
        <f ca="1">IFERROR(__xludf.DUMMYFUNCTION("""COMPUTED_VALUE"""),0.4375)</f>
        <v>0.4375</v>
      </c>
      <c r="G857" s="14">
        <f ca="1">IFERROR(__xludf.DUMMYFUNCTION("""COMPUTED_VALUE"""),44690)</f>
        <v>44690</v>
      </c>
      <c r="H857" t="str">
        <f ca="1">IFERROR(__xludf.DUMMYFUNCTION("""COMPUTED_VALUE"""),"Edwards Creek and Nassau River ")</f>
        <v xml:space="preserve">Edwards Creek and Nassau River </v>
      </c>
      <c r="I857" s="15">
        <f ca="1">IFERROR(__xludf.DUMMYFUNCTION("""COMPUTED_VALUE"""),0.64583333333212)</f>
        <v>0.64583333333212001</v>
      </c>
      <c r="J857" s="16"/>
      <c r="K857" t="str">
        <f ca="1">IFERROR(__xludf.DUMMYFUNCTION("""COMPUTED_VALUE"""),"F 20ft Sea Ark (Easy 200) FL8534PY DEP21451")</f>
        <v>F 20ft Sea Ark (Easy 200) FL8534PY DEP21451</v>
      </c>
      <c r="M857" t="str">
        <f ca="1">IFERROR(__xludf.DUMMYFUNCTION("""COMPUTED_VALUE"""),"Ford F150 2007 (F-Bomb) - DEP07055")</f>
        <v>Ford F150 2007 (F-Bomb) - DEP07055</v>
      </c>
      <c r="N857" t="str">
        <f ca="1">IFERROR(__xludf.DUMMYFUNCTION("""COMPUTED_VALUE"""),"Jimmy Tomazinis, (904) 547-0094")</f>
        <v>Jimmy Tomazinis, (904) 547-0094</v>
      </c>
      <c r="O857" t="str">
        <f ca="1">IFERROR(__xludf.DUMMYFUNCTION("""COMPUTED_VALUE"""),"Chris Kurtz")</f>
        <v>Chris Kurtz</v>
      </c>
      <c r="P857" t="str">
        <f ca="1">IFERROR(__xludf.DUMMYFUNCTION("""COMPUTED_VALUE"""),"Jimmy")</f>
        <v>Jimmy</v>
      </c>
      <c r="Q857" t="str">
        <f ca="1">IFERROR(__xludf.DUMMYFUNCTION("""COMPUTED_VALUE"""),"All items in working order")</f>
        <v>All items in working order</v>
      </c>
      <c r="AE857" s="11"/>
      <c r="AF857" t="str">
        <v>Scott.Eastman@floridadep.gov</v>
      </c>
      <c r="AG857" s="18"/>
    </row>
    <row r="858" spans="1:34" ht="12.75">
      <c r="A858" s="10">
        <f ca="1">IFERROR(__xludf.DUMMYFUNCTION("""COMPUTED_VALUE"""),44693.3002528125)</f>
        <v>44693.3002528125</v>
      </c>
      <c r="B858" s="11" t="str">
        <f ca="1">IFERROR(__xludf.DUMMYFUNCTION("""COMPUTED_VALUE"""),"Olivia Roorbach")</f>
        <v>Olivia Roorbach</v>
      </c>
      <c r="C858" t="str">
        <f ca="1">IFERROR(__xludf.DUMMYFUNCTION("""COMPUTED_VALUE"""),"olivia.roorbach@floridadep.gov")</f>
        <v>olivia.roorbach@floridadep.gov</v>
      </c>
      <c r="D858" t="str">
        <f ca="1">IFERROR(__xludf.DUMMYFUNCTION("""COMPUTED_VALUE"""),"Shannon Dunnigan")</f>
        <v>Shannon Dunnigan</v>
      </c>
      <c r="E858" t="str">
        <f ca="1">IFERROR(__xludf.DUMMYFUNCTION("""COMPUTED_VALUE"""),"Guana river")</f>
        <v>Guana river</v>
      </c>
      <c r="F858" s="13">
        <f ca="1">IFERROR(__xludf.DUMMYFUNCTION("""COMPUTED_VALUE"""),0.291666666667879)</f>
        <v>0.29166666666787899</v>
      </c>
      <c r="G858" s="14">
        <f ca="1">IFERROR(__xludf.DUMMYFUNCTION("""COMPUTED_VALUE"""),44693)</f>
        <v>44693</v>
      </c>
      <c r="H858" t="str">
        <f ca="1">IFERROR(__xludf.DUMMYFUNCTION("""COMPUTED_VALUE"""),"Guana ")</f>
        <v xml:space="preserve">Guana </v>
      </c>
      <c r="I858" s="15">
        <f ca="1">IFERROR(__xludf.DUMMYFUNCTION("""COMPUTED_VALUE"""),0)</f>
        <v>0</v>
      </c>
      <c r="J858" s="16">
        <f ca="1">IFERROR(__xludf.DUMMYFUNCTION("""COMPUTED_VALUE"""),44693)</f>
        <v>44693</v>
      </c>
      <c r="K858" t="str">
        <f ca="1">IFERROR(__xludf.DUMMYFUNCTION("""COMPUTED_VALUE"""),"Jon Boat 1 FL5992RR DEP154045")</f>
        <v>Jon Boat 1 FL5992RR DEP154045</v>
      </c>
      <c r="M858" t="str">
        <f ca="1">IFERROR(__xludf.DUMMYFUNCTION("""COMPUTED_VALUE"""),"Ford F150 2015 (White) - DEP21448")</f>
        <v>Ford F150 2015 (White) - DEP21448</v>
      </c>
      <c r="N858" t="str">
        <f ca="1">IFERROR(__xludf.DUMMYFUNCTION("""COMPUTED_VALUE"""),"Olivia Roorbach, (404) 694-2653")</f>
        <v>Olivia Roorbach, (404) 694-2653</v>
      </c>
      <c r="O858" t="str">
        <f ca="1">IFERROR(__xludf.DUMMYFUNCTION("""COMPUTED_VALUE"""),"Jenna Reimer ")</f>
        <v xml:space="preserve">Jenna Reimer </v>
      </c>
      <c r="P858" t="str">
        <f ca="1">IFERROR(__xludf.DUMMYFUNCTION("""COMPUTED_VALUE"""),"Olivia Roorbach")</f>
        <v>Olivia Roorbach</v>
      </c>
      <c r="Q858" t="str">
        <f ca="1">IFERROR(__xludf.DUMMYFUNCTION("""COMPUTED_VALUE"""),"All items in working order")</f>
        <v>All items in working order</v>
      </c>
      <c r="AE858" s="11"/>
      <c r="AF858" t="str">
        <v>Shannon.Dunnigan@floridadep.gov</v>
      </c>
      <c r="AG858" s="18"/>
    </row>
    <row r="859" spans="1:34" ht="12.75">
      <c r="A859" s="10">
        <f ca="1">IFERROR(__xludf.DUMMYFUNCTION("""COMPUTED_VALUE"""),44698.2945767939)</f>
        <v>44698.294576793902</v>
      </c>
      <c r="B859" s="11" t="str">
        <f ca="1">IFERROR(__xludf.DUMMYFUNCTION("""COMPUTED_VALUE"""),"Jimmy")</f>
        <v>Jimmy</v>
      </c>
      <c r="C859" t="str">
        <f ca="1">IFERROR(__xludf.DUMMYFUNCTION("""COMPUTED_VALUE"""),"james.tomazinis@floridadep.gov")</f>
        <v>james.tomazinis@floridadep.gov</v>
      </c>
      <c r="D859" t="str">
        <f ca="1">IFERROR(__xludf.DUMMYFUNCTION("""COMPUTED_VALUE"""),"Scott Eastman")</f>
        <v>Scott Eastman</v>
      </c>
      <c r="E859" t="str">
        <f ca="1">IFERROR(__xludf.DUMMYFUNCTION("""COMPUTED_VALUE"""),"Dee Dee Bartels and Holly Point")</f>
        <v>Dee Dee Bartels and Holly Point</v>
      </c>
      <c r="F859" s="13">
        <f ca="1">IFERROR(__xludf.DUMMYFUNCTION("""COMPUTED_VALUE"""),0.416666666667879)</f>
        <v>0.41666666666787899</v>
      </c>
      <c r="G859" s="14">
        <f ca="1">IFERROR(__xludf.DUMMYFUNCTION("""COMPUTED_VALUE"""),44698)</f>
        <v>44698</v>
      </c>
      <c r="H859" t="str">
        <f ca="1">IFERROR(__xludf.DUMMYFUNCTION("""COMPUTED_VALUE"""),"NEAP WQ sites")</f>
        <v>NEAP WQ sites</v>
      </c>
      <c r="I859" s="15">
        <f ca="1">IFERROR(__xludf.DUMMYFUNCTION("""COMPUTED_VALUE"""),0.625)</f>
        <v>0.625</v>
      </c>
      <c r="J859" s="16"/>
      <c r="K859" t="str">
        <f ca="1">IFERROR(__xludf.DUMMYFUNCTION("""COMPUTED_VALUE"""),"F 20ft Sea Ark (Easy 200) FL8534PY DEP21451")</f>
        <v>F 20ft Sea Ark (Easy 200) FL8534PY DEP21451</v>
      </c>
      <c r="M859" t="str">
        <f ca="1">IFERROR(__xludf.DUMMYFUNCTION("""COMPUTED_VALUE"""),"Ford F150 2007 (F-Bomb) - DEP07055")</f>
        <v>Ford F150 2007 (F-Bomb) - DEP07055</v>
      </c>
      <c r="N859" t="str">
        <f ca="1">IFERROR(__xludf.DUMMYFUNCTION("""COMPUTED_VALUE"""),"Jimmy Tomazinis, (904) 547-0094")</f>
        <v>Jimmy Tomazinis, (904) 547-0094</v>
      </c>
      <c r="O859" t="str">
        <f ca="1">IFERROR(__xludf.DUMMYFUNCTION("""COMPUTED_VALUE"""),"Chris Kurtz")</f>
        <v>Chris Kurtz</v>
      </c>
      <c r="P859" t="str">
        <f ca="1">IFERROR(__xludf.DUMMYFUNCTION("""COMPUTED_VALUE"""),"Jimmy")</f>
        <v>Jimmy</v>
      </c>
      <c r="Q859" t="str">
        <f ca="1">IFERROR(__xludf.DUMMYFUNCTION("""COMPUTED_VALUE"""),"All items in working order")</f>
        <v>All items in working order</v>
      </c>
      <c r="AE859" s="11"/>
      <c r="AF859" t="str">
        <v>Scott.Eastman@floridadep.gov</v>
      </c>
      <c r="AG859" s="18"/>
    </row>
    <row r="860" spans="1:34" ht="12.75">
      <c r="A860" s="10">
        <f ca="1">IFERROR(__xludf.DUMMYFUNCTION("""COMPUTED_VALUE"""),44698.4908274537)</f>
        <v>44698.490827453701</v>
      </c>
      <c r="B860" s="11" t="str">
        <f ca="1">IFERROR(__xludf.DUMMYFUNCTION("""COMPUTED_VALUE"""),"Silas Tanner")</f>
        <v>Silas Tanner</v>
      </c>
      <c r="C860" t="str">
        <f ca="1">IFERROR(__xludf.DUMMYFUNCTION("""COMPUTED_VALUE"""),"silas.tanner@floridadep.gov")</f>
        <v>silas.tanner@floridadep.gov</v>
      </c>
      <c r="D860" t="str">
        <f ca="1">IFERROR(__xludf.DUMMYFUNCTION("""COMPUTED_VALUE"""),"Shannon Dunnigan")</f>
        <v>Shannon Dunnigan</v>
      </c>
      <c r="E860" t="str">
        <f ca="1">IFERROR(__xludf.DUMMYFUNCTION("""COMPUTED_VALUE"""),"Vilano Landing")</f>
        <v>Vilano Landing</v>
      </c>
      <c r="F860" s="13">
        <f ca="1">IFERROR(__xludf.DUMMYFUNCTION("""COMPUTED_VALUE"""),0.4375)</f>
        <v>0.4375</v>
      </c>
      <c r="G860" s="14">
        <f ca="1">IFERROR(__xludf.DUMMYFUNCTION("""COMPUTED_VALUE"""),44699)</f>
        <v>44699</v>
      </c>
      <c r="H860" t="str">
        <f ca="1">IFERROR(__xludf.DUMMYFUNCTION("""COMPUTED_VALUE"""),"ICW SWMP Sites")</f>
        <v>ICW SWMP Sites</v>
      </c>
      <c r="I860" s="15">
        <f ca="1">IFERROR(__xludf.DUMMYFUNCTION("""COMPUTED_VALUE"""),0.625)</f>
        <v>0.625</v>
      </c>
      <c r="J860" s="16">
        <f ca="1">IFERROR(__xludf.DUMMYFUNCTION("""COMPUTED_VALUE"""),44699.6458333333)</f>
        <v>44699.645833333299</v>
      </c>
      <c r="K860" t="str">
        <f ca="1">IFERROR(__xludf.DUMMYFUNCTION("""COMPUTED_VALUE"""),"20ft Sea Ark FL5351SJ UNF 2015")</f>
        <v>20ft Sea Ark FL5351SJ UNF 2015</v>
      </c>
      <c r="M860" t="str">
        <f ca="1">IFERROR(__xludf.DUMMYFUNCTION("""COMPUTED_VALUE"""),"Ford F250 2017 (Moby Dix) - DEP0021578")</f>
        <v>Ford F250 2017 (Moby Dix) - DEP0021578</v>
      </c>
      <c r="N860" t="str">
        <f ca="1">IFERROR(__xludf.DUMMYFUNCTION("""COMPUTED_VALUE"""),"Silas Tanner, (904) 483-8423, Remo Mondazzi")</f>
        <v>Silas Tanner, (904) 483-8423, Remo Mondazzi</v>
      </c>
      <c r="P860" t="str">
        <f ca="1">IFERROR(__xludf.DUMMYFUNCTION("""COMPUTED_VALUE"""),"Silas Tanner")</f>
        <v>Silas Tanner</v>
      </c>
      <c r="Q860" t="str">
        <f ca="1">IFERROR(__xludf.DUMMYFUNCTION("""COMPUTED_VALUE"""),"All items in working order")</f>
        <v>All items in working order</v>
      </c>
      <c r="AE860" s="11"/>
      <c r="AF860" t="str">
        <v>Shannon.Dunnigan@floridadep.gov</v>
      </c>
      <c r="AG860" s="18"/>
    </row>
    <row r="861" spans="1:34" ht="12.75">
      <c r="A861" s="10">
        <f ca="1">IFERROR(__xludf.DUMMYFUNCTION("""COMPUTED_VALUE"""),44701.3881849074)</f>
        <v>44701.388184907402</v>
      </c>
      <c r="B861" s="11" t="str">
        <f ca="1">IFERROR(__xludf.DUMMYFUNCTION("""COMPUTED_VALUE"""),"Allix North")</f>
        <v>Allix North</v>
      </c>
      <c r="C861" t="str">
        <f ca="1">IFERROR(__xludf.DUMMYFUNCTION("""COMPUTED_VALUE"""),"allix.north@dep.state.fl.us")</f>
        <v>allix.north@dep.state.fl.us</v>
      </c>
      <c r="D861" t="str">
        <f ca="1">IFERROR(__xludf.DUMMYFUNCTION("""COMPUTED_VALUE"""),"Scott Eastman")</f>
        <v>Scott Eastman</v>
      </c>
      <c r="E861" t="str">
        <f ca="1">IFERROR(__xludf.DUMMYFUNCTION("""COMPUTED_VALUE"""),"Vilano")</f>
        <v>Vilano</v>
      </c>
      <c r="F861" s="13">
        <f ca="1">IFERROR(__xludf.DUMMYFUNCTION("""COMPUTED_VALUE"""),0.4375)</f>
        <v>0.4375</v>
      </c>
      <c r="G861" s="14">
        <f ca="1">IFERROR(__xludf.DUMMYFUNCTION("""COMPUTED_VALUE"""),44701)</f>
        <v>44701</v>
      </c>
      <c r="H861" t="str">
        <f ca="1">IFERROR(__xludf.DUMMYFUNCTION("""COMPUTED_VALUE"""),"North of Vilano Bridge")</f>
        <v>North of Vilano Bridge</v>
      </c>
      <c r="I861" s="15">
        <f ca="1">IFERROR(__xludf.DUMMYFUNCTION("""COMPUTED_VALUE"""),0.58333333333212)</f>
        <v>0.58333333333212001</v>
      </c>
      <c r="J861" s="16">
        <f ca="1">IFERROR(__xludf.DUMMYFUNCTION("""COMPUTED_VALUE"""),44701.6041666666)</f>
        <v>44701.604166666599</v>
      </c>
      <c r="K861" t="str">
        <f ca="1">IFERROR(__xludf.DUMMYFUNCTION("""COMPUTED_VALUE"""),"23ft Skiff (Bertha) FL7972LJ DEP07613")</f>
        <v>23ft Skiff (Bertha) FL7972LJ DEP07613</v>
      </c>
      <c r="M861" t="str">
        <f ca="1">IFERROR(__xludf.DUMMYFUNCTION("""COMPUTED_VALUE"""),"Ford F150 2018 (ML AP) - DEP21637")</f>
        <v>Ford F150 2018 (ML AP) - DEP21637</v>
      </c>
      <c r="N861" t="str">
        <f ca="1">IFERROR(__xludf.DUMMYFUNCTION("""COMPUTED_VALUE"""),"Jimmy Tomazinis, (904) 547-0094")</f>
        <v>Jimmy Tomazinis, (904) 547-0094</v>
      </c>
      <c r="O861" t="str">
        <f ca="1">IFERROR(__xludf.DUMMYFUNCTION("""COMPUTED_VALUE"""),"Savanna Mathis, Allix North")</f>
        <v>Savanna Mathis, Allix North</v>
      </c>
      <c r="P861" t="str">
        <f ca="1">IFERROR(__xludf.DUMMYFUNCTION("""COMPUTED_VALUE"""),"Jimmy Tomazinis")</f>
        <v>Jimmy Tomazinis</v>
      </c>
      <c r="Q861" t="str">
        <f ca="1">IFERROR(__xludf.DUMMYFUNCTION("""COMPUTED_VALUE"""),"All items in working order")</f>
        <v>All items in working order</v>
      </c>
      <c r="AE861" s="11"/>
      <c r="AF861" t="str">
        <v>Scott.Eastman@floridadep.gov</v>
      </c>
      <c r="AG861" s="18"/>
    </row>
    <row r="862" spans="1:34" ht="12.75">
      <c r="A862" s="10">
        <f ca="1">IFERROR(__xludf.DUMMYFUNCTION("""COMPUTED_VALUE"""),44701.6198161226)</f>
        <v>44701.619816122598</v>
      </c>
      <c r="B862" s="11" t="str">
        <f ca="1">IFERROR(__xludf.DUMMYFUNCTION("""COMPUTED_VALUE"""),"Rauney Mitchell")</f>
        <v>Rauney Mitchell</v>
      </c>
      <c r="C862" t="str">
        <f ca="1">IFERROR(__xludf.DUMMYFUNCTION("""COMPUTED_VALUE"""),"RJ.Mitchell@foridadep.gov")</f>
        <v>RJ.Mitchell@foridadep.gov</v>
      </c>
      <c r="D862" t="str">
        <f ca="1">IFERROR(__xludf.DUMMYFUNCTION("""COMPUTED_VALUE"""),"Candace Killian")</f>
        <v>Candace Killian</v>
      </c>
      <c r="E862" t="str">
        <f ca="1">IFERROR(__xludf.DUMMYFUNCTION("""COMPUTED_VALUE"""),"Faver-Dykes")</f>
        <v>Faver-Dykes</v>
      </c>
      <c r="F862" s="13">
        <f ca="1">IFERROR(__xludf.DUMMYFUNCTION("""COMPUTED_VALUE"""),0.625)</f>
        <v>0.625</v>
      </c>
      <c r="G862" s="14">
        <f ca="1">IFERROR(__xludf.DUMMYFUNCTION("""COMPUTED_VALUE"""),44701)</f>
        <v>44701</v>
      </c>
      <c r="H862" t="str">
        <f ca="1">IFERROR(__xludf.DUMMYFUNCTION("""COMPUTED_VALUE"""),"Pellicer Creek")</f>
        <v>Pellicer Creek</v>
      </c>
      <c r="I862" s="15">
        <f ca="1">IFERROR(__xludf.DUMMYFUNCTION("""COMPUTED_VALUE"""),0.70833333333212)</f>
        <v>0.70833333333212001</v>
      </c>
      <c r="J862" s="16">
        <f ca="1">IFERROR(__xludf.DUMMYFUNCTION("""COMPUTED_VALUE"""),44701.75)</f>
        <v>44701.75</v>
      </c>
      <c r="K862" t="str">
        <f ca="1">IFERROR(__xludf.DUMMYFUNCTION("""COMPUTED_VALUE"""),"Jon Boat 1 FL5992RR DEP154045")</f>
        <v>Jon Boat 1 FL5992RR DEP154045</v>
      </c>
      <c r="M862" t="str">
        <f ca="1">IFERROR(__xludf.DUMMYFUNCTION("""COMPUTED_VALUE"""),"Ford F150 2015 (White) - DEP21448")</f>
        <v>Ford F150 2015 (White) - DEP21448</v>
      </c>
      <c r="N862" t="str">
        <f ca="1">IFERROR(__xludf.DUMMYFUNCTION("""COMPUTED_VALUE"""),"Pam Marcum, (480) 332-5414")</f>
        <v>Pam Marcum, (480) 332-5414</v>
      </c>
      <c r="O862" t="str">
        <f ca="1">IFERROR(__xludf.DUMMYFUNCTION("""COMPUTED_VALUE"""),"Rauney Mitchell")</f>
        <v>Rauney Mitchell</v>
      </c>
      <c r="P862" t="str">
        <f ca="1">IFERROR(__xludf.DUMMYFUNCTION("""COMPUTED_VALUE"""),"Rauney")</f>
        <v>Rauney</v>
      </c>
      <c r="Q862" t="str">
        <f ca="1">IFERROR(__xludf.DUMMYFUNCTION("""COMPUTED_VALUE"""),"All items in working order")</f>
        <v>All items in working order</v>
      </c>
      <c r="AE862" s="11"/>
      <c r="AF862" t="str">
        <v/>
      </c>
      <c r="AG862" s="18"/>
    </row>
    <row r="863" spans="1:34" ht="12.75">
      <c r="A863" s="10">
        <f ca="1">IFERROR(__xludf.DUMMYFUNCTION("""COMPUTED_VALUE"""),44713.6958109375)</f>
        <v>44713.695810937497</v>
      </c>
      <c r="B863" s="11" t="str">
        <f ca="1">IFERROR(__xludf.DUMMYFUNCTION("""COMPUTED_VALUE"""),"Silas Tanner")</f>
        <v>Silas Tanner</v>
      </c>
      <c r="C863" t="str">
        <f ca="1">IFERROR(__xludf.DUMMYFUNCTION("""COMPUTED_VALUE"""),"silas.tanner@floridadep.gov")</f>
        <v>silas.tanner@floridadep.gov</v>
      </c>
      <c r="D863" t="str">
        <f ca="1">IFERROR(__xludf.DUMMYFUNCTION("""COMPUTED_VALUE"""),"Nikki Dix")</f>
        <v>Nikki Dix</v>
      </c>
      <c r="E863" t="str">
        <f ca="1">IFERROR(__xludf.DUMMYFUNCTION("""COMPUTED_VALUE"""),"Vilano Landing")</f>
        <v>Vilano Landing</v>
      </c>
      <c r="F863" s="13">
        <f ca="1">IFERROR(__xludf.DUMMYFUNCTION("""COMPUTED_VALUE"""),0.39583333333212)</f>
        <v>0.39583333333212001</v>
      </c>
      <c r="G863" s="14">
        <f ca="1">IFERROR(__xludf.DUMMYFUNCTION("""COMPUTED_VALUE"""),44714)</f>
        <v>44714</v>
      </c>
      <c r="H863" t="str">
        <f ca="1">IFERROR(__xludf.DUMMYFUNCTION("""COMPUTED_VALUE"""),"ICW SWMP sites")</f>
        <v>ICW SWMP sites</v>
      </c>
      <c r="I863" s="15">
        <f ca="1">IFERROR(__xludf.DUMMYFUNCTION("""COMPUTED_VALUE"""),0.604166666667879)</f>
        <v>0.60416666666787899</v>
      </c>
      <c r="J863" s="16">
        <f ca="1">IFERROR(__xludf.DUMMYFUNCTION("""COMPUTED_VALUE"""),44714.625)</f>
        <v>44714.625</v>
      </c>
      <c r="K863" t="str">
        <f ca="1">IFERROR(__xludf.DUMMYFUNCTION("""COMPUTED_VALUE"""),"20ft Sea Ark FL5351SJ UNF 2015")</f>
        <v>20ft Sea Ark FL5351SJ UNF 2015</v>
      </c>
      <c r="M863" t="str">
        <f ca="1">IFERROR(__xludf.DUMMYFUNCTION("""COMPUTED_VALUE"""),"Ford F250 2017 (Moby Dix) - DEP0021578")</f>
        <v>Ford F250 2017 (Moby Dix) - DEP0021578</v>
      </c>
      <c r="N863" t="str">
        <f ca="1">IFERROR(__xludf.DUMMYFUNCTION("""COMPUTED_VALUE"""),"Shannon Dunnigan, (803) 727-5734, Silas Tanner, (904) 483-8423")</f>
        <v>Shannon Dunnigan, (803) 727-5734, Silas Tanner, (904) 483-8423</v>
      </c>
      <c r="O863" t="str">
        <f ca="1">IFERROR(__xludf.DUMMYFUNCTION("""COMPUTED_VALUE"""),"Emalee Swisshelm. Nate Schirmer")</f>
        <v>Emalee Swisshelm. Nate Schirmer</v>
      </c>
      <c r="P863" t="str">
        <f ca="1">IFERROR(__xludf.DUMMYFUNCTION("""COMPUTED_VALUE"""),"Silas Tanner")</f>
        <v>Silas Tanner</v>
      </c>
      <c r="Q863" t="str">
        <f ca="1">IFERROR(__xludf.DUMMYFUNCTION("""COMPUTED_VALUE"""),"All items in working order")</f>
        <v>All items in working order</v>
      </c>
      <c r="AE863" s="11"/>
      <c r="AF863" t="str">
        <v>Nikki.Dix@floridadep.gov</v>
      </c>
      <c r="AG863" s="18"/>
    </row>
    <row r="864" spans="1:34" ht="12.75">
      <c r="A864" s="10">
        <f ca="1">IFERROR(__xludf.DUMMYFUNCTION("""COMPUTED_VALUE"""),44718.3570277546)</f>
        <v>44718.357027754602</v>
      </c>
      <c r="B864" s="11" t="str">
        <f ca="1">IFERROR(__xludf.DUMMYFUNCTION("""COMPUTED_VALUE"""),"Silas Tanner")</f>
        <v>Silas Tanner</v>
      </c>
      <c r="C864" t="str">
        <f ca="1">IFERROR(__xludf.DUMMYFUNCTION("""COMPUTED_VALUE"""),"silas.tanner@floridadep.gov")</f>
        <v>silas.tanner@floridadep.gov</v>
      </c>
      <c r="D864" t="str">
        <f ca="1">IFERROR(__xludf.DUMMYFUNCTION("""COMPUTED_VALUE"""),"Shannon Dunnigan")</f>
        <v>Shannon Dunnigan</v>
      </c>
      <c r="E864" t="str">
        <f ca="1">IFERROR(__xludf.DUMMYFUNCTION("""COMPUTED_VALUE"""),"Vilano Landing")</f>
        <v>Vilano Landing</v>
      </c>
      <c r="F864" s="13">
        <f ca="1">IFERROR(__xludf.DUMMYFUNCTION("""COMPUTED_VALUE"""),0.39583333333212)</f>
        <v>0.39583333333212001</v>
      </c>
      <c r="G864" s="14">
        <f ca="1">IFERROR(__xludf.DUMMYFUNCTION("""COMPUTED_VALUE"""),44718)</f>
        <v>44718</v>
      </c>
      <c r="H864" t="str">
        <f ca="1">IFERROR(__xludf.DUMMYFUNCTION("""COMPUTED_VALUE"""),"ICW SS and PI SWMP stations")</f>
        <v>ICW SS and PI SWMP stations</v>
      </c>
      <c r="I864" s="15">
        <f ca="1">IFERROR(__xludf.DUMMYFUNCTION("""COMPUTED_VALUE"""),0.541666666667879)</f>
        <v>0.54166666666787899</v>
      </c>
      <c r="J864" s="16">
        <f ca="1">IFERROR(__xludf.DUMMYFUNCTION("""COMPUTED_VALUE"""),44718.5625)</f>
        <v>44718.5625</v>
      </c>
      <c r="K864" t="str">
        <f ca="1">IFERROR(__xludf.DUMMYFUNCTION("""COMPUTED_VALUE"""),"20ft Sea Ark FL5351SJ UNF 2015")</f>
        <v>20ft Sea Ark FL5351SJ UNF 2015</v>
      </c>
      <c r="M864" t="str">
        <f ca="1">IFERROR(__xludf.DUMMYFUNCTION("""COMPUTED_VALUE"""),"Ford F250 2017 (Moby Dix) - DEP0021578")</f>
        <v>Ford F250 2017 (Moby Dix) - DEP0021578</v>
      </c>
      <c r="N864" t="str">
        <f ca="1">IFERROR(__xludf.DUMMYFUNCTION("""COMPUTED_VALUE"""),"Silas Tanner, (904) 483-8423")</f>
        <v>Silas Tanner, (904) 483-8423</v>
      </c>
      <c r="O864" t="str">
        <f ca="1">IFERROR(__xludf.DUMMYFUNCTION("""COMPUTED_VALUE"""),"Emalee Swisshelm")</f>
        <v>Emalee Swisshelm</v>
      </c>
      <c r="P864" t="str">
        <f ca="1">IFERROR(__xludf.DUMMYFUNCTION("""COMPUTED_VALUE"""),"Silas Tanner")</f>
        <v>Silas Tanner</v>
      </c>
      <c r="Q864" t="str">
        <f ca="1">IFERROR(__xludf.DUMMYFUNCTION("""COMPUTED_VALUE"""),"All items in working order")</f>
        <v>All items in working order</v>
      </c>
      <c r="AE864" s="11"/>
      <c r="AF864" t="str">
        <v>Shannon.Dunnigan@floridadep.gov</v>
      </c>
      <c r="AG864" s="18"/>
    </row>
    <row r="865" spans="1:33" ht="12.75">
      <c r="A865" s="10">
        <f ca="1">IFERROR(__xludf.DUMMYFUNCTION("""COMPUTED_VALUE"""),44719.303509074)</f>
        <v>44719.303509074001</v>
      </c>
      <c r="B865" s="11" t="str">
        <f ca="1">IFERROR(__xludf.DUMMYFUNCTION("""COMPUTED_VALUE"""),"Silas Tanner")</f>
        <v>Silas Tanner</v>
      </c>
      <c r="C865" t="str">
        <f ca="1">IFERROR(__xludf.DUMMYFUNCTION("""COMPUTED_VALUE"""),"silas.tanner@floridadep.gov")</f>
        <v>silas.tanner@floridadep.gov</v>
      </c>
      <c r="D865" t="str">
        <f ca="1">IFERROR(__xludf.DUMMYFUNCTION("""COMPUTED_VALUE"""),"Shannon Dunnigan")</f>
        <v>Shannon Dunnigan</v>
      </c>
      <c r="E865" t="str">
        <f ca="1">IFERROR(__xludf.DUMMYFUNCTION("""COMPUTED_VALUE"""),"Vilano Landing")</f>
        <v>Vilano Landing</v>
      </c>
      <c r="F865" s="13">
        <f ca="1">IFERROR(__xludf.DUMMYFUNCTION("""COMPUTED_VALUE"""),0.305555555554747)</f>
        <v>0.305555555554747</v>
      </c>
      <c r="G865" s="14">
        <f ca="1">IFERROR(__xludf.DUMMYFUNCTION("""COMPUTED_VALUE"""),44719)</f>
        <v>44719</v>
      </c>
      <c r="H865" t="str">
        <f ca="1">IFERROR(__xludf.DUMMYFUNCTION("""COMPUTED_VALUE"""),"ICW SWMP sites SS, PI")</f>
        <v>ICW SWMP sites SS, PI</v>
      </c>
      <c r="I865" s="15">
        <f ca="1">IFERROR(__xludf.DUMMYFUNCTION("""COMPUTED_VALUE"""),0.39583333333212)</f>
        <v>0.39583333333212001</v>
      </c>
      <c r="J865" s="16">
        <f ca="1">IFERROR(__xludf.DUMMYFUNCTION("""COMPUTED_VALUE"""),44719.4166666666)</f>
        <v>44719.416666666599</v>
      </c>
      <c r="K865" t="str">
        <f ca="1">IFERROR(__xludf.DUMMYFUNCTION("""COMPUTED_VALUE"""),"F 20ft Sea Ark (Easy 200) FL8534PY DEP21451")</f>
        <v>F 20ft Sea Ark (Easy 200) FL8534PY DEP21451</v>
      </c>
      <c r="M865" t="str">
        <f ca="1">IFERROR(__xludf.DUMMYFUNCTION("""COMPUTED_VALUE"""),"Ford F250 2017 (Moby Dix) - DEP0021578")</f>
        <v>Ford F250 2017 (Moby Dix) - DEP0021578</v>
      </c>
      <c r="N865" t="str">
        <f ca="1">IFERROR(__xludf.DUMMYFUNCTION("""COMPUTED_VALUE"""),"Silas Tanner, (904) 483-8423")</f>
        <v>Silas Tanner, (904) 483-8423</v>
      </c>
      <c r="O865" t="str">
        <f ca="1">IFERROR(__xludf.DUMMYFUNCTION("""COMPUTED_VALUE"""),"Emalee Swisshelm")</f>
        <v>Emalee Swisshelm</v>
      </c>
      <c r="P865" t="str">
        <f ca="1">IFERROR(__xludf.DUMMYFUNCTION("""COMPUTED_VALUE"""),"Silas Tanner")</f>
        <v>Silas Tanner</v>
      </c>
      <c r="Q865" t="str">
        <f ca="1">IFERROR(__xludf.DUMMYFUNCTION("""COMPUTED_VALUE"""),"All items in working order")</f>
        <v>All items in working order</v>
      </c>
      <c r="AE865" s="11"/>
      <c r="AF865" t="str">
        <v>Shannon.Dunnigan@floridadep.gov</v>
      </c>
      <c r="AG865" s="18"/>
    </row>
    <row r="866" spans="1:33" ht="12.75">
      <c r="A866" s="10">
        <f ca="1">IFERROR(__xludf.DUMMYFUNCTION("""COMPUTED_VALUE"""),44719.4049257638)</f>
        <v>44719.404925763803</v>
      </c>
      <c r="B866" s="11" t="str">
        <f ca="1">IFERROR(__xludf.DUMMYFUNCTION("""COMPUTED_VALUE"""),"Allix North")</f>
        <v>Allix North</v>
      </c>
      <c r="C866" t="str">
        <f ca="1">IFERROR(__xludf.DUMMYFUNCTION("""COMPUTED_VALUE"""),"allix.north@dep.state.fl.us")</f>
        <v>allix.north@dep.state.fl.us</v>
      </c>
      <c r="D866" t="str">
        <f ca="1">IFERROR(__xludf.DUMMYFUNCTION("""COMPUTED_VALUE"""),"Scott Eastman")</f>
        <v>Scott Eastman</v>
      </c>
      <c r="E866" t="str">
        <f ca="1">IFERROR(__xludf.DUMMYFUNCTION("""COMPUTED_VALUE"""),"Vilano")</f>
        <v>Vilano</v>
      </c>
      <c r="F866" s="13">
        <f ca="1">IFERROR(__xludf.DUMMYFUNCTION("""COMPUTED_VALUE"""),0.4375)</f>
        <v>0.4375</v>
      </c>
      <c r="G866" s="14">
        <f ca="1">IFERROR(__xludf.DUMMYFUNCTION("""COMPUTED_VALUE"""),44719)</f>
        <v>44719</v>
      </c>
      <c r="H866" t="str">
        <f ca="1">IFERROR(__xludf.DUMMYFUNCTION("""COMPUTED_VALUE"""),"Areas around St. Augustine")</f>
        <v>Areas around St. Augustine</v>
      </c>
      <c r="I866" s="15">
        <f ca="1">IFERROR(__xludf.DUMMYFUNCTION("""COMPUTED_VALUE"""),0.58333333333212)</f>
        <v>0.58333333333212001</v>
      </c>
      <c r="J866" s="16">
        <f ca="1">IFERROR(__xludf.DUMMYFUNCTION("""COMPUTED_VALUE"""),44719.6041666666)</f>
        <v>44719.604166666599</v>
      </c>
      <c r="K866" t="str">
        <f ca="1">IFERROR(__xludf.DUMMYFUNCTION("""COMPUTED_VALUE"""),"23ft Skiff (Bertha) FL7972LJ DEP07613")</f>
        <v>23ft Skiff (Bertha) FL7972LJ DEP07613</v>
      </c>
      <c r="M866" t="str">
        <f ca="1">IFERROR(__xludf.DUMMYFUNCTION("""COMPUTED_VALUE"""),"Ford F150 2018 (ML AP) - DEP21637")</f>
        <v>Ford F150 2018 (ML AP) - DEP21637</v>
      </c>
      <c r="N866" t="str">
        <f ca="1">IFERROR(__xludf.DUMMYFUNCTION("""COMPUTED_VALUE"""),"Jimmy Tomazinis, (904) 547-0094")</f>
        <v>Jimmy Tomazinis, (904) 547-0094</v>
      </c>
      <c r="O866" t="str">
        <f ca="1">IFERROR(__xludf.DUMMYFUNCTION("""COMPUTED_VALUE"""),"Savanna Mathis, Allix North")</f>
        <v>Savanna Mathis, Allix North</v>
      </c>
      <c r="P866" t="str">
        <f ca="1">IFERROR(__xludf.DUMMYFUNCTION("""COMPUTED_VALUE"""),"Jimmy")</f>
        <v>Jimmy</v>
      </c>
      <c r="Q866" t="str">
        <f ca="1">IFERROR(__xludf.DUMMYFUNCTION("""COMPUTED_VALUE"""),"All items in working order")</f>
        <v>All items in working order</v>
      </c>
      <c r="AE866" s="11"/>
      <c r="AF866" t="str">
        <v>Scott.Eastman@floridadep.gov</v>
      </c>
      <c r="AG866" s="18"/>
    </row>
    <row r="867" spans="1:33" ht="12.75">
      <c r="A867" s="10">
        <f ca="1">IFERROR(__xludf.DUMMYFUNCTION("""COMPUTED_VALUE"""),44719.4772409722)</f>
        <v>44719.477240972199</v>
      </c>
      <c r="B867" s="11" t="str">
        <f ca="1">IFERROR(__xludf.DUMMYFUNCTION("""COMPUTED_VALUE"""),"Silas Tanner")</f>
        <v>Silas Tanner</v>
      </c>
      <c r="C867" t="str">
        <f ca="1">IFERROR(__xludf.DUMMYFUNCTION("""COMPUTED_VALUE"""),"silas.tanner@floridadep.gov")</f>
        <v>silas.tanner@floridadep.gov</v>
      </c>
      <c r="D867" t="str">
        <f ca="1">IFERROR(__xludf.DUMMYFUNCTION("""COMPUTED_VALUE"""),"Shannon Dunnigan")</f>
        <v>Shannon Dunnigan</v>
      </c>
      <c r="E867" t="str">
        <f ca="1">IFERROR(__xludf.DUMMYFUNCTION("""COMPUTED_VALUE"""),"Vilano Landing")</f>
        <v>Vilano Landing</v>
      </c>
      <c r="F867" s="13">
        <f ca="1">IFERROR(__xludf.DUMMYFUNCTION("""COMPUTED_VALUE"""),0.5)</f>
        <v>0.5</v>
      </c>
      <c r="G867" s="14">
        <f ca="1">IFERROR(__xludf.DUMMYFUNCTION("""COMPUTED_VALUE"""),44719)</f>
        <v>44719</v>
      </c>
      <c r="H867" t="str">
        <f ca="1">IFERROR(__xludf.DUMMYFUNCTION("""COMPUTED_VALUE"""),"ICW SWMP Sites PI &amp; SS")</f>
        <v>ICW SWMP Sites PI &amp; SS</v>
      </c>
      <c r="I867" s="15">
        <f ca="1">IFERROR(__xludf.DUMMYFUNCTION("""COMPUTED_VALUE"""),0.604166666667879)</f>
        <v>0.60416666666787899</v>
      </c>
      <c r="J867" s="16">
        <f ca="1">IFERROR(__xludf.DUMMYFUNCTION("""COMPUTED_VALUE"""),44719.625)</f>
        <v>44719.625</v>
      </c>
      <c r="K867" t="str">
        <f ca="1">IFERROR(__xludf.DUMMYFUNCTION("""COMPUTED_VALUE"""),"20ft Sea Ark FL5351SJ UNF 2015")</f>
        <v>20ft Sea Ark FL5351SJ UNF 2015</v>
      </c>
      <c r="M867" t="str">
        <f ca="1">IFERROR(__xludf.DUMMYFUNCTION("""COMPUTED_VALUE"""),"Ford F250 2017 (Moby Dix) - DEP0021578")</f>
        <v>Ford F250 2017 (Moby Dix) - DEP0021578</v>
      </c>
      <c r="N867" t="str">
        <f ca="1">IFERROR(__xludf.DUMMYFUNCTION("""COMPUTED_VALUE"""),"Silas Tanner, (904) 483-8423")</f>
        <v>Silas Tanner, (904) 483-8423</v>
      </c>
      <c r="O867" t="str">
        <f ca="1">IFERROR(__xludf.DUMMYFUNCTION("""COMPUTED_VALUE"""),"Emalee Swisshelm")</f>
        <v>Emalee Swisshelm</v>
      </c>
      <c r="P867" t="str">
        <f ca="1">IFERROR(__xludf.DUMMYFUNCTION("""COMPUTED_VALUE"""),"Silas Tanner")</f>
        <v>Silas Tanner</v>
      </c>
      <c r="Q867" t="str">
        <f ca="1">IFERROR(__xludf.DUMMYFUNCTION("""COMPUTED_VALUE"""),"All items in working order")</f>
        <v>All items in working order</v>
      </c>
      <c r="AE867" s="11"/>
      <c r="AF867" t="str">
        <v>Shannon.Dunnigan@floridadep.gov</v>
      </c>
      <c r="AG867" s="18"/>
    </row>
    <row r="868" spans="1:33" ht="12.75">
      <c r="A868" s="10">
        <f ca="1">IFERROR(__xludf.DUMMYFUNCTION("""COMPUTED_VALUE"""),44720.3110762037)</f>
        <v>44720.311076203703</v>
      </c>
      <c r="B868" s="11" t="str">
        <f ca="1">IFERROR(__xludf.DUMMYFUNCTION("""COMPUTED_VALUE"""),"Silas Tanner")</f>
        <v>Silas Tanner</v>
      </c>
      <c r="C868" t="str">
        <f ca="1">IFERROR(__xludf.DUMMYFUNCTION("""COMPUTED_VALUE"""),"silas.tanner@floridadep.gov")</f>
        <v>silas.tanner@floridadep.gov</v>
      </c>
      <c r="D868" t="str">
        <f ca="1">IFERROR(__xludf.DUMMYFUNCTION("""COMPUTED_VALUE"""),"Shannon Dunnigan")</f>
        <v>Shannon Dunnigan</v>
      </c>
      <c r="E868" t="str">
        <f ca="1">IFERROR(__xludf.DUMMYFUNCTION("""COMPUTED_VALUE"""),"Vilano Landing")</f>
        <v>Vilano Landing</v>
      </c>
      <c r="F868" s="13">
        <f ca="1">IFERROR(__xludf.DUMMYFUNCTION("""COMPUTED_VALUE"""),0.322916666667879)</f>
        <v>0.32291666666787899</v>
      </c>
      <c r="G868" s="14">
        <f ca="1">IFERROR(__xludf.DUMMYFUNCTION("""COMPUTED_VALUE"""),44720)</f>
        <v>44720</v>
      </c>
      <c r="H868" t="str">
        <f ca="1">IFERROR(__xludf.DUMMYFUNCTION("""COMPUTED_VALUE"""),"ICW SWMP sites SS, PI")</f>
        <v>ICW SWMP sites SS, PI</v>
      </c>
      <c r="I868" s="15">
        <f ca="1">IFERROR(__xludf.DUMMYFUNCTION("""COMPUTED_VALUE"""),0.479166666667879)</f>
        <v>0.47916666666787899</v>
      </c>
      <c r="J868" s="16">
        <f ca="1">IFERROR(__xludf.DUMMYFUNCTION("""COMPUTED_VALUE"""),44720)</f>
        <v>44720</v>
      </c>
      <c r="K868" t="str">
        <f ca="1">IFERROR(__xludf.DUMMYFUNCTION("""COMPUTED_VALUE"""),"20ft Sea Ark FL5351SJ UNF 2015")</f>
        <v>20ft Sea Ark FL5351SJ UNF 2015</v>
      </c>
      <c r="M868" t="str">
        <f ca="1">IFERROR(__xludf.DUMMYFUNCTION("""COMPUTED_VALUE"""),"Ford F250 2017 (Moby Dix) - DEP0021578")</f>
        <v>Ford F250 2017 (Moby Dix) - DEP0021578</v>
      </c>
      <c r="N868" t="str">
        <f ca="1">IFERROR(__xludf.DUMMYFUNCTION("""COMPUTED_VALUE"""),"Silas Tanner, (904) 483-8423")</f>
        <v>Silas Tanner, (904) 483-8423</v>
      </c>
      <c r="O868" t="str">
        <f ca="1">IFERROR(__xludf.DUMMYFUNCTION("""COMPUTED_VALUE"""),"Emalee Swisshelm")</f>
        <v>Emalee Swisshelm</v>
      </c>
      <c r="P868" t="str">
        <f ca="1">IFERROR(__xludf.DUMMYFUNCTION("""COMPUTED_VALUE"""),"Silas Tanner")</f>
        <v>Silas Tanner</v>
      </c>
      <c r="Q868" t="str">
        <f ca="1">IFERROR(__xludf.DUMMYFUNCTION("""COMPUTED_VALUE"""),"All items in working order")</f>
        <v>All items in working order</v>
      </c>
      <c r="AE868" s="11"/>
      <c r="AF868" t="str">
        <v>Shannon.Dunnigan@floridadep.gov</v>
      </c>
      <c r="AG868" s="18"/>
    </row>
    <row r="869" spans="1:33" ht="12.75">
      <c r="A869" s="10">
        <f ca="1">IFERROR(__xludf.DUMMYFUNCTION("""COMPUTED_VALUE"""),44720.5501074421)</f>
        <v>44720.550107442097</v>
      </c>
      <c r="B869" s="11" t="str">
        <f ca="1">IFERROR(__xludf.DUMMYFUNCTION("""COMPUTED_VALUE"""),"Silas Tanner")</f>
        <v>Silas Tanner</v>
      </c>
      <c r="C869" t="str">
        <f ca="1">IFERROR(__xludf.DUMMYFUNCTION("""COMPUTED_VALUE"""),"silas.tanner@dep.state.fl.us")</f>
        <v>silas.tanner@dep.state.fl.us</v>
      </c>
      <c r="D869" t="str">
        <f ca="1">IFERROR(__xludf.DUMMYFUNCTION("""COMPUTED_VALUE"""),"Shannon Dunnigan")</f>
        <v>Shannon Dunnigan</v>
      </c>
      <c r="E869" t="str">
        <f ca="1">IFERROR(__xludf.DUMMYFUNCTION("""COMPUTED_VALUE"""),"Vilano")</f>
        <v>Vilano</v>
      </c>
      <c r="F869" s="13">
        <f ca="1">IFERROR(__xludf.DUMMYFUNCTION("""COMPUTED_VALUE"""),0.541666666667879)</f>
        <v>0.54166666666787899</v>
      </c>
      <c r="G869" s="14">
        <f ca="1">IFERROR(__xludf.DUMMYFUNCTION("""COMPUTED_VALUE"""),44720)</f>
        <v>44720</v>
      </c>
      <c r="H869" t="str">
        <f ca="1">IFERROR(__xludf.DUMMYFUNCTION("""COMPUTED_VALUE"""),"ICW SWMP SS and PI")</f>
        <v>ICW SWMP SS and PI</v>
      </c>
      <c r="I869" s="15">
        <f ca="1">IFERROR(__xludf.DUMMYFUNCTION("""COMPUTED_VALUE"""),0.64583333333212)</f>
        <v>0.64583333333212001</v>
      </c>
      <c r="J869" s="16">
        <f ca="1">IFERROR(__xludf.DUMMYFUNCTION("""COMPUTED_VALUE"""),44720.6666666666)</f>
        <v>44720.666666666599</v>
      </c>
      <c r="K869" t="str">
        <f ca="1">IFERROR(__xludf.DUMMYFUNCTION("""COMPUTED_VALUE"""),"20ft Sea Ark FL5351SJ UNF 2015")</f>
        <v>20ft Sea Ark FL5351SJ UNF 2015</v>
      </c>
      <c r="M869" t="str">
        <f ca="1">IFERROR(__xludf.DUMMYFUNCTION("""COMPUTED_VALUE"""),"Ford F250 2017 (Moby Dix) - DEP0021578")</f>
        <v>Ford F250 2017 (Moby Dix) - DEP0021578</v>
      </c>
      <c r="N869" t="str">
        <f ca="1">IFERROR(__xludf.DUMMYFUNCTION("""COMPUTED_VALUE"""),"Silas Tanner, (904) 483-8423")</f>
        <v>Silas Tanner, (904) 483-8423</v>
      </c>
      <c r="O869" t="str">
        <f ca="1">IFERROR(__xludf.DUMMYFUNCTION("""COMPUTED_VALUE"""),"Emalee Swisshelm")</f>
        <v>Emalee Swisshelm</v>
      </c>
      <c r="P869" t="str">
        <f ca="1">IFERROR(__xludf.DUMMYFUNCTION("""COMPUTED_VALUE"""),"Tanner")</f>
        <v>Tanner</v>
      </c>
      <c r="Q869" t="str">
        <f ca="1">IFERROR(__xludf.DUMMYFUNCTION("""COMPUTED_VALUE"""),"All items in working order")</f>
        <v>All items in working order</v>
      </c>
      <c r="AE869" s="11"/>
      <c r="AF869" t="str">
        <v>Shannon.Dunnigan@floridadep.gov</v>
      </c>
      <c r="AG869" s="18"/>
    </row>
    <row r="870" spans="1:33" ht="12.75">
      <c r="A870" s="10">
        <f ca="1">IFERROR(__xludf.DUMMYFUNCTION("""COMPUTED_VALUE"""),44721.3463747685)</f>
        <v>44721.346374768502</v>
      </c>
      <c r="B870" s="11" t="str">
        <f ca="1">IFERROR(__xludf.DUMMYFUNCTION("""COMPUTED_VALUE"""),"Shannon Dunnigan")</f>
        <v>Shannon Dunnigan</v>
      </c>
      <c r="C870" t="str">
        <f ca="1">IFERROR(__xludf.DUMMYFUNCTION("""COMPUTED_VALUE"""),"shannon.dunnigan@dep.state.fl.us")</f>
        <v>shannon.dunnigan@dep.state.fl.us</v>
      </c>
      <c r="D870" t="str">
        <f ca="1">IFERROR(__xludf.DUMMYFUNCTION("""COMPUTED_VALUE"""),"Scott Eastman")</f>
        <v>Scott Eastman</v>
      </c>
      <c r="E870" t="str">
        <f ca="1">IFERROR(__xludf.DUMMYFUNCTION("""COMPUTED_VALUE"""),"Vilano")</f>
        <v>Vilano</v>
      </c>
      <c r="F870" s="13">
        <f ca="1">IFERROR(__xludf.DUMMYFUNCTION("""COMPUTED_VALUE"""),0.36458333333212)</f>
        <v>0.36458333333212001</v>
      </c>
      <c r="G870" s="14">
        <f ca="1">IFERROR(__xludf.DUMMYFUNCTION("""COMPUTED_VALUE"""),44721)</f>
        <v>44721</v>
      </c>
      <c r="H870" t="str">
        <f ca="1">IFERROR(__xludf.DUMMYFUNCTION("""COMPUTED_VALUE"""),"PI and SS SWMP sites")</f>
        <v>PI and SS SWMP sites</v>
      </c>
      <c r="I870" s="15">
        <f ca="1">IFERROR(__xludf.DUMMYFUNCTION("""COMPUTED_VALUE"""),0.45833333333212)</f>
        <v>0.45833333333212001</v>
      </c>
      <c r="J870" s="16">
        <f ca="1">IFERROR(__xludf.DUMMYFUNCTION("""COMPUTED_VALUE"""),44721.5)</f>
        <v>44721.5</v>
      </c>
      <c r="K870" t="str">
        <f ca="1">IFERROR(__xludf.DUMMYFUNCTION("""COMPUTED_VALUE"""),"20ft Sea Ark FL5351SJ UNF 2015")</f>
        <v>20ft Sea Ark FL5351SJ UNF 2015</v>
      </c>
      <c r="M870" t="str">
        <f ca="1">IFERROR(__xludf.DUMMYFUNCTION("""COMPUTED_VALUE"""),"Ford F250 2017 (Moby Dix) - DEP0021578")</f>
        <v>Ford F250 2017 (Moby Dix) - DEP0021578</v>
      </c>
      <c r="N870" t="str">
        <f ca="1">IFERROR(__xludf.DUMMYFUNCTION("""COMPUTED_VALUE"""),"Shannon Dunnigan, (803) 727-5734")</f>
        <v>Shannon Dunnigan, (803) 727-5734</v>
      </c>
      <c r="O870" t="str">
        <f ca="1">IFERROR(__xludf.DUMMYFUNCTION("""COMPUTED_VALUE"""),"Emalee Swisshelm")</f>
        <v>Emalee Swisshelm</v>
      </c>
      <c r="P870" t="str">
        <f ca="1">IFERROR(__xludf.DUMMYFUNCTION("""COMPUTED_VALUE"""),"Shannon")</f>
        <v>Shannon</v>
      </c>
      <c r="Q870" t="str">
        <f ca="1">IFERROR(__xludf.DUMMYFUNCTION("""COMPUTED_VALUE"""),"All items in working order")</f>
        <v>All items in working order</v>
      </c>
      <c r="AE870" s="11"/>
      <c r="AF870" t="str">
        <v>Scott.Eastman@floridadep.gov</v>
      </c>
      <c r="AG870" s="18"/>
    </row>
    <row r="871" spans="1:33" ht="12.75">
      <c r="A871" s="10">
        <f ca="1">IFERROR(__xludf.DUMMYFUNCTION("""COMPUTED_VALUE"""),44721.5455895138)</f>
        <v>44721.5455895138</v>
      </c>
      <c r="B871" s="11" t="str">
        <f ca="1">IFERROR(__xludf.DUMMYFUNCTION("""COMPUTED_VALUE"""),"Shannon Dunnigan")</f>
        <v>Shannon Dunnigan</v>
      </c>
      <c r="C871" t="str">
        <f ca="1">IFERROR(__xludf.DUMMYFUNCTION("""COMPUTED_VALUE"""),"shannon.dunnigan@dep.state.fl.us")</f>
        <v>shannon.dunnigan@dep.state.fl.us</v>
      </c>
      <c r="D871" t="str">
        <f ca="1">IFERROR(__xludf.DUMMYFUNCTION("""COMPUTED_VALUE"""),"Scott Eastman")</f>
        <v>Scott Eastman</v>
      </c>
      <c r="E871" t="str">
        <f ca="1">IFERROR(__xludf.DUMMYFUNCTION("""COMPUTED_VALUE"""),"Vilano")</f>
        <v>Vilano</v>
      </c>
      <c r="F871" s="13">
        <f ca="1">IFERROR(__xludf.DUMMYFUNCTION("""COMPUTED_VALUE"""),0.5625)</f>
        <v>0.5625</v>
      </c>
      <c r="G871" s="14">
        <f ca="1">IFERROR(__xludf.DUMMYFUNCTION("""COMPUTED_VALUE"""),44721)</f>
        <v>44721</v>
      </c>
      <c r="H871" t="str">
        <f ca="1">IFERROR(__xludf.DUMMYFUNCTION("""COMPUTED_VALUE"""),"SWMP sites ")</f>
        <v xml:space="preserve">SWMP sites </v>
      </c>
      <c r="I871" s="15">
        <f ca="1">IFERROR(__xludf.DUMMYFUNCTION("""COMPUTED_VALUE"""),0.65625)</f>
        <v>0.65625</v>
      </c>
      <c r="J871" s="16">
        <f ca="1">IFERROR(__xludf.DUMMYFUNCTION("""COMPUTED_VALUE"""),44721.6666666666)</f>
        <v>44721.666666666599</v>
      </c>
      <c r="K871" t="str">
        <f ca="1">IFERROR(__xludf.DUMMYFUNCTION("""COMPUTED_VALUE"""),"20ft Sea Ark FL5351SJ UNF 2015")</f>
        <v>20ft Sea Ark FL5351SJ UNF 2015</v>
      </c>
      <c r="M871" t="str">
        <f ca="1">IFERROR(__xludf.DUMMYFUNCTION("""COMPUTED_VALUE"""),"Ford F250 2017 (Moby Dix) - DEP0021578")</f>
        <v>Ford F250 2017 (Moby Dix) - DEP0021578</v>
      </c>
      <c r="N871" t="str">
        <f ca="1">IFERROR(__xludf.DUMMYFUNCTION("""COMPUTED_VALUE"""),"Shannon Dunnigan, (803) 727-5734")</f>
        <v>Shannon Dunnigan, (803) 727-5734</v>
      </c>
      <c r="O871" t="str">
        <f ca="1">IFERROR(__xludf.DUMMYFUNCTION("""COMPUTED_VALUE"""),"Emalee Swisshelm")</f>
        <v>Emalee Swisshelm</v>
      </c>
      <c r="P871" t="str">
        <f ca="1">IFERROR(__xludf.DUMMYFUNCTION("""COMPUTED_VALUE"""),"Shannon Dunnigan")</f>
        <v>Shannon Dunnigan</v>
      </c>
      <c r="Q871" t="str">
        <f ca="1">IFERROR(__xludf.DUMMYFUNCTION("""COMPUTED_VALUE"""),"All items in working order")</f>
        <v>All items in working order</v>
      </c>
      <c r="AE871" s="11"/>
      <c r="AF871" t="str">
        <v>Scott.Eastman@floridadep.gov</v>
      </c>
      <c r="AG871" s="18"/>
    </row>
    <row r="872" spans="1:33" ht="12.75">
      <c r="A872" s="10">
        <f ca="1">IFERROR(__xludf.DUMMYFUNCTION("""COMPUTED_VALUE"""),44722.2717878703)</f>
        <v>44722.271787870297</v>
      </c>
      <c r="B872" s="11" t="str">
        <f ca="1">IFERROR(__xludf.DUMMYFUNCTION("""COMPUTED_VALUE"""),"Jessica Lee")</f>
        <v>Jessica Lee</v>
      </c>
      <c r="C872" t="str">
        <f ca="1">IFERROR(__xludf.DUMMYFUNCTION("""COMPUTED_VALUE"""),"jmcupp099@gmail.com")</f>
        <v>jmcupp099@gmail.com</v>
      </c>
      <c r="D872" t="str">
        <f ca="1">IFERROR(__xludf.DUMMYFUNCTION("""COMPUTED_VALUE"""),"Shannon Dunnigan")</f>
        <v>Shannon Dunnigan</v>
      </c>
      <c r="E872" t="str">
        <f ca="1">IFERROR(__xludf.DUMMYFUNCTION("""COMPUTED_VALUE"""),"Guana River Dam")</f>
        <v>Guana River Dam</v>
      </c>
      <c r="F872" s="13">
        <f ca="1">IFERROR(__xludf.DUMMYFUNCTION("""COMPUTED_VALUE"""),0.28125)</f>
        <v>0.28125</v>
      </c>
      <c r="G872" s="14">
        <f ca="1">IFERROR(__xludf.DUMMYFUNCTION("""COMPUTED_VALUE"""),44722)</f>
        <v>44722</v>
      </c>
      <c r="H872" t="str">
        <f ca="1">IFERROR(__xludf.DUMMYFUNCTION("""COMPUTED_VALUE"""),"Guana River")</f>
        <v>Guana River</v>
      </c>
      <c r="I872" s="15">
        <f ca="1">IFERROR(__xludf.DUMMYFUNCTION("""COMPUTED_VALUE"""),0.34375)</f>
        <v>0.34375</v>
      </c>
      <c r="J872" s="16">
        <f ca="1">IFERROR(__xludf.DUMMYFUNCTION("""COMPUTED_VALUE"""),44722.3541666666)</f>
        <v>44722.354166666599</v>
      </c>
      <c r="K872" t="str">
        <f ca="1">IFERROR(__xludf.DUMMYFUNCTION("""COMPUTED_VALUE"""),"Jon Boat 1 FL5992RR DEP154045")</f>
        <v>Jon Boat 1 FL5992RR DEP154045</v>
      </c>
      <c r="M872" t="str">
        <f ca="1">IFERROR(__xludf.DUMMYFUNCTION("""COMPUTED_VALUE"""),"Ford F150 2015 (White) - DEP21448")</f>
        <v>Ford F150 2015 (White) - DEP21448</v>
      </c>
      <c r="N872" t="str">
        <f ca="1">IFERROR(__xludf.DUMMYFUNCTION("""COMPUTED_VALUE"""),"Jessica Lee")</f>
        <v>Jessica Lee</v>
      </c>
      <c r="O872" t="str">
        <f ca="1">IFERROR(__xludf.DUMMYFUNCTION("""COMPUTED_VALUE"""),"Justina, Jenna")</f>
        <v>Justina, Jenna</v>
      </c>
      <c r="P872" t="str">
        <f ca="1">IFERROR(__xludf.DUMMYFUNCTION("""COMPUTED_VALUE"""),"Jessica Lee")</f>
        <v>Jessica Lee</v>
      </c>
      <c r="Q872" t="str">
        <f ca="1">IFERROR(__xludf.DUMMYFUNCTION("""COMPUTED_VALUE"""),"All items in working order")</f>
        <v>All items in working order</v>
      </c>
      <c r="AE872" s="11"/>
      <c r="AF872" t="str">
        <v>Shannon.Dunnigan@floridadep.gov</v>
      </c>
      <c r="AG872" s="18"/>
    </row>
    <row r="873" spans="1:33" ht="12.75">
      <c r="A873" s="10">
        <f ca="1">IFERROR(__xludf.DUMMYFUNCTION("""COMPUTED_VALUE"""),44725.3584565509)</f>
        <v>44725.358456550901</v>
      </c>
      <c r="B873" s="11" t="str">
        <f ca="1">IFERROR(__xludf.DUMMYFUNCTION("""COMPUTED_VALUE"""),"Pam Marcum ")</f>
        <v xml:space="preserve">Pam Marcum </v>
      </c>
      <c r="C873" t="str">
        <f ca="1">IFERROR(__xludf.DUMMYFUNCTION("""COMPUTED_VALUE"""),"Pamela.Marcum@FloridaDEP.gov")</f>
        <v>Pamela.Marcum@FloridaDEP.gov</v>
      </c>
      <c r="D873" t="str">
        <f ca="1">IFERROR(__xludf.DUMMYFUNCTION("""COMPUTED_VALUE"""),"Pam Marcum")</f>
        <v>Pam Marcum</v>
      </c>
      <c r="E873" t="str">
        <f ca="1">IFERROR(__xludf.DUMMYFUNCTION("""COMPUTED_VALUE"""),"Vilano")</f>
        <v>Vilano</v>
      </c>
      <c r="F873" s="13">
        <f ca="1">IFERROR(__xludf.DUMMYFUNCTION("""COMPUTED_VALUE"""),0.354166666667879)</f>
        <v>0.35416666666787899</v>
      </c>
      <c r="G873" s="14">
        <f ca="1">IFERROR(__xludf.DUMMYFUNCTION("""COMPUTED_VALUE"""),44725)</f>
        <v>44725</v>
      </c>
      <c r="H873" t="str">
        <f ca="1">IFERROR(__xludf.DUMMYFUNCTION("""COMPUTED_VALUE"""),"San sebastian, pine island sondes")</f>
        <v>San sebastian, pine island sondes</v>
      </c>
      <c r="I873" s="15">
        <f ca="1">IFERROR(__xludf.DUMMYFUNCTION("""COMPUTED_VALUE"""),0.5)</f>
        <v>0.5</v>
      </c>
      <c r="J873" s="16">
        <f ca="1">IFERROR(__xludf.DUMMYFUNCTION("""COMPUTED_VALUE"""),44725.5208333333)</f>
        <v>44725.520833333299</v>
      </c>
      <c r="K873" t="str">
        <f ca="1">IFERROR(__xludf.DUMMYFUNCTION("""COMPUTED_VALUE"""),"20ft Sea Ark FL5351SJ UNF 2015")</f>
        <v>20ft Sea Ark FL5351SJ UNF 2015</v>
      </c>
      <c r="M873" t="str">
        <f ca="1">IFERROR(__xludf.DUMMYFUNCTION("""COMPUTED_VALUE"""),"Ford F250 2017 (Moby Dix) - DEP0021578")</f>
        <v>Ford F250 2017 (Moby Dix) - DEP0021578</v>
      </c>
      <c r="N873" t="str">
        <f ca="1">IFERROR(__xludf.DUMMYFUNCTION("""COMPUTED_VALUE"""),"Pam Marcum, (480) 332-5414")</f>
        <v>Pam Marcum, (480) 332-5414</v>
      </c>
      <c r="O873" t="str">
        <f ca="1">IFERROR(__xludf.DUMMYFUNCTION("""COMPUTED_VALUE"""),"Nate Schirmer, Emalee Swisshelm")</f>
        <v>Nate Schirmer, Emalee Swisshelm</v>
      </c>
      <c r="P873" t="str">
        <f ca="1">IFERROR(__xludf.DUMMYFUNCTION("""COMPUTED_VALUE"""),"Pam")</f>
        <v>Pam</v>
      </c>
      <c r="Q873" t="str">
        <f ca="1">IFERROR(__xludf.DUMMYFUNCTION("""COMPUTED_VALUE"""),"All items in working order")</f>
        <v>All items in working order</v>
      </c>
      <c r="AE873" s="11"/>
      <c r="AF873" t="str">
        <v>Pamela.Marcum@floridadep.gov</v>
      </c>
      <c r="AG873" s="18"/>
    </row>
    <row r="874" spans="1:33" ht="12.75">
      <c r="A874" s="10">
        <f ca="1">IFERROR(__xludf.DUMMYFUNCTION("""COMPUTED_VALUE"""),44725.5858562152)</f>
        <v>44725.585856215199</v>
      </c>
      <c r="B874" s="11" t="str">
        <f ca="1">IFERROR(__xludf.DUMMYFUNCTION("""COMPUTED_VALUE"""),"Pam Marcum ")</f>
        <v xml:space="preserve">Pam Marcum </v>
      </c>
      <c r="C874" t="str">
        <f ca="1">IFERROR(__xludf.DUMMYFUNCTION("""COMPUTED_VALUE"""),"Pamela.Marcum@FloridaDEP.gov")</f>
        <v>Pamela.Marcum@FloridaDEP.gov</v>
      </c>
      <c r="D874" t="str">
        <f ca="1">IFERROR(__xludf.DUMMYFUNCTION("""COMPUTED_VALUE"""),"Shannon Dunnigan")</f>
        <v>Shannon Dunnigan</v>
      </c>
      <c r="E874" t="str">
        <f ca="1">IFERROR(__xludf.DUMMYFUNCTION("""COMPUTED_VALUE"""),"Vilano ")</f>
        <v xml:space="preserve">Vilano </v>
      </c>
      <c r="F874" s="13">
        <f ca="1">IFERROR(__xludf.DUMMYFUNCTION("""COMPUTED_VALUE"""),0.572916666667879)</f>
        <v>0.57291666666787899</v>
      </c>
      <c r="G874" s="14">
        <f ca="1">IFERROR(__xludf.DUMMYFUNCTION("""COMPUTED_VALUE"""),44725)</f>
        <v>44725</v>
      </c>
      <c r="H874" t="str">
        <f ca="1">IFERROR(__xludf.DUMMYFUNCTION("""COMPUTED_VALUE"""),"Ss and pi sondes")</f>
        <v>Ss and pi sondes</v>
      </c>
      <c r="I874" s="15">
        <f ca="1">IFERROR(__xludf.DUMMYFUNCTION("""COMPUTED_VALUE"""),0.6875)</f>
        <v>0.6875</v>
      </c>
      <c r="J874" s="16">
        <f ca="1">IFERROR(__xludf.DUMMYFUNCTION("""COMPUTED_VALUE"""),44725.7083333333)</f>
        <v>44725.708333333299</v>
      </c>
      <c r="K874" t="str">
        <f ca="1">IFERROR(__xludf.DUMMYFUNCTION("""COMPUTED_VALUE"""),"20ft Sea Ark FL5351SJ UNF 2015")</f>
        <v>20ft Sea Ark FL5351SJ UNF 2015</v>
      </c>
      <c r="M874" t="str">
        <f ca="1">IFERROR(__xludf.DUMMYFUNCTION("""COMPUTED_VALUE"""),"Ford F250 2017 (Moby Dix) - DEP0021578")</f>
        <v>Ford F250 2017 (Moby Dix) - DEP0021578</v>
      </c>
      <c r="N874" t="str">
        <f ca="1">IFERROR(__xludf.DUMMYFUNCTION("""COMPUTED_VALUE"""),"Pam Marcum, (480) 332-5414")</f>
        <v>Pam Marcum, (480) 332-5414</v>
      </c>
      <c r="O874" t="str">
        <f ca="1">IFERROR(__xludf.DUMMYFUNCTION("""COMPUTED_VALUE"""),"Emalee Swisshelm")</f>
        <v>Emalee Swisshelm</v>
      </c>
      <c r="P874" t="str">
        <f ca="1">IFERROR(__xludf.DUMMYFUNCTION("""COMPUTED_VALUE"""),"Pam")</f>
        <v>Pam</v>
      </c>
      <c r="Q874" t="str">
        <f ca="1">IFERROR(__xludf.DUMMYFUNCTION("""COMPUTED_VALUE"""),"All items in working order")</f>
        <v>All items in working order</v>
      </c>
      <c r="AE874" s="11"/>
      <c r="AF874" t="str">
        <v>Shannon.Dunnigan@floridadep.gov</v>
      </c>
      <c r="AG874" s="18"/>
    </row>
    <row r="875" spans="1:33" ht="12.75">
      <c r="A875" s="10">
        <f ca="1">IFERROR(__xludf.DUMMYFUNCTION("""COMPUTED_VALUE"""),44726.3137702083)</f>
        <v>44726.313770208297</v>
      </c>
      <c r="B875" s="11" t="str">
        <f ca="1">IFERROR(__xludf.DUMMYFUNCTION("""COMPUTED_VALUE"""),"Silas Tanner")</f>
        <v>Silas Tanner</v>
      </c>
      <c r="C875" t="str">
        <f ca="1">IFERROR(__xludf.DUMMYFUNCTION("""COMPUTED_VALUE"""),"silas.tanner@floridadep.gov")</f>
        <v>silas.tanner@floridadep.gov</v>
      </c>
      <c r="D875" t="str">
        <f ca="1">IFERROR(__xludf.DUMMYFUNCTION("""COMPUTED_VALUE"""),"Shannon Dunnigan")</f>
        <v>Shannon Dunnigan</v>
      </c>
      <c r="E875" t="str">
        <f ca="1">IFERROR(__xludf.DUMMYFUNCTION("""COMPUTED_VALUE"""),"Vilano Landing")</f>
        <v>Vilano Landing</v>
      </c>
      <c r="F875" s="13">
        <f ca="1">IFERROR(__xludf.DUMMYFUNCTION("""COMPUTED_VALUE"""),0.354166666667879)</f>
        <v>0.35416666666787899</v>
      </c>
      <c r="G875" s="14">
        <f ca="1">IFERROR(__xludf.DUMMYFUNCTION("""COMPUTED_VALUE"""),44726)</f>
        <v>44726</v>
      </c>
      <c r="H875" t="str">
        <f ca="1">IFERROR(__xludf.DUMMYFUNCTION("""COMPUTED_VALUE"""),"IWC SWMP sites FM, SS, PI")</f>
        <v>IWC SWMP sites FM, SS, PI</v>
      </c>
      <c r="I875" s="15">
        <f ca="1">IFERROR(__xludf.DUMMYFUNCTION("""COMPUTED_VALUE"""),0.58333333333212)</f>
        <v>0.58333333333212001</v>
      </c>
      <c r="J875" s="16">
        <f ca="1">IFERROR(__xludf.DUMMYFUNCTION("""COMPUTED_VALUE"""),44726.6041666666)</f>
        <v>44726.604166666599</v>
      </c>
      <c r="K875" t="str">
        <f ca="1">IFERROR(__xludf.DUMMYFUNCTION("""COMPUTED_VALUE"""),"20ft Sea Ark FL5351SJ UNF 2015")</f>
        <v>20ft Sea Ark FL5351SJ UNF 2015</v>
      </c>
      <c r="M875" t="str">
        <f ca="1">IFERROR(__xludf.DUMMYFUNCTION("""COMPUTED_VALUE"""),"Ford F250 2017 (Moby Dix) - DEP0021578")</f>
        <v>Ford F250 2017 (Moby Dix) - DEP0021578</v>
      </c>
      <c r="N875" t="str">
        <f ca="1">IFERROR(__xludf.DUMMYFUNCTION("""COMPUTED_VALUE"""),"Silas Tanner, (904) 483-8423")</f>
        <v>Silas Tanner, (904) 483-8423</v>
      </c>
      <c r="O875" t="str">
        <f ca="1">IFERROR(__xludf.DUMMYFUNCTION("""COMPUTED_VALUE"""),"Emalee Swisshelm, Julie Drevenkar")</f>
        <v>Emalee Swisshelm, Julie Drevenkar</v>
      </c>
      <c r="P875" t="str">
        <f ca="1">IFERROR(__xludf.DUMMYFUNCTION("""COMPUTED_VALUE"""),"Silas Tanner")</f>
        <v>Silas Tanner</v>
      </c>
      <c r="Q875" t="str">
        <f ca="1">IFERROR(__xludf.DUMMYFUNCTION("""COMPUTED_VALUE"""),"All items in working order")</f>
        <v>All items in working order</v>
      </c>
      <c r="AE875" s="11"/>
      <c r="AF875" t="str">
        <v>Shannon.Dunnigan@floridadep.gov</v>
      </c>
      <c r="AG875" s="18"/>
    </row>
    <row r="876" spans="1:33" ht="12.75">
      <c r="A876" s="10">
        <f ca="1">IFERROR(__xludf.DUMMYFUNCTION("""COMPUTED_VALUE"""),44726.565813912)</f>
        <v>44726.565813911999</v>
      </c>
      <c r="B876" s="11" t="str">
        <f ca="1">IFERROR(__xludf.DUMMYFUNCTION("""COMPUTED_VALUE"""),"Pam Marcum")</f>
        <v>Pam Marcum</v>
      </c>
      <c r="C876" t="str">
        <f ca="1">IFERROR(__xludf.DUMMYFUNCTION("""COMPUTED_VALUE"""),"Pamela.Marcum@FloridaDEP.gov")</f>
        <v>Pamela.Marcum@FloridaDEP.gov</v>
      </c>
      <c r="D876" t="str">
        <f ca="1">IFERROR(__xludf.DUMMYFUNCTION("""COMPUTED_VALUE"""),"Shannon Dunnigan")</f>
        <v>Shannon Dunnigan</v>
      </c>
      <c r="E876" t="str">
        <f ca="1">IFERROR(__xludf.DUMMYFUNCTION("""COMPUTED_VALUE"""),"Guana Dam")</f>
        <v>Guana Dam</v>
      </c>
      <c r="F876" s="13">
        <f ca="1">IFERROR(__xludf.DUMMYFUNCTION("""COMPUTED_VALUE"""),0.45833333333212)</f>
        <v>0.45833333333212001</v>
      </c>
      <c r="G876" s="14">
        <f ca="1">IFERROR(__xludf.DUMMYFUNCTION("""COMPUTED_VALUE"""),44726)</f>
        <v>44726</v>
      </c>
      <c r="H876" t="str">
        <f ca="1">IFERROR(__xludf.DUMMYFUNCTION("""COMPUTED_VALUE"""),"Guana River mouth")</f>
        <v>Guana River mouth</v>
      </c>
      <c r="I876" s="15">
        <f ca="1">IFERROR(__xludf.DUMMYFUNCTION("""COMPUTED_VALUE"""),0.52083333333212)</f>
        <v>0.52083333333212001</v>
      </c>
      <c r="J876" s="16">
        <f ca="1">IFERROR(__xludf.DUMMYFUNCTION("""COMPUTED_VALUE"""),44726.5208333333)</f>
        <v>44726.520833333299</v>
      </c>
      <c r="K876" t="str">
        <f ca="1">IFERROR(__xludf.DUMMYFUNCTION("""COMPUTED_VALUE"""),"Jon Boat 1 FL5992RR DEP154045")</f>
        <v>Jon Boat 1 FL5992RR DEP154045</v>
      </c>
      <c r="M876" t="str">
        <f ca="1">IFERROR(__xludf.DUMMYFUNCTION("""COMPUTED_VALUE"""),"Silver Ranger F150")</f>
        <v>Silver Ranger F150</v>
      </c>
      <c r="N876" t="str">
        <f ca="1">IFERROR(__xludf.DUMMYFUNCTION("""COMPUTED_VALUE"""),"Pam Marcum, (480) 332-5414")</f>
        <v>Pam Marcum, (480) 332-5414</v>
      </c>
      <c r="O876" t="str">
        <f ca="1">IFERROR(__xludf.DUMMYFUNCTION("""COMPUTED_VALUE"""),"Rauney Mitchell, Courtney Schultz, Zach Lepera")</f>
        <v>Rauney Mitchell, Courtney Schultz, Zach Lepera</v>
      </c>
      <c r="P876" t="str">
        <f ca="1">IFERROR(__xludf.DUMMYFUNCTION("""COMPUTED_VALUE"""),"Pam")</f>
        <v>Pam</v>
      </c>
      <c r="Q876" t="str">
        <f ca="1">IFERROR(__xludf.DUMMYFUNCTION("""COMPUTED_VALUE"""),"All items in working order")</f>
        <v>All items in working order</v>
      </c>
      <c r="AE876" s="11"/>
      <c r="AF876" t="str">
        <v>Shannon.Dunnigan@floridadep.gov</v>
      </c>
      <c r="AG876" s="18"/>
    </row>
    <row r="877" spans="1:33" ht="12.75">
      <c r="A877" s="10">
        <f ca="1">IFERROR(__xludf.DUMMYFUNCTION("""COMPUTED_VALUE"""),44727.3228747916)</f>
        <v>44727.3228747916</v>
      </c>
      <c r="B877" s="11" t="str">
        <f ca="1">IFERROR(__xludf.DUMMYFUNCTION("""COMPUTED_VALUE"""),"Silas Tanner")</f>
        <v>Silas Tanner</v>
      </c>
      <c r="C877" t="str">
        <f ca="1">IFERROR(__xludf.DUMMYFUNCTION("""COMPUTED_VALUE"""),"silas.tanner@floridadep.gov")</f>
        <v>silas.tanner@floridadep.gov</v>
      </c>
      <c r="D877" t="str">
        <f ca="1">IFERROR(__xludf.DUMMYFUNCTION("""COMPUTED_VALUE"""),"Shannon Dunnigan")</f>
        <v>Shannon Dunnigan</v>
      </c>
      <c r="E877" t="str">
        <f ca="1">IFERROR(__xludf.DUMMYFUNCTION("""COMPUTED_VALUE"""),"Vilano Landing")</f>
        <v>Vilano Landing</v>
      </c>
      <c r="F877" s="13">
        <f ca="1">IFERROR(__xludf.DUMMYFUNCTION("""COMPUTED_VALUE"""),0.33333333333212)</f>
        <v>0.33333333333212001</v>
      </c>
      <c r="G877" s="14">
        <f ca="1">IFERROR(__xludf.DUMMYFUNCTION("""COMPUTED_VALUE"""),44727)</f>
        <v>44727</v>
      </c>
      <c r="H877" t="str">
        <f ca="1">IFERROR(__xludf.DUMMYFUNCTION("""COMPUTED_VALUE"""),"ICW SWMP SS, PI")</f>
        <v>ICW SWMP SS, PI</v>
      </c>
      <c r="I877" s="15">
        <f ca="1">IFERROR(__xludf.DUMMYFUNCTION("""COMPUTED_VALUE"""),0.45833333333212)</f>
        <v>0.45833333333212001</v>
      </c>
      <c r="J877" s="16">
        <f ca="1">IFERROR(__xludf.DUMMYFUNCTION("""COMPUTED_VALUE"""),44727.4791666666)</f>
        <v>44727.479166666599</v>
      </c>
      <c r="K877" t="str">
        <f ca="1">IFERROR(__xludf.DUMMYFUNCTION("""COMPUTED_VALUE"""),"20ft Sea Ark FL5351SJ UNF 2015")</f>
        <v>20ft Sea Ark FL5351SJ UNF 2015</v>
      </c>
      <c r="M877" t="str">
        <f ca="1">IFERROR(__xludf.DUMMYFUNCTION("""COMPUTED_VALUE"""),"Ford F250 2017 (Moby Dix) - DEP0021578")</f>
        <v>Ford F250 2017 (Moby Dix) - DEP0021578</v>
      </c>
      <c r="N877" t="str">
        <f ca="1">IFERROR(__xludf.DUMMYFUNCTION("""COMPUTED_VALUE"""),"Silas Tanner, (904) 483-8423")</f>
        <v>Silas Tanner, (904) 483-8423</v>
      </c>
      <c r="O877" t="str">
        <f ca="1">IFERROR(__xludf.DUMMYFUNCTION("""COMPUTED_VALUE"""),"Emalee Swisshelm")</f>
        <v>Emalee Swisshelm</v>
      </c>
      <c r="P877" t="str">
        <f ca="1">IFERROR(__xludf.DUMMYFUNCTION("""COMPUTED_VALUE"""),"Silas Tanner")</f>
        <v>Silas Tanner</v>
      </c>
      <c r="Q877" t="str">
        <f ca="1">IFERROR(__xludf.DUMMYFUNCTION("""COMPUTED_VALUE"""),"All items in working order")</f>
        <v>All items in working order</v>
      </c>
      <c r="AE877" s="11"/>
      <c r="AF877" t="str">
        <v>Shannon.Dunnigan@floridadep.gov</v>
      </c>
      <c r="AG877" s="18"/>
    </row>
    <row r="878" spans="1:33" ht="12.75">
      <c r="A878" s="10">
        <f ca="1">IFERROR(__xludf.DUMMYFUNCTION("""COMPUTED_VALUE"""),44727.374861412)</f>
        <v>44727.374861411998</v>
      </c>
      <c r="B878" s="11" t="str">
        <f ca="1">IFERROR(__xludf.DUMMYFUNCTION("""COMPUTED_VALUE"""),"Pam Marcum ")</f>
        <v xml:space="preserve">Pam Marcum </v>
      </c>
      <c r="C878" t="str">
        <f ca="1">IFERROR(__xludf.DUMMYFUNCTION("""COMPUTED_VALUE"""),"Pamela.Marcum@FloridaDEP.gov")</f>
        <v>Pamela.Marcum@FloridaDEP.gov</v>
      </c>
      <c r="D878" t="str">
        <f ca="1">IFERROR(__xludf.DUMMYFUNCTION("""COMPUTED_VALUE"""),"Shannon Dunnigan")</f>
        <v>Shannon Dunnigan</v>
      </c>
      <c r="E878" t="str">
        <f ca="1">IFERROR(__xludf.DUMMYFUNCTION("""COMPUTED_VALUE"""),"Faver-Dykes")</f>
        <v>Faver-Dykes</v>
      </c>
      <c r="F878" s="13">
        <f ca="1">IFERROR(__xludf.DUMMYFUNCTION("""COMPUTED_VALUE"""),0.375)</f>
        <v>0.375</v>
      </c>
      <c r="G878" s="14">
        <f ca="1">IFERROR(__xludf.DUMMYFUNCTION("""COMPUTED_VALUE"""),44727)</f>
        <v>44727</v>
      </c>
      <c r="H878" t="str">
        <f ca="1">IFERROR(__xludf.DUMMYFUNCTION("""COMPUTED_VALUE"""),"Pellicer creek")</f>
        <v>Pellicer creek</v>
      </c>
      <c r="I878" s="15">
        <f ca="1">IFERROR(__xludf.DUMMYFUNCTION("""COMPUTED_VALUE"""),0.5)</f>
        <v>0.5</v>
      </c>
      <c r="J878" s="16">
        <f ca="1">IFERROR(__xludf.DUMMYFUNCTION("""COMPUTED_VALUE"""),44727.5208333333)</f>
        <v>44727.520833333299</v>
      </c>
      <c r="K878" t="str">
        <f ca="1">IFERROR(__xludf.DUMMYFUNCTION("""COMPUTED_VALUE"""),"17ft Skiff (Marsha) FL0642GW DEP07239")</f>
        <v>17ft Skiff (Marsha) FL0642GW DEP07239</v>
      </c>
      <c r="M878" t="str">
        <f ca="1">IFERROR(__xludf.DUMMYFUNCTION("""COMPUTED_VALUE"""),"Ford F150 2015 (White) - DEP21448")</f>
        <v>Ford F150 2015 (White) - DEP21448</v>
      </c>
      <c r="N878" t="str">
        <f ca="1">IFERROR(__xludf.DUMMYFUNCTION("""COMPUTED_VALUE"""),"Pam Marcum, (480) 332-5414, Remo Mondazzi")</f>
        <v>Pam Marcum, (480) 332-5414, Remo Mondazzi</v>
      </c>
      <c r="O878" t="str">
        <f ca="1">IFERROR(__xludf.DUMMYFUNCTION("""COMPUTED_VALUE"""),"Nate Schirmer")</f>
        <v>Nate Schirmer</v>
      </c>
      <c r="P878" t="str">
        <f ca="1">IFERROR(__xludf.DUMMYFUNCTION("""COMPUTED_VALUE"""),"Pam")</f>
        <v>Pam</v>
      </c>
      <c r="Q878" t="str">
        <f ca="1">IFERROR(__xludf.DUMMYFUNCTION("""COMPUTED_VALUE"""),"All items in working order")</f>
        <v>All items in working order</v>
      </c>
      <c r="AE878" s="11"/>
      <c r="AF878" t="str">
        <v>Shannon.Dunnigan@floridadep.gov</v>
      </c>
      <c r="AG878" s="18"/>
    </row>
    <row r="879" spans="1:33" ht="12.75">
      <c r="A879" s="10">
        <f ca="1">IFERROR(__xludf.DUMMYFUNCTION("""COMPUTED_VALUE"""),44727.5150562847)</f>
        <v>44727.515056284697</v>
      </c>
      <c r="B879" s="11" t="str">
        <f ca="1">IFERROR(__xludf.DUMMYFUNCTION("""COMPUTED_VALUE"""),"Silas Tanner")</f>
        <v>Silas Tanner</v>
      </c>
      <c r="C879" t="str">
        <f ca="1">IFERROR(__xludf.DUMMYFUNCTION("""COMPUTED_VALUE"""),"silas.tanner@floridadep.gov")</f>
        <v>silas.tanner@floridadep.gov</v>
      </c>
      <c r="D879" t="str">
        <f ca="1">IFERROR(__xludf.DUMMYFUNCTION("""COMPUTED_VALUE"""),"Shannon Dunnigan")</f>
        <v>Shannon Dunnigan</v>
      </c>
      <c r="E879" t="str">
        <f ca="1">IFERROR(__xludf.DUMMYFUNCTION("""COMPUTED_VALUE"""),"Vilano Landing")</f>
        <v>Vilano Landing</v>
      </c>
      <c r="F879" s="13">
        <f ca="1">IFERROR(__xludf.DUMMYFUNCTION("""COMPUTED_VALUE"""),0.541666666667879)</f>
        <v>0.54166666666787899</v>
      </c>
      <c r="G879" s="14">
        <f ca="1">IFERROR(__xludf.DUMMYFUNCTION("""COMPUTED_VALUE"""),44727)</f>
        <v>44727</v>
      </c>
      <c r="H879" t="str">
        <f ca="1">IFERROR(__xludf.DUMMYFUNCTION("""COMPUTED_VALUE"""),"ICW PI &amp; SS SWMP sites")</f>
        <v>ICW PI &amp; SS SWMP sites</v>
      </c>
      <c r="I879" s="15">
        <f ca="1">IFERROR(__xludf.DUMMYFUNCTION("""COMPUTED_VALUE"""),0.625)</f>
        <v>0.625</v>
      </c>
      <c r="J879" s="16">
        <f ca="1">IFERROR(__xludf.DUMMYFUNCTION("""COMPUTED_VALUE"""),44727.6458333333)</f>
        <v>44727.645833333299</v>
      </c>
      <c r="K879" t="str">
        <f ca="1">IFERROR(__xludf.DUMMYFUNCTION("""COMPUTED_VALUE"""),"20ft Sea Ark FL5351SJ UNF 2015")</f>
        <v>20ft Sea Ark FL5351SJ UNF 2015</v>
      </c>
      <c r="M879" t="str">
        <f ca="1">IFERROR(__xludf.DUMMYFUNCTION("""COMPUTED_VALUE"""),"Ford F250 2017 (Moby Dix) - DEP0021578")</f>
        <v>Ford F250 2017 (Moby Dix) - DEP0021578</v>
      </c>
      <c r="N879" t="str">
        <f ca="1">IFERROR(__xludf.DUMMYFUNCTION("""COMPUTED_VALUE"""),"Silas Tanner, (904) 483-8423")</f>
        <v>Silas Tanner, (904) 483-8423</v>
      </c>
      <c r="O879" t="str">
        <f ca="1">IFERROR(__xludf.DUMMYFUNCTION("""COMPUTED_VALUE"""),"Emalee Swisshelm")</f>
        <v>Emalee Swisshelm</v>
      </c>
      <c r="P879" t="str">
        <f ca="1">IFERROR(__xludf.DUMMYFUNCTION("""COMPUTED_VALUE"""),"Silas Tanner")</f>
        <v>Silas Tanner</v>
      </c>
      <c r="Q879" t="str">
        <f ca="1">IFERROR(__xludf.DUMMYFUNCTION("""COMPUTED_VALUE"""),"All items in working order")</f>
        <v>All items in working order</v>
      </c>
      <c r="AE879" s="11"/>
      <c r="AF879" t="str">
        <v>Shannon.Dunnigan@floridadep.gov</v>
      </c>
      <c r="AG879" s="18"/>
    </row>
    <row r="880" spans="1:33" ht="12.75">
      <c r="A880" s="10">
        <f ca="1">IFERROR(__xludf.DUMMYFUNCTION("""COMPUTED_VALUE"""),44727.558394537)</f>
        <v>44727.558394537002</v>
      </c>
      <c r="B880" s="11" t="str">
        <f ca="1">IFERROR(__xludf.DUMMYFUNCTION("""COMPUTED_VALUE"""),"Jimmy")</f>
        <v>Jimmy</v>
      </c>
      <c r="C880" t="str">
        <f ca="1">IFERROR(__xludf.DUMMYFUNCTION("""COMPUTED_VALUE"""),"james.tomazinis@floridadep.gov")</f>
        <v>james.tomazinis@floridadep.gov</v>
      </c>
      <c r="D880" t="str">
        <f ca="1">IFERROR(__xludf.DUMMYFUNCTION("""COMPUTED_VALUE"""),"Scott Eastman")</f>
        <v>Scott Eastman</v>
      </c>
      <c r="E880" t="str">
        <f ca="1">IFERROR(__xludf.DUMMYFUNCTION("""COMPUTED_VALUE"""),"Vilano")</f>
        <v>Vilano</v>
      </c>
      <c r="F880" s="13">
        <f ca="1">IFERROR(__xludf.DUMMYFUNCTION("""COMPUTED_VALUE"""),0.55208333333212)</f>
        <v>0.55208333333212001</v>
      </c>
      <c r="G880" s="14">
        <f ca="1">IFERROR(__xludf.DUMMYFUNCTION("""COMPUTED_VALUE"""),44727)</f>
        <v>44727</v>
      </c>
      <c r="H880" t="str">
        <f ca="1">IFERROR(__xludf.DUMMYFUNCTION("""COMPUTED_VALUE"""),"Tolomato ")</f>
        <v xml:space="preserve">Tolomato </v>
      </c>
      <c r="I880" s="15">
        <f ca="1">IFERROR(__xludf.DUMMYFUNCTION("""COMPUTED_VALUE"""),0.666666666667879)</f>
        <v>0.66666666666787899</v>
      </c>
      <c r="J880" s="16"/>
      <c r="K880" t="str">
        <f ca="1">IFERROR(__xludf.DUMMYFUNCTION("""COMPUTED_VALUE"""),"23ft Skiff (Bertha) FL7972LJ DEP07613")</f>
        <v>23ft Skiff (Bertha) FL7972LJ DEP07613</v>
      </c>
      <c r="M880" t="str">
        <f ca="1">IFERROR(__xludf.DUMMYFUNCTION("""COMPUTED_VALUE"""),"Ford F150 2007 (F-Bomb) - DEP07055")</f>
        <v>Ford F150 2007 (F-Bomb) - DEP07055</v>
      </c>
      <c r="N880" t="str">
        <f ca="1">IFERROR(__xludf.DUMMYFUNCTION("""COMPUTED_VALUE"""),"Jimmy Tomazinis, (904) 547-0094")</f>
        <v>Jimmy Tomazinis, (904) 547-0094</v>
      </c>
      <c r="O880" t="str">
        <f ca="1">IFERROR(__xludf.DUMMYFUNCTION("""COMPUTED_VALUE"""),"Courtney, Rauney, Zach")</f>
        <v>Courtney, Rauney, Zach</v>
      </c>
      <c r="P880" t="str">
        <f ca="1">IFERROR(__xludf.DUMMYFUNCTION("""COMPUTED_VALUE"""),"Jimmy")</f>
        <v>Jimmy</v>
      </c>
      <c r="Q880" t="str">
        <f ca="1">IFERROR(__xludf.DUMMYFUNCTION("""COMPUTED_VALUE"""),"All items in working order")</f>
        <v>All items in working order</v>
      </c>
      <c r="AE880" s="11"/>
      <c r="AF880" t="str">
        <v>Scott.Eastman@floridadep.gov</v>
      </c>
      <c r="AG880" s="18"/>
    </row>
    <row r="881" spans="1:33" ht="12.75">
      <c r="A881" s="10">
        <f ca="1">IFERROR(__xludf.DUMMYFUNCTION("""COMPUTED_VALUE"""),44728.323849375)</f>
        <v>44728.323849375003</v>
      </c>
      <c r="B881" s="11" t="str">
        <f ca="1">IFERROR(__xludf.DUMMYFUNCTION("""COMPUTED_VALUE"""),"Pam Marcum ")</f>
        <v xml:space="preserve">Pam Marcum </v>
      </c>
      <c r="C881" t="str">
        <f ca="1">IFERROR(__xludf.DUMMYFUNCTION("""COMPUTED_VALUE"""),"Pamela.Marcum@FloridaDEP.gov")</f>
        <v>Pamela.Marcum@FloridaDEP.gov</v>
      </c>
      <c r="D881" t="str">
        <f ca="1">IFERROR(__xludf.DUMMYFUNCTION("""COMPUTED_VALUE"""),"Shannon Dunnigan")</f>
        <v>Shannon Dunnigan</v>
      </c>
      <c r="E881" t="str">
        <f ca="1">IFERROR(__xludf.DUMMYFUNCTION("""COMPUTED_VALUE"""),"Faver-Dykes ")</f>
        <v xml:space="preserve">Faver-Dykes </v>
      </c>
      <c r="F881" s="13">
        <f ca="1">IFERROR(__xludf.DUMMYFUNCTION("""COMPUTED_VALUE"""),0.322916666667879)</f>
        <v>0.32291666666787899</v>
      </c>
      <c r="G881" s="14">
        <f ca="1">IFERROR(__xludf.DUMMYFUNCTION("""COMPUTED_VALUE"""),44728)</f>
        <v>44728</v>
      </c>
      <c r="H881" t="str">
        <f ca="1">IFERROR(__xludf.DUMMYFUNCTION("""COMPUTED_VALUE"""),"Middle pellicer creek")</f>
        <v>Middle pellicer creek</v>
      </c>
      <c r="I881" s="15">
        <f ca="1">IFERROR(__xludf.DUMMYFUNCTION("""COMPUTED_VALUE"""),0.479166666667879)</f>
        <v>0.47916666666787899</v>
      </c>
      <c r="J881" s="16">
        <f ca="1">IFERROR(__xludf.DUMMYFUNCTION("""COMPUTED_VALUE"""),44728.5208333333)</f>
        <v>44728.520833333299</v>
      </c>
      <c r="K881" t="str">
        <f ca="1">IFERROR(__xludf.DUMMYFUNCTION("""COMPUTED_VALUE"""),"17ft Skiff (Marsha) FL0642GW DEP07239")</f>
        <v>17ft Skiff (Marsha) FL0642GW DEP07239</v>
      </c>
      <c r="M881" t="str">
        <f ca="1">IFERROR(__xludf.DUMMYFUNCTION("""COMPUTED_VALUE"""),"Ford F150 2015 (White) - DEP21448")</f>
        <v>Ford F150 2015 (White) - DEP21448</v>
      </c>
      <c r="N881" t="str">
        <f ca="1">IFERROR(__xludf.DUMMYFUNCTION("""COMPUTED_VALUE"""),"Pam Marcum, (480) 332-5414, Remo Mondazzi")</f>
        <v>Pam Marcum, (480) 332-5414, Remo Mondazzi</v>
      </c>
      <c r="O881" t="str">
        <f ca="1">IFERROR(__xludf.DUMMYFUNCTION("""COMPUTED_VALUE"""),"Nate Schirmer")</f>
        <v>Nate Schirmer</v>
      </c>
      <c r="P881" t="str">
        <f ca="1">IFERROR(__xludf.DUMMYFUNCTION("""COMPUTED_VALUE"""),"Pam")</f>
        <v>Pam</v>
      </c>
      <c r="Q881" t="str">
        <f ca="1">IFERROR(__xludf.DUMMYFUNCTION("""COMPUTED_VALUE"""),"All items in working order")</f>
        <v>All items in working order</v>
      </c>
      <c r="AE881" s="11"/>
      <c r="AF881" t="str">
        <v>Shannon.Dunnigan@floridadep.gov</v>
      </c>
      <c r="AG881" s="18"/>
    </row>
    <row r="882" spans="1:33" ht="12.75">
      <c r="A882" s="10">
        <f ca="1">IFERROR(__xludf.DUMMYFUNCTION("""COMPUTED_VALUE"""),44728.5126521064)</f>
        <v>44728.512652106401</v>
      </c>
      <c r="B882" s="11" t="str">
        <f ca="1">IFERROR(__xludf.DUMMYFUNCTION("""COMPUTED_VALUE"""),"Jimmy")</f>
        <v>Jimmy</v>
      </c>
      <c r="C882" t="str">
        <f ca="1">IFERROR(__xludf.DUMMYFUNCTION("""COMPUTED_VALUE"""),"janes.tomazinis@floridadep.gov")</f>
        <v>janes.tomazinis@floridadep.gov</v>
      </c>
      <c r="D882" t="str">
        <f ca="1">IFERROR(__xludf.DUMMYFUNCTION("""COMPUTED_VALUE"""),"Scott Eastman")</f>
        <v>Scott Eastman</v>
      </c>
      <c r="E882" t="str">
        <f ca="1">IFERROR(__xludf.DUMMYFUNCTION("""COMPUTED_VALUE"""),"Vilano")</f>
        <v>Vilano</v>
      </c>
      <c r="F882" s="13">
        <f ca="1">IFERROR(__xludf.DUMMYFUNCTION("""COMPUTED_VALUE"""),0.52083333333212)</f>
        <v>0.52083333333212001</v>
      </c>
      <c r="G882" s="14">
        <f ca="1">IFERROR(__xludf.DUMMYFUNCTION("""COMPUTED_VALUE"""),44728)</f>
        <v>44728</v>
      </c>
      <c r="H882" t="str">
        <f ca="1">IFERROR(__xludf.DUMMYFUNCTION("""COMPUTED_VALUE"""),"Salt run, San Sebastián, Moultrie")</f>
        <v>Salt run, San Sebastián, Moultrie</v>
      </c>
      <c r="I882" s="15">
        <f ca="1">IFERROR(__xludf.DUMMYFUNCTION("""COMPUTED_VALUE"""),0.697916666667879)</f>
        <v>0.69791666666787899</v>
      </c>
      <c r="J882" s="16"/>
      <c r="K882" t="str">
        <f ca="1">IFERROR(__xludf.DUMMYFUNCTION("""COMPUTED_VALUE"""),"23ft Skiff (Bertha) FL7972LJ DEP07613")</f>
        <v>23ft Skiff (Bertha) FL7972LJ DEP07613</v>
      </c>
      <c r="M882" t="str">
        <f ca="1">IFERROR(__xludf.DUMMYFUNCTION("""COMPUTED_VALUE"""),"Ford F150 2018 (ML AP) - DEP21637")</f>
        <v>Ford F150 2018 (ML AP) - DEP21637</v>
      </c>
      <c r="N882" t="str">
        <f ca="1">IFERROR(__xludf.DUMMYFUNCTION("""COMPUTED_VALUE"""),"Jimmy Tomazinis, (904) 547-0094")</f>
        <v>Jimmy Tomazinis, (904) 547-0094</v>
      </c>
      <c r="O882" t="str">
        <f ca="1">IFERROR(__xludf.DUMMYFUNCTION("""COMPUTED_VALUE"""),"Savanna Mathis, Allix North, Ed McGinley and class")</f>
        <v>Savanna Mathis, Allix North, Ed McGinley and class</v>
      </c>
      <c r="P882" t="str">
        <f ca="1">IFERROR(__xludf.DUMMYFUNCTION("""COMPUTED_VALUE"""),"Jimmy")</f>
        <v>Jimmy</v>
      </c>
      <c r="Q882" t="str">
        <f ca="1">IFERROR(__xludf.DUMMYFUNCTION("""COMPUTED_VALUE"""),"All items in working order")</f>
        <v>All items in working order</v>
      </c>
      <c r="AE882" s="11"/>
      <c r="AF882" t="str">
        <v>Scott.Eastman@floridadep.gov</v>
      </c>
      <c r="AG882" s="18"/>
    </row>
    <row r="883" spans="1:33" ht="12.75">
      <c r="A883" s="10">
        <f ca="1">IFERROR(__xludf.DUMMYFUNCTION("""COMPUTED_VALUE"""),44729.340121574)</f>
        <v>44729.340121574001</v>
      </c>
      <c r="B883" s="11" t="str">
        <f ca="1">IFERROR(__xludf.DUMMYFUNCTION("""COMPUTED_VALUE"""),"Pam Marcum")</f>
        <v>Pam Marcum</v>
      </c>
      <c r="C883" t="str">
        <f ca="1">IFERROR(__xludf.DUMMYFUNCTION("""COMPUTED_VALUE"""),"Pamela.Marcum@FloridaDEP.gov")</f>
        <v>Pamela.Marcum@FloridaDEP.gov</v>
      </c>
      <c r="D883" t="str">
        <f ca="1">IFERROR(__xludf.DUMMYFUNCTION("""COMPUTED_VALUE"""),"Shannon Dunnigan")</f>
        <v>Shannon Dunnigan</v>
      </c>
      <c r="E883" t="str">
        <f ca="1">IFERROR(__xludf.DUMMYFUNCTION("""COMPUTED_VALUE"""),"Faver-Dykes ")</f>
        <v xml:space="preserve">Faver-Dykes </v>
      </c>
      <c r="F883" s="13">
        <f ca="1">IFERROR(__xludf.DUMMYFUNCTION("""COMPUTED_VALUE"""),0.33333333333212)</f>
        <v>0.33333333333212001</v>
      </c>
      <c r="G883" s="14">
        <f ca="1">IFERROR(__xludf.DUMMYFUNCTION("""COMPUTED_VALUE"""),44729)</f>
        <v>44729</v>
      </c>
      <c r="H883" t="str">
        <f ca="1">IFERROR(__xludf.DUMMYFUNCTION("""COMPUTED_VALUE"""),"Upper pellicer creek")</f>
        <v>Upper pellicer creek</v>
      </c>
      <c r="I883" s="15">
        <f ca="1">IFERROR(__xludf.DUMMYFUNCTION("""COMPUTED_VALUE"""),0.5)</f>
        <v>0.5</v>
      </c>
      <c r="J883" s="16">
        <f ca="1">IFERROR(__xludf.DUMMYFUNCTION("""COMPUTED_VALUE"""),44729.5416666666)</f>
        <v>44729.541666666599</v>
      </c>
      <c r="K883" t="str">
        <f ca="1">IFERROR(__xludf.DUMMYFUNCTION("""COMPUTED_VALUE"""),"17ft Skiff (Marsha) FL0642GW DEP07239")</f>
        <v>17ft Skiff (Marsha) FL0642GW DEP07239</v>
      </c>
      <c r="M883" t="str">
        <f ca="1">IFERROR(__xludf.DUMMYFUNCTION("""COMPUTED_VALUE"""),"Ford Explorer 2019 (ML AP/Stewardship) - DEP21833")</f>
        <v>Ford Explorer 2019 (ML AP/Stewardship) - DEP21833</v>
      </c>
      <c r="N883" t="str">
        <f ca="1">IFERROR(__xludf.DUMMYFUNCTION("""COMPUTED_VALUE"""),"Pam Marcum, (480) 332-5414")</f>
        <v>Pam Marcum, (480) 332-5414</v>
      </c>
      <c r="O883" t="str">
        <f ca="1">IFERROR(__xludf.DUMMYFUNCTION("""COMPUTED_VALUE"""),"Savanna Mathis, Allix North")</f>
        <v>Savanna Mathis, Allix North</v>
      </c>
      <c r="P883" t="str">
        <f ca="1">IFERROR(__xludf.DUMMYFUNCTION("""COMPUTED_VALUE"""),"Allix")</f>
        <v>Allix</v>
      </c>
      <c r="Q883" t="str">
        <f ca="1">IFERROR(__xludf.DUMMYFUNCTION("""COMPUTED_VALUE"""),"All items in working order")</f>
        <v>All items in working order</v>
      </c>
      <c r="AE883" s="11"/>
      <c r="AF883" t="str">
        <v>Shannon.Dunnigan@floridadep.gov</v>
      </c>
      <c r="AG883" s="18"/>
    </row>
    <row r="884" spans="1:33" ht="12.75">
      <c r="A884" s="10">
        <f ca="1">IFERROR(__xludf.DUMMYFUNCTION("""COMPUTED_VALUE"""),44732.3187380092)</f>
        <v>44732.318738009199</v>
      </c>
      <c r="B884" s="11" t="str">
        <f ca="1">IFERROR(__xludf.DUMMYFUNCTION("""COMPUTED_VALUE"""),"Silas Tanner")</f>
        <v>Silas Tanner</v>
      </c>
      <c r="C884" t="str">
        <f ca="1">IFERROR(__xludf.DUMMYFUNCTION("""COMPUTED_VALUE"""),"silas.tanner@floridadep.gov")</f>
        <v>silas.tanner@floridadep.gov</v>
      </c>
      <c r="D884" t="str">
        <f ca="1">IFERROR(__xludf.DUMMYFUNCTION("""COMPUTED_VALUE"""),"Nikki Dix")</f>
        <v>Nikki Dix</v>
      </c>
      <c r="E884" t="str">
        <f ca="1">IFERROR(__xludf.DUMMYFUNCTION("""COMPUTED_VALUE"""),"Vilano Landing")</f>
        <v>Vilano Landing</v>
      </c>
      <c r="F884" s="13">
        <f ca="1">IFERROR(__xludf.DUMMYFUNCTION("""COMPUTED_VALUE"""),0.33333333333212)</f>
        <v>0.33333333333212001</v>
      </c>
      <c r="G884" s="14">
        <f ca="1">IFERROR(__xludf.DUMMYFUNCTION("""COMPUTED_VALUE"""),44732)</f>
        <v>44732</v>
      </c>
      <c r="H884" t="str">
        <f ca="1">IFERROR(__xludf.DUMMYFUNCTION("""COMPUTED_VALUE"""),"ICW SWMP SS, PI")</f>
        <v>ICW SWMP SS, PI</v>
      </c>
      <c r="I884" s="15">
        <f ca="1">IFERROR(__xludf.DUMMYFUNCTION("""COMPUTED_VALUE"""),0.5)</f>
        <v>0.5</v>
      </c>
      <c r="J884" s="16">
        <f ca="1">IFERROR(__xludf.DUMMYFUNCTION("""COMPUTED_VALUE"""),44732.0208333333)</f>
        <v>44732.020833333299</v>
      </c>
      <c r="K884" t="str">
        <f ca="1">IFERROR(__xludf.DUMMYFUNCTION("""COMPUTED_VALUE"""),"20ft Sea Ark FL5351SJ UNF 2015")</f>
        <v>20ft Sea Ark FL5351SJ UNF 2015</v>
      </c>
      <c r="M884" t="str">
        <f ca="1">IFERROR(__xludf.DUMMYFUNCTION("""COMPUTED_VALUE"""),"Ford F250 2017 (Moby Dix) - DEP0021578")</f>
        <v>Ford F250 2017 (Moby Dix) - DEP0021578</v>
      </c>
      <c r="N884" t="str">
        <f ca="1">IFERROR(__xludf.DUMMYFUNCTION("""COMPUTED_VALUE"""),"Silas Tanner, (904) 483-8423")</f>
        <v>Silas Tanner, (904) 483-8423</v>
      </c>
      <c r="O884" t="str">
        <f ca="1">IFERROR(__xludf.DUMMYFUNCTION("""COMPUTED_VALUE"""),"Emalee Swisshelm")</f>
        <v>Emalee Swisshelm</v>
      </c>
      <c r="P884" t="str">
        <f ca="1">IFERROR(__xludf.DUMMYFUNCTION("""COMPUTED_VALUE"""),"Silas Tanner")</f>
        <v>Silas Tanner</v>
      </c>
      <c r="Q884" t="str">
        <f ca="1">IFERROR(__xludf.DUMMYFUNCTION("""COMPUTED_VALUE"""),"All items in working order")</f>
        <v>All items in working order</v>
      </c>
      <c r="AE884" s="11"/>
      <c r="AF884" t="str">
        <v>Nikki.Dix@floridadep.gov</v>
      </c>
      <c r="AG884" s="18"/>
    </row>
    <row r="885" spans="1:33" ht="12.75">
      <c r="A885" s="10">
        <f ca="1">IFERROR(__xludf.DUMMYFUNCTION("""COMPUTED_VALUE"""),44732.3273486921)</f>
        <v>44732.327348692103</v>
      </c>
      <c r="B885" s="11" t="str">
        <f ca="1">IFERROR(__xludf.DUMMYFUNCTION("""COMPUTED_VALUE"""),"Pamela Marcum ")</f>
        <v xml:space="preserve">Pamela Marcum </v>
      </c>
      <c r="C885" t="str">
        <f ca="1">IFERROR(__xludf.DUMMYFUNCTION("""COMPUTED_VALUE"""),"Pamela.Marcum@FloridaDEP.gov")</f>
        <v>Pamela.Marcum@FloridaDEP.gov</v>
      </c>
      <c r="D885" t="str">
        <f ca="1">IFERROR(__xludf.DUMMYFUNCTION("""COMPUTED_VALUE"""),"Nikki Dix")</f>
        <v>Nikki Dix</v>
      </c>
      <c r="E885" t="str">
        <f ca="1">IFERROR(__xludf.DUMMYFUNCTION("""COMPUTED_VALUE"""),"Aunt kates")</f>
        <v>Aunt kates</v>
      </c>
      <c r="F885" s="13">
        <f ca="1">IFERROR(__xludf.DUMMYFUNCTION("""COMPUTED_VALUE"""),0.322916666667879)</f>
        <v>0.32291666666787899</v>
      </c>
      <c r="G885" s="14">
        <f ca="1">IFERROR(__xludf.DUMMYFUNCTION("""COMPUTED_VALUE"""),44732)</f>
        <v>44732</v>
      </c>
      <c r="H885" t="str">
        <f ca="1">IFERROR(__xludf.DUMMYFUNCTION("""COMPUTED_VALUE"""),"Guana river")</f>
        <v>Guana river</v>
      </c>
      <c r="I885" s="15">
        <f ca="1">IFERROR(__xludf.DUMMYFUNCTION("""COMPUTED_VALUE"""),0.4375)</f>
        <v>0.4375</v>
      </c>
      <c r="J885" s="16">
        <f ca="1">IFERROR(__xludf.DUMMYFUNCTION("""COMPUTED_VALUE"""),44732.4583333333)</f>
        <v>44732.458333333299</v>
      </c>
      <c r="K885" t="str">
        <f ca="1">IFERROR(__xludf.DUMMYFUNCTION("""COMPUTED_VALUE"""),"23ft Skiff (Bertha) FL7972LJ DEP07613")</f>
        <v>23ft Skiff (Bertha) FL7972LJ DEP07613</v>
      </c>
      <c r="M885" t="str">
        <f ca="1">IFERROR(__xludf.DUMMYFUNCTION("""COMPUTED_VALUE"""),"Ford F150 2015 (White) - DEP21448")</f>
        <v>Ford F150 2015 (White) - DEP21448</v>
      </c>
      <c r="N885" t="str">
        <f ca="1">IFERROR(__xludf.DUMMYFUNCTION("""COMPUTED_VALUE"""),"Pam Marcum, (480) 332-5414")</f>
        <v>Pam Marcum, (480) 332-5414</v>
      </c>
      <c r="O885" t="str">
        <f ca="1">IFERROR(__xludf.DUMMYFUNCTION("""COMPUTED_VALUE"""),"Jaleigh Pier, Greg Dietl, Talyne Pier")</f>
        <v>Jaleigh Pier, Greg Dietl, Talyne Pier</v>
      </c>
      <c r="P885" t="str">
        <f ca="1">IFERROR(__xludf.DUMMYFUNCTION("""COMPUTED_VALUE"""),"Pam")</f>
        <v>Pam</v>
      </c>
      <c r="Q885" t="str">
        <f ca="1">IFERROR(__xludf.DUMMYFUNCTION("""COMPUTED_VALUE"""),"All items in working order")</f>
        <v>All items in working order</v>
      </c>
      <c r="AE885" s="11"/>
      <c r="AF885" t="str">
        <v>Nikki.Dix@floridadep.gov</v>
      </c>
      <c r="AG885" s="18"/>
    </row>
    <row r="886" spans="1:33" ht="12.75">
      <c r="A886" s="10">
        <f ca="1">IFERROR(__xludf.DUMMYFUNCTION("""COMPUTED_VALUE"""),44732.4860955324)</f>
        <v>44732.486095532397</v>
      </c>
      <c r="B886" s="11" t="str">
        <f ca="1">IFERROR(__xludf.DUMMYFUNCTION("""COMPUTED_VALUE"""),"Silas Tanner")</f>
        <v>Silas Tanner</v>
      </c>
      <c r="C886" t="str">
        <f ca="1">IFERROR(__xludf.DUMMYFUNCTION("""COMPUTED_VALUE"""),"silas.tanner@floridadep.gov")</f>
        <v>silas.tanner@floridadep.gov</v>
      </c>
      <c r="D886" t="str">
        <f ca="1">IFERROR(__xludf.DUMMYFUNCTION("""COMPUTED_VALUE"""),"Nikki Dix")</f>
        <v>Nikki Dix</v>
      </c>
      <c r="E886" t="str">
        <f ca="1">IFERROR(__xludf.DUMMYFUNCTION("""COMPUTED_VALUE"""),"Vilano Landing")</f>
        <v>Vilano Landing</v>
      </c>
      <c r="F886" s="13">
        <f ca="1">IFERROR(__xludf.DUMMYFUNCTION("""COMPUTED_VALUE"""),0.510416666667879)</f>
        <v>0.51041666666787899</v>
      </c>
      <c r="G886" s="14">
        <f ca="1">IFERROR(__xludf.DUMMYFUNCTION("""COMPUTED_VALUE"""),44732)</f>
        <v>44732</v>
      </c>
      <c r="H886" t="str">
        <f ca="1">IFERROR(__xludf.DUMMYFUNCTION("""COMPUTED_VALUE"""),"ICW SS and PI SWMP sites")</f>
        <v>ICW SS and PI SWMP sites</v>
      </c>
      <c r="I886" s="15">
        <f ca="1">IFERROR(__xludf.DUMMYFUNCTION("""COMPUTED_VALUE"""),0.572916666667879)</f>
        <v>0.57291666666787899</v>
      </c>
      <c r="J886" s="16">
        <f ca="1">IFERROR(__xludf.DUMMYFUNCTION("""COMPUTED_VALUE"""),44732.5833333333)</f>
        <v>44732.583333333299</v>
      </c>
      <c r="K886" t="str">
        <f ca="1">IFERROR(__xludf.DUMMYFUNCTION("""COMPUTED_VALUE"""),"20ft Sea Ark FL5351SJ UNF 2015")</f>
        <v>20ft Sea Ark FL5351SJ UNF 2015</v>
      </c>
      <c r="M886" t="str">
        <f ca="1">IFERROR(__xludf.DUMMYFUNCTION("""COMPUTED_VALUE"""),"Ford F250 2017 (Moby Dix) - DEP0021578")</f>
        <v>Ford F250 2017 (Moby Dix) - DEP0021578</v>
      </c>
      <c r="N886" t="str">
        <f ca="1">IFERROR(__xludf.DUMMYFUNCTION("""COMPUTED_VALUE"""),"Silas Tanner, (904) 483-8423")</f>
        <v>Silas Tanner, (904) 483-8423</v>
      </c>
      <c r="O886" t="str">
        <f ca="1">IFERROR(__xludf.DUMMYFUNCTION("""COMPUTED_VALUE"""),"Emalee Swisshelm, Nate Shiermer")</f>
        <v>Emalee Swisshelm, Nate Shiermer</v>
      </c>
      <c r="P886" t="str">
        <f ca="1">IFERROR(__xludf.DUMMYFUNCTION("""COMPUTED_VALUE"""),"S. Tanner")</f>
        <v>S. Tanner</v>
      </c>
      <c r="Q886" t="str">
        <f ca="1">IFERROR(__xludf.DUMMYFUNCTION("""COMPUTED_VALUE"""),"All items in working order")</f>
        <v>All items in working order</v>
      </c>
      <c r="AE886" s="11"/>
      <c r="AF886" t="str">
        <v>Nikki.Dix@floridadep.gov</v>
      </c>
      <c r="AG886" s="18"/>
    </row>
    <row r="887" spans="1:33" ht="12.75">
      <c r="A887" s="10">
        <f ca="1">IFERROR(__xludf.DUMMYFUNCTION("""COMPUTED_VALUE"""),44733.2740545023)</f>
        <v>44733.274054502297</v>
      </c>
      <c r="B887" s="11" t="str">
        <f ca="1">IFERROR(__xludf.DUMMYFUNCTION("""COMPUTED_VALUE"""),"Pam Marcum")</f>
        <v>Pam Marcum</v>
      </c>
      <c r="C887" t="str">
        <f ca="1">IFERROR(__xludf.DUMMYFUNCTION("""COMPUTED_VALUE"""),"Pamela.Marcum@FloridaDEP.gov")</f>
        <v>Pamela.Marcum@FloridaDEP.gov</v>
      </c>
      <c r="D887" t="str">
        <f ca="1">IFERROR(__xludf.DUMMYFUNCTION("""COMPUTED_VALUE"""),"Nikki Dix")</f>
        <v>Nikki Dix</v>
      </c>
      <c r="E887" t="str">
        <f ca="1">IFERROR(__xludf.DUMMYFUNCTION("""COMPUTED_VALUE"""),"Aunt Kate's")</f>
        <v>Aunt Kate's</v>
      </c>
      <c r="F887" s="13">
        <f ca="1">IFERROR(__xludf.DUMMYFUNCTION("""COMPUTED_VALUE"""),0.30208333333212)</f>
        <v>0.30208333333212001</v>
      </c>
      <c r="G887" s="14">
        <f ca="1">IFERROR(__xludf.DUMMYFUNCTION("""COMPUTED_VALUE"""),44733)</f>
        <v>44733</v>
      </c>
      <c r="H887" t="str">
        <f ca="1">IFERROR(__xludf.DUMMYFUNCTION("""COMPUTED_VALUE"""),"Guana River")</f>
        <v>Guana River</v>
      </c>
      <c r="I887" s="15">
        <f ca="1">IFERROR(__xludf.DUMMYFUNCTION("""COMPUTED_VALUE"""),0.45833333333212)</f>
        <v>0.45833333333212001</v>
      </c>
      <c r="J887" s="16">
        <f ca="1">IFERROR(__xludf.DUMMYFUNCTION("""COMPUTED_VALUE"""),44733.4791666666)</f>
        <v>44733.479166666599</v>
      </c>
      <c r="K887" t="str">
        <f ca="1">IFERROR(__xludf.DUMMYFUNCTION("""COMPUTED_VALUE"""),"23ft Skiff (Bertha) FL7972LJ DEP07613")</f>
        <v>23ft Skiff (Bertha) FL7972LJ DEP07613</v>
      </c>
      <c r="M887" t="str">
        <f ca="1">IFERROR(__xludf.DUMMYFUNCTION("""COMPUTED_VALUE"""),"Ford F150 2015 (White) - DEP21448")</f>
        <v>Ford F150 2015 (White) - DEP21448</v>
      </c>
      <c r="N887" t="str">
        <f ca="1">IFERROR(__xludf.DUMMYFUNCTION("""COMPUTED_VALUE"""),"Pam Marcum, (480) 332-5414")</f>
        <v>Pam Marcum, (480) 332-5414</v>
      </c>
      <c r="O887" t="str">
        <f ca="1">IFERROR(__xludf.DUMMYFUNCTION("""COMPUTED_VALUE"""),"Jacob Berna, Jaliegh Pier, Talyne Pier, Greg Dietl")</f>
        <v>Jacob Berna, Jaliegh Pier, Talyne Pier, Greg Dietl</v>
      </c>
      <c r="P887" t="str">
        <f ca="1">IFERROR(__xludf.DUMMYFUNCTION("""COMPUTED_VALUE"""),"Pam")</f>
        <v>Pam</v>
      </c>
      <c r="Q887" t="str">
        <f ca="1">IFERROR(__xludf.DUMMYFUNCTION("""COMPUTED_VALUE"""),"All items in working order")</f>
        <v>All items in working order</v>
      </c>
      <c r="AE887" s="11"/>
      <c r="AF887" t="str">
        <v>Nikki.Dix@floridadep.gov</v>
      </c>
      <c r="AG887" s="18"/>
    </row>
    <row r="888" spans="1:33" ht="12.75">
      <c r="A888" s="10">
        <f ca="1">IFERROR(__xludf.DUMMYFUNCTION("""COMPUTED_VALUE"""),44733.2867520833)</f>
        <v>44733.286752083302</v>
      </c>
      <c r="B888" s="11" t="str">
        <f ca="1">IFERROR(__xludf.DUMMYFUNCTION("""COMPUTED_VALUE"""),"Jimmy")</f>
        <v>Jimmy</v>
      </c>
      <c r="C888" t="str">
        <f ca="1">IFERROR(__xludf.DUMMYFUNCTION("""COMPUTED_VALUE"""),"james.tomazinis@floridadep.gov")</f>
        <v>james.tomazinis@floridadep.gov</v>
      </c>
      <c r="D888" t="str">
        <f ca="1">IFERROR(__xludf.DUMMYFUNCTION("""COMPUTED_VALUE"""),"Scott Eastman")</f>
        <v>Scott Eastman</v>
      </c>
      <c r="E888" t="str">
        <f ca="1">IFERROR(__xludf.DUMMYFUNCTION("""COMPUTED_VALUE"""),"Holly Point")</f>
        <v>Holly Point</v>
      </c>
      <c r="F888" s="13">
        <f ca="1">IFERROR(__xludf.DUMMYFUNCTION("""COMPUTED_VALUE"""),0.39583333333212)</f>
        <v>0.39583333333212001</v>
      </c>
      <c r="G888" s="14">
        <f ca="1">IFERROR(__xludf.DUMMYFUNCTION("""COMPUTED_VALUE"""),44733)</f>
        <v>44733</v>
      </c>
      <c r="H888" t="str">
        <f ca="1">IFERROR(__xludf.DUMMYFUNCTION("""COMPUTED_VALUE"""),"Edwards WQ site")</f>
        <v>Edwards WQ site</v>
      </c>
      <c r="I888" s="15">
        <f ca="1">IFERROR(__xludf.DUMMYFUNCTION("""COMPUTED_VALUE"""),0.541666666667879)</f>
        <v>0.54166666666787899</v>
      </c>
      <c r="J888" s="16"/>
      <c r="K888" t="str">
        <f ca="1">IFERROR(__xludf.DUMMYFUNCTION("""COMPUTED_VALUE"""),"F 20ft Sea Ark (Easy 200) FL8534PY DEP21451")</f>
        <v>F 20ft Sea Ark (Easy 200) FL8534PY DEP21451</v>
      </c>
      <c r="M888" t="str">
        <f ca="1">IFERROR(__xludf.DUMMYFUNCTION("""COMPUTED_VALUE"""),"Ford F150 2007 (F-Bomb) - DEP07055")</f>
        <v>Ford F150 2007 (F-Bomb) - DEP07055</v>
      </c>
      <c r="N888" t="str">
        <f ca="1">IFERROR(__xludf.DUMMYFUNCTION("""COMPUTED_VALUE"""),"Jimmy Tomazinis, (904) 547-0094")</f>
        <v>Jimmy Tomazinis, (904) 547-0094</v>
      </c>
      <c r="O888" t="str">
        <f ca="1">IFERROR(__xludf.DUMMYFUNCTION("""COMPUTED_VALUE"""),"Chris Kurtz ")</f>
        <v xml:space="preserve">Chris Kurtz </v>
      </c>
      <c r="P888" t="str">
        <f ca="1">IFERROR(__xludf.DUMMYFUNCTION("""COMPUTED_VALUE"""),"Jimmy")</f>
        <v>Jimmy</v>
      </c>
      <c r="Q888" t="str">
        <f ca="1">IFERROR(__xludf.DUMMYFUNCTION("""COMPUTED_VALUE"""),"All items in working order")</f>
        <v>All items in working order</v>
      </c>
      <c r="AE888" s="11"/>
      <c r="AF888" t="str">
        <v>Scott.Eastman@floridadep.gov</v>
      </c>
      <c r="AG888" s="18"/>
    </row>
    <row r="889" spans="1:33" ht="12.75">
      <c r="A889" s="10">
        <f ca="1">IFERROR(__xludf.DUMMYFUNCTION("""COMPUTED_VALUE"""),44733.3243448958)</f>
        <v>44733.324344895802</v>
      </c>
      <c r="B889" s="11" t="str">
        <f ca="1">IFERROR(__xludf.DUMMYFUNCTION("""COMPUTED_VALUE"""),"Silas Tanner")</f>
        <v>Silas Tanner</v>
      </c>
      <c r="C889" t="str">
        <f ca="1">IFERROR(__xludf.DUMMYFUNCTION("""COMPUTED_VALUE"""),"silas.tanner@floridadep.gov")</f>
        <v>silas.tanner@floridadep.gov</v>
      </c>
      <c r="D889" t="str">
        <f ca="1">IFERROR(__xludf.DUMMYFUNCTION("""COMPUTED_VALUE"""),"Nikki Dix")</f>
        <v>Nikki Dix</v>
      </c>
      <c r="E889" t="str">
        <f ca="1">IFERROR(__xludf.DUMMYFUNCTION("""COMPUTED_VALUE"""),"Vilano Landing")</f>
        <v>Vilano Landing</v>
      </c>
      <c r="F889" s="13">
        <f ca="1">IFERROR(__xludf.DUMMYFUNCTION("""COMPUTED_VALUE"""),0.33333333333212)</f>
        <v>0.33333333333212001</v>
      </c>
      <c r="G889" s="14">
        <f ca="1">IFERROR(__xludf.DUMMYFUNCTION("""COMPUTED_VALUE"""),44733)</f>
        <v>44733</v>
      </c>
      <c r="H889" t="str">
        <f ca="1">IFERROR(__xludf.DUMMYFUNCTION("""COMPUTED_VALUE"""),"ICW SWMP SS, PI")</f>
        <v>ICW SWMP SS, PI</v>
      </c>
      <c r="I889" s="15">
        <f ca="1">IFERROR(__xludf.DUMMYFUNCTION("""COMPUTED_VALUE"""),0.95833333333212)</f>
        <v>0.95833333333212001</v>
      </c>
      <c r="J889" s="16">
        <f ca="1">IFERROR(__xludf.DUMMYFUNCTION("""COMPUTED_VALUE"""),44733.4791666666)</f>
        <v>44733.479166666599</v>
      </c>
      <c r="K889" t="str">
        <f ca="1">IFERROR(__xludf.DUMMYFUNCTION("""COMPUTED_VALUE"""),"20ft Sea Ark FL5351SJ UNF 2015")</f>
        <v>20ft Sea Ark FL5351SJ UNF 2015</v>
      </c>
      <c r="M889" t="str">
        <f ca="1">IFERROR(__xludf.DUMMYFUNCTION("""COMPUTED_VALUE"""),"Ford F250 2017 (Moby Dix) - DEP0021578")</f>
        <v>Ford F250 2017 (Moby Dix) - DEP0021578</v>
      </c>
      <c r="N889" t="str">
        <f ca="1">IFERROR(__xludf.DUMMYFUNCTION("""COMPUTED_VALUE"""),"Silas Tanner, (904) 483-8423")</f>
        <v>Silas Tanner, (904) 483-8423</v>
      </c>
      <c r="O889" t="str">
        <f ca="1">IFERROR(__xludf.DUMMYFUNCTION("""COMPUTED_VALUE"""),"Emalee Swisshelm")</f>
        <v>Emalee Swisshelm</v>
      </c>
      <c r="P889" t="str">
        <f ca="1">IFERROR(__xludf.DUMMYFUNCTION("""COMPUTED_VALUE"""),"Silas Tanner")</f>
        <v>Silas Tanner</v>
      </c>
      <c r="Q889" t="str">
        <f ca="1">IFERROR(__xludf.DUMMYFUNCTION("""COMPUTED_VALUE"""),"All items in working order")</f>
        <v>All items in working order</v>
      </c>
      <c r="AE889" s="11"/>
      <c r="AF889" t="str">
        <v>Nikki.Dix@floridadep.gov</v>
      </c>
      <c r="AG889" s="18"/>
    </row>
    <row r="890" spans="1:33" ht="12.75">
      <c r="A890" s="10">
        <f ca="1">IFERROR(__xludf.DUMMYFUNCTION("""COMPUTED_VALUE"""),44733.5197507523)</f>
        <v>44733.519750752297</v>
      </c>
      <c r="B890" s="11" t="str">
        <f ca="1">IFERROR(__xludf.DUMMYFUNCTION("""COMPUTED_VALUE"""),"Silas Tanner")</f>
        <v>Silas Tanner</v>
      </c>
      <c r="C890" t="str">
        <f ca="1">IFERROR(__xludf.DUMMYFUNCTION("""COMPUTED_VALUE"""),"silas.tanner@floridadep.gov")</f>
        <v>silas.tanner@floridadep.gov</v>
      </c>
      <c r="D890" t="str">
        <f ca="1">IFERROR(__xludf.DUMMYFUNCTION("""COMPUTED_VALUE"""),"Nikki Dix")</f>
        <v>Nikki Dix</v>
      </c>
      <c r="E890" t="str">
        <f ca="1">IFERROR(__xludf.DUMMYFUNCTION("""COMPUTED_VALUE"""),"Vilano Landing")</f>
        <v>Vilano Landing</v>
      </c>
      <c r="F890" s="13">
        <f ca="1">IFERROR(__xludf.DUMMYFUNCTION("""COMPUTED_VALUE"""),0.541666666667879)</f>
        <v>0.54166666666787899</v>
      </c>
      <c r="G890" s="14">
        <f ca="1">IFERROR(__xludf.DUMMYFUNCTION("""COMPUTED_VALUE"""),44733)</f>
        <v>44733</v>
      </c>
      <c r="H890" t="str">
        <f ca="1">IFERROR(__xludf.DUMMYFUNCTION("""COMPUTED_VALUE"""),"ICW SWMP Sites PI &amp; SS")</f>
        <v>ICW SWMP Sites PI &amp; SS</v>
      </c>
      <c r="I890" s="15">
        <f ca="1">IFERROR(__xludf.DUMMYFUNCTION("""COMPUTED_VALUE"""),0.61458333333212)</f>
        <v>0.61458333333212001</v>
      </c>
      <c r="J890" s="16">
        <f ca="1">IFERROR(__xludf.DUMMYFUNCTION("""COMPUTED_VALUE"""),44733.625)</f>
        <v>44733.625</v>
      </c>
      <c r="K890" t="str">
        <f ca="1">IFERROR(__xludf.DUMMYFUNCTION("""COMPUTED_VALUE"""),"20ft Sea Ark FL5351SJ UNF 2015")</f>
        <v>20ft Sea Ark FL5351SJ UNF 2015</v>
      </c>
      <c r="M890" t="str">
        <f ca="1">IFERROR(__xludf.DUMMYFUNCTION("""COMPUTED_VALUE"""),"Ford F250 2017 (Moby Dix) - DEP0021578")</f>
        <v>Ford F250 2017 (Moby Dix) - DEP0021578</v>
      </c>
      <c r="N890" t="str">
        <f ca="1">IFERROR(__xludf.DUMMYFUNCTION("""COMPUTED_VALUE"""),"Silas Tanner, (904) 483-8423")</f>
        <v>Silas Tanner, (904) 483-8423</v>
      </c>
      <c r="O890" t="str">
        <f ca="1">IFERROR(__xludf.DUMMYFUNCTION("""COMPUTED_VALUE"""),"Emalee Swisshelm")</f>
        <v>Emalee Swisshelm</v>
      </c>
      <c r="P890" t="str">
        <f ca="1">IFERROR(__xludf.DUMMYFUNCTION("""COMPUTED_VALUE"""),"Silas Tanner")</f>
        <v>Silas Tanner</v>
      </c>
      <c r="Q890" t="str">
        <f ca="1">IFERROR(__xludf.DUMMYFUNCTION("""COMPUTED_VALUE"""),"All items in working order")</f>
        <v>All items in working order</v>
      </c>
      <c r="AE890" s="11"/>
      <c r="AF890" t="str">
        <v>Nikki.Dix@floridadep.gov</v>
      </c>
      <c r="AG890" s="18"/>
    </row>
    <row r="891" spans="1:33" ht="12.75">
      <c r="A891" s="10">
        <f ca="1">IFERROR(__xludf.DUMMYFUNCTION("""COMPUTED_VALUE"""),44734.2888318865)</f>
        <v>44734.288831886501</v>
      </c>
      <c r="B891" s="11" t="str">
        <f ca="1">IFERROR(__xludf.DUMMYFUNCTION("""COMPUTED_VALUE"""),"Jimmy")</f>
        <v>Jimmy</v>
      </c>
      <c r="C891" t="str">
        <f ca="1">IFERROR(__xludf.DUMMYFUNCTION("""COMPUTED_VALUE"""),"james.tomazinis@floridadep.gov")</f>
        <v>james.tomazinis@floridadep.gov</v>
      </c>
      <c r="D891" t="str">
        <f ca="1">IFERROR(__xludf.DUMMYFUNCTION("""COMPUTED_VALUE"""),"Scott Eastman")</f>
        <v>Scott Eastman</v>
      </c>
      <c r="E891" t="str">
        <f ca="1">IFERROR(__xludf.DUMMYFUNCTION("""COMPUTED_VALUE"""),"Holly Point")</f>
        <v>Holly Point</v>
      </c>
      <c r="F891" s="13">
        <f ca="1">IFERROR(__xludf.DUMMYFUNCTION("""COMPUTED_VALUE"""),0.39583333333212)</f>
        <v>0.39583333333212001</v>
      </c>
      <c r="G891" s="14">
        <f ca="1">IFERROR(__xludf.DUMMYFUNCTION("""COMPUTED_VALUE"""),44734)</f>
        <v>44734</v>
      </c>
      <c r="H891" t="str">
        <f ca="1">IFERROR(__xludf.DUMMYFUNCTION("""COMPUTED_VALUE"""),"Edwards sonde site")</f>
        <v>Edwards sonde site</v>
      </c>
      <c r="I891" s="15">
        <f ca="1">IFERROR(__xludf.DUMMYFUNCTION("""COMPUTED_VALUE"""),0.625)</f>
        <v>0.625</v>
      </c>
      <c r="J891" s="16"/>
      <c r="K891" t="str">
        <f ca="1">IFERROR(__xludf.DUMMYFUNCTION("""COMPUTED_VALUE"""),"F 20ft Sea Ark (Easy 200) FL8534PY DEP21451")</f>
        <v>F 20ft Sea Ark (Easy 200) FL8534PY DEP21451</v>
      </c>
      <c r="M891" t="str">
        <f ca="1">IFERROR(__xludf.DUMMYFUNCTION("""COMPUTED_VALUE"""),"Ford F150 2007 (F-Bomb) - DEP07055")</f>
        <v>Ford F150 2007 (F-Bomb) - DEP07055</v>
      </c>
      <c r="N891" t="str">
        <f ca="1">IFERROR(__xludf.DUMMYFUNCTION("""COMPUTED_VALUE"""),"Jimmy Tomazinis, (904) 547-0094")</f>
        <v>Jimmy Tomazinis, (904) 547-0094</v>
      </c>
      <c r="O891" t="str">
        <f ca="1">IFERROR(__xludf.DUMMYFUNCTION("""COMPUTED_VALUE"""),"Chris Kurtz")</f>
        <v>Chris Kurtz</v>
      </c>
      <c r="P891" t="str">
        <f ca="1">IFERROR(__xludf.DUMMYFUNCTION("""COMPUTED_VALUE"""),"Jimmy")</f>
        <v>Jimmy</v>
      </c>
      <c r="Q891" t="str">
        <f ca="1">IFERROR(__xludf.DUMMYFUNCTION("""COMPUTED_VALUE"""),"All items in working order")</f>
        <v>All items in working order</v>
      </c>
      <c r="AE891" s="11"/>
      <c r="AF891" t="str">
        <v>Scott.Eastman@floridadep.gov</v>
      </c>
      <c r="AG891" s="18"/>
    </row>
    <row r="892" spans="1:33" ht="12.75">
      <c r="A892" s="10">
        <f ca="1">IFERROR(__xludf.DUMMYFUNCTION("""COMPUTED_VALUE"""),44734.3395151041)</f>
        <v>44734.339515104097</v>
      </c>
      <c r="B892" s="11" t="str">
        <f ca="1">IFERROR(__xludf.DUMMYFUNCTION("""COMPUTED_VALUE"""),"Silas Tanner")</f>
        <v>Silas Tanner</v>
      </c>
      <c r="C892" t="str">
        <f ca="1">IFERROR(__xludf.DUMMYFUNCTION("""COMPUTED_VALUE"""),"silas.tanner@dep.state.fl.us")</f>
        <v>silas.tanner@dep.state.fl.us</v>
      </c>
      <c r="D892" t="str">
        <f ca="1">IFERROR(__xludf.DUMMYFUNCTION("""COMPUTED_VALUE"""),"Nikki Dix")</f>
        <v>Nikki Dix</v>
      </c>
      <c r="E892" t="str">
        <f ca="1">IFERROR(__xludf.DUMMYFUNCTION("""COMPUTED_VALUE"""),"Vilano Landing")</f>
        <v>Vilano Landing</v>
      </c>
      <c r="F892" s="13">
        <f ca="1">IFERROR(__xludf.DUMMYFUNCTION("""COMPUTED_VALUE"""),0.354166666667879)</f>
        <v>0.35416666666787899</v>
      </c>
      <c r="G892" s="14">
        <f ca="1">IFERROR(__xludf.DUMMYFUNCTION("""COMPUTED_VALUE"""),44734)</f>
        <v>44734</v>
      </c>
      <c r="H892" t="str">
        <f ca="1">IFERROR(__xludf.DUMMYFUNCTION("""COMPUTED_VALUE"""),"ICW SWMP Sites SS and PI")</f>
        <v>ICW SWMP Sites SS and PI</v>
      </c>
      <c r="I892" s="15">
        <f ca="1">IFERROR(__xludf.DUMMYFUNCTION("""COMPUTED_VALUE"""),0.42708333333212)</f>
        <v>0.42708333333212001</v>
      </c>
      <c r="J892" s="16">
        <f ca="1">IFERROR(__xludf.DUMMYFUNCTION("""COMPUTED_VALUE"""),44734.4375)</f>
        <v>44734.4375</v>
      </c>
      <c r="K892" t="str">
        <f ca="1">IFERROR(__xludf.DUMMYFUNCTION("""COMPUTED_VALUE"""),"20ft Sea Ark FL5351SJ UNF 2015")</f>
        <v>20ft Sea Ark FL5351SJ UNF 2015</v>
      </c>
      <c r="M892" t="str">
        <f ca="1">IFERROR(__xludf.DUMMYFUNCTION("""COMPUTED_VALUE"""),"Ford F250 2017 (Moby Dix) - DEP0021578")</f>
        <v>Ford F250 2017 (Moby Dix) - DEP0021578</v>
      </c>
      <c r="N892" t="str">
        <f ca="1">IFERROR(__xludf.DUMMYFUNCTION("""COMPUTED_VALUE"""),"Silas Tanner, (904) 483-8423")</f>
        <v>Silas Tanner, (904) 483-8423</v>
      </c>
      <c r="O892" t="str">
        <f ca="1">IFERROR(__xludf.DUMMYFUNCTION("""COMPUTED_VALUE"""),"Emalee Swisshelm")</f>
        <v>Emalee Swisshelm</v>
      </c>
      <c r="P892" t="str">
        <f ca="1">IFERROR(__xludf.DUMMYFUNCTION("""COMPUTED_VALUE"""),"Silas Tanner")</f>
        <v>Silas Tanner</v>
      </c>
      <c r="Q892" t="str">
        <f ca="1">IFERROR(__xludf.DUMMYFUNCTION("""COMPUTED_VALUE"""),"All items in working order")</f>
        <v>All items in working order</v>
      </c>
      <c r="AE892" s="11"/>
      <c r="AF892" t="str">
        <v>Nikki.Dix@floridadep.gov</v>
      </c>
      <c r="AG892" s="18"/>
    </row>
    <row r="893" spans="1:33" ht="12.75">
      <c r="A893" s="10">
        <f ca="1">IFERROR(__xludf.DUMMYFUNCTION("""COMPUTED_VALUE"""),44734.3399827314)</f>
        <v>44734.339982731399</v>
      </c>
      <c r="B893" s="11" t="str">
        <f ca="1">IFERROR(__xludf.DUMMYFUNCTION("""COMPUTED_VALUE"""),"Pamela Marcum ")</f>
        <v xml:space="preserve">Pamela Marcum </v>
      </c>
      <c r="C893" t="str">
        <f ca="1">IFERROR(__xludf.DUMMYFUNCTION("""COMPUTED_VALUE"""),"Pamela.Marcum@FloridaDEP.gov")</f>
        <v>Pamela.Marcum@FloridaDEP.gov</v>
      </c>
      <c r="D893" t="str">
        <f ca="1">IFERROR(__xludf.DUMMYFUNCTION("""COMPUTED_VALUE"""),"Nikki Dix")</f>
        <v>Nikki Dix</v>
      </c>
      <c r="E893" t="str">
        <f ca="1">IFERROR(__xludf.DUMMYFUNCTION("""COMPUTED_VALUE"""),"Aunt Kates ")</f>
        <v xml:space="preserve">Aunt Kates </v>
      </c>
      <c r="F893" s="13">
        <f ca="1">IFERROR(__xludf.DUMMYFUNCTION("""COMPUTED_VALUE"""),0.322916666667879)</f>
        <v>0.32291666666787899</v>
      </c>
      <c r="G893" s="14">
        <f ca="1">IFERROR(__xludf.DUMMYFUNCTION("""COMPUTED_VALUE"""),44734)</f>
        <v>44734</v>
      </c>
      <c r="H893" t="str">
        <f ca="1">IFERROR(__xludf.DUMMYFUNCTION("""COMPUTED_VALUE"""),"Guana River")</f>
        <v>Guana River</v>
      </c>
      <c r="I893" s="15">
        <f ca="1">IFERROR(__xludf.DUMMYFUNCTION("""COMPUTED_VALUE"""),0.5)</f>
        <v>0.5</v>
      </c>
      <c r="J893" s="16">
        <f ca="1">IFERROR(__xludf.DUMMYFUNCTION("""COMPUTED_VALUE"""),44734.5208333333)</f>
        <v>44734.520833333299</v>
      </c>
      <c r="K893" t="str">
        <f ca="1">IFERROR(__xludf.DUMMYFUNCTION("""COMPUTED_VALUE"""),"23ft Skiff (Bertha) FL7972LJ DEP07613")</f>
        <v>23ft Skiff (Bertha) FL7972LJ DEP07613</v>
      </c>
      <c r="M893" t="str">
        <f ca="1">IFERROR(__xludf.DUMMYFUNCTION("""COMPUTED_VALUE"""),"Ford F150 2015 (White) - DEP21448")</f>
        <v>Ford F150 2015 (White) - DEP21448</v>
      </c>
      <c r="N893" t="str">
        <f ca="1">IFERROR(__xludf.DUMMYFUNCTION("""COMPUTED_VALUE"""),"Pam Marcum, (480) 332-5414")</f>
        <v>Pam Marcum, (480) 332-5414</v>
      </c>
      <c r="O893" t="str">
        <f ca="1">IFERROR(__xludf.DUMMYFUNCTION("""COMPUTED_VALUE"""),"Jacob Berna, Greg Dietl, Jaleigh Pier, Talyne Pier ")</f>
        <v xml:space="preserve">Jacob Berna, Greg Dietl, Jaleigh Pier, Talyne Pier </v>
      </c>
      <c r="P893" t="str">
        <f ca="1">IFERROR(__xludf.DUMMYFUNCTION("""COMPUTED_VALUE"""),"Pam")</f>
        <v>Pam</v>
      </c>
      <c r="Q893" t="str">
        <f ca="1">IFERROR(__xludf.DUMMYFUNCTION("""COMPUTED_VALUE"""),"All items in working order")</f>
        <v>All items in working order</v>
      </c>
      <c r="AE893" s="11"/>
      <c r="AF893" t="str">
        <v>Nikki.Dix@floridadep.gov</v>
      </c>
      <c r="AG893" s="18"/>
    </row>
    <row r="894" spans="1:33" ht="12.75">
      <c r="A894" s="10">
        <f ca="1">IFERROR(__xludf.DUMMYFUNCTION("""COMPUTED_VALUE"""),44734.5387263425)</f>
        <v>44734.5387263425</v>
      </c>
      <c r="B894" s="11" t="str">
        <f ca="1">IFERROR(__xludf.DUMMYFUNCTION("""COMPUTED_VALUE"""),"Silas Tanner")</f>
        <v>Silas Tanner</v>
      </c>
      <c r="C894" t="str">
        <f ca="1">IFERROR(__xludf.DUMMYFUNCTION("""COMPUTED_VALUE"""),"silas.tanner@floridadep.gov")</f>
        <v>silas.tanner@floridadep.gov</v>
      </c>
      <c r="D894" t="str">
        <f ca="1">IFERROR(__xludf.DUMMYFUNCTION("""COMPUTED_VALUE"""),"Nikki Dix")</f>
        <v>Nikki Dix</v>
      </c>
      <c r="E894" t="str">
        <f ca="1">IFERROR(__xludf.DUMMYFUNCTION("""COMPUTED_VALUE"""),"Vilano Landing")</f>
        <v>Vilano Landing</v>
      </c>
      <c r="F894" s="13">
        <f ca="1">IFERROR(__xludf.DUMMYFUNCTION("""COMPUTED_VALUE"""),0.0347222222226264)</f>
        <v>3.47222222226264E-2</v>
      </c>
      <c r="G894" s="14">
        <f ca="1">IFERROR(__xludf.DUMMYFUNCTION("""COMPUTED_VALUE"""),44734)</f>
        <v>44734</v>
      </c>
      <c r="H894" t="str">
        <f ca="1">IFERROR(__xludf.DUMMYFUNCTION("""COMPUTED_VALUE"""),"ICW SWMP SS, PI")</f>
        <v>ICW SWMP SS, PI</v>
      </c>
      <c r="I894" s="15">
        <f ca="1">IFERROR(__xludf.DUMMYFUNCTION("""COMPUTED_VALUE"""),0.625)</f>
        <v>0.625</v>
      </c>
      <c r="J894" s="16">
        <f ca="1">IFERROR(__xludf.DUMMYFUNCTION("""COMPUTED_VALUE"""),44734.6458333333)</f>
        <v>44734.645833333299</v>
      </c>
      <c r="K894" t="str">
        <f ca="1">IFERROR(__xludf.DUMMYFUNCTION("""COMPUTED_VALUE"""),"20ft Sea Ark FL5351SJ UNF 2015")</f>
        <v>20ft Sea Ark FL5351SJ UNF 2015</v>
      </c>
      <c r="M894" t="str">
        <f ca="1">IFERROR(__xludf.DUMMYFUNCTION("""COMPUTED_VALUE"""),"Ford F250 2017 (Moby Dix) - DEP0021578")</f>
        <v>Ford F250 2017 (Moby Dix) - DEP0021578</v>
      </c>
      <c r="N894" t="str">
        <f ca="1">IFERROR(__xludf.DUMMYFUNCTION("""COMPUTED_VALUE"""),"Silas Tanner, (904) 483-8423")</f>
        <v>Silas Tanner, (904) 483-8423</v>
      </c>
      <c r="O894" t="str">
        <f ca="1">IFERROR(__xludf.DUMMYFUNCTION("""COMPUTED_VALUE"""),"Emalee Swisshelm")</f>
        <v>Emalee Swisshelm</v>
      </c>
      <c r="P894" t="str">
        <f ca="1">IFERROR(__xludf.DUMMYFUNCTION("""COMPUTED_VALUE"""),"Silas Tanner")</f>
        <v>Silas Tanner</v>
      </c>
      <c r="Q894" t="str">
        <f ca="1">IFERROR(__xludf.DUMMYFUNCTION("""COMPUTED_VALUE"""),"All items in working order")</f>
        <v>All items in working order</v>
      </c>
      <c r="AE894" s="11"/>
      <c r="AF894" t="str">
        <v>Nikki.Dix@floridadep.gov</v>
      </c>
      <c r="AG894" s="18"/>
    </row>
    <row r="895" spans="1:33" ht="12.75">
      <c r="A895" s="10">
        <f ca="1">IFERROR(__xludf.DUMMYFUNCTION("""COMPUTED_VALUE"""),44735.3565485069)</f>
        <v>44735.356548506898</v>
      </c>
      <c r="B895" s="11" t="str">
        <f ca="1">IFERROR(__xludf.DUMMYFUNCTION("""COMPUTED_VALUE"""),"Pamela Marcum")</f>
        <v>Pamela Marcum</v>
      </c>
      <c r="C895" t="str">
        <f ca="1">IFERROR(__xludf.DUMMYFUNCTION("""COMPUTED_VALUE"""),"Pamela.Marcum@FloridaDEP.gov")</f>
        <v>Pamela.Marcum@FloridaDEP.gov</v>
      </c>
      <c r="D895" t="str">
        <f ca="1">IFERROR(__xludf.DUMMYFUNCTION("""COMPUTED_VALUE"""),"Nikki Dix")</f>
        <v>Nikki Dix</v>
      </c>
      <c r="E895" t="str">
        <f ca="1">IFERROR(__xludf.DUMMYFUNCTION("""COMPUTED_VALUE"""),"Aunt Kate's")</f>
        <v>Aunt Kate's</v>
      </c>
      <c r="F895" s="13">
        <f ca="1">IFERROR(__xludf.DUMMYFUNCTION("""COMPUTED_VALUE"""),0.385416666667879)</f>
        <v>0.38541666666787899</v>
      </c>
      <c r="G895" s="14">
        <f ca="1">IFERROR(__xludf.DUMMYFUNCTION("""COMPUTED_VALUE"""),44735)</f>
        <v>44735</v>
      </c>
      <c r="H895" t="str">
        <f ca="1">IFERROR(__xludf.DUMMYFUNCTION("""COMPUTED_VALUE"""),"Guana River")</f>
        <v>Guana River</v>
      </c>
      <c r="I895" s="15">
        <f ca="1">IFERROR(__xludf.DUMMYFUNCTION("""COMPUTED_VALUE"""),0.541666666667879)</f>
        <v>0.54166666666787899</v>
      </c>
      <c r="J895" s="16">
        <f ca="1">IFERROR(__xludf.DUMMYFUNCTION("""COMPUTED_VALUE"""),44735.5625)</f>
        <v>44735.5625</v>
      </c>
      <c r="K895" t="str">
        <f ca="1">IFERROR(__xludf.DUMMYFUNCTION("""COMPUTED_VALUE"""),"23ft Skiff (Bertha) FL7972LJ DEP07613")</f>
        <v>23ft Skiff (Bertha) FL7972LJ DEP07613</v>
      </c>
      <c r="M895" t="str">
        <f ca="1">IFERROR(__xludf.DUMMYFUNCTION("""COMPUTED_VALUE"""),"Ford F150 2015 (White) - DEP21448")</f>
        <v>Ford F150 2015 (White) - DEP21448</v>
      </c>
      <c r="N895" t="str">
        <f ca="1">IFERROR(__xludf.DUMMYFUNCTION("""COMPUTED_VALUE"""),"Pam Marcum, (480) 332-5414")</f>
        <v>Pam Marcum, (480) 332-5414</v>
      </c>
      <c r="O895" t="str">
        <f ca="1">IFERROR(__xludf.DUMMYFUNCTION("""COMPUTED_VALUE"""),"Jabob Berna, Greg Dietl, Jayleigh Pier, Talyne Pier")</f>
        <v>Jabob Berna, Greg Dietl, Jayleigh Pier, Talyne Pier</v>
      </c>
      <c r="P895" t="str">
        <f ca="1">IFERROR(__xludf.DUMMYFUNCTION("""COMPUTED_VALUE"""),"Pam")</f>
        <v>Pam</v>
      </c>
      <c r="Q895" t="str">
        <f ca="1">IFERROR(__xludf.DUMMYFUNCTION("""COMPUTED_VALUE"""),"All items in working order")</f>
        <v>All items in working order</v>
      </c>
      <c r="AE895" s="11"/>
      <c r="AF895" t="str">
        <v>Nikki.Dix@floridadep.gov</v>
      </c>
      <c r="AG895" s="18"/>
    </row>
    <row r="896" spans="1:33" ht="12.75">
      <c r="A896" s="10">
        <f ca="1">IFERROR(__xludf.DUMMYFUNCTION("""COMPUTED_VALUE"""),44735.3582921643)</f>
        <v>44735.358292164303</v>
      </c>
      <c r="B896" s="11" t="str">
        <f ca="1">IFERROR(__xludf.DUMMYFUNCTION("""COMPUTED_VALUE"""),"SIlas Tanner")</f>
        <v>SIlas Tanner</v>
      </c>
      <c r="C896" t="str">
        <f ca="1">IFERROR(__xludf.DUMMYFUNCTION("""COMPUTED_VALUE"""),"silas.tanner@floridadep.gov")</f>
        <v>silas.tanner@floridadep.gov</v>
      </c>
      <c r="D896" t="str">
        <f ca="1">IFERROR(__xludf.DUMMYFUNCTION("""COMPUTED_VALUE"""),"Nikki Dix")</f>
        <v>Nikki Dix</v>
      </c>
      <c r="E896" t="str">
        <f ca="1">IFERROR(__xludf.DUMMYFUNCTION("""COMPUTED_VALUE"""),"Vilano Landing")</f>
        <v>Vilano Landing</v>
      </c>
      <c r="F896" s="13">
        <f ca="1">IFERROR(__xludf.DUMMYFUNCTION("""COMPUTED_VALUE"""),0.375)</f>
        <v>0.375</v>
      </c>
      <c r="G896" s="14">
        <f ca="1">IFERROR(__xludf.DUMMYFUNCTION("""COMPUTED_VALUE"""),44735)</f>
        <v>44735</v>
      </c>
      <c r="H896" t="str">
        <f ca="1">IFERROR(__xludf.DUMMYFUNCTION("""COMPUTED_VALUE"""),"ICW SWMP SS, PI")</f>
        <v>ICW SWMP SS, PI</v>
      </c>
      <c r="I896" s="15">
        <f ca="1">IFERROR(__xludf.DUMMYFUNCTION("""COMPUTED_VALUE"""),0.5)</f>
        <v>0.5</v>
      </c>
      <c r="J896" s="16">
        <f ca="1">IFERROR(__xludf.DUMMYFUNCTION("""COMPUTED_VALUE"""),44735.5208333333)</f>
        <v>44735.520833333299</v>
      </c>
      <c r="K896" t="str">
        <f ca="1">IFERROR(__xludf.DUMMYFUNCTION("""COMPUTED_VALUE"""),"20ft Sea Ark FL5351SJ UNF 2015")</f>
        <v>20ft Sea Ark FL5351SJ UNF 2015</v>
      </c>
      <c r="M896" t="str">
        <f ca="1">IFERROR(__xludf.DUMMYFUNCTION("""COMPUTED_VALUE"""),"Ford F250 2017 (Moby Dix) - DEP0021578")</f>
        <v>Ford F250 2017 (Moby Dix) - DEP0021578</v>
      </c>
      <c r="N896" t="str">
        <f ca="1">IFERROR(__xludf.DUMMYFUNCTION("""COMPUTED_VALUE"""),"Silas Tanner, (904) 483-8423")</f>
        <v>Silas Tanner, (904) 483-8423</v>
      </c>
      <c r="O896" t="str">
        <f ca="1">IFERROR(__xludf.DUMMYFUNCTION("""COMPUTED_VALUE"""),"Emalee Swisshelm")</f>
        <v>Emalee Swisshelm</v>
      </c>
      <c r="P896" t="str">
        <f ca="1">IFERROR(__xludf.DUMMYFUNCTION("""COMPUTED_VALUE"""),"Silas Tanner")</f>
        <v>Silas Tanner</v>
      </c>
      <c r="Q896" t="str">
        <f ca="1">IFERROR(__xludf.DUMMYFUNCTION("""COMPUTED_VALUE"""),"All items in working order")</f>
        <v>All items in working order</v>
      </c>
      <c r="AE896" s="11"/>
      <c r="AF896" t="str">
        <v>Nikki.Dix@floridadep.gov</v>
      </c>
      <c r="AG896" s="18"/>
    </row>
    <row r="897" spans="1:33" ht="12.75">
      <c r="A897" s="10">
        <f ca="1">IFERROR(__xludf.DUMMYFUNCTION("""COMPUTED_VALUE"""),44735.5303953009)</f>
        <v>44735.530395300899</v>
      </c>
      <c r="B897" s="11" t="str">
        <f ca="1">IFERROR(__xludf.DUMMYFUNCTION("""COMPUTED_VALUE"""),"Silas Tanner")</f>
        <v>Silas Tanner</v>
      </c>
      <c r="C897" t="str">
        <f ca="1">IFERROR(__xludf.DUMMYFUNCTION("""COMPUTED_VALUE"""),"silas.tanner@dep.state.fl.us")</f>
        <v>silas.tanner@dep.state.fl.us</v>
      </c>
      <c r="D897" t="str">
        <f ca="1">IFERROR(__xludf.DUMMYFUNCTION("""COMPUTED_VALUE"""),"Nikki Dix")</f>
        <v>Nikki Dix</v>
      </c>
      <c r="E897" t="str">
        <f ca="1">IFERROR(__xludf.DUMMYFUNCTION("""COMPUTED_VALUE"""),"Vilano Landing")</f>
        <v>Vilano Landing</v>
      </c>
      <c r="F897" s="13">
        <f ca="1">IFERROR(__xludf.DUMMYFUNCTION("""COMPUTED_VALUE"""),0.555555555554747)</f>
        <v>0.555555555554747</v>
      </c>
      <c r="G897" s="14">
        <f ca="1">IFERROR(__xludf.DUMMYFUNCTION("""COMPUTED_VALUE"""),44735)</f>
        <v>44735</v>
      </c>
      <c r="H897" t="str">
        <f ca="1">IFERROR(__xludf.DUMMYFUNCTION("""COMPUTED_VALUE"""),"ICW SWMP Sites PI and SS")</f>
        <v>ICW SWMP Sites PI and SS</v>
      </c>
      <c r="I897" s="15">
        <f ca="1">IFERROR(__xludf.DUMMYFUNCTION("""COMPUTED_VALUE"""),0.635416666667879)</f>
        <v>0.63541666666787899</v>
      </c>
      <c r="J897" s="16">
        <f ca="1">IFERROR(__xludf.DUMMYFUNCTION("""COMPUTED_VALUE"""),44735.6458333333)</f>
        <v>44735.645833333299</v>
      </c>
      <c r="K897" t="str">
        <f ca="1">IFERROR(__xludf.DUMMYFUNCTION("""COMPUTED_VALUE"""),"20ft Sea Ark FL5351SJ UNF 2015")</f>
        <v>20ft Sea Ark FL5351SJ UNF 2015</v>
      </c>
      <c r="M897" t="str">
        <f ca="1">IFERROR(__xludf.DUMMYFUNCTION("""COMPUTED_VALUE"""),"Ford F250 2017 (Moby Dix) - DEP0021578")</f>
        <v>Ford F250 2017 (Moby Dix) - DEP0021578</v>
      </c>
      <c r="N897" t="str">
        <f ca="1">IFERROR(__xludf.DUMMYFUNCTION("""COMPUTED_VALUE"""),"Silas Tanner, (904) 483-8423")</f>
        <v>Silas Tanner, (904) 483-8423</v>
      </c>
      <c r="O897" t="str">
        <f ca="1">IFERROR(__xludf.DUMMYFUNCTION("""COMPUTED_VALUE"""),"Emalee Swisshelm")</f>
        <v>Emalee Swisshelm</v>
      </c>
      <c r="P897" t="str">
        <f ca="1">IFERROR(__xludf.DUMMYFUNCTION("""COMPUTED_VALUE"""),"Silas Tanner")</f>
        <v>Silas Tanner</v>
      </c>
      <c r="Q897" t="str">
        <f ca="1">IFERROR(__xludf.DUMMYFUNCTION("""COMPUTED_VALUE"""),"All items in working order")</f>
        <v>All items in working order</v>
      </c>
      <c r="AE897" s="11"/>
      <c r="AF897" t="str">
        <v>Nikki.Dix@floridadep.gov</v>
      </c>
      <c r="AG897" s="18"/>
    </row>
    <row r="898" spans="1:33" ht="12.75">
      <c r="A898" s="10">
        <f ca="1">IFERROR(__xludf.DUMMYFUNCTION("""COMPUTED_VALUE"""),44736.372575324)</f>
        <v>44736.372575324</v>
      </c>
      <c r="B898" s="11" t="str">
        <f ca="1">IFERROR(__xludf.DUMMYFUNCTION("""COMPUTED_VALUE"""),"Silas Tanner")</f>
        <v>Silas Tanner</v>
      </c>
      <c r="C898" t="str">
        <f ca="1">IFERROR(__xludf.DUMMYFUNCTION("""COMPUTED_VALUE"""),"silas.tanner@floridadep.gov")</f>
        <v>silas.tanner@floridadep.gov</v>
      </c>
      <c r="D898" t="str">
        <f ca="1">IFERROR(__xludf.DUMMYFUNCTION("""COMPUTED_VALUE"""),"Nikki Dix")</f>
        <v>Nikki Dix</v>
      </c>
      <c r="E898" t="str">
        <f ca="1">IFERROR(__xludf.DUMMYFUNCTION("""COMPUTED_VALUE"""),"Vilano Landing")</f>
        <v>Vilano Landing</v>
      </c>
      <c r="F898" s="13">
        <f ca="1">IFERROR(__xludf.DUMMYFUNCTION("""COMPUTED_VALUE"""),0.39583333333212)</f>
        <v>0.39583333333212001</v>
      </c>
      <c r="G898" s="14">
        <f ca="1">IFERROR(__xludf.DUMMYFUNCTION("""COMPUTED_VALUE"""),44736)</f>
        <v>44736</v>
      </c>
      <c r="H898" t="str">
        <f ca="1">IFERROR(__xludf.DUMMYFUNCTION("""COMPUTED_VALUE"""),"ICW SWMP SS, PI")</f>
        <v>ICW SWMP SS, PI</v>
      </c>
      <c r="I898" s="15">
        <f ca="1">IFERROR(__xludf.DUMMYFUNCTION("""COMPUTED_VALUE"""),0.5)</f>
        <v>0.5</v>
      </c>
      <c r="J898" s="16">
        <f ca="1">IFERROR(__xludf.DUMMYFUNCTION("""COMPUTED_VALUE"""),44736.5208333333)</f>
        <v>44736.520833333299</v>
      </c>
      <c r="K898" t="str">
        <f ca="1">IFERROR(__xludf.DUMMYFUNCTION("""COMPUTED_VALUE"""),"20ft Sea Ark FL5351SJ UNF 2015")</f>
        <v>20ft Sea Ark FL5351SJ UNF 2015</v>
      </c>
      <c r="M898" t="str">
        <f ca="1">IFERROR(__xludf.DUMMYFUNCTION("""COMPUTED_VALUE"""),"Ford F250 2017 (Moby Dix) - DEP0021578")</f>
        <v>Ford F250 2017 (Moby Dix) - DEP0021578</v>
      </c>
      <c r="N898" t="str">
        <f ca="1">IFERROR(__xludf.DUMMYFUNCTION("""COMPUTED_VALUE"""),"Silas Tanner, (904) 483-8423")</f>
        <v>Silas Tanner, (904) 483-8423</v>
      </c>
      <c r="O898" t="str">
        <f ca="1">IFERROR(__xludf.DUMMYFUNCTION("""COMPUTED_VALUE"""),"Emalee Swisshelm")</f>
        <v>Emalee Swisshelm</v>
      </c>
      <c r="P898" t="str">
        <f ca="1">IFERROR(__xludf.DUMMYFUNCTION("""COMPUTED_VALUE"""),"Silas Tanner")</f>
        <v>Silas Tanner</v>
      </c>
      <c r="Q898" t="str">
        <f ca="1">IFERROR(__xludf.DUMMYFUNCTION("""COMPUTED_VALUE"""),"All items in working order")</f>
        <v>All items in working order</v>
      </c>
      <c r="AE898" s="11"/>
      <c r="AF898" t="str">
        <v>Nikki.Dix@floridadep.gov</v>
      </c>
      <c r="AG898" s="18"/>
    </row>
    <row r="899" spans="1:33" ht="12.75">
      <c r="A899" s="10">
        <f ca="1">IFERROR(__xludf.DUMMYFUNCTION("""COMPUTED_VALUE"""),44740.3994606828)</f>
        <v>44740.399460682798</v>
      </c>
      <c r="B899" s="11" t="str">
        <f ca="1">IFERROR(__xludf.DUMMYFUNCTION("""COMPUTED_VALUE"""),"Silas Tanner")</f>
        <v>Silas Tanner</v>
      </c>
      <c r="C899" t="str">
        <f ca="1">IFERROR(__xludf.DUMMYFUNCTION("""COMPUTED_VALUE"""),"silas.tanner@floridadep.gov")</f>
        <v>silas.tanner@floridadep.gov</v>
      </c>
      <c r="D899" t="str">
        <f ca="1">IFERROR(__xludf.DUMMYFUNCTION("""COMPUTED_VALUE"""),"Shannon Dunnigan")</f>
        <v>Shannon Dunnigan</v>
      </c>
      <c r="E899" t="str">
        <f ca="1">IFERROR(__xludf.DUMMYFUNCTION("""COMPUTED_VALUE"""),"Vilano Landing")</f>
        <v>Vilano Landing</v>
      </c>
      <c r="F899" s="13">
        <f ca="1">IFERROR(__xludf.DUMMYFUNCTION("""COMPUTED_VALUE"""),0.4375)</f>
        <v>0.4375</v>
      </c>
      <c r="G899" s="14">
        <f ca="1">IFERROR(__xludf.DUMMYFUNCTION("""COMPUTED_VALUE"""),44740)</f>
        <v>44740</v>
      </c>
      <c r="H899" t="str">
        <f ca="1">IFERROR(__xludf.DUMMYFUNCTION("""COMPUTED_VALUE"""),"SWMP ICW sites ")</f>
        <v xml:space="preserve">SWMP ICW sites </v>
      </c>
      <c r="I899" s="15">
        <f ca="1">IFERROR(__xludf.DUMMYFUNCTION("""COMPUTED_VALUE"""),0.625)</f>
        <v>0.625</v>
      </c>
      <c r="J899" s="16">
        <f ca="1">IFERROR(__xludf.DUMMYFUNCTION("""COMPUTED_VALUE"""),44740.6458333333)</f>
        <v>44740.645833333299</v>
      </c>
      <c r="K899" t="str">
        <f ca="1">IFERROR(__xludf.DUMMYFUNCTION("""COMPUTED_VALUE"""),"20ft Sea Ark FL5351SJ UNF 2015")</f>
        <v>20ft Sea Ark FL5351SJ UNF 2015</v>
      </c>
      <c r="M899" t="str">
        <f ca="1">IFERROR(__xludf.DUMMYFUNCTION("""COMPUTED_VALUE"""),"Ford F250 2017 (Moby Dix) - DEP0021578")</f>
        <v>Ford F250 2017 (Moby Dix) - DEP0021578</v>
      </c>
      <c r="N899" t="str">
        <f ca="1">IFERROR(__xludf.DUMMYFUNCTION("""COMPUTED_VALUE"""),"Nikki Dix, (352) 219-4079, Remo Mondazzi")</f>
        <v>Nikki Dix, (352) 219-4079, Remo Mondazzi</v>
      </c>
      <c r="P899" t="str">
        <f ca="1">IFERROR(__xludf.DUMMYFUNCTION("""COMPUTED_VALUE"""),"Silas Tanner")</f>
        <v>Silas Tanner</v>
      </c>
      <c r="Q899" t="str">
        <f ca="1">IFERROR(__xludf.DUMMYFUNCTION("""COMPUTED_VALUE"""),"All items in working order")</f>
        <v>All items in working order</v>
      </c>
      <c r="AE899" s="11"/>
      <c r="AF899" t="str">
        <v>Shannon.Dunnigan@floridadep.gov</v>
      </c>
      <c r="AG899" s="18"/>
    </row>
    <row r="900" spans="1:33" ht="12.75">
      <c r="A900" s="10">
        <f ca="1">IFERROR(__xludf.DUMMYFUNCTION("""COMPUTED_VALUE"""),44740.5232368749)</f>
        <v>44740.523236874898</v>
      </c>
      <c r="B900" s="11" t="str">
        <f ca="1">IFERROR(__xludf.DUMMYFUNCTION("""COMPUTED_VALUE"""),"Pamela Marcum ")</f>
        <v xml:space="preserve">Pamela Marcum </v>
      </c>
      <c r="D900" t="str">
        <f ca="1">IFERROR(__xludf.DUMMYFUNCTION("""COMPUTED_VALUE"""),"Nikki Dix")</f>
        <v>Nikki Dix</v>
      </c>
      <c r="E900" t="str">
        <f ca="1">IFERROR(__xludf.DUMMYFUNCTION("""COMPUTED_VALUE"""),"Vilano")</f>
        <v>Vilano</v>
      </c>
      <c r="F900" s="13">
        <f ca="1">IFERROR(__xludf.DUMMYFUNCTION("""COMPUTED_VALUE"""),0.5)</f>
        <v>0.5</v>
      </c>
      <c r="G900" s="14">
        <f ca="1">IFERROR(__xludf.DUMMYFUNCTION("""COMPUTED_VALUE"""),44740)</f>
        <v>44740</v>
      </c>
      <c r="H900" t="str">
        <f ca="1">IFERROR(__xludf.DUMMYFUNCTION("""COMPUTED_VALUE"""),"Vilano")</f>
        <v>Vilano</v>
      </c>
      <c r="I900" s="15">
        <f ca="1">IFERROR(__xludf.DUMMYFUNCTION("""COMPUTED_VALUE"""),0.5625)</f>
        <v>0.5625</v>
      </c>
      <c r="J900" s="16">
        <f ca="1">IFERROR(__xludf.DUMMYFUNCTION("""COMPUTED_VALUE"""),44740.5833333333)</f>
        <v>44740.583333333299</v>
      </c>
      <c r="K900" t="str">
        <f ca="1">IFERROR(__xludf.DUMMYFUNCTION("""COMPUTED_VALUE"""),"23ft Skiff (Bertha) FL7972LJ DEP07613")</f>
        <v>23ft Skiff (Bertha) FL7972LJ DEP07613</v>
      </c>
      <c r="M900" t="str">
        <f ca="1">IFERROR(__xludf.DUMMYFUNCTION("""COMPUTED_VALUE"""),"Ford F150 2010 (4 Door) - DEP07668")</f>
        <v>Ford F150 2010 (4 Door) - DEP07668</v>
      </c>
      <c r="N900" t="str">
        <f ca="1">IFERROR(__xludf.DUMMYFUNCTION("""COMPUTED_VALUE"""),"Pam Marcum, (480) 332-5414")</f>
        <v>Pam Marcum, (480) 332-5414</v>
      </c>
      <c r="O900" t="str">
        <f ca="1">IFERROR(__xludf.DUMMYFUNCTION("""COMPUTED_VALUE"""),"Zac Lepera, Rauney Mitchell, Courtney Schultz")</f>
        <v>Zac Lepera, Rauney Mitchell, Courtney Schultz</v>
      </c>
      <c r="P900" t="str">
        <f ca="1">IFERROR(__xludf.DUMMYFUNCTION("""COMPUTED_VALUE"""),"Pam")</f>
        <v>Pam</v>
      </c>
      <c r="Q900" t="str">
        <f ca="1">IFERROR(__xludf.DUMMYFUNCTION("""COMPUTED_VALUE"""),"All items in working order")</f>
        <v>All items in working order</v>
      </c>
      <c r="AE900" s="11"/>
      <c r="AF900" t="str">
        <v>Nikki.Dix@floridadep.gov</v>
      </c>
      <c r="AG900" s="18"/>
    </row>
    <row r="901" spans="1:33" ht="12.75">
      <c r="A901" s="10">
        <f ca="1">IFERROR(__xludf.DUMMYFUNCTION("""COMPUTED_VALUE"""),44742.3486576157)</f>
        <v>44742.348657615701</v>
      </c>
      <c r="B901" s="11" t="str">
        <f ca="1">IFERROR(__xludf.DUMMYFUNCTION("""COMPUTED_VALUE"""),"Pamela Marcum ")</f>
        <v xml:space="preserve">Pamela Marcum </v>
      </c>
      <c r="C901" t="str">
        <f ca="1">IFERROR(__xludf.DUMMYFUNCTION("""COMPUTED_VALUE"""),"Pamela.Marcum@FloridaDEP.gov")</f>
        <v>Pamela.Marcum@FloridaDEP.gov</v>
      </c>
      <c r="D901" t="str">
        <f ca="1">IFERROR(__xludf.DUMMYFUNCTION("""COMPUTED_VALUE"""),"Nikki Dix")</f>
        <v>Nikki Dix</v>
      </c>
      <c r="E901" t="str">
        <f ca="1">IFERROR(__xludf.DUMMYFUNCTION("""COMPUTED_VALUE"""),"Faver-Dykes ")</f>
        <v xml:space="preserve">Faver-Dykes </v>
      </c>
      <c r="F901" s="13">
        <f ca="1">IFERROR(__xludf.DUMMYFUNCTION("""COMPUTED_VALUE"""),0.34375)</f>
        <v>0.34375</v>
      </c>
      <c r="G901" s="14">
        <f ca="1">IFERROR(__xludf.DUMMYFUNCTION("""COMPUTED_VALUE"""),44742)</f>
        <v>44742</v>
      </c>
      <c r="H901" t="str">
        <f ca="1">IFERROR(__xludf.DUMMYFUNCTION("""COMPUTED_VALUE"""),"Pellicer creek ")</f>
        <v xml:space="preserve">Pellicer creek </v>
      </c>
      <c r="I901" s="15">
        <f ca="1">IFERROR(__xludf.DUMMYFUNCTION("""COMPUTED_VALUE"""),0.666666666667879)</f>
        <v>0.66666666666787899</v>
      </c>
      <c r="J901" s="16">
        <f ca="1">IFERROR(__xludf.DUMMYFUNCTION("""COMPUTED_VALUE"""),44742.7083333333)</f>
        <v>44742.708333333299</v>
      </c>
      <c r="K901" t="str">
        <f ca="1">IFERROR(__xludf.DUMMYFUNCTION("""COMPUTED_VALUE"""),"17ft Skiff (Marsha) FL0642GW DEP07239")</f>
        <v>17ft Skiff (Marsha) FL0642GW DEP07239</v>
      </c>
      <c r="M901" t="str">
        <f ca="1">IFERROR(__xludf.DUMMYFUNCTION("""COMPUTED_VALUE"""),"Ford F150 2018 (ML AP) - DEP21637")</f>
        <v>Ford F150 2018 (ML AP) - DEP21637</v>
      </c>
      <c r="N901" t="str">
        <f ca="1">IFERROR(__xludf.DUMMYFUNCTION("""COMPUTED_VALUE"""),"Pam Marcum, (480) 332-5414")</f>
        <v>Pam Marcum, (480) 332-5414</v>
      </c>
      <c r="O901" t="str">
        <f ca="1">IFERROR(__xludf.DUMMYFUNCTION("""COMPUTED_VALUE"""),"Jacob Berna")</f>
        <v>Jacob Berna</v>
      </c>
      <c r="P901" t="str">
        <f ca="1">IFERROR(__xludf.DUMMYFUNCTION("""COMPUTED_VALUE"""),"Pam")</f>
        <v>Pam</v>
      </c>
      <c r="Q901" t="str">
        <f ca="1">IFERROR(__xludf.DUMMYFUNCTION("""COMPUTED_VALUE"""),"All items in working order")</f>
        <v>All items in working order</v>
      </c>
      <c r="AE901" s="11"/>
      <c r="AF901" t="str">
        <v>Nikki.Dix@floridadep.gov</v>
      </c>
      <c r="AG901" s="18"/>
    </row>
    <row r="902" spans="1:33" ht="12.75">
      <c r="A902" s="10">
        <f ca="1">IFERROR(__xludf.DUMMYFUNCTION("""COMPUTED_VALUE"""),44743.3006356365)</f>
        <v>44743.3006356365</v>
      </c>
      <c r="B902" s="11" t="str">
        <f ca="1">IFERROR(__xludf.DUMMYFUNCTION("""COMPUTED_VALUE"""),"Pam Marcum ")</f>
        <v xml:space="preserve">Pam Marcum </v>
      </c>
      <c r="C902" t="str">
        <f ca="1">IFERROR(__xludf.DUMMYFUNCTION("""COMPUTED_VALUE"""),"Pamela.Marcum@FloridaDEP.gov")</f>
        <v>Pamela.Marcum@FloridaDEP.gov</v>
      </c>
      <c r="D902" t="str">
        <f ca="1">IFERROR(__xludf.DUMMYFUNCTION("""COMPUTED_VALUE"""),"Nikki Dix")</f>
        <v>Nikki Dix</v>
      </c>
      <c r="E902" t="str">
        <f ca="1">IFERROR(__xludf.DUMMYFUNCTION("""COMPUTED_VALUE"""),"Faver-Dykes ")</f>
        <v xml:space="preserve">Faver-Dykes </v>
      </c>
      <c r="F902" s="13">
        <f ca="1">IFERROR(__xludf.DUMMYFUNCTION("""COMPUTED_VALUE"""),0.30208333333212)</f>
        <v>0.30208333333212001</v>
      </c>
      <c r="G902" s="14">
        <f ca="1">IFERROR(__xludf.DUMMYFUNCTION("""COMPUTED_VALUE"""),44743)</f>
        <v>44743</v>
      </c>
      <c r="H902" t="str">
        <f ca="1">IFERROR(__xludf.DUMMYFUNCTION("""COMPUTED_VALUE"""),"Upper Pellicer creek ")</f>
        <v xml:space="preserve">Upper Pellicer creek </v>
      </c>
      <c r="I902" s="15">
        <f ca="1">IFERROR(__xludf.DUMMYFUNCTION("""COMPUTED_VALUE"""),0.541666666667879)</f>
        <v>0.54166666666787899</v>
      </c>
      <c r="J902" s="16">
        <f ca="1">IFERROR(__xludf.DUMMYFUNCTION("""COMPUTED_VALUE"""),44743.5833333333)</f>
        <v>44743.583333333299</v>
      </c>
      <c r="K902" t="str">
        <f ca="1">IFERROR(__xludf.DUMMYFUNCTION("""COMPUTED_VALUE"""),"17ft Skiff (Marsha) FL0642GW DEP07239")</f>
        <v>17ft Skiff (Marsha) FL0642GW DEP07239</v>
      </c>
      <c r="M902" t="str">
        <f ca="1">IFERROR(__xludf.DUMMYFUNCTION("""COMPUTED_VALUE"""),"Ford F150 2018 (ML AP) - DEP21637")</f>
        <v>Ford F150 2018 (ML AP) - DEP21637</v>
      </c>
      <c r="N902" t="str">
        <f ca="1">IFERROR(__xludf.DUMMYFUNCTION("""COMPUTED_VALUE"""),"Pam Marcum, (480) 332-5414")</f>
        <v>Pam Marcum, (480) 332-5414</v>
      </c>
      <c r="O902" t="str">
        <f ca="1">IFERROR(__xludf.DUMMYFUNCTION("""COMPUTED_VALUE"""),"Jacob Berna ")</f>
        <v xml:space="preserve">Jacob Berna </v>
      </c>
      <c r="P902" t="str">
        <f ca="1">IFERROR(__xludf.DUMMYFUNCTION("""COMPUTED_VALUE"""),"Pam")</f>
        <v>Pam</v>
      </c>
      <c r="Q902" t="str">
        <f ca="1">IFERROR(__xludf.DUMMYFUNCTION("""COMPUTED_VALUE"""),"All items in working order")</f>
        <v>All items in working order</v>
      </c>
      <c r="AE902" s="11"/>
      <c r="AF902" t="str">
        <v>Nikki.Dix@floridadep.gov</v>
      </c>
      <c r="AG902" s="18"/>
    </row>
    <row r="903" spans="1:33" ht="12.75">
      <c r="A903" s="10">
        <f ca="1">IFERROR(__xludf.DUMMYFUNCTION("""COMPUTED_VALUE"""),44750.3068077199)</f>
        <v>44750.306807719899</v>
      </c>
      <c r="B903" s="11" t="str">
        <f ca="1">IFERROR(__xludf.DUMMYFUNCTION("""COMPUTED_VALUE"""),"Pam Marcum ")</f>
        <v xml:space="preserve">Pam Marcum </v>
      </c>
      <c r="C903" t="str">
        <f ca="1">IFERROR(__xludf.DUMMYFUNCTION("""COMPUTED_VALUE"""),"Pamela.Marcum@FloridaDEP.gov")</f>
        <v>Pamela.Marcum@FloridaDEP.gov</v>
      </c>
      <c r="D903" t="str">
        <f ca="1">IFERROR(__xludf.DUMMYFUNCTION("""COMPUTED_VALUE"""),"Nikki Dix")</f>
        <v>Nikki Dix</v>
      </c>
      <c r="E903" t="str">
        <f ca="1">IFERROR(__xludf.DUMMYFUNCTION("""COMPUTED_VALUE"""),"Faver-Dykes ")</f>
        <v xml:space="preserve">Faver-Dykes </v>
      </c>
      <c r="F903" s="13">
        <f ca="1">IFERROR(__xludf.DUMMYFUNCTION("""COMPUTED_VALUE"""),0.30208333333212)</f>
        <v>0.30208333333212001</v>
      </c>
      <c r="G903" s="14">
        <f ca="1">IFERROR(__xludf.DUMMYFUNCTION("""COMPUTED_VALUE"""),44750)</f>
        <v>44750</v>
      </c>
      <c r="H903" t="str">
        <f ca="1">IFERROR(__xludf.DUMMYFUNCTION("""COMPUTED_VALUE"""),"Upper pellicer")</f>
        <v>Upper pellicer</v>
      </c>
      <c r="I903" s="15">
        <f ca="1">IFERROR(__xludf.DUMMYFUNCTION("""COMPUTED_VALUE"""),0.5)</f>
        <v>0.5</v>
      </c>
      <c r="J903" s="16">
        <f ca="1">IFERROR(__xludf.DUMMYFUNCTION("""COMPUTED_VALUE"""),44750.5416666666)</f>
        <v>44750.541666666599</v>
      </c>
      <c r="K903" t="str">
        <f ca="1">IFERROR(__xludf.DUMMYFUNCTION("""COMPUTED_VALUE"""),"F 20ft Sea Ark (Easy 200) FL8534PY DEP21451")</f>
        <v>F 20ft Sea Ark (Easy 200) FL8534PY DEP21451</v>
      </c>
      <c r="M903" t="str">
        <f ca="1">IFERROR(__xludf.DUMMYFUNCTION("""COMPUTED_VALUE"""),"Ford F150 2015 (White) - DEP21448")</f>
        <v>Ford F150 2015 (White) - DEP21448</v>
      </c>
      <c r="N903" t="str">
        <f ca="1">IFERROR(__xludf.DUMMYFUNCTION("""COMPUTED_VALUE"""),"Pam Marcum, (480) 332-5414")</f>
        <v>Pam Marcum, (480) 332-5414</v>
      </c>
      <c r="O903" t="str">
        <f ca="1">IFERROR(__xludf.DUMMYFUNCTION("""COMPUTED_VALUE"""),"Erick, Courtney")</f>
        <v>Erick, Courtney</v>
      </c>
      <c r="P903" t="str">
        <f ca="1">IFERROR(__xludf.DUMMYFUNCTION("""COMPUTED_VALUE"""),"Pam")</f>
        <v>Pam</v>
      </c>
      <c r="Q903" t="str">
        <f ca="1">IFERROR(__xludf.DUMMYFUNCTION("""COMPUTED_VALUE"""),"All items in working order")</f>
        <v>All items in working order</v>
      </c>
      <c r="AE903" s="11"/>
      <c r="AF903" t="str">
        <v>Nikki.Dix@floridadep.gov</v>
      </c>
      <c r="AG903" s="18"/>
    </row>
    <row r="904" spans="1:33" ht="12.75">
      <c r="A904" s="10">
        <f ca="1">IFERROR(__xludf.DUMMYFUNCTION("""COMPUTED_VALUE"""),44753.3084757176)</f>
        <v>44753.308475717597</v>
      </c>
      <c r="B904" s="11" t="str">
        <f ca="1">IFERROR(__xludf.DUMMYFUNCTION("""COMPUTED_VALUE"""),"Jessica Lee")</f>
        <v>Jessica Lee</v>
      </c>
      <c r="C904" t="str">
        <f ca="1">IFERROR(__xludf.DUMMYFUNCTION("""COMPUTED_VALUE"""),"jmcupp099@gmail.com")</f>
        <v>jmcupp099@gmail.com</v>
      </c>
      <c r="D904" t="str">
        <f ca="1">IFERROR(__xludf.DUMMYFUNCTION("""COMPUTED_VALUE"""),"Nikki Dix")</f>
        <v>Nikki Dix</v>
      </c>
      <c r="E904" t="str">
        <f ca="1">IFERROR(__xludf.DUMMYFUNCTION("""COMPUTED_VALUE"""),"Guana Dam")</f>
        <v>Guana Dam</v>
      </c>
      <c r="F904" s="13">
        <f ca="1">IFERROR(__xludf.DUMMYFUNCTION("""COMPUTED_VALUE"""),0.326388888890505)</f>
        <v>0.32638888889050499</v>
      </c>
      <c r="G904" s="14">
        <f ca="1">IFERROR(__xludf.DUMMYFUNCTION("""COMPUTED_VALUE"""),44753)</f>
        <v>44753</v>
      </c>
      <c r="H904" t="str">
        <f ca="1">IFERROR(__xludf.DUMMYFUNCTION("""COMPUTED_VALUE"""),"Guana River ")</f>
        <v xml:space="preserve">Guana River </v>
      </c>
      <c r="I904" s="15">
        <f ca="1">IFERROR(__xludf.DUMMYFUNCTION("""COMPUTED_VALUE"""),0.375)</f>
        <v>0.375</v>
      </c>
      <c r="J904" s="16">
        <f ca="1">IFERROR(__xludf.DUMMYFUNCTION("""COMPUTED_VALUE"""),44753.3854166666)</f>
        <v>44753.385416666599</v>
      </c>
      <c r="K904" t="str">
        <f ca="1">IFERROR(__xludf.DUMMYFUNCTION("""COMPUTED_VALUE"""),"Jon Boat 1 FL5992RR DEP154045")</f>
        <v>Jon Boat 1 FL5992RR DEP154045</v>
      </c>
      <c r="M904" t="str">
        <f ca="1">IFERROR(__xludf.DUMMYFUNCTION("""COMPUTED_VALUE"""),"Ford F150 2015 (White) - DEP21448")</f>
        <v>Ford F150 2015 (White) - DEP21448</v>
      </c>
      <c r="N904" t="str">
        <f ca="1">IFERROR(__xludf.DUMMYFUNCTION("""COMPUTED_VALUE"""),"Jessica Lee")</f>
        <v>Jessica Lee</v>
      </c>
      <c r="O904" t="str">
        <f ca="1">IFERROR(__xludf.DUMMYFUNCTION("""COMPUTED_VALUE"""),"Jenna R")</f>
        <v>Jenna R</v>
      </c>
      <c r="P904" t="str">
        <f ca="1">IFERROR(__xludf.DUMMYFUNCTION("""COMPUTED_VALUE"""),"Jess")</f>
        <v>Jess</v>
      </c>
      <c r="Q904" t="str">
        <f ca="1">IFERROR(__xludf.DUMMYFUNCTION("""COMPUTED_VALUE"""),"All items in working order")</f>
        <v>All items in working order</v>
      </c>
      <c r="AE904" s="11"/>
      <c r="AF904" t="str">
        <v>Nikki.Dix@floridadep.gov</v>
      </c>
      <c r="AG904" s="18"/>
    </row>
    <row r="905" spans="1:33" ht="12.75">
      <c r="A905" s="10">
        <f ca="1">IFERROR(__xludf.DUMMYFUNCTION("""COMPUTED_VALUE"""),44754.286579942)</f>
        <v>44754.286579942098</v>
      </c>
      <c r="B905" s="11" t="str">
        <f ca="1">IFERROR(__xludf.DUMMYFUNCTION("""COMPUTED_VALUE"""),"Silas Tanner")</f>
        <v>Silas Tanner</v>
      </c>
      <c r="C905" t="str">
        <f ca="1">IFERROR(__xludf.DUMMYFUNCTION("""COMPUTED_VALUE"""),"silas.tanner@floridadep.gov")</f>
        <v>silas.tanner@floridadep.gov</v>
      </c>
      <c r="D905" t="str">
        <f ca="1">IFERROR(__xludf.DUMMYFUNCTION("""COMPUTED_VALUE"""),"Nikki Dix")</f>
        <v>Nikki Dix</v>
      </c>
      <c r="E905" t="str">
        <f ca="1">IFERROR(__xludf.DUMMYFUNCTION("""COMPUTED_VALUE"""),"Vilano Landing")</f>
        <v>Vilano Landing</v>
      </c>
      <c r="F905" s="13">
        <f ca="1">IFERROR(__xludf.DUMMYFUNCTION("""COMPUTED_VALUE"""),0.3125)</f>
        <v>0.3125</v>
      </c>
      <c r="G905" s="14">
        <f ca="1">IFERROR(__xludf.DUMMYFUNCTION("""COMPUTED_VALUE"""),44754)</f>
        <v>44754</v>
      </c>
      <c r="H905" t="str">
        <f ca="1">IFERROR(__xludf.DUMMYFUNCTION("""COMPUTED_VALUE"""),"ICW SWMP FM, SS, PI")</f>
        <v>ICW SWMP FM, SS, PI</v>
      </c>
      <c r="I905" s="15">
        <f ca="1">IFERROR(__xludf.DUMMYFUNCTION("""COMPUTED_VALUE"""),0.604166666667879)</f>
        <v>0.60416666666787899</v>
      </c>
      <c r="J905" s="16">
        <f ca="1">IFERROR(__xludf.DUMMYFUNCTION("""COMPUTED_VALUE"""),44754.625)</f>
        <v>44754.625</v>
      </c>
      <c r="K905" t="str">
        <f ca="1">IFERROR(__xludf.DUMMYFUNCTION("""COMPUTED_VALUE"""),"23ft Skiff (Bertha) FL7972LJ DEP07613")</f>
        <v>23ft Skiff (Bertha) FL7972LJ DEP07613</v>
      </c>
      <c r="M905" t="str">
        <f ca="1">IFERROR(__xludf.DUMMYFUNCTION("""COMPUTED_VALUE"""),"Ford F250 2017 (Moby Dix) - DEP0021578")</f>
        <v>Ford F250 2017 (Moby Dix) - DEP0021578</v>
      </c>
      <c r="N905" t="str">
        <f ca="1">IFERROR(__xludf.DUMMYFUNCTION("""COMPUTED_VALUE"""),"Silas Tanner, (904) 483-8423")</f>
        <v>Silas Tanner, (904) 483-8423</v>
      </c>
      <c r="O905" t="str">
        <f ca="1">IFERROR(__xludf.DUMMYFUNCTION("""COMPUTED_VALUE"""),"Emalee Swisshelm and Nate Schirmer")</f>
        <v>Emalee Swisshelm and Nate Schirmer</v>
      </c>
      <c r="P905" t="str">
        <f ca="1">IFERROR(__xludf.DUMMYFUNCTION("""COMPUTED_VALUE"""),"Silas Tanner")</f>
        <v>Silas Tanner</v>
      </c>
      <c r="Q905" t="str">
        <f ca="1">IFERROR(__xludf.DUMMYFUNCTION("""COMPUTED_VALUE"""),"All items in working order")</f>
        <v>All items in working order</v>
      </c>
      <c r="AE905" s="11"/>
      <c r="AF905" t="str">
        <v>Nikki.Dix@floridadep.gov</v>
      </c>
      <c r="AG905" s="18"/>
    </row>
    <row r="906" spans="1:33" ht="12.75">
      <c r="A906" s="10">
        <f ca="1">IFERROR(__xludf.DUMMYFUNCTION("""COMPUTED_VALUE"""),44754.4090443981)</f>
        <v>44754.409044398097</v>
      </c>
      <c r="B906" s="11" t="str">
        <f ca="1">IFERROR(__xludf.DUMMYFUNCTION("""COMPUTED_VALUE"""),"Jimmy")</f>
        <v>Jimmy</v>
      </c>
      <c r="C906" t="str">
        <f ca="1">IFERROR(__xludf.DUMMYFUNCTION("""COMPUTED_VALUE"""),"james.tomazinis@floridadep.gov")</f>
        <v>james.tomazinis@floridadep.gov</v>
      </c>
      <c r="D906" t="str">
        <f ca="1">IFERROR(__xludf.DUMMYFUNCTION("""COMPUTED_VALUE"""),"Scott Eastman")</f>
        <v>Scott Eastman</v>
      </c>
      <c r="E906" t="str">
        <f ca="1">IFERROR(__xludf.DUMMYFUNCTION("""COMPUTED_VALUE"""),"Mayport")</f>
        <v>Mayport</v>
      </c>
      <c r="F906" s="13">
        <f ca="1">IFERROR(__xludf.DUMMYFUNCTION("""COMPUTED_VALUE"""),0.40625)</f>
        <v>0.40625</v>
      </c>
      <c r="G906" s="14">
        <f ca="1">IFERROR(__xludf.DUMMYFUNCTION("""COMPUTED_VALUE"""),44754)</f>
        <v>44754</v>
      </c>
      <c r="H906" t="str">
        <f ca="1">IFERROR(__xludf.DUMMYFUNCTION("""COMPUTED_VALUE"""),"Sisters creek")</f>
        <v>Sisters creek</v>
      </c>
      <c r="I906" s="15">
        <f ca="1">IFERROR(__xludf.DUMMYFUNCTION("""COMPUTED_VALUE"""),0.58333333333212)</f>
        <v>0.58333333333212001</v>
      </c>
      <c r="J906" s="16"/>
      <c r="K906" t="str">
        <f ca="1">IFERROR(__xludf.DUMMYFUNCTION("""COMPUTED_VALUE"""),"F 20ft Sea Ark (Easy 200) FL8534PY DEP21451")</f>
        <v>F 20ft Sea Ark (Easy 200) FL8534PY DEP21451</v>
      </c>
      <c r="M906" t="str">
        <f ca="1">IFERROR(__xludf.DUMMYFUNCTION("""COMPUTED_VALUE"""),"Ford F150 2007 (F-Bomb) - DEP07055")</f>
        <v>Ford F150 2007 (F-Bomb) - DEP07055</v>
      </c>
      <c r="N906" t="str">
        <f ca="1">IFERROR(__xludf.DUMMYFUNCTION("""COMPUTED_VALUE"""),"Jimmy Tomazinis, (904) 547-0094")</f>
        <v>Jimmy Tomazinis, (904) 547-0094</v>
      </c>
      <c r="O906" t="str">
        <f ca="1">IFERROR(__xludf.DUMMYFUNCTION("""COMPUTED_VALUE"""),"Chris")</f>
        <v>Chris</v>
      </c>
      <c r="P906" t="str">
        <f ca="1">IFERROR(__xludf.DUMMYFUNCTION("""COMPUTED_VALUE"""),"Jimmy")</f>
        <v>Jimmy</v>
      </c>
      <c r="Q906" t="str">
        <f ca="1">IFERROR(__xludf.DUMMYFUNCTION("""COMPUTED_VALUE"""),"All items in working order")</f>
        <v>All items in working order</v>
      </c>
      <c r="AE906" s="11"/>
      <c r="AF906" t="str">
        <v>Scott.Eastman@floridadep.gov</v>
      </c>
      <c r="AG906" s="18"/>
    </row>
    <row r="907" spans="1:33" ht="12.75">
      <c r="A907" s="10">
        <f ca="1">IFERROR(__xludf.DUMMYFUNCTION("""COMPUTED_VALUE"""),44755.3153102314)</f>
        <v>44755.315310231403</v>
      </c>
      <c r="B907" s="11" t="str">
        <f ca="1">IFERROR(__xludf.DUMMYFUNCTION("""COMPUTED_VALUE"""),"Jessica Lee")</f>
        <v>Jessica Lee</v>
      </c>
      <c r="C907" t="str">
        <f ca="1">IFERROR(__xludf.DUMMYFUNCTION("""COMPUTED_VALUE"""),"jmcupp099@gmail.com")</f>
        <v>jmcupp099@gmail.com</v>
      </c>
      <c r="D907" t="str">
        <f ca="1">IFERROR(__xludf.DUMMYFUNCTION("""COMPUTED_VALUE"""),"Nikki Dix")</f>
        <v>Nikki Dix</v>
      </c>
      <c r="E907" t="str">
        <f ca="1">IFERROR(__xludf.DUMMYFUNCTION("""COMPUTED_VALUE"""),"6 Mile")</f>
        <v>6 Mile</v>
      </c>
      <c r="F907" s="13">
        <f ca="1">IFERROR(__xludf.DUMMYFUNCTION("""COMPUTED_VALUE"""),0.33333333333212)</f>
        <v>0.33333333333212001</v>
      </c>
      <c r="G907" s="14">
        <f ca="1">IFERROR(__xludf.DUMMYFUNCTION("""COMPUTED_VALUE"""),44755)</f>
        <v>44755</v>
      </c>
      <c r="H907" t="str">
        <f ca="1">IFERROR(__xludf.DUMMYFUNCTION("""COMPUTED_VALUE"""),"Guana Lake")</f>
        <v>Guana Lake</v>
      </c>
      <c r="I907" s="15">
        <f ca="1">IFERROR(__xludf.DUMMYFUNCTION("""COMPUTED_VALUE"""),0.375)</f>
        <v>0.375</v>
      </c>
      <c r="J907" s="16">
        <f ca="1">IFERROR(__xludf.DUMMYFUNCTION("""COMPUTED_VALUE"""),44753.3958333333)</f>
        <v>44753.395833333299</v>
      </c>
      <c r="K907" t="str">
        <f ca="1">IFERROR(__xludf.DUMMYFUNCTION("""COMPUTED_VALUE"""),"Jon Boat 1 FL5992RR DEP154045")</f>
        <v>Jon Boat 1 FL5992RR DEP154045</v>
      </c>
      <c r="M907" t="str">
        <f ca="1">IFERROR(__xludf.DUMMYFUNCTION("""COMPUTED_VALUE"""),"Ford F150 2015 (White) - DEP21448")</f>
        <v>Ford F150 2015 (White) - DEP21448</v>
      </c>
      <c r="N907" t="str">
        <f ca="1">IFERROR(__xludf.DUMMYFUNCTION("""COMPUTED_VALUE"""),"Jessica Lee")</f>
        <v>Jessica Lee</v>
      </c>
      <c r="O907" t="str">
        <f ca="1">IFERROR(__xludf.DUMMYFUNCTION("""COMPUTED_VALUE"""),"Justina, Morgan ")</f>
        <v xml:space="preserve">Justina, Morgan </v>
      </c>
      <c r="P907" t="str">
        <f ca="1">IFERROR(__xludf.DUMMYFUNCTION("""COMPUTED_VALUE"""),"Jess")</f>
        <v>Jess</v>
      </c>
      <c r="Q907" t="str">
        <f ca="1">IFERROR(__xludf.DUMMYFUNCTION("""COMPUTED_VALUE"""),"All items in working order")</f>
        <v>All items in working order</v>
      </c>
      <c r="AE907" s="11"/>
      <c r="AF907" t="str">
        <v>Nikki.Dix@floridadep.gov</v>
      </c>
      <c r="AG907" s="18"/>
    </row>
    <row r="908" spans="1:33" ht="12.75">
      <c r="A908" s="10">
        <f ca="1">IFERROR(__xludf.DUMMYFUNCTION("""COMPUTED_VALUE"""),44767.4589601041)</f>
        <v>44767.458960104101</v>
      </c>
      <c r="B908" s="11" t="str">
        <f ca="1">IFERROR(__xludf.DUMMYFUNCTION("""COMPUTED_VALUE"""),"Jimmy")</f>
        <v>Jimmy</v>
      </c>
      <c r="C908" t="str">
        <f ca="1">IFERROR(__xludf.DUMMYFUNCTION("""COMPUTED_VALUE"""),"james.tomazinis@floridadep.gov")</f>
        <v>james.tomazinis@floridadep.gov</v>
      </c>
      <c r="D908" t="str">
        <f ca="1">IFERROR(__xludf.DUMMYFUNCTION("""COMPUTED_VALUE"""),"Scott Eastman")</f>
        <v>Scott Eastman</v>
      </c>
      <c r="E908" t="str">
        <f ca="1">IFERROR(__xludf.DUMMYFUNCTION("""COMPUTED_VALUE"""),"Mayport ")</f>
        <v xml:space="preserve">Mayport </v>
      </c>
      <c r="F908" s="13">
        <f ca="1">IFERROR(__xludf.DUMMYFUNCTION("""COMPUTED_VALUE"""),0.45833333333212)</f>
        <v>0.45833333333212001</v>
      </c>
      <c r="G908" s="14">
        <f ca="1">IFERROR(__xludf.DUMMYFUNCTION("""COMPUTED_VALUE"""),44767)</f>
        <v>44767</v>
      </c>
      <c r="H908" t="str">
        <f ca="1">IFERROR(__xludf.DUMMYFUNCTION("""COMPUTED_VALUE"""),"St. John’s inlet and sisters")</f>
        <v>St. John’s inlet and sisters</v>
      </c>
      <c r="I908" s="15">
        <f ca="1">IFERROR(__xludf.DUMMYFUNCTION("""COMPUTED_VALUE"""),0.58333333333212)</f>
        <v>0.58333333333212001</v>
      </c>
      <c r="J908" s="16"/>
      <c r="K908" t="str">
        <f ca="1">IFERROR(__xludf.DUMMYFUNCTION("""COMPUTED_VALUE"""),"F 20ft Sea Ark (Easy 200) FL8534PY DEP21451")</f>
        <v>F 20ft Sea Ark (Easy 200) FL8534PY DEP21451</v>
      </c>
      <c r="M908" t="str">
        <f ca="1">IFERROR(__xludf.DUMMYFUNCTION("""COMPUTED_VALUE"""),"Ford F150 2007 (F-Bomb) - DEP07055")</f>
        <v>Ford F150 2007 (F-Bomb) - DEP07055</v>
      </c>
      <c r="N908" t="str">
        <f ca="1">IFERROR(__xludf.DUMMYFUNCTION("""COMPUTED_VALUE"""),"Jimmy Tomazinis, (904) 547-0094")</f>
        <v>Jimmy Tomazinis, (904) 547-0094</v>
      </c>
      <c r="O908" t="str">
        <f ca="1">IFERROR(__xludf.DUMMYFUNCTION("""COMPUTED_VALUE"""),"Chris ")</f>
        <v xml:space="preserve">Chris </v>
      </c>
      <c r="P908" t="str">
        <f ca="1">IFERROR(__xludf.DUMMYFUNCTION("""COMPUTED_VALUE"""),"Jimmy")</f>
        <v>Jimmy</v>
      </c>
      <c r="Q908" t="str">
        <f ca="1">IFERROR(__xludf.DUMMYFUNCTION("""COMPUTED_VALUE"""),"All items in working order")</f>
        <v>All items in working order</v>
      </c>
      <c r="AE908" s="11"/>
      <c r="AF908" t="str">
        <v>Scott.Eastman@floridadep.gov</v>
      </c>
      <c r="AG908" s="18"/>
    </row>
    <row r="909" spans="1:33" ht="12.75">
      <c r="A909" s="10">
        <f ca="1">IFERROR(__xludf.DUMMYFUNCTION("""COMPUTED_VALUE"""),44769.3537382638)</f>
        <v>44769.353738263802</v>
      </c>
      <c r="B909" s="11" t="str">
        <f ca="1">IFERROR(__xludf.DUMMYFUNCTION("""COMPUTED_VALUE"""),"Jimmy")</f>
        <v>Jimmy</v>
      </c>
      <c r="C909" t="str">
        <f ca="1">IFERROR(__xludf.DUMMYFUNCTION("""COMPUTED_VALUE"""),"james.tomazinis@floridadep.gov")</f>
        <v>james.tomazinis@floridadep.gov</v>
      </c>
      <c r="D909" t="str">
        <f ca="1">IFERROR(__xludf.DUMMYFUNCTION("""COMPUTED_VALUE"""),"Scott Eastman")</f>
        <v>Scott Eastman</v>
      </c>
      <c r="E909" t="str">
        <f ca="1">IFERROR(__xludf.DUMMYFUNCTION("""COMPUTED_VALUE"""),"Dee Dee Bartels and Holly Point")</f>
        <v>Dee Dee Bartels and Holly Point</v>
      </c>
      <c r="F909" s="13">
        <f ca="1">IFERROR(__xludf.DUMMYFUNCTION("""COMPUTED_VALUE"""),0.416666666667879)</f>
        <v>0.41666666666787899</v>
      </c>
      <c r="G909" s="14">
        <f ca="1">IFERROR(__xludf.DUMMYFUNCTION("""COMPUTED_VALUE"""),44769)</f>
        <v>44769</v>
      </c>
      <c r="H909" t="str">
        <f ca="1">IFERROR(__xludf.DUMMYFUNCTION("""COMPUTED_VALUE"""),"NEAP WQ sites")</f>
        <v>NEAP WQ sites</v>
      </c>
      <c r="I909" s="15">
        <f ca="1">IFERROR(__xludf.DUMMYFUNCTION("""COMPUTED_VALUE"""),0.625)</f>
        <v>0.625</v>
      </c>
      <c r="J909" s="16"/>
      <c r="K909" t="str">
        <f ca="1">IFERROR(__xludf.DUMMYFUNCTION("""COMPUTED_VALUE"""),"F 20ft Sea Ark (Easy 200) FL8534PY DEP21451")</f>
        <v>F 20ft Sea Ark (Easy 200) FL8534PY DEP21451</v>
      </c>
      <c r="M909" t="str">
        <f ca="1">IFERROR(__xludf.DUMMYFUNCTION("""COMPUTED_VALUE"""),"Ford F150 2007 (F-Bomb) - DEP07055")</f>
        <v>Ford F150 2007 (F-Bomb) - DEP07055</v>
      </c>
      <c r="N909" t="str">
        <f ca="1">IFERROR(__xludf.DUMMYFUNCTION("""COMPUTED_VALUE"""),"Jimmy Tomazinis, (904) 547-0094")</f>
        <v>Jimmy Tomazinis, (904) 547-0094</v>
      </c>
      <c r="O909" t="str">
        <f ca="1">IFERROR(__xludf.DUMMYFUNCTION("""COMPUTED_VALUE"""),"Chris Kurtz")</f>
        <v>Chris Kurtz</v>
      </c>
      <c r="P909" t="str">
        <f ca="1">IFERROR(__xludf.DUMMYFUNCTION("""COMPUTED_VALUE"""),"Jimmy")</f>
        <v>Jimmy</v>
      </c>
      <c r="Q909" t="str">
        <f ca="1">IFERROR(__xludf.DUMMYFUNCTION("""COMPUTED_VALUE"""),"All items in working order")</f>
        <v>All items in working order</v>
      </c>
      <c r="AE909" s="11"/>
      <c r="AF909" t="str">
        <v>Scott.Eastman@floridadep.gov</v>
      </c>
      <c r="AG909" s="18"/>
    </row>
    <row r="910" spans="1:33" ht="12.75">
      <c r="A910" s="10">
        <f ca="1">IFERROR(__xludf.DUMMYFUNCTION("""COMPUTED_VALUE"""),44776.3190262152)</f>
        <v>44776.319026215198</v>
      </c>
      <c r="B910" s="11" t="str">
        <f ca="1">IFERROR(__xludf.DUMMYFUNCTION("""COMPUTED_VALUE"""),"Pam Marcum ")</f>
        <v xml:space="preserve">Pam Marcum </v>
      </c>
      <c r="C910" t="str">
        <f ca="1">IFERROR(__xludf.DUMMYFUNCTION("""COMPUTED_VALUE"""),"Pamela.Marcum@FloridaDEP.gov")</f>
        <v>Pamela.Marcum@FloridaDEP.gov</v>
      </c>
      <c r="D910" t="str">
        <f ca="1">IFERROR(__xludf.DUMMYFUNCTION("""COMPUTED_VALUE"""),"Nikki Dix")</f>
        <v>Nikki Dix</v>
      </c>
      <c r="E910" t="str">
        <f ca="1">IFERROR(__xludf.DUMMYFUNCTION("""COMPUTED_VALUE"""),"Bings")</f>
        <v>Bings</v>
      </c>
      <c r="F910" s="13">
        <f ca="1">IFERROR(__xludf.DUMMYFUNCTION("""COMPUTED_VALUE"""),0.3125)</f>
        <v>0.3125</v>
      </c>
      <c r="G910" s="14">
        <f ca="1">IFERROR(__xludf.DUMMYFUNCTION("""COMPUTED_VALUE"""),44776)</f>
        <v>44776</v>
      </c>
      <c r="H910" t="str">
        <f ca="1">IFERROR(__xludf.DUMMYFUNCTION("""COMPUTED_VALUE"""),"Dolphin creek, Matanzas river")</f>
        <v>Dolphin creek, Matanzas river</v>
      </c>
      <c r="I910" s="15">
        <f ca="1">IFERROR(__xludf.DUMMYFUNCTION("""COMPUTED_VALUE"""),0.5)</f>
        <v>0.5</v>
      </c>
      <c r="J910" s="16">
        <f ca="1">IFERROR(__xludf.DUMMYFUNCTION("""COMPUTED_VALUE"""),44776.5208333333)</f>
        <v>44776.520833333299</v>
      </c>
      <c r="K910" t="str">
        <f ca="1">IFERROR(__xludf.DUMMYFUNCTION("""COMPUTED_VALUE"""),"17ft Skiff (Marsha) FL0642GW DEP07239")</f>
        <v>17ft Skiff (Marsha) FL0642GW DEP07239</v>
      </c>
      <c r="M910" t="str">
        <f ca="1">IFERROR(__xludf.DUMMYFUNCTION("""COMPUTED_VALUE"""),"Ford F150 2018 (ML AP) - DEP21637")</f>
        <v>Ford F150 2018 (ML AP) - DEP21637</v>
      </c>
      <c r="N910" t="str">
        <f ca="1">IFERROR(__xludf.DUMMYFUNCTION("""COMPUTED_VALUE"""),"Pam Marcum, (480) 332-5414")</f>
        <v>Pam Marcum, (480) 332-5414</v>
      </c>
      <c r="O910" t="str">
        <f ca="1">IFERROR(__xludf.DUMMYFUNCTION("""COMPUTED_VALUE"""),"Jacob berna")</f>
        <v>Jacob berna</v>
      </c>
      <c r="P910" t="str">
        <f ca="1">IFERROR(__xludf.DUMMYFUNCTION("""COMPUTED_VALUE"""),"Pam")</f>
        <v>Pam</v>
      </c>
      <c r="Q910" t="str">
        <f ca="1">IFERROR(__xludf.DUMMYFUNCTION("""COMPUTED_VALUE"""),"All items in working order")</f>
        <v>All items in working order</v>
      </c>
      <c r="AE910" s="11"/>
      <c r="AF910" t="str">
        <v>Nikki.Dix@floridadep.gov</v>
      </c>
      <c r="AG910" s="18"/>
    </row>
    <row r="911" spans="1:33" ht="12.75">
      <c r="A911" s="10">
        <f ca="1">IFERROR(__xludf.DUMMYFUNCTION("""COMPUTED_VALUE"""),44776.324089456)</f>
        <v>44776.324089456</v>
      </c>
      <c r="B911" s="11" t="str">
        <f ca="1">IFERROR(__xludf.DUMMYFUNCTION("""COMPUTED_VALUE"""),"Silas Tanner")</f>
        <v>Silas Tanner</v>
      </c>
      <c r="C911" t="str">
        <f ca="1">IFERROR(__xludf.DUMMYFUNCTION("""COMPUTED_VALUE"""),"silas.tanner@floridadep.gov")</f>
        <v>silas.tanner@floridadep.gov</v>
      </c>
      <c r="D911" t="str">
        <f ca="1">IFERROR(__xludf.DUMMYFUNCTION("""COMPUTED_VALUE"""),"Nikki Dix")</f>
        <v>Nikki Dix</v>
      </c>
      <c r="E911" t="str">
        <f ca="1">IFERROR(__xludf.DUMMYFUNCTION("""COMPUTED_VALUE"""),"Crane Ramp")</f>
        <v>Crane Ramp</v>
      </c>
      <c r="F911" s="13">
        <f ca="1">IFERROR(__xludf.DUMMYFUNCTION("""COMPUTED_VALUE"""),0.4375)</f>
        <v>0.4375</v>
      </c>
      <c r="G911" s="14">
        <f ca="1">IFERROR(__xludf.DUMMYFUNCTION("""COMPUTED_VALUE"""),44776)</f>
        <v>44776</v>
      </c>
      <c r="H911" t="str">
        <f ca="1">IFERROR(__xludf.DUMMYFUNCTION("""COMPUTED_VALUE"""),"ICW SWMP Sites")</f>
        <v>ICW SWMP Sites</v>
      </c>
      <c r="I911" s="15">
        <f ca="1">IFERROR(__xludf.DUMMYFUNCTION("""COMPUTED_VALUE"""),0.64583333333212)</f>
        <v>0.64583333333212001</v>
      </c>
      <c r="J911" s="16">
        <f ca="1">IFERROR(__xludf.DUMMYFUNCTION("""COMPUTED_VALUE"""),44776.6666666666)</f>
        <v>44776.666666666599</v>
      </c>
      <c r="K911" t="str">
        <f ca="1">IFERROR(__xludf.DUMMYFUNCTION("""COMPUTED_VALUE"""),"F 20ft Sea Ark (Easy 200) FL8534PY DEP21451")</f>
        <v>F 20ft Sea Ark (Easy 200) FL8534PY DEP21451</v>
      </c>
      <c r="M911" t="str">
        <f ca="1">IFERROR(__xludf.DUMMYFUNCTION("""COMPUTED_VALUE"""),"Ford F250 2017 (Moby Dix) - DEP0021578")</f>
        <v>Ford F250 2017 (Moby Dix) - DEP0021578</v>
      </c>
      <c r="N911" t="str">
        <f ca="1">IFERROR(__xludf.DUMMYFUNCTION("""COMPUTED_VALUE"""),"Silas Tanner, (904) 483-8423, Remo Mondazzi")</f>
        <v>Silas Tanner, (904) 483-8423, Remo Mondazzi</v>
      </c>
      <c r="P911" t="str">
        <f ca="1">IFERROR(__xludf.DUMMYFUNCTION("""COMPUTED_VALUE"""),"Silas Tanner")</f>
        <v>Silas Tanner</v>
      </c>
      <c r="Q911" t="str">
        <f ca="1">IFERROR(__xludf.DUMMYFUNCTION("""COMPUTED_VALUE"""),"All items in working order")</f>
        <v>All items in working order</v>
      </c>
      <c r="AE911" s="11"/>
      <c r="AF911" t="str">
        <v>Nikki.Dix@floridadep.gov</v>
      </c>
      <c r="AG911" s="18"/>
    </row>
    <row r="912" spans="1:33" ht="12.75">
      <c r="A912" s="10">
        <f ca="1">IFERROR(__xludf.DUMMYFUNCTION("""COMPUTED_VALUE"""),44778.3639860879)</f>
        <v>44778.363986087898</v>
      </c>
      <c r="B912" s="11" t="str">
        <f ca="1">IFERROR(__xludf.DUMMYFUNCTION("""COMPUTED_VALUE"""),"Allix North")</f>
        <v>Allix North</v>
      </c>
      <c r="C912" t="str">
        <f ca="1">IFERROR(__xludf.DUMMYFUNCTION("""COMPUTED_VALUE"""),"allix.north@dep.state.fl.us")</f>
        <v>allix.north@dep.state.fl.us</v>
      </c>
      <c r="D912" t="str">
        <f ca="1">IFERROR(__xludf.DUMMYFUNCTION("""COMPUTED_VALUE"""),"Scott Eastman")</f>
        <v>Scott Eastman</v>
      </c>
      <c r="E912" t="str">
        <f ca="1">IFERROR(__xludf.DUMMYFUNCTION("""COMPUTED_VALUE"""),"Butler West")</f>
        <v>Butler West</v>
      </c>
      <c r="F912" s="13">
        <f ca="1">IFERROR(__xludf.DUMMYFUNCTION("""COMPUTED_VALUE"""),0.375)</f>
        <v>0.375</v>
      </c>
      <c r="G912" s="14">
        <f ca="1">IFERROR(__xludf.DUMMYFUNCTION("""COMPUTED_VALUE"""),44778)</f>
        <v>44778</v>
      </c>
      <c r="H912" t="str">
        <f ca="1">IFERROR(__xludf.DUMMYFUNCTION("""COMPUTED_VALUE"""),"Bings to 312 Bridge")</f>
        <v>Bings to 312 Bridge</v>
      </c>
      <c r="I912" s="15">
        <f ca="1">IFERROR(__xludf.DUMMYFUNCTION("""COMPUTED_VALUE"""),0.58333333333212)</f>
        <v>0.58333333333212001</v>
      </c>
      <c r="J912" s="16">
        <f ca="1">IFERROR(__xludf.DUMMYFUNCTION("""COMPUTED_VALUE"""),44778.625)</f>
        <v>44778.625</v>
      </c>
      <c r="K912" t="str">
        <f ca="1">IFERROR(__xludf.DUMMYFUNCTION("""COMPUTED_VALUE"""),"23ft Skiff (Bertha) FL7972LJ DEP07613")</f>
        <v>23ft Skiff (Bertha) FL7972LJ DEP07613</v>
      </c>
      <c r="M912" t="str">
        <f ca="1">IFERROR(__xludf.DUMMYFUNCTION("""COMPUTED_VALUE"""),"Ford F150 2015 (White) - DEP21448")</f>
        <v>Ford F150 2015 (White) - DEP21448</v>
      </c>
      <c r="N912" t="str">
        <f ca="1">IFERROR(__xludf.DUMMYFUNCTION("""COMPUTED_VALUE"""),"Pam Marcum, (480) 332-5414")</f>
        <v>Pam Marcum, (480) 332-5414</v>
      </c>
      <c r="O912" t="str">
        <f ca="1">IFERROR(__xludf.DUMMYFUNCTION("""COMPUTED_VALUE"""),"Allix North")</f>
        <v>Allix North</v>
      </c>
      <c r="P912" t="str">
        <f ca="1">IFERROR(__xludf.DUMMYFUNCTION("""COMPUTED_VALUE"""),"Allix North")</f>
        <v>Allix North</v>
      </c>
      <c r="Q912" t="str">
        <f ca="1">IFERROR(__xludf.DUMMYFUNCTION("""COMPUTED_VALUE"""),"All items in working order")</f>
        <v>All items in working order</v>
      </c>
      <c r="AE912" s="11"/>
      <c r="AF912" t="str">
        <v>Scott.Eastman@floridadep.gov</v>
      </c>
      <c r="AG912" s="18"/>
    </row>
    <row r="913" spans="1:33" ht="12.75">
      <c r="A913" s="10">
        <f ca="1">IFERROR(__xludf.DUMMYFUNCTION("""COMPUTED_VALUE"""),44781.6708035879)</f>
        <v>44781.670803587898</v>
      </c>
      <c r="B913" s="11" t="str">
        <f ca="1">IFERROR(__xludf.DUMMYFUNCTION("""COMPUTED_VALUE"""),"Silas Tanner")</f>
        <v>Silas Tanner</v>
      </c>
      <c r="C913" t="str">
        <f ca="1">IFERROR(__xludf.DUMMYFUNCTION("""COMPUTED_VALUE"""),"silas.tanner@floridadep.gov")</f>
        <v>silas.tanner@floridadep.gov</v>
      </c>
      <c r="D913" t="str">
        <f ca="1">IFERROR(__xludf.DUMMYFUNCTION("""COMPUTED_VALUE"""),"Nikki Dix")</f>
        <v>Nikki Dix</v>
      </c>
      <c r="E913" t="str">
        <f ca="1">IFERROR(__xludf.DUMMYFUNCTION("""COMPUTED_VALUE"""),"Vilano Landing")</f>
        <v>Vilano Landing</v>
      </c>
      <c r="F913" s="13">
        <f ca="1">IFERROR(__xludf.DUMMYFUNCTION("""COMPUTED_VALUE"""),0.28125)</f>
        <v>0.28125</v>
      </c>
      <c r="G913" s="14">
        <f ca="1">IFERROR(__xludf.DUMMYFUNCTION("""COMPUTED_VALUE"""),44782)</f>
        <v>44782</v>
      </c>
      <c r="H913" t="str">
        <f ca="1">IFERROR(__xludf.DUMMYFUNCTION("""COMPUTED_VALUE"""),"ICW SWMP sites")</f>
        <v>ICW SWMP sites</v>
      </c>
      <c r="I913" s="15">
        <f ca="1">IFERROR(__xludf.DUMMYFUNCTION("""COMPUTED_VALUE"""),0.53125)</f>
        <v>0.53125</v>
      </c>
      <c r="J913" s="16">
        <f ca="1">IFERROR(__xludf.DUMMYFUNCTION("""COMPUTED_VALUE"""),44782.5416666666)</f>
        <v>44782.541666666599</v>
      </c>
      <c r="K913" t="str">
        <f ca="1">IFERROR(__xludf.DUMMYFUNCTION("""COMPUTED_VALUE"""),"23ft Skiff (Bertha) FL7972LJ DEP07613")</f>
        <v>23ft Skiff (Bertha) FL7972LJ DEP07613</v>
      </c>
      <c r="M913" t="str">
        <f ca="1">IFERROR(__xludf.DUMMYFUNCTION("""COMPUTED_VALUE"""),"Ford F150 2015 (White) - DEP21448")</f>
        <v>Ford F150 2015 (White) - DEP21448</v>
      </c>
      <c r="N913" t="str">
        <f ca="1">IFERROR(__xludf.DUMMYFUNCTION("""COMPUTED_VALUE"""),"Silas Tanner, (904) 483-8423, Gabby Canas, (904) 891-9743")</f>
        <v>Silas Tanner, (904) 483-8423, Gabby Canas, (904) 891-9743</v>
      </c>
      <c r="O913" t="str">
        <f ca="1">IFERROR(__xludf.DUMMYFUNCTION("""COMPUTED_VALUE"""),"Jacob Berna")</f>
        <v>Jacob Berna</v>
      </c>
      <c r="P913" t="str">
        <f ca="1">IFERROR(__xludf.DUMMYFUNCTION("""COMPUTED_VALUE"""),"Silas Tanner")</f>
        <v>Silas Tanner</v>
      </c>
      <c r="Q913" t="str">
        <f ca="1">IFERROR(__xludf.DUMMYFUNCTION("""COMPUTED_VALUE"""),"All items in working order")</f>
        <v>All items in working order</v>
      </c>
      <c r="AE913" s="11"/>
      <c r="AF913" t="str">
        <v>Nikki.Dix@floridadep.gov</v>
      </c>
      <c r="AG913" s="18"/>
    </row>
    <row r="914" spans="1:33" ht="12.75">
      <c r="A914" s="10">
        <f ca="1">IFERROR(__xludf.DUMMYFUNCTION("""COMPUTED_VALUE"""),44782.3041042939)</f>
        <v>44782.3041042939</v>
      </c>
      <c r="B914" s="11" t="str">
        <f ca="1">IFERROR(__xludf.DUMMYFUNCTION("""COMPUTED_VALUE"""),"Jessica Lee")</f>
        <v>Jessica Lee</v>
      </c>
      <c r="C914" t="str">
        <f ca="1">IFERROR(__xludf.DUMMYFUNCTION("""COMPUTED_VALUE"""),"jmcupp099@gmail.com")</f>
        <v>jmcupp099@gmail.com</v>
      </c>
      <c r="D914" t="str">
        <f ca="1">IFERROR(__xludf.DUMMYFUNCTION("""COMPUTED_VALUE"""),"Nikki Dix")</f>
        <v>Nikki Dix</v>
      </c>
      <c r="E914" t="str">
        <f ca="1">IFERROR(__xludf.DUMMYFUNCTION("""COMPUTED_VALUE"""),"Guana dam")</f>
        <v>Guana dam</v>
      </c>
      <c r="F914" s="13">
        <f ca="1">IFERROR(__xludf.DUMMYFUNCTION("""COMPUTED_VALUE"""),0.3125)</f>
        <v>0.3125</v>
      </c>
      <c r="G914" s="14">
        <f ca="1">IFERROR(__xludf.DUMMYFUNCTION("""COMPUTED_VALUE"""),44782)</f>
        <v>44782</v>
      </c>
      <c r="H914" t="str">
        <f ca="1">IFERROR(__xludf.DUMMYFUNCTION("""COMPUTED_VALUE"""),"Guana River")</f>
        <v>Guana River</v>
      </c>
      <c r="I914" s="15">
        <f ca="1">IFERROR(__xludf.DUMMYFUNCTION("""COMPUTED_VALUE"""),0.375)</f>
        <v>0.375</v>
      </c>
      <c r="J914" s="16">
        <f ca="1">IFERROR(__xludf.DUMMYFUNCTION("""COMPUTED_VALUE"""),44782.3958333333)</f>
        <v>44782.395833333299</v>
      </c>
      <c r="K914" t="str">
        <f ca="1">IFERROR(__xludf.DUMMYFUNCTION("""COMPUTED_VALUE"""),"Jon Boat 1 FL5992RR DEP154045")</f>
        <v>Jon Boat 1 FL5992RR DEP154045</v>
      </c>
      <c r="M914" t="str">
        <f ca="1">IFERROR(__xludf.DUMMYFUNCTION("""COMPUTED_VALUE"""),"Ford F250 2017 (Moby Dix) - DEP0021578")</f>
        <v>Ford F250 2017 (Moby Dix) - DEP0021578</v>
      </c>
      <c r="N914" t="str">
        <f ca="1">IFERROR(__xludf.DUMMYFUNCTION("""COMPUTED_VALUE"""),"Jess Lee ")</f>
        <v xml:space="preserve">Jess Lee </v>
      </c>
      <c r="O914" t="str">
        <f ca="1">IFERROR(__xludf.DUMMYFUNCTION("""COMPUTED_VALUE"""),"Jenna")</f>
        <v>Jenna</v>
      </c>
      <c r="P914" t="str">
        <f ca="1">IFERROR(__xludf.DUMMYFUNCTION("""COMPUTED_VALUE"""),"Jess")</f>
        <v>Jess</v>
      </c>
      <c r="Q914" t="str">
        <f ca="1">IFERROR(__xludf.DUMMYFUNCTION("""COMPUTED_VALUE"""),"All items in working order")</f>
        <v>All items in working order</v>
      </c>
      <c r="AE914" s="11"/>
      <c r="AF914" t="str">
        <v>Nikki.Dix@floridadep.gov</v>
      </c>
      <c r="AG914" s="18"/>
    </row>
    <row r="915" spans="1:33" ht="12.75">
      <c r="A915" s="10">
        <f ca="1">IFERROR(__xludf.DUMMYFUNCTION("""COMPUTED_VALUE"""),44782.3409853819)</f>
        <v>44782.340985381903</v>
      </c>
      <c r="B915" s="11" t="str">
        <f ca="1">IFERROR(__xludf.DUMMYFUNCTION("""COMPUTED_VALUE"""),"Jimmy")</f>
        <v>Jimmy</v>
      </c>
      <c r="C915" t="str">
        <f ca="1">IFERROR(__xludf.DUMMYFUNCTION("""COMPUTED_VALUE"""),"james.tomazinis@floridadep.gov")</f>
        <v>james.tomazinis@floridadep.gov</v>
      </c>
      <c r="D915" t="str">
        <f ca="1">IFERROR(__xludf.DUMMYFUNCTION("""COMPUTED_VALUE"""),"Scott Eastman")</f>
        <v>Scott Eastman</v>
      </c>
      <c r="E915" t="str">
        <f ca="1">IFERROR(__xludf.DUMMYFUNCTION("""COMPUTED_VALUE"""),"Holly Point and Dee Dee Bartels")</f>
        <v>Holly Point and Dee Dee Bartels</v>
      </c>
      <c r="F915" s="13">
        <f ca="1">IFERROR(__xludf.DUMMYFUNCTION("""COMPUTED_VALUE"""),0.4375)</f>
        <v>0.4375</v>
      </c>
      <c r="G915" s="14">
        <f ca="1">IFERROR(__xludf.DUMMYFUNCTION("""COMPUTED_VALUE"""),44782)</f>
        <v>44782</v>
      </c>
      <c r="H915" t="str">
        <f ca="1">IFERROR(__xludf.DUMMYFUNCTION("""COMPUTED_VALUE"""),"NEAP WQ sites")</f>
        <v>NEAP WQ sites</v>
      </c>
      <c r="I915" s="15">
        <f ca="1">IFERROR(__xludf.DUMMYFUNCTION("""COMPUTED_VALUE"""),0.625)</f>
        <v>0.625</v>
      </c>
      <c r="J915" s="16"/>
      <c r="K915" t="str">
        <f ca="1">IFERROR(__xludf.DUMMYFUNCTION("""COMPUTED_VALUE"""),"F 20ft Sea Ark (Easy 200) FL8534PY DEP21451")</f>
        <v>F 20ft Sea Ark (Easy 200) FL8534PY DEP21451</v>
      </c>
      <c r="M915" t="str">
        <f ca="1">IFERROR(__xludf.DUMMYFUNCTION("""COMPUTED_VALUE"""),"Ford F150 2007 (F-Bomb) - DEP07055")</f>
        <v>Ford F150 2007 (F-Bomb) - DEP07055</v>
      </c>
      <c r="N915" t="str">
        <f ca="1">IFERROR(__xludf.DUMMYFUNCTION("""COMPUTED_VALUE"""),"Jimmy Tomazinis, (904) 547-0094")</f>
        <v>Jimmy Tomazinis, (904) 547-0094</v>
      </c>
      <c r="O915" t="str">
        <f ca="1">IFERROR(__xludf.DUMMYFUNCTION("""COMPUTED_VALUE"""),"Chris Kurtz")</f>
        <v>Chris Kurtz</v>
      </c>
      <c r="P915" t="str">
        <f ca="1">IFERROR(__xludf.DUMMYFUNCTION("""COMPUTED_VALUE"""),"Jimmy")</f>
        <v>Jimmy</v>
      </c>
      <c r="Q915" t="str">
        <f ca="1">IFERROR(__xludf.DUMMYFUNCTION("""COMPUTED_VALUE"""),"All items in working order")</f>
        <v>All items in working order</v>
      </c>
      <c r="AE915" s="11"/>
      <c r="AF915" t="str">
        <v>Scott.Eastman@floridadep.gov</v>
      </c>
      <c r="AG915" s="18"/>
    </row>
    <row r="916" spans="1:33" ht="12.75">
      <c r="A916" s="10">
        <f ca="1">IFERROR(__xludf.DUMMYFUNCTION("""COMPUTED_VALUE"""),44783.3084619213)</f>
        <v>44783.308461921297</v>
      </c>
      <c r="B916" s="11" t="str">
        <f ca="1">IFERROR(__xludf.DUMMYFUNCTION("""COMPUTED_VALUE"""),"Courtney Schultz")</f>
        <v>Courtney Schultz</v>
      </c>
      <c r="C916" t="str">
        <f ca="1">IFERROR(__xludf.DUMMYFUNCTION("""COMPUTED_VALUE"""),"courtney.l.schultz@floridadep.gov")</f>
        <v>courtney.l.schultz@floridadep.gov</v>
      </c>
      <c r="D916" t="str">
        <f ca="1">IFERROR(__xludf.DUMMYFUNCTION("""COMPUTED_VALUE"""),"Pam Marcum")</f>
        <v>Pam Marcum</v>
      </c>
      <c r="E916" t="str">
        <f ca="1">IFERROR(__xludf.DUMMYFUNCTION("""COMPUTED_VALUE"""),"Whitney Lab- Kayak Launch")</f>
        <v>Whitney Lab- Kayak Launch</v>
      </c>
      <c r="F916" s="13">
        <f ca="1">IFERROR(__xludf.DUMMYFUNCTION("""COMPUTED_VALUE"""),0.354166666667879)</f>
        <v>0.35416666666787899</v>
      </c>
      <c r="G916" s="14">
        <f ca="1">IFERROR(__xludf.DUMMYFUNCTION("""COMPUTED_VALUE"""),44783)</f>
        <v>44783</v>
      </c>
      <c r="H916" t="str">
        <f ca="1">IFERROR(__xludf.DUMMYFUNCTION("""COMPUTED_VALUE"""),"Around kayak launch boat looking for crown conch.")</f>
        <v>Around kayak launch boat looking for crown conch.</v>
      </c>
      <c r="I916" s="15">
        <f ca="1">IFERROR(__xludf.DUMMYFUNCTION("""COMPUTED_VALUE"""),0.479166666667879)</f>
        <v>0.47916666666787899</v>
      </c>
      <c r="J916" s="16">
        <f ca="1">IFERROR(__xludf.DUMMYFUNCTION("""COMPUTED_VALUE"""),44783.5416666666)</f>
        <v>44783.541666666599</v>
      </c>
      <c r="K916" t="str">
        <f ca="1">IFERROR(__xludf.DUMMYFUNCTION("""COMPUTED_VALUE"""),"Kayak(s)")</f>
        <v>Kayak(s)</v>
      </c>
      <c r="L916">
        <f ca="1">IFERROR(__xludf.DUMMYFUNCTION("""COMPUTED_VALUE"""),1)</f>
        <v>1</v>
      </c>
      <c r="M916" t="str">
        <f ca="1">IFERROR(__xludf.DUMMYFUNCTION("""COMPUTED_VALUE"""),"N/A")</f>
        <v>N/A</v>
      </c>
      <c r="N916" t="str">
        <f ca="1">IFERROR(__xludf.DUMMYFUNCTION("""COMPUTED_VALUE"""),"Courtney Schultz,")</f>
        <v>Courtney Schultz,</v>
      </c>
      <c r="O916" t="str">
        <f ca="1">IFERROR(__xludf.DUMMYFUNCTION("""COMPUTED_VALUE"""),"Mike Darragh")</f>
        <v>Mike Darragh</v>
      </c>
      <c r="P916" t="str">
        <f ca="1">IFERROR(__xludf.DUMMYFUNCTION("""COMPUTED_VALUE"""),"Courtney Schultz")</f>
        <v>Courtney Schultz</v>
      </c>
      <c r="Q916" t="str">
        <f ca="1">IFERROR(__xludf.DUMMYFUNCTION("""COMPUTED_VALUE"""),"All items in working order")</f>
        <v>All items in working order</v>
      </c>
      <c r="AE916" s="11"/>
      <c r="AF916" t="str">
        <v>Pamela.Marcum@floridadep.gov</v>
      </c>
      <c r="AG916" s="18"/>
    </row>
    <row r="917" spans="1:33" ht="12.75">
      <c r="A917" s="10">
        <f ca="1">IFERROR(__xludf.DUMMYFUNCTION("""COMPUTED_VALUE"""),44784.4554048379)</f>
        <v>44784.4554048379</v>
      </c>
      <c r="B917" s="11" t="str">
        <f ca="1">IFERROR(__xludf.DUMMYFUNCTION("""COMPUTED_VALUE"""),"Silas Tanner")</f>
        <v>Silas Tanner</v>
      </c>
      <c r="C917" t="str">
        <f ca="1">IFERROR(__xludf.DUMMYFUNCTION("""COMPUTED_VALUE"""),"silas.tanner@floridadep.gov")</f>
        <v>silas.tanner@floridadep.gov</v>
      </c>
      <c r="D917" t="str">
        <f ca="1">IFERROR(__xludf.DUMMYFUNCTION("""COMPUTED_VALUE"""),"Shannon Dunnigan")</f>
        <v>Shannon Dunnigan</v>
      </c>
      <c r="E917" t="str">
        <f ca="1">IFERROR(__xludf.DUMMYFUNCTION("""COMPUTED_VALUE"""),"Green Rd")</f>
        <v>Green Rd</v>
      </c>
      <c r="F917" s="13">
        <f ca="1">IFERROR(__xludf.DUMMYFUNCTION("""COMPUTED_VALUE"""),0.454861111109494)</f>
        <v>0.45486111110949401</v>
      </c>
      <c r="G917" s="14">
        <f ca="1">IFERROR(__xludf.DUMMYFUNCTION("""COMPUTED_VALUE"""),44784)</f>
        <v>44784</v>
      </c>
      <c r="H917" t="str">
        <f ca="1">IFERROR(__xludf.DUMMYFUNCTION("""COMPUTED_VALUE"""),"ICW FM SWMP site")</f>
        <v>ICW FM SWMP site</v>
      </c>
      <c r="I917" s="15">
        <f ca="1">IFERROR(__xludf.DUMMYFUNCTION("""COMPUTED_VALUE"""),0.604166666667879)</f>
        <v>0.60416666666787899</v>
      </c>
      <c r="J917" s="16">
        <f ca="1">IFERROR(__xludf.DUMMYFUNCTION("""COMPUTED_VALUE"""),44784.6458333333)</f>
        <v>44784.645833333299</v>
      </c>
      <c r="K917" t="str">
        <f ca="1">IFERROR(__xludf.DUMMYFUNCTION("""COMPUTED_VALUE"""),"20ft Sea Ark FL5351SJ UNF 2015")</f>
        <v>20ft Sea Ark FL5351SJ UNF 2015</v>
      </c>
      <c r="M917" t="str">
        <f ca="1">IFERROR(__xludf.DUMMYFUNCTION("""COMPUTED_VALUE"""),"Ford F250 2017 (Moby Dix) - DEP0021578")</f>
        <v>Ford F250 2017 (Moby Dix) - DEP0021578</v>
      </c>
      <c r="N917" t="str">
        <f ca="1">IFERROR(__xludf.DUMMYFUNCTION("""COMPUTED_VALUE"""),"Silas Tanner, (904) 483-8423, Remi Mondazzi")</f>
        <v>Silas Tanner, (904) 483-8423, Remi Mondazzi</v>
      </c>
      <c r="P917" t="str">
        <f ca="1">IFERROR(__xludf.DUMMYFUNCTION("""COMPUTED_VALUE"""),"Tanner")</f>
        <v>Tanner</v>
      </c>
      <c r="Q917" t="str">
        <f ca="1">IFERROR(__xludf.DUMMYFUNCTION("""COMPUTED_VALUE"""),"All items in working order")</f>
        <v>All items in working order</v>
      </c>
      <c r="AE917" s="11"/>
      <c r="AF917" t="str">
        <v>Shannon.Dunnigan@floridadep.gov</v>
      </c>
      <c r="AG917" s="18"/>
    </row>
    <row r="918" spans="1:33" ht="12.75">
      <c r="A918" s="10">
        <f ca="1">IFERROR(__xludf.DUMMYFUNCTION("""COMPUTED_VALUE"""),44789.5083002893)</f>
        <v>44789.508300289301</v>
      </c>
      <c r="B918" s="11" t="str">
        <f ca="1">IFERROR(__xludf.DUMMYFUNCTION("""COMPUTED_VALUE"""),"Silas Tanner")</f>
        <v>Silas Tanner</v>
      </c>
      <c r="C918" t="str">
        <f ca="1">IFERROR(__xludf.DUMMYFUNCTION("""COMPUTED_VALUE"""),"silas.tanner@floridadep.gov")</f>
        <v>silas.tanner@floridadep.gov</v>
      </c>
      <c r="D918" t="str">
        <f ca="1">IFERROR(__xludf.DUMMYFUNCTION("""COMPUTED_VALUE"""),"Shannon Dunnigan")</f>
        <v>Shannon Dunnigan</v>
      </c>
      <c r="E918" t="str">
        <f ca="1">IFERROR(__xludf.DUMMYFUNCTION("""COMPUTED_VALUE"""),"Crane")</f>
        <v>Crane</v>
      </c>
      <c r="F918" s="13">
        <f ca="1">IFERROR(__xludf.DUMMYFUNCTION("""COMPUTED_VALUE"""),0.541666666667879)</f>
        <v>0.54166666666787899</v>
      </c>
      <c r="G918" s="14">
        <f ca="1">IFERROR(__xludf.DUMMYFUNCTION("""COMPUTED_VALUE"""),44789)</f>
        <v>44789</v>
      </c>
      <c r="H918" t="str">
        <f ca="1">IFERROR(__xludf.DUMMYFUNCTION("""COMPUTED_VALUE"""),"ICW SWMP Sites")</f>
        <v>ICW SWMP Sites</v>
      </c>
      <c r="I918" s="15">
        <f ca="1">IFERROR(__xludf.DUMMYFUNCTION("""COMPUTED_VALUE"""),0.6875)</f>
        <v>0.6875</v>
      </c>
      <c r="J918" s="16">
        <f ca="1">IFERROR(__xludf.DUMMYFUNCTION("""COMPUTED_VALUE"""),44789.7083333333)</f>
        <v>44789.708333333299</v>
      </c>
      <c r="K918" t="str">
        <f ca="1">IFERROR(__xludf.DUMMYFUNCTION("""COMPUTED_VALUE"""),"F 20ft Sea Ark (Easy 200) FL8534PY DEP21451")</f>
        <v>F 20ft Sea Ark (Easy 200) FL8534PY DEP21451</v>
      </c>
      <c r="M918" t="str">
        <f ca="1">IFERROR(__xludf.DUMMYFUNCTION("""COMPUTED_VALUE"""),"Ford F250 2017 (Moby Dix) - DEP0021578")</f>
        <v>Ford F250 2017 (Moby Dix) - DEP0021578</v>
      </c>
      <c r="N918" t="str">
        <f ca="1">IFERROR(__xludf.DUMMYFUNCTION("""COMPUTED_VALUE"""),"Silas Tanner, (904) 483-8423, Remo Mondazzi")</f>
        <v>Silas Tanner, (904) 483-8423, Remo Mondazzi</v>
      </c>
      <c r="P918" t="str">
        <f ca="1">IFERROR(__xludf.DUMMYFUNCTION("""COMPUTED_VALUE"""),"Silas Tanner")</f>
        <v>Silas Tanner</v>
      </c>
      <c r="Q918" t="str">
        <f ca="1">IFERROR(__xludf.DUMMYFUNCTION("""COMPUTED_VALUE"""),"All items in working order")</f>
        <v>All items in working order</v>
      </c>
      <c r="AE918" s="11"/>
      <c r="AF918" t="str">
        <v>Shannon.Dunnigan@floridadep.gov</v>
      </c>
      <c r="AG918" s="18"/>
    </row>
    <row r="919" spans="1:33" ht="12.75">
      <c r="A919" s="10">
        <f ca="1">IFERROR(__xludf.DUMMYFUNCTION("""COMPUTED_VALUE"""),44803.4825690162)</f>
        <v>44803.482569016203</v>
      </c>
      <c r="B919" s="11" t="str">
        <f ca="1">IFERROR(__xludf.DUMMYFUNCTION("""COMPUTED_VALUE"""),"Pam Marcum ")</f>
        <v xml:space="preserve">Pam Marcum </v>
      </c>
      <c r="C919" t="str">
        <f ca="1">IFERROR(__xludf.DUMMYFUNCTION("""COMPUTED_VALUE"""),"Pamela.Marcum@FloridaDEP.gov")</f>
        <v>Pamela.Marcum@FloridaDEP.gov</v>
      </c>
      <c r="D919" t="str">
        <f ca="1">IFERROR(__xludf.DUMMYFUNCTION("""COMPUTED_VALUE"""),"Nikki Dix")</f>
        <v>Nikki Dix</v>
      </c>
      <c r="E919" t="str">
        <f ca="1">IFERROR(__xludf.DUMMYFUNCTION("""COMPUTED_VALUE"""),"Bings")</f>
        <v>Bings</v>
      </c>
      <c r="F919" s="13">
        <f ca="1">IFERROR(__xludf.DUMMYFUNCTION("""COMPUTED_VALUE"""),0.479166666667879)</f>
        <v>0.47916666666787899</v>
      </c>
      <c r="G919" s="14">
        <f ca="1">IFERROR(__xludf.DUMMYFUNCTION("""COMPUTED_VALUE"""),44803)</f>
        <v>44803</v>
      </c>
      <c r="H919" t="str">
        <f ca="1">IFERROR(__xludf.DUMMYFUNCTION("""COMPUTED_VALUE"""),"Washington oaks platforms ")</f>
        <v xml:space="preserve">Washington oaks platforms </v>
      </c>
      <c r="I919" s="15">
        <f ca="1">IFERROR(__xludf.DUMMYFUNCTION("""COMPUTED_VALUE"""),0.52083333333212)</f>
        <v>0.52083333333212001</v>
      </c>
      <c r="J919" s="16">
        <f ca="1">IFERROR(__xludf.DUMMYFUNCTION("""COMPUTED_VALUE"""),44803.6458333333)</f>
        <v>44803.645833333299</v>
      </c>
      <c r="K919" t="str">
        <f ca="1">IFERROR(__xludf.DUMMYFUNCTION("""COMPUTED_VALUE"""),"Jon Boat 1 FL5992RR DEP154045")</f>
        <v>Jon Boat 1 FL5992RR DEP154045</v>
      </c>
      <c r="M919" t="str">
        <f ca="1">IFERROR(__xludf.DUMMYFUNCTION("""COMPUTED_VALUE"""),"Ford F150 2015 (White) - DEP21448")</f>
        <v>Ford F150 2015 (White) - DEP21448</v>
      </c>
      <c r="N919" t="str">
        <f ca="1">IFERROR(__xludf.DUMMYFUNCTION("""COMPUTED_VALUE"""),"Pam Marcum, (480) 332-5414")</f>
        <v>Pam Marcum, (480) 332-5414</v>
      </c>
      <c r="O919" t="str">
        <f ca="1">IFERROR(__xludf.DUMMYFUNCTION("""COMPUTED_VALUE"""),"Jacob Berna")</f>
        <v>Jacob Berna</v>
      </c>
      <c r="P919" t="str">
        <f ca="1">IFERROR(__xludf.DUMMYFUNCTION("""COMPUTED_VALUE"""),"Pam")</f>
        <v>Pam</v>
      </c>
      <c r="Q919" t="str">
        <f ca="1">IFERROR(__xludf.DUMMYFUNCTION("""COMPUTED_VALUE"""),"All items in working order")</f>
        <v>All items in working order</v>
      </c>
      <c r="AE919" s="11"/>
      <c r="AF919" t="str">
        <v>Nikki.Dix@floridadep.gov</v>
      </c>
      <c r="AG919" s="18"/>
    </row>
    <row r="920" spans="1:33" ht="12.75">
      <c r="A920" s="10">
        <f ca="1">IFERROR(__xludf.DUMMYFUNCTION("""COMPUTED_VALUE"""),44803.5704279745)</f>
        <v>44803.570427974497</v>
      </c>
      <c r="B920" s="11" t="str">
        <f ca="1">IFERROR(__xludf.DUMMYFUNCTION("""COMPUTED_VALUE"""),"Pam Marcum ")</f>
        <v xml:space="preserve">Pam Marcum </v>
      </c>
      <c r="C920" t="str">
        <f ca="1">IFERROR(__xludf.DUMMYFUNCTION("""COMPUTED_VALUE"""),"Pamela.Marcum@FloridaDEP.gov")</f>
        <v>Pamela.Marcum@FloridaDEP.gov</v>
      </c>
      <c r="D920" t="str">
        <f ca="1">IFERROR(__xludf.DUMMYFUNCTION("""COMPUTED_VALUE"""),"Nikki Dix")</f>
        <v>Nikki Dix</v>
      </c>
      <c r="E920" t="str">
        <f ca="1">IFERROR(__xludf.DUMMYFUNCTION("""COMPUTED_VALUE"""),"Faver Dykes")</f>
        <v>Faver Dykes</v>
      </c>
      <c r="F920" s="13">
        <f ca="1">IFERROR(__xludf.DUMMYFUNCTION("""COMPUTED_VALUE"""),0.569444444445252)</f>
        <v>0.569444444445252</v>
      </c>
      <c r="G920" s="14">
        <f ca="1">IFERROR(__xludf.DUMMYFUNCTION("""COMPUTED_VALUE"""),44803)</f>
        <v>44803</v>
      </c>
      <c r="H920" t="str">
        <f ca="1">IFERROR(__xludf.DUMMYFUNCTION("""COMPUTED_VALUE"""),"Pellicer mouth")</f>
        <v>Pellicer mouth</v>
      </c>
      <c r="I920" s="15">
        <f ca="1">IFERROR(__xludf.DUMMYFUNCTION("""COMPUTED_VALUE"""),0.61458333333212)</f>
        <v>0.61458333333212001</v>
      </c>
      <c r="J920" s="16">
        <f ca="1">IFERROR(__xludf.DUMMYFUNCTION("""COMPUTED_VALUE"""),44803.65625)</f>
        <v>44803.65625</v>
      </c>
      <c r="K920" t="str">
        <f ca="1">IFERROR(__xludf.DUMMYFUNCTION("""COMPUTED_VALUE"""),"Jon Boat 1 FL5992RR DEP154045")</f>
        <v>Jon Boat 1 FL5992RR DEP154045</v>
      </c>
      <c r="M920" t="str">
        <f ca="1">IFERROR(__xludf.DUMMYFUNCTION("""COMPUTED_VALUE"""),"Ford F150 2015 (White) - DEP21448")</f>
        <v>Ford F150 2015 (White) - DEP21448</v>
      </c>
      <c r="N920" t="str">
        <f ca="1">IFERROR(__xludf.DUMMYFUNCTION("""COMPUTED_VALUE"""),"Pam Marcum, (480) 332-5414")</f>
        <v>Pam Marcum, (480) 332-5414</v>
      </c>
      <c r="O920" t="str">
        <f ca="1">IFERROR(__xludf.DUMMYFUNCTION("""COMPUTED_VALUE"""),"Jacob Berna")</f>
        <v>Jacob Berna</v>
      </c>
      <c r="P920" t="str">
        <f ca="1">IFERROR(__xludf.DUMMYFUNCTION("""COMPUTED_VALUE"""),"Pam")</f>
        <v>Pam</v>
      </c>
      <c r="Q920" t="str">
        <f ca="1">IFERROR(__xludf.DUMMYFUNCTION("""COMPUTED_VALUE"""),"All items in working order")</f>
        <v>All items in working order</v>
      </c>
      <c r="AE920" s="11"/>
      <c r="AF920" t="str">
        <v>Nikki.Dix@floridadep.gov</v>
      </c>
      <c r="AG920" s="18"/>
    </row>
    <row r="921" spans="1:33" ht="12.75">
      <c r="A921" s="10">
        <f ca="1">IFERROR(__xludf.DUMMYFUNCTION("""COMPUTED_VALUE"""),44804.3840724421)</f>
        <v>44804.384072442102</v>
      </c>
      <c r="B921" s="11" t="str">
        <f ca="1">IFERROR(__xludf.DUMMYFUNCTION("""COMPUTED_VALUE"""),"Silas Tanner")</f>
        <v>Silas Tanner</v>
      </c>
      <c r="C921" t="str">
        <f ca="1">IFERROR(__xludf.DUMMYFUNCTION("""COMPUTED_VALUE"""),"silas.tanner@floridadep.gov")</f>
        <v>silas.tanner@floridadep.gov</v>
      </c>
      <c r="D921" t="str">
        <f ca="1">IFERROR(__xludf.DUMMYFUNCTION("""COMPUTED_VALUE"""),"Silas Tanner")</f>
        <v>Silas Tanner</v>
      </c>
      <c r="E921" t="str">
        <f ca="1">IFERROR(__xludf.DUMMYFUNCTION("""COMPUTED_VALUE"""),"Crane Ramp")</f>
        <v>Crane Ramp</v>
      </c>
      <c r="F921" s="13">
        <f ca="1">IFERROR(__xludf.DUMMYFUNCTION("""COMPUTED_VALUE"""),0.4375)</f>
        <v>0.4375</v>
      </c>
      <c r="G921" s="14">
        <f ca="1">IFERROR(__xludf.DUMMYFUNCTION("""COMPUTED_VALUE"""),44804)</f>
        <v>44804</v>
      </c>
      <c r="H921" t="str">
        <f ca="1">IFERROR(__xludf.DUMMYFUNCTION("""COMPUTED_VALUE"""),"ICW SWMP stations")</f>
        <v>ICW SWMP stations</v>
      </c>
      <c r="I921" s="15">
        <f ca="1">IFERROR(__xludf.DUMMYFUNCTION("""COMPUTED_VALUE"""),0.625)</f>
        <v>0.625</v>
      </c>
      <c r="J921" s="16">
        <f ca="1">IFERROR(__xludf.DUMMYFUNCTION("""COMPUTED_VALUE"""),44804.6458333333)</f>
        <v>44804.645833333299</v>
      </c>
      <c r="K921" t="str">
        <f ca="1">IFERROR(__xludf.DUMMYFUNCTION("""COMPUTED_VALUE"""),"17ft Skiff (Marsha) FL0642GW DEP07239")</f>
        <v>17ft Skiff (Marsha) FL0642GW DEP07239</v>
      </c>
      <c r="M921" t="str">
        <f ca="1">IFERROR(__xludf.DUMMYFUNCTION("""COMPUTED_VALUE"""),"Ford F250 2017 (Moby Dix) - DEP0021578")</f>
        <v>Ford F250 2017 (Moby Dix) - DEP0021578</v>
      </c>
      <c r="N921" t="str">
        <f ca="1">IFERROR(__xludf.DUMMYFUNCTION("""COMPUTED_VALUE"""),"Silas Tanner, (904) 483-8423, Remo Mondazzi")</f>
        <v>Silas Tanner, (904) 483-8423, Remo Mondazzi</v>
      </c>
      <c r="P921" t="str">
        <f ca="1">IFERROR(__xludf.DUMMYFUNCTION("""COMPUTED_VALUE"""),"Silas Tanner")</f>
        <v>Silas Tanner</v>
      </c>
      <c r="Q921" t="str">
        <f ca="1">IFERROR(__xludf.DUMMYFUNCTION("""COMPUTED_VALUE"""),"All items in working order")</f>
        <v>All items in working order</v>
      </c>
      <c r="AE921" s="11"/>
      <c r="AF921" t="str">
        <v>Silas.Tanner@floridadep.gov</v>
      </c>
      <c r="AG921" s="18"/>
    </row>
    <row r="922" spans="1:33" ht="12.75">
      <c r="A922" s="10">
        <f ca="1">IFERROR(__xludf.DUMMYFUNCTION("""COMPUTED_VALUE"""),44804.4270312384)</f>
        <v>44804.427031238403</v>
      </c>
      <c r="B922" s="11" t="str">
        <f ca="1">IFERROR(__xludf.DUMMYFUNCTION("""COMPUTED_VALUE"""),"Pam Marcum ")</f>
        <v xml:space="preserve">Pam Marcum </v>
      </c>
      <c r="C922" t="str">
        <f ca="1">IFERROR(__xludf.DUMMYFUNCTION("""COMPUTED_VALUE"""),"Pamela.Marcum@FloridaDEP.gov")</f>
        <v>Pamela.Marcum@FloridaDEP.gov</v>
      </c>
      <c r="D922" t="str">
        <f ca="1">IFERROR(__xludf.DUMMYFUNCTION("""COMPUTED_VALUE"""),"Nikki Dix")</f>
        <v>Nikki Dix</v>
      </c>
      <c r="E922" t="str">
        <f ca="1">IFERROR(__xludf.DUMMYFUNCTION("""COMPUTED_VALUE"""),"Vilano ")</f>
        <v xml:space="preserve">Vilano </v>
      </c>
      <c r="F922" s="13">
        <f ca="1">IFERROR(__xludf.DUMMYFUNCTION("""COMPUTED_VALUE"""),0.416666666667879)</f>
        <v>0.41666666666787899</v>
      </c>
      <c r="G922" s="14">
        <f ca="1">IFERROR(__xludf.DUMMYFUNCTION("""COMPUTED_VALUE"""),44804)</f>
        <v>44804</v>
      </c>
      <c r="H922" t="str">
        <f ca="1">IFERROR(__xludf.DUMMYFUNCTION("""COMPUTED_VALUE"""),"Pine island, hat island, east creek")</f>
        <v>Pine island, hat island, east creek</v>
      </c>
      <c r="I922" s="15">
        <f ca="1">IFERROR(__xludf.DUMMYFUNCTION("""COMPUTED_VALUE"""),0.625)</f>
        <v>0.625</v>
      </c>
      <c r="J922" s="16">
        <f ca="1">IFERROR(__xludf.DUMMYFUNCTION("""COMPUTED_VALUE"""),44804.6458333333)</f>
        <v>44804.645833333299</v>
      </c>
      <c r="K922" t="str">
        <f ca="1">IFERROR(__xludf.DUMMYFUNCTION("""COMPUTED_VALUE"""),"20ft Sea Ark FL5351SJ UNF 2015")</f>
        <v>20ft Sea Ark FL5351SJ UNF 2015</v>
      </c>
      <c r="M922" t="str">
        <f ca="1">IFERROR(__xludf.DUMMYFUNCTION("""COMPUTED_VALUE"""),"Ford F150 2015 (White) - DEP21448")</f>
        <v>Ford F150 2015 (White) - DEP21448</v>
      </c>
      <c r="N922" t="str">
        <f ca="1">IFERROR(__xludf.DUMMYFUNCTION("""COMPUTED_VALUE"""),"Pam Marcum, (480) 332-5414")</f>
        <v>Pam Marcum, (480) 332-5414</v>
      </c>
      <c r="O922" t="str">
        <f ca="1">IFERROR(__xludf.DUMMYFUNCTION("""COMPUTED_VALUE"""),"Jacob Berna, Rauney Mitchell, (256) 665-5361")</f>
        <v>Jacob Berna, Rauney Mitchell, (256) 665-5361</v>
      </c>
      <c r="P922" t="str">
        <f ca="1">IFERROR(__xludf.DUMMYFUNCTION("""COMPUTED_VALUE"""),"Pam")</f>
        <v>Pam</v>
      </c>
      <c r="Q922" t="str">
        <f ca="1">IFERROR(__xludf.DUMMYFUNCTION("""COMPUTED_VALUE"""),"All items in working order")</f>
        <v>All items in working order</v>
      </c>
      <c r="AE922" s="11"/>
      <c r="AF922" t="str">
        <v>Nikki.Dix@floridadep.gov</v>
      </c>
      <c r="AG922" s="18"/>
    </row>
    <row r="923" spans="1:33" ht="12.75">
      <c r="A923" s="10">
        <f ca="1">IFERROR(__xludf.DUMMYFUNCTION("""COMPUTED_VALUE"""),44811.3107067939)</f>
        <v>44811.310706793898</v>
      </c>
      <c r="B923" s="11" t="str">
        <f ca="1">IFERROR(__xludf.DUMMYFUNCTION("""COMPUTED_VALUE"""),"Jessica Lee")</f>
        <v>Jessica Lee</v>
      </c>
      <c r="C923" t="str">
        <f ca="1">IFERROR(__xludf.DUMMYFUNCTION("""COMPUTED_VALUE"""),"jmcupp099@gmail.com")</f>
        <v>jmcupp099@gmail.com</v>
      </c>
      <c r="D923" t="str">
        <f ca="1">IFERROR(__xludf.DUMMYFUNCTION("""COMPUTED_VALUE"""),"Nikki Dix")</f>
        <v>Nikki Dix</v>
      </c>
      <c r="E923" t="str">
        <f ca="1">IFERROR(__xludf.DUMMYFUNCTION("""COMPUTED_VALUE"""),"Guana River")</f>
        <v>Guana River</v>
      </c>
      <c r="F923" s="13">
        <f ca="1">IFERROR(__xludf.DUMMYFUNCTION("""COMPUTED_VALUE"""),0.3125)</f>
        <v>0.3125</v>
      </c>
      <c r="G923" s="14">
        <f ca="1">IFERROR(__xludf.DUMMYFUNCTION("""COMPUTED_VALUE"""),44811)</f>
        <v>44811</v>
      </c>
      <c r="H923" t="str">
        <f ca="1">IFERROR(__xludf.DUMMYFUNCTION("""COMPUTED_VALUE"""),"Guana River ")</f>
        <v xml:space="preserve">Guana River </v>
      </c>
      <c r="I923" s="15">
        <f ca="1">IFERROR(__xludf.DUMMYFUNCTION("""COMPUTED_VALUE"""),0.39583333333212)</f>
        <v>0.39583333333212001</v>
      </c>
      <c r="J923" s="16">
        <f ca="1">IFERROR(__xludf.DUMMYFUNCTION("""COMPUTED_VALUE"""),44811.40625)</f>
        <v>44811.40625</v>
      </c>
      <c r="K923" t="str">
        <f ca="1">IFERROR(__xludf.DUMMYFUNCTION("""COMPUTED_VALUE"""),"Jon Boat 1 FL5992RR DEP154045")</f>
        <v>Jon Boat 1 FL5992RR DEP154045</v>
      </c>
      <c r="M923" t="str">
        <f ca="1">IFERROR(__xludf.DUMMYFUNCTION("""COMPUTED_VALUE"""),"Ford F150 2015 (White) - DEP21448")</f>
        <v>Ford F150 2015 (White) - DEP21448</v>
      </c>
      <c r="N923" t="str">
        <f ca="1">IFERROR(__xludf.DUMMYFUNCTION("""COMPUTED_VALUE"""),"Jessica Lee, (813) 748-2228")</f>
        <v>Jessica Lee, (813) 748-2228</v>
      </c>
      <c r="O923" t="str">
        <f ca="1">IFERROR(__xludf.DUMMYFUNCTION("""COMPUTED_VALUE"""),"Jenna")</f>
        <v>Jenna</v>
      </c>
      <c r="P923" t="str">
        <f ca="1">IFERROR(__xludf.DUMMYFUNCTION("""COMPUTED_VALUE"""),"Jessica Lee")</f>
        <v>Jessica Lee</v>
      </c>
      <c r="Q923" t="str">
        <f ca="1">IFERROR(__xludf.DUMMYFUNCTION("""COMPUTED_VALUE"""),"All applicable items have been found to be in good working order")</f>
        <v>All applicable items have been found to be in good working order</v>
      </c>
      <c r="AE923" s="11"/>
      <c r="AF923" t="str">
        <v>Nikki.Dix@floridadep.gov</v>
      </c>
      <c r="AG923" s="18"/>
    </row>
    <row r="924" spans="1:33" ht="12.75">
      <c r="A924" s="10">
        <f ca="1">IFERROR(__xludf.DUMMYFUNCTION("""COMPUTED_VALUE"""),44812.5062007175)</f>
        <v>44812.5062007175</v>
      </c>
      <c r="B924" s="11" t="str">
        <f ca="1">IFERROR(__xludf.DUMMYFUNCTION("""COMPUTED_VALUE"""),"Pam Marcum ")</f>
        <v xml:space="preserve">Pam Marcum </v>
      </c>
      <c r="C924" t="str">
        <f ca="1">IFERROR(__xludf.DUMMYFUNCTION("""COMPUTED_VALUE"""),"Pamela.Marcum@FloridaDEP.gov")</f>
        <v>Pamela.Marcum@FloridaDEP.gov</v>
      </c>
      <c r="D924" t="str">
        <f ca="1">IFERROR(__xludf.DUMMYFUNCTION("""COMPUTED_VALUE"""),"Nikki Dix")</f>
        <v>Nikki Dix</v>
      </c>
      <c r="E924" t="str">
        <f ca="1">IFERROR(__xludf.DUMMYFUNCTION("""COMPUTED_VALUE"""),"Aunt Kates ")</f>
        <v xml:space="preserve">Aunt Kates </v>
      </c>
      <c r="F924" s="13">
        <f ca="1">IFERROR(__xludf.DUMMYFUNCTION("""COMPUTED_VALUE"""),0.5)</f>
        <v>0.5</v>
      </c>
      <c r="G924" s="14">
        <f ca="1">IFERROR(__xludf.DUMMYFUNCTION("""COMPUTED_VALUE"""),44812)</f>
        <v>44812</v>
      </c>
      <c r="H924" t="str">
        <f ca="1">IFERROR(__xludf.DUMMYFUNCTION("""COMPUTED_VALUE"""),"Pine island then hat island")</f>
        <v>Pine island then hat island</v>
      </c>
      <c r="I924" s="15">
        <f ca="1">IFERROR(__xludf.DUMMYFUNCTION("""COMPUTED_VALUE"""),0.625)</f>
        <v>0.625</v>
      </c>
      <c r="J924" s="16">
        <f ca="1">IFERROR(__xludf.DUMMYFUNCTION("""COMPUTED_VALUE"""),44812.6458333333)</f>
        <v>44812.645833333299</v>
      </c>
      <c r="K924" t="str">
        <f ca="1">IFERROR(__xludf.DUMMYFUNCTION("""COMPUTED_VALUE"""),"20ft Sea Ark FL5351SJ UNF 2015")</f>
        <v>20ft Sea Ark FL5351SJ UNF 2015</v>
      </c>
      <c r="M924" t="str">
        <f ca="1">IFERROR(__xludf.DUMMYFUNCTION("""COMPUTED_VALUE"""),"Ford F250 2017 (Moby Dix) - DEP0021578")</f>
        <v>Ford F250 2017 (Moby Dix) - DEP0021578</v>
      </c>
      <c r="N924" t="str">
        <f ca="1">IFERROR(__xludf.DUMMYFUNCTION("""COMPUTED_VALUE"""),"Pam Marcum, (480) 332-5414")</f>
        <v>Pam Marcum, (480) 332-5414</v>
      </c>
      <c r="O924" t="str">
        <f ca="1">IFERROR(__xludf.DUMMYFUNCTION("""COMPUTED_VALUE"""),"Jacob Berna")</f>
        <v>Jacob Berna</v>
      </c>
      <c r="P924" t="str">
        <f ca="1">IFERROR(__xludf.DUMMYFUNCTION("""COMPUTED_VALUE"""),"Pam")</f>
        <v>Pam</v>
      </c>
      <c r="Q924" t="str">
        <f ca="1">IFERROR(__xludf.DUMMYFUNCTION("""COMPUTED_VALUE"""),"All items in working order")</f>
        <v>All items in working order</v>
      </c>
      <c r="AE924" s="11"/>
      <c r="AF924" t="str">
        <v>Nikki.Dix@floridadep.gov</v>
      </c>
      <c r="AG924" s="18"/>
    </row>
    <row r="925" spans="1:33" ht="12.75">
      <c r="A925" s="10">
        <f ca="1">IFERROR(__xludf.DUMMYFUNCTION("""COMPUTED_VALUE"""),44813.4206413194)</f>
        <v>44813.420641319397</v>
      </c>
      <c r="B925" s="11" t="str">
        <f ca="1">IFERROR(__xludf.DUMMYFUNCTION("""COMPUTED_VALUE"""),"Pam Marcum ")</f>
        <v xml:space="preserve">Pam Marcum </v>
      </c>
      <c r="C925" t="str">
        <f ca="1">IFERROR(__xludf.DUMMYFUNCTION("""COMPUTED_VALUE"""),"Pamela.Marcum@FloridaDEP.gov")</f>
        <v>Pamela.Marcum@FloridaDEP.gov</v>
      </c>
      <c r="D925" t="str">
        <f ca="1">IFERROR(__xludf.DUMMYFUNCTION("""COMPUTED_VALUE"""),"Nikki Dix")</f>
        <v>Nikki Dix</v>
      </c>
      <c r="E925" t="str">
        <f ca="1">IFERROR(__xludf.DUMMYFUNCTION("""COMPUTED_VALUE"""),"Vilano ")</f>
        <v xml:space="preserve">Vilano </v>
      </c>
      <c r="F925" s="13">
        <f ca="1">IFERROR(__xludf.DUMMYFUNCTION("""COMPUTED_VALUE"""),0.416666666667879)</f>
        <v>0.41666666666787899</v>
      </c>
      <c r="G925" s="14">
        <f ca="1">IFERROR(__xludf.DUMMYFUNCTION("""COMPUTED_VALUE"""),44813)</f>
        <v>44813</v>
      </c>
      <c r="H925" t="str">
        <f ca="1">IFERROR(__xludf.DUMMYFUNCTION("""COMPUTED_VALUE"""),"Hat island")</f>
        <v>Hat island</v>
      </c>
      <c r="I925" s="15">
        <f ca="1">IFERROR(__xludf.DUMMYFUNCTION("""COMPUTED_VALUE"""),0.58333333333212)</f>
        <v>0.58333333333212001</v>
      </c>
      <c r="J925" s="16">
        <f ca="1">IFERROR(__xludf.DUMMYFUNCTION("""COMPUTED_VALUE"""),44813.6041666666)</f>
        <v>44813.604166666599</v>
      </c>
      <c r="K925" t="str">
        <f ca="1">IFERROR(__xludf.DUMMYFUNCTION("""COMPUTED_VALUE"""),"20ft Sea Ark FL5351SJ UNF 2015")</f>
        <v>20ft Sea Ark FL5351SJ UNF 2015</v>
      </c>
      <c r="M925" t="str">
        <f ca="1">IFERROR(__xludf.DUMMYFUNCTION("""COMPUTED_VALUE"""),"Ford F250 2017 (Moby Dix) - DEP0021578")</f>
        <v>Ford F250 2017 (Moby Dix) - DEP0021578</v>
      </c>
      <c r="N925" t="str">
        <f ca="1">IFERROR(__xludf.DUMMYFUNCTION("""COMPUTED_VALUE"""),"Pam Marcum, (480) 332-5414")</f>
        <v>Pam Marcum, (480) 332-5414</v>
      </c>
      <c r="O925" t="str">
        <f ca="1">IFERROR(__xludf.DUMMYFUNCTION("""COMPUTED_VALUE"""),"Jacob Berna")</f>
        <v>Jacob Berna</v>
      </c>
      <c r="P925" t="str">
        <f ca="1">IFERROR(__xludf.DUMMYFUNCTION("""COMPUTED_VALUE"""),"Pam")</f>
        <v>Pam</v>
      </c>
      <c r="Q925" t="str">
        <f ca="1">IFERROR(__xludf.DUMMYFUNCTION("""COMPUTED_VALUE"""),"All items in working order")</f>
        <v>All items in working order</v>
      </c>
      <c r="AE925" s="11"/>
      <c r="AF925" t="str">
        <v>Nikki.Dix@floridadep.gov</v>
      </c>
      <c r="AG925" s="18"/>
    </row>
    <row r="926" spans="1:33" ht="12.75">
      <c r="A926" s="10">
        <f ca="1">IFERROR(__xludf.DUMMYFUNCTION("""COMPUTED_VALUE"""),44816.4087695717)</f>
        <v>44816.408769571703</v>
      </c>
      <c r="B926" s="11" t="str">
        <f ca="1">IFERROR(__xludf.DUMMYFUNCTION("""COMPUTED_VALUE"""),"Silas Tanner")</f>
        <v>Silas Tanner</v>
      </c>
      <c r="C926" t="str">
        <f ca="1">IFERROR(__xludf.DUMMYFUNCTION("""COMPUTED_VALUE"""),"silas.tanner@floridadep.gov")</f>
        <v>silas.tanner@floridadep.gov</v>
      </c>
      <c r="D926" t="str">
        <f ca="1">IFERROR(__xludf.DUMMYFUNCTION("""COMPUTED_VALUE"""),"Nikki Dix")</f>
        <v>Nikki Dix</v>
      </c>
      <c r="E926" t="str">
        <f ca="1">IFERROR(__xludf.DUMMYFUNCTION("""COMPUTED_VALUE"""),"Vilano")</f>
        <v>Vilano</v>
      </c>
      <c r="F926" s="13">
        <f ca="1">IFERROR(__xludf.DUMMYFUNCTION("""COMPUTED_VALUE"""),0.40625)</f>
        <v>0.40625</v>
      </c>
      <c r="G926" s="14">
        <f ca="1">IFERROR(__xludf.DUMMYFUNCTION("""COMPUTED_VALUE"""),44816)</f>
        <v>44816</v>
      </c>
      <c r="H926" t="str">
        <f ca="1">IFERROR(__xludf.DUMMYFUNCTION("""COMPUTED_VALUE"""),"ICW SWMP sites")</f>
        <v>ICW SWMP sites</v>
      </c>
      <c r="I926" s="15">
        <f ca="1">IFERROR(__xludf.DUMMYFUNCTION("""COMPUTED_VALUE"""),0.61458333333212)</f>
        <v>0.61458333333212001</v>
      </c>
      <c r="J926" s="16">
        <f ca="1">IFERROR(__xludf.DUMMYFUNCTION("""COMPUTED_VALUE"""),44816.625)</f>
        <v>44816.625</v>
      </c>
      <c r="K926" t="str">
        <f ca="1">IFERROR(__xludf.DUMMYFUNCTION("""COMPUTED_VALUE"""),"20ft Sea Ark FL5351SJ UNF 2015")</f>
        <v>20ft Sea Ark FL5351SJ UNF 2015</v>
      </c>
      <c r="M926" t="str">
        <f ca="1">IFERROR(__xludf.DUMMYFUNCTION("""COMPUTED_VALUE"""),"Ford F250 2017 (Moby Dix) - DEP0021578")</f>
        <v>Ford F250 2017 (Moby Dix) - DEP0021578</v>
      </c>
      <c r="N926" t="str">
        <f ca="1">IFERROR(__xludf.DUMMYFUNCTION("""COMPUTED_VALUE"""),"Silas Tanner, (904) 483-8423")</f>
        <v>Silas Tanner, (904) 483-8423</v>
      </c>
      <c r="O926" t="str">
        <f ca="1">IFERROR(__xludf.DUMMYFUNCTION("""COMPUTED_VALUE"""),"Jacob Berna")</f>
        <v>Jacob Berna</v>
      </c>
      <c r="P926" t="str">
        <f ca="1">IFERROR(__xludf.DUMMYFUNCTION("""COMPUTED_VALUE"""),"Silas Tanner")</f>
        <v>Silas Tanner</v>
      </c>
      <c r="Q926" t="str">
        <f ca="1">IFERROR(__xludf.DUMMYFUNCTION("""COMPUTED_VALUE"""),"All applicable items have been found to be in good working order")</f>
        <v>All applicable items have been found to be in good working order</v>
      </c>
      <c r="AE926" s="11"/>
      <c r="AF926" t="str">
        <v>Nikki.Dix@floridadep.gov</v>
      </c>
      <c r="AG926" s="18"/>
    </row>
    <row r="927" spans="1:33" ht="12.75">
      <c r="A927" s="10">
        <f ca="1">IFERROR(__xludf.DUMMYFUNCTION("""COMPUTED_VALUE"""),44818.3525591898)</f>
        <v>44818.3525591898</v>
      </c>
      <c r="B927" s="11" t="str">
        <f ca="1">IFERROR(__xludf.DUMMYFUNCTION("""COMPUTED_VALUE"""),"Silas Tanner")</f>
        <v>Silas Tanner</v>
      </c>
      <c r="C927" t="str">
        <f ca="1">IFERROR(__xludf.DUMMYFUNCTION("""COMPUTED_VALUE"""),"silas.tanner@floridadep.gov")</f>
        <v>silas.tanner@floridadep.gov</v>
      </c>
      <c r="D927" t="str">
        <f ca="1">IFERROR(__xludf.DUMMYFUNCTION("""COMPUTED_VALUE"""),"Shannon Dunnigan")</f>
        <v>Shannon Dunnigan</v>
      </c>
      <c r="E927" t="str">
        <f ca="1">IFERROR(__xludf.DUMMYFUNCTION("""COMPUTED_VALUE"""),"Vilano")</f>
        <v>Vilano</v>
      </c>
      <c r="F927" s="13">
        <f ca="1">IFERROR(__xludf.DUMMYFUNCTION("""COMPUTED_VALUE"""),0.39583333333212)</f>
        <v>0.39583333333212001</v>
      </c>
      <c r="G927" s="14">
        <f ca="1">IFERROR(__xludf.DUMMYFUNCTION("""COMPUTED_VALUE"""),44818)</f>
        <v>44818</v>
      </c>
      <c r="H927" t="str">
        <f ca="1">IFERROR(__xludf.DUMMYFUNCTION("""COMPUTED_VALUE"""),"ICW SWMP sites")</f>
        <v>ICW SWMP sites</v>
      </c>
      <c r="I927" s="15">
        <f ca="1">IFERROR(__xludf.DUMMYFUNCTION("""COMPUTED_VALUE"""),0.58333333333212)</f>
        <v>0.58333333333212001</v>
      </c>
      <c r="J927" s="16">
        <f ca="1">IFERROR(__xludf.DUMMYFUNCTION("""COMPUTED_VALUE"""),44818.6041666666)</f>
        <v>44818.604166666599</v>
      </c>
      <c r="K927" t="str">
        <f ca="1">IFERROR(__xludf.DUMMYFUNCTION("""COMPUTED_VALUE"""),"20ft Sea Ark FL5351SJ UNF 2015")</f>
        <v>20ft Sea Ark FL5351SJ UNF 2015</v>
      </c>
      <c r="M927" t="str">
        <f ca="1">IFERROR(__xludf.DUMMYFUNCTION("""COMPUTED_VALUE"""),"Ford F250 2017 (Moby Dix) - DEP0021578")</f>
        <v>Ford F250 2017 (Moby Dix) - DEP0021578</v>
      </c>
      <c r="N927" t="str">
        <f ca="1">IFERROR(__xludf.DUMMYFUNCTION("""COMPUTED_VALUE"""),"Silas Tanner, (904) 483-8423, Remo Mondazzi")</f>
        <v>Silas Tanner, (904) 483-8423, Remo Mondazzi</v>
      </c>
      <c r="P927" t="str">
        <f ca="1">IFERROR(__xludf.DUMMYFUNCTION("""COMPUTED_VALUE"""),"Silas Tanner")</f>
        <v>Silas Tanner</v>
      </c>
      <c r="Q927" t="str">
        <f ca="1">IFERROR(__xludf.DUMMYFUNCTION("""COMPUTED_VALUE"""),"All items in working order")</f>
        <v>All items in working order</v>
      </c>
      <c r="AE927" s="11"/>
      <c r="AF927" t="str">
        <v>Shannon.Dunnigan@floridadep.gov</v>
      </c>
      <c r="AG927" s="18"/>
    </row>
    <row r="928" spans="1:33" ht="12.75">
      <c r="A928" s="10">
        <f ca="1">IFERROR(__xludf.DUMMYFUNCTION("""COMPUTED_VALUE"""),44819.3848294444)</f>
        <v>44819.384829444403</v>
      </c>
      <c r="B928" s="11" t="str">
        <f ca="1">IFERROR(__xludf.DUMMYFUNCTION("""COMPUTED_VALUE"""),"Pam Marcum ")</f>
        <v xml:space="preserve">Pam Marcum </v>
      </c>
      <c r="C928" t="str">
        <f ca="1">IFERROR(__xludf.DUMMYFUNCTION("""COMPUTED_VALUE"""),"Pamela.Marcum@FloridaDEP.gov")</f>
        <v>Pamela.Marcum@FloridaDEP.gov</v>
      </c>
      <c r="D928" t="str">
        <f ca="1">IFERROR(__xludf.DUMMYFUNCTION("""COMPUTED_VALUE"""),"Silas Tanner")</f>
        <v>Silas Tanner</v>
      </c>
      <c r="E928" t="str">
        <f ca="1">IFERROR(__xludf.DUMMYFUNCTION("""COMPUTED_VALUE"""),"Vilano")</f>
        <v>Vilano</v>
      </c>
      <c r="F928" s="13">
        <f ca="1">IFERROR(__xludf.DUMMYFUNCTION("""COMPUTED_VALUE"""),0.375)</f>
        <v>0.375</v>
      </c>
      <c r="G928" s="14">
        <f ca="1">IFERROR(__xludf.DUMMYFUNCTION("""COMPUTED_VALUE"""),44819)</f>
        <v>44819</v>
      </c>
      <c r="H928" t="str">
        <f ca="1">IFERROR(__xludf.DUMMYFUNCTION("""COMPUTED_VALUE"""),"Tolomato River")</f>
        <v>Tolomato River</v>
      </c>
      <c r="I928" s="15">
        <f ca="1">IFERROR(__xludf.DUMMYFUNCTION("""COMPUTED_VALUE"""),0.5)</f>
        <v>0.5</v>
      </c>
      <c r="J928" s="16">
        <f ca="1">IFERROR(__xludf.DUMMYFUNCTION("""COMPUTED_VALUE"""),44819.5208333333)</f>
        <v>44819.520833333299</v>
      </c>
      <c r="K928" t="str">
        <f ca="1">IFERROR(__xludf.DUMMYFUNCTION("""COMPUTED_VALUE"""),"20ft Sea Ark FL5351SJ UNF 2015")</f>
        <v>20ft Sea Ark FL5351SJ UNF 2015</v>
      </c>
      <c r="M928" t="str">
        <f ca="1">IFERROR(__xludf.DUMMYFUNCTION("""COMPUTED_VALUE"""),"Ford F250 2017 (Moby Dix) - DEP0021578")</f>
        <v>Ford F250 2017 (Moby Dix) - DEP0021578</v>
      </c>
      <c r="N928" t="str">
        <f ca="1">IFERROR(__xludf.DUMMYFUNCTION("""COMPUTED_VALUE"""),"Nikki Dix, (352) 219-4079, Pam Marcum, (480) 332-5414")</f>
        <v>Nikki Dix, (352) 219-4079, Pam Marcum, (480) 332-5414</v>
      </c>
      <c r="O928" t="str">
        <f ca="1">IFERROR(__xludf.DUMMYFUNCTION("""COMPUTED_VALUE"""),"Sam, Adam, lisa, tess, cathi")</f>
        <v>Sam, Adam, lisa, tess, cathi</v>
      </c>
      <c r="P928" t="str">
        <f ca="1">IFERROR(__xludf.DUMMYFUNCTION("""COMPUTED_VALUE"""),"Pam")</f>
        <v>Pam</v>
      </c>
      <c r="Q928" t="str">
        <f ca="1">IFERROR(__xludf.DUMMYFUNCTION("""COMPUTED_VALUE"""),"All items in working order")</f>
        <v>All items in working order</v>
      </c>
      <c r="AE928" s="11"/>
      <c r="AF928" t="str">
        <v>Silas.Tanner@floridadep.gov</v>
      </c>
      <c r="AG928" s="18"/>
    </row>
    <row r="929" spans="1:33" ht="12.75">
      <c r="A929" s="10">
        <f ca="1">IFERROR(__xludf.DUMMYFUNCTION("""COMPUTED_VALUE"""),44823.367980787)</f>
        <v>44823.367980786999</v>
      </c>
      <c r="B929" s="11" t="str">
        <f ca="1">IFERROR(__xludf.DUMMYFUNCTION("""COMPUTED_VALUE"""),"Pam Marcum ")</f>
        <v xml:space="preserve">Pam Marcum </v>
      </c>
      <c r="C929" t="str">
        <f ca="1">IFERROR(__xludf.DUMMYFUNCTION("""COMPUTED_VALUE"""),"Pamela.Marcum@FloridaDEP.gov")</f>
        <v>Pamela.Marcum@FloridaDEP.gov</v>
      </c>
      <c r="D929" t="str">
        <f ca="1">IFERROR(__xludf.DUMMYFUNCTION("""COMPUTED_VALUE"""),"Nikki Dix")</f>
        <v>Nikki Dix</v>
      </c>
      <c r="E929" t="str">
        <f ca="1">IFERROR(__xludf.DUMMYFUNCTION("""COMPUTED_VALUE"""),"6 mile")</f>
        <v>6 mile</v>
      </c>
      <c r="F929" s="13">
        <f ca="1">IFERROR(__xludf.DUMMYFUNCTION("""COMPUTED_VALUE"""),0.375)</f>
        <v>0.375</v>
      </c>
      <c r="G929" s="14">
        <f ca="1">IFERROR(__xludf.DUMMYFUNCTION("""COMPUTED_VALUE"""),44823)</f>
        <v>44823</v>
      </c>
      <c r="H929" t="str">
        <f ca="1">IFERROR(__xludf.DUMMYFUNCTION("""COMPUTED_VALUE"""),"Guana lake")</f>
        <v>Guana lake</v>
      </c>
      <c r="I929" s="15">
        <f ca="1">IFERROR(__xludf.DUMMYFUNCTION("""COMPUTED_VALUE"""),0.416666666667879)</f>
        <v>0.41666666666787899</v>
      </c>
      <c r="J929" s="16">
        <f ca="1">IFERROR(__xludf.DUMMYFUNCTION("""COMPUTED_VALUE"""),44823.4375)</f>
        <v>44823.4375</v>
      </c>
      <c r="K929" t="str">
        <f ca="1">IFERROR(__xludf.DUMMYFUNCTION("""COMPUTED_VALUE"""),"Jon Boat 1 FL5992RR DEP154045")</f>
        <v>Jon Boat 1 FL5992RR DEP154045</v>
      </c>
      <c r="M929" t="str">
        <f ca="1">IFERROR(__xludf.DUMMYFUNCTION("""COMPUTED_VALUE"""),"Ford F150 2015 (White) - DEP21448")</f>
        <v>Ford F150 2015 (White) - DEP21448</v>
      </c>
      <c r="N929" t="str">
        <f ca="1">IFERROR(__xludf.DUMMYFUNCTION("""COMPUTED_VALUE"""),"Pam Marcum, (480) 332-5414")</f>
        <v>Pam Marcum, (480) 332-5414</v>
      </c>
      <c r="O929" t="str">
        <f ca="1">IFERROR(__xludf.DUMMYFUNCTION("""COMPUTED_VALUE"""),"Justina, katie")</f>
        <v>Justina, katie</v>
      </c>
      <c r="P929" t="str">
        <f ca="1">IFERROR(__xludf.DUMMYFUNCTION("""COMPUTED_VALUE"""),"Pam")</f>
        <v>Pam</v>
      </c>
      <c r="Q929" t="str">
        <f ca="1">IFERROR(__xludf.DUMMYFUNCTION("""COMPUTED_VALUE"""),"All items in working order")</f>
        <v>All items in working order</v>
      </c>
      <c r="AE929" s="11"/>
      <c r="AF929" t="str">
        <v>Nikki.Dix@floridadep.gov</v>
      </c>
      <c r="AG929" s="18"/>
    </row>
    <row r="930" spans="1:33" ht="12.75">
      <c r="A930" s="10">
        <f ca="1">IFERROR(__xludf.DUMMYFUNCTION("""COMPUTED_VALUE"""),44825.2878565972)</f>
        <v>44825.287856597199</v>
      </c>
      <c r="B930" s="11" t="str">
        <f ca="1">IFERROR(__xludf.DUMMYFUNCTION("""COMPUTED_VALUE"""),"Jimmy")</f>
        <v>Jimmy</v>
      </c>
      <c r="C930" t="str">
        <f ca="1">IFERROR(__xludf.DUMMYFUNCTION("""COMPUTED_VALUE"""),"james.tomazinis@floridadep.gov")</f>
        <v>james.tomazinis@floridadep.gov</v>
      </c>
      <c r="D930" t="str">
        <f ca="1">IFERROR(__xludf.DUMMYFUNCTION("""COMPUTED_VALUE"""),"Scott Eastman")</f>
        <v>Scott Eastman</v>
      </c>
      <c r="E930" t="str">
        <f ca="1">IFERROR(__xludf.DUMMYFUNCTION("""COMPUTED_VALUE"""),"Holly Point and Dee Dee Bartels ")</f>
        <v xml:space="preserve">Holly Point and Dee Dee Bartels </v>
      </c>
      <c r="F930" s="13">
        <f ca="1">IFERROR(__xludf.DUMMYFUNCTION("""COMPUTED_VALUE"""),0.416666666667879)</f>
        <v>0.41666666666787899</v>
      </c>
      <c r="G930" s="14">
        <f ca="1">IFERROR(__xludf.DUMMYFUNCTION("""COMPUTED_VALUE"""),44825)</f>
        <v>44825</v>
      </c>
      <c r="H930" t="str">
        <f ca="1">IFERROR(__xludf.DUMMYFUNCTION("""COMPUTED_VALUE"""),"NEAP WQ sites")</f>
        <v>NEAP WQ sites</v>
      </c>
      <c r="I930" s="15">
        <f ca="1">IFERROR(__xludf.DUMMYFUNCTION("""COMPUTED_VALUE"""),0.625)</f>
        <v>0.625</v>
      </c>
      <c r="J930" s="16"/>
      <c r="K930" t="str">
        <f ca="1">IFERROR(__xludf.DUMMYFUNCTION("""COMPUTED_VALUE"""),"F 20ft Sea Ark (Easy 200) FL8534PY DEP21451")</f>
        <v>F 20ft Sea Ark (Easy 200) FL8534PY DEP21451</v>
      </c>
      <c r="M930" t="str">
        <f ca="1">IFERROR(__xludf.DUMMYFUNCTION("""COMPUTED_VALUE"""),"Ford F150 2007 (F-Bomb) - DEP07055")</f>
        <v>Ford F150 2007 (F-Bomb) - DEP07055</v>
      </c>
      <c r="N930" t="str">
        <f ca="1">IFERROR(__xludf.DUMMYFUNCTION("""COMPUTED_VALUE"""),"Jimmy Tomazinis, (904) 547-0094")</f>
        <v>Jimmy Tomazinis, (904) 547-0094</v>
      </c>
      <c r="O930" t="str">
        <f ca="1">IFERROR(__xludf.DUMMYFUNCTION("""COMPUTED_VALUE"""),"Chirs Kurtz")</f>
        <v>Chirs Kurtz</v>
      </c>
      <c r="P930" t="str">
        <f ca="1">IFERROR(__xludf.DUMMYFUNCTION("""COMPUTED_VALUE"""),"Jimmy")</f>
        <v>Jimmy</v>
      </c>
      <c r="AE930" s="11"/>
      <c r="AF930" t="str">
        <v>Scott.Eastman@floridadep.gov</v>
      </c>
      <c r="AG930" s="18"/>
    </row>
    <row r="931" spans="1:33" ht="12.75">
      <c r="A931" s="10">
        <f ca="1">IFERROR(__xludf.DUMMYFUNCTION("""COMPUTED_VALUE"""),44829.4622605555)</f>
        <v>44829.462260555498</v>
      </c>
      <c r="B931" s="11" t="str">
        <f ca="1">IFERROR(__xludf.DUMMYFUNCTION("""COMPUTED_VALUE"""),"Pam Marcum ")</f>
        <v xml:space="preserve">Pam Marcum </v>
      </c>
      <c r="C931" t="str">
        <f ca="1">IFERROR(__xludf.DUMMYFUNCTION("""COMPUTED_VALUE"""),"Pamela.Marcum@FloridaDEP.gov")</f>
        <v>Pamela.Marcum@FloridaDEP.gov</v>
      </c>
      <c r="D931" t="str">
        <f ca="1">IFERROR(__xludf.DUMMYFUNCTION("""COMPUTED_VALUE"""),"Nikki Dix")</f>
        <v>Nikki Dix</v>
      </c>
      <c r="E931" t="str">
        <f ca="1">IFERROR(__xludf.DUMMYFUNCTION("""COMPUTED_VALUE"""),"Vilano")</f>
        <v>Vilano</v>
      </c>
      <c r="F931" s="13">
        <f ca="1">IFERROR(__xludf.DUMMYFUNCTION("""COMPUTED_VALUE"""),0.45833333333212)</f>
        <v>0.45833333333212001</v>
      </c>
      <c r="G931" s="14">
        <f ca="1">IFERROR(__xludf.DUMMYFUNCTION("""COMPUTED_VALUE"""),44829)</f>
        <v>44829</v>
      </c>
      <c r="H931" t="str">
        <f ca="1">IFERROR(__xludf.DUMMYFUNCTION("""COMPUTED_VALUE"""),"PI-HI-22")</f>
        <v>PI-HI-22</v>
      </c>
      <c r="I931" s="15">
        <f ca="1">IFERROR(__xludf.DUMMYFUNCTION("""COMPUTED_VALUE"""),0.625)</f>
        <v>0.625</v>
      </c>
      <c r="J931" s="16">
        <f ca="1">IFERROR(__xludf.DUMMYFUNCTION("""COMPUTED_VALUE"""),44829.6458333333)</f>
        <v>44829.645833333299</v>
      </c>
      <c r="K931" t="str">
        <f ca="1">IFERROR(__xludf.DUMMYFUNCTION("""COMPUTED_VALUE"""),"20ft Sea Ark FL5351SJ UNF 2015")</f>
        <v>20ft Sea Ark FL5351SJ UNF 2015</v>
      </c>
      <c r="M931" t="str">
        <f ca="1">IFERROR(__xludf.DUMMYFUNCTION("""COMPUTED_VALUE"""),"Ford F250 2017 (Moby Dix) - DEP0021578")</f>
        <v>Ford F250 2017 (Moby Dix) - DEP0021578</v>
      </c>
      <c r="N931" t="str">
        <f ca="1">IFERROR(__xludf.DUMMYFUNCTION("""COMPUTED_VALUE"""),"Pam Marcum, (480) 332-5414")</f>
        <v>Pam Marcum, (480) 332-5414</v>
      </c>
      <c r="O931" t="str">
        <f ca="1">IFERROR(__xludf.DUMMYFUNCTION("""COMPUTED_VALUE"""),"Jacob Berna")</f>
        <v>Jacob Berna</v>
      </c>
      <c r="P931" t="str">
        <f ca="1">IFERROR(__xludf.DUMMYFUNCTION("""COMPUTED_VALUE"""),"Jacob ")</f>
        <v xml:space="preserve">Jacob </v>
      </c>
      <c r="AE931" s="11"/>
      <c r="AF931" t="str">
        <v>Nikki.Dix@floridadep.gov</v>
      </c>
      <c r="AG931" s="18"/>
    </row>
    <row r="932" spans="1:33" ht="12.75">
      <c r="A932" s="10">
        <f ca="1">IFERROR(__xludf.DUMMYFUNCTION("""COMPUTED_VALUE"""),44829.6086786921)</f>
        <v>44829.608678692101</v>
      </c>
      <c r="B932" s="11" t="str">
        <f ca="1">IFERROR(__xludf.DUMMYFUNCTION("""COMPUTED_VALUE"""),"Pam Marcum ")</f>
        <v xml:space="preserve">Pam Marcum </v>
      </c>
      <c r="C932" t="str">
        <f ca="1">IFERROR(__xludf.DUMMYFUNCTION("""COMPUTED_VALUE"""),"Pamela.Marcum@FloridaDEP.gov")</f>
        <v>Pamela.Marcum@FloridaDEP.gov</v>
      </c>
      <c r="D932" t="str">
        <f ca="1">IFERROR(__xludf.DUMMYFUNCTION("""COMPUTED_VALUE"""),"Nikki Dix")</f>
        <v>Nikki Dix</v>
      </c>
      <c r="E932" t="str">
        <f ca="1">IFERROR(__xludf.DUMMYFUNCTION("""COMPUTED_VALUE"""),"Shore Dr ")</f>
        <v xml:space="preserve">Shore Dr </v>
      </c>
      <c r="F932" s="13">
        <f ca="1">IFERROR(__xludf.DUMMYFUNCTION("""COMPUTED_VALUE"""),0.604166666667879)</f>
        <v>0.60416666666787899</v>
      </c>
      <c r="G932" s="14">
        <f ca="1">IFERROR(__xludf.DUMMYFUNCTION("""COMPUTED_VALUE"""),44829)</f>
        <v>44829</v>
      </c>
      <c r="H932" t="str">
        <f ca="1">IFERROR(__xludf.DUMMYFUNCTION("""COMPUTED_VALUE"""),"Site 22")</f>
        <v>Site 22</v>
      </c>
      <c r="I932" s="15">
        <f ca="1">IFERROR(__xludf.DUMMYFUNCTION("""COMPUTED_VALUE"""),0.6875)</f>
        <v>0.6875</v>
      </c>
      <c r="J932" s="16">
        <f ca="1">IFERROR(__xludf.DUMMYFUNCTION("""COMPUTED_VALUE"""),44829.7083333333)</f>
        <v>44829.708333333299</v>
      </c>
      <c r="K932" t="str">
        <f ca="1">IFERROR(__xludf.DUMMYFUNCTION("""COMPUTED_VALUE"""),"20ft Sea Ark FL5351SJ UNF 2015")</f>
        <v>20ft Sea Ark FL5351SJ UNF 2015</v>
      </c>
      <c r="M932" t="str">
        <f ca="1">IFERROR(__xludf.DUMMYFUNCTION("""COMPUTED_VALUE"""),"Ford F250 2017 (Moby Dix) - DEP0021578")</f>
        <v>Ford F250 2017 (Moby Dix) - DEP0021578</v>
      </c>
      <c r="N932" t="str">
        <f ca="1">IFERROR(__xludf.DUMMYFUNCTION("""COMPUTED_VALUE"""),"Pam Marcum, (480) 332-5414")</f>
        <v>Pam Marcum, (480) 332-5414</v>
      </c>
      <c r="O932" t="str">
        <f ca="1">IFERROR(__xludf.DUMMYFUNCTION("""COMPUTED_VALUE"""),"Jacob Berna")</f>
        <v>Jacob Berna</v>
      </c>
      <c r="P932" t="str">
        <f ca="1">IFERROR(__xludf.DUMMYFUNCTION("""COMPUTED_VALUE"""),"Jacob")</f>
        <v>Jacob</v>
      </c>
      <c r="AE932" s="11"/>
      <c r="AF932" t="str">
        <v>Nikki.Dix@floridadep.gov</v>
      </c>
      <c r="AG932" s="18"/>
    </row>
    <row r="933" spans="1:33" ht="12.75">
      <c r="A933" s="10">
        <f ca="1">IFERROR(__xludf.DUMMYFUNCTION("""COMPUTED_VALUE"""),44830.4176671296)</f>
        <v>44830.417667129601</v>
      </c>
      <c r="B933" s="11" t="str">
        <f ca="1">IFERROR(__xludf.DUMMYFUNCTION("""COMPUTED_VALUE"""),"Pam Marcum ")</f>
        <v xml:space="preserve">Pam Marcum </v>
      </c>
      <c r="C933" t="str">
        <f ca="1">IFERROR(__xludf.DUMMYFUNCTION("""COMPUTED_VALUE"""),"Pamela.Marcum@FloridaDEP.gov")</f>
        <v>Pamela.Marcum@FloridaDEP.gov</v>
      </c>
      <c r="D933" t="str">
        <f ca="1">IFERROR(__xludf.DUMMYFUNCTION("""COMPUTED_VALUE"""),"Nikki Dix")</f>
        <v>Nikki Dix</v>
      </c>
      <c r="E933" t="str">
        <f ca="1">IFERROR(__xludf.DUMMYFUNCTION("""COMPUTED_VALUE"""),"Faver dykes")</f>
        <v>Faver dykes</v>
      </c>
      <c r="F933" s="13">
        <f ca="1">IFERROR(__xludf.DUMMYFUNCTION("""COMPUTED_VALUE"""),0.40625)</f>
        <v>0.40625</v>
      </c>
      <c r="G933" s="14">
        <f ca="1">IFERROR(__xludf.DUMMYFUNCTION("""COMPUTED_VALUE"""),44830)</f>
        <v>44830</v>
      </c>
      <c r="H933" t="str">
        <f ca="1">IFERROR(__xludf.DUMMYFUNCTION("""COMPUTED_VALUE"""),"Pellicer creek ")</f>
        <v xml:space="preserve">Pellicer creek </v>
      </c>
      <c r="I933" s="15">
        <f ca="1">IFERROR(__xludf.DUMMYFUNCTION("""COMPUTED_VALUE"""),0.541666666667879)</f>
        <v>0.54166666666787899</v>
      </c>
      <c r="J933" s="16">
        <f ca="1">IFERROR(__xludf.DUMMYFUNCTION("""COMPUTED_VALUE"""),44830.5833333333)</f>
        <v>44830.583333333299</v>
      </c>
      <c r="K933" t="str">
        <f ca="1">IFERROR(__xludf.DUMMYFUNCTION("""COMPUTED_VALUE"""),"20ft Sea Ark FL5351SJ UNF 2015")</f>
        <v>20ft Sea Ark FL5351SJ UNF 2015</v>
      </c>
      <c r="M933" t="str">
        <f ca="1">IFERROR(__xludf.DUMMYFUNCTION("""COMPUTED_VALUE"""),"Ford F250 2017 (Moby Dix) - DEP0021578")</f>
        <v>Ford F250 2017 (Moby Dix) - DEP0021578</v>
      </c>
      <c r="N933" t="str">
        <f ca="1">IFERROR(__xludf.DUMMYFUNCTION("""COMPUTED_VALUE"""),"Pam Marcum, (480) 332-5414")</f>
        <v>Pam Marcum, (480) 332-5414</v>
      </c>
      <c r="O933" t="str">
        <f ca="1">IFERROR(__xludf.DUMMYFUNCTION("""COMPUTED_VALUE"""),"Jacob Berna")</f>
        <v>Jacob Berna</v>
      </c>
      <c r="P933" t="str">
        <f ca="1">IFERROR(__xludf.DUMMYFUNCTION("""COMPUTED_VALUE"""),"Jacob ")</f>
        <v xml:space="preserve">Jacob </v>
      </c>
      <c r="AE933" s="11"/>
      <c r="AF933" t="str">
        <v>Nikki.Dix@floridadep.gov</v>
      </c>
      <c r="AG933" s="18"/>
    </row>
    <row r="934" spans="1:33" ht="12.75">
      <c r="A934" s="10">
        <f ca="1">IFERROR(__xludf.DUMMYFUNCTION("""COMPUTED_VALUE"""),44831.3910480092)</f>
        <v>44831.391048009202</v>
      </c>
      <c r="B934" s="11" t="str">
        <f ca="1">IFERROR(__xludf.DUMMYFUNCTION("""COMPUTED_VALUE"""),"Silas Tanner")</f>
        <v>Silas Tanner</v>
      </c>
      <c r="C934" t="str">
        <f ca="1">IFERROR(__xludf.DUMMYFUNCTION("""COMPUTED_VALUE"""),"silas.tanner@floridadep.gov")</f>
        <v>silas.tanner@floridadep.gov</v>
      </c>
      <c r="D934" t="str">
        <f ca="1">IFERROR(__xludf.DUMMYFUNCTION("""COMPUTED_VALUE"""),"Nikki Dix")</f>
        <v>Nikki Dix</v>
      </c>
      <c r="E934" t="str">
        <f ca="1">IFERROR(__xludf.DUMMYFUNCTION("""COMPUTED_VALUE"""),"Vilano")</f>
        <v>Vilano</v>
      </c>
      <c r="F934" s="13">
        <f ca="1">IFERROR(__xludf.DUMMYFUNCTION("""COMPUTED_VALUE"""),0.4375)</f>
        <v>0.4375</v>
      </c>
      <c r="G934" s="14">
        <f ca="1">IFERROR(__xludf.DUMMYFUNCTION("""COMPUTED_VALUE"""),44831)</f>
        <v>44831</v>
      </c>
      <c r="H934" t="str">
        <f ca="1">IFERROR(__xludf.DUMMYFUNCTION("""COMPUTED_VALUE"""),"ICW SWMP sites")</f>
        <v>ICW SWMP sites</v>
      </c>
      <c r="I934" s="15">
        <f ca="1">IFERROR(__xludf.DUMMYFUNCTION("""COMPUTED_VALUE"""),0.61458333333212)</f>
        <v>0.61458333333212001</v>
      </c>
      <c r="J934" s="16">
        <f ca="1">IFERROR(__xludf.DUMMYFUNCTION("""COMPUTED_VALUE"""),44831.6354166666)</f>
        <v>44831.635416666599</v>
      </c>
      <c r="K934" t="str">
        <f ca="1">IFERROR(__xludf.DUMMYFUNCTION("""COMPUTED_VALUE"""),"F 20ft Sea Ark (Easy 200) FL8534PY DEP21451")</f>
        <v>F 20ft Sea Ark (Easy 200) FL8534PY DEP21451</v>
      </c>
      <c r="M934" t="str">
        <f ca="1">IFERROR(__xludf.DUMMYFUNCTION("""COMPUTED_VALUE"""),"Ford F150 2007 (F-Bomb) - DEP07055")</f>
        <v>Ford F150 2007 (F-Bomb) - DEP07055</v>
      </c>
      <c r="N934" t="str">
        <f ca="1">IFERROR(__xludf.DUMMYFUNCTION("""COMPUTED_VALUE"""),"Silas Tanner, (904) 483-8423, Remo Mondazzi")</f>
        <v>Silas Tanner, (904) 483-8423, Remo Mondazzi</v>
      </c>
      <c r="P934" t="str">
        <f ca="1">IFERROR(__xludf.DUMMYFUNCTION("""COMPUTED_VALUE"""),"Silas Tanner")</f>
        <v>Silas Tanner</v>
      </c>
      <c r="AE934" s="11"/>
      <c r="AF934" t="str">
        <v>Nikki.Dix@floridadep.gov</v>
      </c>
      <c r="AG934" s="18"/>
    </row>
    <row r="935" spans="1:33" ht="12.75">
      <c r="A935" s="10">
        <f ca="1">IFERROR(__xludf.DUMMYFUNCTION("""COMPUTED_VALUE"""),44839.3703431134)</f>
        <v>44839.370343113398</v>
      </c>
      <c r="B935" s="11" t="str">
        <f ca="1">IFERROR(__xludf.DUMMYFUNCTION("""COMPUTED_VALUE"""),"Silas Tanner")</f>
        <v>Silas Tanner</v>
      </c>
      <c r="C935" t="str">
        <f ca="1">IFERROR(__xludf.DUMMYFUNCTION("""COMPUTED_VALUE"""),"silas.tanner@floridadep.gov")</f>
        <v>silas.tanner@floridadep.gov</v>
      </c>
      <c r="D935" t="str">
        <f ca="1">IFERROR(__xludf.DUMMYFUNCTION("""COMPUTED_VALUE"""),"Nikki Dix")</f>
        <v>Nikki Dix</v>
      </c>
      <c r="E935" t="str">
        <f ca="1">IFERROR(__xludf.DUMMYFUNCTION("""COMPUTED_VALUE"""),"Vilano")</f>
        <v>Vilano</v>
      </c>
      <c r="F935" s="13">
        <f ca="1">IFERROR(__xludf.DUMMYFUNCTION("""COMPUTED_VALUE"""),0.416666666667879)</f>
        <v>0.41666666666787899</v>
      </c>
      <c r="G935" s="14">
        <f ca="1">IFERROR(__xludf.DUMMYFUNCTION("""COMPUTED_VALUE"""),44839)</f>
        <v>44839</v>
      </c>
      <c r="H935" t="str">
        <f ca="1">IFERROR(__xludf.DUMMYFUNCTION("""COMPUTED_VALUE"""),"ICW SWMP sites: SS &amp; PI")</f>
        <v>ICW SWMP sites: SS &amp; PI</v>
      </c>
      <c r="I935" s="15">
        <f ca="1">IFERROR(__xludf.DUMMYFUNCTION("""COMPUTED_VALUE"""),0.541666666667879)</f>
        <v>0.54166666666787899</v>
      </c>
      <c r="J935" s="16">
        <f ca="1">IFERROR(__xludf.DUMMYFUNCTION("""COMPUTED_VALUE"""),44839.5625)</f>
        <v>44839.5625</v>
      </c>
      <c r="K935" t="str">
        <f ca="1">IFERROR(__xludf.DUMMYFUNCTION("""COMPUTED_VALUE"""),"20ft Sea Ark FL5351SJ UNF 2015")</f>
        <v>20ft Sea Ark FL5351SJ UNF 2015</v>
      </c>
      <c r="M935" t="str">
        <f ca="1">IFERROR(__xludf.DUMMYFUNCTION("""COMPUTED_VALUE"""),"Ford F150 2015 (White) - DEP21448")</f>
        <v>Ford F150 2015 (White) - DEP21448</v>
      </c>
      <c r="N935" t="str">
        <f ca="1">IFERROR(__xludf.DUMMYFUNCTION("""COMPUTED_VALUE"""),"Shannon Dunnigan, (803) 727-5734, Silas Tanner, (904) 483-8423")</f>
        <v>Shannon Dunnigan, (803) 727-5734, Silas Tanner, (904) 483-8423</v>
      </c>
      <c r="P935" t="str">
        <f ca="1">IFERROR(__xludf.DUMMYFUNCTION("""COMPUTED_VALUE"""),"Shannon Dunnigan")</f>
        <v>Shannon Dunnigan</v>
      </c>
      <c r="AE935" s="11"/>
      <c r="AF935" t="str">
        <v>Nikki.Dix@floridadep.gov</v>
      </c>
      <c r="AG935" s="18"/>
    </row>
    <row r="936" spans="1:33" ht="12.75">
      <c r="A936" s="10">
        <f ca="1">IFERROR(__xludf.DUMMYFUNCTION("""COMPUTED_VALUE"""),44840.297067662)</f>
        <v>44840.297067662003</v>
      </c>
      <c r="B936" s="11" t="str">
        <f ca="1">IFERROR(__xludf.DUMMYFUNCTION("""COMPUTED_VALUE"""),"Jessica Lee")</f>
        <v>Jessica Lee</v>
      </c>
      <c r="C936" t="str">
        <f ca="1">IFERROR(__xludf.DUMMYFUNCTION("""COMPUTED_VALUE"""),"jessica.lee@floridadep.gov")</f>
        <v>jessica.lee@floridadep.gov</v>
      </c>
      <c r="D936" t="str">
        <f ca="1">IFERROR(__xludf.DUMMYFUNCTION("""COMPUTED_VALUE"""),"Nikki Dix")</f>
        <v>Nikki Dix</v>
      </c>
      <c r="E936" t="str">
        <f ca="1">IFERROR(__xludf.DUMMYFUNCTION("""COMPUTED_VALUE"""),"Guana River")</f>
        <v>Guana River</v>
      </c>
      <c r="F936" s="13">
        <f ca="1">IFERROR(__xludf.DUMMYFUNCTION("""COMPUTED_VALUE"""),0.30208333333212)</f>
        <v>0.30208333333212001</v>
      </c>
      <c r="G936" s="14">
        <f ca="1">IFERROR(__xludf.DUMMYFUNCTION("""COMPUTED_VALUE"""),44840)</f>
        <v>44840</v>
      </c>
      <c r="H936" t="str">
        <f ca="1">IFERROR(__xludf.DUMMYFUNCTION("""COMPUTED_VALUE"""),"Guana River")</f>
        <v>Guana River</v>
      </c>
      <c r="I936" s="15">
        <f ca="1">IFERROR(__xludf.DUMMYFUNCTION("""COMPUTED_VALUE"""),0.36458333333212)</f>
        <v>0.36458333333212001</v>
      </c>
      <c r="J936" s="16">
        <f ca="1">IFERROR(__xludf.DUMMYFUNCTION("""COMPUTED_VALUE"""),44840.375)</f>
        <v>44840.375</v>
      </c>
      <c r="K936" t="str">
        <f ca="1">IFERROR(__xludf.DUMMYFUNCTION("""COMPUTED_VALUE"""),"Jon Boat 1 FL5992RR DEP154045")</f>
        <v>Jon Boat 1 FL5992RR DEP154045</v>
      </c>
      <c r="M936" t="str">
        <f ca="1">IFERROR(__xludf.DUMMYFUNCTION("""COMPUTED_VALUE"""),"Ford F250 2017 (Moby Dix) - DEP0021578")</f>
        <v>Ford F250 2017 (Moby Dix) - DEP0021578</v>
      </c>
      <c r="N936" t="str">
        <f ca="1">IFERROR(__xludf.DUMMYFUNCTION("""COMPUTED_VALUE"""),"Jessica Lee, (813) 748-2228")</f>
        <v>Jessica Lee, (813) 748-2228</v>
      </c>
      <c r="O936" t="str">
        <f ca="1">IFERROR(__xludf.DUMMYFUNCTION("""COMPUTED_VALUE"""),"Jenna")</f>
        <v>Jenna</v>
      </c>
      <c r="P936" t="str">
        <f ca="1">IFERROR(__xludf.DUMMYFUNCTION("""COMPUTED_VALUE"""),"Jess")</f>
        <v>Jess</v>
      </c>
      <c r="AE936" s="11"/>
      <c r="AF936" t="str">
        <v>Nikki.Dix@floridadep.gov</v>
      </c>
      <c r="AG936" s="18"/>
    </row>
    <row r="937" spans="1:33" ht="12.75">
      <c r="A937" s="10">
        <f ca="1">IFERROR(__xludf.DUMMYFUNCTION("""COMPUTED_VALUE"""),44844.2914829398)</f>
        <v>44844.2914829398</v>
      </c>
      <c r="B937" s="11" t="str">
        <f ca="1">IFERROR(__xludf.DUMMYFUNCTION("""COMPUTED_VALUE"""),"Silas Tanner")</f>
        <v>Silas Tanner</v>
      </c>
      <c r="C937" t="str">
        <f ca="1">IFERROR(__xludf.DUMMYFUNCTION("""COMPUTED_VALUE"""),"silas.tanner@floridadep.gov")</f>
        <v>silas.tanner@floridadep.gov</v>
      </c>
      <c r="D937" t="str">
        <f ca="1">IFERROR(__xludf.DUMMYFUNCTION("""COMPUTED_VALUE"""),"Nikki Dix")</f>
        <v>Nikki Dix</v>
      </c>
      <c r="E937" t="str">
        <f ca="1">IFERROR(__xludf.DUMMYFUNCTION("""COMPUTED_VALUE"""),"Vilano")</f>
        <v>Vilano</v>
      </c>
      <c r="F937" s="13">
        <f ca="1">IFERROR(__xludf.DUMMYFUNCTION("""COMPUTED_VALUE"""),0.375)</f>
        <v>0.375</v>
      </c>
      <c r="G937" s="14">
        <f ca="1">IFERROR(__xludf.DUMMYFUNCTION("""COMPUTED_VALUE"""),44844)</f>
        <v>44844</v>
      </c>
      <c r="H937" t="str">
        <f ca="1">IFERROR(__xludf.DUMMYFUNCTION("""COMPUTED_VALUE"""),"ICW SWMP sites")</f>
        <v>ICW SWMP sites</v>
      </c>
      <c r="I937" s="15">
        <f ca="1">IFERROR(__xludf.DUMMYFUNCTION("""COMPUTED_VALUE"""),0.541666666667879)</f>
        <v>0.54166666666787899</v>
      </c>
      <c r="J937" s="16">
        <f ca="1">IFERROR(__xludf.DUMMYFUNCTION("""COMPUTED_VALUE"""),44844.5625)</f>
        <v>44844.5625</v>
      </c>
      <c r="K937" t="str">
        <f ca="1">IFERROR(__xludf.DUMMYFUNCTION("""COMPUTED_VALUE"""),"20ft Sea Ark FL5351SJ UNF 2015")</f>
        <v>20ft Sea Ark FL5351SJ UNF 2015</v>
      </c>
      <c r="M937" t="str">
        <f ca="1">IFERROR(__xludf.DUMMYFUNCTION("""COMPUTED_VALUE"""),"Ford F250 2017 (Moby Dix) - DEP0021578")</f>
        <v>Ford F250 2017 (Moby Dix) - DEP0021578</v>
      </c>
      <c r="N937" t="str">
        <f ca="1">IFERROR(__xludf.DUMMYFUNCTION("""COMPUTED_VALUE"""),"Silas Tanner, (904) 483-8423")</f>
        <v>Silas Tanner, (904) 483-8423</v>
      </c>
      <c r="O937" t="str">
        <f ca="1">IFERROR(__xludf.DUMMYFUNCTION("""COMPUTED_VALUE"""),"Jacob Berna")</f>
        <v>Jacob Berna</v>
      </c>
      <c r="P937" t="str">
        <f ca="1">IFERROR(__xludf.DUMMYFUNCTION("""COMPUTED_VALUE"""),"S. Tanner")</f>
        <v>S. Tanner</v>
      </c>
      <c r="AE937" s="11"/>
      <c r="AF937" t="str">
        <v>Nikki.Dix@floridadep.gov</v>
      </c>
      <c r="AG937" s="18"/>
    </row>
    <row r="938" spans="1:33" ht="12.75">
      <c r="A938" s="10">
        <f ca="1">IFERROR(__xludf.DUMMYFUNCTION("""COMPUTED_VALUE"""),44845.4182621643)</f>
        <v>44845.418262164298</v>
      </c>
      <c r="B938" s="11" t="str">
        <f ca="1">IFERROR(__xludf.DUMMYFUNCTION("""COMPUTED_VALUE"""),"Silas Tanner")</f>
        <v>Silas Tanner</v>
      </c>
      <c r="C938" t="str">
        <f ca="1">IFERROR(__xludf.DUMMYFUNCTION("""COMPUTED_VALUE"""),"silas.tanner@floridadep.gov")</f>
        <v>silas.tanner@floridadep.gov</v>
      </c>
      <c r="D938" t="str">
        <f ca="1">IFERROR(__xludf.DUMMYFUNCTION("""COMPUTED_VALUE"""),"Shannon Dunnigan")</f>
        <v>Shannon Dunnigan</v>
      </c>
      <c r="E938" t="str">
        <f ca="1">IFERROR(__xludf.DUMMYFUNCTION("""COMPUTED_VALUE"""),"Vilano")</f>
        <v>Vilano</v>
      </c>
      <c r="F938" s="13">
        <f ca="1">IFERROR(__xludf.DUMMYFUNCTION("""COMPUTED_VALUE"""),0.45833333333212)</f>
        <v>0.45833333333212001</v>
      </c>
      <c r="G938" s="14">
        <f ca="1">IFERROR(__xludf.DUMMYFUNCTION("""COMPUTED_VALUE"""),44845)</f>
        <v>44845</v>
      </c>
      <c r="H938" t="str">
        <f ca="1">IFERROR(__xludf.DUMMYFUNCTION("""COMPUTED_VALUE"""),"ICW SWMP sites")</f>
        <v>ICW SWMP sites</v>
      </c>
      <c r="I938" s="15">
        <f ca="1">IFERROR(__xludf.DUMMYFUNCTION("""COMPUTED_VALUE"""),0.58333333333212)</f>
        <v>0.58333333333212001</v>
      </c>
      <c r="J938" s="16">
        <f ca="1">IFERROR(__xludf.DUMMYFUNCTION("""COMPUTED_VALUE"""),44845.6041666666)</f>
        <v>44845.604166666599</v>
      </c>
      <c r="K938" t="str">
        <f ca="1">IFERROR(__xludf.DUMMYFUNCTION("""COMPUTED_VALUE"""),"20ft Sea Ark FL5351SJ UNF 2015")</f>
        <v>20ft Sea Ark FL5351SJ UNF 2015</v>
      </c>
      <c r="M938" t="str">
        <f ca="1">IFERROR(__xludf.DUMMYFUNCTION("""COMPUTED_VALUE"""),"Ford F250 2017 (Moby Dix) - DEP0021578")</f>
        <v>Ford F250 2017 (Moby Dix) - DEP0021578</v>
      </c>
      <c r="N938" t="str">
        <f ca="1">IFERROR(__xludf.DUMMYFUNCTION("""COMPUTED_VALUE"""),"Silas Tanner, (904) 483-8423, Remo Mondazzi")</f>
        <v>Silas Tanner, (904) 483-8423, Remo Mondazzi</v>
      </c>
      <c r="P938" t="str">
        <f ca="1">IFERROR(__xludf.DUMMYFUNCTION("""COMPUTED_VALUE"""),"Silas Tanner")</f>
        <v>Silas Tanner</v>
      </c>
      <c r="AE938" s="11"/>
      <c r="AF938" t="str">
        <v>Shannon.Dunnigan@floridadep.gov</v>
      </c>
      <c r="AG938" s="18"/>
    </row>
    <row r="939" spans="1:33" ht="12.75">
      <c r="A939" s="10">
        <f ca="1">IFERROR(__xludf.DUMMYFUNCTION("""COMPUTED_VALUE"""),44847.3924161689)</f>
        <v>44847.392416168899</v>
      </c>
      <c r="B939" s="11" t="str">
        <f ca="1">IFERROR(__xludf.DUMMYFUNCTION("""COMPUTED_VALUE"""),"Pam Marcum ")</f>
        <v xml:space="preserve">Pam Marcum </v>
      </c>
      <c r="C939" t="str">
        <f ca="1">IFERROR(__xludf.DUMMYFUNCTION("""COMPUTED_VALUE"""),"Pamela.Marcum@FloridaDEP.gov")</f>
        <v>Pamela.Marcum@FloridaDEP.gov</v>
      </c>
      <c r="D939" t="str">
        <f ca="1">IFERROR(__xludf.DUMMYFUNCTION("""COMPUTED_VALUE"""),"Nikki Dix")</f>
        <v>Nikki Dix</v>
      </c>
      <c r="E939" t="str">
        <f ca="1">IFERROR(__xludf.DUMMYFUNCTION("""COMPUTED_VALUE"""),"Faver-Dykes ")</f>
        <v xml:space="preserve">Faver-Dykes </v>
      </c>
      <c r="F939" s="13">
        <f ca="1">IFERROR(__xludf.DUMMYFUNCTION("""COMPUTED_VALUE"""),0.34375)</f>
        <v>0.34375</v>
      </c>
      <c r="G939" s="14">
        <f ca="1">IFERROR(__xludf.DUMMYFUNCTION("""COMPUTED_VALUE"""),44847)</f>
        <v>44847</v>
      </c>
      <c r="H939" t="str">
        <f ca="1">IFERROR(__xludf.DUMMYFUNCTION("""COMPUTED_VALUE"""),"Pellicer mouth ")</f>
        <v xml:space="preserve">Pellicer mouth </v>
      </c>
      <c r="I939" s="15">
        <f ca="1">IFERROR(__xludf.DUMMYFUNCTION("""COMPUTED_VALUE"""),0.5)</f>
        <v>0.5</v>
      </c>
      <c r="J939" s="16">
        <f ca="1">IFERROR(__xludf.DUMMYFUNCTION("""COMPUTED_VALUE"""),44847.5416666666)</f>
        <v>44847.541666666599</v>
      </c>
      <c r="K939" t="str">
        <f ca="1">IFERROR(__xludf.DUMMYFUNCTION("""COMPUTED_VALUE"""),"Jon Boat 1 FL5992RR DEP154045")</f>
        <v>Jon Boat 1 FL5992RR DEP154045</v>
      </c>
      <c r="M939" t="str">
        <f ca="1">IFERROR(__xludf.DUMMYFUNCTION("""COMPUTED_VALUE"""),"Ford F150 2015 (White) - DEP21448")</f>
        <v>Ford F150 2015 (White) - DEP21448</v>
      </c>
      <c r="N939" t="str">
        <f ca="1">IFERROR(__xludf.DUMMYFUNCTION("""COMPUTED_VALUE"""),"Pam Marcum, (480) 332-5414")</f>
        <v>Pam Marcum, (480) 332-5414</v>
      </c>
      <c r="O939" t="str">
        <f ca="1">IFERROR(__xludf.DUMMYFUNCTION("""COMPUTED_VALUE"""),"Jacob Berna, Jeff Finnan ")</f>
        <v xml:space="preserve">Jacob Berna, Jeff Finnan </v>
      </c>
      <c r="P939" t="str">
        <f ca="1">IFERROR(__xludf.DUMMYFUNCTION("""COMPUTED_VALUE"""),"Jacob ")</f>
        <v xml:space="preserve">Jacob </v>
      </c>
      <c r="AE939" s="11"/>
      <c r="AF939" t="str">
        <v>Nikki.Dix@floridadep.gov</v>
      </c>
      <c r="AG939" s="18"/>
    </row>
    <row r="940" spans="1:33" ht="12.75">
      <c r="A940" s="10">
        <f ca="1">IFERROR(__xludf.DUMMYFUNCTION("""COMPUTED_VALUE"""),44848.3240230324)</f>
        <v>44848.324023032401</v>
      </c>
      <c r="B940" s="11" t="str">
        <f ca="1">IFERROR(__xludf.DUMMYFUNCTION("""COMPUTED_VALUE"""),"Pam Marcum ")</f>
        <v xml:space="preserve">Pam Marcum </v>
      </c>
      <c r="C940" t="str">
        <f ca="1">IFERROR(__xludf.DUMMYFUNCTION("""COMPUTED_VALUE"""),"Pamela.Marcum@FloridaDEP.gov")</f>
        <v>Pamela.Marcum@FloridaDEP.gov</v>
      </c>
      <c r="D940" t="str">
        <f ca="1">IFERROR(__xludf.DUMMYFUNCTION("""COMPUTED_VALUE"""),"Nikki Dix")</f>
        <v>Nikki Dix</v>
      </c>
      <c r="E940" t="str">
        <f ca="1">IFERROR(__xludf.DUMMYFUNCTION("""COMPUTED_VALUE"""),"Bings")</f>
        <v>Bings</v>
      </c>
      <c r="F940" s="13">
        <f ca="1">IFERROR(__xludf.DUMMYFUNCTION("""COMPUTED_VALUE"""),0.3125)</f>
        <v>0.3125</v>
      </c>
      <c r="G940" s="14">
        <f ca="1">IFERROR(__xludf.DUMMYFUNCTION("""COMPUTED_VALUE"""),44848)</f>
        <v>44848</v>
      </c>
      <c r="H940" t="str">
        <f ca="1">IFERROR(__xludf.DUMMYFUNCTION("""COMPUTED_VALUE"""),"Washington oaks platforms ")</f>
        <v xml:space="preserve">Washington oaks platforms </v>
      </c>
      <c r="I940" s="15">
        <f ca="1">IFERROR(__xludf.DUMMYFUNCTION("""COMPUTED_VALUE"""),0.5)</f>
        <v>0.5</v>
      </c>
      <c r="J940" s="16">
        <f ca="1">IFERROR(__xludf.DUMMYFUNCTION("""COMPUTED_VALUE"""),44848.5416666666)</f>
        <v>44848.541666666599</v>
      </c>
      <c r="K940" t="str">
        <f ca="1">IFERROR(__xludf.DUMMYFUNCTION("""COMPUTED_VALUE"""),"17ft Skiff (Marsha) FL0642GW DEP07239")</f>
        <v>17ft Skiff (Marsha) FL0642GW DEP07239</v>
      </c>
      <c r="M940" t="str">
        <f ca="1">IFERROR(__xludf.DUMMYFUNCTION("""COMPUTED_VALUE"""),"Ford F250 2017 (Moby Dix) - DEP0021578")</f>
        <v>Ford F250 2017 (Moby Dix) - DEP0021578</v>
      </c>
      <c r="N940" t="str">
        <f ca="1">IFERROR(__xludf.DUMMYFUNCTION("""COMPUTED_VALUE"""),"Pam Marcum, (480) 332-5414")</f>
        <v>Pam Marcum, (480) 332-5414</v>
      </c>
      <c r="O940" t="str">
        <f ca="1">IFERROR(__xludf.DUMMYFUNCTION("""COMPUTED_VALUE"""),"Jacob Berna")</f>
        <v>Jacob Berna</v>
      </c>
      <c r="P940" t="str">
        <f ca="1">IFERROR(__xludf.DUMMYFUNCTION("""COMPUTED_VALUE"""),"Jacob ")</f>
        <v xml:space="preserve">Jacob </v>
      </c>
      <c r="AE940" s="11"/>
      <c r="AF940" t="str">
        <v>Nikki.Dix@floridadep.gov</v>
      </c>
      <c r="AG940" s="18"/>
    </row>
    <row r="941" spans="1:33" ht="12.75">
      <c r="A941" s="10">
        <f ca="1">IFERROR(__xludf.DUMMYFUNCTION("""COMPUTED_VALUE"""),44851.3352827777)</f>
        <v>44851.335282777698</v>
      </c>
      <c r="B941" s="11" t="str">
        <f ca="1">IFERROR(__xludf.DUMMYFUNCTION("""COMPUTED_VALUE"""),"Jacob Berna")</f>
        <v>Jacob Berna</v>
      </c>
      <c r="C941" t="str">
        <f ca="1">IFERROR(__xludf.DUMMYFUNCTION("""COMPUTED_VALUE"""),"Jacob.Berna@FloridaDEP.gov")</f>
        <v>Jacob.Berna@FloridaDEP.gov</v>
      </c>
      <c r="D941" t="str">
        <f ca="1">IFERROR(__xludf.DUMMYFUNCTION("""COMPUTED_VALUE"""),"Nikki Dix")</f>
        <v>Nikki Dix</v>
      </c>
      <c r="E941" t="str">
        <f ca="1">IFERROR(__xludf.DUMMYFUNCTION("""COMPUTED_VALUE"""),"Frank Butler")</f>
        <v>Frank Butler</v>
      </c>
      <c r="F941" s="13">
        <f ca="1">IFERROR(__xludf.DUMMYFUNCTION("""COMPUTED_VALUE"""),0.33333333333212)</f>
        <v>0.33333333333212001</v>
      </c>
      <c r="G941" s="14">
        <f ca="1">IFERROR(__xludf.DUMMYFUNCTION("""COMPUTED_VALUE"""),44851)</f>
        <v>44851</v>
      </c>
      <c r="H941" t="str">
        <f ca="1">IFERROR(__xludf.DUMMYFUNCTION("""COMPUTED_VALUE"""),"Moses Creek Transects")</f>
        <v>Moses Creek Transects</v>
      </c>
      <c r="I941" s="15">
        <f ca="1">IFERROR(__xludf.DUMMYFUNCTION("""COMPUTED_VALUE"""),0.625)</f>
        <v>0.625</v>
      </c>
      <c r="J941" s="16">
        <f ca="1">IFERROR(__xludf.DUMMYFUNCTION("""COMPUTED_VALUE"""),44851.6666666666)</f>
        <v>44851.666666666599</v>
      </c>
      <c r="K941" t="str">
        <f ca="1">IFERROR(__xludf.DUMMYFUNCTION("""COMPUTED_VALUE"""),"Jon Boat 1 FL5992RR DEP154045")</f>
        <v>Jon Boat 1 FL5992RR DEP154045</v>
      </c>
      <c r="M941" t="str">
        <f ca="1">IFERROR(__xludf.DUMMYFUNCTION("""COMPUTED_VALUE"""),"Ford F250 2017 (Moby Dix) - DEP0021578")</f>
        <v>Ford F250 2017 (Moby Dix) - DEP0021578</v>
      </c>
      <c r="N941" t="str">
        <f ca="1">IFERROR(__xludf.DUMMYFUNCTION("""COMPUTED_VALUE"""),"Pam Marcum, (480) 332-5414")</f>
        <v>Pam Marcum, (480) 332-5414</v>
      </c>
      <c r="O941" t="str">
        <f ca="1">IFERROR(__xludf.DUMMYFUNCTION("""COMPUTED_VALUE"""),"Jacob Berna, Remo mondazzi")</f>
        <v>Jacob Berna, Remo mondazzi</v>
      </c>
      <c r="P941" t="str">
        <f ca="1">IFERROR(__xludf.DUMMYFUNCTION("""COMPUTED_VALUE"""),"Pam Marcum")</f>
        <v>Pam Marcum</v>
      </c>
      <c r="AE941" s="11"/>
      <c r="AF941" t="str">
        <v>Nikki.Dix@floridadep.gov</v>
      </c>
      <c r="AG941" s="18"/>
    </row>
    <row r="942" spans="1:33" ht="12.75">
      <c r="A942" s="10">
        <f ca="1">IFERROR(__xludf.DUMMYFUNCTION("""COMPUTED_VALUE"""),44852.4015649421)</f>
        <v>44852.401564942098</v>
      </c>
      <c r="B942" s="11" t="str">
        <f ca="1">IFERROR(__xludf.DUMMYFUNCTION("""COMPUTED_VALUE"""),"Jacob Berna")</f>
        <v>Jacob Berna</v>
      </c>
      <c r="C942" t="str">
        <f ca="1">IFERROR(__xludf.DUMMYFUNCTION("""COMPUTED_VALUE"""),"Jacob.Berna@FloridaDEP.gov")</f>
        <v>Jacob.Berna@FloridaDEP.gov</v>
      </c>
      <c r="D942" t="str">
        <f ca="1">IFERROR(__xludf.DUMMYFUNCTION("""COMPUTED_VALUE"""),"Nikki Dix")</f>
        <v>Nikki Dix</v>
      </c>
      <c r="E942" t="str">
        <f ca="1">IFERROR(__xludf.DUMMYFUNCTION("""COMPUTED_VALUE"""),"Palm Valley Boat Ramp")</f>
        <v>Palm Valley Boat Ramp</v>
      </c>
      <c r="F942" s="13">
        <f ca="1">IFERROR(__xludf.DUMMYFUNCTION("""COMPUTED_VALUE"""),0.416666666667879)</f>
        <v>0.41666666666787899</v>
      </c>
      <c r="G942" s="14">
        <f ca="1">IFERROR(__xludf.DUMMYFUNCTION("""COMPUTED_VALUE"""),44852)</f>
        <v>44852</v>
      </c>
      <c r="H942" t="str">
        <f ca="1">IFERROR(__xludf.DUMMYFUNCTION("""COMPUTED_VALUE"""),"Pine Island Marsh Edge Plots")</f>
        <v>Pine Island Marsh Edge Plots</v>
      </c>
      <c r="I942" s="15">
        <f ca="1">IFERROR(__xludf.DUMMYFUNCTION("""COMPUTED_VALUE"""),0.58333333333212)</f>
        <v>0.58333333333212001</v>
      </c>
      <c r="J942" s="16">
        <f ca="1">IFERROR(__xludf.DUMMYFUNCTION("""COMPUTED_VALUE"""),44852.6041666666)</f>
        <v>44852.604166666599</v>
      </c>
      <c r="K942" t="str">
        <f ca="1">IFERROR(__xludf.DUMMYFUNCTION("""COMPUTED_VALUE"""),"20ft Sea Ark FL5351SJ UNF 2015")</f>
        <v>20ft Sea Ark FL5351SJ UNF 2015</v>
      </c>
      <c r="M942" t="str">
        <f ca="1">IFERROR(__xludf.DUMMYFUNCTION("""COMPUTED_VALUE"""),"Ford F250 2017 (Moby Dix) - DEP0021578")</f>
        <v>Ford F250 2017 (Moby Dix) - DEP0021578</v>
      </c>
      <c r="N942" t="str">
        <f ca="1">IFERROR(__xludf.DUMMYFUNCTION("""COMPUTED_VALUE"""),"Pam Marcum, (480) 332-5414")</f>
        <v>Pam Marcum, (480) 332-5414</v>
      </c>
      <c r="O942" t="str">
        <f ca="1">IFERROR(__xludf.DUMMYFUNCTION("""COMPUTED_VALUE"""),"Jacob Berna, Scott Jones")</f>
        <v>Jacob Berna, Scott Jones</v>
      </c>
      <c r="P942" t="str">
        <f ca="1">IFERROR(__xludf.DUMMYFUNCTION("""COMPUTED_VALUE"""),"Jacob Berna")</f>
        <v>Jacob Berna</v>
      </c>
      <c r="AE942" s="11"/>
      <c r="AF942" t="str">
        <v>Nikki.Dix@floridadep.gov</v>
      </c>
      <c r="AG942" s="18"/>
    </row>
    <row r="943" spans="1:33" ht="12.75">
      <c r="A943" s="10">
        <f ca="1">IFERROR(__xludf.DUMMYFUNCTION("""COMPUTED_VALUE"""),44853.4091150694)</f>
        <v>44853.4091150694</v>
      </c>
      <c r="B943" s="11" t="str">
        <f ca="1">IFERROR(__xludf.DUMMYFUNCTION("""COMPUTED_VALUE"""),"Jacob Berna")</f>
        <v>Jacob Berna</v>
      </c>
      <c r="C943" t="str">
        <f ca="1">IFERROR(__xludf.DUMMYFUNCTION("""COMPUTED_VALUE"""),"Jacob.Berna@FloridaDEP.gov")</f>
        <v>Jacob.Berna@FloridaDEP.gov</v>
      </c>
      <c r="D943" t="str">
        <f ca="1">IFERROR(__xludf.DUMMYFUNCTION("""COMPUTED_VALUE"""),"Nikki Dix")</f>
        <v>Nikki Dix</v>
      </c>
      <c r="E943" t="str">
        <f ca="1">IFERROR(__xludf.DUMMYFUNCTION("""COMPUTED_VALUE"""),"Frank Butler")</f>
        <v>Frank Butler</v>
      </c>
      <c r="F943" s="13">
        <f ca="1">IFERROR(__xludf.DUMMYFUNCTION("""COMPUTED_VALUE"""),0.416666666667879)</f>
        <v>0.41666666666787899</v>
      </c>
      <c r="G943" s="14">
        <f ca="1">IFERROR(__xludf.DUMMYFUNCTION("""COMPUTED_VALUE"""),44853)</f>
        <v>44853</v>
      </c>
      <c r="H943" t="str">
        <f ca="1">IFERROR(__xludf.DUMMYFUNCTION("""COMPUTED_VALUE"""),"East Creek Platforms")</f>
        <v>East Creek Platforms</v>
      </c>
      <c r="I943" s="15">
        <f ca="1">IFERROR(__xludf.DUMMYFUNCTION("""COMPUTED_VALUE"""),0.625)</f>
        <v>0.625</v>
      </c>
      <c r="J943" s="16">
        <f ca="1">IFERROR(__xludf.DUMMYFUNCTION("""COMPUTED_VALUE"""),44853.6666666666)</f>
        <v>44853.666666666599</v>
      </c>
      <c r="K943" t="str">
        <f ca="1">IFERROR(__xludf.DUMMYFUNCTION("""COMPUTED_VALUE"""),"20ft Sea Ark FL5351SJ UNF 2015")</f>
        <v>20ft Sea Ark FL5351SJ UNF 2015</v>
      </c>
      <c r="M943" t="str">
        <f ca="1">IFERROR(__xludf.DUMMYFUNCTION("""COMPUTED_VALUE"""),"Ford F250 2017 (Moby Dix) - DEP0021578")</f>
        <v>Ford F250 2017 (Moby Dix) - DEP0021578</v>
      </c>
      <c r="N943" t="str">
        <f ca="1">IFERROR(__xludf.DUMMYFUNCTION("""COMPUTED_VALUE"""),"Pam Marcum, (480) 332-5414")</f>
        <v>Pam Marcum, (480) 332-5414</v>
      </c>
      <c r="O943" t="str">
        <f ca="1">IFERROR(__xludf.DUMMYFUNCTION("""COMPUTED_VALUE"""),"Jacob Berna, Mike Darragh")</f>
        <v>Jacob Berna, Mike Darragh</v>
      </c>
      <c r="P943" t="str">
        <f ca="1">IFERROR(__xludf.DUMMYFUNCTION("""COMPUTED_VALUE"""),"Jacob Berna")</f>
        <v>Jacob Berna</v>
      </c>
      <c r="AE943" s="11"/>
      <c r="AF943" t="str">
        <v>Nikki.Dix@floridadep.gov</v>
      </c>
      <c r="AG943" s="18"/>
    </row>
    <row r="944" spans="1:33" ht="12.75">
      <c r="A944" s="10">
        <f ca="1">IFERROR(__xludf.DUMMYFUNCTION("""COMPUTED_VALUE"""),44854.4317017129)</f>
        <v>44854.4317017129</v>
      </c>
      <c r="B944" s="11" t="str">
        <f ca="1">IFERROR(__xludf.DUMMYFUNCTION("""COMPUTED_VALUE"""),"Jacob Berna")</f>
        <v>Jacob Berna</v>
      </c>
      <c r="C944" t="str">
        <f ca="1">IFERROR(__xludf.DUMMYFUNCTION("""COMPUTED_VALUE"""),"Jacob.Berna@FloridaDEP.gov")</f>
        <v>Jacob.Berna@FloridaDEP.gov</v>
      </c>
      <c r="D944" t="str">
        <f ca="1">IFERROR(__xludf.DUMMYFUNCTION("""COMPUTED_VALUE"""),"Silas Tanner")</f>
        <v>Silas Tanner</v>
      </c>
      <c r="E944" t="str">
        <f ca="1">IFERROR(__xludf.DUMMYFUNCTION("""COMPUTED_VALUE"""),"Usina boat ramp")</f>
        <v>Usina boat ramp</v>
      </c>
      <c r="F944" s="13">
        <f ca="1">IFERROR(__xludf.DUMMYFUNCTION("""COMPUTED_VALUE"""),0.4375)</f>
        <v>0.4375</v>
      </c>
      <c r="G944" s="14">
        <f ca="1">IFERROR(__xludf.DUMMYFUNCTION("""COMPUTED_VALUE"""),44854)</f>
        <v>44854</v>
      </c>
      <c r="H944" t="str">
        <f ca="1">IFERROR(__xludf.DUMMYFUNCTION("""COMPUTED_VALUE"""),"Hat Island platforms")</f>
        <v>Hat Island platforms</v>
      </c>
      <c r="I944" s="15">
        <f ca="1">IFERROR(__xludf.DUMMYFUNCTION("""COMPUTED_VALUE"""),0.64583333333212)</f>
        <v>0.64583333333212001</v>
      </c>
      <c r="J944" s="16">
        <f ca="1">IFERROR(__xludf.DUMMYFUNCTION("""COMPUTED_VALUE"""),44854.6666666666)</f>
        <v>44854.666666666599</v>
      </c>
      <c r="K944" t="str">
        <f ca="1">IFERROR(__xludf.DUMMYFUNCTION("""COMPUTED_VALUE"""),"20ft Sea Ark FL5351SJ UNF 2015")</f>
        <v>20ft Sea Ark FL5351SJ UNF 2015</v>
      </c>
      <c r="M944" t="str">
        <f ca="1">IFERROR(__xludf.DUMMYFUNCTION("""COMPUTED_VALUE"""),"Ford F250 2017 (Moby Dix) - DEP0021578")</f>
        <v>Ford F250 2017 (Moby Dix) - DEP0021578</v>
      </c>
      <c r="N944" t="str">
        <f ca="1">IFERROR(__xludf.DUMMYFUNCTION("""COMPUTED_VALUE"""),"Pam Marcum, (480) 332-5414, Silas Tanner, (904) 483-8423")</f>
        <v>Pam Marcum, (480) 332-5414, Silas Tanner, (904) 483-8423</v>
      </c>
      <c r="O944" t="str">
        <f ca="1">IFERROR(__xludf.DUMMYFUNCTION("""COMPUTED_VALUE"""),"Jacob Berna, Mike daraugh")</f>
        <v>Jacob Berna, Mike daraugh</v>
      </c>
      <c r="P944" t="str">
        <f ca="1">IFERROR(__xludf.DUMMYFUNCTION("""COMPUTED_VALUE"""),"Jacob Berna")</f>
        <v>Jacob Berna</v>
      </c>
      <c r="AE944" s="11"/>
      <c r="AF944" t="str">
        <v>Silas.Tanner@floridadep.gov</v>
      </c>
      <c r="AG944" s="18"/>
    </row>
    <row r="945" spans="1:33" ht="12.75">
      <c r="A945" s="10">
        <f ca="1">IFERROR(__xludf.DUMMYFUNCTION("""COMPUTED_VALUE"""),44855.4697153125)</f>
        <v>44855.469715312502</v>
      </c>
      <c r="B945" s="11" t="str">
        <f ca="1">IFERROR(__xludf.DUMMYFUNCTION("""COMPUTED_VALUE"""),"Jacob Berna")</f>
        <v>Jacob Berna</v>
      </c>
      <c r="C945" t="str">
        <f ca="1">IFERROR(__xludf.DUMMYFUNCTION("""COMPUTED_VALUE"""),"Jacob.Berna@FloridaDEP.gov")</f>
        <v>Jacob.Berna@FloridaDEP.gov</v>
      </c>
      <c r="D945" t="str">
        <f ca="1">IFERROR(__xludf.DUMMYFUNCTION("""COMPUTED_VALUE"""),"Nikki Dix")</f>
        <v>Nikki Dix</v>
      </c>
      <c r="E945" t="str">
        <f ca="1">IFERROR(__xludf.DUMMYFUNCTION("""COMPUTED_VALUE"""),"Frank Butler")</f>
        <v>Frank Butler</v>
      </c>
      <c r="F945" s="13">
        <f ca="1">IFERROR(__xludf.DUMMYFUNCTION("""COMPUTED_VALUE"""),0.46875)</f>
        <v>0.46875</v>
      </c>
      <c r="G945" s="14">
        <f ca="1">IFERROR(__xludf.DUMMYFUNCTION("""COMPUTED_VALUE"""),44855)</f>
        <v>44855</v>
      </c>
      <c r="H945" t="str">
        <f ca="1">IFERROR(__xludf.DUMMYFUNCTION("""COMPUTED_VALUE"""),"Moses Creek Transects")</f>
        <v>Moses Creek Transects</v>
      </c>
      <c r="I945" s="15">
        <f ca="1">IFERROR(__xludf.DUMMYFUNCTION("""COMPUTED_VALUE"""),0.71875)</f>
        <v>0.71875</v>
      </c>
      <c r="J945" s="16">
        <f ca="1">IFERROR(__xludf.DUMMYFUNCTION("""COMPUTED_VALUE"""),44855.75)</f>
        <v>44855.75</v>
      </c>
      <c r="K945" t="str">
        <f ca="1">IFERROR(__xludf.DUMMYFUNCTION("""COMPUTED_VALUE"""),"20ft Sea Ark FL5351SJ UNF 2015")</f>
        <v>20ft Sea Ark FL5351SJ UNF 2015</v>
      </c>
      <c r="M945" t="str">
        <f ca="1">IFERROR(__xludf.DUMMYFUNCTION("""COMPUTED_VALUE"""),"Ford F250 2017 (Moby Dix) - DEP0021578")</f>
        <v>Ford F250 2017 (Moby Dix) - DEP0021578</v>
      </c>
      <c r="N945" t="str">
        <f ca="1">IFERROR(__xludf.DUMMYFUNCTION("""COMPUTED_VALUE"""),"Pam Marcum, (480) 332-5414")</f>
        <v>Pam Marcum, (480) 332-5414</v>
      </c>
      <c r="O945" t="str">
        <f ca="1">IFERROR(__xludf.DUMMYFUNCTION("""COMPUTED_VALUE"""),"Jacob Berna, Nate Shirmer")</f>
        <v>Jacob Berna, Nate Shirmer</v>
      </c>
      <c r="P945" t="str">
        <f ca="1">IFERROR(__xludf.DUMMYFUNCTION("""COMPUTED_VALUE"""),"Jacob Berna")</f>
        <v>Jacob Berna</v>
      </c>
      <c r="AE945" s="11"/>
      <c r="AF945" t="str">
        <v>Nikki.Dix@floridadep.gov</v>
      </c>
      <c r="AG945" s="18"/>
    </row>
    <row r="946" spans="1:33" ht="12.75">
      <c r="A946" s="10">
        <f ca="1">IFERROR(__xludf.DUMMYFUNCTION("""COMPUTED_VALUE"""),44858.4371670023)</f>
        <v>44858.437167002303</v>
      </c>
      <c r="B946" s="11" t="str">
        <f ca="1">IFERROR(__xludf.DUMMYFUNCTION("""COMPUTED_VALUE"""),"Jacob Berna")</f>
        <v>Jacob Berna</v>
      </c>
      <c r="C946" t="str">
        <f ca="1">IFERROR(__xludf.DUMMYFUNCTION("""COMPUTED_VALUE"""),"Jacob.Berna@FloridaDEP.gov")</f>
        <v>Jacob.Berna@FloridaDEP.gov</v>
      </c>
      <c r="D946" t="str">
        <f ca="1">IFERROR(__xludf.DUMMYFUNCTION("""COMPUTED_VALUE"""),"Silas Tanner")</f>
        <v>Silas Tanner</v>
      </c>
      <c r="E946" t="str">
        <f ca="1">IFERROR(__xludf.DUMMYFUNCTION("""COMPUTED_VALUE"""),"Frank Butler")</f>
        <v>Frank Butler</v>
      </c>
      <c r="F946" s="13">
        <f ca="1">IFERROR(__xludf.DUMMYFUNCTION("""COMPUTED_VALUE"""),0.4375)</f>
        <v>0.4375</v>
      </c>
      <c r="G946" s="14">
        <f ca="1">IFERROR(__xludf.DUMMYFUNCTION("""COMPUTED_VALUE"""),44858)</f>
        <v>44858</v>
      </c>
      <c r="H946" t="str">
        <f ca="1">IFERROR(__xludf.DUMMYFUNCTION("""COMPUTED_VALUE"""),"Moses Transects")</f>
        <v>Moses Transects</v>
      </c>
      <c r="I946" s="15">
        <f ca="1">IFERROR(__xludf.DUMMYFUNCTION("""COMPUTED_VALUE"""),0.666666666667879)</f>
        <v>0.66666666666787899</v>
      </c>
      <c r="J946" s="16">
        <f ca="1">IFERROR(__xludf.DUMMYFUNCTION("""COMPUTED_VALUE"""),44858.7083333333)</f>
        <v>44858.708333333299</v>
      </c>
      <c r="K946" t="str">
        <f ca="1">IFERROR(__xludf.DUMMYFUNCTION("""COMPUTED_VALUE"""),"20ft Sea Ark FL5351SJ UNF 2015")</f>
        <v>20ft Sea Ark FL5351SJ UNF 2015</v>
      </c>
      <c r="M946" t="str">
        <f ca="1">IFERROR(__xludf.DUMMYFUNCTION("""COMPUTED_VALUE"""),"Ford F250 2017 (Moby Dix) - DEP0021578")</f>
        <v>Ford F250 2017 (Moby Dix) - DEP0021578</v>
      </c>
      <c r="N946" t="str">
        <f ca="1">IFERROR(__xludf.DUMMYFUNCTION("""COMPUTED_VALUE"""),"Pam Marcum, (480) 332-5414")</f>
        <v>Pam Marcum, (480) 332-5414</v>
      </c>
      <c r="O946" t="str">
        <f ca="1">IFERROR(__xludf.DUMMYFUNCTION("""COMPUTED_VALUE"""),"Jacob Berna")</f>
        <v>Jacob Berna</v>
      </c>
      <c r="P946" t="str">
        <f ca="1">IFERROR(__xludf.DUMMYFUNCTION("""COMPUTED_VALUE"""),"Jacob Berna")</f>
        <v>Jacob Berna</v>
      </c>
      <c r="AE946" s="11"/>
      <c r="AF946" t="str">
        <v>Silas.Tanner@floridadep.gov</v>
      </c>
      <c r="AG946" s="18"/>
    </row>
    <row r="947" spans="1:33" ht="12.75">
      <c r="A947" s="10">
        <f ca="1">IFERROR(__xludf.DUMMYFUNCTION("""COMPUTED_VALUE"""),44860.3958622106)</f>
        <v>44860.3958622106</v>
      </c>
      <c r="B947" s="11" t="str">
        <f ca="1">IFERROR(__xludf.DUMMYFUNCTION("""COMPUTED_VALUE"""),"Silas Tanner")</f>
        <v>Silas Tanner</v>
      </c>
      <c r="C947" t="str">
        <f ca="1">IFERROR(__xludf.DUMMYFUNCTION("""COMPUTED_VALUE"""),"silas.tanner@floridadep.gov")</f>
        <v>silas.tanner@floridadep.gov</v>
      </c>
      <c r="D947" t="str">
        <f ca="1">IFERROR(__xludf.DUMMYFUNCTION("""COMPUTED_VALUE"""),"Shannon Dunnigan")</f>
        <v>Shannon Dunnigan</v>
      </c>
      <c r="E947" t="str">
        <f ca="1">IFERROR(__xludf.DUMMYFUNCTION("""COMPUTED_VALUE"""),"Vilano Landing")</f>
        <v>Vilano Landing</v>
      </c>
      <c r="F947" s="13">
        <f ca="1">IFERROR(__xludf.DUMMYFUNCTION("""COMPUTED_VALUE"""),0.4375)</f>
        <v>0.4375</v>
      </c>
      <c r="G947" s="14">
        <f ca="1">IFERROR(__xludf.DUMMYFUNCTION("""COMPUTED_VALUE"""),44860)</f>
        <v>44860</v>
      </c>
      <c r="H947" t="str">
        <f ca="1">IFERROR(__xludf.DUMMYFUNCTION("""COMPUTED_VALUE"""),"ICW SWMP sites")</f>
        <v>ICW SWMP sites</v>
      </c>
      <c r="I947" s="15">
        <f ca="1">IFERROR(__xludf.DUMMYFUNCTION("""COMPUTED_VALUE"""),0.604166666667879)</f>
        <v>0.60416666666787899</v>
      </c>
      <c r="J947" s="16">
        <f ca="1">IFERROR(__xludf.DUMMYFUNCTION("""COMPUTED_VALUE"""),44860.625)</f>
        <v>44860.625</v>
      </c>
      <c r="K947" t="str">
        <f ca="1">IFERROR(__xludf.DUMMYFUNCTION("""COMPUTED_VALUE"""),"20ft Sea Ark FL5351SJ UNF 2015")</f>
        <v>20ft Sea Ark FL5351SJ UNF 2015</v>
      </c>
      <c r="M947" t="str">
        <f ca="1">IFERROR(__xludf.DUMMYFUNCTION("""COMPUTED_VALUE"""),"Ford F250 2017 (Moby Dix) - DEP0021578")</f>
        <v>Ford F250 2017 (Moby Dix) - DEP0021578</v>
      </c>
      <c r="N947" t="str">
        <f ca="1">IFERROR(__xludf.DUMMYFUNCTION("""COMPUTED_VALUE"""),"Silas Tanner, (904) 483-8423, Remo Mondazzi")</f>
        <v>Silas Tanner, (904) 483-8423, Remo Mondazzi</v>
      </c>
      <c r="P947" t="str">
        <f ca="1">IFERROR(__xludf.DUMMYFUNCTION("""COMPUTED_VALUE"""),"Silas Tanner")</f>
        <v>Silas Tanner</v>
      </c>
      <c r="AE947" s="11"/>
      <c r="AF947" t="str">
        <v>Shannon.Dunnigan@floridadep.gov</v>
      </c>
      <c r="AG947" s="18"/>
    </row>
    <row r="948" spans="1:33" ht="12.75">
      <c r="A948" s="10">
        <f ca="1">IFERROR(__xludf.DUMMYFUNCTION("""COMPUTED_VALUE"""),44861.3043397916)</f>
        <v>44861.304339791597</v>
      </c>
      <c r="B948" s="11" t="str">
        <f ca="1">IFERROR(__xludf.DUMMYFUNCTION("""COMPUTED_VALUE"""),"Pam Marcum ")</f>
        <v xml:space="preserve">Pam Marcum </v>
      </c>
      <c r="C948" t="str">
        <f ca="1">IFERROR(__xludf.DUMMYFUNCTION("""COMPUTED_VALUE"""),"Pamela.Marcum@FloridaDEP.gov")</f>
        <v>Pamela.Marcum@FloridaDEP.gov</v>
      </c>
      <c r="D948" t="str">
        <f ca="1">IFERROR(__xludf.DUMMYFUNCTION("""COMPUTED_VALUE"""),"Shannon Dunnigan")</f>
        <v>Shannon Dunnigan</v>
      </c>
      <c r="E948" t="str">
        <f ca="1">IFERROR(__xludf.DUMMYFUNCTION("""COMPUTED_VALUE"""),"Faver-Dykes ")</f>
        <v xml:space="preserve">Faver-Dykes </v>
      </c>
      <c r="F948" s="13">
        <f ca="1">IFERROR(__xludf.DUMMYFUNCTION("""COMPUTED_VALUE"""),0.322916666667879)</f>
        <v>0.32291666666787899</v>
      </c>
      <c r="G948" s="14">
        <f ca="1">IFERROR(__xludf.DUMMYFUNCTION("""COMPUTED_VALUE"""),44861)</f>
        <v>44861</v>
      </c>
      <c r="H948" t="str">
        <f ca="1">IFERROR(__xludf.DUMMYFUNCTION("""COMPUTED_VALUE"""),"Pellicer Creek")</f>
        <v>Pellicer Creek</v>
      </c>
      <c r="I948" s="15">
        <f ca="1">IFERROR(__xludf.DUMMYFUNCTION("""COMPUTED_VALUE"""),0.5)</f>
        <v>0.5</v>
      </c>
      <c r="J948" s="16">
        <f ca="1">IFERROR(__xludf.DUMMYFUNCTION("""COMPUTED_VALUE"""),44861.5416666666)</f>
        <v>44861.541666666599</v>
      </c>
      <c r="K948" t="str">
        <f ca="1">IFERROR(__xludf.DUMMYFUNCTION("""COMPUTED_VALUE"""),"20ft Sea Ark FL5351SJ UNF 2015")</f>
        <v>20ft Sea Ark FL5351SJ UNF 2015</v>
      </c>
      <c r="M948" t="str">
        <f ca="1">IFERROR(__xludf.DUMMYFUNCTION("""COMPUTED_VALUE"""),"Ford F250 2017 (Moby Dix) - DEP0021578")</f>
        <v>Ford F250 2017 (Moby Dix) - DEP0021578</v>
      </c>
      <c r="N948" t="str">
        <f ca="1">IFERROR(__xludf.DUMMYFUNCTION("""COMPUTED_VALUE"""),"Pam Marcum, (480) 332-5414")</f>
        <v>Pam Marcum, (480) 332-5414</v>
      </c>
      <c r="O948" t="str">
        <f ca="1">IFERROR(__xludf.DUMMYFUNCTION("""COMPUTED_VALUE"""),"Jacob Berna")</f>
        <v>Jacob Berna</v>
      </c>
      <c r="P948" t="str">
        <f ca="1">IFERROR(__xludf.DUMMYFUNCTION("""COMPUTED_VALUE"""),"Jacob ")</f>
        <v xml:space="preserve">Jacob </v>
      </c>
      <c r="AE948" s="11"/>
      <c r="AF948" t="str">
        <v>Shannon.Dunnigan@floridadep.gov</v>
      </c>
      <c r="AG948" s="18"/>
    </row>
    <row r="949" spans="1:33" ht="12.75">
      <c r="A949" s="10">
        <f ca="1">IFERROR(__xludf.DUMMYFUNCTION("""COMPUTED_VALUE"""),44862.3303564004)</f>
        <v>44862.330356400402</v>
      </c>
      <c r="B949" s="11" t="str">
        <f ca="1">IFERROR(__xludf.DUMMYFUNCTION("""COMPUTED_VALUE"""),"Pam Marcum ")</f>
        <v xml:space="preserve">Pam Marcum </v>
      </c>
      <c r="C949" t="str">
        <f ca="1">IFERROR(__xludf.DUMMYFUNCTION("""COMPUTED_VALUE"""),"Pamela.Marcum@FloridaDEP.gov")</f>
        <v>Pamela.Marcum@FloridaDEP.gov</v>
      </c>
      <c r="D949" t="str">
        <f ca="1">IFERROR(__xludf.DUMMYFUNCTION("""COMPUTED_VALUE"""),"Shannon Dunnigan")</f>
        <v>Shannon Dunnigan</v>
      </c>
      <c r="E949" t="str">
        <f ca="1">IFERROR(__xludf.DUMMYFUNCTION("""COMPUTED_VALUE"""),"Faver-Dykes ")</f>
        <v xml:space="preserve">Faver-Dykes </v>
      </c>
      <c r="F949" s="13">
        <f ca="1">IFERROR(__xludf.DUMMYFUNCTION("""COMPUTED_VALUE"""),0.326388888890505)</f>
        <v>0.32638888889050499</v>
      </c>
      <c r="G949" s="14">
        <f ca="1">IFERROR(__xludf.DUMMYFUNCTION("""COMPUTED_VALUE"""),44862)</f>
        <v>44862</v>
      </c>
      <c r="H949" t="str">
        <f ca="1">IFERROR(__xludf.DUMMYFUNCTION("""COMPUTED_VALUE"""),"Upper Pellicer creek ")</f>
        <v xml:space="preserve">Upper Pellicer creek </v>
      </c>
      <c r="I949" s="15">
        <f ca="1">IFERROR(__xludf.DUMMYFUNCTION("""COMPUTED_VALUE"""),0.5)</f>
        <v>0.5</v>
      </c>
      <c r="J949" s="16">
        <f ca="1">IFERROR(__xludf.DUMMYFUNCTION("""COMPUTED_VALUE"""),44862.5416666666)</f>
        <v>44862.541666666599</v>
      </c>
      <c r="K949" t="str">
        <f ca="1">IFERROR(__xludf.DUMMYFUNCTION("""COMPUTED_VALUE"""),"20ft Sea Ark FL5351SJ UNF 2015")</f>
        <v>20ft Sea Ark FL5351SJ UNF 2015</v>
      </c>
      <c r="M949" t="str">
        <f ca="1">IFERROR(__xludf.DUMMYFUNCTION("""COMPUTED_VALUE"""),"Ford F250 2017 (Moby Dix) - DEP0021578")</f>
        <v>Ford F250 2017 (Moby Dix) - DEP0021578</v>
      </c>
      <c r="N949" t="str">
        <f ca="1">IFERROR(__xludf.DUMMYFUNCTION("""COMPUTED_VALUE"""),"Pam Marcum, (480) 332-5414")</f>
        <v>Pam Marcum, (480) 332-5414</v>
      </c>
      <c r="O949" t="str">
        <f ca="1">IFERROR(__xludf.DUMMYFUNCTION("""COMPUTED_VALUE"""),"Jacob Berna")</f>
        <v>Jacob Berna</v>
      </c>
      <c r="P949" t="str">
        <f ca="1">IFERROR(__xludf.DUMMYFUNCTION("""COMPUTED_VALUE"""),"Jacob ")</f>
        <v xml:space="preserve">Jacob </v>
      </c>
      <c r="AE949" s="11"/>
      <c r="AF949" t="str">
        <v>Shannon.Dunnigan@floridadep.gov</v>
      </c>
      <c r="AG949" s="18"/>
    </row>
    <row r="950" spans="1:33" ht="12.75">
      <c r="A950" s="10">
        <f ca="1">IFERROR(__xludf.DUMMYFUNCTION("""COMPUTED_VALUE"""),44866.8739204398)</f>
        <v>44866.873920439801</v>
      </c>
      <c r="B950" s="11" t="str">
        <f ca="1">IFERROR(__xludf.DUMMYFUNCTION("""COMPUTED_VALUE"""),"Jimmy")</f>
        <v>Jimmy</v>
      </c>
      <c r="C950" t="str">
        <f ca="1">IFERROR(__xludf.DUMMYFUNCTION("""COMPUTED_VALUE"""),"james.tomazinis@floridadep.gov")</f>
        <v>james.tomazinis@floridadep.gov</v>
      </c>
      <c r="D950" t="str">
        <f ca="1">IFERROR(__xludf.DUMMYFUNCTION("""COMPUTED_VALUE"""),"Scott Eastman")</f>
        <v>Scott Eastman</v>
      </c>
      <c r="E950" t="str">
        <f ca="1">IFERROR(__xludf.DUMMYFUNCTION("""COMPUTED_VALUE"""),"Holly Point and Dee Dee Bartels Possibly ")</f>
        <v xml:space="preserve">Holly Point and Dee Dee Bartels Possibly </v>
      </c>
      <c r="F950" s="13">
        <f ca="1">IFERROR(__xludf.DUMMYFUNCTION("""COMPUTED_VALUE"""),0.416666666667879)</f>
        <v>0.41666666666787899</v>
      </c>
      <c r="G950" s="14">
        <f ca="1">IFERROR(__xludf.DUMMYFUNCTION("""COMPUTED_VALUE"""),44867)</f>
        <v>44867</v>
      </c>
      <c r="H950" t="str">
        <f ca="1">IFERROR(__xludf.DUMMYFUNCTION("""COMPUTED_VALUE"""),"Alligator Creek")</f>
        <v>Alligator Creek</v>
      </c>
      <c r="I950" s="15">
        <f ca="1">IFERROR(__xludf.DUMMYFUNCTION("""COMPUTED_VALUE"""),0.625)</f>
        <v>0.625</v>
      </c>
      <c r="J950" s="16"/>
      <c r="K950" t="str">
        <f ca="1">IFERROR(__xludf.DUMMYFUNCTION("""COMPUTED_VALUE"""),"F 20ft Sea Ark (Easy 200) FL8534PY DEP21451")</f>
        <v>F 20ft Sea Ark (Easy 200) FL8534PY DEP21451</v>
      </c>
      <c r="M950" t="str">
        <f ca="1">IFERROR(__xludf.DUMMYFUNCTION("""COMPUTED_VALUE"""),"Ford F150 2007 (F-Bomb) - DEP07055")</f>
        <v>Ford F150 2007 (F-Bomb) - DEP07055</v>
      </c>
      <c r="N950" t="str">
        <f ca="1">IFERROR(__xludf.DUMMYFUNCTION("""COMPUTED_VALUE"""),"Jimmy Tomazinis, (904) 547-0094")</f>
        <v>Jimmy Tomazinis, (904) 547-0094</v>
      </c>
      <c r="O950" t="str">
        <f ca="1">IFERROR(__xludf.DUMMYFUNCTION("""COMPUTED_VALUE"""),"Chirs Kurtz")</f>
        <v>Chirs Kurtz</v>
      </c>
      <c r="P950" t="str">
        <f ca="1">IFERROR(__xludf.DUMMYFUNCTION("""COMPUTED_VALUE"""),"Jimmy")</f>
        <v>Jimmy</v>
      </c>
      <c r="AE950" s="11"/>
      <c r="AF950" t="str">
        <v>Scott.Eastman@floridadep.gov</v>
      </c>
      <c r="AG950" s="18"/>
    </row>
    <row r="951" spans="1:33" ht="12.75">
      <c r="A951" s="10">
        <f ca="1">IFERROR(__xludf.DUMMYFUNCTION("""COMPUTED_VALUE"""),44868.2574329629)</f>
        <v>44868.257432962899</v>
      </c>
      <c r="B951" s="11" t="str">
        <f ca="1">IFERROR(__xludf.DUMMYFUNCTION("""COMPUTED_VALUE"""),"Jimmy")</f>
        <v>Jimmy</v>
      </c>
      <c r="C951" t="str">
        <f ca="1">IFERROR(__xludf.DUMMYFUNCTION("""COMPUTED_VALUE"""),"james.tomazinis@floridadep.gov")</f>
        <v>james.tomazinis@floridadep.gov</v>
      </c>
      <c r="D951" t="str">
        <f ca="1">IFERROR(__xludf.DUMMYFUNCTION("""COMPUTED_VALUE"""),"Scott Eastman")</f>
        <v>Scott Eastman</v>
      </c>
      <c r="E951" t="str">
        <f ca="1">IFERROR(__xludf.DUMMYFUNCTION("""COMPUTED_VALUE"""),"Holly Point")</f>
        <v>Holly Point</v>
      </c>
      <c r="F951" s="13">
        <f ca="1">IFERROR(__xludf.DUMMYFUNCTION("""COMPUTED_VALUE"""),0.416666666667879)</f>
        <v>0.41666666666787899</v>
      </c>
      <c r="G951" s="14">
        <f ca="1">IFERROR(__xludf.DUMMYFUNCTION("""COMPUTED_VALUE"""),44868)</f>
        <v>44868</v>
      </c>
      <c r="H951" t="str">
        <f ca="1">IFERROR(__xludf.DUMMYFUNCTION("""COMPUTED_VALUE"""),"NEAP WQ sites")</f>
        <v>NEAP WQ sites</v>
      </c>
      <c r="I951" s="15">
        <f ca="1">IFERROR(__xludf.DUMMYFUNCTION("""COMPUTED_VALUE"""),0.625)</f>
        <v>0.625</v>
      </c>
      <c r="J951" s="16"/>
      <c r="K951" t="str">
        <f ca="1">IFERROR(__xludf.DUMMYFUNCTION("""COMPUTED_VALUE"""),"F 20ft Sea Ark (Easy 200) FL8534PY DEP21451")</f>
        <v>F 20ft Sea Ark (Easy 200) FL8534PY DEP21451</v>
      </c>
      <c r="M951" t="str">
        <f ca="1">IFERROR(__xludf.DUMMYFUNCTION("""COMPUTED_VALUE"""),"Ford F150 2007 (F-Bomb) - DEP07055")</f>
        <v>Ford F150 2007 (F-Bomb) - DEP07055</v>
      </c>
      <c r="N951" t="str">
        <f ca="1">IFERROR(__xludf.DUMMYFUNCTION("""COMPUTED_VALUE"""),"Jimmy Tomazinis, (904) 547-0094")</f>
        <v>Jimmy Tomazinis, (904) 547-0094</v>
      </c>
      <c r="O951" t="str">
        <f ca="1">IFERROR(__xludf.DUMMYFUNCTION("""COMPUTED_VALUE"""),"Chirs Kurtz")</f>
        <v>Chirs Kurtz</v>
      </c>
      <c r="P951" t="str">
        <f ca="1">IFERROR(__xludf.DUMMYFUNCTION("""COMPUTED_VALUE"""),"Jimmy")</f>
        <v>Jimmy</v>
      </c>
      <c r="AE951" s="11"/>
      <c r="AF951" t="str">
        <v>Scott.Eastman@floridadep.gov</v>
      </c>
      <c r="AG951" s="18"/>
    </row>
    <row r="952" spans="1:33" ht="12.75">
      <c r="A952" s="10">
        <f ca="1">IFERROR(__xludf.DUMMYFUNCTION("""COMPUTED_VALUE"""),44872.3292892592)</f>
        <v>44872.3292892592</v>
      </c>
      <c r="B952" s="11" t="str">
        <f ca="1">IFERROR(__xludf.DUMMYFUNCTION("""COMPUTED_VALUE"""),"Jessica Lee")</f>
        <v>Jessica Lee</v>
      </c>
      <c r="C952" t="str">
        <f ca="1">IFERROR(__xludf.DUMMYFUNCTION("""COMPUTED_VALUE"""),"jessica.lee@floridadep.gov")</f>
        <v>jessica.lee@floridadep.gov</v>
      </c>
      <c r="D952" t="str">
        <f ca="1">IFERROR(__xludf.DUMMYFUNCTION("""COMPUTED_VALUE"""),"Nikki Dix")</f>
        <v>Nikki Dix</v>
      </c>
      <c r="E952" t="str">
        <f ca="1">IFERROR(__xludf.DUMMYFUNCTION("""COMPUTED_VALUE"""),"Guana")</f>
        <v>Guana</v>
      </c>
      <c r="F952" s="13">
        <f ca="1">IFERROR(__xludf.DUMMYFUNCTION("""COMPUTED_VALUE"""),0.350694444445252)</f>
        <v>0.350694444445252</v>
      </c>
      <c r="G952" s="14">
        <f ca="1">IFERROR(__xludf.DUMMYFUNCTION("""COMPUTED_VALUE"""),44872)</f>
        <v>44872</v>
      </c>
      <c r="H952" t="str">
        <f ca="1">IFERROR(__xludf.DUMMYFUNCTION("""COMPUTED_VALUE"""),"Guana River")</f>
        <v>Guana River</v>
      </c>
      <c r="I952" s="15">
        <f ca="1">IFERROR(__xludf.DUMMYFUNCTION("""COMPUTED_VALUE"""),0.39583333333212)</f>
        <v>0.39583333333212001</v>
      </c>
      <c r="J952" s="16">
        <f ca="1">IFERROR(__xludf.DUMMYFUNCTION("""COMPUTED_VALUE"""),44872.40625)</f>
        <v>44872.40625</v>
      </c>
      <c r="K952" t="str">
        <f ca="1">IFERROR(__xludf.DUMMYFUNCTION("""COMPUTED_VALUE"""),"Jon Boat 1 FL5992RR DEP154045")</f>
        <v>Jon Boat 1 FL5992RR DEP154045</v>
      </c>
      <c r="M952" t="str">
        <f ca="1">IFERROR(__xludf.DUMMYFUNCTION("""COMPUTED_VALUE"""),"Ford F150 2015 (White) - DEP21448")</f>
        <v>Ford F150 2015 (White) - DEP21448</v>
      </c>
      <c r="N952" t="str">
        <f ca="1">IFERROR(__xludf.DUMMYFUNCTION("""COMPUTED_VALUE"""),"Jessica Lee, (813) 748-2228")</f>
        <v>Jessica Lee, (813) 748-2228</v>
      </c>
      <c r="O952" t="str">
        <f ca="1">IFERROR(__xludf.DUMMYFUNCTION("""COMPUTED_VALUE"""),"Jenna")</f>
        <v>Jenna</v>
      </c>
      <c r="P952" t="str">
        <f ca="1">IFERROR(__xludf.DUMMYFUNCTION("""COMPUTED_VALUE"""),"Jessica ")</f>
        <v xml:space="preserve">Jessica </v>
      </c>
      <c r="AE952" s="11"/>
      <c r="AF952" t="str">
        <v>Nikki.Dix@floridadep.gov</v>
      </c>
      <c r="AG952" s="18"/>
    </row>
    <row r="953" spans="1:33" ht="12.75">
      <c r="A953" s="10">
        <f ca="1">IFERROR(__xludf.DUMMYFUNCTION("""COMPUTED_VALUE"""),44872.5658084838)</f>
        <v>44872.5658084838</v>
      </c>
      <c r="B953" s="11" t="str">
        <f ca="1">IFERROR(__xludf.DUMMYFUNCTION("""COMPUTED_VALUE"""),"Jacob Berna")</f>
        <v>Jacob Berna</v>
      </c>
      <c r="C953" t="str">
        <f ca="1">IFERROR(__xludf.DUMMYFUNCTION("""COMPUTED_VALUE"""),"Jacob.Berna@FloridaDEP.gov")</f>
        <v>Jacob.Berna@FloridaDEP.gov</v>
      </c>
      <c r="D953" t="str">
        <f ca="1">IFERROR(__xludf.DUMMYFUNCTION("""COMPUTED_VALUE"""),"Nikki Dix")</f>
        <v>Nikki Dix</v>
      </c>
      <c r="E953" t="str">
        <f ca="1">IFERROR(__xludf.DUMMYFUNCTION("""COMPUTED_VALUE"""),"Vilano")</f>
        <v>Vilano</v>
      </c>
      <c r="F953" s="13">
        <f ca="1">IFERROR(__xludf.DUMMYFUNCTION("""COMPUTED_VALUE"""),0.5625)</f>
        <v>0.5625</v>
      </c>
      <c r="G953" s="14">
        <f ca="1">IFERROR(__xludf.DUMMYFUNCTION("""COMPUTED_VALUE"""),44872)</f>
        <v>44872</v>
      </c>
      <c r="H953" t="str">
        <f ca="1">IFERROR(__xludf.DUMMYFUNCTION("""COMPUTED_VALUE"""),"PI and EC platforms")</f>
        <v>PI and EC platforms</v>
      </c>
      <c r="I953" s="15">
        <f ca="1">IFERROR(__xludf.DUMMYFUNCTION("""COMPUTED_VALUE"""),0.729166666667879)</f>
        <v>0.72916666666787899</v>
      </c>
      <c r="J953" s="16">
        <f ca="1">IFERROR(__xludf.DUMMYFUNCTION("""COMPUTED_VALUE"""),44872.75)</f>
        <v>44872.75</v>
      </c>
      <c r="K953" t="str">
        <f ca="1">IFERROR(__xludf.DUMMYFUNCTION("""COMPUTED_VALUE"""),"20ft Sea Ark FL5351SJ UNF 2015")</f>
        <v>20ft Sea Ark FL5351SJ UNF 2015</v>
      </c>
      <c r="M953" t="str">
        <f ca="1">IFERROR(__xludf.DUMMYFUNCTION("""COMPUTED_VALUE"""),"Ford F250 2017 (Moby Dix) - DEP0021578")</f>
        <v>Ford F250 2017 (Moby Dix) - DEP0021578</v>
      </c>
      <c r="N953" t="str">
        <f ca="1">IFERROR(__xludf.DUMMYFUNCTION("""COMPUTED_VALUE"""),"Pam Marcum, (480) 332-5414")</f>
        <v>Pam Marcum, (480) 332-5414</v>
      </c>
      <c r="O953" t="str">
        <f ca="1">IFERROR(__xludf.DUMMYFUNCTION("""COMPUTED_VALUE"""),"Jacob Berna")</f>
        <v>Jacob Berna</v>
      </c>
      <c r="P953" t="str">
        <f ca="1">IFERROR(__xludf.DUMMYFUNCTION("""COMPUTED_VALUE"""),"Jacob Berna")</f>
        <v>Jacob Berna</v>
      </c>
      <c r="AE953" s="11"/>
      <c r="AF953" t="str">
        <v>Nikki.Dix@floridadep.gov</v>
      </c>
      <c r="AG953" s="18"/>
    </row>
    <row r="954" spans="1:33" ht="12.75">
      <c r="A954" s="10">
        <f ca="1">IFERROR(__xludf.DUMMYFUNCTION("""COMPUTED_VALUE"""),44872.6948700346)</f>
        <v>44872.694870034698</v>
      </c>
      <c r="B954" s="11" t="str">
        <f ca="1">IFERROR(__xludf.DUMMYFUNCTION("""COMPUTED_VALUE"""),"Pam Marcum ")</f>
        <v xml:space="preserve">Pam Marcum </v>
      </c>
      <c r="C954" t="str">
        <f ca="1">IFERROR(__xludf.DUMMYFUNCTION("""COMPUTED_VALUE"""),"Pamela.Marcum@FloridaDEP.gov")</f>
        <v>Pamela.Marcum@FloridaDEP.gov</v>
      </c>
      <c r="D954" t="str">
        <f ca="1">IFERROR(__xludf.DUMMYFUNCTION("""COMPUTED_VALUE"""),"Nikki Dix")</f>
        <v>Nikki Dix</v>
      </c>
      <c r="E954" t="str">
        <f ca="1">IFERROR(__xludf.DUMMYFUNCTION("""COMPUTED_VALUE"""),"Palm valley")</f>
        <v>Palm valley</v>
      </c>
      <c r="F954" s="13">
        <f ca="1">IFERROR(__xludf.DUMMYFUNCTION("""COMPUTED_VALUE"""),0.6875)</f>
        <v>0.6875</v>
      </c>
      <c r="G954" s="14">
        <f ca="1">IFERROR(__xludf.DUMMYFUNCTION("""COMPUTED_VALUE"""),44872)</f>
        <v>44872</v>
      </c>
      <c r="H954" t="str">
        <f ca="1">IFERROR(__xludf.DUMMYFUNCTION("""COMPUTED_VALUE"""),"Pine island marsh site")</f>
        <v>Pine island marsh site</v>
      </c>
      <c r="I954" s="15">
        <f ca="1">IFERROR(__xludf.DUMMYFUNCTION("""COMPUTED_VALUE"""),0.729166666667879)</f>
        <v>0.72916666666787899</v>
      </c>
      <c r="J954" s="16">
        <f ca="1">IFERROR(__xludf.DUMMYFUNCTION("""COMPUTED_VALUE"""),44872.75)</f>
        <v>44872.75</v>
      </c>
      <c r="K954" t="str">
        <f ca="1">IFERROR(__xludf.DUMMYFUNCTION("""COMPUTED_VALUE"""),"20ft Sea Ark FL5351SJ UNF 2015")</f>
        <v>20ft Sea Ark FL5351SJ UNF 2015</v>
      </c>
      <c r="M954" t="str">
        <f ca="1">IFERROR(__xludf.DUMMYFUNCTION("""COMPUTED_VALUE"""),"Ford F250 2017 (Moby Dix) - DEP0021578")</f>
        <v>Ford F250 2017 (Moby Dix) - DEP0021578</v>
      </c>
      <c r="N954" t="str">
        <f ca="1">IFERROR(__xludf.DUMMYFUNCTION("""COMPUTED_VALUE"""),"Pam Marcum, (480) 332-5414")</f>
        <v>Pam Marcum, (480) 332-5414</v>
      </c>
      <c r="O954" t="str">
        <f ca="1">IFERROR(__xludf.DUMMYFUNCTION("""COMPUTED_VALUE"""),"Jacob Berna")</f>
        <v>Jacob Berna</v>
      </c>
      <c r="P954" t="str">
        <f ca="1">IFERROR(__xludf.DUMMYFUNCTION("""COMPUTED_VALUE"""),"Jacob")</f>
        <v>Jacob</v>
      </c>
      <c r="AE954" s="11"/>
      <c r="AF954" t="str">
        <v>Nikki.Dix@floridadep.gov</v>
      </c>
      <c r="AG954" s="18"/>
    </row>
    <row r="955" spans="1:33" ht="12.75">
      <c r="A955" s="10">
        <f ca="1">IFERROR(__xludf.DUMMYFUNCTION("""COMPUTED_VALUE"""),44873.5264318171)</f>
        <v>44873.526431817103</v>
      </c>
      <c r="B955" s="11" t="str">
        <f ca="1">IFERROR(__xludf.DUMMYFUNCTION("""COMPUTED_VALUE"""),"Silas Tanner")</f>
        <v>Silas Tanner</v>
      </c>
      <c r="C955" t="str">
        <f ca="1">IFERROR(__xludf.DUMMYFUNCTION("""COMPUTED_VALUE"""),"silas.tanner@dep.state.fl.us")</f>
        <v>silas.tanner@dep.state.fl.us</v>
      </c>
      <c r="D955" t="str">
        <f ca="1">IFERROR(__xludf.DUMMYFUNCTION("""COMPUTED_VALUE"""),"Shannon Dunnigan")</f>
        <v>Shannon Dunnigan</v>
      </c>
      <c r="E955" t="str">
        <f ca="1">IFERROR(__xludf.DUMMYFUNCTION("""COMPUTED_VALUE"""),"Vilano Landing")</f>
        <v>Vilano Landing</v>
      </c>
      <c r="F955" s="13">
        <f ca="1">IFERROR(__xludf.DUMMYFUNCTION("""COMPUTED_VALUE"""),0.33333333333212)</f>
        <v>0.33333333333212001</v>
      </c>
      <c r="G955" s="14">
        <f ca="1">IFERROR(__xludf.DUMMYFUNCTION("""COMPUTED_VALUE"""),44873)</f>
        <v>44873</v>
      </c>
      <c r="H955" t="str">
        <f ca="1">IFERROR(__xludf.DUMMYFUNCTION("""COMPUTED_VALUE"""),"ICW swmp sites")</f>
        <v>ICW swmp sites</v>
      </c>
      <c r="I955" s="15">
        <f ca="1">IFERROR(__xludf.DUMMYFUNCTION("""COMPUTED_VALUE"""),0.540277777778101)</f>
        <v>0.54027777777810104</v>
      </c>
      <c r="J955" s="16">
        <f ca="1">IFERROR(__xludf.DUMMYFUNCTION("""COMPUTED_VALUE"""),44873.5555555555)</f>
        <v>44873.555555555497</v>
      </c>
      <c r="K955" t="str">
        <f ca="1">IFERROR(__xludf.DUMMYFUNCTION("""COMPUTED_VALUE"""),"20ft Sea Ark FL5351SJ UNF 2015")</f>
        <v>20ft Sea Ark FL5351SJ UNF 2015</v>
      </c>
      <c r="M955" t="str">
        <f ca="1">IFERROR(__xludf.DUMMYFUNCTION("""COMPUTED_VALUE"""),"Ford F250 2017 (Moby Dix) - DEP0021578")</f>
        <v>Ford F250 2017 (Moby Dix) - DEP0021578</v>
      </c>
      <c r="N955" t="str">
        <f ca="1">IFERROR(__xludf.DUMMYFUNCTION("""COMPUTED_VALUE"""),"Nikki Dix, (352) 219-4079, Silas Tanner, (904) 483-8423, Gabby Canas")</f>
        <v>Nikki Dix, (352) 219-4079, Silas Tanner, (904) 483-8423, Gabby Canas</v>
      </c>
      <c r="O955" t="str">
        <f ca="1">IFERROR(__xludf.DUMMYFUNCTION("""COMPUTED_VALUE"""),"Jacob Berna")</f>
        <v>Jacob Berna</v>
      </c>
      <c r="P955" t="str">
        <f ca="1">IFERROR(__xludf.DUMMYFUNCTION("""COMPUTED_VALUE"""),"Silas Tanner")</f>
        <v>Silas Tanner</v>
      </c>
      <c r="AE955" s="11"/>
      <c r="AF955" t="str">
        <v>Shannon.Dunnigan@floridadep.gov</v>
      </c>
      <c r="AG955" s="18"/>
    </row>
    <row r="956" spans="1:33" ht="12.75">
      <c r="A956" s="10">
        <f ca="1">IFERROR(__xludf.DUMMYFUNCTION("""COMPUTED_VALUE"""),44879.5575718634)</f>
        <v>44879.557571863399</v>
      </c>
      <c r="B956" s="11" t="str">
        <f ca="1">IFERROR(__xludf.DUMMYFUNCTION("""COMPUTED_VALUE"""),"Jacob Berna")</f>
        <v>Jacob Berna</v>
      </c>
      <c r="C956" t="str">
        <f ca="1">IFERROR(__xludf.DUMMYFUNCTION("""COMPUTED_VALUE"""),"Jacob.Berna@FloridaDEP.gov")</f>
        <v>Jacob.Berna@FloridaDEP.gov</v>
      </c>
      <c r="D956" t="str">
        <f ca="1">IFERROR(__xludf.DUMMYFUNCTION("""COMPUTED_VALUE"""),"Nikki Dix")</f>
        <v>Nikki Dix</v>
      </c>
      <c r="E956" t="str">
        <f ca="1">IFERROR(__xludf.DUMMYFUNCTION("""COMPUTED_VALUE"""),"Frank Butler")</f>
        <v>Frank Butler</v>
      </c>
      <c r="F956" s="13">
        <f ca="1">IFERROR(__xludf.DUMMYFUNCTION("""COMPUTED_VALUE"""),0.576388888890505)</f>
        <v>0.57638888889050499</v>
      </c>
      <c r="G956" s="14">
        <f ca="1">IFERROR(__xludf.DUMMYFUNCTION("""COMPUTED_VALUE"""),44879)</f>
        <v>44879</v>
      </c>
      <c r="H956" t="str">
        <f ca="1">IFERROR(__xludf.DUMMYFUNCTION("""COMPUTED_VALUE"""),"Frank Butler")</f>
        <v>Frank Butler</v>
      </c>
      <c r="I956" s="15">
        <f ca="1">IFERROR(__xludf.DUMMYFUNCTION("""COMPUTED_VALUE"""),0.6875)</f>
        <v>0.6875</v>
      </c>
      <c r="J956" s="16">
        <f ca="1">IFERROR(__xludf.DUMMYFUNCTION("""COMPUTED_VALUE"""),44879.7083333333)</f>
        <v>44879.708333333299</v>
      </c>
      <c r="K956" t="str">
        <f ca="1">IFERROR(__xludf.DUMMYFUNCTION("""COMPUTED_VALUE"""),"20ft Sea Ark FL5351SJ UNF 2015")</f>
        <v>20ft Sea Ark FL5351SJ UNF 2015</v>
      </c>
      <c r="M956" t="str">
        <f ca="1">IFERROR(__xludf.DUMMYFUNCTION("""COMPUTED_VALUE"""),"Ford F250 2017 (Moby Dix) - DEP0021578")</f>
        <v>Ford F250 2017 (Moby Dix) - DEP0021578</v>
      </c>
      <c r="N956" t="str">
        <f ca="1">IFERROR(__xludf.DUMMYFUNCTION("""COMPUTED_VALUE"""),"Pam Marcum, (480) 332-5414")</f>
        <v>Pam Marcum, (480) 332-5414</v>
      </c>
      <c r="O956" t="str">
        <f ca="1">IFERROR(__xludf.DUMMYFUNCTION("""COMPUTED_VALUE"""),"Jacob Berna")</f>
        <v>Jacob Berna</v>
      </c>
      <c r="P956" t="str">
        <f ca="1">IFERROR(__xludf.DUMMYFUNCTION("""COMPUTED_VALUE"""),"Jacob Berna")</f>
        <v>Jacob Berna</v>
      </c>
      <c r="AE956" s="11"/>
      <c r="AF956" t="str">
        <v>Nikki.Dix@floridadep.gov</v>
      </c>
      <c r="AG956" s="18"/>
    </row>
    <row r="957" spans="1:33" ht="12.75">
      <c r="A957" s="10">
        <f ca="1">IFERROR(__xludf.DUMMYFUNCTION("""COMPUTED_VALUE"""),44880.4213139004)</f>
        <v>44880.421313900399</v>
      </c>
      <c r="B957" s="11" t="str">
        <f ca="1">IFERROR(__xludf.DUMMYFUNCTION("""COMPUTED_VALUE"""),"Jacob Berna")</f>
        <v>Jacob Berna</v>
      </c>
      <c r="C957" t="str">
        <f ca="1">IFERROR(__xludf.DUMMYFUNCTION("""COMPUTED_VALUE"""),"Jacob.Berna@FloridaDEP.gov")</f>
        <v>Jacob.Berna@FloridaDEP.gov</v>
      </c>
      <c r="D957" t="str">
        <f ca="1">IFERROR(__xludf.DUMMYFUNCTION("""COMPUTED_VALUE"""),"Nikki Dix")</f>
        <v>Nikki Dix</v>
      </c>
      <c r="E957" t="str">
        <f ca="1">IFERROR(__xludf.DUMMYFUNCTION("""COMPUTED_VALUE"""),"Faver Dykes ")</f>
        <v xml:space="preserve">Faver Dykes </v>
      </c>
      <c r="F957" s="13">
        <f ca="1">IFERROR(__xludf.DUMMYFUNCTION("""COMPUTED_VALUE"""),0.46875)</f>
        <v>0.46875</v>
      </c>
      <c r="G957" s="14">
        <f ca="1">IFERROR(__xludf.DUMMYFUNCTION("""COMPUTED_VALUE"""),44880)</f>
        <v>44880</v>
      </c>
      <c r="H957" t="str">
        <f ca="1">IFERROR(__xludf.DUMMYFUNCTION("""COMPUTED_VALUE"""),"PC oysters")</f>
        <v>PC oysters</v>
      </c>
      <c r="I957" s="15">
        <f ca="1">IFERROR(__xludf.DUMMYFUNCTION("""COMPUTED_VALUE"""),0.70833333333212)</f>
        <v>0.70833333333212001</v>
      </c>
      <c r="J957" s="16">
        <f ca="1">IFERROR(__xludf.DUMMYFUNCTION("""COMPUTED_VALUE"""),44880.75)</f>
        <v>44880.75</v>
      </c>
      <c r="K957" t="str">
        <f ca="1">IFERROR(__xludf.DUMMYFUNCTION("""COMPUTED_VALUE"""),"20ft Sea Ark FL5351SJ UNF 2015")</f>
        <v>20ft Sea Ark FL5351SJ UNF 2015</v>
      </c>
      <c r="M957" t="str">
        <f ca="1">IFERROR(__xludf.DUMMYFUNCTION("""COMPUTED_VALUE"""),"Ford F250 2017 (Moby Dix) - DEP0021578")</f>
        <v>Ford F250 2017 (Moby Dix) - DEP0021578</v>
      </c>
      <c r="N957" t="str">
        <f ca="1">IFERROR(__xludf.DUMMYFUNCTION("""COMPUTED_VALUE"""),"Pam Marcum, (480) 332-5414")</f>
        <v>Pam Marcum, (480) 332-5414</v>
      </c>
      <c r="O957" t="str">
        <f ca="1">IFERROR(__xludf.DUMMYFUNCTION("""COMPUTED_VALUE"""),"Jacob Berna")</f>
        <v>Jacob Berna</v>
      </c>
      <c r="P957" t="str">
        <f ca="1">IFERROR(__xludf.DUMMYFUNCTION("""COMPUTED_VALUE"""),"Jacob Berna")</f>
        <v>Jacob Berna</v>
      </c>
      <c r="AE957" s="11"/>
      <c r="AF957" t="str">
        <v>Nikki.Dix@floridadep.gov</v>
      </c>
      <c r="AG957" s="18"/>
    </row>
    <row r="958" spans="1:33" ht="12.75">
      <c r="A958" s="10">
        <f ca="1">IFERROR(__xludf.DUMMYFUNCTION("""COMPUTED_VALUE"""),44880.5104054976)</f>
        <v>44880.510405497596</v>
      </c>
      <c r="B958" s="11" t="str">
        <f ca="1">IFERROR(__xludf.DUMMYFUNCTION("""COMPUTED_VALUE"""),"Silas Tanner")</f>
        <v>Silas Tanner</v>
      </c>
      <c r="C958" t="str">
        <f ca="1">IFERROR(__xludf.DUMMYFUNCTION("""COMPUTED_VALUE"""),"silas.tanner@dep.state.fl.us")</f>
        <v>silas.tanner@dep.state.fl.us</v>
      </c>
      <c r="D958" t="str">
        <f ca="1">IFERROR(__xludf.DUMMYFUNCTION("""COMPUTED_VALUE"""),"Nikki Dix")</f>
        <v>Nikki Dix</v>
      </c>
      <c r="E958" t="str">
        <f ca="1">IFERROR(__xludf.DUMMYFUNCTION("""COMPUTED_VALUE"""),"Vilano Landing")</f>
        <v>Vilano Landing</v>
      </c>
      <c r="F958" s="13">
        <f ca="1">IFERROR(__xludf.DUMMYFUNCTION("""COMPUTED_VALUE"""),0.510416666667879)</f>
        <v>0.51041666666787899</v>
      </c>
      <c r="G958" s="14">
        <f ca="1">IFERROR(__xludf.DUMMYFUNCTION("""COMPUTED_VALUE"""),44880)</f>
        <v>44880</v>
      </c>
      <c r="H958" t="str">
        <f ca="1">IFERROR(__xludf.DUMMYFUNCTION("""COMPUTED_VALUE"""),"ICW swmp sites")</f>
        <v>ICW swmp sites</v>
      </c>
      <c r="I958" s="15">
        <f ca="1">IFERROR(__xludf.DUMMYFUNCTION("""COMPUTED_VALUE"""),0.67708333333212)</f>
        <v>0.67708333333212001</v>
      </c>
      <c r="J958" s="16">
        <f ca="1">IFERROR(__xludf.DUMMYFUNCTION("""COMPUTED_VALUE"""),44880.6979166666)</f>
        <v>44880.697916666599</v>
      </c>
      <c r="K958" t="str">
        <f ca="1">IFERROR(__xludf.DUMMYFUNCTION("""COMPUTED_VALUE"""),"F 20ft Sea Ark (Easy 200) FL8534PY DEP21451")</f>
        <v>F 20ft Sea Ark (Easy 200) FL8534PY DEP21451</v>
      </c>
      <c r="M958" t="str">
        <f ca="1">IFERROR(__xludf.DUMMYFUNCTION("""COMPUTED_VALUE"""),"Ford F150 2015 (White) - DEP21448")</f>
        <v>Ford F150 2015 (White) - DEP21448</v>
      </c>
      <c r="N958" t="str">
        <f ca="1">IFERROR(__xludf.DUMMYFUNCTION("""COMPUTED_VALUE"""),"Silas Tanner, (904) 483-8423, Jessica Lee, (813) 748-2228, Remo Mondazzi")</f>
        <v>Silas Tanner, (904) 483-8423, Jessica Lee, (813) 748-2228, Remo Mondazzi</v>
      </c>
      <c r="P958" t="str">
        <f ca="1">IFERROR(__xludf.DUMMYFUNCTION("""COMPUTED_VALUE"""),"Lee")</f>
        <v>Lee</v>
      </c>
      <c r="AE958" s="11"/>
      <c r="AF958" t="str">
        <v>Nikki.Dix@floridadep.gov</v>
      </c>
      <c r="AG958" s="18"/>
    </row>
    <row r="959" spans="1:33" ht="12.75">
      <c r="A959" s="10">
        <f ca="1">IFERROR(__xludf.DUMMYFUNCTION("""COMPUTED_VALUE"""),44895.3525513657)</f>
        <v>44895.3525513657</v>
      </c>
      <c r="B959" s="11" t="str">
        <f ca="1">IFERROR(__xludf.DUMMYFUNCTION("""COMPUTED_VALUE"""),"Jacob Berna")</f>
        <v>Jacob Berna</v>
      </c>
      <c r="C959" t="str">
        <f ca="1">IFERROR(__xludf.DUMMYFUNCTION("""COMPUTED_VALUE"""),"Jacob.Berna@FloridaDEP.gov")</f>
        <v>Jacob.Berna@FloridaDEP.gov</v>
      </c>
      <c r="D959" t="str">
        <f ca="1">IFERROR(__xludf.DUMMYFUNCTION("""COMPUTED_VALUE"""),"Nikki Dix")</f>
        <v>Nikki Dix</v>
      </c>
      <c r="E959" t="str">
        <f ca="1">IFERROR(__xludf.DUMMYFUNCTION("""COMPUTED_VALUE"""),"Faver Dykes")</f>
        <v>Faver Dykes</v>
      </c>
      <c r="F959" s="13">
        <f ca="1">IFERROR(__xludf.DUMMYFUNCTION("""COMPUTED_VALUE"""),0.42708333333212)</f>
        <v>0.42708333333212001</v>
      </c>
      <c r="G959" s="14">
        <f ca="1">IFERROR(__xludf.DUMMYFUNCTION("""COMPUTED_VALUE"""),44895)</f>
        <v>44895</v>
      </c>
      <c r="H959" t="str">
        <f ca="1">IFERROR(__xludf.DUMMYFUNCTION("""COMPUTED_VALUE"""),"Platforms and Transects at Pellicer")</f>
        <v>Platforms and Transects at Pellicer</v>
      </c>
      <c r="I959" s="15">
        <f ca="1">IFERROR(__xludf.DUMMYFUNCTION("""COMPUTED_VALUE"""),0.64583333333212)</f>
        <v>0.64583333333212001</v>
      </c>
      <c r="J959" s="16">
        <f ca="1">IFERROR(__xludf.DUMMYFUNCTION("""COMPUTED_VALUE"""),44895.6875)</f>
        <v>44895.6875</v>
      </c>
      <c r="K959" t="str">
        <f ca="1">IFERROR(__xludf.DUMMYFUNCTION("""COMPUTED_VALUE"""),"20ft Sea Ark FL5351SJ UNF 2015")</f>
        <v>20ft Sea Ark FL5351SJ UNF 2015</v>
      </c>
      <c r="M959" t="str">
        <f ca="1">IFERROR(__xludf.DUMMYFUNCTION("""COMPUTED_VALUE"""),"Ford F250 2017 (Moby Dix) - DEP0021578")</f>
        <v>Ford F250 2017 (Moby Dix) - DEP0021578</v>
      </c>
      <c r="N959" t="str">
        <f ca="1">IFERROR(__xludf.DUMMYFUNCTION("""COMPUTED_VALUE"""),"Jacob Berna (904)-392-1966")</f>
        <v>Jacob Berna (904)-392-1966</v>
      </c>
      <c r="O959" t="str">
        <f ca="1">IFERROR(__xludf.DUMMYFUNCTION("""COMPUTED_VALUE"""),"Remo Mondazzi")</f>
        <v>Remo Mondazzi</v>
      </c>
      <c r="P959" t="str">
        <f ca="1">IFERROR(__xludf.DUMMYFUNCTION("""COMPUTED_VALUE"""),"Jacob Berna")</f>
        <v>Jacob Berna</v>
      </c>
      <c r="AE959" s="11"/>
      <c r="AF959" t="str">
        <v>Nikki.Dix@floridadep.gov</v>
      </c>
      <c r="AG959" s="18"/>
    </row>
    <row r="960" spans="1:33" ht="12.75">
      <c r="A960" s="10">
        <f ca="1">IFERROR(__xludf.DUMMYFUNCTION("""COMPUTED_VALUE"""),44895.3847361805)</f>
        <v>44895.384736180502</v>
      </c>
      <c r="B960" s="11" t="str">
        <f ca="1">IFERROR(__xludf.DUMMYFUNCTION("""COMPUTED_VALUE"""),"Silas Tanner")</f>
        <v>Silas Tanner</v>
      </c>
      <c r="C960" t="str">
        <f ca="1">IFERROR(__xludf.DUMMYFUNCTION("""COMPUTED_VALUE"""),"silas.tanner@floridadep.gov")</f>
        <v>silas.tanner@floridadep.gov</v>
      </c>
      <c r="D960" t="str">
        <f ca="1">IFERROR(__xludf.DUMMYFUNCTION("""COMPUTED_VALUE"""),"Shannon Dunnigan")</f>
        <v>Shannon Dunnigan</v>
      </c>
      <c r="E960" t="str">
        <f ca="1">IFERROR(__xludf.DUMMYFUNCTION("""COMPUTED_VALUE"""),"Vilano Landing")</f>
        <v>Vilano Landing</v>
      </c>
      <c r="F960" s="13">
        <f ca="1">IFERROR(__xludf.DUMMYFUNCTION("""COMPUTED_VALUE"""),0.42708333333212)</f>
        <v>0.42708333333212001</v>
      </c>
      <c r="G960" s="14">
        <f ca="1">IFERROR(__xludf.DUMMYFUNCTION("""COMPUTED_VALUE"""),44895)</f>
        <v>44895</v>
      </c>
      <c r="H960" t="str">
        <f ca="1">IFERROR(__xludf.DUMMYFUNCTION("""COMPUTED_VALUE"""),"ICW SWMP sites")</f>
        <v>ICW SWMP sites</v>
      </c>
      <c r="I960" s="15">
        <f ca="1">IFERROR(__xludf.DUMMYFUNCTION("""COMPUTED_VALUE"""),0.61458333333212)</f>
        <v>0.61458333333212001</v>
      </c>
      <c r="J960" s="16">
        <f ca="1">IFERROR(__xludf.DUMMYFUNCTION("""COMPUTED_VALUE"""),44895.625)</f>
        <v>44895.625</v>
      </c>
      <c r="K960" t="str">
        <f ca="1">IFERROR(__xludf.DUMMYFUNCTION("""COMPUTED_VALUE"""),"F 20ft Sea Ark (Easy 200) FL8534PY DEP21451")</f>
        <v>F 20ft Sea Ark (Easy 200) FL8534PY DEP21451</v>
      </c>
      <c r="M960" t="str">
        <f ca="1">IFERROR(__xludf.DUMMYFUNCTION("""COMPUTED_VALUE"""),"Ford F150 2015 (White) - DEP21448")</f>
        <v>Ford F150 2015 (White) - DEP21448</v>
      </c>
      <c r="N960" t="str">
        <f ca="1">IFERROR(__xludf.DUMMYFUNCTION("""COMPUTED_VALUE"""),"Silas Tanner, (904) 483-8423, Jessica Lee, (813) 748-2228")</f>
        <v>Silas Tanner, (904) 483-8423, Jessica Lee, (813) 748-2228</v>
      </c>
      <c r="P960" t="str">
        <f ca="1">IFERROR(__xludf.DUMMYFUNCTION("""COMPUTED_VALUE"""),"Silas Tanner")</f>
        <v>Silas Tanner</v>
      </c>
      <c r="AE960" s="11"/>
      <c r="AF960" t="str">
        <v>Shannon.Dunnigan@floridadep.gov</v>
      </c>
      <c r="AG960" s="18"/>
    </row>
    <row r="961" spans="1:33" ht="12.75">
      <c r="A961" s="10">
        <f ca="1">IFERROR(__xludf.DUMMYFUNCTION("""COMPUTED_VALUE"""),44896.339309699)</f>
        <v>44896.339309698997</v>
      </c>
      <c r="B961" s="11" t="str">
        <f ca="1">IFERROR(__xludf.DUMMYFUNCTION("""COMPUTED_VALUE"""),"Jacob Berna")</f>
        <v>Jacob Berna</v>
      </c>
      <c r="C961" t="str">
        <f ca="1">IFERROR(__xludf.DUMMYFUNCTION("""COMPUTED_VALUE"""),"Jacob.Berna@FloridaDEP.gov")</f>
        <v>Jacob.Berna@FloridaDEP.gov</v>
      </c>
      <c r="D961" t="str">
        <f ca="1">IFERROR(__xludf.DUMMYFUNCTION("""COMPUTED_VALUE"""),"Nikki Dix")</f>
        <v>Nikki Dix</v>
      </c>
      <c r="E961" t="str">
        <f ca="1">IFERROR(__xludf.DUMMYFUNCTION("""COMPUTED_VALUE"""),"Usina")</f>
        <v>Usina</v>
      </c>
      <c r="F961" s="13">
        <f ca="1">IFERROR(__xludf.DUMMYFUNCTION("""COMPUTED_VALUE"""),0.36458333333212)</f>
        <v>0.36458333333212001</v>
      </c>
      <c r="G961" s="14">
        <f ca="1">IFERROR(__xludf.DUMMYFUNCTION("""COMPUTED_VALUE"""),44896)</f>
        <v>44896</v>
      </c>
      <c r="H961" t="str">
        <f ca="1">IFERROR(__xludf.DUMMYFUNCTION("""COMPUTED_VALUE"""),"Southern Tip of Guana Peninsula ")</f>
        <v xml:space="preserve">Southern Tip of Guana Peninsula </v>
      </c>
      <c r="I961" s="15">
        <f ca="1">IFERROR(__xludf.DUMMYFUNCTION("""COMPUTED_VALUE"""),0.541666666667879)</f>
        <v>0.54166666666787899</v>
      </c>
      <c r="J961" s="16">
        <f ca="1">IFERROR(__xludf.DUMMYFUNCTION("""COMPUTED_VALUE"""),44896.5625)</f>
        <v>44896.5625</v>
      </c>
      <c r="K961" t="str">
        <f ca="1">IFERROR(__xludf.DUMMYFUNCTION("""COMPUTED_VALUE"""),"20ft Sea Ark FL5351SJ UNF 2015")</f>
        <v>20ft Sea Ark FL5351SJ UNF 2015</v>
      </c>
      <c r="M961" t="str">
        <f ca="1">IFERROR(__xludf.DUMMYFUNCTION("""COMPUTED_VALUE"""),"Ford F250 2017 (Moby Dix) - DEP0021578")</f>
        <v>Ford F250 2017 (Moby Dix) - DEP0021578</v>
      </c>
      <c r="N961" t="str">
        <f ca="1">IFERROR(__xludf.DUMMYFUNCTION("""COMPUTED_VALUE"""),"Jacob Berna (904)-392-1966")</f>
        <v>Jacob Berna (904)-392-1966</v>
      </c>
      <c r="O961" t="str">
        <f ca="1">IFERROR(__xludf.DUMMYFUNCTION("""COMPUTED_VALUE"""),"Lauren Griffiths, Hallie Fishman, Justina Dacey")</f>
        <v>Lauren Griffiths, Hallie Fishman, Justina Dacey</v>
      </c>
      <c r="P961" t="str">
        <f ca="1">IFERROR(__xludf.DUMMYFUNCTION("""COMPUTED_VALUE"""),"Jacob Berna")</f>
        <v>Jacob Berna</v>
      </c>
      <c r="AE961" s="11"/>
      <c r="AF961" t="str">
        <v>Nikki.Dix@floridadep.gov</v>
      </c>
      <c r="AG961" s="18"/>
    </row>
    <row r="962" spans="1:33" ht="12.75">
      <c r="A962" s="10">
        <f ca="1">IFERROR(__xludf.DUMMYFUNCTION("""COMPUTED_VALUE"""),44901.2778487384)</f>
        <v>44901.277848738398</v>
      </c>
      <c r="B962" s="11" t="str">
        <f ca="1">IFERROR(__xludf.DUMMYFUNCTION("""COMPUTED_VALUE"""),"Silas Tanner")</f>
        <v>Silas Tanner</v>
      </c>
      <c r="C962" t="str">
        <f ca="1">IFERROR(__xludf.DUMMYFUNCTION("""COMPUTED_VALUE"""),"silas.tanner@floridadep.gov")</f>
        <v>silas.tanner@floridadep.gov</v>
      </c>
      <c r="D962" t="str">
        <f ca="1">IFERROR(__xludf.DUMMYFUNCTION("""COMPUTED_VALUE"""),"Shannon Dunnigan")</f>
        <v>Shannon Dunnigan</v>
      </c>
      <c r="E962" t="str">
        <f ca="1">IFERROR(__xludf.DUMMYFUNCTION("""COMPUTED_VALUE"""),"Vilano Landing")</f>
        <v>Vilano Landing</v>
      </c>
      <c r="F962" s="13">
        <f ca="1">IFERROR(__xludf.DUMMYFUNCTION("""COMPUTED_VALUE"""),0.30208333333212)</f>
        <v>0.30208333333212001</v>
      </c>
      <c r="G962" s="14">
        <f ca="1">IFERROR(__xludf.DUMMYFUNCTION("""COMPUTED_VALUE"""),44901)</f>
        <v>44901</v>
      </c>
      <c r="H962" t="str">
        <f ca="1">IFERROR(__xludf.DUMMYFUNCTION("""COMPUTED_VALUE"""),"ICW SWMP Sites")</f>
        <v>ICW SWMP Sites</v>
      </c>
      <c r="I962" s="15">
        <f ca="1">IFERROR(__xludf.DUMMYFUNCTION("""COMPUTED_VALUE"""),0.541666666667879)</f>
        <v>0.54166666666787899</v>
      </c>
      <c r="J962" s="16">
        <f ca="1">IFERROR(__xludf.DUMMYFUNCTION("""COMPUTED_VALUE"""),44901.5625)</f>
        <v>44901.5625</v>
      </c>
      <c r="K962" t="str">
        <f ca="1">IFERROR(__xludf.DUMMYFUNCTION("""COMPUTED_VALUE"""),"23ft Skiff (Bertha) FL7972LJ DEP07613")</f>
        <v>23ft Skiff (Bertha) FL7972LJ DEP07613</v>
      </c>
      <c r="M962" t="str">
        <f ca="1">IFERROR(__xludf.DUMMYFUNCTION("""COMPUTED_VALUE"""),"Ford F150 2015 (White) - DEP21448")</f>
        <v>Ford F150 2015 (White) - DEP21448</v>
      </c>
      <c r="N962" t="str">
        <f ca="1">IFERROR(__xludf.DUMMYFUNCTION("""COMPUTED_VALUE"""),"Silas Tanner, (904) 483-8423, Jacob Berna")</f>
        <v>Silas Tanner, (904) 483-8423, Jacob Berna</v>
      </c>
      <c r="P962" t="str">
        <f ca="1">IFERROR(__xludf.DUMMYFUNCTION("""COMPUTED_VALUE"""),"Silas Tanner")</f>
        <v>Silas Tanner</v>
      </c>
      <c r="AE962" s="11"/>
      <c r="AF962" t="str">
        <v>Shannon.Dunnigan@floridadep.gov</v>
      </c>
      <c r="AG962" s="18"/>
    </row>
    <row r="963" spans="1:33" ht="12.75">
      <c r="A963" s="10">
        <f ca="1">IFERROR(__xludf.DUMMYFUNCTION("""COMPUTED_VALUE"""),44902.3833735416)</f>
        <v>44902.383373541597</v>
      </c>
      <c r="B963" s="11" t="str">
        <f ca="1">IFERROR(__xludf.DUMMYFUNCTION("""COMPUTED_VALUE"""),"Jacob Berna")</f>
        <v>Jacob Berna</v>
      </c>
      <c r="C963" t="str">
        <f ca="1">IFERROR(__xludf.DUMMYFUNCTION("""COMPUTED_VALUE"""),"Jacob.Berna@FloridaDEP.gov")</f>
        <v>Jacob.Berna@FloridaDEP.gov</v>
      </c>
      <c r="D963" t="str">
        <f ca="1">IFERROR(__xludf.DUMMYFUNCTION("""COMPUTED_VALUE"""),"Nikki Dix")</f>
        <v>Nikki Dix</v>
      </c>
      <c r="E963" t="str">
        <f ca="1">IFERROR(__xludf.DUMMYFUNCTION("""COMPUTED_VALUE"""),"Faver Dykes")</f>
        <v>Faver Dykes</v>
      </c>
      <c r="F963" s="13">
        <f ca="1">IFERROR(__xludf.DUMMYFUNCTION("""COMPUTED_VALUE"""),0.46875)</f>
        <v>0.46875</v>
      </c>
      <c r="G963" s="14">
        <f ca="1">IFERROR(__xludf.DUMMYFUNCTION("""COMPUTED_VALUE"""),44902)</f>
        <v>44902</v>
      </c>
      <c r="H963" t="str">
        <f ca="1">IFERROR(__xludf.DUMMYFUNCTION("""COMPUTED_VALUE"""),"Pellicer Transects ")</f>
        <v xml:space="preserve">Pellicer Transects </v>
      </c>
      <c r="I963" s="15">
        <f ca="1">IFERROR(__xludf.DUMMYFUNCTION("""COMPUTED_VALUE"""),0.666666666667879)</f>
        <v>0.66666666666787899</v>
      </c>
      <c r="J963" s="16">
        <f ca="1">IFERROR(__xludf.DUMMYFUNCTION("""COMPUTED_VALUE"""),44902.7083333333)</f>
        <v>44902.708333333299</v>
      </c>
      <c r="K963" t="str">
        <f ca="1">IFERROR(__xludf.DUMMYFUNCTION("""COMPUTED_VALUE"""),"20ft Sea Ark FL5351SJ UNF 2015")</f>
        <v>20ft Sea Ark FL5351SJ UNF 2015</v>
      </c>
      <c r="M963" t="str">
        <f ca="1">IFERROR(__xludf.DUMMYFUNCTION("""COMPUTED_VALUE"""),"Ford F250 2017 (Moby Dix) - DEP0021578")</f>
        <v>Ford F250 2017 (Moby Dix) - DEP0021578</v>
      </c>
      <c r="N963" t="str">
        <f ca="1">IFERROR(__xludf.DUMMYFUNCTION("""COMPUTED_VALUE"""),"Jacob Berna (904)-392-1966")</f>
        <v>Jacob Berna (904)-392-1966</v>
      </c>
      <c r="O963" t="str">
        <f ca="1">IFERROR(__xludf.DUMMYFUNCTION("""COMPUTED_VALUE"""),"Vitalii Sheremet")</f>
        <v>Vitalii Sheremet</v>
      </c>
      <c r="P963" t="str">
        <f ca="1">IFERROR(__xludf.DUMMYFUNCTION("""COMPUTED_VALUE"""),"Jacob Berna")</f>
        <v>Jacob Berna</v>
      </c>
      <c r="AE963" s="11"/>
      <c r="AF963" t="str">
        <v>Nikki.Dix@floridadep.gov</v>
      </c>
      <c r="AG963" s="18"/>
    </row>
    <row r="964" spans="1:33" ht="12.75">
      <c r="A964" s="10">
        <f ca="1">IFERROR(__xludf.DUMMYFUNCTION("""COMPUTED_VALUE"""),44907.4443905208)</f>
        <v>44907.444390520803</v>
      </c>
      <c r="B964" s="11" t="str">
        <f ca="1">IFERROR(__xludf.DUMMYFUNCTION("""COMPUTED_VALUE"""),"Allix North")</f>
        <v>Allix North</v>
      </c>
      <c r="C964" t="str">
        <f ca="1">IFERROR(__xludf.DUMMYFUNCTION("""COMPUTED_VALUE"""),"allix.north@dep.state.fl.us")</f>
        <v>allix.north@dep.state.fl.us</v>
      </c>
      <c r="D964" t="str">
        <f ca="1">IFERROR(__xludf.DUMMYFUNCTION("""COMPUTED_VALUE"""),"Blythe Odzinski")</f>
        <v>Blythe Odzinski</v>
      </c>
      <c r="E964" t="str">
        <f ca="1">IFERROR(__xludf.DUMMYFUNCTION("""COMPUTED_VALUE"""),"Favor Dykes State Park")</f>
        <v>Favor Dykes State Park</v>
      </c>
      <c r="F964" s="13">
        <f ca="1">IFERROR(__xludf.DUMMYFUNCTION("""COMPUTED_VALUE"""),0.5625)</f>
        <v>0.5625</v>
      </c>
      <c r="G964" s="14">
        <f ca="1">IFERROR(__xludf.DUMMYFUNCTION("""COMPUTED_VALUE"""),44907)</f>
        <v>44907</v>
      </c>
      <c r="H964" t="str">
        <f ca="1">IFERROR(__xludf.DUMMYFUNCTION("""COMPUTED_VALUE"""),"Pellicer Creek Lower Transect and SET site")</f>
        <v>Pellicer Creek Lower Transect and SET site</v>
      </c>
      <c r="I964" s="15">
        <f ca="1">IFERROR(__xludf.DUMMYFUNCTION("""COMPUTED_VALUE"""),0.666666666667879)</f>
        <v>0.66666666666787899</v>
      </c>
      <c r="J964" s="16">
        <f ca="1">IFERROR(__xludf.DUMMYFUNCTION("""COMPUTED_VALUE"""),44907.7083333333)</f>
        <v>44907.708333333299</v>
      </c>
      <c r="K964" t="str">
        <f ca="1">IFERROR(__xludf.DUMMYFUNCTION("""COMPUTED_VALUE"""),"17ft Skiff (Marsha) FL0642GW DEP07239")</f>
        <v>17ft Skiff (Marsha) FL0642GW DEP07239</v>
      </c>
      <c r="M964" t="str">
        <f ca="1">IFERROR(__xludf.DUMMYFUNCTION("""COMPUTED_VALUE"""),"Ford F150 2018 (ML AP) - DEP21637")</f>
        <v>Ford F150 2018 (ML AP) - DEP21637</v>
      </c>
      <c r="N964" t="str">
        <f ca="1">IFERROR(__xludf.DUMMYFUNCTION("""COMPUTED_VALUE"""),"Allix North, (850) 420-7495, Greg Curry (239)682-4755 Rookery Bay NERR")</f>
        <v>Allix North, (850) 420-7495, Greg Curry (239)682-4755 Rookery Bay NERR</v>
      </c>
      <c r="O964" t="str">
        <f ca="1">IFERROR(__xludf.DUMMYFUNCTION("""COMPUTED_VALUE"""),"Savanna Mathis, Jill Schmid Rookery Bay NERR")</f>
        <v>Savanna Mathis, Jill Schmid Rookery Bay NERR</v>
      </c>
      <c r="P964" t="str">
        <f ca="1">IFERROR(__xludf.DUMMYFUNCTION("""COMPUTED_VALUE"""),"Allix North")</f>
        <v>Allix North</v>
      </c>
      <c r="AD964" t="str">
        <f ca="1">IFERROR(__xludf.DUMMYFUNCTION("""COMPUTED_VALUE"""),"Good")</f>
        <v>Good</v>
      </c>
      <c r="AE964" s="11" t="str">
        <f ca="1">IFERROR(__xludf.DUMMYFUNCTION("""COMPUTED_VALUE"""),"Good")</f>
        <v>Good</v>
      </c>
      <c r="AF964" t="str">
        <v/>
      </c>
      <c r="AG964" s="18"/>
    </row>
    <row r="965" spans="1:33" ht="12.75">
      <c r="A965" s="10">
        <f ca="1">IFERROR(__xludf.DUMMYFUNCTION("""COMPUTED_VALUE"""),44911.2757534143)</f>
        <v>44911.275753414302</v>
      </c>
      <c r="B965" s="11" t="str">
        <f ca="1">IFERROR(__xludf.DUMMYFUNCTION("""COMPUTED_VALUE"""),"Jacob Berna")</f>
        <v>Jacob Berna</v>
      </c>
      <c r="C965" t="str">
        <f ca="1">IFERROR(__xludf.DUMMYFUNCTION("""COMPUTED_VALUE"""),"Jacob.Berna@FloridaDEP.gov")</f>
        <v>Jacob.Berna@FloridaDEP.gov</v>
      </c>
      <c r="D965" t="str">
        <f ca="1">IFERROR(__xludf.DUMMYFUNCTION("""COMPUTED_VALUE"""),"Blythe Odzinski")</f>
        <v>Blythe Odzinski</v>
      </c>
      <c r="E965" t="str">
        <f ca="1">IFERROR(__xludf.DUMMYFUNCTION("""COMPUTED_VALUE"""),"Usina")</f>
        <v>Usina</v>
      </c>
      <c r="F965" s="13">
        <f ca="1">IFERROR(__xludf.DUMMYFUNCTION("""COMPUTED_VALUE"""),0.28125)</f>
        <v>0.28125</v>
      </c>
      <c r="G965" s="14">
        <f ca="1">IFERROR(__xludf.DUMMYFUNCTION("""COMPUTED_VALUE"""),44911)</f>
        <v>44911</v>
      </c>
      <c r="H965" t="str">
        <f ca="1">IFERROR(__xludf.DUMMYFUNCTION("""COMPUTED_VALUE"""),"St Augustine oyster reefs")</f>
        <v>St Augustine oyster reefs</v>
      </c>
      <c r="I965" s="15">
        <f ca="1">IFERROR(__xludf.DUMMYFUNCTION("""COMPUTED_VALUE"""),0.64583333333212)</f>
        <v>0.64583333333212001</v>
      </c>
      <c r="J965" s="16">
        <f ca="1">IFERROR(__xludf.DUMMYFUNCTION("""COMPUTED_VALUE"""),44911.6666666666)</f>
        <v>44911.666666666599</v>
      </c>
      <c r="K965" t="str">
        <f ca="1">IFERROR(__xludf.DUMMYFUNCTION("""COMPUTED_VALUE"""),"23ft Skiff (Bertha) FL7972LJ DEP07613")</f>
        <v>23ft Skiff (Bertha) FL7972LJ DEP07613</v>
      </c>
      <c r="M965" t="str">
        <f ca="1">IFERROR(__xludf.DUMMYFUNCTION("""COMPUTED_VALUE"""),"Ford F150 2015 (White) - DEP21448")</f>
        <v>Ford F150 2015 (White) - DEP21448</v>
      </c>
      <c r="N965" t="str">
        <f ca="1">IFERROR(__xludf.DUMMYFUNCTION("""COMPUTED_VALUE"""),"Jacob Berna (904)-392-1966")</f>
        <v>Jacob Berna (904)-392-1966</v>
      </c>
      <c r="O965" t="str">
        <f ca="1">IFERROR(__xludf.DUMMYFUNCTION("""COMPUTED_VALUE"""),"Nikki, Sarah, Joseph agee")</f>
        <v>Nikki, Sarah, Joseph agee</v>
      </c>
      <c r="P965" t="str">
        <f ca="1">IFERROR(__xludf.DUMMYFUNCTION("""COMPUTED_VALUE"""),"Jacob Berna")</f>
        <v>Jacob Berna</v>
      </c>
      <c r="AE965" s="11"/>
      <c r="AF965" t="str">
        <v/>
      </c>
      <c r="AG965" s="18"/>
    </row>
    <row r="966" spans="1:33" ht="12.75">
      <c r="A966" s="10">
        <f ca="1">IFERROR(__xludf.DUMMYFUNCTION("""COMPUTED_VALUE"""),44913.2259499884)</f>
        <v>44913.225949988402</v>
      </c>
      <c r="B966" s="11" t="str">
        <f ca="1">IFERROR(__xludf.DUMMYFUNCTION("""COMPUTED_VALUE"""),"Jimmy")</f>
        <v>Jimmy</v>
      </c>
      <c r="C966" t="str">
        <f ca="1">IFERROR(__xludf.DUMMYFUNCTION("""COMPUTED_VALUE"""),"james.tomazinis@floridadep.gov")</f>
        <v>james.tomazinis@floridadep.gov</v>
      </c>
      <c r="D966" t="str">
        <f ca="1">IFERROR(__xludf.DUMMYFUNCTION("""COMPUTED_VALUE"""),"Scott Eastman")</f>
        <v>Scott Eastman</v>
      </c>
      <c r="E966" t="str">
        <f ca="1">IFERROR(__xludf.DUMMYFUNCTION("""COMPUTED_VALUE"""),"Vilano")</f>
        <v>Vilano</v>
      </c>
      <c r="F966" s="13">
        <f ca="1">IFERROR(__xludf.DUMMYFUNCTION("""COMPUTED_VALUE"""),0.354166666667879)</f>
        <v>0.35416666666787899</v>
      </c>
      <c r="G966" s="14">
        <f ca="1">IFERROR(__xludf.DUMMYFUNCTION("""COMPUTED_VALUE"""),44913)</f>
        <v>44913</v>
      </c>
      <c r="H966" t="str">
        <f ca="1">IFERROR(__xludf.DUMMYFUNCTION("""COMPUTED_VALUE"""),"Tolomato River to Shell Bluff")</f>
        <v>Tolomato River to Shell Bluff</v>
      </c>
      <c r="I966" s="15">
        <f ca="1">IFERROR(__xludf.DUMMYFUNCTION("""COMPUTED_VALUE"""),0.541666666667879)</f>
        <v>0.54166666666787899</v>
      </c>
      <c r="J966" s="16"/>
      <c r="K966" t="str">
        <f ca="1">IFERROR(__xludf.DUMMYFUNCTION("""COMPUTED_VALUE"""),"23ft Skiff (Bertha) FL7972LJ DEP07613")</f>
        <v>23ft Skiff (Bertha) FL7972LJ DEP07613</v>
      </c>
      <c r="M966" t="str">
        <f ca="1">IFERROR(__xludf.DUMMYFUNCTION("""COMPUTED_VALUE"""),"Ford F150 2007 (F-Bomb) - DEP07055")</f>
        <v>Ford F150 2007 (F-Bomb) - DEP07055</v>
      </c>
      <c r="N966" t="str">
        <f ca="1">IFERROR(__xludf.DUMMYFUNCTION("""COMPUTED_VALUE"""),"Jimmy Tomazinis, (904) 547-0094")</f>
        <v>Jimmy Tomazinis, (904) 547-0094</v>
      </c>
      <c r="O966" t="str">
        <f ca="1">IFERROR(__xludf.DUMMYFUNCTION("""COMPUTED_VALUE"""),"Lia Sansom, (520) 940-4888, Zach Lepera, Ky ")</f>
        <v xml:space="preserve">Lia Sansom, (520) 940-4888, Zach Lepera, Ky </v>
      </c>
      <c r="P966" t="str">
        <f ca="1">IFERROR(__xludf.DUMMYFUNCTION("""COMPUTED_VALUE"""),"Jimmy")</f>
        <v>Jimmy</v>
      </c>
      <c r="AE966" s="11"/>
      <c r="AF966" t="str">
        <v>Scott.Eastman@floridadep.gov</v>
      </c>
      <c r="AG966" s="18"/>
    </row>
    <row r="967" spans="1:33" ht="12.75">
      <c r="A967" s="10">
        <f ca="1">IFERROR(__xludf.DUMMYFUNCTION("""COMPUTED_VALUE"""),44915.394526956)</f>
        <v>44915.394526955999</v>
      </c>
      <c r="B967" s="11" t="str">
        <f ca="1">IFERROR(__xludf.DUMMYFUNCTION("""COMPUTED_VALUE"""),"Silas Tanner")</f>
        <v>Silas Tanner</v>
      </c>
      <c r="C967" t="str">
        <f ca="1">IFERROR(__xludf.DUMMYFUNCTION("""COMPUTED_VALUE"""),"silas.tanner@floridadep.gov")</f>
        <v>silas.tanner@floridadep.gov</v>
      </c>
      <c r="D967" t="str">
        <f ca="1">IFERROR(__xludf.DUMMYFUNCTION("""COMPUTED_VALUE"""),"Nikki Dix")</f>
        <v>Nikki Dix</v>
      </c>
      <c r="E967" t="str">
        <f ca="1">IFERROR(__xludf.DUMMYFUNCTION("""COMPUTED_VALUE"""),"Vilano Landing")</f>
        <v>Vilano Landing</v>
      </c>
      <c r="F967" s="13">
        <f ca="1">IFERROR(__xludf.DUMMYFUNCTION("""COMPUTED_VALUE"""),0.45833333333212)</f>
        <v>0.45833333333212001</v>
      </c>
      <c r="G967" s="14">
        <f ca="1">IFERROR(__xludf.DUMMYFUNCTION("""COMPUTED_VALUE"""),44915)</f>
        <v>44915</v>
      </c>
      <c r="H967" t="str">
        <f ca="1">IFERROR(__xludf.DUMMYFUNCTION("""COMPUTED_VALUE"""),"ICW SWMP sites")</f>
        <v>ICW SWMP sites</v>
      </c>
      <c r="I967" s="15">
        <f ca="1">IFERROR(__xludf.DUMMYFUNCTION("""COMPUTED_VALUE"""),0.625)</f>
        <v>0.625</v>
      </c>
      <c r="J967" s="16">
        <f ca="1">IFERROR(__xludf.DUMMYFUNCTION("""COMPUTED_VALUE"""),44915.6458333333)</f>
        <v>44915.645833333299</v>
      </c>
      <c r="K967" t="str">
        <f ca="1">IFERROR(__xludf.DUMMYFUNCTION("""COMPUTED_VALUE"""),"23ft Skiff (Bertha) FL7972LJ DEP07613")</f>
        <v>23ft Skiff (Bertha) FL7972LJ DEP07613</v>
      </c>
      <c r="M967" t="str">
        <f ca="1">IFERROR(__xludf.DUMMYFUNCTION("""COMPUTED_VALUE"""),"Ford F250 2017 (Moby Dix) - DEP0021578")</f>
        <v>Ford F250 2017 (Moby Dix) - DEP0021578</v>
      </c>
      <c r="N967" t="str">
        <f ca="1">IFERROR(__xludf.DUMMYFUNCTION("""COMPUTED_VALUE"""),"Silas Tanner, (904) 483-8423, Remo Mondazzi")</f>
        <v>Silas Tanner, (904) 483-8423, Remo Mondazzi</v>
      </c>
      <c r="P967" t="str">
        <f ca="1">IFERROR(__xludf.DUMMYFUNCTION("""COMPUTED_VALUE"""),"Silas Tanner")</f>
        <v>Silas Tanner</v>
      </c>
      <c r="AE967" s="11"/>
      <c r="AF967" t="str">
        <v>Nikki.Dix@floridadep.gov</v>
      </c>
      <c r="AG967" s="18"/>
    </row>
    <row r="968" spans="1:33" ht="12.75">
      <c r="A968" s="10">
        <f ca="1">IFERROR(__xludf.DUMMYFUNCTION("""COMPUTED_VALUE"""),44916.4249492129)</f>
        <v>44916.424949212902</v>
      </c>
      <c r="B968" s="11" t="str">
        <f ca="1">IFERROR(__xludf.DUMMYFUNCTION("""COMPUTED_VALUE"""),"Jacob Berna")</f>
        <v>Jacob Berna</v>
      </c>
      <c r="C968" t="str">
        <f ca="1">IFERROR(__xludf.DUMMYFUNCTION("""COMPUTED_VALUE"""),"Jacob.Berna@FloridaDEP.gov")</f>
        <v>Jacob.Berna@FloridaDEP.gov</v>
      </c>
      <c r="D968" t="str">
        <f ca="1">IFERROR(__xludf.DUMMYFUNCTION("""COMPUTED_VALUE"""),"Nikki Dix")</f>
        <v>Nikki Dix</v>
      </c>
      <c r="E968" t="str">
        <f ca="1">IFERROR(__xludf.DUMMYFUNCTION("""COMPUTED_VALUE"""),"Vilano ")</f>
        <v xml:space="preserve">Vilano </v>
      </c>
      <c r="F968" s="13">
        <f ca="1">IFERROR(__xludf.DUMMYFUNCTION("""COMPUTED_VALUE"""),0.42708333333212)</f>
        <v>0.42708333333212001</v>
      </c>
      <c r="G968" s="14">
        <f ca="1">IFERROR(__xludf.DUMMYFUNCTION("""COMPUTED_VALUE"""),44916)</f>
        <v>44916</v>
      </c>
      <c r="H968" t="str">
        <f ca="1">IFERROR(__xludf.DUMMYFUNCTION("""COMPUTED_VALUE"""),"Salt run")</f>
        <v>Salt run</v>
      </c>
      <c r="I968" s="15">
        <f ca="1">IFERROR(__xludf.DUMMYFUNCTION("""COMPUTED_VALUE"""),0.625)</f>
        <v>0.625</v>
      </c>
      <c r="J968" s="16">
        <f ca="1">IFERROR(__xludf.DUMMYFUNCTION("""COMPUTED_VALUE"""),44916.6666666666)</f>
        <v>44916.666666666599</v>
      </c>
      <c r="K968" t="str">
        <f ca="1">IFERROR(__xludf.DUMMYFUNCTION("""COMPUTED_VALUE"""),"23ft Skiff (Bertha) FL7972LJ DEP07613")</f>
        <v>23ft Skiff (Bertha) FL7972LJ DEP07613</v>
      </c>
      <c r="M968" t="str">
        <f ca="1">IFERROR(__xludf.DUMMYFUNCTION("""COMPUTED_VALUE"""),"Ford F250 2017 (Moby Dix) - DEP0021578")</f>
        <v>Ford F250 2017 (Moby Dix) - DEP0021578</v>
      </c>
      <c r="N968" t="str">
        <f ca="1">IFERROR(__xludf.DUMMYFUNCTION("""COMPUTED_VALUE"""),"Jacob Berna")</f>
        <v>Jacob Berna</v>
      </c>
      <c r="O968" t="str">
        <f ca="1">IFERROR(__xludf.DUMMYFUNCTION("""COMPUTED_VALUE"""),"Anastasia Utley, Jeff Finnain, Pam korchun")</f>
        <v>Anastasia Utley, Jeff Finnain, Pam korchun</v>
      </c>
      <c r="P968" t="str">
        <f ca="1">IFERROR(__xludf.DUMMYFUNCTION("""COMPUTED_VALUE"""),"Jacob Berna")</f>
        <v>Jacob Berna</v>
      </c>
      <c r="AE968" s="11"/>
      <c r="AF968" t="str">
        <v>Nikki.Dix@floridadep.gov</v>
      </c>
      <c r="AG968" s="18"/>
    </row>
    <row r="969" spans="1:33" ht="12.75">
      <c r="A969" s="10">
        <f ca="1">IFERROR(__xludf.DUMMYFUNCTION("""COMPUTED_VALUE"""),44930.4595164351)</f>
        <v>44930.459516435098</v>
      </c>
      <c r="B969" s="11" t="str">
        <f ca="1">IFERROR(__xludf.DUMMYFUNCTION("""COMPUTED_VALUE"""),"Jacob Berna")</f>
        <v>Jacob Berna</v>
      </c>
      <c r="C969" t="str">
        <f ca="1">IFERROR(__xludf.DUMMYFUNCTION("""COMPUTED_VALUE"""),"Jacob.Berna@FloridaDEP.gov")</f>
        <v>Jacob.Berna@FloridaDEP.gov</v>
      </c>
      <c r="D969" t="str">
        <f ca="1">IFERROR(__xludf.DUMMYFUNCTION("""COMPUTED_VALUE"""),"Nikki Dix")</f>
        <v>Nikki Dix</v>
      </c>
      <c r="E969" t="str">
        <f ca="1">IFERROR(__xludf.DUMMYFUNCTION("""COMPUTED_VALUE"""),"Vilano")</f>
        <v>Vilano</v>
      </c>
      <c r="F969" s="13">
        <f ca="1">IFERROR(__xludf.DUMMYFUNCTION("""COMPUTED_VALUE"""),0.46875)</f>
        <v>0.46875</v>
      </c>
      <c r="G969" s="14">
        <f ca="1">IFERROR(__xludf.DUMMYFUNCTION("""COMPUTED_VALUE"""),44930)</f>
        <v>44930</v>
      </c>
      <c r="H969" t="str">
        <f ca="1">IFERROR(__xludf.DUMMYFUNCTION("""COMPUTED_VALUE"""),"Salt Run Reefs")</f>
        <v>Salt Run Reefs</v>
      </c>
      <c r="I969" s="15">
        <f ca="1">IFERROR(__xludf.DUMMYFUNCTION("""COMPUTED_VALUE"""),0.666666666667879)</f>
        <v>0.66666666666787899</v>
      </c>
      <c r="J969" s="16">
        <f ca="1">IFERROR(__xludf.DUMMYFUNCTION("""COMPUTED_VALUE"""),44930.6875)</f>
        <v>44930.6875</v>
      </c>
      <c r="K969" t="str">
        <f ca="1">IFERROR(__xludf.DUMMYFUNCTION("""COMPUTED_VALUE"""),"23ft Skiff (Bertha) FL7972LJ DEP07613")</f>
        <v>23ft Skiff (Bertha) FL7972LJ DEP07613</v>
      </c>
      <c r="M969" t="str">
        <f ca="1">IFERROR(__xludf.DUMMYFUNCTION("""COMPUTED_VALUE"""),"Ford F250 2017 (Moby Dix) - DEP0021578")</f>
        <v>Ford F250 2017 (Moby Dix) - DEP0021578</v>
      </c>
      <c r="N969" t="str">
        <f ca="1">IFERROR(__xludf.DUMMYFUNCTION("""COMPUTED_VALUE"""),"Jacob Berna")</f>
        <v>Jacob Berna</v>
      </c>
      <c r="O969" t="str">
        <f ca="1">IFERROR(__xludf.DUMMYFUNCTION("""COMPUTED_VALUE"""),"Jeff Finnain, Nathan")</f>
        <v>Jeff Finnain, Nathan</v>
      </c>
      <c r="P969" t="str">
        <f ca="1">IFERROR(__xludf.DUMMYFUNCTION("""COMPUTED_VALUE"""),"Jacob Berna")</f>
        <v>Jacob Berna</v>
      </c>
      <c r="AE969" s="11"/>
      <c r="AF969" t="str">
        <v>Nikki.Dix@floridadep.gov</v>
      </c>
      <c r="AG969" s="18"/>
    </row>
    <row r="970" spans="1:33" ht="12.75">
      <c r="A970" s="10">
        <f ca="1">IFERROR(__xludf.DUMMYFUNCTION("""COMPUTED_VALUE"""),44931.3258514467)</f>
        <v>44931.325851446702</v>
      </c>
      <c r="B970" s="11" t="str">
        <f ca="1">IFERROR(__xludf.DUMMYFUNCTION("""COMPUTED_VALUE"""),"Jessica Lee")</f>
        <v>Jessica Lee</v>
      </c>
      <c r="C970" t="str">
        <f ca="1">IFERROR(__xludf.DUMMYFUNCTION("""COMPUTED_VALUE"""),"jessica.lee@floridadep.gov")</f>
        <v>jessica.lee@floridadep.gov</v>
      </c>
      <c r="D970" t="str">
        <f ca="1">IFERROR(__xludf.DUMMYFUNCTION("""COMPUTED_VALUE"""),"Nikki Dix")</f>
        <v>Nikki Dix</v>
      </c>
      <c r="E970" t="str">
        <f ca="1">IFERROR(__xludf.DUMMYFUNCTION("""COMPUTED_VALUE"""),"Guana River")</f>
        <v>Guana River</v>
      </c>
      <c r="F970" s="13">
        <f ca="1">IFERROR(__xludf.DUMMYFUNCTION("""COMPUTED_VALUE"""),0.34375)</f>
        <v>0.34375</v>
      </c>
      <c r="G970" s="14">
        <f ca="1">IFERROR(__xludf.DUMMYFUNCTION("""COMPUTED_VALUE"""),44931)</f>
        <v>44931</v>
      </c>
      <c r="H970" t="str">
        <f ca="1">IFERROR(__xludf.DUMMYFUNCTION("""COMPUTED_VALUE"""),"Guana River")</f>
        <v>Guana River</v>
      </c>
      <c r="I970" s="15">
        <f ca="1">IFERROR(__xludf.DUMMYFUNCTION("""COMPUTED_VALUE"""),0.39583333333212)</f>
        <v>0.39583333333212001</v>
      </c>
      <c r="J970" s="16">
        <f ca="1">IFERROR(__xludf.DUMMYFUNCTION("""COMPUTED_VALUE"""),44931.40625)</f>
        <v>44931.40625</v>
      </c>
      <c r="K970" t="str">
        <f ca="1">IFERROR(__xludf.DUMMYFUNCTION("""COMPUTED_VALUE"""),"Jon Boat 1 FL5992RR DEP154045")</f>
        <v>Jon Boat 1 FL5992RR DEP154045</v>
      </c>
      <c r="M970" t="str">
        <f ca="1">IFERROR(__xludf.DUMMYFUNCTION("""COMPUTED_VALUE"""),"Ford F150 2015 (White) - DEP21448")</f>
        <v>Ford F150 2015 (White) - DEP21448</v>
      </c>
      <c r="N970" t="str">
        <f ca="1">IFERROR(__xludf.DUMMYFUNCTION("""COMPUTED_VALUE"""),"Jessica Lee, (813) 748-2228")</f>
        <v>Jessica Lee, (813) 748-2228</v>
      </c>
      <c r="O970" t="str">
        <f ca="1">IFERROR(__xludf.DUMMYFUNCTION("""COMPUTED_VALUE"""),"Jenna")</f>
        <v>Jenna</v>
      </c>
      <c r="P970" t="str">
        <f ca="1">IFERROR(__xludf.DUMMYFUNCTION("""COMPUTED_VALUE"""),"Jess Lee")</f>
        <v>Jess Lee</v>
      </c>
      <c r="AE970" s="11"/>
      <c r="AF970" t="str">
        <v>Nikki.Dix@floridadep.gov</v>
      </c>
      <c r="AG970" s="18"/>
    </row>
    <row r="971" spans="1:33" ht="12.75">
      <c r="A971" s="10">
        <f ca="1">IFERROR(__xludf.DUMMYFUNCTION("""COMPUTED_VALUE"""),44931.4781291666)</f>
        <v>44931.4781291666</v>
      </c>
      <c r="B971" s="11" t="str">
        <f ca="1">IFERROR(__xludf.DUMMYFUNCTION("""COMPUTED_VALUE"""),"Jacob Berna")</f>
        <v>Jacob Berna</v>
      </c>
      <c r="C971" t="str">
        <f ca="1">IFERROR(__xludf.DUMMYFUNCTION("""COMPUTED_VALUE"""),"Jacob.Berna@FloridaDEP.gov")</f>
        <v>Jacob.Berna@FloridaDEP.gov</v>
      </c>
      <c r="D971" t="str">
        <f ca="1">IFERROR(__xludf.DUMMYFUNCTION("""COMPUTED_VALUE"""),"Nikki Dix")</f>
        <v>Nikki Dix</v>
      </c>
      <c r="E971" t="str">
        <f ca="1">IFERROR(__xludf.DUMMYFUNCTION("""COMPUTED_VALUE"""),"Vilano")</f>
        <v>Vilano</v>
      </c>
      <c r="F971" s="13">
        <f ca="1">IFERROR(__xludf.DUMMYFUNCTION("""COMPUTED_VALUE"""),0.48958333333212)</f>
        <v>0.48958333333212001</v>
      </c>
      <c r="G971" s="14">
        <f ca="1">IFERROR(__xludf.DUMMYFUNCTION("""COMPUTED_VALUE"""),44931)</f>
        <v>44931</v>
      </c>
      <c r="H971" t="str">
        <f ca="1">IFERROR(__xludf.DUMMYFUNCTION("""COMPUTED_VALUE"""),"Salt Run Reefs")</f>
        <v>Salt Run Reefs</v>
      </c>
      <c r="I971" s="15">
        <f ca="1">IFERROR(__xludf.DUMMYFUNCTION("""COMPUTED_VALUE"""),0.70833333333212)</f>
        <v>0.70833333333212001</v>
      </c>
      <c r="J971" s="16">
        <f ca="1">IFERROR(__xludf.DUMMYFUNCTION("""COMPUTED_VALUE"""),44931.7291666666)</f>
        <v>44931.729166666599</v>
      </c>
      <c r="K971" t="str">
        <f ca="1">IFERROR(__xludf.DUMMYFUNCTION("""COMPUTED_VALUE"""),"23ft Skiff (Bertha) FL7972LJ DEP07613")</f>
        <v>23ft Skiff (Bertha) FL7972LJ DEP07613</v>
      </c>
      <c r="M971" t="str">
        <f ca="1">IFERROR(__xludf.DUMMYFUNCTION("""COMPUTED_VALUE"""),"Ford F250 2017 (Moby Dix) - DEP0021578")</f>
        <v>Ford F250 2017 (Moby Dix) - DEP0021578</v>
      </c>
      <c r="N971" t="str">
        <f ca="1">IFERROR(__xludf.DUMMYFUNCTION("""COMPUTED_VALUE"""),"Jacob Berna")</f>
        <v>Jacob Berna</v>
      </c>
      <c r="O971" t="str">
        <f ca="1">IFERROR(__xludf.DUMMYFUNCTION("""COMPUTED_VALUE"""),"Pam, Jeff, Mike, Michelle ")</f>
        <v xml:space="preserve">Pam, Jeff, Mike, Michelle </v>
      </c>
      <c r="P971" t="str">
        <f ca="1">IFERROR(__xludf.DUMMYFUNCTION("""COMPUTED_VALUE"""),"Jacob Berna")</f>
        <v>Jacob Berna</v>
      </c>
      <c r="AE971" s="11"/>
      <c r="AF971" t="str">
        <v>Nikki.Dix@floridadep.gov</v>
      </c>
      <c r="AG971" s="18"/>
    </row>
    <row r="972" spans="1:33" ht="12.75">
      <c r="A972" s="10">
        <f ca="1">IFERROR(__xludf.DUMMYFUNCTION("""COMPUTED_VALUE"""),44932.3255437615)</f>
        <v>44932.325543761501</v>
      </c>
      <c r="B972" s="11" t="str">
        <f ca="1">IFERROR(__xludf.DUMMYFUNCTION("""COMPUTED_VALUE"""),"Jimmy ")</f>
        <v xml:space="preserve">Jimmy </v>
      </c>
      <c r="C972" t="str">
        <f ca="1">IFERROR(__xludf.DUMMYFUNCTION("""COMPUTED_VALUE"""),"james.tomazinis@floridadep.gov")</f>
        <v>james.tomazinis@floridadep.gov</v>
      </c>
      <c r="D972" t="str">
        <f ca="1">IFERROR(__xludf.DUMMYFUNCTION("""COMPUTED_VALUE"""),"Scott Eastman")</f>
        <v>Scott Eastman</v>
      </c>
      <c r="E972" t="str">
        <f ca="1">IFERROR(__xludf.DUMMYFUNCTION("""COMPUTED_VALUE"""),"Nelson Melton")</f>
        <v>Nelson Melton</v>
      </c>
      <c r="F972" s="13">
        <f ca="1">IFERROR(__xludf.DUMMYFUNCTION("""COMPUTED_VALUE"""),0.979166666667879)</f>
        <v>0.97916666666787899</v>
      </c>
      <c r="G972" s="14">
        <f ca="1">IFERROR(__xludf.DUMMYFUNCTION("""COMPUTED_VALUE"""),44932)</f>
        <v>44932</v>
      </c>
      <c r="H972" t="str">
        <f ca="1">IFERROR(__xludf.DUMMYFUNCTION("""COMPUTED_VALUE"""),"Lofton Creek")</f>
        <v>Lofton Creek</v>
      </c>
      <c r="I972" s="15">
        <f ca="1">IFERROR(__xludf.DUMMYFUNCTION("""COMPUTED_VALUE"""),0.625)</f>
        <v>0.625</v>
      </c>
      <c r="J972" s="16"/>
      <c r="K972" t="str">
        <f ca="1">IFERROR(__xludf.DUMMYFUNCTION("""COMPUTED_VALUE"""),"F 20ft Sea Ark (Easy 200) FL8534PY DEP21451")</f>
        <v>F 20ft Sea Ark (Easy 200) FL8534PY DEP21451</v>
      </c>
      <c r="M972" t="str">
        <f ca="1">IFERROR(__xludf.DUMMYFUNCTION("""COMPUTED_VALUE"""),"2022 NEAP F150")</f>
        <v>2022 NEAP F150</v>
      </c>
      <c r="N972" t="str">
        <f ca="1">IFERROR(__xludf.DUMMYFUNCTION("""COMPUTED_VALUE"""),"Jimmy Tomazinis, (904) 547-0094")</f>
        <v>Jimmy Tomazinis, (904) 547-0094</v>
      </c>
      <c r="O972" t="str">
        <f ca="1">IFERROR(__xludf.DUMMYFUNCTION("""COMPUTED_VALUE"""),"Chirs Kurtz")</f>
        <v>Chirs Kurtz</v>
      </c>
      <c r="P972" t="str">
        <f ca="1">IFERROR(__xludf.DUMMYFUNCTION("""COMPUTED_VALUE"""),"Jimmy")</f>
        <v>Jimmy</v>
      </c>
      <c r="AE972" s="11"/>
      <c r="AF972" t="str">
        <v>Scott.Eastman@floridadep.gov</v>
      </c>
      <c r="AG972" s="18"/>
    </row>
    <row r="973" spans="1:33" ht="12.75">
      <c r="A973" s="10">
        <f ca="1">IFERROR(__xludf.DUMMYFUNCTION("""COMPUTED_VALUE"""),44932.4988384143)</f>
        <v>44932.4988384143</v>
      </c>
      <c r="B973" s="11" t="str">
        <f ca="1">IFERROR(__xludf.DUMMYFUNCTION("""COMPUTED_VALUE"""),"Jacob Berna")</f>
        <v>Jacob Berna</v>
      </c>
      <c r="C973" t="str">
        <f ca="1">IFERROR(__xludf.DUMMYFUNCTION("""COMPUTED_VALUE"""),"Jacob.Berna@FloridaDEP.gov")</f>
        <v>Jacob.Berna@FloridaDEP.gov</v>
      </c>
      <c r="D973" t="str">
        <f ca="1">IFERROR(__xludf.DUMMYFUNCTION("""COMPUTED_VALUE"""),"Blythe Odzinski")</f>
        <v>Blythe Odzinski</v>
      </c>
      <c r="E973" t="str">
        <f ca="1">IFERROR(__xludf.DUMMYFUNCTION("""COMPUTED_VALUE"""),"Vilano")</f>
        <v>Vilano</v>
      </c>
      <c r="F973" s="13">
        <f ca="1">IFERROR(__xludf.DUMMYFUNCTION("""COMPUTED_VALUE"""),0.5)</f>
        <v>0.5</v>
      </c>
      <c r="G973" s="14">
        <f ca="1">IFERROR(__xludf.DUMMYFUNCTION("""COMPUTED_VALUE"""),44932)</f>
        <v>44932</v>
      </c>
      <c r="H973" t="str">
        <f ca="1">IFERROR(__xludf.DUMMYFUNCTION("""COMPUTED_VALUE"""),"Salt Run")</f>
        <v>Salt Run</v>
      </c>
      <c r="I973" s="15">
        <f ca="1">IFERROR(__xludf.DUMMYFUNCTION("""COMPUTED_VALUE"""),0.70833333333212)</f>
        <v>0.70833333333212001</v>
      </c>
      <c r="J973" s="16">
        <f ca="1">IFERROR(__xludf.DUMMYFUNCTION("""COMPUTED_VALUE"""),44932.7291666666)</f>
        <v>44932.729166666599</v>
      </c>
      <c r="K973" t="str">
        <f ca="1">IFERROR(__xludf.DUMMYFUNCTION("""COMPUTED_VALUE"""),"23ft Skiff (Bertha) FL7972LJ DEP07613")</f>
        <v>23ft Skiff (Bertha) FL7972LJ DEP07613</v>
      </c>
      <c r="M973" t="str">
        <f ca="1">IFERROR(__xludf.DUMMYFUNCTION("""COMPUTED_VALUE"""),"Ford F250 2017 (Moby Dix) - DEP0021578")</f>
        <v>Ford F250 2017 (Moby Dix) - DEP0021578</v>
      </c>
      <c r="N973" t="str">
        <f ca="1">IFERROR(__xludf.DUMMYFUNCTION("""COMPUTED_VALUE"""),"Jacob Berna")</f>
        <v>Jacob Berna</v>
      </c>
      <c r="O973" t="str">
        <f ca="1">IFERROR(__xludf.DUMMYFUNCTION("""COMPUTED_VALUE"""),"Jeff, Alee, Nikki, Michelle, Mike, Griffin")</f>
        <v>Jeff, Alee, Nikki, Michelle, Mike, Griffin</v>
      </c>
      <c r="P973" t="str">
        <f ca="1">IFERROR(__xludf.DUMMYFUNCTION("""COMPUTED_VALUE"""),"Jacob Berna")</f>
        <v>Jacob Berna</v>
      </c>
      <c r="AE973" s="11"/>
      <c r="AF973" t="str">
        <v/>
      </c>
      <c r="AG973" s="18"/>
    </row>
    <row r="974" spans="1:33" ht="12.75">
      <c r="A974" s="10">
        <f ca="1">IFERROR(__xludf.DUMMYFUNCTION("""COMPUTED_VALUE"""),44934.7021966087)</f>
        <v>44934.702196608698</v>
      </c>
      <c r="B974" s="11" t="str">
        <f ca="1">IFERROR(__xludf.DUMMYFUNCTION("""COMPUTED_VALUE"""),"Silas Tanner")</f>
        <v>Silas Tanner</v>
      </c>
      <c r="C974" t="str">
        <f ca="1">IFERROR(__xludf.DUMMYFUNCTION("""COMPUTED_VALUE"""),"silas.tanner@floridadep.gov")</f>
        <v>silas.tanner@floridadep.gov</v>
      </c>
      <c r="D974" t="str">
        <f ca="1">IFERROR(__xludf.DUMMYFUNCTION("""COMPUTED_VALUE"""),"Nikki Dix")</f>
        <v>Nikki Dix</v>
      </c>
      <c r="E974" t="str">
        <f ca="1">IFERROR(__xludf.DUMMYFUNCTION("""COMPUTED_VALUE"""),"Vilano Landing")</f>
        <v>Vilano Landing</v>
      </c>
      <c r="F974" s="13">
        <f ca="1">IFERROR(__xludf.DUMMYFUNCTION("""COMPUTED_VALUE"""),0.375)</f>
        <v>0.375</v>
      </c>
      <c r="G974" s="14">
        <f ca="1">IFERROR(__xludf.DUMMYFUNCTION("""COMPUTED_VALUE"""),44935)</f>
        <v>44935</v>
      </c>
      <c r="H974" t="str">
        <f ca="1">IFERROR(__xludf.DUMMYFUNCTION("""COMPUTED_VALUE"""),"ICW SWMP sites")</f>
        <v>ICW SWMP sites</v>
      </c>
      <c r="I974" s="15">
        <f ca="1">IFERROR(__xludf.DUMMYFUNCTION("""COMPUTED_VALUE"""),0.58333333333212)</f>
        <v>0.58333333333212001</v>
      </c>
      <c r="J974" s="16">
        <f ca="1">IFERROR(__xludf.DUMMYFUNCTION("""COMPUTED_VALUE"""),44935.6041666666)</f>
        <v>44935.604166666599</v>
      </c>
      <c r="K974" t="str">
        <f ca="1">IFERROR(__xludf.DUMMYFUNCTION("""COMPUTED_VALUE"""),"23ft Skiff (Bertha) FL7972LJ DEP07613")</f>
        <v>23ft Skiff (Bertha) FL7972LJ DEP07613</v>
      </c>
      <c r="M974" t="str">
        <f ca="1">IFERROR(__xludf.DUMMYFUNCTION("""COMPUTED_VALUE"""),"Ford F250 2017 (Moby Dix) - DEP0021578")</f>
        <v>Ford F250 2017 (Moby Dix) - DEP0021578</v>
      </c>
      <c r="N974" t="str">
        <f ca="1">IFERROR(__xludf.DUMMYFUNCTION("""COMPUTED_VALUE"""),"Silas Tanner, (904) 483-8423, Alee Knoell")</f>
        <v>Silas Tanner, (904) 483-8423, Alee Knoell</v>
      </c>
      <c r="P974" t="str">
        <f ca="1">IFERROR(__xludf.DUMMYFUNCTION("""COMPUTED_VALUE"""),"Silas Tanner")</f>
        <v>Silas Tanner</v>
      </c>
      <c r="AE974" s="11"/>
      <c r="AF974" t="str">
        <v>Nikki.Dix@floridadep.gov</v>
      </c>
      <c r="AG974" s="18"/>
    </row>
    <row r="975" spans="1:33" ht="12.75">
      <c r="A975" s="10">
        <f ca="1">IFERROR(__xludf.DUMMYFUNCTION("""COMPUTED_VALUE"""),44936.3831061342)</f>
        <v>44936.383106134199</v>
      </c>
      <c r="B975" s="11" t="str">
        <f ca="1">IFERROR(__xludf.DUMMYFUNCTION("""COMPUTED_VALUE"""),"Silas Tanner")</f>
        <v>Silas Tanner</v>
      </c>
      <c r="C975" t="str">
        <f ca="1">IFERROR(__xludf.DUMMYFUNCTION("""COMPUTED_VALUE"""),"silas.tanner@floridadep.gov")</f>
        <v>silas.tanner@floridadep.gov</v>
      </c>
      <c r="D975" t="str">
        <f ca="1">IFERROR(__xludf.DUMMYFUNCTION("""COMPUTED_VALUE"""),"Nikki Dix")</f>
        <v>Nikki Dix</v>
      </c>
      <c r="E975" t="str">
        <f ca="1">IFERROR(__xludf.DUMMYFUNCTION("""COMPUTED_VALUE"""),"Vilano Landing")</f>
        <v>Vilano Landing</v>
      </c>
      <c r="F975" s="13">
        <f ca="1">IFERROR(__xludf.DUMMYFUNCTION("""COMPUTED_VALUE"""),0.4375)</f>
        <v>0.4375</v>
      </c>
      <c r="G975" s="14">
        <f ca="1">IFERROR(__xludf.DUMMYFUNCTION("""COMPUTED_VALUE"""),44936)</f>
        <v>44936</v>
      </c>
      <c r="H975" t="str">
        <f ca="1">IFERROR(__xludf.DUMMYFUNCTION("""COMPUTED_VALUE"""),"ICW SWMP sites")</f>
        <v>ICW SWMP sites</v>
      </c>
      <c r="I975" s="15">
        <f ca="1">IFERROR(__xludf.DUMMYFUNCTION("""COMPUTED_VALUE"""),0.625)</f>
        <v>0.625</v>
      </c>
      <c r="J975" s="16">
        <f ca="1">IFERROR(__xludf.DUMMYFUNCTION("""COMPUTED_VALUE"""),44936.6458333333)</f>
        <v>44936.645833333299</v>
      </c>
      <c r="K975" t="str">
        <f ca="1">IFERROR(__xludf.DUMMYFUNCTION("""COMPUTED_VALUE"""),"23ft Skiff (Bertha) FL7972LJ DEP07613")</f>
        <v>23ft Skiff (Bertha) FL7972LJ DEP07613</v>
      </c>
      <c r="M975" t="str">
        <f ca="1">IFERROR(__xludf.DUMMYFUNCTION("""COMPUTED_VALUE"""),"Ford F250 2017 (Moby Dix) - DEP0021578")</f>
        <v>Ford F250 2017 (Moby Dix) - DEP0021578</v>
      </c>
      <c r="N975" t="str">
        <f ca="1">IFERROR(__xludf.DUMMYFUNCTION("""COMPUTED_VALUE"""),"Silas Tanner, (904) 483-8423")</f>
        <v>Silas Tanner, (904) 483-8423</v>
      </c>
      <c r="O975" t="str">
        <f ca="1">IFERROR(__xludf.DUMMYFUNCTION("""COMPUTED_VALUE"""),"Remo Mondazi")</f>
        <v>Remo Mondazi</v>
      </c>
      <c r="P975" t="str">
        <f ca="1">IFERROR(__xludf.DUMMYFUNCTION("""COMPUTED_VALUE"""),"Silas Tanner")</f>
        <v>Silas Tanner</v>
      </c>
      <c r="AE975" s="11"/>
      <c r="AF975" t="str">
        <v>Nikki.Dix@floridadep.gov</v>
      </c>
      <c r="AG975" s="18"/>
    </row>
    <row r="976" spans="1:33" ht="12.75">
      <c r="A976" s="10">
        <f ca="1">IFERROR(__xludf.DUMMYFUNCTION("""COMPUTED_VALUE"""),44938.2837565856)</f>
        <v>44938.283756585603</v>
      </c>
      <c r="B976" s="11" t="str">
        <f ca="1">IFERROR(__xludf.DUMMYFUNCTION("""COMPUTED_VALUE"""),"Jimmy")</f>
        <v>Jimmy</v>
      </c>
      <c r="C976" t="str">
        <f ca="1">IFERROR(__xludf.DUMMYFUNCTION("""COMPUTED_VALUE"""),"james.tomazinis@floridadep.gov")</f>
        <v>james.tomazinis@floridadep.gov</v>
      </c>
      <c r="D976" t="str">
        <f ca="1">IFERROR(__xludf.DUMMYFUNCTION("""COMPUTED_VALUE"""),"Scott Eastman")</f>
        <v>Scott Eastman</v>
      </c>
      <c r="E976" t="str">
        <f ca="1">IFERROR(__xludf.DUMMYFUNCTION("""COMPUTED_VALUE"""),"Holly Point and Dee Dee Bartels")</f>
        <v>Holly Point and Dee Dee Bartels</v>
      </c>
      <c r="F976" s="13">
        <f ca="1">IFERROR(__xludf.DUMMYFUNCTION("""COMPUTED_VALUE"""),0.479166666667879)</f>
        <v>0.47916666666787899</v>
      </c>
      <c r="G976" s="14">
        <f ca="1">IFERROR(__xludf.DUMMYFUNCTION("""COMPUTED_VALUE"""),44938)</f>
        <v>44938</v>
      </c>
      <c r="H976" t="str">
        <f ca="1">IFERROR(__xludf.DUMMYFUNCTION("""COMPUTED_VALUE"""),"NEAP WQ sites")</f>
        <v>NEAP WQ sites</v>
      </c>
      <c r="I976" s="15">
        <f ca="1">IFERROR(__xludf.DUMMYFUNCTION("""COMPUTED_VALUE"""),0.625)</f>
        <v>0.625</v>
      </c>
      <c r="J976" s="16"/>
      <c r="K976" t="str">
        <f ca="1">IFERROR(__xludf.DUMMYFUNCTION("""COMPUTED_VALUE"""),"23ft Skiff (Bertha) FL7972LJ DEP07613")</f>
        <v>23ft Skiff (Bertha) FL7972LJ DEP07613</v>
      </c>
      <c r="M976" t="str">
        <f ca="1">IFERROR(__xludf.DUMMYFUNCTION("""COMPUTED_VALUE"""),"2022 NEAP F150")</f>
        <v>2022 NEAP F150</v>
      </c>
      <c r="N976" t="str">
        <f ca="1">IFERROR(__xludf.DUMMYFUNCTION("""COMPUTED_VALUE"""),"Jimmy Tomazinis, (904) 547-0094")</f>
        <v>Jimmy Tomazinis, (904) 547-0094</v>
      </c>
      <c r="O976" t="str">
        <f ca="1">IFERROR(__xludf.DUMMYFUNCTION("""COMPUTED_VALUE"""),"Chirs Kurtz")</f>
        <v>Chirs Kurtz</v>
      </c>
      <c r="P976" t="str">
        <f ca="1">IFERROR(__xludf.DUMMYFUNCTION("""COMPUTED_VALUE"""),"Jimmy")</f>
        <v>Jimmy</v>
      </c>
      <c r="AE976" s="11"/>
      <c r="AF976" t="str">
        <v>Scott.Eastman@floridadep.gov</v>
      </c>
      <c r="AG976" s="18"/>
    </row>
    <row r="977" spans="1:33" ht="12.75">
      <c r="A977" s="10">
        <f ca="1">IFERROR(__xludf.DUMMYFUNCTION("""COMPUTED_VALUE"""),44942.3197849537)</f>
        <v>44942.319784953703</v>
      </c>
      <c r="B977" s="11" t="str">
        <f ca="1">IFERROR(__xludf.DUMMYFUNCTION("""COMPUTED_VALUE"""),"Jacob Berna")</f>
        <v>Jacob Berna</v>
      </c>
      <c r="C977" t="str">
        <f ca="1">IFERROR(__xludf.DUMMYFUNCTION("""COMPUTED_VALUE"""),"Jacob.Berna@FloridaDEP.gov")</f>
        <v>Jacob.Berna@FloridaDEP.gov</v>
      </c>
      <c r="D977" t="str">
        <f ca="1">IFERROR(__xludf.DUMMYFUNCTION("""COMPUTED_VALUE"""),"Nikki Dix")</f>
        <v>Nikki Dix</v>
      </c>
      <c r="E977" t="str">
        <f ca="1">IFERROR(__xludf.DUMMYFUNCTION("""COMPUTED_VALUE"""),"Vilano ")</f>
        <v xml:space="preserve">Vilano </v>
      </c>
      <c r="F977" s="13">
        <f ca="1">IFERROR(__xludf.DUMMYFUNCTION("""COMPUTED_VALUE"""),0.322916666667879)</f>
        <v>0.32291666666787899</v>
      </c>
      <c r="G977" s="14">
        <f ca="1">IFERROR(__xludf.DUMMYFUNCTION("""COMPUTED_VALUE"""),44942)</f>
        <v>44942</v>
      </c>
      <c r="H977" t="str">
        <f ca="1">IFERROR(__xludf.DUMMYFUNCTION("""COMPUTED_VALUE"""),"Salt Run")</f>
        <v>Salt Run</v>
      </c>
      <c r="I977" s="15">
        <f ca="1">IFERROR(__xludf.DUMMYFUNCTION("""COMPUTED_VALUE"""),0.541666666667879)</f>
        <v>0.54166666666787899</v>
      </c>
      <c r="J977" s="16">
        <f ca="1">IFERROR(__xludf.DUMMYFUNCTION("""COMPUTED_VALUE"""),44942.5625)</f>
        <v>44942.5625</v>
      </c>
      <c r="K977" t="str">
        <f ca="1">IFERROR(__xludf.DUMMYFUNCTION("""COMPUTED_VALUE"""),"23ft Skiff (Bertha) FL7972LJ DEP07613")</f>
        <v>23ft Skiff (Bertha) FL7972LJ DEP07613</v>
      </c>
      <c r="M977" t="str">
        <f ca="1">IFERROR(__xludf.DUMMYFUNCTION("""COMPUTED_VALUE"""),"Ford F150 2015 (White) - DEP21448")</f>
        <v>Ford F150 2015 (White) - DEP21448</v>
      </c>
      <c r="N977" t="str">
        <f ca="1">IFERROR(__xludf.DUMMYFUNCTION("""COMPUTED_VALUE"""),"Jacob Berna")</f>
        <v>Jacob Berna</v>
      </c>
      <c r="O977" t="str">
        <f ca="1">IFERROR(__xludf.DUMMYFUNCTION("""COMPUTED_VALUE"""),"Alee, Alyah")</f>
        <v>Alee, Alyah</v>
      </c>
      <c r="P977" t="str">
        <f ca="1">IFERROR(__xludf.DUMMYFUNCTION("""COMPUTED_VALUE"""),"Jacob Berna")</f>
        <v>Jacob Berna</v>
      </c>
      <c r="AE977" s="11"/>
      <c r="AF977" t="str">
        <v>Nikki.Dix@floridadep.gov</v>
      </c>
      <c r="AG977" s="18"/>
    </row>
    <row r="978" spans="1:33" ht="12.75">
      <c r="A978" s="10">
        <f ca="1">IFERROR(__xludf.DUMMYFUNCTION("""COMPUTED_VALUE"""),44943.3499294212)</f>
        <v>44943.349929421202</v>
      </c>
      <c r="B978" s="11" t="str">
        <f ca="1">IFERROR(__xludf.DUMMYFUNCTION("""COMPUTED_VALUE"""),"Jacob Berna")</f>
        <v>Jacob Berna</v>
      </c>
      <c r="C978" t="str">
        <f ca="1">IFERROR(__xludf.DUMMYFUNCTION("""COMPUTED_VALUE"""),"Jacob.Berna@FloridaDEP.gov")</f>
        <v>Jacob.Berna@FloridaDEP.gov</v>
      </c>
      <c r="D978" t="str">
        <f ca="1">IFERROR(__xludf.DUMMYFUNCTION("""COMPUTED_VALUE"""),"Nikki Dix")</f>
        <v>Nikki Dix</v>
      </c>
      <c r="E978" t="str">
        <f ca="1">IFERROR(__xludf.DUMMYFUNCTION("""COMPUTED_VALUE"""),"Vilano")</f>
        <v>Vilano</v>
      </c>
      <c r="F978" s="13">
        <f ca="1">IFERROR(__xludf.DUMMYFUNCTION("""COMPUTED_VALUE"""),0.354166666667879)</f>
        <v>0.35416666666787899</v>
      </c>
      <c r="G978" s="14">
        <f ca="1">IFERROR(__xludf.DUMMYFUNCTION("""COMPUTED_VALUE"""),44943)</f>
        <v>44943</v>
      </c>
      <c r="H978" t="str">
        <f ca="1">IFERROR(__xludf.DUMMYFUNCTION("""COMPUTED_VALUE"""),"Salt Run")</f>
        <v>Salt Run</v>
      </c>
      <c r="I978" s="15">
        <f ca="1">IFERROR(__xludf.DUMMYFUNCTION("""COMPUTED_VALUE"""),0.5625)</f>
        <v>0.5625</v>
      </c>
      <c r="J978" s="16">
        <f ca="1">IFERROR(__xludf.DUMMYFUNCTION("""COMPUTED_VALUE"""),44943.5833333333)</f>
        <v>44943.583333333299</v>
      </c>
      <c r="K978" t="str">
        <f ca="1">IFERROR(__xludf.DUMMYFUNCTION("""COMPUTED_VALUE"""),"23ft Skiff (Bertha) FL7972LJ DEP07613")</f>
        <v>23ft Skiff (Bertha) FL7972LJ DEP07613</v>
      </c>
      <c r="M978" t="str">
        <f ca="1">IFERROR(__xludf.DUMMYFUNCTION("""COMPUTED_VALUE"""),"Ford F150 2015 (White) - DEP21448")</f>
        <v>Ford F150 2015 (White) - DEP21448</v>
      </c>
      <c r="N978" t="str">
        <f ca="1">IFERROR(__xludf.DUMMYFUNCTION("""COMPUTED_VALUE"""),"Jacob Berna")</f>
        <v>Jacob Berna</v>
      </c>
      <c r="O978" t="str">
        <f ca="1">IFERROR(__xludf.DUMMYFUNCTION("""COMPUTED_VALUE"""),"Alee, Alyah, Mike, Jeff, Nathan ")</f>
        <v xml:space="preserve">Alee, Alyah, Mike, Jeff, Nathan </v>
      </c>
      <c r="P978" t="str">
        <f ca="1">IFERROR(__xludf.DUMMYFUNCTION("""COMPUTED_VALUE"""),"Jacob Berna")</f>
        <v>Jacob Berna</v>
      </c>
      <c r="AE978" s="11"/>
      <c r="AF978" t="str">
        <v>Nikki.Dix@floridadep.gov</v>
      </c>
      <c r="AG978" s="18"/>
    </row>
    <row r="979" spans="1:33" ht="12.75">
      <c r="A979" s="10">
        <f ca="1">IFERROR(__xludf.DUMMYFUNCTION("""COMPUTED_VALUE"""),44943.4233740972)</f>
        <v>44943.423374097198</v>
      </c>
      <c r="B979" s="11" t="str">
        <f ca="1">IFERROR(__xludf.DUMMYFUNCTION("""COMPUTED_VALUE"""),"Silas Tanner")</f>
        <v>Silas Tanner</v>
      </c>
      <c r="C979" t="str">
        <f ca="1">IFERROR(__xludf.DUMMYFUNCTION("""COMPUTED_VALUE"""),"silas.tanner@floridadeo.gov")</f>
        <v>silas.tanner@floridadeo.gov</v>
      </c>
      <c r="D979" t="str">
        <f ca="1">IFERROR(__xludf.DUMMYFUNCTION("""COMPUTED_VALUE"""),"Nikki Dix")</f>
        <v>Nikki Dix</v>
      </c>
      <c r="E979" t="str">
        <f ca="1">IFERROR(__xludf.DUMMYFUNCTION("""COMPUTED_VALUE"""),"Vilano landing")</f>
        <v>Vilano landing</v>
      </c>
      <c r="F979" s="13">
        <f ca="1">IFERROR(__xludf.DUMMYFUNCTION("""COMPUTED_VALUE"""),0.416666666667879)</f>
        <v>0.41666666666787899</v>
      </c>
      <c r="G979" s="14">
        <f ca="1">IFERROR(__xludf.DUMMYFUNCTION("""COMPUTED_VALUE"""),44943)</f>
        <v>44943</v>
      </c>
      <c r="H979" t="str">
        <f ca="1">IFERROR(__xludf.DUMMYFUNCTION("""COMPUTED_VALUE"""),"ICW PI and SS swmp sites")</f>
        <v>ICW PI and SS swmp sites</v>
      </c>
      <c r="I979" s="15">
        <f ca="1">IFERROR(__xludf.DUMMYFUNCTION("""COMPUTED_VALUE"""),0.52083333333212)</f>
        <v>0.52083333333212001</v>
      </c>
      <c r="J979" s="16">
        <f ca="1">IFERROR(__xludf.DUMMYFUNCTION("""COMPUTED_VALUE"""),44943.5416666666)</f>
        <v>44943.541666666599</v>
      </c>
      <c r="K979" t="str">
        <f ca="1">IFERROR(__xludf.DUMMYFUNCTION("""COMPUTED_VALUE"""),"20ft Sea Ark FL5351SJ UNF 2015")</f>
        <v>20ft Sea Ark FL5351SJ UNF 2015</v>
      </c>
      <c r="M979" t="str">
        <f ca="1">IFERROR(__xludf.DUMMYFUNCTION("""COMPUTED_VALUE"""),"Ford F250 2017 (Moby Dix) - DEP0021578")</f>
        <v>Ford F250 2017 (Moby Dix) - DEP0021578</v>
      </c>
      <c r="N979" t="str">
        <f ca="1">IFERROR(__xludf.DUMMYFUNCTION("""COMPUTED_VALUE"""),"Silas Tanner, (904) 483-8423, Remo")</f>
        <v>Silas Tanner, (904) 483-8423, Remo</v>
      </c>
      <c r="P979" t="str">
        <f ca="1">IFERROR(__xludf.DUMMYFUNCTION("""COMPUTED_VALUE"""),"Silas Tanner")</f>
        <v>Silas Tanner</v>
      </c>
      <c r="AE979" s="11"/>
      <c r="AF979" t="str">
        <v>Nikki.Dix@floridadep.gov</v>
      </c>
      <c r="AG979" s="18"/>
    </row>
    <row r="980" spans="1:33" ht="12.75">
      <c r="A980" s="10">
        <f ca="1">IFERROR(__xludf.DUMMYFUNCTION("""COMPUTED_VALUE"""),44944.2725536921)</f>
        <v>44944.272553692099</v>
      </c>
      <c r="B980" s="11" t="str">
        <f ca="1">IFERROR(__xludf.DUMMYFUNCTION("""COMPUTED_VALUE"""),"Jimmy")</f>
        <v>Jimmy</v>
      </c>
      <c r="C980" t="str">
        <f ca="1">IFERROR(__xludf.DUMMYFUNCTION("""COMPUTED_VALUE"""),"james.tomazinis@floridadep.gov")</f>
        <v>james.tomazinis@floridadep.gov</v>
      </c>
      <c r="D980" t="str">
        <f ca="1">IFERROR(__xludf.DUMMYFUNCTION("""COMPUTED_VALUE"""),"Scott Eastman")</f>
        <v>Scott Eastman</v>
      </c>
      <c r="E980" t="str">
        <f ca="1">IFERROR(__xludf.DUMMYFUNCTION("""COMPUTED_VALUE"""),"Mayport")</f>
        <v>Mayport</v>
      </c>
      <c r="F980" s="13">
        <f ca="1">IFERROR(__xludf.DUMMYFUNCTION("""COMPUTED_VALUE"""),0.416666666667879)</f>
        <v>0.41666666666787899</v>
      </c>
      <c r="G980" s="14">
        <f ca="1">IFERROR(__xludf.DUMMYFUNCTION("""COMPUTED_VALUE"""),44944)</f>
        <v>44944</v>
      </c>
      <c r="H980" t="str">
        <f ca="1">IFERROR(__xludf.DUMMYFUNCTION("""COMPUTED_VALUE"""),"Gunnison Cut")</f>
        <v>Gunnison Cut</v>
      </c>
      <c r="I980" s="15">
        <f ca="1">IFERROR(__xludf.DUMMYFUNCTION("""COMPUTED_VALUE"""),0.625)</f>
        <v>0.625</v>
      </c>
      <c r="J980" s="16"/>
      <c r="K980" t="str">
        <f ca="1">IFERROR(__xludf.DUMMYFUNCTION("""COMPUTED_VALUE"""),"F 20ft Sea Ark (Easy 200) FL8534PY DEP21451")</f>
        <v>F 20ft Sea Ark (Easy 200) FL8534PY DEP21451</v>
      </c>
      <c r="M980" t="str">
        <f ca="1">IFERROR(__xludf.DUMMYFUNCTION("""COMPUTED_VALUE"""),"2022 NEAP F150")</f>
        <v>2022 NEAP F150</v>
      </c>
      <c r="N980" t="str">
        <f ca="1">IFERROR(__xludf.DUMMYFUNCTION("""COMPUTED_VALUE"""),"Jimmy Tomazinis, (904) 547-0094")</f>
        <v>Jimmy Tomazinis, (904) 547-0094</v>
      </c>
      <c r="O980" t="str">
        <f ca="1">IFERROR(__xludf.DUMMYFUNCTION("""COMPUTED_VALUE"""),"Chirs Kurtz")</f>
        <v>Chirs Kurtz</v>
      </c>
      <c r="P980" t="str">
        <f ca="1">IFERROR(__xludf.DUMMYFUNCTION("""COMPUTED_VALUE"""),"Jimmy")</f>
        <v>Jimmy</v>
      </c>
      <c r="AE980" s="11"/>
      <c r="AF980" t="str">
        <v>Scott.Eastman@floridadep.gov</v>
      </c>
      <c r="AG980" s="18"/>
    </row>
    <row r="981" spans="1:33" ht="12.75">
      <c r="A981" s="10">
        <f ca="1">IFERROR(__xludf.DUMMYFUNCTION("""COMPUTED_VALUE"""),44944.3906761689)</f>
        <v>44944.3906761689</v>
      </c>
      <c r="B981" s="11" t="str">
        <f ca="1">IFERROR(__xludf.DUMMYFUNCTION("""COMPUTED_VALUE"""),"Jacob Berna")</f>
        <v>Jacob Berna</v>
      </c>
      <c r="C981" t="str">
        <f ca="1">IFERROR(__xludf.DUMMYFUNCTION("""COMPUTED_VALUE"""),"Jacob.Berna@FloridaDEP.gov")</f>
        <v>Jacob.Berna@FloridaDEP.gov</v>
      </c>
      <c r="D981" t="str">
        <f ca="1">IFERROR(__xludf.DUMMYFUNCTION("""COMPUTED_VALUE"""),"Nikki Dix")</f>
        <v>Nikki Dix</v>
      </c>
      <c r="E981" t="str">
        <f ca="1">IFERROR(__xludf.DUMMYFUNCTION("""COMPUTED_VALUE"""),"Vilano")</f>
        <v>Vilano</v>
      </c>
      <c r="F981" s="13">
        <f ca="1">IFERROR(__xludf.DUMMYFUNCTION("""COMPUTED_VALUE"""),0.39583333333212)</f>
        <v>0.39583333333212001</v>
      </c>
      <c r="G981" s="14">
        <f ca="1">IFERROR(__xludf.DUMMYFUNCTION("""COMPUTED_VALUE"""),44944)</f>
        <v>44944</v>
      </c>
      <c r="H981" t="str">
        <f ca="1">IFERROR(__xludf.DUMMYFUNCTION("""COMPUTED_VALUE"""),"Salt Run Reefs")</f>
        <v>Salt Run Reefs</v>
      </c>
      <c r="I981" s="15">
        <f ca="1">IFERROR(__xludf.DUMMYFUNCTION("""COMPUTED_VALUE"""),0.58333333333212)</f>
        <v>0.58333333333212001</v>
      </c>
      <c r="J981" s="16">
        <f ca="1">IFERROR(__xludf.DUMMYFUNCTION("""COMPUTED_VALUE"""),44944.6041666666)</f>
        <v>44944.604166666599</v>
      </c>
      <c r="K981" t="str">
        <f ca="1">IFERROR(__xludf.DUMMYFUNCTION("""COMPUTED_VALUE"""),"23ft Skiff (Bertha) FL7972LJ DEP07613")</f>
        <v>23ft Skiff (Bertha) FL7972LJ DEP07613</v>
      </c>
      <c r="M981" t="str">
        <f ca="1">IFERROR(__xludf.DUMMYFUNCTION("""COMPUTED_VALUE"""),"Ford F150 2015 (White) - DEP21448")</f>
        <v>Ford F150 2015 (White) - DEP21448</v>
      </c>
      <c r="N981" t="str">
        <f ca="1">IFERROR(__xludf.DUMMYFUNCTION("""COMPUTED_VALUE"""),"Jacob Berna")</f>
        <v>Jacob Berna</v>
      </c>
      <c r="O981" t="str">
        <f ca="1">IFERROR(__xludf.DUMMYFUNCTION("""COMPUTED_VALUE"""),"Jeff, David, Michelle, Alee")</f>
        <v>Jeff, David, Michelle, Alee</v>
      </c>
      <c r="P981" t="str">
        <f ca="1">IFERROR(__xludf.DUMMYFUNCTION("""COMPUTED_VALUE"""),"Jacob Berna")</f>
        <v>Jacob Berna</v>
      </c>
      <c r="AE981" s="11"/>
      <c r="AF981" t="str">
        <v>Nikki.Dix@floridadep.gov</v>
      </c>
      <c r="AG981" s="18"/>
    </row>
    <row r="982" spans="1:33" ht="12.75">
      <c r="A982" s="10">
        <f ca="1">IFERROR(__xludf.DUMMYFUNCTION("""COMPUTED_VALUE"""),44945.2829265162)</f>
        <v>44945.2829265162</v>
      </c>
      <c r="B982" s="11" t="str">
        <f ca="1">IFERROR(__xludf.DUMMYFUNCTION("""COMPUTED_VALUE"""),"Jimmy")</f>
        <v>Jimmy</v>
      </c>
      <c r="C982" t="str">
        <f ca="1">IFERROR(__xludf.DUMMYFUNCTION("""COMPUTED_VALUE"""),"james.tomazinis@floridadep.gov")</f>
        <v>james.tomazinis@floridadep.gov</v>
      </c>
      <c r="D982" t="str">
        <f ca="1">IFERROR(__xludf.DUMMYFUNCTION("""COMPUTED_VALUE"""),"Scott Eastman")</f>
        <v>Scott Eastman</v>
      </c>
      <c r="E982" t="str">
        <f ca="1">IFERROR(__xludf.DUMMYFUNCTION("""COMPUTED_VALUE"""),"Mayport")</f>
        <v>Mayport</v>
      </c>
      <c r="F982" s="13">
        <f ca="1">IFERROR(__xludf.DUMMYFUNCTION("""COMPUTED_VALUE"""),0.416666666667879)</f>
        <v>0.41666666666787899</v>
      </c>
      <c r="G982" s="14">
        <f ca="1">IFERROR(__xludf.DUMMYFUNCTION("""COMPUTED_VALUE"""),44945)</f>
        <v>44945</v>
      </c>
      <c r="H982" t="str">
        <f ca="1">IFERROR(__xludf.DUMMYFUNCTION("""COMPUTED_VALUE"""),"Shad and Clapboard creeks")</f>
        <v>Shad and Clapboard creeks</v>
      </c>
      <c r="I982" s="15">
        <f ca="1">IFERROR(__xludf.DUMMYFUNCTION("""COMPUTED_VALUE"""),0.58333333333212)</f>
        <v>0.58333333333212001</v>
      </c>
      <c r="J982" s="16"/>
      <c r="K982" t="str">
        <f ca="1">IFERROR(__xludf.DUMMYFUNCTION("""COMPUTED_VALUE"""),"F 20ft Sea Ark (Easy 200) FL8534PY DEP21451")</f>
        <v>F 20ft Sea Ark (Easy 200) FL8534PY DEP21451</v>
      </c>
      <c r="M982" t="str">
        <f ca="1">IFERROR(__xludf.DUMMYFUNCTION("""COMPUTED_VALUE"""),"2022 NEAP F150")</f>
        <v>2022 NEAP F150</v>
      </c>
      <c r="N982" t="str">
        <f ca="1">IFERROR(__xludf.DUMMYFUNCTION("""COMPUTED_VALUE"""),"Jimmy Tomazinis, (904) 547-0094")</f>
        <v>Jimmy Tomazinis, (904) 547-0094</v>
      </c>
      <c r="O982" t="str">
        <f ca="1">IFERROR(__xludf.DUMMYFUNCTION("""COMPUTED_VALUE"""),"Chirs Kurtz")</f>
        <v>Chirs Kurtz</v>
      </c>
      <c r="P982" t="str">
        <f ca="1">IFERROR(__xludf.DUMMYFUNCTION("""COMPUTED_VALUE"""),"Jimmy ")</f>
        <v xml:space="preserve">Jimmy </v>
      </c>
      <c r="AE982" s="11"/>
      <c r="AF982" t="str">
        <v>Scott.Eastman@floridadep.gov</v>
      </c>
      <c r="AG982" s="18"/>
    </row>
    <row r="983" spans="1:33" ht="12.75">
      <c r="A983" s="10">
        <f ca="1">IFERROR(__xludf.DUMMYFUNCTION("""COMPUTED_VALUE"""),44945.4316181481)</f>
        <v>44945.431618148097</v>
      </c>
      <c r="B983" s="11" t="str">
        <f ca="1">IFERROR(__xludf.DUMMYFUNCTION("""COMPUTED_VALUE"""),"Jacob Berna")</f>
        <v>Jacob Berna</v>
      </c>
      <c r="C983" t="str">
        <f ca="1">IFERROR(__xludf.DUMMYFUNCTION("""COMPUTED_VALUE"""),"Jacob.Berna@FloridaDEP.gov")</f>
        <v>Jacob.Berna@FloridaDEP.gov</v>
      </c>
      <c r="D983" t="str">
        <f ca="1">IFERROR(__xludf.DUMMYFUNCTION("""COMPUTED_VALUE"""),"Nikki Dix")</f>
        <v>Nikki Dix</v>
      </c>
      <c r="E983" t="str">
        <f ca="1">IFERROR(__xludf.DUMMYFUNCTION("""COMPUTED_VALUE"""),"Vilano")</f>
        <v>Vilano</v>
      </c>
      <c r="F983" s="13">
        <f ca="1">IFERROR(__xludf.DUMMYFUNCTION("""COMPUTED_VALUE"""),0.4375)</f>
        <v>0.4375</v>
      </c>
      <c r="G983" s="14">
        <f ca="1">IFERROR(__xludf.DUMMYFUNCTION("""COMPUTED_VALUE"""),44945)</f>
        <v>44945</v>
      </c>
      <c r="H983" t="str">
        <f ca="1">IFERROR(__xludf.DUMMYFUNCTION("""COMPUTED_VALUE"""),"Salt Run Reefs")</f>
        <v>Salt Run Reefs</v>
      </c>
      <c r="I983" s="15">
        <f ca="1">IFERROR(__xludf.DUMMYFUNCTION("""COMPUTED_VALUE"""),0.625)</f>
        <v>0.625</v>
      </c>
      <c r="J983" s="16">
        <f ca="1">IFERROR(__xludf.DUMMYFUNCTION("""COMPUTED_VALUE"""),44945.6458333333)</f>
        <v>44945.645833333299</v>
      </c>
      <c r="K983" t="str">
        <f ca="1">IFERROR(__xludf.DUMMYFUNCTION("""COMPUTED_VALUE"""),"23ft Skiff (Bertha) FL7972LJ DEP07613")</f>
        <v>23ft Skiff (Bertha) FL7972LJ DEP07613</v>
      </c>
      <c r="M983" t="str">
        <f ca="1">IFERROR(__xludf.DUMMYFUNCTION("""COMPUTED_VALUE"""),"Ford F150 2015 (White) - DEP21448")</f>
        <v>Ford F150 2015 (White) - DEP21448</v>
      </c>
      <c r="N983" t="str">
        <f ca="1">IFERROR(__xludf.DUMMYFUNCTION("""COMPUTED_VALUE"""),"Jacob Berna")</f>
        <v>Jacob Berna</v>
      </c>
      <c r="O983" t="str">
        <f ca="1">IFERROR(__xludf.DUMMYFUNCTION("""COMPUTED_VALUE"""),"Alee, Alyah, Debbie, Carol, Jeff, Lynn")</f>
        <v>Alee, Alyah, Debbie, Carol, Jeff, Lynn</v>
      </c>
      <c r="P983" t="str">
        <f ca="1">IFERROR(__xludf.DUMMYFUNCTION("""COMPUTED_VALUE"""),"Jacob Berna")</f>
        <v>Jacob Berna</v>
      </c>
      <c r="AE983" s="11"/>
      <c r="AF983" t="str">
        <v>Nikki.Dix@floridadep.gov</v>
      </c>
      <c r="AG983" s="18"/>
    </row>
    <row r="984" spans="1:33" ht="12.75">
      <c r="A984" s="10">
        <f ca="1">IFERROR(__xludf.DUMMYFUNCTION("""COMPUTED_VALUE"""),44956.332486655)</f>
        <v>44956.332486655003</v>
      </c>
      <c r="B984" s="11" t="str">
        <f ca="1">IFERROR(__xludf.DUMMYFUNCTION("""COMPUTED_VALUE"""),"Jacob Berna")</f>
        <v>Jacob Berna</v>
      </c>
      <c r="C984" t="str">
        <f ca="1">IFERROR(__xludf.DUMMYFUNCTION("""COMPUTED_VALUE"""),"Jacob.Berna@FloridaDEP.gov")</f>
        <v>Jacob.Berna@FloridaDEP.gov</v>
      </c>
      <c r="D984" t="str">
        <f ca="1">IFERROR(__xludf.DUMMYFUNCTION("""COMPUTED_VALUE"""),"Nikki Dix")</f>
        <v>Nikki Dix</v>
      </c>
      <c r="E984" t="str">
        <f ca="1">IFERROR(__xludf.DUMMYFUNCTION("""COMPUTED_VALUE"""),"Vilano")</f>
        <v>Vilano</v>
      </c>
      <c r="F984" s="13">
        <f ca="1">IFERROR(__xludf.DUMMYFUNCTION("""COMPUTED_VALUE"""),0.33333333333212)</f>
        <v>0.33333333333212001</v>
      </c>
      <c r="G984" s="14">
        <f ca="1">IFERROR(__xludf.DUMMYFUNCTION("""COMPUTED_VALUE"""),44956)</f>
        <v>44956</v>
      </c>
      <c r="H984" t="str">
        <f ca="1">IFERROR(__xludf.DUMMYFUNCTION("""COMPUTED_VALUE"""),"San Sebastian Reefs")</f>
        <v>San Sebastian Reefs</v>
      </c>
      <c r="I984" s="15">
        <f ca="1">IFERROR(__xludf.DUMMYFUNCTION("""COMPUTED_VALUE"""),0.5)</f>
        <v>0.5</v>
      </c>
      <c r="J984" s="16">
        <f ca="1">IFERROR(__xludf.DUMMYFUNCTION("""COMPUTED_VALUE"""),44956.5208333333)</f>
        <v>44956.520833333299</v>
      </c>
      <c r="K984" t="str">
        <f ca="1">IFERROR(__xludf.DUMMYFUNCTION("""COMPUTED_VALUE"""),"23ft Skiff (Bertha) FL7972LJ DEP07613")</f>
        <v>23ft Skiff (Bertha) FL7972LJ DEP07613</v>
      </c>
      <c r="M984" t="str">
        <f ca="1">IFERROR(__xludf.DUMMYFUNCTION("""COMPUTED_VALUE"""),"Ford F250 2017 (Moby Dix) - DEP0021578")</f>
        <v>Ford F250 2017 (Moby Dix) - DEP0021578</v>
      </c>
      <c r="N984" t="str">
        <f ca="1">IFERROR(__xludf.DUMMYFUNCTION("""COMPUTED_VALUE"""),"Jacob Berna")</f>
        <v>Jacob Berna</v>
      </c>
      <c r="O984" t="str">
        <f ca="1">IFERROR(__xludf.DUMMYFUNCTION("""COMPUTED_VALUE"""),"Alee, Alyah, Kyelee Spence, Sarah , Lynn")</f>
        <v>Alee, Alyah, Kyelee Spence, Sarah , Lynn</v>
      </c>
      <c r="P984" t="str">
        <f ca="1">IFERROR(__xludf.DUMMYFUNCTION("""COMPUTED_VALUE"""),"Jacob Berna")</f>
        <v>Jacob Berna</v>
      </c>
      <c r="AE984" s="11"/>
      <c r="AF984" t="str">
        <v>Nikki.Dix@floridadep.gov</v>
      </c>
      <c r="AG984" s="18"/>
    </row>
    <row r="985" spans="1:33" ht="12.75">
      <c r="A985" s="10">
        <f ca="1">IFERROR(__xludf.DUMMYFUNCTION("""COMPUTED_VALUE"""),44956.669554618)</f>
        <v>44956.669554617998</v>
      </c>
      <c r="B985" s="11" t="str">
        <f ca="1">IFERROR(__xludf.DUMMYFUNCTION("""COMPUTED_VALUE"""),"Silas Tanner")</f>
        <v>Silas Tanner</v>
      </c>
      <c r="C985" t="str">
        <f ca="1">IFERROR(__xludf.DUMMYFUNCTION("""COMPUTED_VALUE"""),"silas.tanner@floridadep.gov")</f>
        <v>silas.tanner@floridadep.gov</v>
      </c>
      <c r="D985" t="str">
        <f ca="1">IFERROR(__xludf.DUMMYFUNCTION("""COMPUTED_VALUE"""),"Nikki Dix")</f>
        <v>Nikki Dix</v>
      </c>
      <c r="E985" t="str">
        <f ca="1">IFERROR(__xludf.DUMMYFUNCTION("""COMPUTED_VALUE"""),"Vilano Landing")</f>
        <v>Vilano Landing</v>
      </c>
      <c r="F985" s="13">
        <f ca="1">IFERROR(__xludf.DUMMYFUNCTION("""COMPUTED_VALUE"""),0.479166666667879)</f>
        <v>0.47916666666787899</v>
      </c>
      <c r="G985" s="14">
        <f ca="1">IFERROR(__xludf.DUMMYFUNCTION("""COMPUTED_VALUE"""),44957)</f>
        <v>44957</v>
      </c>
      <c r="H985" t="str">
        <f ca="1">IFERROR(__xludf.DUMMYFUNCTION("""COMPUTED_VALUE"""),"ICW SWMP Sites")</f>
        <v>ICW SWMP Sites</v>
      </c>
      <c r="I985" s="15">
        <f ca="1">IFERROR(__xludf.DUMMYFUNCTION("""COMPUTED_VALUE"""),0.666666666667879)</f>
        <v>0.66666666666787899</v>
      </c>
      <c r="J985" s="16">
        <f ca="1">IFERROR(__xludf.DUMMYFUNCTION("""COMPUTED_VALUE"""),44957.6875)</f>
        <v>44957.6875</v>
      </c>
      <c r="K985" t="str">
        <f ca="1">IFERROR(__xludf.DUMMYFUNCTION("""COMPUTED_VALUE"""),"F 20ft Sea Ark (Easy 200) FL8534PY DEP21451")</f>
        <v>F 20ft Sea Ark (Easy 200) FL8534PY DEP21451</v>
      </c>
      <c r="M985" t="str">
        <f ca="1">IFERROR(__xludf.DUMMYFUNCTION("""COMPUTED_VALUE"""),"Ford F150 2015 (White) - DEP21448")</f>
        <v>Ford F150 2015 (White) - DEP21448</v>
      </c>
      <c r="N985" t="str">
        <f ca="1">IFERROR(__xludf.DUMMYFUNCTION("""COMPUTED_VALUE"""),"Silas Tanner, (904) 483-8423, Remo Mondazzi")</f>
        <v>Silas Tanner, (904) 483-8423, Remo Mondazzi</v>
      </c>
      <c r="P985" t="str">
        <f ca="1">IFERROR(__xludf.DUMMYFUNCTION("""COMPUTED_VALUE"""),"Silas Tanner")</f>
        <v>Silas Tanner</v>
      </c>
      <c r="AE985" s="11"/>
      <c r="AF985" t="str">
        <v>Nikki.Dix@floridadep.gov</v>
      </c>
      <c r="AG985" s="18"/>
    </row>
    <row r="986" spans="1:33" ht="12.75">
      <c r="A986" s="10">
        <f ca="1">IFERROR(__xludf.DUMMYFUNCTION("""COMPUTED_VALUE"""),44957.3673695601)</f>
        <v>44957.367369560103</v>
      </c>
      <c r="B986" s="11" t="str">
        <f ca="1">IFERROR(__xludf.DUMMYFUNCTION("""COMPUTED_VALUE"""),"Jacob Berna")</f>
        <v>Jacob Berna</v>
      </c>
      <c r="C986" t="str">
        <f ca="1">IFERROR(__xludf.DUMMYFUNCTION("""COMPUTED_VALUE"""),"Jacob.Berna@FloridaDEP.gov")</f>
        <v>Jacob.Berna@FloridaDEP.gov</v>
      </c>
      <c r="D986" t="str">
        <f ca="1">IFERROR(__xludf.DUMMYFUNCTION("""COMPUTED_VALUE"""),"Nikki Dix")</f>
        <v>Nikki Dix</v>
      </c>
      <c r="E986" t="str">
        <f ca="1">IFERROR(__xludf.DUMMYFUNCTION("""COMPUTED_VALUE"""),"Vilano ")</f>
        <v xml:space="preserve">Vilano </v>
      </c>
      <c r="F986" s="13">
        <f ca="1">IFERROR(__xludf.DUMMYFUNCTION("""COMPUTED_VALUE"""),0.375)</f>
        <v>0.375</v>
      </c>
      <c r="G986" s="14">
        <f ca="1">IFERROR(__xludf.DUMMYFUNCTION("""COMPUTED_VALUE"""),44957)</f>
        <v>44957</v>
      </c>
      <c r="H986" t="str">
        <f ca="1">IFERROR(__xludf.DUMMYFUNCTION("""COMPUTED_VALUE"""),"San Sebastian Reefs")</f>
        <v>San Sebastian Reefs</v>
      </c>
      <c r="I986" s="15">
        <f ca="1">IFERROR(__xludf.DUMMYFUNCTION("""COMPUTED_VALUE"""),0.541666666667879)</f>
        <v>0.54166666666787899</v>
      </c>
      <c r="J986" s="16">
        <f ca="1">IFERROR(__xludf.DUMMYFUNCTION("""COMPUTED_VALUE"""),44957.5625)</f>
        <v>44957.5625</v>
      </c>
      <c r="K986" t="str">
        <f ca="1">IFERROR(__xludf.DUMMYFUNCTION("""COMPUTED_VALUE"""),"23ft Skiff (Bertha) FL7972LJ DEP07613")</f>
        <v>23ft Skiff (Bertha) FL7972LJ DEP07613</v>
      </c>
      <c r="M986" t="str">
        <f ca="1">IFERROR(__xludf.DUMMYFUNCTION("""COMPUTED_VALUE"""),"Ford F250 2017 (Moby Dix) - DEP0021578")</f>
        <v>Ford F250 2017 (Moby Dix) - DEP0021578</v>
      </c>
      <c r="N986" t="str">
        <f ca="1">IFERROR(__xludf.DUMMYFUNCTION("""COMPUTED_VALUE"""),"Jacob Berna")</f>
        <v>Jacob Berna</v>
      </c>
      <c r="O986" t="str">
        <f ca="1">IFERROR(__xludf.DUMMYFUNCTION("""COMPUTED_VALUE"""),"Alee, Alyah, Jeff, Mike, Pam, Nathan ")</f>
        <v xml:space="preserve">Alee, Alyah, Jeff, Mike, Pam, Nathan </v>
      </c>
      <c r="P986" t="str">
        <f ca="1">IFERROR(__xludf.DUMMYFUNCTION("""COMPUTED_VALUE"""),"Jacob Berna")</f>
        <v>Jacob Berna</v>
      </c>
      <c r="AE986" s="11"/>
      <c r="AF986" t="str">
        <v>Nikki.Dix@floridadep.gov</v>
      </c>
      <c r="AG986" s="18"/>
    </row>
    <row r="987" spans="1:33" ht="12.75">
      <c r="A987" s="10">
        <f ca="1">IFERROR(__xludf.DUMMYFUNCTION("""COMPUTED_VALUE"""),44959.2998931828)</f>
        <v>44959.299893182797</v>
      </c>
      <c r="B987" s="11" t="str">
        <f ca="1">IFERROR(__xludf.DUMMYFUNCTION("""COMPUTED_VALUE"""),"Jessica Lee")</f>
        <v>Jessica Lee</v>
      </c>
      <c r="C987" t="str">
        <f ca="1">IFERROR(__xludf.DUMMYFUNCTION("""COMPUTED_VALUE"""),"jessica.lee@floridadep.gov")</f>
        <v>jessica.lee@floridadep.gov</v>
      </c>
      <c r="D987" t="str">
        <f ca="1">IFERROR(__xludf.DUMMYFUNCTION("""COMPUTED_VALUE"""),"Nikki Dix")</f>
        <v>Nikki Dix</v>
      </c>
      <c r="E987" t="str">
        <f ca="1">IFERROR(__xludf.DUMMYFUNCTION("""COMPUTED_VALUE"""),"Guana River")</f>
        <v>Guana River</v>
      </c>
      <c r="F987" s="13">
        <f ca="1">IFERROR(__xludf.DUMMYFUNCTION("""COMPUTED_VALUE"""),0.3125)</f>
        <v>0.3125</v>
      </c>
      <c r="G987" s="14">
        <f ca="1">IFERROR(__xludf.DUMMYFUNCTION("""COMPUTED_VALUE"""),44959)</f>
        <v>44959</v>
      </c>
      <c r="H987" t="str">
        <f ca="1">IFERROR(__xludf.DUMMYFUNCTION("""COMPUTED_VALUE"""),"Guana River")</f>
        <v>Guana River</v>
      </c>
      <c r="I987" s="15">
        <f ca="1">IFERROR(__xludf.DUMMYFUNCTION("""COMPUTED_VALUE"""),0.33333333333212)</f>
        <v>0.33333333333212001</v>
      </c>
      <c r="J987" s="16">
        <f ca="1">IFERROR(__xludf.DUMMYFUNCTION("""COMPUTED_VALUE"""),44959.3541666666)</f>
        <v>44959.354166666599</v>
      </c>
      <c r="K987" t="str">
        <f ca="1">IFERROR(__xludf.DUMMYFUNCTION("""COMPUTED_VALUE"""),"Jon Boat 1 FL5992RR DEP154045")</f>
        <v>Jon Boat 1 FL5992RR DEP154045</v>
      </c>
      <c r="M987" t="str">
        <f ca="1">IFERROR(__xludf.DUMMYFUNCTION("""COMPUTED_VALUE"""),"Ford F150 2015 (White) - DEP21448")</f>
        <v>Ford F150 2015 (White) - DEP21448</v>
      </c>
      <c r="N987" t="str">
        <f ca="1">IFERROR(__xludf.DUMMYFUNCTION("""COMPUTED_VALUE"""),"Jessica Lee, (813) 748-2228")</f>
        <v>Jessica Lee, (813) 748-2228</v>
      </c>
      <c r="O987" t="str">
        <f ca="1">IFERROR(__xludf.DUMMYFUNCTION("""COMPUTED_VALUE"""),"Monica, Myka ")</f>
        <v xml:space="preserve">Monica, Myka </v>
      </c>
      <c r="P987" t="str">
        <f ca="1">IFERROR(__xludf.DUMMYFUNCTION("""COMPUTED_VALUE"""),"Jess")</f>
        <v>Jess</v>
      </c>
      <c r="AE987" s="11"/>
      <c r="AF987" t="str">
        <v>Nikki.Dix@floridadep.gov</v>
      </c>
      <c r="AG987" s="18"/>
    </row>
    <row r="988" spans="1:33" ht="12.75">
      <c r="A988" s="10">
        <f ca="1">IFERROR(__xludf.DUMMYFUNCTION("""COMPUTED_VALUE"""),44959.507230949)</f>
        <v>44959.507230948999</v>
      </c>
      <c r="B988" s="11" t="str">
        <f ca="1">IFERROR(__xludf.DUMMYFUNCTION("""COMPUTED_VALUE"""),"Jacob Berna")</f>
        <v>Jacob Berna</v>
      </c>
      <c r="C988" t="str">
        <f ca="1">IFERROR(__xludf.DUMMYFUNCTION("""COMPUTED_VALUE"""),"Jacob.Berna@FloridaDEP.gov")</f>
        <v>Jacob.Berna@FloridaDEP.gov</v>
      </c>
      <c r="D988" t="str">
        <f ca="1">IFERROR(__xludf.DUMMYFUNCTION("""COMPUTED_VALUE"""),"Nikki Dix")</f>
        <v>Nikki Dix</v>
      </c>
      <c r="E988" t="str">
        <f ca="1">IFERROR(__xludf.DUMMYFUNCTION("""COMPUTED_VALUE"""),"Frank Butler")</f>
        <v>Frank Butler</v>
      </c>
      <c r="F988" s="13">
        <f ca="1">IFERROR(__xludf.DUMMYFUNCTION("""COMPUTED_VALUE"""),0.5)</f>
        <v>0.5</v>
      </c>
      <c r="G988" s="14">
        <f ca="1">IFERROR(__xludf.DUMMYFUNCTION("""COMPUTED_VALUE"""),44959)</f>
        <v>44959</v>
      </c>
      <c r="H988" t="str">
        <f ca="1">IFERROR(__xludf.DUMMYFUNCTION("""COMPUTED_VALUE"""),"Butler Reefs")</f>
        <v>Butler Reefs</v>
      </c>
      <c r="I988" s="15">
        <f ca="1">IFERROR(__xludf.DUMMYFUNCTION("""COMPUTED_VALUE"""),0.666666666667879)</f>
        <v>0.66666666666787899</v>
      </c>
      <c r="J988" s="16">
        <f ca="1">IFERROR(__xludf.DUMMYFUNCTION("""COMPUTED_VALUE"""),44959.7083333333)</f>
        <v>44959.708333333299</v>
      </c>
      <c r="K988" t="str">
        <f ca="1">IFERROR(__xludf.DUMMYFUNCTION("""COMPUTED_VALUE"""),"23ft Skiff (Bertha) FL7972LJ DEP07613")</f>
        <v>23ft Skiff (Bertha) FL7972LJ DEP07613</v>
      </c>
      <c r="M988" t="str">
        <f ca="1">IFERROR(__xludf.DUMMYFUNCTION("""COMPUTED_VALUE"""),"Ford F250 2017 (Moby Dix) - DEP0021578")</f>
        <v>Ford F250 2017 (Moby Dix) - DEP0021578</v>
      </c>
      <c r="N988" t="str">
        <f ca="1">IFERROR(__xludf.DUMMYFUNCTION("""COMPUTED_VALUE"""),"Jacob Berna")</f>
        <v>Jacob Berna</v>
      </c>
      <c r="O988" t="str">
        <f ca="1">IFERROR(__xludf.DUMMYFUNCTION("""COMPUTED_VALUE"""),"Alee, Alyah, Jeff, Mike, Debbie")</f>
        <v>Alee, Alyah, Jeff, Mike, Debbie</v>
      </c>
      <c r="P988" t="str">
        <f ca="1">IFERROR(__xludf.DUMMYFUNCTION("""COMPUTED_VALUE"""),"Jacob Berna")</f>
        <v>Jacob Berna</v>
      </c>
      <c r="AE988" s="11"/>
      <c r="AF988" t="str">
        <v>Nikki.Dix@floridadep.gov</v>
      </c>
      <c r="AG988" s="18"/>
    </row>
    <row r="989" spans="1:33" ht="12.75">
      <c r="A989" s="10">
        <f ca="1">IFERROR(__xludf.DUMMYFUNCTION("""COMPUTED_VALUE"""),44964.3512326504)</f>
        <v>44964.351232650399</v>
      </c>
      <c r="B989" s="11" t="str">
        <f ca="1">IFERROR(__xludf.DUMMYFUNCTION("""COMPUTED_VALUE"""),"Jacob Berna")</f>
        <v>Jacob Berna</v>
      </c>
      <c r="C989" t="str">
        <f ca="1">IFERROR(__xludf.DUMMYFUNCTION("""COMPUTED_VALUE"""),"Jacob.Berna@FloridaDEP.gov")</f>
        <v>Jacob.Berna@FloridaDEP.gov</v>
      </c>
      <c r="D989" t="str">
        <f ca="1">IFERROR(__xludf.DUMMYFUNCTION("""COMPUTED_VALUE"""),"Blythe Odzinski")</f>
        <v>Blythe Odzinski</v>
      </c>
      <c r="E989" t="str">
        <f ca="1">IFERROR(__xludf.DUMMYFUNCTION("""COMPUTED_VALUE"""),"Vilano ")</f>
        <v xml:space="preserve">Vilano </v>
      </c>
      <c r="F989" s="13">
        <f ca="1">IFERROR(__xludf.DUMMYFUNCTION("""COMPUTED_VALUE"""),0.36458333333212)</f>
        <v>0.36458333333212001</v>
      </c>
      <c r="G989" s="14">
        <f ca="1">IFERROR(__xludf.DUMMYFUNCTION("""COMPUTED_VALUE"""),44964)</f>
        <v>44964</v>
      </c>
      <c r="H989" t="str">
        <f ca="1">IFERROR(__xludf.DUMMYFUNCTION("""COMPUTED_VALUE"""),"Nut Run")</f>
        <v>Nut Run</v>
      </c>
      <c r="I989" s="15">
        <f ca="1">IFERROR(__xludf.DUMMYFUNCTION("""COMPUTED_VALUE"""),0.58333333333212)</f>
        <v>0.58333333333212001</v>
      </c>
      <c r="J989" s="16">
        <f ca="1">IFERROR(__xludf.DUMMYFUNCTION("""COMPUTED_VALUE"""),44964.6041666666)</f>
        <v>44964.604166666599</v>
      </c>
      <c r="K989" t="str">
        <f ca="1">IFERROR(__xludf.DUMMYFUNCTION("""COMPUTED_VALUE"""),"23ft Skiff (Bertha) FL7972LJ DEP07613")</f>
        <v>23ft Skiff (Bertha) FL7972LJ DEP07613</v>
      </c>
      <c r="M989" t="str">
        <f ca="1">IFERROR(__xludf.DUMMYFUNCTION("""COMPUTED_VALUE"""),"Ford F250 2017 (Moby Dix) - DEP0021578")</f>
        <v>Ford F250 2017 (Moby Dix) - DEP0021578</v>
      </c>
      <c r="N989" t="str">
        <f ca="1">IFERROR(__xludf.DUMMYFUNCTION("""COMPUTED_VALUE"""),"Silas Tanner, (904) 483-8423, Jacob Berna")</f>
        <v>Silas Tanner, (904) 483-8423, Jacob Berna</v>
      </c>
      <c r="O989" t="str">
        <f ca="1">IFERROR(__xludf.DUMMYFUNCTION("""COMPUTED_VALUE"""),"Nikki Dix")</f>
        <v>Nikki Dix</v>
      </c>
      <c r="P989" t="str">
        <f ca="1">IFERROR(__xludf.DUMMYFUNCTION("""COMPUTED_VALUE"""),"Silas Tanner ")</f>
        <v xml:space="preserve">Silas Tanner </v>
      </c>
      <c r="AE989" s="11"/>
      <c r="AF989" t="str">
        <v/>
      </c>
      <c r="AG989" s="18"/>
    </row>
    <row r="990" spans="1:33" ht="12.75">
      <c r="A990" s="10">
        <f ca="1">IFERROR(__xludf.DUMMYFUNCTION("""COMPUTED_VALUE"""),44966.2676319097)</f>
        <v>44966.267631909701</v>
      </c>
      <c r="B990" s="11" t="str">
        <f ca="1">IFERROR(__xludf.DUMMYFUNCTION("""COMPUTED_VALUE"""),"Jimmy")</f>
        <v>Jimmy</v>
      </c>
      <c r="C990" t="str">
        <f ca="1">IFERROR(__xludf.DUMMYFUNCTION("""COMPUTED_VALUE"""),"james.tomazinis@floridadep.gov")</f>
        <v>james.tomazinis@floridadep.gov</v>
      </c>
      <c r="D990" t="str">
        <f ca="1">IFERROR(__xludf.DUMMYFUNCTION("""COMPUTED_VALUE"""),"Scott Eastman")</f>
        <v>Scott Eastman</v>
      </c>
      <c r="E990" t="str">
        <f ca="1">IFERROR(__xludf.DUMMYFUNCTION("""COMPUTED_VALUE"""),"Holly Point and Dee Dee Bartels")</f>
        <v>Holly Point and Dee Dee Bartels</v>
      </c>
      <c r="F990" s="13">
        <f ca="1">IFERROR(__xludf.DUMMYFUNCTION("""COMPUTED_VALUE"""),0.375)</f>
        <v>0.375</v>
      </c>
      <c r="G990" s="14">
        <f ca="1">IFERROR(__xludf.DUMMYFUNCTION("""COMPUTED_VALUE"""),45178)</f>
        <v>45178</v>
      </c>
      <c r="H990" t="str">
        <f ca="1">IFERROR(__xludf.DUMMYFUNCTION("""COMPUTED_VALUE"""),"NEAP WQ sites")</f>
        <v>NEAP WQ sites</v>
      </c>
      <c r="I990" s="15">
        <f ca="1">IFERROR(__xludf.DUMMYFUNCTION("""COMPUTED_VALUE"""),0.0416666666678793)</f>
        <v>4.1666666667879299E-2</v>
      </c>
      <c r="J990" s="16"/>
      <c r="K990" t="str">
        <f ca="1">IFERROR(__xludf.DUMMYFUNCTION("""COMPUTED_VALUE"""),"F 20ft Sea Ark (Easy 200) FL8534PY DEP21451")</f>
        <v>F 20ft Sea Ark (Easy 200) FL8534PY DEP21451</v>
      </c>
      <c r="M990" t="str">
        <f ca="1">IFERROR(__xludf.DUMMYFUNCTION("""COMPUTED_VALUE"""),"2022 NEAP Truck")</f>
        <v>2022 NEAP Truck</v>
      </c>
      <c r="N990" t="str">
        <f ca="1">IFERROR(__xludf.DUMMYFUNCTION("""COMPUTED_VALUE"""),"Jimmy Tomazinis, (904) 547-0094")</f>
        <v>Jimmy Tomazinis, (904) 547-0094</v>
      </c>
      <c r="O990" t="str">
        <f ca="1">IFERROR(__xludf.DUMMYFUNCTION("""COMPUTED_VALUE"""),"Chirs Kurtz")</f>
        <v>Chirs Kurtz</v>
      </c>
      <c r="P990" t="str">
        <f ca="1">IFERROR(__xludf.DUMMYFUNCTION("""COMPUTED_VALUE"""),"Jimmy")</f>
        <v>Jimmy</v>
      </c>
      <c r="AE990" s="11"/>
      <c r="AF990" t="str">
        <v>Scott.Eastman@floridadep.gov</v>
      </c>
      <c r="AG990" s="18"/>
    </row>
    <row r="991" spans="1:33" ht="12.75">
      <c r="A991" s="10">
        <f ca="1">IFERROR(__xludf.DUMMYFUNCTION("""COMPUTED_VALUE"""),44966.3198261574)</f>
        <v>44966.3198261574</v>
      </c>
      <c r="B991" s="11" t="str">
        <f ca="1">IFERROR(__xludf.DUMMYFUNCTION("""COMPUTED_VALUE"""),"Kyia Herlth ")</f>
        <v xml:space="preserve">Kyia Herlth </v>
      </c>
      <c r="C991" t="str">
        <f ca="1">IFERROR(__xludf.DUMMYFUNCTION("""COMPUTED_VALUE"""),"kyia.herlth@floridadep.gov")</f>
        <v>kyia.herlth@floridadep.gov</v>
      </c>
      <c r="D991" t="str">
        <f ca="1">IFERROR(__xludf.DUMMYFUNCTION("""COMPUTED_VALUE"""),"Candace Killian")</f>
        <v>Candace Killian</v>
      </c>
      <c r="E991" t="str">
        <f ca="1">IFERROR(__xludf.DUMMYFUNCTION("""COMPUTED_VALUE"""),"Marineland")</f>
        <v>Marineland</v>
      </c>
      <c r="F991" s="13">
        <f ca="1">IFERROR(__xludf.DUMMYFUNCTION("""COMPUTED_VALUE"""),0.375)</f>
        <v>0.375</v>
      </c>
      <c r="G991" s="14">
        <f ca="1">IFERROR(__xludf.DUMMYFUNCTION("""COMPUTED_VALUE"""),44966)</f>
        <v>44966</v>
      </c>
      <c r="H991" t="str">
        <f ca="1">IFERROR(__xludf.DUMMYFUNCTION("""COMPUTED_VALUE"""),"Close to the launch, around the shoreline. Not going far out. ")</f>
        <v xml:space="preserve">Close to the launch, around the shoreline. Not going far out. </v>
      </c>
      <c r="I991" s="15">
        <f ca="1">IFERROR(__xludf.DUMMYFUNCTION("""COMPUTED_VALUE"""),0.0833333333321206)</f>
        <v>8.3333333332120604E-2</v>
      </c>
      <c r="J991" s="16">
        <f ca="1">IFERROR(__xludf.DUMMYFUNCTION("""COMPUTED_VALUE"""),44966.5)</f>
        <v>44966.5</v>
      </c>
      <c r="K991" t="str">
        <f ca="1">IFERROR(__xludf.DUMMYFUNCTION("""COMPUTED_VALUE"""),"Kayak(s)")</f>
        <v>Kayak(s)</v>
      </c>
      <c r="L991">
        <f ca="1">IFERROR(__xludf.DUMMYFUNCTION("""COMPUTED_VALUE"""),2)</f>
        <v>2</v>
      </c>
      <c r="M991" t="str">
        <f ca="1">IFERROR(__xludf.DUMMYFUNCTION("""COMPUTED_VALUE"""),"Personal Truck")</f>
        <v>Personal Truck</v>
      </c>
      <c r="N991" t="str">
        <f ca="1">IFERROR(__xludf.DUMMYFUNCTION("""COMPUTED_VALUE"""),"Kyia Herlth")</f>
        <v>Kyia Herlth</v>
      </c>
      <c r="O991" t="str">
        <f ca="1">IFERROR(__xludf.DUMMYFUNCTION("""COMPUTED_VALUE"""),"Savanna Mathis, Larry Herlth")</f>
        <v>Savanna Mathis, Larry Herlth</v>
      </c>
      <c r="P991" t="str">
        <f ca="1">IFERROR(__xludf.DUMMYFUNCTION("""COMPUTED_VALUE"""),"Kyia Herlth")</f>
        <v>Kyia Herlth</v>
      </c>
      <c r="AE991" s="11"/>
      <c r="AF991" t="str">
        <v/>
      </c>
      <c r="AG991" s="18"/>
    </row>
    <row r="992" spans="1:33" ht="12.75">
      <c r="A992" s="10">
        <f ca="1">IFERROR(__xludf.DUMMYFUNCTION("""COMPUTED_VALUE"""),44970.32839125)</f>
        <v>44970.328391249997</v>
      </c>
      <c r="B992" s="11" t="str">
        <f ca="1">IFERROR(__xludf.DUMMYFUNCTION("""COMPUTED_VALUE"""),"Jacob Berna")</f>
        <v>Jacob Berna</v>
      </c>
      <c r="C992" t="str">
        <f ca="1">IFERROR(__xludf.DUMMYFUNCTION("""COMPUTED_VALUE"""),"Jacob.Berna@FloridaDEP.gov")</f>
        <v>Jacob.Berna@FloridaDEP.gov</v>
      </c>
      <c r="D992" t="str">
        <f ca="1">IFERROR(__xludf.DUMMYFUNCTION("""COMPUTED_VALUE"""),"Nikki Dix")</f>
        <v>Nikki Dix</v>
      </c>
      <c r="E992" t="str">
        <f ca="1">IFERROR(__xludf.DUMMYFUNCTION("""COMPUTED_VALUE"""),"Butler")</f>
        <v>Butler</v>
      </c>
      <c r="F992" s="13">
        <f ca="1">IFERROR(__xludf.DUMMYFUNCTION("""COMPUTED_VALUE"""),0.33333333333212)</f>
        <v>0.33333333333212001</v>
      </c>
      <c r="G992" s="14">
        <f ca="1">IFERROR(__xludf.DUMMYFUNCTION("""COMPUTED_VALUE"""),44970)</f>
        <v>44970</v>
      </c>
      <c r="H992" t="str">
        <f ca="1">IFERROR(__xludf.DUMMYFUNCTION("""COMPUTED_VALUE"""),"Butler Reef")</f>
        <v>Butler Reef</v>
      </c>
      <c r="I992" s="15">
        <f ca="1">IFERROR(__xludf.DUMMYFUNCTION("""COMPUTED_VALUE"""),0.5)</f>
        <v>0.5</v>
      </c>
      <c r="J992" s="16">
        <f ca="1">IFERROR(__xludf.DUMMYFUNCTION("""COMPUTED_VALUE"""),44970.5416666666)</f>
        <v>44970.541666666599</v>
      </c>
      <c r="K992" t="str">
        <f ca="1">IFERROR(__xludf.DUMMYFUNCTION("""COMPUTED_VALUE"""),"20ft Sea Ark FL5351SJ UNF 2015")</f>
        <v>20ft Sea Ark FL5351SJ UNF 2015</v>
      </c>
      <c r="M992" t="str">
        <f ca="1">IFERROR(__xludf.DUMMYFUNCTION("""COMPUTED_VALUE"""),"Ford F250 2017 (Moby Dix) - DEP0021578")</f>
        <v>Ford F250 2017 (Moby Dix) - DEP0021578</v>
      </c>
      <c r="N992" t="str">
        <f ca="1">IFERROR(__xludf.DUMMYFUNCTION("""COMPUTED_VALUE"""),"Jacob Berna")</f>
        <v>Jacob Berna</v>
      </c>
      <c r="O992" t="str">
        <f ca="1">IFERROR(__xludf.DUMMYFUNCTION("""COMPUTED_VALUE"""),"Alee, Alyah, Mathew")</f>
        <v>Alee, Alyah, Mathew</v>
      </c>
      <c r="P992" t="str">
        <f ca="1">IFERROR(__xludf.DUMMYFUNCTION("""COMPUTED_VALUE"""),"Jacob Berna")</f>
        <v>Jacob Berna</v>
      </c>
      <c r="AE992" s="11"/>
      <c r="AF992" t="str">
        <v>Nikki.Dix@floridadep.gov</v>
      </c>
      <c r="AG992" s="18"/>
    </row>
    <row r="993" spans="1:33" ht="12.75">
      <c r="A993" s="10">
        <f ca="1">IFERROR(__xludf.DUMMYFUNCTION("""COMPUTED_VALUE"""),44970.3364761226)</f>
        <v>44970.336476122597</v>
      </c>
      <c r="B993" s="11" t="str">
        <f ca="1">IFERROR(__xludf.DUMMYFUNCTION("""COMPUTED_VALUE"""),"Silas Tanner")</f>
        <v>Silas Tanner</v>
      </c>
      <c r="C993" t="str">
        <f ca="1">IFERROR(__xludf.DUMMYFUNCTION("""COMPUTED_VALUE"""),"silas.tanner@floridadep.gov")</f>
        <v>silas.tanner@floridadep.gov</v>
      </c>
      <c r="D993" t="str">
        <f ca="1">IFERROR(__xludf.DUMMYFUNCTION("""COMPUTED_VALUE"""),"Nikki Dix")</f>
        <v>Nikki Dix</v>
      </c>
      <c r="E993" t="str">
        <f ca="1">IFERROR(__xludf.DUMMYFUNCTION("""COMPUTED_VALUE"""),"Usina ramp")</f>
        <v>Usina ramp</v>
      </c>
      <c r="F993" s="13">
        <f ca="1">IFERROR(__xludf.DUMMYFUNCTION("""COMPUTED_VALUE"""),0.354166666667879)</f>
        <v>0.35416666666787899</v>
      </c>
      <c r="G993" s="14">
        <f ca="1">IFERROR(__xludf.DUMMYFUNCTION("""COMPUTED_VALUE"""),44970)</f>
        <v>44970</v>
      </c>
      <c r="H993" t="str">
        <f ca="1">IFERROR(__xludf.DUMMYFUNCTION("""COMPUTED_VALUE"""),"ICW root n rakes sites")</f>
        <v>ICW root n rakes sites</v>
      </c>
      <c r="I993" s="15">
        <f ca="1">IFERROR(__xludf.DUMMYFUNCTION("""COMPUTED_VALUE"""),0.6875)</f>
        <v>0.6875</v>
      </c>
      <c r="J993" s="16">
        <f ca="1">IFERROR(__xludf.DUMMYFUNCTION("""COMPUTED_VALUE"""),44970.6979166666)</f>
        <v>44970.697916666599</v>
      </c>
      <c r="K993" t="str">
        <f ca="1">IFERROR(__xludf.DUMMYFUNCTION("""COMPUTED_VALUE"""),"23ft Skiff (Bertha) FL7972LJ DEP07613")</f>
        <v>23ft Skiff (Bertha) FL7972LJ DEP07613</v>
      </c>
      <c r="M993" t="str">
        <f ca="1">IFERROR(__xludf.DUMMYFUNCTION("""COMPUTED_VALUE"""),"Ford F150 2015 (White) - DEP21448")</f>
        <v>Ford F150 2015 (White) - DEP21448</v>
      </c>
      <c r="N993" t="str">
        <f ca="1">IFERROR(__xludf.DUMMYFUNCTION("""COMPUTED_VALUE"""),"Silas Tanner, (904) 483-8423")</f>
        <v>Silas Tanner, (904) 483-8423</v>
      </c>
      <c r="O993" t="str">
        <f ca="1">IFERROR(__xludf.DUMMYFUNCTION("""COMPUTED_VALUE"""),"Tess Adgie, Adam Langley, Lisa Chambers, and undergrads")</f>
        <v>Tess Adgie, Adam Langley, Lisa Chambers, and undergrads</v>
      </c>
      <c r="P993" t="str">
        <f ca="1">IFERROR(__xludf.DUMMYFUNCTION("""COMPUTED_VALUE"""),"Silas Tanner")</f>
        <v>Silas Tanner</v>
      </c>
      <c r="AE993" s="11"/>
      <c r="AF993" t="str">
        <v>Nikki.Dix@floridadep.gov</v>
      </c>
      <c r="AG993" s="18"/>
    </row>
    <row r="994" spans="1:33" ht="12.75">
      <c r="A994" s="10">
        <f ca="1">IFERROR(__xludf.DUMMYFUNCTION("""COMPUTED_VALUE"""),44971.3036495949)</f>
        <v>44971.303649594898</v>
      </c>
      <c r="B994" s="11" t="str">
        <f ca="1">IFERROR(__xludf.DUMMYFUNCTION("""COMPUTED_VALUE"""),"Jimmy")</f>
        <v>Jimmy</v>
      </c>
      <c r="C994" t="str">
        <f ca="1">IFERROR(__xludf.DUMMYFUNCTION("""COMPUTED_VALUE"""),"james.tomazinis@floridadep.gov")</f>
        <v>james.tomazinis@floridadep.gov</v>
      </c>
      <c r="D994" t="str">
        <f ca="1">IFERROR(__xludf.DUMMYFUNCTION("""COMPUTED_VALUE"""),"Scott Eastman")</f>
        <v>Scott Eastman</v>
      </c>
      <c r="E994" t="str">
        <f ca="1">IFERROR(__xludf.DUMMYFUNCTION("""COMPUTED_VALUE"""),"Mayport")</f>
        <v>Mayport</v>
      </c>
      <c r="F994" s="13">
        <f ca="1">IFERROR(__xludf.DUMMYFUNCTION("""COMPUTED_VALUE"""),0.375)</f>
        <v>0.375</v>
      </c>
      <c r="G994" s="14">
        <f ca="1">IFERROR(__xludf.DUMMYFUNCTION("""COMPUTED_VALUE"""),44971)</f>
        <v>44971</v>
      </c>
      <c r="H994" t="str">
        <f ca="1">IFERROR(__xludf.DUMMYFUNCTION("""COMPUTED_VALUE"""),"Shad and Christopher Creek")</f>
        <v>Shad and Christopher Creek</v>
      </c>
      <c r="I994" s="15">
        <f ca="1">IFERROR(__xludf.DUMMYFUNCTION("""COMPUTED_VALUE"""),0.58333333333212)</f>
        <v>0.58333333333212001</v>
      </c>
      <c r="J994" s="16"/>
      <c r="K994" t="str">
        <f ca="1">IFERROR(__xludf.DUMMYFUNCTION("""COMPUTED_VALUE"""),"F 20ft Sea Ark (Easy 200) FL8534PY DEP21451")</f>
        <v>F 20ft Sea Ark (Easy 200) FL8534PY DEP21451</v>
      </c>
      <c r="M994" t="str">
        <f ca="1">IFERROR(__xludf.DUMMYFUNCTION("""COMPUTED_VALUE"""),"NEAP F150")</f>
        <v>NEAP F150</v>
      </c>
      <c r="N994" t="str">
        <f ca="1">IFERROR(__xludf.DUMMYFUNCTION("""COMPUTED_VALUE"""),"Jimmy Tomazinis, (904) 547-0094")</f>
        <v>Jimmy Tomazinis, (904) 547-0094</v>
      </c>
      <c r="O994" t="str">
        <f ca="1">IFERROR(__xludf.DUMMYFUNCTION("""COMPUTED_VALUE"""),"Chirs Kurtz")</f>
        <v>Chirs Kurtz</v>
      </c>
      <c r="P994" t="str">
        <f ca="1">IFERROR(__xludf.DUMMYFUNCTION("""COMPUTED_VALUE"""),"Jimmy")</f>
        <v>Jimmy</v>
      </c>
      <c r="AE994" s="11"/>
      <c r="AF994" t="str">
        <v>Scott.Eastman@floridadep.gov</v>
      </c>
      <c r="AG994" s="18"/>
    </row>
    <row r="995" spans="1:33" ht="12.75">
      <c r="A995" s="10">
        <f ca="1">IFERROR(__xludf.DUMMYFUNCTION("""COMPUTED_VALUE"""),44971.3670213078)</f>
        <v>44971.3670213078</v>
      </c>
      <c r="B995" s="11" t="str">
        <f ca="1">IFERROR(__xludf.DUMMYFUNCTION("""COMPUTED_VALUE"""),"Jacob Berna")</f>
        <v>Jacob Berna</v>
      </c>
      <c r="C995" t="str">
        <f ca="1">IFERROR(__xludf.DUMMYFUNCTION("""COMPUTED_VALUE"""),"Jacob.Berna@FloridaDEP.gov")</f>
        <v>Jacob.Berna@FloridaDEP.gov</v>
      </c>
      <c r="D995" t="str">
        <f ca="1">IFERROR(__xludf.DUMMYFUNCTION("""COMPUTED_VALUE"""),"Nikki Dix")</f>
        <v>Nikki Dix</v>
      </c>
      <c r="E995" t="str">
        <f ca="1">IFERROR(__xludf.DUMMYFUNCTION("""COMPUTED_VALUE"""),"Butler ")</f>
        <v xml:space="preserve">Butler </v>
      </c>
      <c r="F995" s="13">
        <f ca="1">IFERROR(__xludf.DUMMYFUNCTION("""COMPUTED_VALUE"""),0.36458333333212)</f>
        <v>0.36458333333212001</v>
      </c>
      <c r="G995" s="14">
        <f ca="1">IFERROR(__xludf.DUMMYFUNCTION("""COMPUTED_VALUE"""),44971)</f>
        <v>44971</v>
      </c>
      <c r="H995" t="str">
        <f ca="1">IFERROR(__xludf.DUMMYFUNCTION("""COMPUTED_VALUE"""),"Butler reefs")</f>
        <v>Butler reefs</v>
      </c>
      <c r="I995" s="15">
        <f ca="1">IFERROR(__xludf.DUMMYFUNCTION("""COMPUTED_VALUE"""),0.52083333333212)</f>
        <v>0.52083333333212001</v>
      </c>
      <c r="J995" s="16">
        <f ca="1">IFERROR(__xludf.DUMMYFUNCTION("""COMPUTED_VALUE"""),44971.5625)</f>
        <v>44971.5625</v>
      </c>
      <c r="K995" t="str">
        <f ca="1">IFERROR(__xludf.DUMMYFUNCTION("""COMPUTED_VALUE"""),"23ft Skiff (Bertha) FL7972LJ DEP07613")</f>
        <v>23ft Skiff (Bertha) FL7972LJ DEP07613</v>
      </c>
      <c r="M995" t="str">
        <f ca="1">IFERROR(__xludf.DUMMYFUNCTION("""COMPUTED_VALUE"""),"Ford F150 2015 (White) - DEP21448")</f>
        <v>Ford F150 2015 (White) - DEP21448</v>
      </c>
      <c r="N995" t="str">
        <f ca="1">IFERROR(__xludf.DUMMYFUNCTION("""COMPUTED_VALUE"""),"Jacob Berna")</f>
        <v>Jacob Berna</v>
      </c>
      <c r="O995" t="str">
        <f ca="1">IFERROR(__xludf.DUMMYFUNCTION("""COMPUTED_VALUE"""),"Alee, Alyah, Jeff, Mike, Remo, Nathan")</f>
        <v>Alee, Alyah, Jeff, Mike, Remo, Nathan</v>
      </c>
      <c r="P995" t="str">
        <f ca="1">IFERROR(__xludf.DUMMYFUNCTION("""COMPUTED_VALUE"""),"Jacob Berna")</f>
        <v>Jacob Berna</v>
      </c>
      <c r="AE995" s="11"/>
      <c r="AF995" t="str">
        <v>Nikki.Dix@floridadep.gov</v>
      </c>
      <c r="AG995" s="18"/>
    </row>
    <row r="996" spans="1:33" ht="12.75">
      <c r="A996" s="10">
        <f ca="1">IFERROR(__xludf.DUMMYFUNCTION("""COMPUTED_VALUE"""),44972.284648449)</f>
        <v>44972.284648449</v>
      </c>
      <c r="B996" s="11" t="str">
        <f ca="1">IFERROR(__xludf.DUMMYFUNCTION("""COMPUTED_VALUE"""),"Jimmy")</f>
        <v>Jimmy</v>
      </c>
      <c r="C996" t="str">
        <f ca="1">IFERROR(__xludf.DUMMYFUNCTION("""COMPUTED_VALUE"""),"james.tomazinis@floridadep.gov")</f>
        <v>james.tomazinis@floridadep.gov</v>
      </c>
      <c r="D996" t="str">
        <f ca="1">IFERROR(__xludf.DUMMYFUNCTION("""COMPUTED_VALUE"""),"Scott Eastman")</f>
        <v>Scott Eastman</v>
      </c>
      <c r="E996" t="str">
        <f ca="1">IFERROR(__xludf.DUMMYFUNCTION("""COMPUTED_VALUE"""),"Vilano ")</f>
        <v xml:space="preserve">Vilano </v>
      </c>
      <c r="F996" s="13">
        <f ca="1">IFERROR(__xludf.DUMMYFUNCTION("""COMPUTED_VALUE"""),0.39583333333212)</f>
        <v>0.39583333333212001</v>
      </c>
      <c r="G996" s="14">
        <f ca="1">IFERROR(__xludf.DUMMYFUNCTION("""COMPUTED_VALUE"""),44972)</f>
        <v>44972</v>
      </c>
      <c r="H996" t="str">
        <f ca="1">IFERROR(__xludf.DUMMYFUNCTION("""COMPUTED_VALUE"""),"Tolomato ")</f>
        <v xml:space="preserve">Tolomato </v>
      </c>
      <c r="I996" s="15">
        <f ca="1">IFERROR(__xludf.DUMMYFUNCTION("""COMPUTED_VALUE"""),0.58333333333212)</f>
        <v>0.58333333333212001</v>
      </c>
      <c r="J996" s="16"/>
      <c r="K996" t="str">
        <f ca="1">IFERROR(__xludf.DUMMYFUNCTION("""COMPUTED_VALUE"""),"F 20ft Sea Ark (Easy 200) FL8534PY DEP21451")</f>
        <v>F 20ft Sea Ark (Easy 200) FL8534PY DEP21451</v>
      </c>
      <c r="M996" t="str">
        <f ca="1">IFERROR(__xludf.DUMMYFUNCTION("""COMPUTED_VALUE"""),"NEAP F150")</f>
        <v>NEAP F150</v>
      </c>
      <c r="N996" t="str">
        <f ca="1">IFERROR(__xludf.DUMMYFUNCTION("""COMPUTED_VALUE"""),"Jimmy Tomazinis, (904) 547-0094")</f>
        <v>Jimmy Tomazinis, (904) 547-0094</v>
      </c>
      <c r="O996" t="str">
        <f ca="1">IFERROR(__xludf.DUMMYFUNCTION("""COMPUTED_VALUE"""),"Chirs Kurtz, Matt Bernanke")</f>
        <v>Chirs Kurtz, Matt Bernanke</v>
      </c>
      <c r="P996" t="str">
        <f ca="1">IFERROR(__xludf.DUMMYFUNCTION("""COMPUTED_VALUE"""),"Jimmy")</f>
        <v>Jimmy</v>
      </c>
      <c r="AE996" s="11"/>
      <c r="AF996" t="str">
        <v>Scott.Eastman@floridadep.gov</v>
      </c>
      <c r="AG996" s="18"/>
    </row>
    <row r="997" spans="1:33" ht="12.75">
      <c r="A997" s="10">
        <f ca="1">IFERROR(__xludf.DUMMYFUNCTION("""COMPUTED_VALUE"""),44972.3611242476)</f>
        <v>44972.361124247604</v>
      </c>
      <c r="B997" s="11" t="str">
        <f ca="1">IFERROR(__xludf.DUMMYFUNCTION("""COMPUTED_VALUE"""),"Jacob Berna")</f>
        <v>Jacob Berna</v>
      </c>
      <c r="C997" t="str">
        <f ca="1">IFERROR(__xludf.DUMMYFUNCTION("""COMPUTED_VALUE"""),"Jacob.Berna@FloridaDEP.gov")</f>
        <v>Jacob.Berna@FloridaDEP.gov</v>
      </c>
      <c r="D997" t="str">
        <f ca="1">IFERROR(__xludf.DUMMYFUNCTION("""COMPUTED_VALUE"""),"Nikki Dix")</f>
        <v>Nikki Dix</v>
      </c>
      <c r="E997" t="str">
        <f ca="1">IFERROR(__xludf.DUMMYFUNCTION("""COMPUTED_VALUE"""),"Vilano")</f>
        <v>Vilano</v>
      </c>
      <c r="F997" s="13">
        <f ca="1">IFERROR(__xludf.DUMMYFUNCTION("""COMPUTED_VALUE"""),0.36458333333212)</f>
        <v>0.36458333333212001</v>
      </c>
      <c r="G997" s="14">
        <f ca="1">IFERROR(__xludf.DUMMYFUNCTION("""COMPUTED_VALUE"""),44972)</f>
        <v>44972</v>
      </c>
      <c r="H997" t="str">
        <f ca="1">IFERROR(__xludf.DUMMYFUNCTION("""COMPUTED_VALUE"""),"SA4 reefs")</f>
        <v>SA4 reefs</v>
      </c>
      <c r="I997" s="15">
        <f ca="1">IFERROR(__xludf.DUMMYFUNCTION("""COMPUTED_VALUE"""),0.541666666667879)</f>
        <v>0.54166666666787899</v>
      </c>
      <c r="J997" s="16">
        <f ca="1">IFERROR(__xludf.DUMMYFUNCTION("""COMPUTED_VALUE"""),44972.5625)</f>
        <v>44972.5625</v>
      </c>
      <c r="K997" t="str">
        <f ca="1">IFERROR(__xludf.DUMMYFUNCTION("""COMPUTED_VALUE"""),"20ft Sea Ark FL5351SJ UNF 2015")</f>
        <v>20ft Sea Ark FL5351SJ UNF 2015</v>
      </c>
      <c r="M997" t="str">
        <f ca="1">IFERROR(__xludf.DUMMYFUNCTION("""COMPUTED_VALUE"""),"Ford F150 2015 (White) - DEP21448")</f>
        <v>Ford F150 2015 (White) - DEP21448</v>
      </c>
      <c r="N997" t="str">
        <f ca="1">IFERROR(__xludf.DUMMYFUNCTION("""COMPUTED_VALUE"""),"Jacob Berna")</f>
        <v>Jacob Berna</v>
      </c>
      <c r="O997" t="str">
        <f ca="1">IFERROR(__xludf.DUMMYFUNCTION("""COMPUTED_VALUE"""),"Alyah")</f>
        <v>Alyah</v>
      </c>
      <c r="P997" t="str">
        <f ca="1">IFERROR(__xludf.DUMMYFUNCTION("""COMPUTED_VALUE"""),"Jacob Berna")</f>
        <v>Jacob Berna</v>
      </c>
      <c r="AE997" s="11"/>
      <c r="AF997" t="str">
        <v>Nikki.Dix@floridadep.gov</v>
      </c>
      <c r="AG997" s="18"/>
    </row>
    <row r="998" spans="1:33" ht="12.75">
      <c r="A998" s="10">
        <f ca="1">IFERROR(__xludf.DUMMYFUNCTION("""COMPUTED_VALUE"""),44978.3920939583)</f>
        <v>44978.392093958297</v>
      </c>
      <c r="B998" s="11" t="str">
        <f ca="1">IFERROR(__xludf.DUMMYFUNCTION("""COMPUTED_VALUE"""),"Silas Tanner")</f>
        <v>Silas Tanner</v>
      </c>
      <c r="C998" t="str">
        <f ca="1">IFERROR(__xludf.DUMMYFUNCTION("""COMPUTED_VALUE"""),"silas.tanner@floridadep.gov")</f>
        <v>silas.tanner@floridadep.gov</v>
      </c>
      <c r="D998" t="str">
        <f ca="1">IFERROR(__xludf.DUMMYFUNCTION("""COMPUTED_VALUE"""),"Nikki Dix")</f>
        <v>Nikki Dix</v>
      </c>
      <c r="E998" t="str">
        <f ca="1">IFERROR(__xludf.DUMMYFUNCTION("""COMPUTED_VALUE"""),"Vilano Landing")</f>
        <v>Vilano Landing</v>
      </c>
      <c r="F998" s="13">
        <f ca="1">IFERROR(__xludf.DUMMYFUNCTION("""COMPUTED_VALUE"""),0.45833333333212)</f>
        <v>0.45833333333212001</v>
      </c>
      <c r="G998" s="14">
        <f ca="1">IFERROR(__xludf.DUMMYFUNCTION("""COMPUTED_VALUE"""),44978)</f>
        <v>44978</v>
      </c>
      <c r="H998" t="str">
        <f ca="1">IFERROR(__xludf.DUMMYFUNCTION("""COMPUTED_VALUE"""),"ICW SWMP Sites")</f>
        <v>ICW SWMP Sites</v>
      </c>
      <c r="I998" s="15">
        <f ca="1">IFERROR(__xludf.DUMMYFUNCTION("""COMPUTED_VALUE"""),0.666666666667879)</f>
        <v>0.66666666666787899</v>
      </c>
      <c r="J998" s="16">
        <f ca="1">IFERROR(__xludf.DUMMYFUNCTION("""COMPUTED_VALUE"""),44978.6875)</f>
        <v>44978.6875</v>
      </c>
      <c r="K998" t="str">
        <f ca="1">IFERROR(__xludf.DUMMYFUNCTION("""COMPUTED_VALUE"""),"F 20ft Sea Ark (Easy 200) FL8534PY DEP21451")</f>
        <v>F 20ft Sea Ark (Easy 200) FL8534PY DEP21451</v>
      </c>
      <c r="M998" t="str">
        <f ca="1">IFERROR(__xludf.DUMMYFUNCTION("""COMPUTED_VALUE"""),"Ford F250 2017 (Moby Dix) - DEP0021578")</f>
        <v>Ford F250 2017 (Moby Dix) - DEP0021578</v>
      </c>
      <c r="N998" t="str">
        <f ca="1">IFERROR(__xludf.DUMMYFUNCTION("""COMPUTED_VALUE"""),"Silas Tanner, (904) 483-8423, Remo Mondazzi")</f>
        <v>Silas Tanner, (904) 483-8423, Remo Mondazzi</v>
      </c>
      <c r="P998" t="str">
        <f ca="1">IFERROR(__xludf.DUMMYFUNCTION("""COMPUTED_VALUE"""),"Capt. S. Tanner")</f>
        <v>Capt. S. Tanner</v>
      </c>
      <c r="AE998" s="11"/>
      <c r="AF998" t="str">
        <v>Nikki.Dix@floridadep.gov</v>
      </c>
      <c r="AG998" s="18"/>
    </row>
    <row r="999" spans="1:33" ht="12.75">
      <c r="A999" s="10">
        <f ca="1">IFERROR(__xludf.DUMMYFUNCTION("""COMPUTED_VALUE"""),44984.3377446296)</f>
        <v>44984.3377446296</v>
      </c>
      <c r="B999" s="11" t="str">
        <f ca="1">IFERROR(__xludf.DUMMYFUNCTION("""COMPUTED_VALUE"""),"Jacob Berna")</f>
        <v>Jacob Berna</v>
      </c>
      <c r="C999" t="str">
        <f ca="1">IFERROR(__xludf.DUMMYFUNCTION("""COMPUTED_VALUE"""),"Jacob.Berna@FloridaDEP.gov")</f>
        <v>Jacob.Berna@FloridaDEP.gov</v>
      </c>
      <c r="D999" t="str">
        <f ca="1">IFERROR(__xludf.DUMMYFUNCTION("""COMPUTED_VALUE"""),"Nikki Dix")</f>
        <v>Nikki Dix</v>
      </c>
      <c r="E999" t="str">
        <f ca="1">IFERROR(__xludf.DUMMYFUNCTION("""COMPUTED_VALUE"""),"Butler")</f>
        <v>Butler</v>
      </c>
      <c r="F999" s="13">
        <f ca="1">IFERROR(__xludf.DUMMYFUNCTION("""COMPUTED_VALUE"""),0.33333333333212)</f>
        <v>0.33333333333212001</v>
      </c>
      <c r="G999" s="14">
        <f ca="1">IFERROR(__xludf.DUMMYFUNCTION("""COMPUTED_VALUE"""),44984)</f>
        <v>44984</v>
      </c>
      <c r="H999" t="str">
        <f ca="1">IFERROR(__xludf.DUMMYFUNCTION("""COMPUTED_VALUE"""),"Butler Reefs")</f>
        <v>Butler Reefs</v>
      </c>
      <c r="I999" s="15">
        <f ca="1">IFERROR(__xludf.DUMMYFUNCTION("""COMPUTED_VALUE"""),0.5)</f>
        <v>0.5</v>
      </c>
      <c r="J999" s="16">
        <f ca="1">IFERROR(__xludf.DUMMYFUNCTION("""COMPUTED_VALUE"""),44984.5416666666)</f>
        <v>44984.541666666599</v>
      </c>
      <c r="K999" t="str">
        <f ca="1">IFERROR(__xludf.DUMMYFUNCTION("""COMPUTED_VALUE"""),"23ft Skiff (Bertha) FL7972LJ DEP07613")</f>
        <v>23ft Skiff (Bertha) FL7972LJ DEP07613</v>
      </c>
      <c r="M999" t="str">
        <f ca="1">IFERROR(__xludf.DUMMYFUNCTION("""COMPUTED_VALUE"""),"Ford F150 2015 (White) - DEP21448")</f>
        <v>Ford F150 2015 (White) - DEP21448</v>
      </c>
      <c r="N999" t="str">
        <f ca="1">IFERROR(__xludf.DUMMYFUNCTION("""COMPUTED_VALUE"""),"Jacob Berna")</f>
        <v>Jacob Berna</v>
      </c>
      <c r="O999" t="str">
        <f ca="1">IFERROR(__xludf.DUMMYFUNCTION("""COMPUTED_VALUE"""),"Alee, Alyah")</f>
        <v>Alee, Alyah</v>
      </c>
      <c r="P999" t="str">
        <f ca="1">IFERROR(__xludf.DUMMYFUNCTION("""COMPUTED_VALUE"""),"Jacob Berna")</f>
        <v>Jacob Berna</v>
      </c>
      <c r="AE999" s="11"/>
      <c r="AF999" t="str">
        <v>Nikki.Dix@floridadep.gov</v>
      </c>
      <c r="AG999" s="18"/>
    </row>
    <row r="1000" spans="1:33" ht="12.75">
      <c r="A1000" s="10">
        <f ca="1">IFERROR(__xludf.DUMMYFUNCTION("""COMPUTED_VALUE"""),44984.3431888541)</f>
        <v>44984.343188854102</v>
      </c>
      <c r="B1000" s="11" t="str">
        <f ca="1">IFERROR(__xludf.DUMMYFUNCTION("""COMPUTED_VALUE"""),"Silas Tanner")</f>
        <v>Silas Tanner</v>
      </c>
      <c r="C1000" t="str">
        <f ca="1">IFERROR(__xludf.DUMMYFUNCTION("""COMPUTED_VALUE"""),"silas.tanner@floridadep.gov")</f>
        <v>silas.tanner@floridadep.gov</v>
      </c>
      <c r="D1000" t="str">
        <f ca="1">IFERROR(__xludf.DUMMYFUNCTION("""COMPUTED_VALUE"""),"Nikki Dix")</f>
        <v>Nikki Dix</v>
      </c>
      <c r="E1000" t="str">
        <f ca="1">IFERROR(__xludf.DUMMYFUNCTION("""COMPUTED_VALUE"""),"Usina boat ramp")</f>
        <v>Usina boat ramp</v>
      </c>
      <c r="F1000" s="13">
        <f ca="1">IFERROR(__xludf.DUMMYFUNCTION("""COMPUTED_VALUE"""),0.354166666667879)</f>
        <v>0.35416666666787899</v>
      </c>
      <c r="G1000" s="14">
        <f ca="1">IFERROR(__xludf.DUMMYFUNCTION("""COMPUTED_VALUE"""),44984)</f>
        <v>44984</v>
      </c>
      <c r="H1000" t="str">
        <f ca="1">IFERROR(__xludf.DUMMYFUNCTION("""COMPUTED_VALUE"""),"ICW Roots and Rakes sites ")</f>
        <v xml:space="preserve">ICW Roots and Rakes sites </v>
      </c>
      <c r="I1000" s="15">
        <f ca="1">IFERROR(__xludf.DUMMYFUNCTION("""COMPUTED_VALUE"""),0.59375)</f>
        <v>0.59375</v>
      </c>
      <c r="J1000" s="16">
        <f ca="1">IFERROR(__xludf.DUMMYFUNCTION("""COMPUTED_VALUE"""),44984.7291666666)</f>
        <v>44984.729166666599</v>
      </c>
      <c r="K1000" t="str">
        <f ca="1">IFERROR(__xludf.DUMMYFUNCTION("""COMPUTED_VALUE"""),"20ft Sea Ark FL5351SJ UNF 2015")</f>
        <v>20ft Sea Ark FL5351SJ UNF 2015</v>
      </c>
      <c r="M1000" t="str">
        <f ca="1">IFERROR(__xludf.DUMMYFUNCTION("""COMPUTED_VALUE"""),"Ford F250 2017 (Moby Dix) - DEP0021578")</f>
        <v>Ford F250 2017 (Moby Dix) - DEP0021578</v>
      </c>
      <c r="N1000" t="str">
        <f ca="1">IFERROR(__xludf.DUMMYFUNCTION("""COMPUTED_VALUE"""),"Silas Tanner, (904) 483-8423")</f>
        <v>Silas Tanner, (904) 483-8423</v>
      </c>
      <c r="O1000" t="str">
        <f ca="1">IFERROR(__xludf.DUMMYFUNCTION("""COMPUTED_VALUE"""),"Lisa Chambers, Sara Gay")</f>
        <v>Lisa Chambers, Sara Gay</v>
      </c>
      <c r="P1000" t="str">
        <f ca="1">IFERROR(__xludf.DUMMYFUNCTION("""COMPUTED_VALUE"""),"Silas Tanner")</f>
        <v>Silas Tanner</v>
      </c>
      <c r="AE1000" s="11"/>
      <c r="AF1000" t="str">
        <v>Nikki.Dix@floridadep.gov</v>
      </c>
      <c r="AG1000" s="18"/>
    </row>
    <row r="1001" spans="1:33" ht="12.75">
      <c r="A1001" s="10">
        <f ca="1">IFERROR(__xludf.DUMMYFUNCTION("""COMPUTED_VALUE"""),44985.3042100463)</f>
        <v>44985.304210046299</v>
      </c>
      <c r="B1001" s="11" t="str">
        <f ca="1">IFERROR(__xludf.DUMMYFUNCTION("""COMPUTED_VALUE"""),"Jimmy")</f>
        <v>Jimmy</v>
      </c>
      <c r="C1001" t="str">
        <f ca="1">IFERROR(__xludf.DUMMYFUNCTION("""COMPUTED_VALUE"""),"james.tomazinis@floridadep.gov")</f>
        <v>james.tomazinis@floridadep.gov</v>
      </c>
      <c r="D1001" t="str">
        <f ca="1">IFERROR(__xludf.DUMMYFUNCTION("""COMPUTED_VALUE"""),"Scott Eastman")</f>
        <v>Scott Eastman</v>
      </c>
      <c r="E1001" t="str">
        <f ca="1">IFERROR(__xludf.DUMMYFUNCTION("""COMPUTED_VALUE"""),"Melton Nelson")</f>
        <v>Melton Nelson</v>
      </c>
      <c r="F1001" s="13">
        <f ca="1">IFERROR(__xludf.DUMMYFUNCTION("""COMPUTED_VALUE"""),0.95833333333212)</f>
        <v>0.95833333333212001</v>
      </c>
      <c r="G1001" s="14">
        <f ca="1">IFERROR(__xludf.DUMMYFUNCTION("""COMPUTED_VALUE"""),44985)</f>
        <v>44985</v>
      </c>
      <c r="H1001" t="str">
        <f ca="1">IFERROR(__xludf.DUMMYFUNCTION("""COMPUTED_VALUE"""),"Lofton Creek")</f>
        <v>Lofton Creek</v>
      </c>
      <c r="I1001" s="15">
        <f ca="1">IFERROR(__xludf.DUMMYFUNCTION("""COMPUTED_VALUE"""),0.666666666667879)</f>
        <v>0.66666666666787899</v>
      </c>
      <c r="J1001" s="16"/>
      <c r="K1001" t="str">
        <f ca="1">IFERROR(__xludf.DUMMYFUNCTION("""COMPUTED_VALUE"""),"F 20ft Sea Ark (Easy 200) FL8534PY DEP21451")</f>
        <v>F 20ft Sea Ark (Easy 200) FL8534PY DEP21451</v>
      </c>
      <c r="M1001" t="str">
        <f ca="1">IFERROR(__xludf.DUMMYFUNCTION("""COMPUTED_VALUE"""),"2022 NEAP F150")</f>
        <v>2022 NEAP F150</v>
      </c>
      <c r="N1001" t="str">
        <f ca="1">IFERROR(__xludf.DUMMYFUNCTION("""COMPUTED_VALUE"""),"Jimmy Tomazinis, (904) 547-0094")</f>
        <v>Jimmy Tomazinis, (904) 547-0094</v>
      </c>
      <c r="O1001" t="str">
        <f ca="1">IFERROR(__xludf.DUMMYFUNCTION("""COMPUTED_VALUE"""),"Chirs Kurtz")</f>
        <v>Chirs Kurtz</v>
      </c>
      <c r="P1001" t="str">
        <f ca="1">IFERROR(__xludf.DUMMYFUNCTION("""COMPUTED_VALUE"""),"Jimmy")</f>
        <v>Jimmy</v>
      </c>
      <c r="AE1001" s="11"/>
      <c r="AF1001" t="str">
        <v>Scott.Eastman@floridadep.gov</v>
      </c>
      <c r="AG1001" s="18"/>
    </row>
    <row r="1002" spans="1:33" ht="12.75">
      <c r="A1002" s="10">
        <f ca="1">IFERROR(__xludf.DUMMYFUNCTION("""COMPUTED_VALUE"""),44985.3759200115)</f>
        <v>44985.375920011502</v>
      </c>
      <c r="B1002" s="11" t="str">
        <f ca="1">IFERROR(__xludf.DUMMYFUNCTION("""COMPUTED_VALUE"""),"Jacob Berna")</f>
        <v>Jacob Berna</v>
      </c>
      <c r="C1002" t="str">
        <f ca="1">IFERROR(__xludf.DUMMYFUNCTION("""COMPUTED_VALUE"""),"Jacob.Berna@FloridaDEP.gov")</f>
        <v>Jacob.Berna@FloridaDEP.gov</v>
      </c>
      <c r="D1002" t="str">
        <f ca="1">IFERROR(__xludf.DUMMYFUNCTION("""COMPUTED_VALUE"""),"Nikki Dix")</f>
        <v>Nikki Dix</v>
      </c>
      <c r="E1002" t="str">
        <f ca="1">IFERROR(__xludf.DUMMYFUNCTION("""COMPUTED_VALUE"""),"Butler")</f>
        <v>Butler</v>
      </c>
      <c r="F1002" s="13">
        <f ca="1">IFERROR(__xludf.DUMMYFUNCTION("""COMPUTED_VALUE"""),0.375)</f>
        <v>0.375</v>
      </c>
      <c r="G1002" s="14">
        <f ca="1">IFERROR(__xludf.DUMMYFUNCTION("""COMPUTED_VALUE"""),44985)</f>
        <v>44985</v>
      </c>
      <c r="H1002" t="str">
        <f ca="1">IFERROR(__xludf.DUMMYFUNCTION("""COMPUTED_VALUE"""),"Butler Reefs")</f>
        <v>Butler Reefs</v>
      </c>
      <c r="I1002" s="15">
        <f ca="1">IFERROR(__xludf.DUMMYFUNCTION("""COMPUTED_VALUE"""),0.5625)</f>
        <v>0.5625</v>
      </c>
      <c r="J1002" s="16">
        <f ca="1">IFERROR(__xludf.DUMMYFUNCTION("""COMPUTED_VALUE"""),44985.6041666666)</f>
        <v>44985.604166666599</v>
      </c>
      <c r="K1002" t="str">
        <f ca="1">IFERROR(__xludf.DUMMYFUNCTION("""COMPUTED_VALUE"""),"23ft Skiff (Bertha) FL7972LJ DEP07613")</f>
        <v>23ft Skiff (Bertha) FL7972LJ DEP07613</v>
      </c>
      <c r="M1002" t="str">
        <f ca="1">IFERROR(__xludf.DUMMYFUNCTION("""COMPUTED_VALUE"""),"Ford F150 2015 (White) - DEP21448")</f>
        <v>Ford F150 2015 (White) - DEP21448</v>
      </c>
      <c r="N1002" t="str">
        <f ca="1">IFERROR(__xludf.DUMMYFUNCTION("""COMPUTED_VALUE"""),"Jacob Berna")</f>
        <v>Jacob Berna</v>
      </c>
      <c r="O1002" t="str">
        <f ca="1">IFERROR(__xludf.DUMMYFUNCTION("""COMPUTED_VALUE"""),"Alee, Alyah, Jeff, Mike, Remo, nathan")</f>
        <v>Alee, Alyah, Jeff, Mike, Remo, nathan</v>
      </c>
      <c r="P1002" t="str">
        <f ca="1">IFERROR(__xludf.DUMMYFUNCTION("""COMPUTED_VALUE"""),"Jacob Berna")</f>
        <v>Jacob Berna</v>
      </c>
      <c r="AE1002" s="11"/>
      <c r="AF1002" t="str">
        <v>Nikki.Dix@floridadep.gov</v>
      </c>
      <c r="AG1002" s="18"/>
    </row>
    <row r="1003" spans="1:33" ht="12.75">
      <c r="A1003" s="10">
        <f ca="1">IFERROR(__xludf.DUMMYFUNCTION("""COMPUTED_VALUE"""),44986.4203542824)</f>
        <v>44986.420354282403</v>
      </c>
      <c r="B1003" s="11" t="str">
        <f ca="1">IFERROR(__xludf.DUMMYFUNCTION("""COMPUTED_VALUE"""),"Jacob Berna")</f>
        <v>Jacob Berna</v>
      </c>
      <c r="C1003" t="str">
        <f ca="1">IFERROR(__xludf.DUMMYFUNCTION("""COMPUTED_VALUE"""),"Jacob.Berna@FloridaDEP.gov")</f>
        <v>Jacob.Berna@FloridaDEP.gov</v>
      </c>
      <c r="D1003" t="str">
        <f ca="1">IFERROR(__xludf.DUMMYFUNCTION("""COMPUTED_VALUE"""),"Nikki Dix")</f>
        <v>Nikki Dix</v>
      </c>
      <c r="E1003" t="str">
        <f ca="1">IFERROR(__xludf.DUMMYFUNCTION("""COMPUTED_VALUE"""),"Butler")</f>
        <v>Butler</v>
      </c>
      <c r="F1003" s="13">
        <f ca="1">IFERROR(__xludf.DUMMYFUNCTION("""COMPUTED_VALUE"""),0.416666666667879)</f>
        <v>0.41666666666787899</v>
      </c>
      <c r="G1003" s="14">
        <f ca="1">IFERROR(__xludf.DUMMYFUNCTION("""COMPUTED_VALUE"""),44986)</f>
        <v>44986</v>
      </c>
      <c r="H1003" t="str">
        <f ca="1">IFERROR(__xludf.DUMMYFUNCTION("""COMPUTED_VALUE"""),"Butler Reefs")</f>
        <v>Butler Reefs</v>
      </c>
      <c r="I1003" s="15">
        <f ca="1">IFERROR(__xludf.DUMMYFUNCTION("""COMPUTED_VALUE"""),0.604166666667879)</f>
        <v>0.60416666666787899</v>
      </c>
      <c r="J1003" s="16">
        <f ca="1">IFERROR(__xludf.DUMMYFUNCTION("""COMPUTED_VALUE"""),44986.6458333333)</f>
        <v>44986.645833333299</v>
      </c>
      <c r="K1003" t="str">
        <f ca="1">IFERROR(__xludf.DUMMYFUNCTION("""COMPUTED_VALUE"""),"23ft Skiff (Bertha) FL7972LJ DEP07613")</f>
        <v>23ft Skiff (Bertha) FL7972LJ DEP07613</v>
      </c>
      <c r="M1003" t="str">
        <f ca="1">IFERROR(__xludf.DUMMYFUNCTION("""COMPUTED_VALUE"""),"Ford F150 2015 (White) - DEP21448")</f>
        <v>Ford F150 2015 (White) - DEP21448</v>
      </c>
      <c r="N1003" t="str">
        <f ca="1">IFERROR(__xludf.DUMMYFUNCTION("""COMPUTED_VALUE"""),"Jacob Berna")</f>
        <v>Jacob Berna</v>
      </c>
      <c r="O1003" t="str">
        <f ca="1">IFERROR(__xludf.DUMMYFUNCTION("""COMPUTED_VALUE"""),"Alee, Jeff, Mike, Spencer")</f>
        <v>Alee, Jeff, Mike, Spencer</v>
      </c>
      <c r="P1003" t="str">
        <f ca="1">IFERROR(__xludf.DUMMYFUNCTION("""COMPUTED_VALUE"""),"Jacob Berna")</f>
        <v>Jacob Berna</v>
      </c>
      <c r="AE1003" s="11"/>
      <c r="AF1003" t="str">
        <v>Nikki.Dix@floridadep.gov</v>
      </c>
      <c r="AG1003" s="18"/>
    </row>
    <row r="1004" spans="1:33" ht="12.75">
      <c r="A1004" s="10">
        <f ca="1">IFERROR(__xludf.DUMMYFUNCTION("""COMPUTED_VALUE"""),44991.2877051273)</f>
        <v>44991.287705127303</v>
      </c>
      <c r="B1004" s="11" t="str">
        <f ca="1">IFERROR(__xludf.DUMMYFUNCTION("""COMPUTED_VALUE"""),"Jimmy")</f>
        <v>Jimmy</v>
      </c>
      <c r="C1004" t="str">
        <f ca="1">IFERROR(__xludf.DUMMYFUNCTION("""COMPUTED_VALUE"""),"james.tomazinis@floridadep.gov")</f>
        <v>james.tomazinis@floridadep.gov</v>
      </c>
      <c r="D1004" t="str">
        <f ca="1">IFERROR(__xludf.DUMMYFUNCTION("""COMPUTED_VALUE"""),"Scott Eastman")</f>
        <v>Scott Eastman</v>
      </c>
      <c r="E1004" t="str">
        <f ca="1">IFERROR(__xludf.DUMMYFUNCTION("""COMPUTED_VALUE"""),"Guana Dam")</f>
        <v>Guana Dam</v>
      </c>
      <c r="F1004" s="13">
        <f ca="1">IFERROR(__xludf.DUMMYFUNCTION("""COMPUTED_VALUE"""),0.354166666667879)</f>
        <v>0.35416666666787899</v>
      </c>
      <c r="G1004" s="14">
        <f ca="1">IFERROR(__xludf.DUMMYFUNCTION("""COMPUTED_VALUE"""),44991)</f>
        <v>44991</v>
      </c>
      <c r="H1004" t="str">
        <f ca="1">IFERROR(__xludf.DUMMYFUNCTION("""COMPUTED_VALUE"""),"Guana River WQ sites")</f>
        <v>Guana River WQ sites</v>
      </c>
      <c r="I1004" s="15">
        <f ca="1">IFERROR(__xludf.DUMMYFUNCTION("""COMPUTED_VALUE"""),0.39583333333212)</f>
        <v>0.39583333333212001</v>
      </c>
      <c r="J1004" s="16"/>
      <c r="K1004" t="str">
        <f ca="1">IFERROR(__xludf.DUMMYFUNCTION("""COMPUTED_VALUE"""),"Jon Boat 1 FL5992RR DEP154045")</f>
        <v>Jon Boat 1 FL5992RR DEP154045</v>
      </c>
      <c r="M1004" t="str">
        <f ca="1">IFERROR(__xludf.DUMMYFUNCTION("""COMPUTED_VALUE"""),"Ford F150 2015 (White) - DEP21448")</f>
        <v>Ford F150 2015 (White) - DEP21448</v>
      </c>
      <c r="N1004" t="str">
        <f ca="1">IFERROR(__xludf.DUMMYFUNCTION("""COMPUTED_VALUE"""),"Jimmy Tomazinis, (904) 547-0094")</f>
        <v>Jimmy Tomazinis, (904) 547-0094</v>
      </c>
      <c r="O1004" t="str">
        <f ca="1">IFERROR(__xludf.DUMMYFUNCTION("""COMPUTED_VALUE"""),"Nicole")</f>
        <v>Nicole</v>
      </c>
      <c r="P1004" t="str">
        <f ca="1">IFERROR(__xludf.DUMMYFUNCTION("""COMPUTED_VALUE"""),"Jimmy")</f>
        <v>Jimmy</v>
      </c>
      <c r="AE1004" s="11"/>
      <c r="AF1004" t="str">
        <v>Scott.Eastman@floridadep.gov</v>
      </c>
      <c r="AG1004" s="18"/>
    </row>
    <row r="1005" spans="1:33" ht="12.75">
      <c r="A1005" s="10">
        <f ca="1">IFERROR(__xludf.DUMMYFUNCTION("""COMPUTED_VALUE"""),44991.5713266087)</f>
        <v>44991.571326608697</v>
      </c>
      <c r="B1005" s="11" t="str">
        <f ca="1">IFERROR(__xludf.DUMMYFUNCTION("""COMPUTED_VALUE"""),"Silas Tanner")</f>
        <v>Silas Tanner</v>
      </c>
      <c r="C1005" t="str">
        <f ca="1">IFERROR(__xludf.DUMMYFUNCTION("""COMPUTED_VALUE"""),"silas.tanner@floridadep.gov")</f>
        <v>silas.tanner@floridadep.gov</v>
      </c>
      <c r="D1005" t="str">
        <f ca="1">IFERROR(__xludf.DUMMYFUNCTION("""COMPUTED_VALUE"""),"Nikki Dix")</f>
        <v>Nikki Dix</v>
      </c>
      <c r="E1005" t="str">
        <f ca="1">IFERROR(__xludf.DUMMYFUNCTION("""COMPUTED_VALUE"""),"Vilano Landing")</f>
        <v>Vilano Landing</v>
      </c>
      <c r="F1005" s="13">
        <f ca="1">IFERROR(__xludf.DUMMYFUNCTION("""COMPUTED_VALUE"""),0.322916666667879)</f>
        <v>0.32291666666787899</v>
      </c>
      <c r="G1005" s="14">
        <f ca="1">IFERROR(__xludf.DUMMYFUNCTION("""COMPUTED_VALUE"""),44992)</f>
        <v>44992</v>
      </c>
      <c r="H1005" t="str">
        <f ca="1">IFERROR(__xludf.DUMMYFUNCTION("""COMPUTED_VALUE"""),"ICW SWMP sites")</f>
        <v>ICW SWMP sites</v>
      </c>
      <c r="I1005" s="15">
        <f ca="1">IFERROR(__xludf.DUMMYFUNCTION("""COMPUTED_VALUE"""),0.5625)</f>
        <v>0.5625</v>
      </c>
      <c r="J1005" s="16">
        <f ca="1">IFERROR(__xludf.DUMMYFUNCTION("""COMPUTED_VALUE"""),44992.5833333333)</f>
        <v>44992.583333333299</v>
      </c>
      <c r="K1005" t="str">
        <f ca="1">IFERROR(__xludf.DUMMYFUNCTION("""COMPUTED_VALUE"""),"F 20ft Sea Ark (Easy 200) FL8534PY DEP21451")</f>
        <v>F 20ft Sea Ark (Easy 200) FL8534PY DEP21451</v>
      </c>
      <c r="M1005" t="str">
        <f ca="1">IFERROR(__xludf.DUMMYFUNCTION("""COMPUTED_VALUE"""),"Ford F250 2017 (Moby Dix) - DEP0021578")</f>
        <v>Ford F250 2017 (Moby Dix) - DEP0021578</v>
      </c>
      <c r="N1005" t="str">
        <f ca="1">IFERROR(__xludf.DUMMYFUNCTION("""COMPUTED_VALUE"""),"Silas Tanner, (904) 483-8423, Alee Knoell")</f>
        <v>Silas Tanner, (904) 483-8423, Alee Knoell</v>
      </c>
      <c r="P1005" t="str">
        <f ca="1">IFERROR(__xludf.DUMMYFUNCTION("""COMPUTED_VALUE"""),"Silas Tanner")</f>
        <v>Silas Tanner</v>
      </c>
      <c r="AE1005" s="11"/>
      <c r="AF1005" t="str">
        <v>Nikki.Dix@floridadep.gov</v>
      </c>
      <c r="AG1005" s="18"/>
    </row>
    <row r="1006" spans="1:33" ht="12.75">
      <c r="A1006" s="10">
        <f ca="1">IFERROR(__xludf.DUMMYFUNCTION("""COMPUTED_VALUE"""),44993.2810256597)</f>
        <v>44993.2810256597</v>
      </c>
      <c r="B1006" s="11" t="str">
        <f ca="1">IFERROR(__xludf.DUMMYFUNCTION("""COMPUTED_VALUE"""),"Jimmy")</f>
        <v>Jimmy</v>
      </c>
      <c r="C1006" t="str">
        <f ca="1">IFERROR(__xludf.DUMMYFUNCTION("""COMPUTED_VALUE"""),"james.tomazinis@floridadeo.gov")</f>
        <v>james.tomazinis@floridadeo.gov</v>
      </c>
      <c r="D1006" t="str">
        <f ca="1">IFERROR(__xludf.DUMMYFUNCTION("""COMPUTED_VALUE"""),"Scott Eastman")</f>
        <v>Scott Eastman</v>
      </c>
      <c r="E1006" t="str">
        <f ca="1">IFERROR(__xludf.DUMMYFUNCTION("""COMPUTED_VALUE"""),"Holly Point and Dee Dee Bartels")</f>
        <v>Holly Point and Dee Dee Bartels</v>
      </c>
      <c r="F1006" s="13">
        <f ca="1">IFERROR(__xludf.DUMMYFUNCTION("""COMPUTED_VALUE"""),0.416666666667879)</f>
        <v>0.41666666666787899</v>
      </c>
      <c r="G1006" s="14">
        <f ca="1">IFERROR(__xludf.DUMMYFUNCTION("""COMPUTED_VALUE"""),44993)</f>
        <v>44993</v>
      </c>
      <c r="H1006" t="str">
        <f ca="1">IFERROR(__xludf.DUMMYFUNCTION("""COMPUTED_VALUE"""),"NEAP WQ sites")</f>
        <v>NEAP WQ sites</v>
      </c>
      <c r="I1006" s="15">
        <f ca="1">IFERROR(__xludf.DUMMYFUNCTION("""COMPUTED_VALUE"""),0.58333333333212)</f>
        <v>0.58333333333212001</v>
      </c>
      <c r="J1006" s="16"/>
      <c r="K1006" t="str">
        <f ca="1">IFERROR(__xludf.DUMMYFUNCTION("""COMPUTED_VALUE"""),"F 20ft Sea Ark (Easy 200) FL8534PY DEP21451")</f>
        <v>F 20ft Sea Ark (Easy 200) FL8534PY DEP21451</v>
      </c>
      <c r="M1006" t="str">
        <f ca="1">IFERROR(__xludf.DUMMYFUNCTION("""COMPUTED_VALUE"""),"2022 NEAP Truck")</f>
        <v>2022 NEAP Truck</v>
      </c>
      <c r="N1006" t="str">
        <f ca="1">IFERROR(__xludf.DUMMYFUNCTION("""COMPUTED_VALUE"""),"Jimmy Tomazinis, (904) 547-0094")</f>
        <v>Jimmy Tomazinis, (904) 547-0094</v>
      </c>
      <c r="O1006" t="str">
        <f ca="1">IFERROR(__xludf.DUMMYFUNCTION("""COMPUTED_VALUE"""),"Chirs Kurtz")</f>
        <v>Chirs Kurtz</v>
      </c>
      <c r="P1006" t="str">
        <f ca="1">IFERROR(__xludf.DUMMYFUNCTION("""COMPUTED_VALUE"""),"Jimmy")</f>
        <v>Jimmy</v>
      </c>
      <c r="AE1006" s="11"/>
      <c r="AF1006" t="str">
        <v>Scott.Eastman@floridadep.gov</v>
      </c>
      <c r="AG1006" s="18"/>
    </row>
    <row r="1007" spans="1:33" ht="12.75">
      <c r="A1007" s="10">
        <f ca="1">IFERROR(__xludf.DUMMYFUNCTION("""COMPUTED_VALUE"""),45002.4339991666)</f>
        <v>45002.433999166598</v>
      </c>
      <c r="B1007" s="11" t="str">
        <f ca="1">IFERROR(__xludf.DUMMYFUNCTION("""COMPUTED_VALUE"""),"Jacob Berna")</f>
        <v>Jacob Berna</v>
      </c>
      <c r="C1007" t="str">
        <f ca="1">IFERROR(__xludf.DUMMYFUNCTION("""COMPUTED_VALUE"""),"Jacob.Berna@FloridaDEP.gov")</f>
        <v>Jacob.Berna@FloridaDEP.gov</v>
      </c>
      <c r="D1007" t="str">
        <f ca="1">IFERROR(__xludf.DUMMYFUNCTION("""COMPUTED_VALUE"""),"Blythe Odzinski")</f>
        <v>Blythe Odzinski</v>
      </c>
      <c r="E1007" t="str">
        <f ca="1">IFERROR(__xludf.DUMMYFUNCTION("""COMPUTED_VALUE"""),"16 bridge ")</f>
        <v xml:space="preserve">16 bridge </v>
      </c>
      <c r="F1007" s="13">
        <f ca="1">IFERROR(__xludf.DUMMYFUNCTION("""COMPUTED_VALUE"""),0.4375)</f>
        <v>0.4375</v>
      </c>
      <c r="G1007" s="14">
        <f ca="1">IFERROR(__xludf.DUMMYFUNCTION("""COMPUTED_VALUE"""),45002)</f>
        <v>45002</v>
      </c>
      <c r="H1007" t="str">
        <f ca="1">IFERROR(__xludf.DUMMYFUNCTION("""COMPUTED_VALUE"""),"San Sebastian reefs")</f>
        <v>San Sebastian reefs</v>
      </c>
      <c r="I1007" s="15">
        <f ca="1">IFERROR(__xludf.DUMMYFUNCTION("""COMPUTED_VALUE"""),0.604166666667879)</f>
        <v>0.60416666666787899</v>
      </c>
      <c r="J1007" s="16">
        <f ca="1">IFERROR(__xludf.DUMMYFUNCTION("""COMPUTED_VALUE"""),45002.625)</f>
        <v>45002.625</v>
      </c>
      <c r="K1007" t="str">
        <f ca="1">IFERROR(__xludf.DUMMYFUNCTION("""COMPUTED_VALUE"""),"Kayak(s)")</f>
        <v>Kayak(s)</v>
      </c>
      <c r="L1007">
        <f ca="1">IFERROR(__xludf.DUMMYFUNCTION("""COMPUTED_VALUE"""),2)</f>
        <v>2</v>
      </c>
      <c r="M1007" t="str">
        <f ca="1">IFERROR(__xludf.DUMMYFUNCTION("""COMPUTED_VALUE"""),"Ford F250 2017 (Moby Dix) - DEP0021578")</f>
        <v>Ford F250 2017 (Moby Dix) - DEP0021578</v>
      </c>
      <c r="N1007" t="str">
        <f ca="1">IFERROR(__xludf.DUMMYFUNCTION("""COMPUTED_VALUE"""),"Jacob Berna, Alee")</f>
        <v>Jacob Berna, Alee</v>
      </c>
      <c r="O1007" t="str">
        <f ca="1">IFERROR(__xludf.DUMMYFUNCTION("""COMPUTED_VALUE"""),"Alyah")</f>
        <v>Alyah</v>
      </c>
      <c r="P1007" t="str">
        <f ca="1">IFERROR(__xludf.DUMMYFUNCTION("""COMPUTED_VALUE"""),"Jacob Berna")</f>
        <v>Jacob Berna</v>
      </c>
      <c r="AE1007" s="11"/>
      <c r="AF1007" t="str">
        <v/>
      </c>
      <c r="AG1007" s="18"/>
    </row>
    <row r="1008" spans="1:33" ht="12.75">
      <c r="A1008" s="10">
        <f ca="1">IFERROR(__xludf.DUMMYFUNCTION("""COMPUTED_VALUE"""),45005.5666439004)</f>
        <v>45005.566643900398</v>
      </c>
      <c r="B1008" s="11" t="str">
        <f ca="1">IFERROR(__xludf.DUMMYFUNCTION("""COMPUTED_VALUE"""),"Jacob Berna")</f>
        <v>Jacob Berna</v>
      </c>
      <c r="C1008" t="str">
        <f ca="1">IFERROR(__xludf.DUMMYFUNCTION("""COMPUTED_VALUE"""),"Jacob.Berna@FloridaDEP.gov")</f>
        <v>Jacob.Berna@FloridaDEP.gov</v>
      </c>
      <c r="D1008" t="str">
        <f ca="1">IFERROR(__xludf.DUMMYFUNCTION("""COMPUTED_VALUE"""),"Nikki Dix")</f>
        <v>Nikki Dix</v>
      </c>
      <c r="E1008" t="str">
        <f ca="1">IFERROR(__xludf.DUMMYFUNCTION("""COMPUTED_VALUE"""),"16 bridge")</f>
        <v>16 bridge</v>
      </c>
      <c r="F1008" s="13">
        <f ca="1">IFERROR(__xludf.DUMMYFUNCTION("""COMPUTED_VALUE"""),0.5625)</f>
        <v>0.5625</v>
      </c>
      <c r="G1008" s="14">
        <f ca="1">IFERROR(__xludf.DUMMYFUNCTION("""COMPUTED_VALUE"""),45005)</f>
        <v>45005</v>
      </c>
      <c r="H1008" t="str">
        <f ca="1">IFERROR(__xludf.DUMMYFUNCTION("""COMPUTED_VALUE"""),"San Sebastian reefs")</f>
        <v>San Sebastian reefs</v>
      </c>
      <c r="I1008" s="15">
        <f ca="1">IFERROR(__xludf.DUMMYFUNCTION("""COMPUTED_VALUE"""),0.666666666667879)</f>
        <v>0.66666666666787899</v>
      </c>
      <c r="J1008" s="16">
        <f ca="1">IFERROR(__xludf.DUMMYFUNCTION("""COMPUTED_VALUE"""),45005.6875)</f>
        <v>45005.6875</v>
      </c>
      <c r="K1008" t="str">
        <f ca="1">IFERROR(__xludf.DUMMYFUNCTION("""COMPUTED_VALUE"""),"Kayak(s)")</f>
        <v>Kayak(s)</v>
      </c>
      <c r="L1008">
        <f ca="1">IFERROR(__xludf.DUMMYFUNCTION("""COMPUTED_VALUE"""),2)</f>
        <v>2</v>
      </c>
      <c r="M1008" t="str">
        <f ca="1">IFERROR(__xludf.DUMMYFUNCTION("""COMPUTED_VALUE"""),"Ford F250 2017 (Moby Dix) - DEP0021578")</f>
        <v>Ford F250 2017 (Moby Dix) - DEP0021578</v>
      </c>
      <c r="N1008" t="str">
        <f ca="1">IFERROR(__xludf.DUMMYFUNCTION("""COMPUTED_VALUE"""),"Jacob Berna, Alee Knoell")</f>
        <v>Jacob Berna, Alee Knoell</v>
      </c>
      <c r="P1008" t="str">
        <f ca="1">IFERROR(__xludf.DUMMYFUNCTION("""COMPUTED_VALUE"""),"Jacob Berna")</f>
        <v>Jacob Berna</v>
      </c>
      <c r="AE1008" s="11"/>
      <c r="AF1008" t="str">
        <v>Nikki.Dix@floridadep.gov</v>
      </c>
      <c r="AG1008" s="18"/>
    </row>
    <row r="1009" spans="1:34" ht="12.75">
      <c r="A1009" s="10">
        <f ca="1">IFERROR(__xludf.DUMMYFUNCTION("""COMPUTED_VALUE"""),45007.409806956)</f>
        <v>45007.409806955999</v>
      </c>
      <c r="B1009" s="11" t="str">
        <f ca="1">IFERROR(__xludf.DUMMYFUNCTION("""COMPUTED_VALUE"""),"Silas Tanner")</f>
        <v>Silas Tanner</v>
      </c>
      <c r="C1009" t="str">
        <f ca="1">IFERROR(__xludf.DUMMYFUNCTION("""COMPUTED_VALUE"""),"silas.tanner@floridadep.gov")</f>
        <v>silas.tanner@floridadep.gov</v>
      </c>
      <c r="D1009" t="str">
        <f ca="1">IFERROR(__xludf.DUMMYFUNCTION("""COMPUTED_VALUE"""),"Shannon Dunnigan")</f>
        <v>Shannon Dunnigan</v>
      </c>
      <c r="E1009" t="str">
        <f ca="1">IFERROR(__xludf.DUMMYFUNCTION("""COMPUTED_VALUE"""),"Vilano Landing")</f>
        <v>Vilano Landing</v>
      </c>
      <c r="F1009" s="13">
        <f ca="1">IFERROR(__xludf.DUMMYFUNCTION("""COMPUTED_VALUE"""),0.46875)</f>
        <v>0.46875</v>
      </c>
      <c r="G1009" s="14">
        <f ca="1">IFERROR(__xludf.DUMMYFUNCTION("""COMPUTED_VALUE"""),45007)</f>
        <v>45007</v>
      </c>
      <c r="H1009" t="str">
        <f ca="1">IFERROR(__xludf.DUMMYFUNCTION("""COMPUTED_VALUE"""),"ICW SWMP sites")</f>
        <v>ICW SWMP sites</v>
      </c>
      <c r="I1009" s="15">
        <f ca="1">IFERROR(__xludf.DUMMYFUNCTION("""COMPUTED_VALUE"""),0.65625)</f>
        <v>0.65625</v>
      </c>
      <c r="J1009" s="16">
        <f ca="1">IFERROR(__xludf.DUMMYFUNCTION("""COMPUTED_VALUE"""),45007.6666666666)</f>
        <v>45007.666666666599</v>
      </c>
      <c r="K1009" t="str">
        <f ca="1">IFERROR(__xludf.DUMMYFUNCTION("""COMPUTED_VALUE"""),"F 20ft Sea Ark (Easy 200) FL8534PY DEP21451")</f>
        <v>F 20ft Sea Ark (Easy 200) FL8534PY DEP21451</v>
      </c>
      <c r="M1009" t="str">
        <f ca="1">IFERROR(__xludf.DUMMYFUNCTION("""COMPUTED_VALUE"""),"Ford F250 2017 (Moby Dix) - DEP0021578")</f>
        <v>Ford F250 2017 (Moby Dix) - DEP0021578</v>
      </c>
      <c r="N1009" t="str">
        <f ca="1">IFERROR(__xludf.DUMMYFUNCTION("""COMPUTED_VALUE"""),"Silas Tanner, (904) 483-8423, Alee Kneoll")</f>
        <v>Silas Tanner, (904) 483-8423, Alee Kneoll</v>
      </c>
      <c r="P1009" t="str">
        <f ca="1">IFERROR(__xludf.DUMMYFUNCTION("""COMPUTED_VALUE"""),"Silas Tanner")</f>
        <v>Silas Tanner</v>
      </c>
      <c r="AE1009" s="11"/>
      <c r="AF1009" t="str">
        <v>Shannon.Dunnigan@floridadep.gov</v>
      </c>
      <c r="AG1009" s="18"/>
    </row>
    <row r="1010" spans="1:34" ht="12.75">
      <c r="A1010" s="10">
        <f ca="1">IFERROR(__xludf.DUMMYFUNCTION("""COMPUTED_VALUE"""),45019.3326522106)</f>
        <v>45019.3326522106</v>
      </c>
      <c r="B1010" s="11" t="str">
        <f ca="1">IFERROR(__xludf.DUMMYFUNCTION("""COMPUTED_VALUE"""),"Jessica Lee")</f>
        <v>Jessica Lee</v>
      </c>
      <c r="C1010" t="str">
        <f ca="1">IFERROR(__xludf.DUMMYFUNCTION("""COMPUTED_VALUE"""),"jessica.lee@floridadep.gov")</f>
        <v>jessica.lee@floridadep.gov</v>
      </c>
      <c r="D1010" t="str">
        <f ca="1">IFERROR(__xludf.DUMMYFUNCTION("""COMPUTED_VALUE"""),"Nikki Dix")</f>
        <v>Nikki Dix</v>
      </c>
      <c r="E1010" t="str">
        <f ca="1">IFERROR(__xludf.DUMMYFUNCTION("""COMPUTED_VALUE"""),"Guana River")</f>
        <v>Guana River</v>
      </c>
      <c r="F1010" s="13">
        <f ca="1">IFERROR(__xludf.DUMMYFUNCTION("""COMPUTED_VALUE"""),0.34375)</f>
        <v>0.34375</v>
      </c>
      <c r="G1010" s="14">
        <f ca="1">IFERROR(__xludf.DUMMYFUNCTION("""COMPUTED_VALUE"""),45019)</f>
        <v>45019</v>
      </c>
      <c r="H1010" t="str">
        <f ca="1">IFERROR(__xludf.DUMMYFUNCTION("""COMPUTED_VALUE"""),"Guana River")</f>
        <v>Guana River</v>
      </c>
      <c r="I1010" s="15">
        <f ca="1">IFERROR(__xludf.DUMMYFUNCTION("""COMPUTED_VALUE"""),0.39583333333212)</f>
        <v>0.39583333333212001</v>
      </c>
      <c r="J1010" s="16">
        <f ca="1">IFERROR(__xludf.DUMMYFUNCTION("""COMPUTED_VALUE"""),45019.40625)</f>
        <v>45019.40625</v>
      </c>
      <c r="K1010" t="str">
        <f ca="1">IFERROR(__xludf.DUMMYFUNCTION("""COMPUTED_VALUE"""),"Jon Boat 1 FL5992RR DEP154045")</f>
        <v>Jon Boat 1 FL5992RR DEP154045</v>
      </c>
      <c r="M1010" t="str">
        <f ca="1">IFERROR(__xludf.DUMMYFUNCTION("""COMPUTED_VALUE"""),"Ford F150 2015 (White) - DEP21448")</f>
        <v>Ford F150 2015 (White) - DEP21448</v>
      </c>
      <c r="N1010" t="str">
        <f ca="1">IFERROR(__xludf.DUMMYFUNCTION("""COMPUTED_VALUE"""),"Jessica Lee, (813) 748-2228")</f>
        <v>Jessica Lee, (813) 748-2228</v>
      </c>
      <c r="O1010" t="str">
        <f ca="1">IFERROR(__xludf.DUMMYFUNCTION("""COMPUTED_VALUE"""),"Monica")</f>
        <v>Monica</v>
      </c>
      <c r="P1010" t="str">
        <f ca="1">IFERROR(__xludf.DUMMYFUNCTION("""COMPUTED_VALUE"""),"Jess")</f>
        <v>Jess</v>
      </c>
      <c r="AE1010" s="11"/>
      <c r="AF1010" t="str">
        <v>Nikki.Dix@floridadep.gov</v>
      </c>
      <c r="AG1010" s="18"/>
    </row>
    <row r="1011" spans="1:34" ht="12.75">
      <c r="A1011" s="10">
        <f ca="1">IFERROR(__xludf.DUMMYFUNCTION("""COMPUTED_VALUE"""),45020.2889362847)</f>
        <v>45020.288936284698</v>
      </c>
      <c r="B1011" s="11" t="str">
        <f ca="1">IFERROR(__xludf.DUMMYFUNCTION("""COMPUTED_VALUE"""),"Silas Tanner")</f>
        <v>Silas Tanner</v>
      </c>
      <c r="C1011" t="str">
        <f ca="1">IFERROR(__xludf.DUMMYFUNCTION("""COMPUTED_VALUE"""),"silas.tanner@floridadep.gov")</f>
        <v>silas.tanner@floridadep.gov</v>
      </c>
      <c r="D1011" t="str">
        <f ca="1">IFERROR(__xludf.DUMMYFUNCTION("""COMPUTED_VALUE"""),"Nikki Dix")</f>
        <v>Nikki Dix</v>
      </c>
      <c r="E1011" t="str">
        <f ca="1">IFERROR(__xludf.DUMMYFUNCTION("""COMPUTED_VALUE"""),"Vilano Landing")</f>
        <v>Vilano Landing</v>
      </c>
      <c r="F1011" s="13">
        <f ca="1">IFERROR(__xludf.DUMMYFUNCTION("""COMPUTED_VALUE"""),0.322916666667879)</f>
        <v>0.32291666666787899</v>
      </c>
      <c r="G1011" s="14">
        <f ca="1">IFERROR(__xludf.DUMMYFUNCTION("""COMPUTED_VALUE"""),45020)</f>
        <v>45020</v>
      </c>
      <c r="H1011" t="str">
        <f ca="1">IFERROR(__xludf.DUMMYFUNCTION("""COMPUTED_VALUE"""),"ICW SWMP sites")</f>
        <v>ICW SWMP sites</v>
      </c>
      <c r="I1011" s="15">
        <f ca="1">IFERROR(__xludf.DUMMYFUNCTION("""COMPUTED_VALUE"""),0.5625)</f>
        <v>0.5625</v>
      </c>
      <c r="J1011" s="16">
        <f ca="1">IFERROR(__xludf.DUMMYFUNCTION("""COMPUTED_VALUE"""),45020.5729166666)</f>
        <v>45020.572916666599</v>
      </c>
      <c r="K1011" t="str">
        <f ca="1">IFERROR(__xludf.DUMMYFUNCTION("""COMPUTED_VALUE"""),"F 20ft Sea Ark (Easy 200) FL8534PY DEP21451")</f>
        <v>F 20ft Sea Ark (Easy 200) FL8534PY DEP21451</v>
      </c>
      <c r="M1011" t="str">
        <f ca="1">IFERROR(__xludf.DUMMYFUNCTION("""COMPUTED_VALUE"""),"Ford F250 2017 (Moby Dix) - DEP0021578")</f>
        <v>Ford F250 2017 (Moby Dix) - DEP0021578</v>
      </c>
      <c r="N1011" t="str">
        <f ca="1">IFERROR(__xludf.DUMMYFUNCTION("""COMPUTED_VALUE"""),"Silas Tanner, (904) 483-8423, Alee Kneoll")</f>
        <v>Silas Tanner, (904) 483-8423, Alee Kneoll</v>
      </c>
      <c r="P1011" t="str">
        <f ca="1">IFERROR(__xludf.DUMMYFUNCTION("""COMPUTED_VALUE"""),"Silas Tanner")</f>
        <v>Silas Tanner</v>
      </c>
      <c r="AE1011" s="11"/>
      <c r="AF1011" t="str">
        <v>Nikki.Dix@floridadep.gov</v>
      </c>
      <c r="AG1011" s="18"/>
    </row>
    <row r="1012" spans="1:34" ht="12.75">
      <c r="A1012" s="10">
        <f ca="1">IFERROR(__xludf.DUMMYFUNCTION("""COMPUTED_VALUE"""),45034.3940189004)</f>
        <v>45034.394018900399</v>
      </c>
      <c r="B1012" s="11" t="str">
        <f ca="1">IFERROR(__xludf.DUMMYFUNCTION("""COMPUTED_VALUE"""),"Silas Tanner")</f>
        <v>Silas Tanner</v>
      </c>
      <c r="C1012" t="str">
        <f ca="1">IFERROR(__xludf.DUMMYFUNCTION("""COMPUTED_VALUE"""),"silas.tanner@floridadep.gov")</f>
        <v>silas.tanner@floridadep.gov</v>
      </c>
      <c r="D1012" t="str">
        <f ca="1">IFERROR(__xludf.DUMMYFUNCTION("""COMPUTED_VALUE"""),"Shannon Dunnigan")</f>
        <v>Shannon Dunnigan</v>
      </c>
      <c r="E1012" t="str">
        <f ca="1">IFERROR(__xludf.DUMMYFUNCTION("""COMPUTED_VALUE"""),"Vilano Landing")</f>
        <v>Vilano Landing</v>
      </c>
      <c r="F1012" s="13">
        <f ca="1">IFERROR(__xludf.DUMMYFUNCTION("""COMPUTED_VALUE"""),0.4375)</f>
        <v>0.4375</v>
      </c>
      <c r="G1012" s="14">
        <f ca="1">IFERROR(__xludf.DUMMYFUNCTION("""COMPUTED_VALUE"""),45034)</f>
        <v>45034</v>
      </c>
      <c r="H1012" t="str">
        <f ca="1">IFERROR(__xludf.DUMMYFUNCTION("""COMPUTED_VALUE"""),"ICW SWMP sites")</f>
        <v>ICW SWMP sites</v>
      </c>
      <c r="I1012" s="15">
        <f ca="1">IFERROR(__xludf.DUMMYFUNCTION("""COMPUTED_VALUE"""),0.64583333333212)</f>
        <v>0.64583333333212001</v>
      </c>
      <c r="J1012" s="16">
        <f ca="1">IFERROR(__xludf.DUMMYFUNCTION("""COMPUTED_VALUE"""),45034.6666666666)</f>
        <v>45034.666666666599</v>
      </c>
      <c r="K1012" t="str">
        <f ca="1">IFERROR(__xludf.DUMMYFUNCTION("""COMPUTED_VALUE"""),"F 20ft Sea Ark (Easy 200) FL8534PY DEP21451")</f>
        <v>F 20ft Sea Ark (Easy 200) FL8534PY DEP21451</v>
      </c>
      <c r="M1012" t="str">
        <f ca="1">IFERROR(__xludf.DUMMYFUNCTION("""COMPUTED_VALUE"""),"Ford F150 2015 (White) - DEP21448")</f>
        <v>Ford F150 2015 (White) - DEP21448</v>
      </c>
      <c r="N1012" t="str">
        <f ca="1">IFERROR(__xludf.DUMMYFUNCTION("""COMPUTED_VALUE"""),"Silas Tanner, (904) 483-8423, Remo Mondazzi")</f>
        <v>Silas Tanner, (904) 483-8423, Remo Mondazzi</v>
      </c>
      <c r="P1012" t="str">
        <f ca="1">IFERROR(__xludf.DUMMYFUNCTION("""COMPUTED_VALUE"""),"Silas Tanner")</f>
        <v>Silas Tanner</v>
      </c>
      <c r="AE1012" s="11"/>
      <c r="AF1012" t="str">
        <v>Shannon.Dunnigan@floridadep.gov</v>
      </c>
      <c r="AG1012" s="18"/>
    </row>
    <row r="1013" spans="1:34" ht="12.75">
      <c r="A1013" s="10">
        <f ca="1">IFERROR(__xludf.DUMMYFUNCTION("""COMPUTED_VALUE"""),45035.3633082175)</f>
        <v>45035.3633082175</v>
      </c>
      <c r="B1013" s="11" t="str">
        <f ca="1">IFERROR(__xludf.DUMMYFUNCTION("""COMPUTED_VALUE"""),"Jessica Lee")</f>
        <v>Jessica Lee</v>
      </c>
      <c r="C1013" t="str">
        <f ca="1">IFERROR(__xludf.DUMMYFUNCTION("""COMPUTED_VALUE"""),"jessica.lee@floridadep.gov")</f>
        <v>jessica.lee@floridadep.gov</v>
      </c>
      <c r="D1013" t="str">
        <f ca="1">IFERROR(__xludf.DUMMYFUNCTION("""COMPUTED_VALUE"""),"Nikki Dix")</f>
        <v>Nikki Dix</v>
      </c>
      <c r="E1013" t="str">
        <f ca="1">IFERROR(__xludf.DUMMYFUNCTION("""COMPUTED_VALUE"""),"Guana")</f>
        <v>Guana</v>
      </c>
      <c r="F1013" s="13">
        <f ca="1">IFERROR(__xludf.DUMMYFUNCTION("""COMPUTED_VALUE"""),0.375)</f>
        <v>0.375</v>
      </c>
      <c r="G1013" s="14">
        <f ca="1">IFERROR(__xludf.DUMMYFUNCTION("""COMPUTED_VALUE"""),45035)</f>
        <v>45035</v>
      </c>
      <c r="H1013" t="str">
        <f ca="1">IFERROR(__xludf.DUMMYFUNCTION("""COMPUTED_VALUE"""),"Guana Lake")</f>
        <v>Guana Lake</v>
      </c>
      <c r="I1013" s="15">
        <f ca="1">IFERROR(__xludf.DUMMYFUNCTION("""COMPUTED_VALUE"""),0.666666666667879)</f>
        <v>0.66666666666787899</v>
      </c>
      <c r="J1013" s="16">
        <f ca="1">IFERROR(__xludf.DUMMYFUNCTION("""COMPUTED_VALUE"""),45035.6875)</f>
        <v>45035.6875</v>
      </c>
      <c r="K1013" t="str">
        <f ca="1">IFERROR(__xludf.DUMMYFUNCTION("""COMPUTED_VALUE"""),"Jon Boat 1 FL5992RR DEP154045")</f>
        <v>Jon Boat 1 FL5992RR DEP154045</v>
      </c>
      <c r="M1013" t="str">
        <f ca="1">IFERROR(__xludf.DUMMYFUNCTION("""COMPUTED_VALUE"""),"Ford F250 2017 (Moby Dix) - DEP0021578")</f>
        <v>Ford F250 2017 (Moby Dix) - DEP0021578</v>
      </c>
      <c r="N1013" t="str">
        <f ca="1">IFERROR(__xludf.DUMMYFUNCTION("""COMPUTED_VALUE"""),"Jessica Lee, (813) 748-2228")</f>
        <v>Jessica Lee, (813) 748-2228</v>
      </c>
      <c r="O1013" t="str">
        <f ca="1">IFERROR(__xludf.DUMMYFUNCTION("""COMPUTED_VALUE"""),"Danielle")</f>
        <v>Danielle</v>
      </c>
      <c r="P1013" t="str">
        <f ca="1">IFERROR(__xludf.DUMMYFUNCTION("""COMPUTED_VALUE"""),"Jess")</f>
        <v>Jess</v>
      </c>
      <c r="AE1013" s="11"/>
      <c r="AF1013" t="str">
        <v>Nikki.Dix@floridadep.gov</v>
      </c>
      <c r="AG1013" s="18"/>
    </row>
    <row r="1014" spans="1:34" ht="12.75">
      <c r="A1014" s="10">
        <f ca="1">IFERROR(__xludf.DUMMYFUNCTION("""COMPUTED_VALUE"""),45036.3640021759)</f>
        <v>45036.364002175898</v>
      </c>
      <c r="B1014" s="11" t="str">
        <f ca="1">IFERROR(__xludf.DUMMYFUNCTION("""COMPUTED_VALUE"""),"Jessica Lee")</f>
        <v>Jessica Lee</v>
      </c>
      <c r="C1014" t="str">
        <f ca="1">IFERROR(__xludf.DUMMYFUNCTION("""COMPUTED_VALUE"""),"jessica.lee@floridadep.gov")</f>
        <v>jessica.lee@floridadep.gov</v>
      </c>
      <c r="D1014" t="str">
        <f ca="1">IFERROR(__xludf.DUMMYFUNCTION("""COMPUTED_VALUE"""),"Silas Tanner")</f>
        <v>Silas Tanner</v>
      </c>
      <c r="E1014" t="str">
        <f ca="1">IFERROR(__xludf.DUMMYFUNCTION("""COMPUTED_VALUE"""),"Guana Dam")</f>
        <v>Guana Dam</v>
      </c>
      <c r="F1014" s="13">
        <f ca="1">IFERROR(__xludf.DUMMYFUNCTION("""COMPUTED_VALUE"""),0.375)</f>
        <v>0.375</v>
      </c>
      <c r="G1014" s="14">
        <f ca="1">IFERROR(__xludf.DUMMYFUNCTION("""COMPUTED_VALUE"""),45036)</f>
        <v>45036</v>
      </c>
      <c r="H1014" t="str">
        <f ca="1">IFERROR(__xludf.DUMMYFUNCTION("""COMPUTED_VALUE"""),"Guana Lake")</f>
        <v>Guana Lake</v>
      </c>
      <c r="I1014" s="15">
        <f ca="1">IFERROR(__xludf.DUMMYFUNCTION("""COMPUTED_VALUE"""),0.58333333333212)</f>
        <v>0.58333333333212001</v>
      </c>
      <c r="J1014" s="16">
        <f ca="1">IFERROR(__xludf.DUMMYFUNCTION("""COMPUTED_VALUE"""),45036.625)</f>
        <v>45036.625</v>
      </c>
      <c r="K1014" t="str">
        <f ca="1">IFERROR(__xludf.DUMMYFUNCTION("""COMPUTED_VALUE"""),"Jon Boat 1 FL5992RR DEP154045")</f>
        <v>Jon Boat 1 FL5992RR DEP154045</v>
      </c>
      <c r="M1014" t="str">
        <f ca="1">IFERROR(__xludf.DUMMYFUNCTION("""COMPUTED_VALUE"""),"Ford F150 2015 (White) - DEP21448")</f>
        <v>Ford F150 2015 (White) - DEP21448</v>
      </c>
      <c r="N1014" t="str">
        <f ca="1">IFERROR(__xludf.DUMMYFUNCTION("""COMPUTED_VALUE"""),"Jessica Lee, (813) 748-2228")</f>
        <v>Jessica Lee, (813) 748-2228</v>
      </c>
      <c r="O1014" t="str">
        <f ca="1">IFERROR(__xludf.DUMMYFUNCTION("""COMPUTED_VALUE"""),"Danielle")</f>
        <v>Danielle</v>
      </c>
      <c r="P1014" t="str">
        <f ca="1">IFERROR(__xludf.DUMMYFUNCTION("""COMPUTED_VALUE"""),"Jess")</f>
        <v>Jess</v>
      </c>
      <c r="AE1014" s="11"/>
      <c r="AF1014" t="str">
        <v>Silas.Tanner@floridadep.gov</v>
      </c>
      <c r="AG1014" s="18"/>
    </row>
    <row r="1015" spans="1:34" ht="12.75">
      <c r="A1015" s="10">
        <f ca="1">IFERROR(__xludf.DUMMYFUNCTION("""COMPUTED_VALUE"""),45047.3111528124)</f>
        <v>45047.311152812399</v>
      </c>
      <c r="B1015" s="11" t="str">
        <f ca="1">IFERROR(__xludf.DUMMYFUNCTION("""COMPUTED_VALUE"""),"Jessica Lee")</f>
        <v>Jessica Lee</v>
      </c>
      <c r="C1015" t="str">
        <f ca="1">IFERROR(__xludf.DUMMYFUNCTION("""COMPUTED_VALUE"""),"jessica.lee@floridadep.gov")</f>
        <v>jessica.lee@floridadep.gov</v>
      </c>
      <c r="D1015" t="str">
        <f ca="1">IFERROR(__xludf.DUMMYFUNCTION("""COMPUTED_VALUE"""),"Nikki Dix")</f>
        <v>Nikki Dix</v>
      </c>
      <c r="E1015" t="str">
        <f ca="1">IFERROR(__xludf.DUMMYFUNCTION("""COMPUTED_VALUE"""),"Guana ")</f>
        <v xml:space="preserve">Guana </v>
      </c>
      <c r="F1015" s="13">
        <f ca="1">IFERROR(__xludf.DUMMYFUNCTION("""COMPUTED_VALUE"""),0.3125)</f>
        <v>0.3125</v>
      </c>
      <c r="G1015" s="14">
        <f ca="1">IFERROR(__xludf.DUMMYFUNCTION("""COMPUTED_VALUE"""),45047)</f>
        <v>45047</v>
      </c>
      <c r="H1015" t="str">
        <f ca="1">IFERROR(__xludf.DUMMYFUNCTION("""COMPUTED_VALUE"""),"Guana river")</f>
        <v>Guana river</v>
      </c>
      <c r="I1015" s="15">
        <f ca="1">IFERROR(__xludf.DUMMYFUNCTION("""COMPUTED_VALUE"""),0.354166666667879)</f>
        <v>0.35416666666787899</v>
      </c>
      <c r="J1015" s="16">
        <f ca="1">IFERROR(__xludf.DUMMYFUNCTION("""COMPUTED_VALUE"""),45047.3645833333)</f>
        <v>45047.364583333299</v>
      </c>
      <c r="K1015" t="str">
        <f ca="1">IFERROR(__xludf.DUMMYFUNCTION("""COMPUTED_VALUE"""),"Jon Boat 1 FL5992RR DEP154045")</f>
        <v>Jon Boat 1 FL5992RR DEP154045</v>
      </c>
      <c r="M1015" t="str">
        <f ca="1">IFERROR(__xludf.DUMMYFUNCTION("""COMPUTED_VALUE"""),"Ford F150 2015 (White) - DEP21448")</f>
        <v>Ford F150 2015 (White) - DEP21448</v>
      </c>
      <c r="N1015" t="str">
        <f ca="1">IFERROR(__xludf.DUMMYFUNCTION("""COMPUTED_VALUE"""),"Jessica Lee, (813) 748-2228")</f>
        <v>Jessica Lee, (813) 748-2228</v>
      </c>
      <c r="O1015" t="str">
        <f ca="1">IFERROR(__xludf.DUMMYFUNCTION("""COMPUTED_VALUE"""),"Monica ")</f>
        <v xml:space="preserve">Monica </v>
      </c>
      <c r="P1015" t="str">
        <f ca="1">IFERROR(__xludf.DUMMYFUNCTION("""COMPUTED_VALUE"""),"Jess ")</f>
        <v xml:space="preserve">Jess </v>
      </c>
      <c r="AE1015" s="11"/>
      <c r="AF1015" t="str">
        <v>Nikki.Dix@floridadep.gov</v>
      </c>
      <c r="AG1015" s="18"/>
    </row>
    <row r="1016" spans="1:34" ht="12.75">
      <c r="A1016" s="10">
        <f ca="1">IFERROR(__xludf.DUMMYFUNCTION("""COMPUTED_VALUE"""),45048.2903245949)</f>
        <v>45048.290324594898</v>
      </c>
      <c r="B1016" s="11" t="str">
        <f ca="1">IFERROR(__xludf.DUMMYFUNCTION("""COMPUTED_VALUE"""),"Silas Tanner")</f>
        <v>Silas Tanner</v>
      </c>
      <c r="C1016" t="str">
        <f ca="1">IFERROR(__xludf.DUMMYFUNCTION("""COMPUTED_VALUE"""),"silas.tanner@floridadep.gov")</f>
        <v>silas.tanner@floridadep.gov</v>
      </c>
      <c r="D1016" t="str">
        <f ca="1">IFERROR(__xludf.DUMMYFUNCTION("""COMPUTED_VALUE"""),"Nikki Dix")</f>
        <v>Nikki Dix</v>
      </c>
      <c r="E1016" t="str">
        <f ca="1">IFERROR(__xludf.DUMMYFUNCTION("""COMPUTED_VALUE"""),"Vilano Landing")</f>
        <v>Vilano Landing</v>
      </c>
      <c r="F1016" s="13">
        <f ca="1">IFERROR(__xludf.DUMMYFUNCTION("""COMPUTED_VALUE"""),0.3125)</f>
        <v>0.3125</v>
      </c>
      <c r="G1016" s="14">
        <f ca="1">IFERROR(__xludf.DUMMYFUNCTION("""COMPUTED_VALUE"""),45048)</f>
        <v>45048</v>
      </c>
      <c r="H1016" t="str">
        <f ca="1">IFERROR(__xludf.DUMMYFUNCTION("""COMPUTED_VALUE"""),"ICW SWMP sites")</f>
        <v>ICW SWMP sites</v>
      </c>
      <c r="I1016" s="15">
        <f ca="1">IFERROR(__xludf.DUMMYFUNCTION("""COMPUTED_VALUE"""),0.5625)</f>
        <v>0.5625</v>
      </c>
      <c r="J1016" s="16">
        <f ca="1">IFERROR(__xludf.DUMMYFUNCTION("""COMPUTED_VALUE"""),45048.5833333333)</f>
        <v>45048.583333333299</v>
      </c>
      <c r="K1016" t="str">
        <f ca="1">IFERROR(__xludf.DUMMYFUNCTION("""COMPUTED_VALUE"""),"23ft Skiff (Bertha) FL7972LJ DEP07613")</f>
        <v>23ft Skiff (Bertha) FL7972LJ DEP07613</v>
      </c>
      <c r="M1016" t="str">
        <f ca="1">IFERROR(__xludf.DUMMYFUNCTION("""COMPUTED_VALUE"""),"Ford F150 2015 (White) - DEP21448")</f>
        <v>Ford F150 2015 (White) - DEP21448</v>
      </c>
      <c r="N1016" t="str">
        <f ca="1">IFERROR(__xludf.DUMMYFUNCTION("""COMPUTED_VALUE"""),"Silas Tanner, (904) 483-8423, Jacob Berna")</f>
        <v>Silas Tanner, (904) 483-8423, Jacob Berna</v>
      </c>
      <c r="O1016" t="str">
        <f ca="1">IFERROR(__xludf.DUMMYFUNCTION("""COMPUTED_VALUE"""),"Jess Lee, Nate Schumer")</f>
        <v>Jess Lee, Nate Schumer</v>
      </c>
      <c r="P1016" t="str">
        <f ca="1">IFERROR(__xludf.DUMMYFUNCTION("""COMPUTED_VALUE"""),"Silas Tanner")</f>
        <v>Silas Tanner</v>
      </c>
      <c r="AE1016" s="11"/>
      <c r="AF1016" t="str">
        <v>Nikki.Dix@floridadep.gov</v>
      </c>
      <c r="AG1016" s="18"/>
    </row>
    <row r="1017" spans="1:34" ht="12.75">
      <c r="A1017" s="10">
        <f ca="1">IFERROR(__xludf.DUMMYFUNCTION("""COMPUTED_VALUE"""),45049.3770631713)</f>
        <v>45049.377063171298</v>
      </c>
      <c r="B1017" s="11" t="str">
        <f ca="1">IFERROR(__xludf.DUMMYFUNCTION("""COMPUTED_VALUE"""),"Silas Tanner")</f>
        <v>Silas Tanner</v>
      </c>
      <c r="C1017" t="str">
        <f ca="1">IFERROR(__xludf.DUMMYFUNCTION("""COMPUTED_VALUE"""),"silas.tanner@floridadep.gov")</f>
        <v>silas.tanner@floridadep.gov</v>
      </c>
      <c r="D1017" t="str">
        <f ca="1">IFERROR(__xludf.DUMMYFUNCTION("""COMPUTED_VALUE"""),"Shannon Dunnigan")</f>
        <v>Shannon Dunnigan</v>
      </c>
      <c r="E1017" t="str">
        <f ca="1">IFERROR(__xludf.DUMMYFUNCTION("""COMPUTED_VALUE"""),"Palm Valley")</f>
        <v>Palm Valley</v>
      </c>
      <c r="F1017" s="13">
        <f ca="1">IFERROR(__xludf.DUMMYFUNCTION("""COMPUTED_VALUE"""),0.39583333333212)</f>
        <v>0.39583333333212001</v>
      </c>
      <c r="G1017" s="14">
        <f ca="1">IFERROR(__xludf.DUMMYFUNCTION("""COMPUTED_VALUE"""),45049)</f>
        <v>45049</v>
      </c>
      <c r="H1017" t="str">
        <f ca="1">IFERROR(__xludf.DUMMYFUNCTION("""COMPUTED_VALUE"""),"Pine Island SWMP station")</f>
        <v>Pine Island SWMP station</v>
      </c>
      <c r="I1017" s="15">
        <f ca="1">IFERROR(__xludf.DUMMYFUNCTION("""COMPUTED_VALUE"""),0.45833333333212)</f>
        <v>0.45833333333212001</v>
      </c>
      <c r="J1017" s="16">
        <f ca="1">IFERROR(__xludf.DUMMYFUNCTION("""COMPUTED_VALUE"""),45049.4791666666)</f>
        <v>45049.479166666599</v>
      </c>
      <c r="K1017" t="str">
        <f ca="1">IFERROR(__xludf.DUMMYFUNCTION("""COMPUTED_VALUE"""),"20ft Sea Ark FL5351SJ UNF 2015")</f>
        <v>20ft Sea Ark FL5351SJ UNF 2015</v>
      </c>
      <c r="M1017" t="str">
        <f ca="1">IFERROR(__xludf.DUMMYFUNCTION("""COMPUTED_VALUE"""),"Ford F150 2015 (White) - DEP21448")</f>
        <v>Ford F150 2015 (White) - DEP21448</v>
      </c>
      <c r="N1017" t="str">
        <f ca="1">IFERROR(__xludf.DUMMYFUNCTION("""COMPUTED_VALUE"""),"Silas Tanner, (904) 483-8423, Jessica Lee, (813) 748-2228")</f>
        <v>Silas Tanner, (904) 483-8423, Jessica Lee, (813) 748-2228</v>
      </c>
      <c r="P1017" t="str">
        <f ca="1">IFERROR(__xludf.DUMMYFUNCTION("""COMPUTED_VALUE"""),"Silas Tanner")</f>
        <v>Silas Tanner</v>
      </c>
      <c r="AE1017" s="11"/>
      <c r="AF1017" t="str">
        <v>Shannon.Dunnigan@floridadep.gov</v>
      </c>
      <c r="AG1017" s="18"/>
    </row>
    <row r="1018" spans="1:34" ht="12.75">
      <c r="A1018" s="10">
        <f ca="1">IFERROR(__xludf.DUMMYFUNCTION("""COMPUTED_VALUE"""),45057.3593564814)</f>
        <v>45057.3593564814</v>
      </c>
      <c r="B1018" s="11" t="str">
        <f ca="1">IFERROR(__xludf.DUMMYFUNCTION("""COMPUTED_VALUE"""),"Jacob Berna")</f>
        <v>Jacob Berna</v>
      </c>
      <c r="C1018" t="str">
        <f ca="1">IFERROR(__xludf.DUMMYFUNCTION("""COMPUTED_VALUE"""),"Jacob.Berna@FloridaDEP.gov")</f>
        <v>Jacob.Berna@FloridaDEP.gov</v>
      </c>
      <c r="D1018" t="str">
        <f ca="1">IFERROR(__xludf.DUMMYFUNCTION("""COMPUTED_VALUE"""),"Shannon Dunnigan")</f>
        <v>Shannon Dunnigan</v>
      </c>
      <c r="E1018" t="str">
        <f ca="1">IFERROR(__xludf.DUMMYFUNCTION("""COMPUTED_VALUE"""),"Pellicer")</f>
        <v>Pellicer</v>
      </c>
      <c r="F1018" s="13">
        <f ca="1">IFERROR(__xludf.DUMMYFUNCTION("""COMPUTED_VALUE"""),0.416666666667879)</f>
        <v>0.41666666666787899</v>
      </c>
      <c r="G1018" s="14">
        <f ca="1">IFERROR(__xludf.DUMMYFUNCTION("""COMPUTED_VALUE"""),45057)</f>
        <v>45057</v>
      </c>
      <c r="H1018" t="str">
        <f ca="1">IFERROR(__xludf.DUMMYFUNCTION("""COMPUTED_VALUE"""),"Pellicer lower, middle, and upper transects")</f>
        <v>Pellicer lower, middle, and upper transects</v>
      </c>
      <c r="I1018" s="15">
        <f ca="1">IFERROR(__xludf.DUMMYFUNCTION("""COMPUTED_VALUE"""),0.64583333333212)</f>
        <v>0.64583333333212001</v>
      </c>
      <c r="J1018" s="16">
        <f ca="1">IFERROR(__xludf.DUMMYFUNCTION("""COMPUTED_VALUE"""),45057.6875)</f>
        <v>45057.6875</v>
      </c>
      <c r="K1018" t="str">
        <f ca="1">IFERROR(__xludf.DUMMYFUNCTION("""COMPUTED_VALUE"""),"20ft Sea Ark FL5351SJ UNF 2015")</f>
        <v>20ft Sea Ark FL5351SJ UNF 2015</v>
      </c>
      <c r="M1018" t="str">
        <f ca="1">IFERROR(__xludf.DUMMYFUNCTION("""COMPUTED_VALUE"""),"Ford F150 2015 (White) - DEP21448")</f>
        <v>Ford F150 2015 (White) - DEP21448</v>
      </c>
      <c r="N1018" t="str">
        <f ca="1">IFERROR(__xludf.DUMMYFUNCTION("""COMPUTED_VALUE"""),"Jacob Berna (904)-392-1966")</f>
        <v>Jacob Berna (904)-392-1966</v>
      </c>
      <c r="O1018" t="str">
        <f ca="1">IFERROR(__xludf.DUMMYFUNCTION("""COMPUTED_VALUE"""),"Hans Prevost, Avah Avonda")</f>
        <v>Hans Prevost, Avah Avonda</v>
      </c>
      <c r="P1018" t="str">
        <f ca="1">IFERROR(__xludf.DUMMYFUNCTION("""COMPUTED_VALUE"""),"Jacob Berna")</f>
        <v>Jacob Berna</v>
      </c>
      <c r="AE1018" s="11"/>
      <c r="AF1018" t="str">
        <v>Shannon.Dunnigan@floridadep.gov</v>
      </c>
      <c r="AG1018" s="18"/>
    </row>
    <row r="1019" spans="1:34" ht="12.75">
      <c r="A1019" s="10">
        <f ca="1">IFERROR(__xludf.DUMMYFUNCTION("""COMPUTED_VALUE"""),45061.430800868)</f>
        <v>45061.430800868002</v>
      </c>
      <c r="B1019" s="11" t="str">
        <f ca="1">IFERROR(__xludf.DUMMYFUNCTION("""COMPUTED_VALUE"""),"Jacob Berna")</f>
        <v>Jacob Berna</v>
      </c>
      <c r="C1019" t="str">
        <f ca="1">IFERROR(__xludf.DUMMYFUNCTION("""COMPUTED_VALUE"""),"Jacob.Berna@FloridaDEP.gov")</f>
        <v>Jacob.Berna@FloridaDEP.gov</v>
      </c>
      <c r="D1019" t="str">
        <f ca="1">IFERROR(__xludf.DUMMYFUNCTION("""COMPUTED_VALUE"""),"Nikki Dix")</f>
        <v>Nikki Dix</v>
      </c>
      <c r="E1019" t="str">
        <f ca="1">IFERROR(__xludf.DUMMYFUNCTION("""COMPUTED_VALUE"""),"Usina")</f>
        <v>Usina</v>
      </c>
      <c r="F1019" s="13">
        <f ca="1">IFERROR(__xludf.DUMMYFUNCTION("""COMPUTED_VALUE"""),0.430555555554747)</f>
        <v>0.430555555554747</v>
      </c>
      <c r="G1019" s="14">
        <f ca="1">IFERROR(__xludf.DUMMYFUNCTION("""COMPUTED_VALUE"""),45061)</f>
        <v>45061</v>
      </c>
      <c r="H1019" t="str">
        <f ca="1">IFERROR(__xludf.DUMMYFUNCTION("""COMPUTED_VALUE"""),"Guana River Reefs")</f>
        <v>Guana River Reefs</v>
      </c>
      <c r="I1019" s="15">
        <f ca="1">IFERROR(__xludf.DUMMYFUNCTION("""COMPUTED_VALUE"""),0.64583333333212)</f>
        <v>0.64583333333212001</v>
      </c>
      <c r="J1019" s="16">
        <f ca="1">IFERROR(__xludf.DUMMYFUNCTION("""COMPUTED_VALUE"""),45061.6666666666)</f>
        <v>45061.666666666599</v>
      </c>
      <c r="K1019" t="str">
        <f ca="1">IFERROR(__xludf.DUMMYFUNCTION("""COMPUTED_VALUE"""),"23ft Skiff (Bertha) FL7972LJ DEP07613")</f>
        <v>23ft Skiff (Bertha) FL7972LJ DEP07613</v>
      </c>
      <c r="M1019" t="str">
        <f ca="1">IFERROR(__xludf.DUMMYFUNCTION("""COMPUTED_VALUE"""),"Ford F150 2015 (White) - DEP21448")</f>
        <v>Ford F150 2015 (White) - DEP21448</v>
      </c>
      <c r="N1019" t="str">
        <f ca="1">IFERROR(__xludf.DUMMYFUNCTION("""COMPUTED_VALUE"""),"Jacob Berna")</f>
        <v>Jacob Berna</v>
      </c>
      <c r="O1019" t="str">
        <f ca="1">IFERROR(__xludf.DUMMYFUNCTION("""COMPUTED_VALUE"""),"Greg, Jaleigh, Abry, Tally")</f>
        <v>Greg, Jaleigh, Abry, Tally</v>
      </c>
      <c r="P1019" t="str">
        <f ca="1">IFERROR(__xludf.DUMMYFUNCTION("""COMPUTED_VALUE"""),"Jacob Berna")</f>
        <v>Jacob Berna</v>
      </c>
      <c r="AE1019" s="11"/>
      <c r="AF1019" t="str">
        <v>Nikki.Dix@floridadep.gov</v>
      </c>
      <c r="AG1019" s="18"/>
    </row>
    <row r="1020" spans="1:34" ht="12.75">
      <c r="A1020" s="10">
        <f ca="1">IFERROR(__xludf.DUMMYFUNCTION("""COMPUTED_VALUE"""),45062.4165729166)</f>
        <v>45062.416572916598</v>
      </c>
      <c r="B1020" s="11" t="str">
        <f ca="1">IFERROR(__xludf.DUMMYFUNCTION("""COMPUTED_VALUE"""),"Jacob Berna ")</f>
        <v xml:space="preserve">Jacob Berna </v>
      </c>
      <c r="C1020" t="str">
        <f ca="1">IFERROR(__xludf.DUMMYFUNCTION("""COMPUTED_VALUE"""),"Jacob.Berna@FloridaDEP.gov")</f>
        <v>Jacob.Berna@FloridaDEP.gov</v>
      </c>
      <c r="D1020" t="str">
        <f ca="1">IFERROR(__xludf.DUMMYFUNCTION("""COMPUTED_VALUE"""),"Shannon Dunnigan")</f>
        <v>Shannon Dunnigan</v>
      </c>
      <c r="E1020" t="str">
        <f ca="1">IFERROR(__xludf.DUMMYFUNCTION("""COMPUTED_VALUE"""),"Usina")</f>
        <v>Usina</v>
      </c>
      <c r="F1020" s="13">
        <f ca="1">IFERROR(__xludf.DUMMYFUNCTION("""COMPUTED_VALUE"""),0.465277777777373)</f>
        <v>0.465277777777373</v>
      </c>
      <c r="G1020" s="14">
        <f ca="1">IFERROR(__xludf.DUMMYFUNCTION("""COMPUTED_VALUE"""),45062)</f>
        <v>45062</v>
      </c>
      <c r="H1020" t="str">
        <f ca="1">IFERROR(__xludf.DUMMYFUNCTION("""COMPUTED_VALUE"""),"Guana Reefs")</f>
        <v>Guana Reefs</v>
      </c>
      <c r="I1020" s="15">
        <f ca="1">IFERROR(__xludf.DUMMYFUNCTION("""COMPUTED_VALUE"""),0.67708333333212)</f>
        <v>0.67708333333212001</v>
      </c>
      <c r="J1020" s="16">
        <f ca="1">IFERROR(__xludf.DUMMYFUNCTION("""COMPUTED_VALUE"""),45062.6979166666)</f>
        <v>45062.697916666599</v>
      </c>
      <c r="K1020" t="str">
        <f ca="1">IFERROR(__xludf.DUMMYFUNCTION("""COMPUTED_VALUE"""),"23ft Skiff (Bertha) FL7972LJ DEP07613")</f>
        <v>23ft Skiff (Bertha) FL7972LJ DEP07613</v>
      </c>
      <c r="M1020" t="str">
        <f ca="1">IFERROR(__xludf.DUMMYFUNCTION("""COMPUTED_VALUE"""),"Ford F150 2015 (White) - DEP21448")</f>
        <v>Ford F150 2015 (White) - DEP21448</v>
      </c>
      <c r="N1020" t="str">
        <f ca="1">IFERROR(__xludf.DUMMYFUNCTION("""COMPUTED_VALUE"""),"Jacob Berna ")</f>
        <v xml:space="preserve">Jacob Berna </v>
      </c>
      <c r="O1020" t="str">
        <f ca="1">IFERROR(__xludf.DUMMYFUNCTION("""COMPUTED_VALUE"""),"Hans Prevost, Talyre Pier, Aubrey Burns, Jaleigh Pier, Greg Dietl")</f>
        <v>Hans Prevost, Talyre Pier, Aubrey Burns, Jaleigh Pier, Greg Dietl</v>
      </c>
      <c r="P1020" t="str">
        <f ca="1">IFERROR(__xludf.DUMMYFUNCTION("""COMPUTED_VALUE"""),"Jacob Berna")</f>
        <v>Jacob Berna</v>
      </c>
      <c r="AE1020" s="11"/>
      <c r="AF1020" t="str">
        <v>Shannon.Dunnigan@floridadep.gov</v>
      </c>
      <c r="AG1020" s="18"/>
    </row>
    <row r="1021" spans="1:34" ht="12.75">
      <c r="A1021" s="10">
        <f ca="1">IFERROR(__xludf.DUMMYFUNCTION("""COMPUTED_VALUE"""),45062.4713806018)</f>
        <v>45062.471380601797</v>
      </c>
      <c r="B1021" s="11" t="str">
        <f ca="1">IFERROR(__xludf.DUMMYFUNCTION("""COMPUTED_VALUE"""),"Allix North")</f>
        <v>Allix North</v>
      </c>
      <c r="C1021" t="str">
        <f ca="1">IFERROR(__xludf.DUMMYFUNCTION("""COMPUTED_VALUE"""),"Allix.North@dep.state.fl.us")</f>
        <v>Allix.North@dep.state.fl.us</v>
      </c>
      <c r="D1021" t="str">
        <f ca="1">IFERROR(__xludf.DUMMYFUNCTION("""COMPUTED_VALUE"""),"Scott Eastman")</f>
        <v>Scott Eastman</v>
      </c>
      <c r="E1021" t="str">
        <f ca="1">IFERROR(__xludf.DUMMYFUNCTION("""COMPUTED_VALUE"""),"Whitney Lab")</f>
        <v>Whitney Lab</v>
      </c>
      <c r="F1021" s="13">
        <f ca="1">IFERROR(__xludf.DUMMYFUNCTION("""COMPUTED_VALUE"""),0.541666666667879)</f>
        <v>0.54166666666787899</v>
      </c>
      <c r="G1021" s="14">
        <f ca="1">IFERROR(__xludf.DUMMYFUNCTION("""COMPUTED_VALUE"""),45062)</f>
        <v>45062</v>
      </c>
      <c r="H1021" t="str">
        <f ca="1">IFERROR(__xludf.DUMMYFUNCTION("""COMPUTED_VALUE"""),"Marineland Oyster Reefs next to Whitney Lab")</f>
        <v>Marineland Oyster Reefs next to Whitney Lab</v>
      </c>
      <c r="I1021" s="15">
        <f ca="1">IFERROR(__xludf.DUMMYFUNCTION("""COMPUTED_VALUE"""),0.666666666667879)</f>
        <v>0.66666666666787899</v>
      </c>
      <c r="J1021" s="16">
        <f ca="1">IFERROR(__xludf.DUMMYFUNCTION("""COMPUTED_VALUE"""),45062.6875)</f>
        <v>45062.6875</v>
      </c>
      <c r="K1021" t="str">
        <f ca="1">IFERROR(__xludf.DUMMYFUNCTION("""COMPUTED_VALUE"""),"20ft Sea Ark FL5351SJ UNF 2015")</f>
        <v>20ft Sea Ark FL5351SJ UNF 2015</v>
      </c>
      <c r="M1021" t="str">
        <f ca="1">IFERROR(__xludf.DUMMYFUNCTION("""COMPUTED_VALUE"""),"Ford F150 2022 (ML) DEP22510")</f>
        <v>Ford F150 2022 (ML) DEP22510</v>
      </c>
      <c r="N1021" t="str">
        <f ca="1">IFERROR(__xludf.DUMMYFUNCTION("""COMPUTED_VALUE"""),"Nikki Dix, (352) 219-4079, Allix North, (850) 420-7495")</f>
        <v>Nikki Dix, (352) 219-4079, Allix North, (850) 420-7495</v>
      </c>
      <c r="O1021" t="str">
        <f ca="1">IFERROR(__xludf.DUMMYFUNCTION("""COMPUTED_VALUE"""),"Alyah Bennett, Jeff Finnan, and Mike Darragh")</f>
        <v>Alyah Bennett, Jeff Finnan, and Mike Darragh</v>
      </c>
      <c r="P1021" t="str">
        <f ca="1">IFERROR(__xludf.DUMMYFUNCTION("""COMPUTED_VALUE"""),"Allix North")</f>
        <v>Allix North</v>
      </c>
      <c r="AD1021" t="str">
        <f ca="1">IFERROR(__xludf.DUMMYFUNCTION("""COMPUTED_VALUE"""),"Good to GO")</f>
        <v>Good to GO</v>
      </c>
      <c r="AE1021" s="11" t="str">
        <f ca="1">IFERROR(__xludf.DUMMYFUNCTION("""COMPUTED_VALUE"""),"Good to GO")</f>
        <v>Good to GO</v>
      </c>
      <c r="AF1021" t="str">
        <v>Scott.Eastman@floridadep.gov</v>
      </c>
      <c r="AG1021" s="17" t="s">
        <v>21</v>
      </c>
      <c r="AH1021" s="12">
        <v>1600</v>
      </c>
    </row>
    <row r="1022" spans="1:34" ht="12.75">
      <c r="A1022" s="10">
        <f ca="1">IFERROR(__xludf.DUMMYFUNCTION("""COMPUTED_VALUE"""),45064.4859260763)</f>
        <v>45064.485926076297</v>
      </c>
      <c r="B1022" s="11" t="str">
        <f ca="1">IFERROR(__xludf.DUMMYFUNCTION("""COMPUTED_VALUE"""),"Jacob Berna")</f>
        <v>Jacob Berna</v>
      </c>
      <c r="C1022" t="str">
        <f ca="1">IFERROR(__xludf.DUMMYFUNCTION("""COMPUTED_VALUE"""),"Jacob.Berna@FloridaDEP.gov")</f>
        <v>Jacob.Berna@FloridaDEP.gov</v>
      </c>
      <c r="D1022" t="str">
        <f ca="1">IFERROR(__xludf.DUMMYFUNCTION("""COMPUTED_VALUE"""),"Nikki Dix")</f>
        <v>Nikki Dix</v>
      </c>
      <c r="E1022" t="str">
        <f ca="1">IFERROR(__xludf.DUMMYFUNCTION("""COMPUTED_VALUE"""),"Usina")</f>
        <v>Usina</v>
      </c>
      <c r="F1022" s="13">
        <f ca="1">IFERROR(__xludf.DUMMYFUNCTION("""COMPUTED_VALUE"""),0.527777777777373)</f>
        <v>0.527777777777373</v>
      </c>
      <c r="G1022" s="14">
        <f ca="1">IFERROR(__xludf.DUMMYFUNCTION("""COMPUTED_VALUE"""),45064)</f>
        <v>45064</v>
      </c>
      <c r="H1022" t="str">
        <f ca="1">IFERROR(__xludf.DUMMYFUNCTION("""COMPUTED_VALUE"""),"Guana Reefs ")</f>
        <v xml:space="preserve">Guana Reefs </v>
      </c>
      <c r="I1022" s="15">
        <f ca="1">IFERROR(__xludf.DUMMYFUNCTION("""COMPUTED_VALUE"""),0.70833333333212)</f>
        <v>0.70833333333212001</v>
      </c>
      <c r="J1022" s="16">
        <f ca="1">IFERROR(__xludf.DUMMYFUNCTION("""COMPUTED_VALUE"""),45064.7291666666)</f>
        <v>45064.729166666599</v>
      </c>
      <c r="K1022" t="str">
        <f ca="1">IFERROR(__xludf.DUMMYFUNCTION("""COMPUTED_VALUE"""),"23ft Skiff (Bertha) FL7972LJ DEP07613")</f>
        <v>23ft Skiff (Bertha) FL7972LJ DEP07613</v>
      </c>
      <c r="M1022" t="str">
        <f ca="1">IFERROR(__xludf.DUMMYFUNCTION("""COMPUTED_VALUE"""),"Ford F150 2015 (White) - DEP21448")</f>
        <v>Ford F150 2015 (White) - DEP21448</v>
      </c>
      <c r="N1022" t="str">
        <f ca="1">IFERROR(__xludf.DUMMYFUNCTION("""COMPUTED_VALUE"""),"Jacob Berna")</f>
        <v>Jacob Berna</v>
      </c>
      <c r="O1022" t="str">
        <f ca="1">IFERROR(__xludf.DUMMYFUNCTION("""COMPUTED_VALUE"""),"Hans Prevost, Talyre Pier, Aubrey Burns, Jaleigh Pier, Greg Dietl ")</f>
        <v xml:space="preserve">Hans Prevost, Talyre Pier, Aubrey Burns, Jaleigh Pier, Greg Dietl </v>
      </c>
      <c r="P1022" t="str">
        <f ca="1">IFERROR(__xludf.DUMMYFUNCTION("""COMPUTED_VALUE"""),"Jacob Berna")</f>
        <v>Jacob Berna</v>
      </c>
      <c r="AE1022" s="11"/>
      <c r="AF1022" t="str">
        <v>Nikki.Dix@floridadep.gov</v>
      </c>
      <c r="AG1022" s="18"/>
    </row>
    <row r="1023" spans="1:34" ht="12.75">
      <c r="A1023" s="10">
        <f ca="1">IFERROR(__xludf.DUMMYFUNCTION("""COMPUTED_VALUE"""),45065.5409150578)</f>
        <v>45065.540915057798</v>
      </c>
      <c r="B1023" s="11" t="str">
        <f ca="1">IFERROR(__xludf.DUMMYFUNCTION("""COMPUTED_VALUE"""),"Jacob Berna")</f>
        <v>Jacob Berna</v>
      </c>
      <c r="C1023" t="str">
        <f ca="1">IFERROR(__xludf.DUMMYFUNCTION("""COMPUTED_VALUE"""),"Jacob.Berna@FloridaDEP.gov")</f>
        <v>Jacob.Berna@FloridaDEP.gov</v>
      </c>
      <c r="D1023" t="str">
        <f ca="1">IFERROR(__xludf.DUMMYFUNCTION("""COMPUTED_VALUE"""),"Nikki Dix")</f>
        <v>Nikki Dix</v>
      </c>
      <c r="E1023" t="str">
        <f ca="1">IFERROR(__xludf.DUMMYFUNCTION("""COMPUTED_VALUE"""),"Usina ")</f>
        <v xml:space="preserve">Usina </v>
      </c>
      <c r="F1023" s="13">
        <f ca="1">IFERROR(__xludf.DUMMYFUNCTION("""COMPUTED_VALUE"""),0.55208333333212)</f>
        <v>0.55208333333212001</v>
      </c>
      <c r="G1023" s="14">
        <f ca="1">IFERROR(__xludf.DUMMYFUNCTION("""COMPUTED_VALUE"""),45065)</f>
        <v>45065</v>
      </c>
      <c r="H1023" t="str">
        <f ca="1">IFERROR(__xludf.DUMMYFUNCTION("""COMPUTED_VALUE"""),"Guana Reefs")</f>
        <v>Guana Reefs</v>
      </c>
      <c r="I1023" s="15">
        <f ca="1">IFERROR(__xludf.DUMMYFUNCTION("""COMPUTED_VALUE"""),0.70833333333212)</f>
        <v>0.70833333333212001</v>
      </c>
      <c r="J1023" s="16">
        <f ca="1">IFERROR(__xludf.DUMMYFUNCTION("""COMPUTED_VALUE"""),45065.7291666666)</f>
        <v>45065.729166666599</v>
      </c>
      <c r="K1023" t="str">
        <f ca="1">IFERROR(__xludf.DUMMYFUNCTION("""COMPUTED_VALUE"""),"23ft Skiff (Bertha) FL7972LJ DEP07613")</f>
        <v>23ft Skiff (Bertha) FL7972LJ DEP07613</v>
      </c>
      <c r="M1023" t="str">
        <f ca="1">IFERROR(__xludf.DUMMYFUNCTION("""COMPUTED_VALUE"""),"Ford F150 2015 (White) - DEP21448")</f>
        <v>Ford F150 2015 (White) - DEP21448</v>
      </c>
      <c r="N1023" t="str">
        <f ca="1">IFERROR(__xludf.DUMMYFUNCTION("""COMPUTED_VALUE"""),"Jacob Berna")</f>
        <v>Jacob Berna</v>
      </c>
      <c r="O1023" t="str">
        <f ca="1">IFERROR(__xludf.DUMMYFUNCTION("""COMPUTED_VALUE"""),"Hans Prevost, Jaleigh Pier, Talyre Pier, Greg Diet")</f>
        <v>Hans Prevost, Jaleigh Pier, Talyre Pier, Greg Diet</v>
      </c>
      <c r="P1023" t="str">
        <f ca="1">IFERROR(__xludf.DUMMYFUNCTION("""COMPUTED_VALUE"""),"Jacob Berna")</f>
        <v>Jacob Berna</v>
      </c>
      <c r="AE1023" s="11"/>
      <c r="AF1023" t="str">
        <v>Nikki.Dix@floridadep.gov</v>
      </c>
      <c r="AG1023" s="18"/>
    </row>
    <row r="1024" spans="1:34" ht="12.75">
      <c r="A1024" s="10">
        <f ca="1">IFERROR(__xludf.DUMMYFUNCTION("""COMPUTED_VALUE"""),45069.4100193865)</f>
        <v>45069.410019386502</v>
      </c>
      <c r="B1024" s="11" t="str">
        <f ca="1">IFERROR(__xludf.DUMMYFUNCTION("""COMPUTED_VALUE"""),"Shannon ")</f>
        <v xml:space="preserve">Shannon </v>
      </c>
      <c r="C1024" t="str">
        <f ca="1">IFERROR(__xludf.DUMMYFUNCTION("""COMPUTED_VALUE"""),"shannon.dunnigan@dep.state.fl.us")</f>
        <v>shannon.dunnigan@dep.state.fl.us</v>
      </c>
      <c r="D1024" t="str">
        <f ca="1">IFERROR(__xludf.DUMMYFUNCTION("""COMPUTED_VALUE"""),"Nikki Dix")</f>
        <v>Nikki Dix</v>
      </c>
      <c r="E1024" t="str">
        <f ca="1">IFERROR(__xludf.DUMMYFUNCTION("""COMPUTED_VALUE"""),"Vilano")</f>
        <v>Vilano</v>
      </c>
      <c r="F1024" s="13">
        <f ca="1">IFERROR(__xludf.DUMMYFUNCTION("""COMPUTED_VALUE"""),0.408333333332848)</f>
        <v>0.40833333333284799</v>
      </c>
      <c r="G1024" s="14">
        <f ca="1">IFERROR(__xludf.DUMMYFUNCTION("""COMPUTED_VALUE"""),45069)</f>
        <v>45069</v>
      </c>
      <c r="H1024" t="str">
        <f ca="1">IFERROR(__xludf.DUMMYFUNCTION("""COMPUTED_VALUE"""),"ICW Sonde Sites")</f>
        <v>ICW Sonde Sites</v>
      </c>
      <c r="I1024" s="15">
        <f ca="1">IFERROR(__xludf.DUMMYFUNCTION("""COMPUTED_VALUE"""),0.58333333333212)</f>
        <v>0.58333333333212001</v>
      </c>
      <c r="J1024" s="16">
        <f ca="1">IFERROR(__xludf.DUMMYFUNCTION("""COMPUTED_VALUE"""),45069.625)</f>
        <v>45069.625</v>
      </c>
      <c r="K1024" t="str">
        <f ca="1">IFERROR(__xludf.DUMMYFUNCTION("""COMPUTED_VALUE"""),"23ft Skiff (Bertha) FL7972LJ DEP07613")</f>
        <v>23ft Skiff (Bertha) FL7972LJ DEP07613</v>
      </c>
      <c r="M1024" t="str">
        <f ca="1">IFERROR(__xludf.DUMMYFUNCTION("""COMPUTED_VALUE"""),"Ford F250 2017 (Moby Dix) - DEP0021578")</f>
        <v>Ford F250 2017 (Moby Dix) - DEP0021578</v>
      </c>
      <c r="N1024" t="str">
        <f ca="1">IFERROR(__xludf.DUMMYFUNCTION("""COMPUTED_VALUE"""),"Shannon Dunnigan, (803) 727-5734")</f>
        <v>Shannon Dunnigan, (803) 727-5734</v>
      </c>
      <c r="O1024" t="str">
        <f ca="1">IFERROR(__xludf.DUMMYFUNCTION("""COMPUTED_VALUE"""),"Jess and Avah")</f>
        <v>Jess and Avah</v>
      </c>
      <c r="P1024" t="str">
        <f ca="1">IFERROR(__xludf.DUMMYFUNCTION("""COMPUTED_VALUE"""),"Shannon")</f>
        <v>Shannon</v>
      </c>
      <c r="AE1024" s="11"/>
      <c r="AF1024" t="str">
        <v>Nikki.Dix@floridadep.gov</v>
      </c>
      <c r="AG1024" s="18"/>
    </row>
    <row r="1025" spans="1:33" ht="12.75">
      <c r="A1025" s="10">
        <f ca="1">IFERROR(__xludf.DUMMYFUNCTION("""COMPUTED_VALUE"""),45078.3209630208)</f>
        <v>45078.3209630208</v>
      </c>
      <c r="B1025" s="11" t="str">
        <f ca="1">IFERROR(__xludf.DUMMYFUNCTION("""COMPUTED_VALUE"""),"Jessica Lee")</f>
        <v>Jessica Lee</v>
      </c>
      <c r="C1025" t="str">
        <f ca="1">IFERROR(__xludf.DUMMYFUNCTION("""COMPUTED_VALUE"""),"jeasica.lee@floridadep.gov")</f>
        <v>jeasica.lee@floridadep.gov</v>
      </c>
      <c r="D1025" t="str">
        <f ca="1">IFERROR(__xludf.DUMMYFUNCTION("""COMPUTED_VALUE"""),"Blythe Odzinski")</f>
        <v>Blythe Odzinski</v>
      </c>
      <c r="E1025" t="str">
        <f ca="1">IFERROR(__xludf.DUMMYFUNCTION("""COMPUTED_VALUE"""),"Guana Dam")</f>
        <v>Guana Dam</v>
      </c>
      <c r="F1025" s="13">
        <f ca="1">IFERROR(__xludf.DUMMYFUNCTION("""COMPUTED_VALUE"""),0.322916666667879)</f>
        <v>0.32291666666787899</v>
      </c>
      <c r="G1025" s="14">
        <f ca="1">IFERROR(__xludf.DUMMYFUNCTION("""COMPUTED_VALUE"""),45078)</f>
        <v>45078</v>
      </c>
      <c r="H1025" t="str">
        <f ca="1">IFERROR(__xludf.DUMMYFUNCTION("""COMPUTED_VALUE"""),"Guana River")</f>
        <v>Guana River</v>
      </c>
      <c r="I1025" s="15">
        <f ca="1">IFERROR(__xludf.DUMMYFUNCTION("""COMPUTED_VALUE"""),0.36458333333212)</f>
        <v>0.36458333333212001</v>
      </c>
      <c r="J1025" s="16">
        <f ca="1">IFERROR(__xludf.DUMMYFUNCTION("""COMPUTED_VALUE"""),45078.375)</f>
        <v>45078.375</v>
      </c>
      <c r="K1025" t="str">
        <f ca="1">IFERROR(__xludf.DUMMYFUNCTION("""COMPUTED_VALUE"""),"Jon Boat 1 FL5992RR DEP154045")</f>
        <v>Jon Boat 1 FL5992RR DEP154045</v>
      </c>
      <c r="M1025" t="str">
        <f ca="1">IFERROR(__xludf.DUMMYFUNCTION("""COMPUTED_VALUE"""),"Ford F150 2015 (White) - DEP21448")</f>
        <v>Ford F150 2015 (White) - DEP21448</v>
      </c>
      <c r="N1025" t="str">
        <f ca="1">IFERROR(__xludf.DUMMYFUNCTION("""COMPUTED_VALUE"""),"Jessica Lee, (813) 748-2228")</f>
        <v>Jessica Lee, (813) 748-2228</v>
      </c>
      <c r="O1025" t="str">
        <f ca="1">IFERROR(__xludf.DUMMYFUNCTION("""COMPUTED_VALUE"""),"Hans, Monica ")</f>
        <v xml:space="preserve">Hans, Monica </v>
      </c>
      <c r="P1025" t="str">
        <f ca="1">IFERROR(__xludf.DUMMYFUNCTION("""COMPUTED_VALUE"""),"Jess")</f>
        <v>Jess</v>
      </c>
      <c r="AE1025" s="11"/>
      <c r="AF1025" t="str">
        <v/>
      </c>
      <c r="AG1025" s="18"/>
    </row>
    <row r="1026" spans="1:33" ht="12.75">
      <c r="A1026" s="10">
        <f ca="1">IFERROR(__xludf.DUMMYFUNCTION("""COMPUTED_VALUE"""),45082.3783101273)</f>
        <v>45082.3783101273</v>
      </c>
      <c r="B1026" s="11" t="str">
        <f ca="1">IFERROR(__xludf.DUMMYFUNCTION("""COMPUTED_VALUE"""),"Shannon Dunnigan")</f>
        <v>Shannon Dunnigan</v>
      </c>
      <c r="C1026" t="str">
        <f ca="1">IFERROR(__xludf.DUMMYFUNCTION("""COMPUTED_VALUE"""),"shannon.dunnigan@dep.state.fl.us")</f>
        <v>shannon.dunnigan@dep.state.fl.us</v>
      </c>
      <c r="D1026" t="str">
        <f ca="1">IFERROR(__xludf.DUMMYFUNCTION("""COMPUTED_VALUE"""),"Shannon Dunnigan")</f>
        <v>Shannon Dunnigan</v>
      </c>
      <c r="E1026" t="str">
        <f ca="1">IFERROR(__xludf.DUMMYFUNCTION("""COMPUTED_VALUE"""),"Crane")</f>
        <v>Crane</v>
      </c>
      <c r="F1026" s="13">
        <f ca="1">IFERROR(__xludf.DUMMYFUNCTION("""COMPUTED_VALUE"""),0.39583333333212)</f>
        <v>0.39583333333212001</v>
      </c>
      <c r="G1026" s="14">
        <f ca="1">IFERROR(__xludf.DUMMYFUNCTION("""COMPUTED_VALUE"""),45082)</f>
        <v>45082</v>
      </c>
      <c r="H1026" t="str">
        <f ca="1">IFERROR(__xludf.DUMMYFUNCTION("""COMPUTED_VALUE"""),"ICW Sonde sites")</f>
        <v>ICW Sonde sites</v>
      </c>
      <c r="I1026" s="15">
        <f ca="1">IFERROR(__xludf.DUMMYFUNCTION("""COMPUTED_VALUE"""),0.604166666667879)</f>
        <v>0.60416666666787899</v>
      </c>
      <c r="J1026" s="16">
        <f ca="1">IFERROR(__xludf.DUMMYFUNCTION("""COMPUTED_VALUE"""),45082.6666666666)</f>
        <v>45082.666666666599</v>
      </c>
      <c r="K1026" t="str">
        <f ca="1">IFERROR(__xludf.DUMMYFUNCTION("""COMPUTED_VALUE"""),"20ft Sea Ark FL5351SJ UNF 2015")</f>
        <v>20ft Sea Ark FL5351SJ UNF 2015</v>
      </c>
      <c r="M1026" t="str">
        <f ca="1">IFERROR(__xludf.DUMMYFUNCTION("""COMPUTED_VALUE"""),"Ford F250 2017 (Moby Dix) - DEP0021578")</f>
        <v>Ford F250 2017 (Moby Dix) - DEP0021578</v>
      </c>
      <c r="N1026" t="str">
        <f ca="1">IFERROR(__xludf.DUMMYFUNCTION("""COMPUTED_VALUE"""),"Shannon Dunnigan, (803) 727-5734, Jacob Berna")</f>
        <v>Shannon Dunnigan, (803) 727-5734, Jacob Berna</v>
      </c>
      <c r="O1026" t="str">
        <f ca="1">IFERROR(__xludf.DUMMYFUNCTION("""COMPUTED_VALUE"""),"Avah Avonda")</f>
        <v>Avah Avonda</v>
      </c>
      <c r="P1026" t="str">
        <f ca="1">IFERROR(__xludf.DUMMYFUNCTION("""COMPUTED_VALUE"""),"Shannon ")</f>
        <v xml:space="preserve">Shannon </v>
      </c>
      <c r="AE1026" s="11"/>
      <c r="AF1026" t="str">
        <v>Shannon.Dunnigan@floridadep.gov</v>
      </c>
      <c r="AG1026" s="18"/>
    </row>
    <row r="1027" spans="1:33" ht="12.75">
      <c r="A1027" s="10">
        <f ca="1">IFERROR(__xludf.DUMMYFUNCTION("""COMPUTED_VALUE"""),45083.4133859606)</f>
        <v>45083.413385960601</v>
      </c>
      <c r="B1027" s="11" t="str">
        <f ca="1">IFERROR(__xludf.DUMMYFUNCTION("""COMPUTED_VALUE"""),"Jimmy")</f>
        <v>Jimmy</v>
      </c>
      <c r="C1027" t="str">
        <f ca="1">IFERROR(__xludf.DUMMYFUNCTION("""COMPUTED_VALUE"""),"james.tomazinis@floridadep.gov")</f>
        <v>james.tomazinis@floridadep.gov</v>
      </c>
      <c r="D1027" t="str">
        <f ca="1">IFERROR(__xludf.DUMMYFUNCTION("""COMPUTED_VALUE"""),"Blythe Odzinski")</f>
        <v>Blythe Odzinski</v>
      </c>
      <c r="E1027" t="str">
        <f ca="1">IFERROR(__xludf.DUMMYFUNCTION("""COMPUTED_VALUE"""),"Guana Dam")</f>
        <v>Guana Dam</v>
      </c>
      <c r="F1027" s="13">
        <f ca="1">IFERROR(__xludf.DUMMYFUNCTION("""COMPUTED_VALUE"""),0.4375)</f>
        <v>0.4375</v>
      </c>
      <c r="G1027" s="14">
        <f ca="1">IFERROR(__xludf.DUMMYFUNCTION("""COMPUTED_VALUE"""),45083)</f>
        <v>45083</v>
      </c>
      <c r="H1027" t="str">
        <f ca="1">IFERROR(__xludf.DUMMYFUNCTION("""COMPUTED_VALUE"""),"Guana River")</f>
        <v>Guana River</v>
      </c>
      <c r="I1027" s="15">
        <f ca="1">IFERROR(__xludf.DUMMYFUNCTION("""COMPUTED_VALUE"""),0.625)</f>
        <v>0.625</v>
      </c>
      <c r="J1027" s="16"/>
      <c r="K1027" t="str">
        <f ca="1">IFERROR(__xludf.DUMMYFUNCTION("""COMPUTED_VALUE"""),"Kayak(s)")</f>
        <v>Kayak(s)</v>
      </c>
      <c r="L1027">
        <f ca="1">IFERROR(__xludf.DUMMYFUNCTION("""COMPUTED_VALUE"""),3)</f>
        <v>3</v>
      </c>
      <c r="M1027" t="str">
        <f ca="1">IFERROR(__xludf.DUMMYFUNCTION("""COMPUTED_VALUE"""),"2022 NEAP F150")</f>
        <v>2022 NEAP F150</v>
      </c>
      <c r="N1027" t="str">
        <f ca="1">IFERROR(__xludf.DUMMYFUNCTION("""COMPUTED_VALUE"""),"Jimmy Tomazinis, (904) 547-0094")</f>
        <v>Jimmy Tomazinis, (904) 547-0094</v>
      </c>
      <c r="O1027" t="str">
        <f ca="1">IFERROR(__xludf.DUMMYFUNCTION("""COMPUTED_VALUE"""),"Nate and Hans")</f>
        <v>Nate and Hans</v>
      </c>
      <c r="P1027" t="str">
        <f ca="1">IFERROR(__xludf.DUMMYFUNCTION("""COMPUTED_VALUE"""),"Jimmy")</f>
        <v>Jimmy</v>
      </c>
      <c r="AE1027" s="11"/>
      <c r="AF1027" t="str">
        <v/>
      </c>
      <c r="AG1027" s="18"/>
    </row>
    <row r="1028" spans="1:33" ht="12.75">
      <c r="A1028" s="10">
        <f ca="1">IFERROR(__xludf.DUMMYFUNCTION("""COMPUTED_VALUE"""),45083.4782767013)</f>
        <v>45083.478276701302</v>
      </c>
      <c r="B1028" s="11" t="str">
        <f ca="1">IFERROR(__xludf.DUMMYFUNCTION("""COMPUTED_VALUE"""),"TEST")</f>
        <v>TEST</v>
      </c>
      <c r="C1028" t="str">
        <f ca="1">IFERROR(__xludf.DUMMYFUNCTION("""COMPUTED_VALUE"""),"Shannon.Dunnigan@dep.state.fl.us")</f>
        <v>Shannon.Dunnigan@dep.state.fl.us</v>
      </c>
      <c r="D1028" t="str">
        <f ca="1">IFERROR(__xludf.DUMMYFUNCTION("""COMPUTED_VALUE"""),"Jessica Lee")</f>
        <v>Jessica Lee</v>
      </c>
      <c r="E1028" t="str">
        <f ca="1">IFERROR(__xludf.DUMMYFUNCTION("""COMPUTED_VALUE"""),"Guana Dam")</f>
        <v>Guana Dam</v>
      </c>
      <c r="F1028" s="13">
        <f ca="1">IFERROR(__xludf.DUMMYFUNCTION("""COMPUTED_VALUE"""),0.45833333333212)</f>
        <v>0.45833333333212001</v>
      </c>
      <c r="G1028" s="14">
        <f ca="1">IFERROR(__xludf.DUMMYFUNCTION("""COMPUTED_VALUE"""),45083)</f>
        <v>45083</v>
      </c>
      <c r="H1028" t="str">
        <f ca="1">IFERROR(__xludf.DUMMYFUNCTION("""COMPUTED_VALUE"""),"The Office")</f>
        <v>The Office</v>
      </c>
      <c r="I1028" s="15">
        <f ca="1">IFERROR(__xludf.DUMMYFUNCTION("""COMPUTED_VALUE"""),0.5)</f>
        <v>0.5</v>
      </c>
      <c r="J1028" s="16">
        <f ca="1">IFERROR(__xludf.DUMMYFUNCTION("""COMPUTED_VALUE"""),45083.5034722222)</f>
        <v>45083.503472222197</v>
      </c>
      <c r="K1028" t="str">
        <f ca="1">IFERROR(__xludf.DUMMYFUNCTION("""COMPUTED_VALUE"""),"Canoe(s)")</f>
        <v>Canoe(s)</v>
      </c>
      <c r="L1028">
        <f ca="1">IFERROR(__xludf.DUMMYFUNCTION("""COMPUTED_VALUE"""),1)</f>
        <v>1</v>
      </c>
      <c r="M1028" t="str">
        <f ca="1">IFERROR(__xludf.DUMMYFUNCTION("""COMPUTED_VALUE"""),"Ford Explorer 2019 (ML AP/Stewardship) - DEP21833")</f>
        <v>Ford Explorer 2019 (ML AP/Stewardship) - DEP21833</v>
      </c>
      <c r="N1028" t="str">
        <f ca="1">IFERROR(__xludf.DUMMYFUNCTION("""COMPUTED_VALUE"""),"Jacob Berna, (904) 392-1966, Shannon Dunnigan, (803) 727-5734")</f>
        <v>Jacob Berna, (904) 392-1966, Shannon Dunnigan, (803) 727-5734</v>
      </c>
      <c r="P1028" t="str">
        <f ca="1">IFERROR(__xludf.DUMMYFUNCTION("""COMPUTED_VALUE"""),"Jacob")</f>
        <v>Jacob</v>
      </c>
      <c r="AE1028" s="11"/>
      <c r="AF1028" t="str">
        <v/>
      </c>
      <c r="AG1028" s="18"/>
    </row>
    <row r="1029" spans="1:33" ht="12.75">
      <c r="A1029" s="10">
        <f ca="1">IFERROR(__xludf.DUMMYFUNCTION("""COMPUTED_VALUE"""),45083.4909826041)</f>
        <v>45083.490982604097</v>
      </c>
      <c r="B1029" s="11" t="str">
        <f ca="1">IFERROR(__xludf.DUMMYFUNCTION("""COMPUTED_VALUE"""),"TEST2")</f>
        <v>TEST2</v>
      </c>
      <c r="C1029" t="str">
        <f ca="1">IFERROR(__xludf.DUMMYFUNCTION("""COMPUTED_VALUE"""),"Shannon.Dunnigan@dep.state.fl.us")</f>
        <v>Shannon.Dunnigan@dep.state.fl.us</v>
      </c>
      <c r="D1029" t="str">
        <f ca="1">IFERROR(__xludf.DUMMYFUNCTION("""COMPUTED_VALUE"""),"Jessica Lee")</f>
        <v>Jessica Lee</v>
      </c>
      <c r="E1029" t="str">
        <f ca="1">IFERROR(__xludf.DUMMYFUNCTION("""COMPUTED_VALUE"""),"Palm Valley Boat Ramp")</f>
        <v>Palm Valley Boat Ramp</v>
      </c>
      <c r="F1029" s="13">
        <f ca="1">IFERROR(__xludf.DUMMYFUNCTION("""COMPUTED_VALUE"""),0.5)</f>
        <v>0.5</v>
      </c>
      <c r="G1029" s="14">
        <f ca="1">IFERROR(__xludf.DUMMYFUNCTION("""COMPUTED_VALUE"""),45083)</f>
        <v>45083</v>
      </c>
      <c r="H1029" t="str">
        <f ca="1">IFERROR(__xludf.DUMMYFUNCTION("""COMPUTED_VALUE"""),"Nowhere")</f>
        <v>Nowhere</v>
      </c>
      <c r="I1029" s="15">
        <f ca="1">IFERROR(__xludf.DUMMYFUNCTION("""COMPUTED_VALUE"""),0.541666666667879)</f>
        <v>0.54166666666787899</v>
      </c>
      <c r="J1029" s="16">
        <f ca="1">IFERROR(__xludf.DUMMYFUNCTION("""COMPUTED_VALUE"""),45083.5625)</f>
        <v>45083.5625</v>
      </c>
      <c r="K1029" t="str">
        <f ca="1">IFERROR(__xludf.DUMMYFUNCTION("""COMPUTED_VALUE"""),"F 20ft Sea Ark (Easy 200) FL8534PY DEP21451")</f>
        <v>F 20ft Sea Ark (Easy 200) FL8534PY DEP21451</v>
      </c>
      <c r="M1029" t="str">
        <f ca="1">IFERROR(__xludf.DUMMYFUNCTION("""COMPUTED_VALUE"""),"Ford F250 2017 (Moby Dix) - DEP0021578")</f>
        <v>Ford F250 2017 (Moby Dix) - DEP0021578</v>
      </c>
      <c r="N1029" t="str">
        <f ca="1">IFERROR(__xludf.DUMMYFUNCTION("""COMPUTED_VALUE"""),"Jacob Berna, (904) 392-1966, Shannon Dunnigan, (803) 727-5734")</f>
        <v>Jacob Berna, (904) 392-1966, Shannon Dunnigan, (803) 727-5734</v>
      </c>
      <c r="P1029" t="str">
        <f ca="1">IFERROR(__xludf.DUMMYFUNCTION("""COMPUTED_VALUE"""),"Shannon")</f>
        <v>Shannon</v>
      </c>
      <c r="AE1029" s="11"/>
      <c r="AF1029" t="str">
        <v/>
      </c>
      <c r="AG1029" s="18"/>
    </row>
    <row r="1030" spans="1:33" ht="12.75">
      <c r="A1030" s="10">
        <f ca="1">IFERROR(__xludf.DUMMYFUNCTION("""COMPUTED_VALUE"""),45083.5020141088)</f>
        <v>45083.502014108803</v>
      </c>
      <c r="B1030" s="11" t="str">
        <f ca="1">IFERROR(__xludf.DUMMYFUNCTION("""COMPUTED_VALUE"""),"TEST3")</f>
        <v>TEST3</v>
      </c>
      <c r="C1030" t="str">
        <f ca="1">IFERROR(__xludf.DUMMYFUNCTION("""COMPUTED_VALUE"""),"Shannon.Dunnigan@dep.state.fl.us")</f>
        <v>Shannon.Dunnigan@dep.state.fl.us</v>
      </c>
      <c r="D1030" t="str">
        <f ca="1">IFERROR(__xludf.DUMMYFUNCTION("""COMPUTED_VALUE"""),"Jessica Lee")</f>
        <v>Jessica Lee</v>
      </c>
      <c r="E1030" t="str">
        <f ca="1">IFERROR(__xludf.DUMMYFUNCTION("""COMPUTED_VALUE"""),"Bing's Landing")</f>
        <v>Bing's Landing</v>
      </c>
      <c r="F1030" s="13">
        <f ca="1">IFERROR(__xludf.DUMMYFUNCTION("""COMPUTED_VALUE"""),0.5)</f>
        <v>0.5</v>
      </c>
      <c r="G1030" s="14">
        <f ca="1">IFERROR(__xludf.DUMMYFUNCTION("""COMPUTED_VALUE"""),45083)</f>
        <v>45083</v>
      </c>
      <c r="H1030" t="str">
        <f ca="1">IFERROR(__xludf.DUMMYFUNCTION("""COMPUTED_VALUE"""),"Nowhere, this is a test of the float plan update")</f>
        <v>Nowhere, this is a test of the float plan update</v>
      </c>
      <c r="I1030" s="15">
        <f ca="1">IFERROR(__xludf.DUMMYFUNCTION("""COMPUTED_VALUE"""),0.542361111110949)</f>
        <v>0.54236111111094898</v>
      </c>
      <c r="J1030" s="16">
        <f ca="1">IFERROR(__xludf.DUMMYFUNCTION("""COMPUTED_VALUE"""),0.5625)</f>
        <v>0.5625</v>
      </c>
      <c r="K1030" t="str">
        <f ca="1">IFERROR(__xludf.DUMMYFUNCTION("""COMPUTED_VALUE"""),"F 20ft Sea Ark (Easy 200) FL8534PY DEP21451")</f>
        <v>F 20ft Sea Ark (Easy 200) FL8534PY DEP21451</v>
      </c>
      <c r="M1030" t="str">
        <f ca="1">IFERROR(__xludf.DUMMYFUNCTION("""COMPUTED_VALUE"""),"Ford F250 2017 (Moby Dix) - DEP0021578")</f>
        <v>Ford F250 2017 (Moby Dix) - DEP0021578</v>
      </c>
      <c r="N1030" t="str">
        <f ca="1">IFERROR(__xludf.DUMMYFUNCTION("""COMPUTED_VALUE"""),"Jacob Berna, (904) 392-1966, Jessica Lee, (813) 748-2228")</f>
        <v>Jacob Berna, (904) 392-1966, Jessica Lee, (813) 748-2228</v>
      </c>
      <c r="P1030" t="str">
        <f ca="1">IFERROR(__xludf.DUMMYFUNCTION("""COMPUTED_VALUE"""),"Shannon")</f>
        <v>Shannon</v>
      </c>
      <c r="AE1030" s="11"/>
      <c r="AF1030" t="str">
        <v/>
      </c>
      <c r="AG1030" s="18"/>
    </row>
    <row r="1031" spans="1:33" ht="12.75">
      <c r="A1031" s="10">
        <f ca="1">IFERROR(__xludf.DUMMYFUNCTION("""COMPUTED_VALUE"""),45083.5065007407)</f>
        <v>45083.506500740703</v>
      </c>
      <c r="B1031" s="11" t="str">
        <f ca="1">IFERROR(__xludf.DUMMYFUNCTION("""COMPUTED_VALUE"""),"TEST4")</f>
        <v>TEST4</v>
      </c>
      <c r="C1031" t="str">
        <f ca="1">IFERROR(__xludf.DUMMYFUNCTION("""COMPUTED_VALUE"""),"Shannon.Dunnigan@dep.state.fl.us")</f>
        <v>Shannon.Dunnigan@dep.state.fl.us</v>
      </c>
      <c r="D1031" t="str">
        <f ca="1">IFERROR(__xludf.DUMMYFUNCTION("""COMPUTED_VALUE"""),"Shannon Dunnigan")</f>
        <v>Shannon Dunnigan</v>
      </c>
      <c r="E1031" t="str">
        <f ca="1">IFERROR(__xludf.DUMMYFUNCTION("""COMPUTED_VALUE"""),"Palm Valley Boat Ramp")</f>
        <v>Palm Valley Boat Ramp</v>
      </c>
      <c r="F1031" s="13">
        <f ca="1">IFERROR(__xludf.DUMMYFUNCTION("""COMPUTED_VALUE"""),0.252083333332848)</f>
        <v>0.25208333333284799</v>
      </c>
      <c r="G1031" s="14">
        <f ca="1">IFERROR(__xludf.DUMMYFUNCTION("""COMPUTED_VALUE"""),45083)</f>
        <v>45083</v>
      </c>
      <c r="H1031" t="str">
        <f ca="1">IFERROR(__xludf.DUMMYFUNCTION("""COMPUTED_VALUE"""),"Nowhere, this is a test")</f>
        <v>Nowhere, this is a test</v>
      </c>
      <c r="I1031" s="15">
        <f ca="1">IFERROR(__xludf.DUMMYFUNCTION("""COMPUTED_VALUE"""),0.211805555554747)</f>
        <v>0.211805555554747</v>
      </c>
      <c r="J1031" s="16">
        <f ca="1">IFERROR(__xludf.DUMMYFUNCTION("""COMPUTED_VALUE"""),0.211805555554747)</f>
        <v>0.211805555554747</v>
      </c>
      <c r="K1031" t="str">
        <f ca="1">IFERROR(__xludf.DUMMYFUNCTION("""COMPUTED_VALUE"""),"F 20ft Sea Ark (Easy 200) FL8534PY DEP21451")</f>
        <v>F 20ft Sea Ark (Easy 200) FL8534PY DEP21451</v>
      </c>
      <c r="M1031" t="str">
        <f ca="1">IFERROR(__xludf.DUMMYFUNCTION("""COMPUTED_VALUE"""),"Ford F250 2017 (Moby Dix) - DEP0021578")</f>
        <v>Ford F250 2017 (Moby Dix) - DEP0021578</v>
      </c>
      <c r="N1031" t="str">
        <f ca="1">IFERROR(__xludf.DUMMYFUNCTION("""COMPUTED_VALUE"""),"Jacob Berna, (904) 392-1966")</f>
        <v>Jacob Berna, (904) 392-1966</v>
      </c>
      <c r="P1031" t="str">
        <f ca="1">IFERROR(__xludf.DUMMYFUNCTION("""COMPUTED_VALUE"""),"Shannon")</f>
        <v>Shannon</v>
      </c>
      <c r="AE1031" s="11"/>
      <c r="AF1031" t="str">
        <v>Shannon.Dunnigan@floridadep.gov</v>
      </c>
      <c r="AG1031" s="18"/>
    </row>
    <row r="1032" spans="1:33" ht="12.75">
      <c r="A1032" s="10">
        <f ca="1">IFERROR(__xludf.DUMMYFUNCTION("""COMPUTED_VALUE"""),45083.5077525)</f>
        <v>45083.507752500002</v>
      </c>
      <c r="B1032" s="11" t="str">
        <f ca="1">IFERROR(__xludf.DUMMYFUNCTION("""COMPUTED_VALUE"""),"TEST5")</f>
        <v>TEST5</v>
      </c>
      <c r="C1032" t="str">
        <f ca="1">IFERROR(__xludf.DUMMYFUNCTION("""COMPUTED_VALUE"""),"Shannon.Dunnigan@dep.state.fl.us")</f>
        <v>Shannon.Dunnigan@dep.state.fl.us</v>
      </c>
      <c r="D1032" t="str">
        <f ca="1">IFERROR(__xludf.DUMMYFUNCTION("""COMPUTED_VALUE"""),"Blythe Odzinski")</f>
        <v>Blythe Odzinski</v>
      </c>
      <c r="E1032" t="str">
        <f ca="1">IFERROR(__xludf.DUMMYFUNCTION("""COMPUTED_VALUE"""),"Guana Dam")</f>
        <v>Guana Dam</v>
      </c>
      <c r="F1032" s="13">
        <f ca="1">IFERROR(__xludf.DUMMYFUNCTION("""COMPUTED_VALUE"""),0.381249999998544)</f>
        <v>0.38124999999854398</v>
      </c>
      <c r="G1032" s="14">
        <f ca="1">IFERROR(__xludf.DUMMYFUNCTION("""COMPUTED_VALUE"""),45083)</f>
        <v>45083</v>
      </c>
      <c r="H1032" t="str">
        <f ca="1">IFERROR(__xludf.DUMMYFUNCTION("""COMPUTED_VALUE"""),"Nowhere, this is a test ")</f>
        <v xml:space="preserve">Nowhere, this is a test </v>
      </c>
      <c r="I1032" s="15">
        <f ca="1">IFERROR(__xludf.DUMMYFUNCTION("""COMPUTED_VALUE"""),0.211805555554747)</f>
        <v>0.211805555554747</v>
      </c>
      <c r="J1032" s="16">
        <f ca="1">IFERROR(__xludf.DUMMYFUNCTION("""COMPUTED_VALUE"""),0.211805555554747)</f>
        <v>0.211805555554747</v>
      </c>
      <c r="K1032" t="str">
        <f ca="1">IFERROR(__xludf.DUMMYFUNCTION("""COMPUTED_VALUE"""),"F 20ft Sea Ark (Easy 200) FL8534PY DEP21451")</f>
        <v>F 20ft Sea Ark (Easy 200) FL8534PY DEP21451</v>
      </c>
      <c r="M1032" t="str">
        <f ca="1">IFERROR(__xludf.DUMMYFUNCTION("""COMPUTED_VALUE"""),"Ford F250 2017 (Moby Dix) - DEP0021578")</f>
        <v>Ford F250 2017 (Moby Dix) - DEP0021578</v>
      </c>
      <c r="N1032" t="str">
        <f ca="1">IFERROR(__xludf.DUMMYFUNCTION("""COMPUTED_VALUE"""),"Jacob Berna, (904) 392-1966")</f>
        <v>Jacob Berna, (904) 392-1966</v>
      </c>
      <c r="P1032" t="str">
        <f ca="1">IFERROR(__xludf.DUMMYFUNCTION("""COMPUTED_VALUE"""),"Shannon")</f>
        <v>Shannon</v>
      </c>
      <c r="AE1032" s="11"/>
      <c r="AF1032" t="str">
        <v/>
      </c>
      <c r="AG1032" s="18"/>
    </row>
    <row r="1033" spans="1:33" ht="12.75">
      <c r="A1033" s="10">
        <f ca="1">IFERROR(__xludf.DUMMYFUNCTION("""COMPUTED_VALUE"""),45083.5108640856)</f>
        <v>45083.510864085598</v>
      </c>
      <c r="B1033" s="11" t="str">
        <f ca="1">IFERROR(__xludf.DUMMYFUNCTION("""COMPUTED_VALUE"""),"TEST6")</f>
        <v>TEST6</v>
      </c>
      <c r="C1033" t="str">
        <f ca="1">IFERROR(__xludf.DUMMYFUNCTION("""COMPUTED_VALUE"""),"Shannon.Dunnigan@dep.state.fl.us")</f>
        <v>Shannon.Dunnigan@dep.state.fl.us</v>
      </c>
      <c r="D1033" t="str">
        <f ca="1">IFERROR(__xludf.DUMMYFUNCTION("""COMPUTED_VALUE"""),"Blythe Odzinski")</f>
        <v>Blythe Odzinski</v>
      </c>
      <c r="E1033" t="str">
        <f ca="1">IFERROR(__xludf.DUMMYFUNCTION("""COMPUTED_VALUE"""),"Palm Valley Boat Ramp")</f>
        <v>Palm Valley Boat Ramp</v>
      </c>
      <c r="F1033" s="13">
        <f ca="1">IFERROR(__xludf.DUMMYFUNCTION("""COMPUTED_VALUE"""),0)</f>
        <v>0</v>
      </c>
      <c r="G1033" s="14">
        <f ca="1">IFERROR(__xludf.DUMMYFUNCTION("""COMPUTED_VALUE"""),45083)</f>
        <v>45083</v>
      </c>
      <c r="H1033" t="str">
        <f ca="1">IFERROR(__xludf.DUMMYFUNCTION("""COMPUTED_VALUE"""),"Nowhere, this is a test")</f>
        <v>Nowhere, this is a test</v>
      </c>
      <c r="I1033" s="15">
        <f ca="1">IFERROR(__xludf.DUMMYFUNCTION("""COMPUTED_VALUE"""),0)</f>
        <v>0</v>
      </c>
      <c r="J1033" s="16">
        <f ca="1">IFERROR(__xludf.DUMMYFUNCTION("""COMPUTED_VALUE"""),0.0416666666678793)</f>
        <v>4.1666666667879299E-2</v>
      </c>
      <c r="K1033" t="str">
        <f ca="1">IFERROR(__xludf.DUMMYFUNCTION("""COMPUTED_VALUE"""),"F 20ft Sea Ark (Easy 200) FL8534PY DEP21451")</f>
        <v>F 20ft Sea Ark (Easy 200) FL8534PY DEP21451</v>
      </c>
      <c r="M1033" t="str">
        <f ca="1">IFERROR(__xludf.DUMMYFUNCTION("""COMPUTED_VALUE"""),"Ford F250 2017 (Moby Dix) - DEP0021578")</f>
        <v>Ford F250 2017 (Moby Dix) - DEP0021578</v>
      </c>
      <c r="N1033" t="str">
        <f ca="1">IFERROR(__xludf.DUMMYFUNCTION("""COMPUTED_VALUE"""),"Jessica Lee, (813) 748-2228")</f>
        <v>Jessica Lee, (813) 748-2228</v>
      </c>
      <c r="P1033" t="str">
        <f ca="1">IFERROR(__xludf.DUMMYFUNCTION("""COMPUTED_VALUE"""),"TEST6")</f>
        <v>TEST6</v>
      </c>
      <c r="AE1033" s="11"/>
      <c r="AF1033" t="str">
        <v/>
      </c>
      <c r="AG1033" s="18"/>
    </row>
    <row r="1034" spans="1:33" ht="12.75">
      <c r="A1034" s="10">
        <f ca="1">IFERROR(__xludf.DUMMYFUNCTION("""COMPUTED_VALUE"""),45083.5131900115)</f>
        <v>45083.513190011501</v>
      </c>
      <c r="B1034" s="11" t="str">
        <f ca="1">IFERROR(__xludf.DUMMYFUNCTION("""COMPUTED_VALUE"""),"TEST7")</f>
        <v>TEST7</v>
      </c>
      <c r="C1034" t="str">
        <f ca="1">IFERROR(__xludf.DUMMYFUNCTION("""COMPUTED_VALUE"""),"Shannon.Dunnigan@dep.state.fl.us")</f>
        <v>Shannon.Dunnigan@dep.state.fl.us</v>
      </c>
      <c r="D1034" t="str">
        <f ca="1">IFERROR(__xludf.DUMMYFUNCTION("""COMPUTED_VALUE"""),"Jessica Lee")</f>
        <v>Jessica Lee</v>
      </c>
      <c r="E1034" t="str">
        <f ca="1">IFERROR(__xludf.DUMMYFUNCTION("""COMPUTED_VALUE"""),"Palm Valley Boat Ramp")</f>
        <v>Palm Valley Boat Ramp</v>
      </c>
      <c r="F1034" s="13">
        <f ca="1">IFERROR(__xludf.DUMMYFUNCTION("""COMPUTED_VALUE"""),0.0423611111109494)</f>
        <v>4.2361111110949402E-2</v>
      </c>
      <c r="G1034" s="14">
        <f ca="1">IFERROR(__xludf.DUMMYFUNCTION("""COMPUTED_VALUE"""),45083)</f>
        <v>45083</v>
      </c>
      <c r="H1034" t="str">
        <f ca="1">IFERROR(__xludf.DUMMYFUNCTION("""COMPUTED_VALUE"""),"Nowhere, this is a test")</f>
        <v>Nowhere, this is a test</v>
      </c>
      <c r="I1034" s="15">
        <f ca="1">IFERROR(__xludf.DUMMYFUNCTION("""COMPUTED_VALUE"""),0.0423611111109494)</f>
        <v>4.2361111110949402E-2</v>
      </c>
      <c r="J1034" s="16">
        <f ca="1">IFERROR(__xludf.DUMMYFUNCTION("""COMPUTED_VALUE"""),0.0423611111109494)</f>
        <v>4.2361111110949402E-2</v>
      </c>
      <c r="K1034" t="str">
        <f ca="1">IFERROR(__xludf.DUMMYFUNCTION("""COMPUTED_VALUE"""),"F 20ft Sea Ark (Easy 200) FL8534PY DEP21451")</f>
        <v>F 20ft Sea Ark (Easy 200) FL8534PY DEP21451</v>
      </c>
      <c r="M1034" t="str">
        <f ca="1">IFERROR(__xludf.DUMMYFUNCTION("""COMPUTED_VALUE"""),"Ford F250 2017 (Moby Dix) - DEP0021578")</f>
        <v>Ford F250 2017 (Moby Dix) - DEP0021578</v>
      </c>
      <c r="N1034" t="str">
        <f ca="1">IFERROR(__xludf.DUMMYFUNCTION("""COMPUTED_VALUE"""),"Jacob Berna, (904) 392-1966")</f>
        <v>Jacob Berna, (904) 392-1966</v>
      </c>
      <c r="P1034" t="str">
        <f ca="1">IFERROR(__xludf.DUMMYFUNCTION("""COMPUTED_VALUE"""),"TEST")</f>
        <v>TEST</v>
      </c>
      <c r="AE1034" s="11"/>
      <c r="AF1034" t="str">
        <v/>
      </c>
      <c r="AG1034" s="18"/>
    </row>
    <row r="1035" spans="1:33" ht="12.75">
      <c r="A1035" s="10">
        <f ca="1">IFERROR(__xludf.DUMMYFUNCTION("""COMPUTED_VALUE"""),45084.339477037)</f>
        <v>45084.339477037</v>
      </c>
      <c r="B1035" s="11" t="str">
        <f ca="1">IFERROR(__xludf.DUMMYFUNCTION("""COMPUTED_VALUE"""),"Jacob Berna")</f>
        <v>Jacob Berna</v>
      </c>
      <c r="C1035" t="str">
        <f ca="1">IFERROR(__xludf.DUMMYFUNCTION("""COMPUTED_VALUE"""),"Jacob.Berna@FloridaDEP.gov")</f>
        <v>Jacob.Berna@FloridaDEP.gov</v>
      </c>
      <c r="D1035" t="str">
        <f ca="1">IFERROR(__xludf.DUMMYFUNCTION("""COMPUTED_VALUE"""),"Blythe Odzinski")</f>
        <v>Blythe Odzinski</v>
      </c>
      <c r="E1035" t="str">
        <f ca="1">IFERROR(__xludf.DUMMYFUNCTION("""COMPUTED_VALUE"""),"Faver-Dykes State Park Boat Ramp")</f>
        <v>Faver-Dykes State Park Boat Ramp</v>
      </c>
      <c r="F1035" s="13">
        <f ca="1">IFERROR(__xludf.DUMMYFUNCTION("""COMPUTED_VALUE"""),0.33333333333212)</f>
        <v>0.33333333333212001</v>
      </c>
      <c r="G1035" s="14">
        <f ca="1">IFERROR(__xludf.DUMMYFUNCTION("""COMPUTED_VALUE"""),45084)</f>
        <v>45084</v>
      </c>
      <c r="H1035" t="str">
        <f ca="1">IFERROR(__xludf.DUMMYFUNCTION("""COMPUTED_VALUE"""),"Pc Transects ")</f>
        <v xml:space="preserve">Pc Transects </v>
      </c>
      <c r="I1035" s="15">
        <f ca="1">IFERROR(__xludf.DUMMYFUNCTION("""COMPUTED_VALUE"""),0.58333333333212)</f>
        <v>0.58333333333212001</v>
      </c>
      <c r="J1035" s="16">
        <f ca="1">IFERROR(__xludf.DUMMYFUNCTION("""COMPUTED_VALUE"""),45084.625)</f>
        <v>45084.625</v>
      </c>
      <c r="K1035" t="str">
        <f ca="1">IFERROR(__xludf.DUMMYFUNCTION("""COMPUTED_VALUE"""),"20ft Sea Ark FL5351SJ UNF 2015")</f>
        <v>20ft Sea Ark FL5351SJ UNF 2015</v>
      </c>
      <c r="M1035" t="str">
        <f ca="1">IFERROR(__xludf.DUMMYFUNCTION("""COMPUTED_VALUE"""),"Ford F250 2017 (Moby Dix) - DEP0021578")</f>
        <v>Ford F250 2017 (Moby Dix) - DEP0021578</v>
      </c>
      <c r="N1035" t="str">
        <f ca="1">IFERROR(__xludf.DUMMYFUNCTION("""COMPUTED_VALUE"""),"Jacob Berna, (904) 392-1966")</f>
        <v>Jacob Berna, (904) 392-1966</v>
      </c>
      <c r="O1035" t="str">
        <f ca="1">IFERROR(__xludf.DUMMYFUNCTION("""COMPUTED_VALUE"""),"Hans Prevost, Avah")</f>
        <v>Hans Prevost, Avah</v>
      </c>
      <c r="P1035" t="str">
        <f ca="1">IFERROR(__xludf.DUMMYFUNCTION("""COMPUTED_VALUE"""),"Jacob Berna")</f>
        <v>Jacob Berna</v>
      </c>
      <c r="AE1035" s="11"/>
      <c r="AF1035" t="str">
        <v/>
      </c>
      <c r="AG1035" s="18"/>
    </row>
    <row r="1036" spans="1:33" ht="12.75">
      <c r="A1036" s="10">
        <f ca="1">IFERROR(__xludf.DUMMYFUNCTION("""COMPUTED_VALUE"""),45084.3421329282)</f>
        <v>45084.342132928199</v>
      </c>
      <c r="B1036" s="11" t="str">
        <f ca="1">IFERROR(__xludf.DUMMYFUNCTION("""COMPUTED_VALUE"""),"Jimmy")</f>
        <v>Jimmy</v>
      </c>
      <c r="C1036" t="str">
        <f ca="1">IFERROR(__xludf.DUMMYFUNCTION("""COMPUTED_VALUE"""),"james.tomazinis@floridadep.gov")</f>
        <v>james.tomazinis@floridadep.gov</v>
      </c>
      <c r="D1036" t="str">
        <f ca="1">IFERROR(__xludf.DUMMYFUNCTION("""COMPUTED_VALUE"""),"Blythe Odzinski")</f>
        <v>Blythe Odzinski</v>
      </c>
      <c r="E1036" t="str">
        <f ca="1">IFERROR(__xludf.DUMMYFUNCTION("""COMPUTED_VALUE"""),"Dee Dee Bartels and Holly Point")</f>
        <v>Dee Dee Bartels and Holly Point</v>
      </c>
      <c r="F1036" s="13">
        <f ca="1">IFERROR(__xludf.DUMMYFUNCTION("""COMPUTED_VALUE"""),0.42708333333212)</f>
        <v>0.42708333333212001</v>
      </c>
      <c r="G1036" s="14">
        <f ca="1">IFERROR(__xludf.DUMMYFUNCTION("""COMPUTED_VALUE"""),45084)</f>
        <v>45084</v>
      </c>
      <c r="H1036" t="str">
        <f ca="1">IFERROR(__xludf.DUMMYFUNCTION("""COMPUTED_VALUE"""),"NEAP WQ Sites ")</f>
        <v xml:space="preserve">NEAP WQ Sites </v>
      </c>
      <c r="I1036" s="15">
        <f ca="1">IFERROR(__xludf.DUMMYFUNCTION("""COMPUTED_VALUE"""),0.14583333333212)</f>
        <v>0.14583333333212001</v>
      </c>
      <c r="J1036" s="16"/>
      <c r="K1036" t="str">
        <f ca="1">IFERROR(__xludf.DUMMYFUNCTION("""COMPUTED_VALUE"""),"F 20ft Sea Ark (Easy 200) FL8534PY DEP21451")</f>
        <v>F 20ft Sea Ark (Easy 200) FL8534PY DEP21451</v>
      </c>
      <c r="M1036" t="str">
        <f ca="1">IFERROR(__xludf.DUMMYFUNCTION("""COMPUTED_VALUE"""),"2022 NEAP 150")</f>
        <v>2022 NEAP 150</v>
      </c>
      <c r="N1036" t="str">
        <f ca="1">IFERROR(__xludf.DUMMYFUNCTION("""COMPUTED_VALUE"""),"Jimmy Tomazinis, (904) 547-0094")</f>
        <v>Jimmy Tomazinis, (904) 547-0094</v>
      </c>
      <c r="O1036" t="str">
        <f ca="1">IFERROR(__xludf.DUMMYFUNCTION("""COMPUTED_VALUE"""),"Chris Kurtz")</f>
        <v>Chris Kurtz</v>
      </c>
      <c r="P1036" t="str">
        <f ca="1">IFERROR(__xludf.DUMMYFUNCTION("""COMPUTED_VALUE"""),"Jimmy")</f>
        <v>Jimmy</v>
      </c>
      <c r="AE1036" s="11"/>
      <c r="AF1036" t="str">
        <v/>
      </c>
      <c r="AG1036" s="18"/>
    </row>
    <row r="1037" spans="1:33" ht="12.75">
      <c r="A1037" s="10">
        <f ca="1">IFERROR(__xludf.DUMMYFUNCTION("""COMPUTED_VALUE"""),45085.3474965972)</f>
        <v>45085.347496597198</v>
      </c>
      <c r="B1037" s="11" t="str">
        <f ca="1">IFERROR(__xludf.DUMMYFUNCTION("""COMPUTED_VALUE"""),"Hans Prevost ")</f>
        <v xml:space="preserve">Hans Prevost </v>
      </c>
      <c r="C1037" t="str">
        <f ca="1">IFERROR(__xludf.DUMMYFUNCTION("""COMPUTED_VALUE"""),"hans.prevost@floridadep.gov")</f>
        <v>hans.prevost@floridadep.gov</v>
      </c>
      <c r="D1037" t="str">
        <f ca="1">IFERROR(__xludf.DUMMYFUNCTION("""COMPUTED_VALUE"""),"Shannon Dunnigan")</f>
        <v>Shannon Dunnigan</v>
      </c>
      <c r="E1037" t="str">
        <f ca="1">IFERROR(__xludf.DUMMYFUNCTION("""COMPUTED_VALUE"""),"Faver-Dykes State Park Boat Ramp")</f>
        <v>Faver-Dykes State Park Boat Ramp</v>
      </c>
      <c r="F1037" s="13">
        <f ca="1">IFERROR(__xludf.DUMMYFUNCTION("""COMPUTED_VALUE"""),0.375)</f>
        <v>0.375</v>
      </c>
      <c r="G1037" s="14">
        <f ca="1">IFERROR(__xludf.DUMMYFUNCTION("""COMPUTED_VALUE"""),45085)</f>
        <v>45085</v>
      </c>
      <c r="H1037" t="str">
        <f ca="1">IFERROR(__xludf.DUMMYFUNCTION("""COMPUTED_VALUE"""),"PC middle transect ")</f>
        <v xml:space="preserve">PC middle transect </v>
      </c>
      <c r="I1037" s="15">
        <f ca="1">IFERROR(__xludf.DUMMYFUNCTION("""COMPUTED_VALUE"""),0.625)</f>
        <v>0.625</v>
      </c>
      <c r="J1037" s="16">
        <f ca="1">IFERROR(__xludf.DUMMYFUNCTION("""COMPUTED_VALUE"""),45085.6666666666)</f>
        <v>45085.666666666599</v>
      </c>
      <c r="K1037" t="str">
        <f ca="1">IFERROR(__xludf.DUMMYFUNCTION("""COMPUTED_VALUE"""),"20ft Sea Ark FL5351SJ UNF 2015")</f>
        <v>20ft Sea Ark FL5351SJ UNF 2015</v>
      </c>
      <c r="M1037" t="str">
        <f ca="1">IFERROR(__xludf.DUMMYFUNCTION("""COMPUTED_VALUE"""),"Ford F250 2017 (Moby Dix) - DEP0021578")</f>
        <v>Ford F250 2017 (Moby Dix) - DEP0021578</v>
      </c>
      <c r="N1037" t="str">
        <f ca="1">IFERROR(__xludf.DUMMYFUNCTION("""COMPUTED_VALUE"""),"Jacob Berna, (904) 392-1966")</f>
        <v>Jacob Berna, (904) 392-1966</v>
      </c>
      <c r="O1037" t="str">
        <f ca="1">IFERROR(__xludf.DUMMYFUNCTION("""COMPUTED_VALUE"""),"Hans Prevost, Avah Avonda ")</f>
        <v xml:space="preserve">Hans Prevost, Avah Avonda </v>
      </c>
      <c r="P1037" t="str">
        <f ca="1">IFERROR(__xludf.DUMMYFUNCTION("""COMPUTED_VALUE"""),"Jacob Berna ")</f>
        <v xml:space="preserve">Jacob Berna </v>
      </c>
      <c r="AE1037" s="11"/>
      <c r="AF1037" t="str">
        <v>Shannon.Dunnigan@floridadep.gov</v>
      </c>
      <c r="AG1037" s="18"/>
    </row>
    <row r="1038" spans="1:33" ht="12.75">
      <c r="A1038" s="10">
        <f ca="1">IFERROR(__xludf.DUMMYFUNCTION("""COMPUTED_VALUE"""),45089.4965325578)</f>
        <v>45089.496532557801</v>
      </c>
      <c r="B1038" s="11" t="str">
        <f ca="1">IFERROR(__xludf.DUMMYFUNCTION("""COMPUTED_VALUE"""),"Jacob Berna")</f>
        <v>Jacob Berna</v>
      </c>
      <c r="C1038" t="str">
        <f ca="1">IFERROR(__xludf.DUMMYFUNCTION("""COMPUTED_VALUE"""),"Jacob.Berna@FloridaDEP.gov")</f>
        <v>Jacob.Berna@FloridaDEP.gov</v>
      </c>
      <c r="D1038" t="str">
        <f ca="1">IFERROR(__xludf.DUMMYFUNCTION("""COMPUTED_VALUE"""),"Shannon Dunnigan")</f>
        <v>Shannon Dunnigan</v>
      </c>
      <c r="E1038" t="str">
        <f ca="1">IFERROR(__xludf.DUMMYFUNCTION("""COMPUTED_VALUE"""),"Faver-Dykes State Park Boat Ramp")</f>
        <v>Faver-Dykes State Park Boat Ramp</v>
      </c>
      <c r="F1038" s="13">
        <f ca="1">IFERROR(__xludf.DUMMYFUNCTION("""COMPUTED_VALUE"""),0.5)</f>
        <v>0.5</v>
      </c>
      <c r="G1038" s="14">
        <f ca="1">IFERROR(__xludf.DUMMYFUNCTION("""COMPUTED_VALUE"""),45089)</f>
        <v>45089</v>
      </c>
      <c r="H1038" t="str">
        <f ca="1">IFERROR(__xludf.DUMMYFUNCTION("""COMPUTED_VALUE"""),"PC upper transect")</f>
        <v>PC upper transect</v>
      </c>
      <c r="I1038" s="15">
        <f ca="1">IFERROR(__xludf.DUMMYFUNCTION("""COMPUTED_VALUE"""),0.666666666667879)</f>
        <v>0.66666666666787899</v>
      </c>
      <c r="J1038" s="16">
        <f ca="1">IFERROR(__xludf.DUMMYFUNCTION("""COMPUTED_VALUE"""),45089.7083333333)</f>
        <v>45089.708333333299</v>
      </c>
      <c r="K1038" t="str">
        <f ca="1">IFERROR(__xludf.DUMMYFUNCTION("""COMPUTED_VALUE"""),"20ft Sea Ark FL5351SJ UNF 2015")</f>
        <v>20ft Sea Ark FL5351SJ UNF 2015</v>
      </c>
      <c r="M1038" t="str">
        <f ca="1">IFERROR(__xludf.DUMMYFUNCTION("""COMPUTED_VALUE"""),"Ford F250 2017 (Moby Dix) - DEP0021578")</f>
        <v>Ford F250 2017 (Moby Dix) - DEP0021578</v>
      </c>
      <c r="N1038" t="str">
        <f ca="1">IFERROR(__xludf.DUMMYFUNCTION("""COMPUTED_VALUE"""),"Jacob Berna, (904) 392-1966")</f>
        <v>Jacob Berna, (904) 392-1966</v>
      </c>
      <c r="O1038" t="str">
        <f ca="1">IFERROR(__xludf.DUMMYFUNCTION("""COMPUTED_VALUE"""),"Hans Prevost, Avah")</f>
        <v>Hans Prevost, Avah</v>
      </c>
      <c r="P1038" t="str">
        <f ca="1">IFERROR(__xludf.DUMMYFUNCTION("""COMPUTED_VALUE"""),"Jacob Berna")</f>
        <v>Jacob Berna</v>
      </c>
      <c r="AE1038" s="11"/>
      <c r="AF1038" t="str">
        <v>Shannon.Dunnigan@floridadep.gov</v>
      </c>
      <c r="AG1038" s="18"/>
    </row>
    <row r="1039" spans="1:33" ht="12.75">
      <c r="A1039" s="10">
        <f ca="1">IFERROR(__xludf.DUMMYFUNCTION("""COMPUTED_VALUE"""),45091.3838615856)</f>
        <v>45091.3838615856</v>
      </c>
      <c r="B1039" s="11" t="str">
        <f ca="1">IFERROR(__xludf.DUMMYFUNCTION("""COMPUTED_VALUE"""),"Shannon Dunnigan")</f>
        <v>Shannon Dunnigan</v>
      </c>
      <c r="C1039" t="str">
        <f ca="1">IFERROR(__xludf.DUMMYFUNCTION("""COMPUTED_VALUE"""),"Shannon.Dunnigan@dep.state.fl.us")</f>
        <v>Shannon.Dunnigan@dep.state.fl.us</v>
      </c>
      <c r="D1039" t="str">
        <f ca="1">IFERROR(__xludf.DUMMYFUNCTION("""COMPUTED_VALUE"""),"Jacob Berna")</f>
        <v>Jacob Berna</v>
      </c>
      <c r="E1039" t="str">
        <f ca="1">IFERROR(__xludf.DUMMYFUNCTION("""COMPUTED_VALUE"""),"Vilano Boat Ramp")</f>
        <v>Vilano Boat Ramp</v>
      </c>
      <c r="F1039" s="13">
        <f ca="1">IFERROR(__xludf.DUMMYFUNCTION("""COMPUTED_VALUE"""),0.402777777777373)</f>
        <v>0.402777777777373</v>
      </c>
      <c r="G1039" s="14">
        <f ca="1">IFERROR(__xludf.DUMMYFUNCTION("""COMPUTED_VALUE"""),45091)</f>
        <v>45091</v>
      </c>
      <c r="H1039" t="str">
        <f ca="1">IFERROR(__xludf.DUMMYFUNCTION("""COMPUTED_VALUE"""),"ICW SWMP WQ sites")</f>
        <v>ICW SWMP WQ sites</v>
      </c>
      <c r="I1039" s="15">
        <f ca="1">IFERROR(__xludf.DUMMYFUNCTION("""COMPUTED_VALUE"""),0.604166666667879)</f>
        <v>0.60416666666787899</v>
      </c>
      <c r="J1039" s="16">
        <f ca="1">IFERROR(__xludf.DUMMYFUNCTION("""COMPUTED_VALUE"""),45091.625)</f>
        <v>45091.625</v>
      </c>
      <c r="K1039" t="str">
        <f ca="1">IFERROR(__xludf.DUMMYFUNCTION("""COMPUTED_VALUE"""),"23ft Skiff (Bertha) FL7972LJ DEP07613")</f>
        <v>23ft Skiff (Bertha) FL7972LJ DEP07613</v>
      </c>
      <c r="M1039" t="str">
        <f ca="1">IFERROR(__xludf.DUMMYFUNCTION("""COMPUTED_VALUE"""),"Ford F250 2017 (Moby Dix) - DEP0021578")</f>
        <v>Ford F250 2017 (Moby Dix) - DEP0021578</v>
      </c>
      <c r="N1039" t="str">
        <f ca="1">IFERROR(__xludf.DUMMYFUNCTION("""COMPUTED_VALUE"""),"Shannon Dunnigan, (803) 727-5734")</f>
        <v>Shannon Dunnigan, (803) 727-5734</v>
      </c>
      <c r="O1039" t="str">
        <f ca="1">IFERROR(__xludf.DUMMYFUNCTION("""COMPUTED_VALUE"""),"Avah Avonda")</f>
        <v>Avah Avonda</v>
      </c>
      <c r="P1039" t="str">
        <f ca="1">IFERROR(__xludf.DUMMYFUNCTION("""COMPUTED_VALUE"""),"Shannon Dunnigan")</f>
        <v>Shannon Dunnigan</v>
      </c>
      <c r="AE1039" s="11"/>
      <c r="AF1039" t="str">
        <v/>
      </c>
      <c r="AG1039" s="18"/>
    </row>
    <row r="1040" spans="1:33" ht="12.75">
      <c r="A1040" s="10">
        <f ca="1">IFERROR(__xludf.DUMMYFUNCTION("""COMPUTED_VALUE"""),45098.4591084606)</f>
        <v>45098.4591084606</v>
      </c>
      <c r="B1040" s="11" t="str">
        <f ca="1">IFERROR(__xludf.DUMMYFUNCTION("""COMPUTED_VALUE"""),"Jacob Berna")</f>
        <v>Jacob Berna</v>
      </c>
      <c r="C1040" t="str">
        <f ca="1">IFERROR(__xludf.DUMMYFUNCTION("""COMPUTED_VALUE"""),"Jacob.Berna@FloridaDEP.gov")</f>
        <v>Jacob.Berna@FloridaDEP.gov</v>
      </c>
      <c r="D1040" t="str">
        <f ca="1">IFERROR(__xludf.DUMMYFUNCTION("""COMPUTED_VALUE"""),"Nikki Dix")</f>
        <v>Nikki Dix</v>
      </c>
      <c r="E1040" t="str">
        <f ca="1">IFERROR(__xludf.DUMMYFUNCTION("""COMPUTED_VALUE"""),"Vilano Boat Ramp")</f>
        <v>Vilano Boat Ramp</v>
      </c>
      <c r="F1040" s="13">
        <f ca="1">IFERROR(__xludf.DUMMYFUNCTION("""COMPUTED_VALUE"""),0.965277777777373)</f>
        <v>0.965277777777373</v>
      </c>
      <c r="G1040" s="14">
        <f ca="1">IFERROR(__xludf.DUMMYFUNCTION("""COMPUTED_VALUE"""),45098)</f>
        <v>45098</v>
      </c>
      <c r="H1040" t="str">
        <f ca="1">IFERROR(__xludf.DUMMYFUNCTION("""COMPUTED_VALUE"""),"Vilano Ramp (test leak)")</f>
        <v>Vilano Ramp (test leak)</v>
      </c>
      <c r="I1040" s="15">
        <f ca="1">IFERROR(__xludf.DUMMYFUNCTION("""COMPUTED_VALUE"""),0.541666666667879)</f>
        <v>0.54166666666787899</v>
      </c>
      <c r="J1040" s="16">
        <f ca="1">IFERROR(__xludf.DUMMYFUNCTION("""COMPUTED_VALUE"""),45098.5625)</f>
        <v>45098.5625</v>
      </c>
      <c r="K1040" t="str">
        <f ca="1">IFERROR(__xludf.DUMMYFUNCTION("""COMPUTED_VALUE"""),"20ft Sea Ark FL5351SJ UNF 2015")</f>
        <v>20ft Sea Ark FL5351SJ UNF 2015</v>
      </c>
      <c r="M1040" t="str">
        <f ca="1">IFERROR(__xludf.DUMMYFUNCTION("""COMPUTED_VALUE"""),"Ford F150 2015 (White) - DEP21448")</f>
        <v>Ford F150 2015 (White) - DEP21448</v>
      </c>
      <c r="N1040" t="str">
        <f ca="1">IFERROR(__xludf.DUMMYFUNCTION("""COMPUTED_VALUE"""),"Jacob Berna, (904) 392-1966")</f>
        <v>Jacob Berna, (904) 392-1966</v>
      </c>
      <c r="O1040" t="str">
        <f ca="1">IFERROR(__xludf.DUMMYFUNCTION("""COMPUTED_VALUE"""),"Hans Prevost")</f>
        <v>Hans Prevost</v>
      </c>
      <c r="P1040" t="str">
        <f ca="1">IFERROR(__xludf.DUMMYFUNCTION("""COMPUTED_VALUE"""),"Jacob Berna")</f>
        <v>Jacob Berna</v>
      </c>
      <c r="AE1040" s="11"/>
      <c r="AF1040" t="str">
        <v>Nikki.Dix@floridadep.gov</v>
      </c>
      <c r="AG1040" s="18"/>
    </row>
    <row r="1041" spans="1:33" ht="12.75">
      <c r="A1041" s="10">
        <f ca="1">IFERROR(__xludf.DUMMYFUNCTION("""COMPUTED_VALUE"""),45099.315425081)</f>
        <v>45099.315425080997</v>
      </c>
      <c r="B1041" s="11" t="str">
        <f ca="1">IFERROR(__xludf.DUMMYFUNCTION("""COMPUTED_VALUE"""),"Jacob Berna")</f>
        <v>Jacob Berna</v>
      </c>
      <c r="C1041" t="str">
        <f ca="1">IFERROR(__xludf.DUMMYFUNCTION("""COMPUTED_VALUE"""),"Jacob.Berna@FloridaDEP.gov")</f>
        <v>Jacob.Berna@FloridaDEP.gov</v>
      </c>
      <c r="D1041" t="str">
        <f ca="1">IFERROR(__xludf.DUMMYFUNCTION("""COMPUTED_VALUE"""),"Nikki Dix")</f>
        <v>Nikki Dix</v>
      </c>
      <c r="E1041" t="str">
        <f ca="1">IFERROR(__xludf.DUMMYFUNCTION("""COMPUTED_VALUE"""),"Usina Boat Ramp (Aunt Kate's)")</f>
        <v>Usina Boat Ramp (Aunt Kate's)</v>
      </c>
      <c r="F1041" s="13">
        <f ca="1">IFERROR(__xludf.DUMMYFUNCTION("""COMPUTED_VALUE"""),0.33333333333212)</f>
        <v>0.33333333333212001</v>
      </c>
      <c r="G1041" s="14">
        <f ca="1">IFERROR(__xludf.DUMMYFUNCTION("""COMPUTED_VALUE"""),45099)</f>
        <v>45099</v>
      </c>
      <c r="H1041" t="str">
        <f ca="1">IFERROR(__xludf.DUMMYFUNCTION("""COMPUTED_VALUE"""),"Big Mama site")</f>
        <v>Big Mama site</v>
      </c>
      <c r="I1041" s="15">
        <f ca="1">IFERROR(__xludf.DUMMYFUNCTION("""COMPUTED_VALUE"""),0.541666666667879)</f>
        <v>0.54166666666787899</v>
      </c>
      <c r="J1041" s="16">
        <f ca="1">IFERROR(__xludf.DUMMYFUNCTION("""COMPUTED_VALUE"""),45099.5625)</f>
        <v>45099.5625</v>
      </c>
      <c r="K1041" t="str">
        <f ca="1">IFERROR(__xludf.DUMMYFUNCTION("""COMPUTED_VALUE"""),"23ft Skiff (Bertha) FL7972LJ DEP07613")</f>
        <v>23ft Skiff (Bertha) FL7972LJ DEP07613</v>
      </c>
      <c r="M1041" t="str">
        <f ca="1">IFERROR(__xludf.DUMMYFUNCTION("""COMPUTED_VALUE"""),"Ford F250 2017 (Moby Dix) - DEP0021578")</f>
        <v>Ford F250 2017 (Moby Dix) - DEP0021578</v>
      </c>
      <c r="N1041" t="str">
        <f ca="1">IFERROR(__xludf.DUMMYFUNCTION("""COMPUTED_VALUE"""),"Jacob Berna, (904) 392-1966")</f>
        <v>Jacob Berna, (904) 392-1966</v>
      </c>
      <c r="O1041" t="str">
        <f ca="1">IFERROR(__xludf.DUMMYFUNCTION("""COMPUTED_VALUE"""),"Hans Prevost, Allix, Jacob Simon, Avah Avonda")</f>
        <v>Hans Prevost, Allix, Jacob Simon, Avah Avonda</v>
      </c>
      <c r="P1041" t="str">
        <f ca="1">IFERROR(__xludf.DUMMYFUNCTION("""COMPUTED_VALUE"""),"Jacob Berna")</f>
        <v>Jacob Berna</v>
      </c>
      <c r="AE1041" s="11"/>
      <c r="AF1041" t="str">
        <v>Nikki.Dix@floridadep.gov</v>
      </c>
      <c r="AG1041" s="18"/>
    </row>
    <row r="1042" spans="1:33" ht="12.75">
      <c r="A1042" s="10">
        <f ca="1">IFERROR(__xludf.DUMMYFUNCTION("""COMPUTED_VALUE"""),45103.3913650926)</f>
        <v>45103.391365092597</v>
      </c>
      <c r="B1042" s="11" t="str">
        <f ca="1">IFERROR(__xludf.DUMMYFUNCTION("""COMPUTED_VALUE"""),"Jacob Berna")</f>
        <v>Jacob Berna</v>
      </c>
      <c r="C1042" t="str">
        <f ca="1">IFERROR(__xludf.DUMMYFUNCTION("""COMPUTED_VALUE"""),"Jacob.Berna@FloridaDEP.gov")</f>
        <v>Jacob.Berna@FloridaDEP.gov</v>
      </c>
      <c r="D1042" t="str">
        <f ca="1">IFERROR(__xludf.DUMMYFUNCTION("""COMPUTED_VALUE"""),"Nikki Dix")</f>
        <v>Nikki Dix</v>
      </c>
      <c r="E1042" t="str">
        <f ca="1">IFERROR(__xludf.DUMMYFUNCTION("""COMPUTED_VALUE"""),"Faver-Dykes State Park Boat Ramp")</f>
        <v>Faver-Dykes State Park Boat Ramp</v>
      </c>
      <c r="F1042" s="13">
        <f ca="1">IFERROR(__xludf.DUMMYFUNCTION("""COMPUTED_VALUE"""),0.392361111109494)</f>
        <v>0.39236111110949401</v>
      </c>
      <c r="G1042" s="14">
        <f ca="1">IFERROR(__xludf.DUMMYFUNCTION("""COMPUTED_VALUE"""),45103)</f>
        <v>45103</v>
      </c>
      <c r="H1042" t="str">
        <f ca="1">IFERROR(__xludf.DUMMYFUNCTION("""COMPUTED_VALUE"""),"Upper transect pc")</f>
        <v>Upper transect pc</v>
      </c>
      <c r="I1042" s="15">
        <f ca="1">IFERROR(__xludf.DUMMYFUNCTION("""COMPUTED_VALUE"""),0.5625)</f>
        <v>0.5625</v>
      </c>
      <c r="J1042" s="16">
        <f ca="1">IFERROR(__xludf.DUMMYFUNCTION("""COMPUTED_VALUE"""),45103.6041666666)</f>
        <v>45103.604166666599</v>
      </c>
      <c r="K1042" t="str">
        <f ca="1">IFERROR(__xludf.DUMMYFUNCTION("""COMPUTED_VALUE"""),"F 20ft Sea Ark (Easy 200) FL8534PY DEP21451")</f>
        <v>F 20ft Sea Ark (Easy 200) FL8534PY DEP21451</v>
      </c>
      <c r="M1042" t="str">
        <f ca="1">IFERROR(__xludf.DUMMYFUNCTION("""COMPUTED_VALUE"""),"Ford F150 2015 (White) - DEP21448")</f>
        <v>Ford F150 2015 (White) - DEP21448</v>
      </c>
      <c r="N1042" t="str">
        <f ca="1">IFERROR(__xludf.DUMMYFUNCTION("""COMPUTED_VALUE"""),"Jacob Berna, (904) 392-1966")</f>
        <v>Jacob Berna, (904) 392-1966</v>
      </c>
      <c r="O1042" t="str">
        <f ca="1">IFERROR(__xludf.DUMMYFUNCTION("""COMPUTED_VALUE"""),"Hans Prevost, Avah")</f>
        <v>Hans Prevost, Avah</v>
      </c>
      <c r="P1042" t="str">
        <f ca="1">IFERROR(__xludf.DUMMYFUNCTION("""COMPUTED_VALUE"""),"Jacob Berna")</f>
        <v>Jacob Berna</v>
      </c>
      <c r="AE1042" s="11"/>
      <c r="AF1042" t="str">
        <v>Nikki.Dix@floridadep.gov</v>
      </c>
      <c r="AG1042" s="18"/>
    </row>
    <row r="1043" spans="1:33" ht="12.75">
      <c r="A1043" s="10">
        <f ca="1">IFERROR(__xludf.DUMMYFUNCTION("""COMPUTED_VALUE"""),45105.5071662152)</f>
        <v>45105.507166215197</v>
      </c>
      <c r="B1043" s="11" t="str">
        <f ca="1">IFERROR(__xludf.DUMMYFUNCTION("""COMPUTED_VALUE"""),"Shannon Dunnigan")</f>
        <v>Shannon Dunnigan</v>
      </c>
      <c r="C1043" t="str">
        <f ca="1">IFERROR(__xludf.DUMMYFUNCTION("""COMPUTED_VALUE"""),"shannon.dunnigan@dep.state.fl.us")</f>
        <v>shannon.dunnigan@dep.state.fl.us</v>
      </c>
      <c r="D1043" t="str">
        <f ca="1">IFERROR(__xludf.DUMMYFUNCTION("""COMPUTED_VALUE"""),"Jacob Berna")</f>
        <v>Jacob Berna</v>
      </c>
      <c r="E1043" t="str">
        <f ca="1">IFERROR(__xludf.DUMMYFUNCTION("""COMPUTED_VALUE"""),"Vilano Boat Ramp")</f>
        <v>Vilano Boat Ramp</v>
      </c>
      <c r="F1043" s="13">
        <f ca="1">IFERROR(__xludf.DUMMYFUNCTION("""COMPUTED_VALUE"""),0.541666666667879)</f>
        <v>0.54166666666787899</v>
      </c>
      <c r="G1043" s="14">
        <f ca="1">IFERROR(__xludf.DUMMYFUNCTION("""COMPUTED_VALUE"""),45105)</f>
        <v>45105</v>
      </c>
      <c r="H1043" t="str">
        <f ca="1">IFERROR(__xludf.DUMMYFUNCTION("""COMPUTED_VALUE"""),"SWMP sites")</f>
        <v>SWMP sites</v>
      </c>
      <c r="I1043" s="15">
        <f ca="1">IFERROR(__xludf.DUMMYFUNCTION("""COMPUTED_VALUE"""),0.666666666667879)</f>
        <v>0.66666666666787899</v>
      </c>
      <c r="J1043" s="16">
        <f ca="1">IFERROR(__xludf.DUMMYFUNCTION("""COMPUTED_VALUE"""),45105.7083333333)</f>
        <v>45105.708333333299</v>
      </c>
      <c r="K1043" t="str">
        <f ca="1">IFERROR(__xludf.DUMMYFUNCTION("""COMPUTED_VALUE"""),"23ft Skiff (Bertha) FL7972LJ DEP07613")</f>
        <v>23ft Skiff (Bertha) FL7972LJ DEP07613</v>
      </c>
      <c r="M1043" t="str">
        <f ca="1">IFERROR(__xludf.DUMMYFUNCTION("""COMPUTED_VALUE"""),"Ford F250 2017 (Moby Dix) - DEP0021578")</f>
        <v>Ford F250 2017 (Moby Dix) - DEP0021578</v>
      </c>
      <c r="N1043" t="str">
        <f ca="1">IFERROR(__xludf.DUMMYFUNCTION("""COMPUTED_VALUE"""),"Shannon Dunnigan, (803) 727-5734")</f>
        <v>Shannon Dunnigan, (803) 727-5734</v>
      </c>
      <c r="O1043" t="str">
        <f ca="1">IFERROR(__xludf.DUMMYFUNCTION("""COMPUTED_VALUE"""),"Dave Hagmann")</f>
        <v>Dave Hagmann</v>
      </c>
      <c r="P1043" t="str">
        <f ca="1">IFERROR(__xludf.DUMMYFUNCTION("""COMPUTED_VALUE"""),"Shannon Dunnigan")</f>
        <v>Shannon Dunnigan</v>
      </c>
      <c r="AE1043" s="11"/>
      <c r="AF1043" t="str">
        <v/>
      </c>
      <c r="AG1043" s="18"/>
    </row>
    <row r="1044" spans="1:33" ht="12.75">
      <c r="A1044" s="10">
        <f ca="1">IFERROR(__xludf.DUMMYFUNCTION("""COMPUTED_VALUE"""),45112.4242666782)</f>
        <v>45112.424266678201</v>
      </c>
      <c r="B1044" s="11" t="str">
        <f ca="1">IFERROR(__xludf.DUMMYFUNCTION("""COMPUTED_VALUE"""),"Nathaniel Schirmer")</f>
        <v>Nathaniel Schirmer</v>
      </c>
      <c r="C1044" t="str">
        <f ca="1">IFERROR(__xludf.DUMMYFUNCTION("""COMPUTED_VALUE"""),"n01502109@unf.edu")</f>
        <v>n01502109@unf.edu</v>
      </c>
      <c r="D1044" t="str">
        <f ca="1">IFERROR(__xludf.DUMMYFUNCTION("""COMPUTED_VALUE"""),"Jacob Berna")</f>
        <v>Jacob Berna</v>
      </c>
      <c r="E1044" t="str">
        <f ca="1">IFERROR(__xludf.DUMMYFUNCTION("""COMPUTED_VALUE"""),"Guana Dam")</f>
        <v>Guana Dam</v>
      </c>
      <c r="F1044" s="13">
        <f ca="1">IFERROR(__xludf.DUMMYFUNCTION("""COMPUTED_VALUE"""),0.4375)</f>
        <v>0.4375</v>
      </c>
      <c r="G1044" s="14">
        <f ca="1">IFERROR(__xludf.DUMMYFUNCTION("""COMPUTED_VALUE"""),45112)</f>
        <v>45112</v>
      </c>
      <c r="H1044" t="str">
        <f ca="1">IFERROR(__xludf.DUMMYFUNCTION("""COMPUTED_VALUE"""),"South end of Guana River")</f>
        <v>South end of Guana River</v>
      </c>
      <c r="I1044" s="15">
        <f ca="1">IFERROR(__xludf.DUMMYFUNCTION("""COMPUTED_VALUE"""),0.58333333333212)</f>
        <v>0.58333333333212001</v>
      </c>
      <c r="J1044" s="16">
        <f ca="1">IFERROR(__xludf.DUMMYFUNCTION("""COMPUTED_VALUE"""),45112.5833333333)</f>
        <v>45112.583333333299</v>
      </c>
      <c r="K1044" t="str">
        <f ca="1">IFERROR(__xludf.DUMMYFUNCTION("""COMPUTED_VALUE"""),"Kayak(s)")</f>
        <v>Kayak(s)</v>
      </c>
      <c r="L1044">
        <f ca="1">IFERROR(__xludf.DUMMYFUNCTION("""COMPUTED_VALUE"""),2)</f>
        <v>2</v>
      </c>
      <c r="M1044" t="str">
        <f ca="1">IFERROR(__xludf.DUMMYFUNCTION("""COMPUTED_VALUE"""),"UF fisheries truck")</f>
        <v>UF fisheries truck</v>
      </c>
      <c r="N1044" t="str">
        <f ca="1">IFERROR(__xludf.DUMMYFUNCTION("""COMPUTED_VALUE"""),"Nathaniel Schirmer")</f>
        <v>Nathaniel Schirmer</v>
      </c>
      <c r="O1044" t="str">
        <f ca="1">IFERROR(__xludf.DUMMYFUNCTION("""COMPUTED_VALUE"""),"Kristy Perez")</f>
        <v>Kristy Perez</v>
      </c>
      <c r="P1044" t="str">
        <f ca="1">IFERROR(__xludf.DUMMYFUNCTION("""COMPUTED_VALUE"""),"Nathaniel Schirmer")</f>
        <v>Nathaniel Schirmer</v>
      </c>
      <c r="AE1044" s="11"/>
      <c r="AF1044" t="str">
        <v/>
      </c>
      <c r="AG1044" s="18"/>
    </row>
    <row r="1045" spans="1:33" ht="12.75">
      <c r="A1045" s="10">
        <f ca="1">IFERROR(__xludf.DUMMYFUNCTION("""COMPUTED_VALUE"""),45113.5016223147)</f>
        <v>45113.501622314798</v>
      </c>
      <c r="B1045" s="11" t="str">
        <f ca="1">IFERROR(__xludf.DUMMYFUNCTION("""COMPUTED_VALUE"""),"Nathaniel Schirmer")</f>
        <v>Nathaniel Schirmer</v>
      </c>
      <c r="C1045" t="str">
        <f ca="1">IFERROR(__xludf.DUMMYFUNCTION("""COMPUTED_VALUE"""),"n01502109@unf.edu")</f>
        <v>n01502109@unf.edu</v>
      </c>
      <c r="D1045" t="str">
        <f ca="1">IFERROR(__xludf.DUMMYFUNCTION("""COMPUTED_VALUE"""),"Jacob Berna")</f>
        <v>Jacob Berna</v>
      </c>
      <c r="E1045" t="str">
        <f ca="1">IFERROR(__xludf.DUMMYFUNCTION("""COMPUTED_VALUE"""),"Guana Dam")</f>
        <v>Guana Dam</v>
      </c>
      <c r="F1045" s="13">
        <f ca="1">IFERROR(__xludf.DUMMYFUNCTION("""COMPUTED_VALUE"""),0.510416666667879)</f>
        <v>0.51041666666787899</v>
      </c>
      <c r="G1045" s="14">
        <f ca="1">IFERROR(__xludf.DUMMYFUNCTION("""COMPUTED_VALUE"""),45113)</f>
        <v>45113</v>
      </c>
      <c r="H1045" t="str">
        <f ca="1">IFERROR(__xludf.DUMMYFUNCTION("""COMPUTED_VALUE"""),"Guana River")</f>
        <v>Guana River</v>
      </c>
      <c r="I1045" s="15">
        <f ca="1">IFERROR(__xludf.DUMMYFUNCTION("""COMPUTED_VALUE"""),0.604166666667879)</f>
        <v>0.60416666666787899</v>
      </c>
      <c r="J1045" s="16">
        <f ca="1">IFERROR(__xludf.DUMMYFUNCTION("""COMPUTED_VALUE"""),45113.6041666666)</f>
        <v>45113.604166666599</v>
      </c>
      <c r="K1045" t="str">
        <f ca="1">IFERROR(__xludf.DUMMYFUNCTION("""COMPUTED_VALUE"""),"Kayak(s)")</f>
        <v>Kayak(s)</v>
      </c>
      <c r="L1045">
        <f ca="1">IFERROR(__xludf.DUMMYFUNCTION("""COMPUTED_VALUE"""),1)</f>
        <v>1</v>
      </c>
      <c r="M1045" t="str">
        <f ca="1">IFERROR(__xludf.DUMMYFUNCTION("""COMPUTED_VALUE"""),"UF Fisheries Truck")</f>
        <v>UF Fisheries Truck</v>
      </c>
      <c r="N1045" t="str">
        <f ca="1">IFERROR(__xludf.DUMMYFUNCTION("""COMPUTED_VALUE"""),"Nathaniel Schirmer")</f>
        <v>Nathaniel Schirmer</v>
      </c>
      <c r="O1045" t="str">
        <f ca="1">IFERROR(__xludf.DUMMYFUNCTION("""COMPUTED_VALUE"""),"N/a")</f>
        <v>N/a</v>
      </c>
      <c r="P1045" t="str">
        <f ca="1">IFERROR(__xludf.DUMMYFUNCTION("""COMPUTED_VALUE"""),"Nathaniel Schirmer")</f>
        <v>Nathaniel Schirmer</v>
      </c>
      <c r="AE1045" s="11"/>
      <c r="AF1045" t="str">
        <v/>
      </c>
      <c r="AG1045" s="18"/>
    </row>
    <row r="1046" spans="1:33" ht="12.75">
      <c r="A1046" s="10">
        <f ca="1">IFERROR(__xludf.DUMMYFUNCTION("""COMPUTED_VALUE"""),45114.3974682638)</f>
        <v>45114.3974682638</v>
      </c>
      <c r="B1046" s="11" t="str">
        <f ca="1">IFERROR(__xludf.DUMMYFUNCTION("""COMPUTED_VALUE"""),"Shannon Dunnigan")</f>
        <v>Shannon Dunnigan</v>
      </c>
      <c r="C1046" t="str">
        <f ca="1">IFERROR(__xludf.DUMMYFUNCTION("""COMPUTED_VALUE"""),"Shannon.Dunnigan@dep.state.fl.us")</f>
        <v>Shannon.Dunnigan@dep.state.fl.us</v>
      </c>
      <c r="D1046" t="str">
        <f ca="1">IFERROR(__xludf.DUMMYFUNCTION("""COMPUTED_VALUE"""),"Nikki Dix")</f>
        <v>Nikki Dix</v>
      </c>
      <c r="E1046" t="str">
        <f ca="1">IFERROR(__xludf.DUMMYFUNCTION("""COMPUTED_VALUE"""),"Vilano Boat Ramp")</f>
        <v>Vilano Boat Ramp</v>
      </c>
      <c r="F1046" s="13">
        <f ca="1">IFERROR(__xludf.DUMMYFUNCTION("""COMPUTED_VALUE"""),0.4375)</f>
        <v>0.4375</v>
      </c>
      <c r="G1046" s="14">
        <f ca="1">IFERROR(__xludf.DUMMYFUNCTION("""COMPUTED_VALUE"""),45114)</f>
        <v>45114</v>
      </c>
      <c r="H1046" t="str">
        <f ca="1">IFERROR(__xludf.DUMMYFUNCTION("""COMPUTED_VALUE"""),"SWMP sites")</f>
        <v>SWMP sites</v>
      </c>
      <c r="I1046" s="15">
        <f ca="1">IFERROR(__xludf.DUMMYFUNCTION("""COMPUTED_VALUE"""),0.61458333333212)</f>
        <v>0.61458333333212001</v>
      </c>
      <c r="J1046" s="16">
        <f ca="1">IFERROR(__xludf.DUMMYFUNCTION("""COMPUTED_VALUE"""),45114.6458333333)</f>
        <v>45114.645833333299</v>
      </c>
      <c r="K1046" t="str">
        <f ca="1">IFERROR(__xludf.DUMMYFUNCTION("""COMPUTED_VALUE"""),"23ft Skiff (Bertha) FL7972LJ DEP07613")</f>
        <v>23ft Skiff (Bertha) FL7972LJ DEP07613</v>
      </c>
      <c r="M1046" t="str">
        <f ca="1">IFERROR(__xludf.DUMMYFUNCTION("""COMPUTED_VALUE"""),"Ford F250 2017 (Moby Dix) - DEP0021578")</f>
        <v>Ford F250 2017 (Moby Dix) - DEP0021578</v>
      </c>
      <c r="N1046" t="str">
        <f ca="1">IFERROR(__xludf.DUMMYFUNCTION("""COMPUTED_VALUE"""),"Shannon Dunnigan, (803) 727-5734")</f>
        <v>Shannon Dunnigan, (803) 727-5734</v>
      </c>
      <c r="O1046" t="str">
        <f ca="1">IFERROR(__xludf.DUMMYFUNCTION("""COMPUTED_VALUE"""),"Avah Avonda")</f>
        <v>Avah Avonda</v>
      </c>
      <c r="P1046" t="str">
        <f ca="1">IFERROR(__xludf.DUMMYFUNCTION("""COMPUTED_VALUE"""),"Shannon")</f>
        <v>Shannon</v>
      </c>
      <c r="AE1046" s="11"/>
      <c r="AF1046" t="str">
        <v>Nikki.Dix@floridadep.gov</v>
      </c>
      <c r="AG1046" s="18"/>
    </row>
    <row r="1047" spans="1:33" ht="12.75">
      <c r="A1047" s="10">
        <f ca="1">IFERROR(__xludf.DUMMYFUNCTION("""COMPUTED_VALUE"""),45117.378914618)</f>
        <v>45117.378914617999</v>
      </c>
      <c r="B1047" s="11" t="str">
        <f ca="1">IFERROR(__xludf.DUMMYFUNCTION("""COMPUTED_VALUE"""),"Shannon")</f>
        <v>Shannon</v>
      </c>
      <c r="C1047" t="str">
        <f ca="1">IFERROR(__xludf.DUMMYFUNCTION("""COMPUTED_VALUE"""),"Shannon.Dunnigan@dep.state.fl.us")</f>
        <v>Shannon.Dunnigan@dep.state.fl.us</v>
      </c>
      <c r="D1047" t="str">
        <f ca="1">IFERROR(__xludf.DUMMYFUNCTION("""COMPUTED_VALUE"""),"Nikki Dix")</f>
        <v>Nikki Dix</v>
      </c>
      <c r="E1047" t="str">
        <f ca="1">IFERROR(__xludf.DUMMYFUNCTION("""COMPUTED_VALUE"""),"Usina Boat Ramp (Aunt Kate's)")</f>
        <v>Usina Boat Ramp (Aunt Kate's)</v>
      </c>
      <c r="F1047" s="13">
        <f ca="1">IFERROR(__xludf.DUMMYFUNCTION("""COMPUTED_VALUE"""),0.39583333333212)</f>
        <v>0.39583333333212001</v>
      </c>
      <c r="G1047" s="14">
        <f ca="1">IFERROR(__xludf.DUMMYFUNCTION("""COMPUTED_VALUE"""),45117)</f>
        <v>45117</v>
      </c>
      <c r="H1047" t="str">
        <f ca="1">IFERROR(__xludf.DUMMYFUNCTION("""COMPUTED_VALUE"""),"Mouth of Guana")</f>
        <v>Mouth of Guana</v>
      </c>
      <c r="I1047" s="15">
        <f ca="1">IFERROR(__xludf.DUMMYFUNCTION("""COMPUTED_VALUE"""),0.58333333333212)</f>
        <v>0.58333333333212001</v>
      </c>
      <c r="J1047" s="16">
        <f ca="1">IFERROR(__xludf.DUMMYFUNCTION("""COMPUTED_VALUE"""),45117.625)</f>
        <v>45117.625</v>
      </c>
      <c r="K1047" t="str">
        <f ca="1">IFERROR(__xludf.DUMMYFUNCTION("""COMPUTED_VALUE"""),"23ft Skiff (Bertha) FL7972LJ DEP07613")</f>
        <v>23ft Skiff (Bertha) FL7972LJ DEP07613</v>
      </c>
      <c r="M1047" t="str">
        <f ca="1">IFERROR(__xludf.DUMMYFUNCTION("""COMPUTED_VALUE"""),"Ford F250 2017 (Moby Dix) - DEP0021578")</f>
        <v>Ford F250 2017 (Moby Dix) - DEP0021578</v>
      </c>
      <c r="N1047" t="str">
        <f ca="1">IFERROR(__xludf.DUMMYFUNCTION("""COMPUTED_VALUE"""),"Jessica Lee, (813) 748-2228, Shannon Dunnigan, (803) 727-5734")</f>
        <v>Jessica Lee, (813) 748-2228, Shannon Dunnigan, (803) 727-5734</v>
      </c>
      <c r="O1047" t="str">
        <f ca="1">IFERROR(__xludf.DUMMYFUNCTION("""COMPUTED_VALUE"""),"Avah Avonda, Justina Dacey, Camila del Sol Pina, Bianca Ruiz ")</f>
        <v xml:space="preserve">Avah Avonda, Justina Dacey, Camila del Sol Pina, Bianca Ruiz </v>
      </c>
      <c r="P1047" t="str">
        <f ca="1">IFERROR(__xludf.DUMMYFUNCTION("""COMPUTED_VALUE"""),"Shannon")</f>
        <v>Shannon</v>
      </c>
      <c r="AE1047" s="11"/>
      <c r="AF1047" t="str">
        <v>Nikki.Dix@floridadep.gov</v>
      </c>
      <c r="AG1047" s="18"/>
    </row>
    <row r="1048" spans="1:33" ht="12.75">
      <c r="A1048" s="10">
        <f ca="1">IFERROR(__xludf.DUMMYFUNCTION("""COMPUTED_VALUE"""),45119.3210286921)</f>
        <v>45119.321028692102</v>
      </c>
      <c r="B1048" s="11" t="str">
        <f ca="1">IFERROR(__xludf.DUMMYFUNCTION("""COMPUTED_VALUE"""),"Allix North")</f>
        <v>Allix North</v>
      </c>
      <c r="C1048" t="str">
        <f ca="1">IFERROR(__xludf.DUMMYFUNCTION("""COMPUTED_VALUE"""),"allix.north@dep.state.fl.us")</f>
        <v>allix.north@dep.state.fl.us</v>
      </c>
      <c r="D1048" t="str">
        <f ca="1">IFERROR(__xludf.DUMMYFUNCTION("""COMPUTED_VALUE"""),"Scott Eastman")</f>
        <v>Scott Eastman</v>
      </c>
      <c r="E1048" t="str">
        <f ca="1">IFERROR(__xludf.DUMMYFUNCTION("""COMPUTED_VALUE"""),"St. Augustine Light House")</f>
        <v>St. Augustine Light House</v>
      </c>
      <c r="F1048" s="13">
        <f ca="1">IFERROR(__xludf.DUMMYFUNCTION("""COMPUTED_VALUE"""),0.36458333333212)</f>
        <v>0.36458333333212001</v>
      </c>
      <c r="G1048" s="14">
        <f ca="1">IFERROR(__xludf.DUMMYFUNCTION("""COMPUTED_VALUE"""),45119)</f>
        <v>45119</v>
      </c>
      <c r="H1048" t="str">
        <f ca="1">IFERROR(__xludf.DUMMYFUNCTION("""COMPUTED_VALUE"""),"Salt Run")</f>
        <v>Salt Run</v>
      </c>
      <c r="I1048" s="15">
        <f ca="1">IFERROR(__xludf.DUMMYFUNCTION("""COMPUTED_VALUE"""),0.604166666667879)</f>
        <v>0.60416666666787899</v>
      </c>
      <c r="J1048" s="16">
        <f ca="1">IFERROR(__xludf.DUMMYFUNCTION("""COMPUTED_VALUE"""),45119.6458333333)</f>
        <v>45119.645833333299</v>
      </c>
      <c r="K1048" t="str">
        <f ca="1">IFERROR(__xludf.DUMMYFUNCTION("""COMPUTED_VALUE"""),"20ft Sea Ark FL5351SJ UNF 2015")</f>
        <v>20ft Sea Ark FL5351SJ UNF 2015</v>
      </c>
      <c r="M1048" t="str">
        <f ca="1">IFERROR(__xludf.DUMMYFUNCTION("""COMPUTED_VALUE"""),"Ford F150 2022 (ML)-DEP22510")</f>
        <v>Ford F150 2022 (ML)-DEP22510</v>
      </c>
      <c r="N1048" t="str">
        <f ca="1">IFERROR(__xludf.DUMMYFUNCTION("""COMPUTED_VALUE"""),"Allix North, (850) 420-7495, Nikki Dix, (352) 219-4079")</f>
        <v>Allix North, (850) 420-7495, Nikki Dix, (352) 219-4079</v>
      </c>
      <c r="O1048" t="str">
        <f ca="1">IFERROR(__xludf.DUMMYFUNCTION("""COMPUTED_VALUE"""),"Savanna Mathis, Alyah Bennett")</f>
        <v>Savanna Mathis, Alyah Bennett</v>
      </c>
      <c r="P1048" t="str">
        <f ca="1">IFERROR(__xludf.DUMMYFUNCTION("""COMPUTED_VALUE"""),"Nikki Dix")</f>
        <v>Nikki Dix</v>
      </c>
      <c r="AD1048" t="str">
        <f ca="1">IFERROR(__xludf.DUMMYFUNCTION("""COMPUTED_VALUE"""),"Good for operational period")</f>
        <v>Good for operational period</v>
      </c>
      <c r="AE1048" s="11" t="str">
        <f ca="1">IFERROR(__xludf.DUMMYFUNCTION("""COMPUTED_VALUE"""),"Good for operational period")</f>
        <v>Good for operational period</v>
      </c>
      <c r="AF1048" t="str">
        <v>Scott.Eastman@floridadep.gov</v>
      </c>
      <c r="AG1048" s="18"/>
    </row>
    <row r="1049" spans="1:33" ht="12.75">
      <c r="A1049" s="10">
        <f ca="1">IFERROR(__xludf.DUMMYFUNCTION("""COMPUTED_VALUE"""),45120.434487824)</f>
        <v>45120.434487824001</v>
      </c>
      <c r="B1049" s="11" t="str">
        <f ca="1">IFERROR(__xludf.DUMMYFUNCTION("""COMPUTED_VALUE"""),"Allix North")</f>
        <v>Allix North</v>
      </c>
      <c r="C1049" t="str">
        <f ca="1">IFERROR(__xludf.DUMMYFUNCTION("""COMPUTED_VALUE"""),"Allix.North@dep.state.fl.us")</f>
        <v>Allix.North@dep.state.fl.us</v>
      </c>
      <c r="D1049" t="str">
        <f ca="1">IFERROR(__xludf.DUMMYFUNCTION("""COMPUTED_VALUE"""),"Scott Eastman")</f>
        <v>Scott Eastman</v>
      </c>
      <c r="E1049" t="str">
        <f ca="1">IFERROR(__xludf.DUMMYFUNCTION("""COMPUTED_VALUE"""),"St. Augustine Lighthouse Ramp")</f>
        <v>St. Augustine Lighthouse Ramp</v>
      </c>
      <c r="F1049" s="13">
        <f ca="1">IFERROR(__xludf.DUMMYFUNCTION("""COMPUTED_VALUE"""),0.4375)</f>
        <v>0.4375</v>
      </c>
      <c r="G1049" s="14">
        <f ca="1">IFERROR(__xludf.DUMMYFUNCTION("""COMPUTED_VALUE"""),45120)</f>
        <v>45120</v>
      </c>
      <c r="H1049" t="str">
        <f ca="1">IFERROR(__xludf.DUMMYFUNCTION("""COMPUTED_VALUE"""),"Salt Run")</f>
        <v>Salt Run</v>
      </c>
      <c r="I1049" s="15">
        <f ca="1">IFERROR(__xludf.DUMMYFUNCTION("""COMPUTED_VALUE"""),0.666666666667879)</f>
        <v>0.66666666666787899</v>
      </c>
      <c r="J1049" s="16">
        <f ca="1">IFERROR(__xludf.DUMMYFUNCTION("""COMPUTED_VALUE"""),45120.6875)</f>
        <v>45120.6875</v>
      </c>
      <c r="K1049" t="str">
        <f ca="1">IFERROR(__xludf.DUMMYFUNCTION("""COMPUTED_VALUE"""),"20ft Sea Ark FL5351SJ UNF 2015")</f>
        <v>20ft Sea Ark FL5351SJ UNF 2015</v>
      </c>
      <c r="M1049" t="str">
        <f ca="1">IFERROR(__xludf.DUMMYFUNCTION("""COMPUTED_VALUE"""),"Ford F150 ML DEP22510")</f>
        <v>Ford F150 ML DEP22510</v>
      </c>
      <c r="N1049" t="str">
        <f ca="1">IFERROR(__xludf.DUMMYFUNCTION("""COMPUTED_VALUE"""),"Allix North, (850) 420-7495, Jacob Berna, (904) 392-1966, Nikki Dix, (352) 219-4079")</f>
        <v>Allix North, (850) 420-7495, Jacob Berna, (904) 392-1966, Nikki Dix, (352) 219-4079</v>
      </c>
      <c r="O1049" t="str">
        <f ca="1">IFERROR(__xludf.DUMMYFUNCTION("""COMPUTED_VALUE"""),"Hans Prevost, Savanna Mathis, Jeff, Alyah, Avah")</f>
        <v>Hans Prevost, Savanna Mathis, Jeff, Alyah, Avah</v>
      </c>
      <c r="P1049" t="str">
        <f ca="1">IFERROR(__xludf.DUMMYFUNCTION("""COMPUTED_VALUE"""),"Nikki Dix")</f>
        <v>Nikki Dix</v>
      </c>
      <c r="AE1049" s="11"/>
      <c r="AF1049" t="str">
        <v>Scott.Eastman@floridadep.gov</v>
      </c>
      <c r="AG1049" s="18"/>
    </row>
    <row r="1050" spans="1:33" ht="12.75">
      <c r="A1050" s="10">
        <f ca="1">IFERROR(__xludf.DUMMYFUNCTION("""COMPUTED_VALUE"""),45121.3491477777)</f>
        <v>45121.349147777699</v>
      </c>
      <c r="B1050" s="11" t="str">
        <f ca="1">IFERROR(__xludf.DUMMYFUNCTION("""COMPUTED_VALUE"""),"Allix North")</f>
        <v>Allix North</v>
      </c>
      <c r="C1050" t="str">
        <f ca="1">IFERROR(__xludf.DUMMYFUNCTION("""COMPUTED_VALUE"""),"Allix.North@dep.state.fl.us")</f>
        <v>Allix.North@dep.state.fl.us</v>
      </c>
      <c r="D1050" t="str">
        <f ca="1">IFERROR(__xludf.DUMMYFUNCTION("""COMPUTED_VALUE"""),"Scott Eastman")</f>
        <v>Scott Eastman</v>
      </c>
      <c r="E1050" t="str">
        <f ca="1">IFERROR(__xludf.DUMMYFUNCTION("""COMPUTED_VALUE"""),"St. Augustine Light House Boat Ramp")</f>
        <v>St. Augustine Light House Boat Ramp</v>
      </c>
      <c r="F1050" s="13">
        <f ca="1">IFERROR(__xludf.DUMMYFUNCTION("""COMPUTED_VALUE"""),0.416666666667879)</f>
        <v>0.41666666666787899</v>
      </c>
      <c r="G1050" s="14">
        <f ca="1">IFERROR(__xludf.DUMMYFUNCTION("""COMPUTED_VALUE"""),45121)</f>
        <v>45121</v>
      </c>
      <c r="H1050" t="str">
        <f ca="1">IFERROR(__xludf.DUMMYFUNCTION("""COMPUTED_VALUE"""),"Salt Run")</f>
        <v>Salt Run</v>
      </c>
      <c r="I1050" s="15">
        <f ca="1">IFERROR(__xludf.DUMMYFUNCTION("""COMPUTED_VALUE"""),0.666666666667879)</f>
        <v>0.66666666666787899</v>
      </c>
      <c r="J1050" s="16">
        <f ca="1">IFERROR(__xludf.DUMMYFUNCTION("""COMPUTED_VALUE"""),45121.6875)</f>
        <v>45121.6875</v>
      </c>
      <c r="K1050" t="str">
        <f ca="1">IFERROR(__xludf.DUMMYFUNCTION("""COMPUTED_VALUE"""),"F 20ft Sea Ark (Easy 200) FL8534PY DEP21451")</f>
        <v>F 20ft Sea Ark (Easy 200) FL8534PY DEP21451</v>
      </c>
      <c r="M1050" t="str">
        <f ca="1">IFERROR(__xludf.DUMMYFUNCTION("""COMPUTED_VALUE"""),"Ford F150 2022 (ML)-DEP22510")</f>
        <v>Ford F150 2022 (ML)-DEP22510</v>
      </c>
      <c r="N1050" t="str">
        <f ca="1">IFERROR(__xludf.DUMMYFUNCTION("""COMPUTED_VALUE"""),"Allix North, (850) 420-7495, Jacob Berna, (904) 392-1966, Nikki Dix, (352) 219-4079")</f>
        <v>Allix North, (850) 420-7495, Jacob Berna, (904) 392-1966, Nikki Dix, (352) 219-4079</v>
      </c>
      <c r="O1050" t="str">
        <f ca="1">IFERROR(__xludf.DUMMYFUNCTION("""COMPUTED_VALUE"""),"Hans Prevost, Savanna Mathis, Alyah Bennett, Mike Darragh, Jeff Finnan")</f>
        <v>Hans Prevost, Savanna Mathis, Alyah Bennett, Mike Darragh, Jeff Finnan</v>
      </c>
      <c r="P1050" t="str">
        <f ca="1">IFERROR(__xludf.DUMMYFUNCTION("""COMPUTED_VALUE"""),"Nikki Dix")</f>
        <v>Nikki Dix</v>
      </c>
      <c r="AE1050" s="11"/>
      <c r="AF1050" t="str">
        <v>Scott.Eastman@floridadep.gov</v>
      </c>
      <c r="AG1050" s="18"/>
    </row>
    <row r="1051" spans="1:33" ht="12.75">
      <c r="A1051" s="10">
        <f ca="1">IFERROR(__xludf.DUMMYFUNCTION("""COMPUTED_VALUE"""),45124.4006705671)</f>
        <v>45124.400670567098</v>
      </c>
      <c r="B1051" s="11" t="str">
        <f ca="1">IFERROR(__xludf.DUMMYFUNCTION("""COMPUTED_VALUE"""),"Jessica Lee")</f>
        <v>Jessica Lee</v>
      </c>
      <c r="C1051" t="str">
        <f ca="1">IFERROR(__xludf.DUMMYFUNCTION("""COMPUTED_VALUE"""),"jessica.lee@floridadep.gov")</f>
        <v>jessica.lee@floridadep.gov</v>
      </c>
      <c r="D1051" t="str">
        <f ca="1">IFERROR(__xludf.DUMMYFUNCTION("""COMPUTED_VALUE"""),"Shannon Dunnigan")</f>
        <v>Shannon Dunnigan</v>
      </c>
      <c r="E1051" t="str">
        <f ca="1">IFERROR(__xludf.DUMMYFUNCTION("""COMPUTED_VALUE"""),"Guana Dam")</f>
        <v>Guana Dam</v>
      </c>
      <c r="F1051" s="13">
        <f ca="1">IFERROR(__xludf.DUMMYFUNCTION("""COMPUTED_VALUE"""),0.409722222222626)</f>
        <v>0.409722222222626</v>
      </c>
      <c r="G1051" s="14">
        <f ca="1">IFERROR(__xludf.DUMMYFUNCTION("""COMPUTED_VALUE"""),45124)</f>
        <v>45124</v>
      </c>
      <c r="H1051" t="str">
        <f ca="1">IFERROR(__xludf.DUMMYFUNCTION("""COMPUTED_VALUE"""),"Guana River")</f>
        <v>Guana River</v>
      </c>
      <c r="I1051" s="15">
        <f ca="1">IFERROR(__xludf.DUMMYFUNCTION("""COMPUTED_VALUE"""),0.447916666667879)</f>
        <v>0.44791666666787899</v>
      </c>
      <c r="J1051" s="16">
        <f ca="1">IFERROR(__xludf.DUMMYFUNCTION("""COMPUTED_VALUE"""),45124.4513888888)</f>
        <v>45124.451388888803</v>
      </c>
      <c r="K1051" t="str">
        <f ca="1">IFERROR(__xludf.DUMMYFUNCTION("""COMPUTED_VALUE"""),"Jon Boat 1 FL5992RR DEP154045")</f>
        <v>Jon Boat 1 FL5992RR DEP154045</v>
      </c>
      <c r="M1051" t="str">
        <f ca="1">IFERROR(__xludf.DUMMYFUNCTION("""COMPUTED_VALUE"""),"Ford F150 2015 (White) - DEP21448")</f>
        <v>Ford F150 2015 (White) - DEP21448</v>
      </c>
      <c r="N1051" t="str">
        <f ca="1">IFERROR(__xludf.DUMMYFUNCTION("""COMPUTED_VALUE"""),"Jessica Lee, (813) 748-2228")</f>
        <v>Jessica Lee, (813) 748-2228</v>
      </c>
      <c r="O1051" t="str">
        <f ca="1">IFERROR(__xludf.DUMMYFUNCTION("""COMPUTED_VALUE"""),"Avah, Monica")</f>
        <v>Avah, Monica</v>
      </c>
      <c r="P1051" t="str">
        <f ca="1">IFERROR(__xludf.DUMMYFUNCTION("""COMPUTED_VALUE"""),"Jess")</f>
        <v>Jess</v>
      </c>
      <c r="AE1051" s="11"/>
      <c r="AF1051" t="str">
        <v>Shannon.Dunnigan@floridadep.gov</v>
      </c>
      <c r="AG1051" s="18"/>
    </row>
    <row r="1052" spans="1:33" ht="12.75">
      <c r="A1052" s="10">
        <f ca="1">IFERROR(__xludf.DUMMYFUNCTION("""COMPUTED_VALUE"""),45124.6985140856)</f>
        <v>45124.698514085598</v>
      </c>
      <c r="B1052" s="11" t="str">
        <f ca="1">IFERROR(__xludf.DUMMYFUNCTION("""COMPUTED_VALUE"""),"Shannon Dunnigan")</f>
        <v>Shannon Dunnigan</v>
      </c>
      <c r="C1052" t="str">
        <f ca="1">IFERROR(__xludf.DUMMYFUNCTION("""COMPUTED_VALUE"""),"Shannon.Dunnigan@dep.state.fl.us")</f>
        <v>Shannon.Dunnigan@dep.state.fl.us</v>
      </c>
      <c r="D1052" t="str">
        <f ca="1">IFERROR(__xludf.DUMMYFUNCTION("""COMPUTED_VALUE"""),"Jacob Berna")</f>
        <v>Jacob Berna</v>
      </c>
      <c r="E1052" t="str">
        <f ca="1">IFERROR(__xludf.DUMMYFUNCTION("""COMPUTED_VALUE"""),"Vilano Boat Ramp")</f>
        <v>Vilano Boat Ramp</v>
      </c>
      <c r="F1052" s="13">
        <f ca="1">IFERROR(__xludf.DUMMYFUNCTION("""COMPUTED_VALUE"""),0.385416666667879)</f>
        <v>0.38541666666787899</v>
      </c>
      <c r="G1052" s="14">
        <f ca="1">IFERROR(__xludf.DUMMYFUNCTION("""COMPUTED_VALUE"""),45125)</f>
        <v>45125</v>
      </c>
      <c r="H1052" t="str">
        <f ca="1">IFERROR(__xludf.DUMMYFUNCTION("""COMPUTED_VALUE"""),"SWMP sites")</f>
        <v>SWMP sites</v>
      </c>
      <c r="I1052" s="15">
        <f ca="1">IFERROR(__xludf.DUMMYFUNCTION("""COMPUTED_VALUE"""),0.572916666667879)</f>
        <v>0.57291666666787899</v>
      </c>
      <c r="J1052" s="16">
        <f ca="1">IFERROR(__xludf.DUMMYFUNCTION("""COMPUTED_VALUE"""),45126.625)</f>
        <v>45126.625</v>
      </c>
      <c r="K1052" t="str">
        <f ca="1">IFERROR(__xludf.DUMMYFUNCTION("""COMPUTED_VALUE"""),"23ft Skiff (Bertha) FL7972LJ DEP07613")</f>
        <v>23ft Skiff (Bertha) FL7972LJ DEP07613</v>
      </c>
      <c r="M1052" t="str">
        <f ca="1">IFERROR(__xludf.DUMMYFUNCTION("""COMPUTED_VALUE"""),"Ford F250 2017 (Moby Dix) - DEP0021578")</f>
        <v>Ford F250 2017 (Moby Dix) - DEP0021578</v>
      </c>
      <c r="N1052" t="str">
        <f ca="1">IFERROR(__xludf.DUMMYFUNCTION("""COMPUTED_VALUE"""),"Shannon Dunnigan, (803) 727-5734")</f>
        <v>Shannon Dunnigan, (803) 727-5734</v>
      </c>
      <c r="O1052" t="str">
        <f ca="1">IFERROR(__xludf.DUMMYFUNCTION("""COMPUTED_VALUE"""),"Avah Avonda, Nate Schirmer")</f>
        <v>Avah Avonda, Nate Schirmer</v>
      </c>
      <c r="P1052" t="str">
        <f ca="1">IFERROR(__xludf.DUMMYFUNCTION("""COMPUTED_VALUE"""),"Shannon")</f>
        <v>Shannon</v>
      </c>
      <c r="AE1052" s="11"/>
      <c r="AF1052" t="str">
        <v/>
      </c>
      <c r="AG1052" s="18"/>
    </row>
    <row r="1053" spans="1:33" ht="12.75">
      <c r="A1053" s="10">
        <f ca="1">IFERROR(__xludf.DUMMYFUNCTION("""COMPUTED_VALUE"""),45126.3860864814)</f>
        <v>45126.386086481398</v>
      </c>
      <c r="B1053" s="11" t="str">
        <f ca="1">IFERROR(__xludf.DUMMYFUNCTION("""COMPUTED_VALUE"""),"Allix North")</f>
        <v>Allix North</v>
      </c>
      <c r="C1053" t="str">
        <f ca="1">IFERROR(__xludf.DUMMYFUNCTION("""COMPUTED_VALUE"""),"Allix.North@dep.state.fl.us")</f>
        <v>Allix.North@dep.state.fl.us</v>
      </c>
      <c r="D1053" t="str">
        <f ca="1">IFERROR(__xludf.DUMMYFUNCTION("""COMPUTED_VALUE"""),"Shannon Dunnigan")</f>
        <v>Shannon Dunnigan</v>
      </c>
      <c r="E1053" t="str">
        <f ca="1">IFERROR(__xludf.DUMMYFUNCTION("""COMPUTED_VALUE"""),"Usina Boat Ramp (Aunt Kate's)")</f>
        <v>Usina Boat Ramp (Aunt Kate's)</v>
      </c>
      <c r="F1053" s="13">
        <f ca="1">IFERROR(__xludf.DUMMYFUNCTION("""COMPUTED_VALUE"""),0.416666666667879)</f>
        <v>0.41666666666787899</v>
      </c>
      <c r="G1053" s="14">
        <f ca="1">IFERROR(__xludf.DUMMYFUNCTION("""COMPUTED_VALUE"""),45126)</f>
        <v>45126</v>
      </c>
      <c r="H1053" t="str">
        <f ca="1">IFERROR(__xludf.DUMMYFUNCTION("""COMPUTED_VALUE"""),"Hat Island SET and North to Shell Bluff")</f>
        <v>Hat Island SET and North to Shell Bluff</v>
      </c>
      <c r="I1053" s="15">
        <f ca="1">IFERROR(__xludf.DUMMYFUNCTION("""COMPUTED_VALUE"""),0.5)</f>
        <v>0.5</v>
      </c>
      <c r="J1053" s="16">
        <f ca="1">IFERROR(__xludf.DUMMYFUNCTION("""COMPUTED_VALUE"""),45126.5208333333)</f>
        <v>45126.520833333299</v>
      </c>
      <c r="K1053" t="str">
        <f ca="1">IFERROR(__xludf.DUMMYFUNCTION("""COMPUTED_VALUE"""),"23ft Skiff (Bertha) FL7972LJ DEP07613")</f>
        <v>23ft Skiff (Bertha) FL7972LJ DEP07613</v>
      </c>
      <c r="M1053" t="str">
        <f ca="1">IFERROR(__xludf.DUMMYFUNCTION("""COMPUTED_VALUE"""),"Ford F250 2017 (Moby Dix) - DEP0021578")</f>
        <v>Ford F250 2017 (Moby Dix) - DEP0021578</v>
      </c>
      <c r="N1053" t="str">
        <f ca="1">IFERROR(__xludf.DUMMYFUNCTION("""COMPUTED_VALUE"""),"Jacob Berna, (904) 392-1966")</f>
        <v>Jacob Berna, (904) 392-1966</v>
      </c>
      <c r="O1053" t="str">
        <f ca="1">IFERROR(__xludf.DUMMYFUNCTION("""COMPUTED_VALUE"""),"Lia Sansom, (520) 940-4888, Matt Norton, Keith Singleton, Christopher Kinslow, Hayley Springer, Lia Sansom, Earl Pearson")</f>
        <v>Lia Sansom, (520) 940-4888, Matt Norton, Keith Singleton, Christopher Kinslow, Hayley Springer, Lia Sansom, Earl Pearson</v>
      </c>
      <c r="P1053" t="str">
        <f ca="1">IFERROR(__xludf.DUMMYFUNCTION("""COMPUTED_VALUE"""),"Jacob Berna")</f>
        <v>Jacob Berna</v>
      </c>
      <c r="AE1053" s="11"/>
      <c r="AF1053" t="str">
        <v>Shannon.Dunnigan@floridadep.gov</v>
      </c>
      <c r="AG1053" s="18"/>
    </row>
    <row r="1054" spans="1:33" ht="12.75">
      <c r="A1054" s="10">
        <f ca="1">IFERROR(__xludf.DUMMYFUNCTION("""COMPUTED_VALUE"""),45134.3810549768)</f>
        <v>45134.381054976802</v>
      </c>
      <c r="B1054" s="11" t="str">
        <f ca="1">IFERROR(__xludf.DUMMYFUNCTION("""COMPUTED_VALUE"""),"Jacob Berna")</f>
        <v>Jacob Berna</v>
      </c>
      <c r="C1054" t="str">
        <f ca="1">IFERROR(__xludf.DUMMYFUNCTION("""COMPUTED_VALUE"""),"Jacob.Berna@FloridaDEP.gov")</f>
        <v>Jacob.Berna@FloridaDEP.gov</v>
      </c>
      <c r="D1054" t="str">
        <f ca="1">IFERROR(__xludf.DUMMYFUNCTION("""COMPUTED_VALUE"""),"Scott Eastman")</f>
        <v>Scott Eastman</v>
      </c>
      <c r="E1054" t="str">
        <f ca="1">IFERROR(__xludf.DUMMYFUNCTION("""COMPUTED_VALUE"""),"Frank Butler Boat Ramp")</f>
        <v>Frank Butler Boat Ramp</v>
      </c>
      <c r="F1054" s="13">
        <f ca="1">IFERROR(__xludf.DUMMYFUNCTION("""COMPUTED_VALUE"""),0.385416666667879)</f>
        <v>0.38541666666787899</v>
      </c>
      <c r="G1054" s="14">
        <f ca="1">IFERROR(__xludf.DUMMYFUNCTION("""COMPUTED_VALUE"""),45134)</f>
        <v>45134</v>
      </c>
      <c r="H1054" t="str">
        <f ca="1">IFERROR(__xludf.DUMMYFUNCTION("""COMPUTED_VALUE"""),"Fort Matanzas Reefs")</f>
        <v>Fort Matanzas Reefs</v>
      </c>
      <c r="I1054" s="15">
        <f ca="1">IFERROR(__xludf.DUMMYFUNCTION("""COMPUTED_VALUE"""),0.64583333333212)</f>
        <v>0.64583333333212001</v>
      </c>
      <c r="J1054" s="16">
        <f ca="1">IFERROR(__xludf.DUMMYFUNCTION("""COMPUTED_VALUE"""),45134.6875)</f>
        <v>45134.6875</v>
      </c>
      <c r="K1054" t="str">
        <f ca="1">IFERROR(__xludf.DUMMYFUNCTION("""COMPUTED_VALUE"""),"20ft Sea Ark FL5351SJ UNF 2015")</f>
        <v>20ft Sea Ark FL5351SJ UNF 2015</v>
      </c>
      <c r="M1054" t="str">
        <f ca="1">IFERROR(__xludf.DUMMYFUNCTION("""COMPUTED_VALUE"""),"Ford F250 2017 (Moby Dix) - DEP0021578")</f>
        <v>Ford F250 2017 (Moby Dix) - DEP0021578</v>
      </c>
      <c r="N1054" t="str">
        <f ca="1">IFERROR(__xludf.DUMMYFUNCTION("""COMPUTED_VALUE"""),"Allix North, (850) 420-7495, Jacob Berna, (904) 392-1966, Nikki Dix, (352) 219-4079")</f>
        <v>Allix North, (850) 420-7495, Jacob Berna, (904) 392-1966, Nikki Dix, (352) 219-4079</v>
      </c>
      <c r="O1054" t="str">
        <f ca="1">IFERROR(__xludf.DUMMYFUNCTION("""COMPUTED_VALUE"""),"Hans, Alyah, Grace Farmer, Savannah ")</f>
        <v xml:space="preserve">Hans, Alyah, Grace Farmer, Savannah </v>
      </c>
      <c r="P1054" t="str">
        <f ca="1">IFERROR(__xludf.DUMMYFUNCTION("""COMPUTED_VALUE"""),"Jacob Berna")</f>
        <v>Jacob Berna</v>
      </c>
      <c r="AE1054" s="11"/>
      <c r="AF1054" t="str">
        <v>Scott.Eastman@floridadep.gov</v>
      </c>
      <c r="AG1054" s="18"/>
    </row>
    <row r="1055" spans="1:33" ht="12.75">
      <c r="A1055" s="10">
        <f ca="1">IFERROR(__xludf.DUMMYFUNCTION("""COMPUTED_VALUE"""),45135.3900176967)</f>
        <v>45135.3900176967</v>
      </c>
      <c r="B1055" s="11" t="str">
        <f ca="1">IFERROR(__xludf.DUMMYFUNCTION("""COMPUTED_VALUE"""),"Jacob Berna")</f>
        <v>Jacob Berna</v>
      </c>
      <c r="C1055" t="str">
        <f ca="1">IFERROR(__xludf.DUMMYFUNCTION("""COMPUTED_VALUE"""),"Jacob.Berna@FloridaDEP.gov")</f>
        <v>Jacob.Berna@FloridaDEP.gov</v>
      </c>
      <c r="D1055" t="str">
        <f ca="1">IFERROR(__xludf.DUMMYFUNCTION("""COMPUTED_VALUE"""),"Scott Eastman")</f>
        <v>Scott Eastman</v>
      </c>
      <c r="E1055" t="str">
        <f ca="1">IFERROR(__xludf.DUMMYFUNCTION("""COMPUTED_VALUE"""),"Frank Butler Boat Ramp")</f>
        <v>Frank Butler Boat Ramp</v>
      </c>
      <c r="F1055" s="13">
        <f ca="1">IFERROR(__xludf.DUMMYFUNCTION("""COMPUTED_VALUE"""),0.385416666667879)</f>
        <v>0.38541666666787899</v>
      </c>
      <c r="G1055" s="14">
        <f ca="1">IFERROR(__xludf.DUMMYFUNCTION("""COMPUTED_VALUE"""),45135)</f>
        <v>45135</v>
      </c>
      <c r="H1055" t="str">
        <f ca="1">IFERROR(__xludf.DUMMYFUNCTION("""COMPUTED_VALUE"""),"Butler Reefs")</f>
        <v>Butler Reefs</v>
      </c>
      <c r="I1055" s="15">
        <f ca="1">IFERROR(__xludf.DUMMYFUNCTION("""COMPUTED_VALUE"""),0.625)</f>
        <v>0.625</v>
      </c>
      <c r="J1055" s="16">
        <f ca="1">IFERROR(__xludf.DUMMYFUNCTION("""COMPUTED_VALUE"""),45135.6666666666)</f>
        <v>45135.666666666599</v>
      </c>
      <c r="K1055" t="str">
        <f ca="1">IFERROR(__xludf.DUMMYFUNCTION("""COMPUTED_VALUE"""),"20ft Sea Ark FL5351SJ UNF 2015")</f>
        <v>20ft Sea Ark FL5351SJ UNF 2015</v>
      </c>
      <c r="M1055" t="str">
        <f ca="1">IFERROR(__xludf.DUMMYFUNCTION("""COMPUTED_VALUE"""),"Ford F250 2017 (Moby Dix) - DEP0021578")</f>
        <v>Ford F250 2017 (Moby Dix) - DEP0021578</v>
      </c>
      <c r="N1055" t="str">
        <f ca="1">IFERROR(__xludf.DUMMYFUNCTION("""COMPUTED_VALUE"""),"Allix North, (850) 420-7495, Jacob Berna, (904) 392-1966, Nikki Dix, (352) 219-4079")</f>
        <v>Allix North, (850) 420-7495, Jacob Berna, (904) 392-1966, Nikki Dix, (352) 219-4079</v>
      </c>
      <c r="O1055" t="str">
        <f ca="1">IFERROR(__xludf.DUMMYFUNCTION("""COMPUTED_VALUE"""),"Alyah, Savannah, Hans")</f>
        <v>Alyah, Savannah, Hans</v>
      </c>
      <c r="P1055" t="str">
        <f ca="1">IFERROR(__xludf.DUMMYFUNCTION("""COMPUTED_VALUE"""),"Jacob Berna")</f>
        <v>Jacob Berna</v>
      </c>
      <c r="AE1055" s="11"/>
      <c r="AF1055" t="str">
        <v>Scott.Eastman@floridadep.gov</v>
      </c>
      <c r="AG1055" s="18"/>
    </row>
    <row r="1056" spans="1:33" ht="12.75">
      <c r="A1056" s="10">
        <f ca="1">IFERROR(__xludf.DUMMYFUNCTION("""COMPUTED_VALUE"""),45138.6553923032)</f>
        <v>45138.655392303197</v>
      </c>
      <c r="B1056" s="11" t="str">
        <f ca="1">IFERROR(__xludf.DUMMYFUNCTION("""COMPUTED_VALUE"""),"Shannon")</f>
        <v>Shannon</v>
      </c>
      <c r="C1056" t="str">
        <f ca="1">IFERROR(__xludf.DUMMYFUNCTION("""COMPUTED_VALUE"""),"Shannon.Dunnigan@dep.state.fl.us")</f>
        <v>Shannon.Dunnigan@dep.state.fl.us</v>
      </c>
      <c r="D1056" t="str">
        <f ca="1">IFERROR(__xludf.DUMMYFUNCTION("""COMPUTED_VALUE"""),"Jacob Berna")</f>
        <v>Jacob Berna</v>
      </c>
      <c r="E1056" t="str">
        <f ca="1">IFERROR(__xludf.DUMMYFUNCTION("""COMPUTED_VALUE"""),"Vilano Boat Ramp")</f>
        <v>Vilano Boat Ramp</v>
      </c>
      <c r="F1056" s="13">
        <f ca="1">IFERROR(__xludf.DUMMYFUNCTION("""COMPUTED_VALUE"""),0.354166666667879)</f>
        <v>0.35416666666787899</v>
      </c>
      <c r="G1056" s="14">
        <f ca="1">IFERROR(__xludf.DUMMYFUNCTION("""COMPUTED_VALUE"""),45139)</f>
        <v>45139</v>
      </c>
      <c r="H1056" t="str">
        <f ca="1">IFERROR(__xludf.DUMMYFUNCTION("""COMPUTED_VALUE"""),"SWMP sites")</f>
        <v>SWMP sites</v>
      </c>
      <c r="I1056" s="15">
        <f ca="1">IFERROR(__xludf.DUMMYFUNCTION("""COMPUTED_VALUE"""),0.5625)</f>
        <v>0.5625</v>
      </c>
      <c r="J1056" s="16">
        <f ca="1">IFERROR(__xludf.DUMMYFUNCTION("""COMPUTED_VALUE"""),45139.6041666666)</f>
        <v>45139.604166666599</v>
      </c>
      <c r="K1056" t="str">
        <f ca="1">IFERROR(__xludf.DUMMYFUNCTION("""COMPUTED_VALUE"""),"23ft Skiff (Bertha) FL7972LJ DEP07613")</f>
        <v>23ft Skiff (Bertha) FL7972LJ DEP07613</v>
      </c>
      <c r="M1056" t="str">
        <f ca="1">IFERROR(__xludf.DUMMYFUNCTION("""COMPUTED_VALUE"""),"Ford F250 2017 (Moby Dix) - DEP0021578")</f>
        <v>Ford F250 2017 (Moby Dix) - DEP0021578</v>
      </c>
      <c r="N1056" t="str">
        <f ca="1">IFERROR(__xludf.DUMMYFUNCTION("""COMPUTED_VALUE"""),"Nikki Dix, (352) 219-4079, Shannon Dunnigan, (803) 727-5734")</f>
        <v>Nikki Dix, (352) 219-4079, Shannon Dunnigan, (803) 727-5734</v>
      </c>
      <c r="O1056" t="str">
        <f ca="1">IFERROR(__xludf.DUMMYFUNCTION("""COMPUTED_VALUE"""),"Avah Avonda, Nate Schirmer")</f>
        <v>Avah Avonda, Nate Schirmer</v>
      </c>
      <c r="P1056" t="str">
        <f ca="1">IFERROR(__xludf.DUMMYFUNCTION("""COMPUTED_VALUE"""),"Shannon")</f>
        <v>Shannon</v>
      </c>
      <c r="AE1056" s="11"/>
      <c r="AF1056" t="str">
        <v/>
      </c>
      <c r="AG1056" s="18"/>
    </row>
    <row r="1057" spans="1:33" ht="12.75">
      <c r="A1057" s="10">
        <f ca="1">IFERROR(__xludf.DUMMYFUNCTION("""COMPUTED_VALUE"""),45141.4749379398)</f>
        <v>45141.474937939798</v>
      </c>
      <c r="B1057" s="11" t="str">
        <f ca="1">IFERROR(__xludf.DUMMYFUNCTION("""COMPUTED_VALUE"""),"Hans Prevost")</f>
        <v>Hans Prevost</v>
      </c>
      <c r="C1057" t="str">
        <f ca="1">IFERROR(__xludf.DUMMYFUNCTION("""COMPUTED_VALUE"""),"hans.prevost@floridadep.gov")</f>
        <v>hans.prevost@floridadep.gov</v>
      </c>
      <c r="D1057" t="str">
        <f ca="1">IFERROR(__xludf.DUMMYFUNCTION("""COMPUTED_VALUE"""),"Nikki Dix")</f>
        <v>Nikki Dix</v>
      </c>
      <c r="E1057" t="str">
        <f ca="1">IFERROR(__xludf.DUMMYFUNCTION("""COMPUTED_VALUE"""),"Vilano Boat Ramp")</f>
        <v>Vilano Boat Ramp</v>
      </c>
      <c r="F1057" s="13">
        <f ca="1">IFERROR(__xludf.DUMMYFUNCTION("""COMPUTED_VALUE"""),0.479166666667879)</f>
        <v>0.47916666666787899</v>
      </c>
      <c r="G1057" s="14">
        <f ca="1">IFERROR(__xludf.DUMMYFUNCTION("""COMPUTED_VALUE"""),45141)</f>
        <v>45141</v>
      </c>
      <c r="H1057" t="str">
        <f ca="1">IFERROR(__xludf.DUMMYFUNCTION("""COMPUTED_VALUE"""),"Boat training - around vilano area")</f>
        <v>Boat training - around vilano area</v>
      </c>
      <c r="I1057" s="15">
        <f ca="1">IFERROR(__xludf.DUMMYFUNCTION("""COMPUTED_VALUE"""),0.625)</f>
        <v>0.625</v>
      </c>
      <c r="J1057" s="16">
        <f ca="1">IFERROR(__xludf.DUMMYFUNCTION("""COMPUTED_VALUE"""),45141.6458333333)</f>
        <v>45141.645833333299</v>
      </c>
      <c r="K1057" t="str">
        <f ca="1">IFERROR(__xludf.DUMMYFUNCTION("""COMPUTED_VALUE"""),"23ft Skiff (Bertha) FL7972LJ DEP07613")</f>
        <v>23ft Skiff (Bertha) FL7972LJ DEP07613</v>
      </c>
      <c r="M1057" t="str">
        <f ca="1">IFERROR(__xludf.DUMMYFUNCTION("""COMPUTED_VALUE"""),"Ford F250 2017 (Moby Dix) - DEP0021578")</f>
        <v>Ford F250 2017 (Moby Dix) - DEP0021578</v>
      </c>
      <c r="N1057" t="str">
        <f ca="1">IFERROR(__xludf.DUMMYFUNCTION("""COMPUTED_VALUE"""),"Jacob Berna, (904) 392-1966")</f>
        <v>Jacob Berna, (904) 392-1966</v>
      </c>
      <c r="O1057" t="str">
        <f ca="1">IFERROR(__xludf.DUMMYFUNCTION("""COMPUTED_VALUE"""),"Hans Prevost")</f>
        <v>Hans Prevost</v>
      </c>
      <c r="P1057" t="str">
        <f ca="1">IFERROR(__xludf.DUMMYFUNCTION("""COMPUTED_VALUE"""),"Jacob Berna ")</f>
        <v xml:space="preserve">Jacob Berna </v>
      </c>
      <c r="AE1057" s="11"/>
      <c r="AF1057" t="str">
        <v>Nikki.Dix@floridadep.gov</v>
      </c>
      <c r="AG1057" s="18"/>
    </row>
    <row r="1058" spans="1:33" ht="12.75">
      <c r="A1058" s="10">
        <f ca="1">IFERROR(__xludf.DUMMYFUNCTION("""COMPUTED_VALUE"""),45148.4322873148)</f>
        <v>45148.432287314798</v>
      </c>
      <c r="B1058" s="11" t="str">
        <f ca="1">IFERROR(__xludf.DUMMYFUNCTION("""COMPUTED_VALUE"""),"Hans Prevost")</f>
        <v>Hans Prevost</v>
      </c>
      <c r="C1058" t="str">
        <f ca="1">IFERROR(__xludf.DUMMYFUNCTION("""COMPUTED_VALUE"""),"hans.prevost@floridadep.gov")</f>
        <v>hans.prevost@floridadep.gov</v>
      </c>
      <c r="D1058" t="str">
        <f ca="1">IFERROR(__xludf.DUMMYFUNCTION("""COMPUTED_VALUE"""),"Scott Eastman")</f>
        <v>Scott Eastman</v>
      </c>
      <c r="E1058" t="str">
        <f ca="1">IFERROR(__xludf.DUMMYFUNCTION("""COMPUTED_VALUE"""),"Frank Butler Boat Ramp")</f>
        <v>Frank Butler Boat Ramp</v>
      </c>
      <c r="F1058" s="13">
        <f ca="1">IFERROR(__xludf.DUMMYFUNCTION("""COMPUTED_VALUE"""),0.430555555554747)</f>
        <v>0.430555555554747</v>
      </c>
      <c r="G1058" s="14">
        <f ca="1">IFERROR(__xludf.DUMMYFUNCTION("""COMPUTED_VALUE"""),45148)</f>
        <v>45148</v>
      </c>
      <c r="H1058" t="str">
        <f ca="1">IFERROR(__xludf.DUMMYFUNCTION("""COMPUTED_VALUE"""),"Devils elbow")</f>
        <v>Devils elbow</v>
      </c>
      <c r="I1058" s="15">
        <f ca="1">IFERROR(__xludf.DUMMYFUNCTION("""COMPUTED_VALUE"""),0.58333333333212)</f>
        <v>0.58333333333212001</v>
      </c>
      <c r="J1058" s="16">
        <f ca="1">IFERROR(__xludf.DUMMYFUNCTION("""COMPUTED_VALUE"""),45148.625)</f>
        <v>45148.625</v>
      </c>
      <c r="K1058" t="str">
        <f ca="1">IFERROR(__xludf.DUMMYFUNCTION("""COMPUTED_VALUE"""),"20ft Sea Ark FL5351SJ UNF 2015")</f>
        <v>20ft Sea Ark FL5351SJ UNF 2015</v>
      </c>
      <c r="M1058" t="str">
        <f ca="1">IFERROR(__xludf.DUMMYFUNCTION("""COMPUTED_VALUE"""),"DEP22510 ML")</f>
        <v>DEP22510 ML</v>
      </c>
      <c r="N1058" t="str">
        <f ca="1">IFERROR(__xludf.DUMMYFUNCTION("""COMPUTED_VALUE"""),"Allix North, (850) 420-7495")</f>
        <v>Allix North, (850) 420-7495</v>
      </c>
      <c r="O1058" t="str">
        <f ca="1">IFERROR(__xludf.DUMMYFUNCTION("""COMPUTED_VALUE"""),"Hans Prevost, Savanna Mathis, Alyah Bennett")</f>
        <v>Hans Prevost, Savanna Mathis, Alyah Bennett</v>
      </c>
      <c r="P1058" t="str">
        <f ca="1">IFERROR(__xludf.DUMMYFUNCTION("""COMPUTED_VALUE"""),"Allix North")</f>
        <v>Allix North</v>
      </c>
      <c r="AE1058" s="11"/>
      <c r="AF1058" t="str">
        <v>Scott.Eastman@floridadep.gov</v>
      </c>
      <c r="AG1058" s="18"/>
    </row>
    <row r="1059" spans="1:33" ht="12.75">
      <c r="A1059" s="10">
        <f ca="1">IFERROR(__xludf.DUMMYFUNCTION("""COMPUTED_VALUE"""),45152.3786475115)</f>
        <v>45152.378647511498</v>
      </c>
      <c r="B1059" s="11" t="str">
        <f ca="1">IFERROR(__xludf.DUMMYFUNCTION("""COMPUTED_VALUE"""),"Jessica Lee")</f>
        <v>Jessica Lee</v>
      </c>
      <c r="C1059" t="str">
        <f ca="1">IFERROR(__xludf.DUMMYFUNCTION("""COMPUTED_VALUE"""),"jessica.lee@floridadep.gov")</f>
        <v>jessica.lee@floridadep.gov</v>
      </c>
      <c r="D1059" t="str">
        <f ca="1">IFERROR(__xludf.DUMMYFUNCTION("""COMPUTED_VALUE"""),"Nikki Dix")</f>
        <v>Nikki Dix</v>
      </c>
      <c r="E1059" t="str">
        <f ca="1">IFERROR(__xludf.DUMMYFUNCTION("""COMPUTED_VALUE"""),"Guana Dam")</f>
        <v>Guana Dam</v>
      </c>
      <c r="F1059" s="13">
        <f ca="1">IFERROR(__xludf.DUMMYFUNCTION("""COMPUTED_VALUE"""),0.375)</f>
        <v>0.375</v>
      </c>
      <c r="G1059" s="14">
        <f ca="1">IFERROR(__xludf.DUMMYFUNCTION("""COMPUTED_VALUE"""),45152)</f>
        <v>45152</v>
      </c>
      <c r="H1059" t="str">
        <f ca="1">IFERROR(__xludf.DUMMYFUNCTION("""COMPUTED_VALUE"""),"Guana River")</f>
        <v>Guana River</v>
      </c>
      <c r="I1059" s="15">
        <f ca="1">IFERROR(__xludf.DUMMYFUNCTION("""COMPUTED_VALUE"""),0.416666666667879)</f>
        <v>0.41666666666787899</v>
      </c>
      <c r="J1059" s="16">
        <f ca="1">IFERROR(__xludf.DUMMYFUNCTION("""COMPUTED_VALUE"""),45152.4375)</f>
        <v>45152.4375</v>
      </c>
      <c r="K1059" t="str">
        <f ca="1">IFERROR(__xludf.DUMMYFUNCTION("""COMPUTED_VALUE"""),"Jon Boat 1 FL5992RR DEP154045")</f>
        <v>Jon Boat 1 FL5992RR DEP154045</v>
      </c>
      <c r="M1059" t="str">
        <f ca="1">IFERROR(__xludf.DUMMYFUNCTION("""COMPUTED_VALUE"""),"Ford F150 2015 (White) - DEP21448")</f>
        <v>Ford F150 2015 (White) - DEP21448</v>
      </c>
      <c r="N1059" t="str">
        <f ca="1">IFERROR(__xludf.DUMMYFUNCTION("""COMPUTED_VALUE"""),"Jessica Lee, (813) 748-2228")</f>
        <v>Jessica Lee, (813) 748-2228</v>
      </c>
      <c r="O1059" t="str">
        <f ca="1">IFERROR(__xludf.DUMMYFUNCTION("""COMPUTED_VALUE"""),"Hans Prevost, Monica")</f>
        <v>Hans Prevost, Monica</v>
      </c>
      <c r="P1059" t="str">
        <f ca="1">IFERROR(__xludf.DUMMYFUNCTION("""COMPUTED_VALUE"""),"Jess")</f>
        <v>Jess</v>
      </c>
      <c r="AE1059" s="11"/>
      <c r="AF1059" t="str">
        <v>Nikki.Dix@floridadep.gov</v>
      </c>
      <c r="AG1059" s="18"/>
    </row>
    <row r="1060" spans="1:33" ht="12.75">
      <c r="A1060" s="10">
        <f ca="1">IFERROR(__xludf.DUMMYFUNCTION("""COMPUTED_VALUE"""),45155.3031915046)</f>
        <v>45155.303191504601</v>
      </c>
      <c r="B1060" s="11" t="str">
        <f ca="1">IFERROR(__xludf.DUMMYFUNCTION("""COMPUTED_VALUE"""),"Allix North")</f>
        <v>Allix North</v>
      </c>
      <c r="C1060" t="str">
        <f ca="1">IFERROR(__xludf.DUMMYFUNCTION("""COMPUTED_VALUE"""),"Allix.North@dep.state.fl.us")</f>
        <v>Allix.North@dep.state.fl.us</v>
      </c>
      <c r="D1060" t="str">
        <f ca="1">IFERROR(__xludf.DUMMYFUNCTION("""COMPUTED_VALUE"""),"Scott Eastman")</f>
        <v>Scott Eastman</v>
      </c>
      <c r="E1060" t="str">
        <f ca="1">IFERROR(__xludf.DUMMYFUNCTION("""COMPUTED_VALUE"""),"Whitney Lab Marineland")</f>
        <v>Whitney Lab Marineland</v>
      </c>
      <c r="F1060" s="13">
        <f ca="1">IFERROR(__xludf.DUMMYFUNCTION("""COMPUTED_VALUE"""),0.354166666667879)</f>
        <v>0.35416666666787899</v>
      </c>
      <c r="G1060" s="14">
        <f ca="1">IFERROR(__xludf.DUMMYFUNCTION("""COMPUTED_VALUE"""),45155)</f>
        <v>45155</v>
      </c>
      <c r="H1060" t="str">
        <f ca="1">IFERROR(__xludf.DUMMYFUNCTION("""COMPUTED_VALUE"""),"Washington Oaks are")</f>
        <v>Washington Oaks are</v>
      </c>
      <c r="I1060" s="15">
        <f ca="1">IFERROR(__xludf.DUMMYFUNCTION("""COMPUTED_VALUE"""),0.58333333333212)</f>
        <v>0.58333333333212001</v>
      </c>
      <c r="J1060" s="16">
        <f ca="1">IFERROR(__xludf.DUMMYFUNCTION("""COMPUTED_VALUE"""),45155.6041666666)</f>
        <v>45155.604166666599</v>
      </c>
      <c r="K1060" t="str">
        <f ca="1">IFERROR(__xludf.DUMMYFUNCTION("""COMPUTED_VALUE"""),"20ft Sea Ark FL5351SJ UNF 2015")</f>
        <v>20ft Sea Ark FL5351SJ UNF 2015</v>
      </c>
      <c r="M1060" t="str">
        <f ca="1">IFERROR(__xludf.DUMMYFUNCTION("""COMPUTED_VALUE"""),"Ford F150 - DEP22510")</f>
        <v>Ford F150 - DEP22510</v>
      </c>
      <c r="N1060" t="str">
        <f ca="1">IFERROR(__xludf.DUMMYFUNCTION("""COMPUTED_VALUE"""),"Allix North, (850) 420-7495")</f>
        <v>Allix North, (850) 420-7495</v>
      </c>
      <c r="O1060" t="str">
        <f ca="1">IFERROR(__xludf.DUMMYFUNCTION("""COMPUTED_VALUE"""),"Savanna Mathis, Orlando Cordero, Michael Espirilla")</f>
        <v>Savanna Mathis, Orlando Cordero, Michael Espirilla</v>
      </c>
      <c r="P1060" t="str">
        <f ca="1">IFERROR(__xludf.DUMMYFUNCTION("""COMPUTED_VALUE"""),"Allix North")</f>
        <v>Allix North</v>
      </c>
      <c r="AE1060" s="11"/>
      <c r="AF1060" t="str">
        <v>Scott.Eastman@floridadep.gov</v>
      </c>
      <c r="AG1060" s="18"/>
    </row>
    <row r="1061" spans="1:33" ht="12.75">
      <c r="A1061" s="10">
        <f ca="1">IFERROR(__xludf.DUMMYFUNCTION("""COMPUTED_VALUE"""),45161.3692394675)</f>
        <v>45161.369239467502</v>
      </c>
      <c r="B1061" s="11" t="str">
        <f ca="1">IFERROR(__xludf.DUMMYFUNCTION("""COMPUTED_VALUE"""),"Jacob Berna")</f>
        <v>Jacob Berna</v>
      </c>
      <c r="C1061" t="str">
        <f ca="1">IFERROR(__xludf.DUMMYFUNCTION("""COMPUTED_VALUE"""),"jacob.berna@floridadep.gov")</f>
        <v>jacob.berna@floridadep.gov</v>
      </c>
      <c r="D1061" t="str">
        <f ca="1">IFERROR(__xludf.DUMMYFUNCTION("""COMPUTED_VALUE"""),"Shannon Dunnigan")</f>
        <v>Shannon Dunnigan</v>
      </c>
      <c r="E1061" t="str">
        <f ca="1">IFERROR(__xludf.DUMMYFUNCTION("""COMPUTED_VALUE"""),"Frank Butler Boat Ramp, Bing's Landing")</f>
        <v>Frank Butler Boat Ramp, Bing's Landing</v>
      </c>
      <c r="F1061" s="13">
        <f ca="1">IFERROR(__xludf.DUMMYFUNCTION("""COMPUTED_VALUE"""),0.375)</f>
        <v>0.375</v>
      </c>
      <c r="G1061" s="14">
        <f ca="1">IFERROR(__xludf.DUMMYFUNCTION("""COMPUTED_VALUE"""),45161)</f>
        <v>45161</v>
      </c>
      <c r="H1061" t="str">
        <f ca="1">IFERROR(__xludf.DUMMYFUNCTION("""COMPUTED_VALUE"""),"01 and 06 sites")</f>
        <v>01 and 06 sites</v>
      </c>
      <c r="I1061" s="15">
        <f ca="1">IFERROR(__xludf.DUMMYFUNCTION("""COMPUTED_VALUE"""),0.64583333333212)</f>
        <v>0.64583333333212001</v>
      </c>
      <c r="J1061" s="16">
        <f ca="1">IFERROR(__xludf.DUMMYFUNCTION("""COMPUTED_VALUE"""),45161.6875)</f>
        <v>45161.6875</v>
      </c>
      <c r="K1061" t="str">
        <f ca="1">IFERROR(__xludf.DUMMYFUNCTION("""COMPUTED_VALUE"""),"20ft Sea Ark FL5351SJ UNF 2015")</f>
        <v>20ft Sea Ark FL5351SJ UNF 2015</v>
      </c>
      <c r="M1061" t="str">
        <f ca="1">IFERROR(__xludf.DUMMYFUNCTION("""COMPUTED_VALUE"""),"Ford F150 2015 (White) - DEP21448")</f>
        <v>Ford F150 2015 (White) - DEP21448</v>
      </c>
      <c r="N1061" t="str">
        <f ca="1">IFERROR(__xludf.DUMMYFUNCTION("""COMPUTED_VALUE"""),"Jacob Berna, (904) 392-1966")</f>
        <v>Jacob Berna, (904) 392-1966</v>
      </c>
      <c r="O1061" t="str">
        <f ca="1">IFERROR(__xludf.DUMMYFUNCTION("""COMPUTED_VALUE"""),"Hans Prevost")</f>
        <v>Hans Prevost</v>
      </c>
      <c r="P1061" t="str">
        <f ca="1">IFERROR(__xludf.DUMMYFUNCTION("""COMPUTED_VALUE"""),"Jacob Berna")</f>
        <v>Jacob Berna</v>
      </c>
      <c r="AE1061" s="11"/>
      <c r="AF1061" t="str">
        <v>Shannon.Dunnigan@floridadep.gov</v>
      </c>
      <c r="AG1061" s="18"/>
    </row>
    <row r="1062" spans="1:33" ht="12.75">
      <c r="A1062" s="10">
        <f ca="1">IFERROR(__xludf.DUMMYFUNCTION("""COMPUTED_VALUE"""),45166.3921294097)</f>
        <v>45166.392129409702</v>
      </c>
      <c r="B1062" s="11" t="str">
        <f ca="1">IFERROR(__xludf.DUMMYFUNCTION("""COMPUTED_VALUE"""),"Jacob Berna")</f>
        <v>Jacob Berna</v>
      </c>
      <c r="C1062" t="str">
        <f ca="1">IFERROR(__xludf.DUMMYFUNCTION("""COMPUTED_VALUE"""),"jacob.berna@floridadep.gov")</f>
        <v>jacob.berna@floridadep.gov</v>
      </c>
      <c r="D1062" t="str">
        <f ca="1">IFERROR(__xludf.DUMMYFUNCTION("""COMPUTED_VALUE"""),"Nikki Dix")</f>
        <v>Nikki Dix</v>
      </c>
      <c r="E1062" t="str">
        <f ca="1">IFERROR(__xludf.DUMMYFUNCTION("""COMPUTED_VALUE"""),"Vilano Boat Ramp")</f>
        <v>Vilano Boat Ramp</v>
      </c>
      <c r="F1062" s="13">
        <f ca="1">IFERROR(__xludf.DUMMYFUNCTION("""COMPUTED_VALUE"""),0.388888888890505)</f>
        <v>0.38888888889050499</v>
      </c>
      <c r="G1062" s="14">
        <f ca="1">IFERROR(__xludf.DUMMYFUNCTION("""COMPUTED_VALUE"""),45166)</f>
        <v>45166</v>
      </c>
      <c r="H1062" t="str">
        <f ca="1">IFERROR(__xludf.DUMMYFUNCTION("""COMPUTED_VALUE"""),"HI, PI, EC")</f>
        <v>HI, PI, EC</v>
      </c>
      <c r="I1062" s="15">
        <f ca="1">IFERROR(__xludf.DUMMYFUNCTION("""COMPUTED_VALUE"""),0.58333333333212)</f>
        <v>0.58333333333212001</v>
      </c>
      <c r="J1062" s="16">
        <f ca="1">IFERROR(__xludf.DUMMYFUNCTION("""COMPUTED_VALUE"""),45166.6041666666)</f>
        <v>45166.604166666599</v>
      </c>
      <c r="K1062" t="str">
        <f ca="1">IFERROR(__xludf.DUMMYFUNCTION("""COMPUTED_VALUE"""),"20ft Sea Ark FL5351SJ UNF 2015")</f>
        <v>20ft Sea Ark FL5351SJ UNF 2015</v>
      </c>
      <c r="M1062" t="str">
        <f ca="1">IFERROR(__xludf.DUMMYFUNCTION("""COMPUTED_VALUE"""),"Ford F250 2017 (Moby Dix) - DEP0021578")</f>
        <v>Ford F250 2017 (Moby Dix) - DEP0021578</v>
      </c>
      <c r="N1062" t="str">
        <f ca="1">IFERROR(__xludf.DUMMYFUNCTION("""COMPUTED_VALUE"""),"Jacob Berna, (904) 392-1966")</f>
        <v>Jacob Berna, (904) 392-1966</v>
      </c>
      <c r="O1062" t="str">
        <f ca="1">IFERROR(__xludf.DUMMYFUNCTION("""COMPUTED_VALUE"""),"Hans Prevost")</f>
        <v>Hans Prevost</v>
      </c>
      <c r="P1062" t="str">
        <f ca="1">IFERROR(__xludf.DUMMYFUNCTION("""COMPUTED_VALUE"""),"Jacob Berna")</f>
        <v>Jacob Berna</v>
      </c>
      <c r="AE1062" s="11"/>
      <c r="AF1062" t="str">
        <v>Nikki.Dix@floridadep.gov</v>
      </c>
      <c r="AG1062" s="18"/>
    </row>
    <row r="1063" spans="1:33" ht="12.75">
      <c r="A1063" s="10">
        <f ca="1">IFERROR(__xludf.DUMMYFUNCTION("""COMPUTED_VALUE"""),45166.4803310648)</f>
        <v>45166.480331064799</v>
      </c>
      <c r="B1063" s="11" t="str">
        <f ca="1">IFERROR(__xludf.DUMMYFUNCTION("""COMPUTED_VALUE"""),"Jacob Berna")</f>
        <v>Jacob Berna</v>
      </c>
      <c r="C1063" t="str">
        <f ca="1">IFERROR(__xludf.DUMMYFUNCTION("""COMPUTED_VALUE"""),"jacob.berna@floridadep.gov")</f>
        <v>jacob.berna@floridadep.gov</v>
      </c>
      <c r="D1063" t="str">
        <f ca="1">IFERROR(__xludf.DUMMYFUNCTION("""COMPUTED_VALUE"""),"Nikki Dix")</f>
        <v>Nikki Dix</v>
      </c>
      <c r="E1063" t="str">
        <f ca="1">IFERROR(__xludf.DUMMYFUNCTION("""COMPUTED_VALUE"""),"Douglas Crane Boat Ramp")</f>
        <v>Douglas Crane Boat Ramp</v>
      </c>
      <c r="F1063" s="13">
        <f ca="1">IFERROR(__xludf.DUMMYFUNCTION("""COMPUTED_VALUE"""),0.479166666667879)</f>
        <v>0.47916666666787899</v>
      </c>
      <c r="G1063" s="14">
        <f ca="1">IFERROR(__xludf.DUMMYFUNCTION("""COMPUTED_VALUE"""),45166)</f>
        <v>45166</v>
      </c>
      <c r="H1063" t="str">
        <f ca="1">IFERROR(__xludf.DUMMYFUNCTION("""COMPUTED_VALUE"""),"EC site")</f>
        <v>EC site</v>
      </c>
      <c r="I1063" s="15">
        <f ca="1">IFERROR(__xludf.DUMMYFUNCTION("""COMPUTED_VALUE"""),0.541666666667879)</f>
        <v>0.54166666666787899</v>
      </c>
      <c r="J1063" s="16">
        <f ca="1">IFERROR(__xludf.DUMMYFUNCTION("""COMPUTED_VALUE"""),45166.5729166666)</f>
        <v>45166.572916666599</v>
      </c>
      <c r="K1063" t="str">
        <f ca="1">IFERROR(__xludf.DUMMYFUNCTION("""COMPUTED_VALUE"""),"20ft Sea Ark FL5351SJ UNF 2015")</f>
        <v>20ft Sea Ark FL5351SJ UNF 2015</v>
      </c>
      <c r="M1063" t="str">
        <f ca="1">IFERROR(__xludf.DUMMYFUNCTION("""COMPUTED_VALUE"""),"Ford F250 2017 (Moby Dix) - DEP0021578")</f>
        <v>Ford F250 2017 (Moby Dix) - DEP0021578</v>
      </c>
      <c r="N1063" t="str">
        <f ca="1">IFERROR(__xludf.DUMMYFUNCTION("""COMPUTED_VALUE"""),"Jacob Berna, (904) 392-1966")</f>
        <v>Jacob Berna, (904) 392-1966</v>
      </c>
      <c r="O1063" t="str">
        <f ca="1">IFERROR(__xludf.DUMMYFUNCTION("""COMPUTED_VALUE"""),"Hans Prevost")</f>
        <v>Hans Prevost</v>
      </c>
      <c r="P1063" t="str">
        <f ca="1">IFERROR(__xludf.DUMMYFUNCTION("""COMPUTED_VALUE"""),"Jacob Berna")</f>
        <v>Jacob Berna</v>
      </c>
      <c r="AE1063" s="11"/>
      <c r="AF1063" t="str">
        <v>Nikki.Dix@floridadep.gov</v>
      </c>
      <c r="AG1063" s="18"/>
    </row>
    <row r="1064" spans="1:33" ht="12.75">
      <c r="A1064" s="10">
        <f ca="1">IFERROR(__xludf.DUMMYFUNCTION("""COMPUTED_VALUE"""),45166.5730800347)</f>
        <v>45166.573080034701</v>
      </c>
      <c r="B1064" s="11" t="str">
        <f ca="1">IFERROR(__xludf.DUMMYFUNCTION("""COMPUTED_VALUE"""),"Jacob Berna")</f>
        <v>Jacob Berna</v>
      </c>
      <c r="C1064" t="str">
        <f ca="1">IFERROR(__xludf.DUMMYFUNCTION("""COMPUTED_VALUE"""),"jacob.berna@floridadep.gov")</f>
        <v>jacob.berna@floridadep.gov</v>
      </c>
      <c r="D1064" t="str">
        <f ca="1">IFERROR(__xludf.DUMMYFUNCTION("""COMPUTED_VALUE"""),"Nikki Dix")</f>
        <v>Nikki Dix</v>
      </c>
      <c r="E1064" t="str">
        <f ca="1">IFERROR(__xludf.DUMMYFUNCTION("""COMPUTED_VALUE"""),"Palm Valley Boat Ramp")</f>
        <v>Palm Valley Boat Ramp</v>
      </c>
      <c r="F1064" s="13">
        <f ca="1">IFERROR(__xludf.DUMMYFUNCTION("""COMPUTED_VALUE"""),0.572916666667879)</f>
        <v>0.57291666666787899</v>
      </c>
      <c r="G1064" s="14">
        <f ca="1">IFERROR(__xludf.DUMMYFUNCTION("""COMPUTED_VALUE"""),45166)</f>
        <v>45166</v>
      </c>
      <c r="H1064" t="str">
        <f ca="1">IFERROR(__xludf.DUMMYFUNCTION("""COMPUTED_VALUE"""),"PI site")</f>
        <v>PI site</v>
      </c>
      <c r="I1064" s="15">
        <f ca="1">IFERROR(__xludf.DUMMYFUNCTION("""COMPUTED_VALUE"""),0.64583333333212)</f>
        <v>0.64583333333212001</v>
      </c>
      <c r="J1064" s="16">
        <f ca="1">IFERROR(__xludf.DUMMYFUNCTION("""COMPUTED_VALUE"""),45166.6666666666)</f>
        <v>45166.666666666599</v>
      </c>
      <c r="K1064" t="str">
        <f ca="1">IFERROR(__xludf.DUMMYFUNCTION("""COMPUTED_VALUE"""),"20ft Sea Ark FL5351SJ UNF 2015")</f>
        <v>20ft Sea Ark FL5351SJ UNF 2015</v>
      </c>
      <c r="M1064" t="str">
        <f ca="1">IFERROR(__xludf.DUMMYFUNCTION("""COMPUTED_VALUE"""),"Ford F250 2017 (Moby Dix) - DEP0021578")</f>
        <v>Ford F250 2017 (Moby Dix) - DEP0021578</v>
      </c>
      <c r="N1064" t="str">
        <f ca="1">IFERROR(__xludf.DUMMYFUNCTION("""COMPUTED_VALUE"""),"Jacob Berna, (904) 392-1966")</f>
        <v>Jacob Berna, (904) 392-1966</v>
      </c>
      <c r="O1064" t="str">
        <f ca="1">IFERROR(__xludf.DUMMYFUNCTION("""COMPUTED_VALUE"""),"Hans Prevost")</f>
        <v>Hans Prevost</v>
      </c>
      <c r="P1064" t="str">
        <f ca="1">IFERROR(__xludf.DUMMYFUNCTION("""COMPUTED_VALUE"""),"Jacob Berna")</f>
        <v>Jacob Berna</v>
      </c>
      <c r="AE1064" s="11"/>
      <c r="AF1064" t="str">
        <v>Nikki.Dix@floridadep.gov</v>
      </c>
      <c r="AG1064" s="18"/>
    </row>
    <row r="1065" spans="1:33" ht="12.75">
      <c r="A1065" s="10">
        <f ca="1">IFERROR(__xludf.DUMMYFUNCTION("""COMPUTED_VALUE"""),45170.3585131365)</f>
        <v>45170.358513136503</v>
      </c>
      <c r="B1065" s="11" t="str">
        <f ca="1">IFERROR(__xludf.DUMMYFUNCTION("""COMPUTED_VALUE"""),"Hans prevost")</f>
        <v>Hans prevost</v>
      </c>
      <c r="C1065" t="str">
        <f ca="1">IFERROR(__xludf.DUMMYFUNCTION("""COMPUTED_VALUE"""),"hans.prevost@floridadep.gov")</f>
        <v>hans.prevost@floridadep.gov</v>
      </c>
      <c r="D1065" t="str">
        <f ca="1">IFERROR(__xludf.DUMMYFUNCTION("""COMPUTED_VALUE"""),"Katie Petrinec")</f>
        <v>Katie Petrinec</v>
      </c>
      <c r="E1065" t="str">
        <f ca="1">IFERROR(__xludf.DUMMYFUNCTION("""COMPUTED_VALUE"""),"Vilano Boat Ramp")</f>
        <v>Vilano Boat Ramp</v>
      </c>
      <c r="F1065" s="13">
        <f ca="1">IFERROR(__xludf.DUMMYFUNCTION("""COMPUTED_VALUE"""),0.354166666667879)</f>
        <v>0.35416666666787899</v>
      </c>
      <c r="G1065" s="14">
        <f ca="1">IFERROR(__xludf.DUMMYFUNCTION("""COMPUTED_VALUE"""),45170)</f>
        <v>45170</v>
      </c>
      <c r="H1065" t="str">
        <f ca="1">IFERROR(__xludf.DUMMYFUNCTION("""COMPUTED_VALUE"""),"Tolomato Rakes")</f>
        <v>Tolomato Rakes</v>
      </c>
      <c r="I1065" s="15">
        <f ca="1">IFERROR(__xludf.DUMMYFUNCTION("""COMPUTED_VALUE"""),0.64583333333212)</f>
        <v>0.64583333333212001</v>
      </c>
      <c r="J1065" s="16">
        <f ca="1">IFERROR(__xludf.DUMMYFUNCTION("""COMPUTED_VALUE"""),45170.1875)</f>
        <v>45170.1875</v>
      </c>
      <c r="K1065" t="str">
        <f ca="1">IFERROR(__xludf.DUMMYFUNCTION("""COMPUTED_VALUE"""),"23ft Skiff (Bertha) FL7972LJ DEP07613")</f>
        <v>23ft Skiff (Bertha) FL7972LJ DEP07613</v>
      </c>
      <c r="M1065" t="str">
        <f ca="1">IFERROR(__xludf.DUMMYFUNCTION("""COMPUTED_VALUE"""),"Ford F250 2017 (Moby Dix) - DEP0021578")</f>
        <v>Ford F250 2017 (Moby Dix) - DEP0021578</v>
      </c>
      <c r="N1065" t="str">
        <f ca="1">IFERROR(__xludf.DUMMYFUNCTION("""COMPUTED_VALUE"""),"Nikki Dix, (352) 219-4079")</f>
        <v>Nikki Dix, (352) 219-4079</v>
      </c>
      <c r="O1065" t="str">
        <f ca="1">IFERROR(__xludf.DUMMYFUNCTION("""COMPUTED_VALUE"""),"Hans Prevost, Riza, anythony, Sarah, and jenny")</f>
        <v>Hans Prevost, Riza, anythony, Sarah, and jenny</v>
      </c>
      <c r="P1065" t="str">
        <f ca="1">IFERROR(__xludf.DUMMYFUNCTION("""COMPUTED_VALUE"""),"Nikki dix ")</f>
        <v xml:space="preserve">Nikki dix </v>
      </c>
      <c r="AE1065" s="11"/>
      <c r="AF1065" t="str">
        <v>Katherine.Petrinec@floridadep.gov</v>
      </c>
      <c r="AG1065" s="18"/>
    </row>
    <row r="1066" spans="1:33" ht="12.75">
      <c r="A1066" s="10">
        <f ca="1">IFERROR(__xludf.DUMMYFUNCTION("""COMPUTED_VALUE"""),45174.4689110069)</f>
        <v>45174.468911006901</v>
      </c>
      <c r="B1066" s="11" t="str">
        <f ca="1">IFERROR(__xludf.DUMMYFUNCTION("""COMPUTED_VALUE"""),"Monica Maldonado ")</f>
        <v xml:space="preserve">Monica Maldonado </v>
      </c>
      <c r="C1066" t="str">
        <f ca="1">IFERROR(__xludf.DUMMYFUNCTION("""COMPUTED_VALUE"""),"Monica.maldonado@floridadep.com")</f>
        <v>Monica.maldonado@floridadep.com</v>
      </c>
      <c r="D1066" t="str">
        <f ca="1">IFERROR(__xludf.DUMMYFUNCTION("""COMPUTED_VALUE"""),"Nikki Dix")</f>
        <v>Nikki Dix</v>
      </c>
      <c r="E1066" t="str">
        <f ca="1">IFERROR(__xludf.DUMMYFUNCTION("""COMPUTED_VALUE"""),"Guana Dam")</f>
        <v>Guana Dam</v>
      </c>
      <c r="F1066" s="13">
        <f ca="1">IFERROR(__xludf.DUMMYFUNCTION("""COMPUTED_VALUE"""),0.416666666667879)</f>
        <v>0.41666666666787899</v>
      </c>
      <c r="G1066" s="14">
        <f ca="1">IFERROR(__xludf.DUMMYFUNCTION("""COMPUTED_VALUE"""),45174)</f>
        <v>45174</v>
      </c>
      <c r="H1066" t="str">
        <f ca="1">IFERROR(__xludf.DUMMYFUNCTION("""COMPUTED_VALUE"""),"Traversing the lake with Jon boat and HYCAT ")</f>
        <v xml:space="preserve">Traversing the lake with Jon boat and HYCAT </v>
      </c>
      <c r="I1066" s="15">
        <f ca="1">IFERROR(__xludf.DUMMYFUNCTION("""COMPUTED_VALUE"""),0.70833333333212)</f>
        <v>0.70833333333212001</v>
      </c>
      <c r="J1066" s="16">
        <f ca="1">IFERROR(__xludf.DUMMYFUNCTION("""COMPUTED_VALUE"""),45174.7083333333)</f>
        <v>45174.708333333299</v>
      </c>
      <c r="K1066" t="str">
        <f ca="1">IFERROR(__xludf.DUMMYFUNCTION("""COMPUTED_VALUE"""),"Jon Boat 1 FL5992RR DEP154045")</f>
        <v>Jon Boat 1 FL5992RR DEP154045</v>
      </c>
      <c r="M1066" t="str">
        <f ca="1">IFERROR(__xludf.DUMMYFUNCTION("""COMPUTED_VALUE"""),"Ford F250 2017 (Moby Dix) - DEP0021578")</f>
        <v>Ford F250 2017 (Moby Dix) - DEP0021578</v>
      </c>
      <c r="N1066" t="str">
        <f ca="1">IFERROR(__xludf.DUMMYFUNCTION("""COMPUTED_VALUE"""),"Monica Maldonado ")</f>
        <v xml:space="preserve">Monica Maldonado </v>
      </c>
      <c r="O1066" t="str">
        <f ca="1">IFERROR(__xludf.DUMMYFUNCTION("""COMPUTED_VALUE"""),"Daniele Pinton &amp; ChiaChu Chu")</f>
        <v>Daniele Pinton &amp; ChiaChu Chu</v>
      </c>
      <c r="P1066" t="str">
        <f ca="1">IFERROR(__xludf.DUMMYFUNCTION("""COMPUTED_VALUE"""),"Monica Maldonado ")</f>
        <v xml:space="preserve">Monica Maldonado </v>
      </c>
      <c r="AE1066" s="11"/>
      <c r="AF1066" t="str">
        <v>Nikki.Dix@floridadep.gov</v>
      </c>
      <c r="AG1066" s="18"/>
    </row>
    <row r="1067" spans="1:33" ht="12.75">
      <c r="A1067" s="10">
        <f ca="1">IFERROR(__xludf.DUMMYFUNCTION("""COMPUTED_VALUE"""),45174.6470104745)</f>
        <v>45174.647010474502</v>
      </c>
      <c r="B1067" s="11" t="str">
        <f ca="1">IFERROR(__xludf.DUMMYFUNCTION("""COMPUTED_VALUE"""),"Shannon ")</f>
        <v xml:space="preserve">Shannon </v>
      </c>
      <c r="C1067" t="str">
        <f ca="1">IFERROR(__xludf.DUMMYFUNCTION("""COMPUTED_VALUE"""),"Shannon.Dunnigan@dep.state.fl.us")</f>
        <v>Shannon.Dunnigan@dep.state.fl.us</v>
      </c>
      <c r="D1067" t="str">
        <f ca="1">IFERROR(__xludf.DUMMYFUNCTION("""COMPUTED_VALUE"""),"Nikki Dix")</f>
        <v>Nikki Dix</v>
      </c>
      <c r="E1067" t="str">
        <f ca="1">IFERROR(__xludf.DUMMYFUNCTION("""COMPUTED_VALUE"""),"Vilano Boat Ramp")</f>
        <v>Vilano Boat Ramp</v>
      </c>
      <c r="F1067" s="13">
        <f ca="1">IFERROR(__xludf.DUMMYFUNCTION("""COMPUTED_VALUE"""),0.5)</f>
        <v>0.5</v>
      </c>
      <c r="G1067" s="14">
        <f ca="1">IFERROR(__xludf.DUMMYFUNCTION("""COMPUTED_VALUE"""),45175)</f>
        <v>45175</v>
      </c>
      <c r="H1067" t="str">
        <f ca="1">IFERROR(__xludf.DUMMYFUNCTION("""COMPUTED_VALUE"""),"SWMP sites")</f>
        <v>SWMP sites</v>
      </c>
      <c r="I1067" s="15">
        <f ca="1">IFERROR(__xludf.DUMMYFUNCTION("""COMPUTED_VALUE"""),0.6875)</f>
        <v>0.6875</v>
      </c>
      <c r="J1067" s="16">
        <f ca="1">IFERROR(__xludf.DUMMYFUNCTION("""COMPUTED_VALUE"""),45175.7083333333)</f>
        <v>45175.708333333299</v>
      </c>
      <c r="K1067" t="str">
        <f ca="1">IFERROR(__xludf.DUMMYFUNCTION("""COMPUTED_VALUE"""),"23ft Skiff (Bertha) FL7972LJ DEP07613")</f>
        <v>23ft Skiff (Bertha) FL7972LJ DEP07613</v>
      </c>
      <c r="M1067" t="str">
        <f ca="1">IFERROR(__xludf.DUMMYFUNCTION("""COMPUTED_VALUE"""),"Ford F250 2017 (Moby Dix) - DEP0021578")</f>
        <v>Ford F250 2017 (Moby Dix) - DEP0021578</v>
      </c>
      <c r="N1067" t="str">
        <f ca="1">IFERROR(__xludf.DUMMYFUNCTION("""COMPUTED_VALUE"""),"Shannon Dunnigan, (803) 727-5734")</f>
        <v>Shannon Dunnigan, (803) 727-5734</v>
      </c>
      <c r="O1067" t="str">
        <f ca="1">IFERROR(__xludf.DUMMYFUNCTION("""COMPUTED_VALUE"""),"Remo Mondazzi")</f>
        <v>Remo Mondazzi</v>
      </c>
      <c r="P1067" t="str">
        <f ca="1">IFERROR(__xludf.DUMMYFUNCTION("""COMPUTED_VALUE"""),"Shannon")</f>
        <v>Shannon</v>
      </c>
      <c r="AE1067" s="11"/>
      <c r="AF1067" t="str">
        <v>Nikki.Dix@floridadep.gov</v>
      </c>
      <c r="AG1067" s="18"/>
    </row>
    <row r="1068" spans="1:33" ht="12.75">
      <c r="A1068" s="10">
        <f ca="1">IFERROR(__xludf.DUMMYFUNCTION("""COMPUTED_VALUE"""),45180.4101886574)</f>
        <v>45180.410188657399</v>
      </c>
      <c r="B1068" s="11" t="str">
        <f ca="1">IFERROR(__xludf.DUMMYFUNCTION("""COMPUTED_VALUE"""),"Hans prevost ")</f>
        <v xml:space="preserve">Hans prevost </v>
      </c>
      <c r="C1068" t="str">
        <f ca="1">IFERROR(__xludf.DUMMYFUNCTION("""COMPUTED_VALUE"""),"hans.prevost@floridadep.gov")</f>
        <v>hans.prevost@floridadep.gov</v>
      </c>
      <c r="D1068" t="str">
        <f ca="1">IFERROR(__xludf.DUMMYFUNCTION("""COMPUTED_VALUE"""),"Nikki Dix")</f>
        <v>Nikki Dix</v>
      </c>
      <c r="E1068" t="str">
        <f ca="1">IFERROR(__xludf.DUMMYFUNCTION("""COMPUTED_VALUE"""),"Faver-Dykes State Park Boat Ramp")</f>
        <v>Faver-Dykes State Park Boat Ramp</v>
      </c>
      <c r="F1068" s="13">
        <f ca="1">IFERROR(__xludf.DUMMYFUNCTION("""COMPUTED_VALUE"""),0.42708333333212)</f>
        <v>0.42708333333212001</v>
      </c>
      <c r="G1068" s="14">
        <f ca="1">IFERROR(__xludf.DUMMYFUNCTION("""COMPUTED_VALUE"""),45180)</f>
        <v>45180</v>
      </c>
      <c r="H1068" t="str">
        <f ca="1">IFERROR(__xludf.DUMMYFUNCTION("""COMPUTED_VALUE"""),"Pellicer transects ")</f>
        <v xml:space="preserve">Pellicer transects </v>
      </c>
      <c r="I1068" s="15">
        <f ca="1">IFERROR(__xludf.DUMMYFUNCTION("""COMPUTED_VALUE"""),0.666666666667879)</f>
        <v>0.66666666666787899</v>
      </c>
      <c r="J1068" s="16">
        <f ca="1">IFERROR(__xludf.DUMMYFUNCTION("""COMPUTED_VALUE"""),45180.7083333333)</f>
        <v>45180.708333333299</v>
      </c>
      <c r="K1068" t="str">
        <f ca="1">IFERROR(__xludf.DUMMYFUNCTION("""COMPUTED_VALUE"""),"20ft Sea Ark FL5351SJ UNF 2015")</f>
        <v>20ft Sea Ark FL5351SJ UNF 2015</v>
      </c>
      <c r="M1068" t="str">
        <f ca="1">IFERROR(__xludf.DUMMYFUNCTION("""COMPUTED_VALUE"""),"Ford F250 2017 (Moby Dix) - DEP0021578")</f>
        <v>Ford F250 2017 (Moby Dix) - DEP0021578</v>
      </c>
      <c r="N1068" t="str">
        <f ca="1">IFERROR(__xludf.DUMMYFUNCTION("""COMPUTED_VALUE"""),"Jacob Berna, (904) 392-1966")</f>
        <v>Jacob Berna, (904) 392-1966</v>
      </c>
      <c r="O1068" t="str">
        <f ca="1">IFERROR(__xludf.DUMMYFUNCTION("""COMPUTED_VALUE"""),"Hans Prevost")</f>
        <v>Hans Prevost</v>
      </c>
      <c r="P1068" t="str">
        <f ca="1">IFERROR(__xludf.DUMMYFUNCTION("""COMPUTED_VALUE"""),"Jacob berna ")</f>
        <v xml:space="preserve">Jacob berna </v>
      </c>
      <c r="AE1068" s="11"/>
      <c r="AF1068" t="str">
        <v>Nikki.Dix@floridadep.gov</v>
      </c>
      <c r="AG1068" s="18"/>
    </row>
    <row r="1069" spans="1:33" ht="12.75">
      <c r="A1069" s="10">
        <f ca="1">IFERROR(__xludf.DUMMYFUNCTION("""COMPUTED_VALUE"""),45180.6808369444)</f>
        <v>45180.680836944397</v>
      </c>
      <c r="B1069" s="11" t="str">
        <f ca="1">IFERROR(__xludf.DUMMYFUNCTION("""COMPUTED_VALUE"""),"Shannon Dunnigan")</f>
        <v>Shannon Dunnigan</v>
      </c>
      <c r="C1069" t="str">
        <f ca="1">IFERROR(__xludf.DUMMYFUNCTION("""COMPUTED_VALUE"""),"Shannon.Dunnigan@dep.state.fl.us")</f>
        <v>Shannon.Dunnigan@dep.state.fl.us</v>
      </c>
      <c r="D1069" t="str">
        <f ca="1">IFERROR(__xludf.DUMMYFUNCTION("""COMPUTED_VALUE"""),"Nikki Dix")</f>
        <v>Nikki Dix</v>
      </c>
      <c r="E1069" t="str">
        <f ca="1">IFERROR(__xludf.DUMMYFUNCTION("""COMPUTED_VALUE"""),"Vilano Boat Ramp")</f>
        <v>Vilano Boat Ramp</v>
      </c>
      <c r="F1069" s="13">
        <f ca="1">IFERROR(__xludf.DUMMYFUNCTION("""COMPUTED_VALUE"""),0.3125)</f>
        <v>0.3125</v>
      </c>
      <c r="G1069" s="14">
        <f ca="1">IFERROR(__xludf.DUMMYFUNCTION("""COMPUTED_VALUE"""),45181)</f>
        <v>45181</v>
      </c>
      <c r="H1069" t="str">
        <f ca="1">IFERROR(__xludf.DUMMYFUNCTION("""COMPUTED_VALUE"""),"SWMP sites")</f>
        <v>SWMP sites</v>
      </c>
      <c r="I1069" s="15">
        <f ca="1">IFERROR(__xludf.DUMMYFUNCTION("""COMPUTED_VALUE"""),0.5)</f>
        <v>0.5</v>
      </c>
      <c r="J1069" s="16">
        <f ca="1">IFERROR(__xludf.DUMMYFUNCTION("""COMPUTED_VALUE"""),45181.5416666666)</f>
        <v>45181.541666666599</v>
      </c>
      <c r="K1069" t="str">
        <f ca="1">IFERROR(__xludf.DUMMYFUNCTION("""COMPUTED_VALUE"""),"20ft Sea Ark FL5351SJ UNF 2015")</f>
        <v>20ft Sea Ark FL5351SJ UNF 2015</v>
      </c>
      <c r="M1069" t="str">
        <f ca="1">IFERROR(__xludf.DUMMYFUNCTION("""COMPUTED_VALUE"""),"Ford F250 2017 (Moby Dix) - DEP0021578")</f>
        <v>Ford F250 2017 (Moby Dix) - DEP0021578</v>
      </c>
      <c r="N1069" t="str">
        <f ca="1">IFERROR(__xludf.DUMMYFUNCTION("""COMPUTED_VALUE"""),"Jacob Berna, (904) 392-1966")</f>
        <v>Jacob Berna, (904) 392-1966</v>
      </c>
      <c r="P1069" t="str">
        <f ca="1">IFERROR(__xludf.DUMMYFUNCTION("""COMPUTED_VALUE"""),"Shannon")</f>
        <v>Shannon</v>
      </c>
      <c r="AE1069" s="11"/>
      <c r="AF1069" t="str">
        <v>Nikki.Dix@floridadep.gov</v>
      </c>
      <c r="AG1069" s="18"/>
    </row>
    <row r="1070" spans="1:33" ht="12.75">
      <c r="A1070" s="10">
        <f ca="1">IFERROR(__xludf.DUMMYFUNCTION("""COMPUTED_VALUE"""),45187.480483993)</f>
        <v>45187.480483993</v>
      </c>
      <c r="B1070" s="11" t="str">
        <f ca="1">IFERROR(__xludf.DUMMYFUNCTION("""COMPUTED_VALUE"""),"Hans prevost ")</f>
        <v xml:space="preserve">Hans prevost </v>
      </c>
      <c r="C1070" t="str">
        <f ca="1">IFERROR(__xludf.DUMMYFUNCTION("""COMPUTED_VALUE"""),"hans.prevost@floridadep.gov")</f>
        <v>hans.prevost@floridadep.gov</v>
      </c>
      <c r="D1070" t="str">
        <f ca="1">IFERROR(__xludf.DUMMYFUNCTION("""COMPUTED_VALUE"""),"Nikki Dix")</f>
        <v>Nikki Dix</v>
      </c>
      <c r="E1070" t="str">
        <f ca="1">IFERROR(__xludf.DUMMYFUNCTION("""COMPUTED_VALUE"""),"Palm Valley Boat Ramp")</f>
        <v>Palm Valley Boat Ramp</v>
      </c>
      <c r="F1070" s="13">
        <f ca="1">IFERROR(__xludf.DUMMYFUNCTION("""COMPUTED_VALUE"""),0.5)</f>
        <v>0.5</v>
      </c>
      <c r="G1070" s="14">
        <f ca="1">IFERROR(__xludf.DUMMYFUNCTION("""COMPUTED_VALUE"""),45187)</f>
        <v>45187</v>
      </c>
      <c r="H1070" t="str">
        <f ca="1">IFERROR(__xludf.DUMMYFUNCTION("""COMPUTED_VALUE"""),"Pine island marsh monitoring sites")</f>
        <v>Pine island marsh monitoring sites</v>
      </c>
      <c r="I1070" s="15">
        <f ca="1">IFERROR(__xludf.DUMMYFUNCTION("""COMPUTED_VALUE"""),0.604166666667879)</f>
        <v>0.60416666666787899</v>
      </c>
      <c r="J1070" s="16">
        <f ca="1">IFERROR(__xludf.DUMMYFUNCTION("""COMPUTED_VALUE"""),45187.6458333333)</f>
        <v>45187.645833333299</v>
      </c>
      <c r="K1070" t="str">
        <f ca="1">IFERROR(__xludf.DUMMYFUNCTION("""COMPUTED_VALUE"""),"20ft Sea Ark FL5351SJ UNF 2015")</f>
        <v>20ft Sea Ark FL5351SJ UNF 2015</v>
      </c>
      <c r="M1070" t="str">
        <f ca="1">IFERROR(__xludf.DUMMYFUNCTION("""COMPUTED_VALUE"""),"Ford F250 2017 (Moby Dix) - DEP0021578")</f>
        <v>Ford F250 2017 (Moby Dix) - DEP0021578</v>
      </c>
      <c r="N1070" t="str">
        <f ca="1">IFERROR(__xludf.DUMMYFUNCTION("""COMPUTED_VALUE"""),"Jacob Berna, (904) 392-1966")</f>
        <v>Jacob Berna, (904) 392-1966</v>
      </c>
      <c r="O1070" t="str">
        <f ca="1">IFERROR(__xludf.DUMMYFUNCTION("""COMPUTED_VALUE"""),"Hans Prevost")</f>
        <v>Hans Prevost</v>
      </c>
      <c r="P1070" t="str">
        <f ca="1">IFERROR(__xludf.DUMMYFUNCTION("""COMPUTED_VALUE"""),"Jacob berna")</f>
        <v>Jacob berna</v>
      </c>
      <c r="AE1070" s="11"/>
      <c r="AF1070" t="str">
        <v>Nikki.Dix@floridadep.gov</v>
      </c>
      <c r="AG1070" s="18"/>
    </row>
    <row r="1071" spans="1:33" ht="12.75">
      <c r="A1071" s="10">
        <f ca="1">IFERROR(__xludf.DUMMYFUNCTION("""COMPUTED_VALUE"""),45188.2737092939)</f>
        <v>45188.273709293899</v>
      </c>
      <c r="B1071" s="11" t="str">
        <f ca="1">IFERROR(__xludf.DUMMYFUNCTION("""COMPUTED_VALUE"""),"Jimmy")</f>
        <v>Jimmy</v>
      </c>
      <c r="C1071" t="str">
        <f ca="1">IFERROR(__xludf.DUMMYFUNCTION("""COMPUTED_VALUE"""),"james.tomazinis@floridadep.gov")</f>
        <v>james.tomazinis@floridadep.gov</v>
      </c>
      <c r="D1071" t="str">
        <f ca="1">IFERROR(__xludf.DUMMYFUNCTION("""COMPUTED_VALUE"""),"Blythe Odzinski")</f>
        <v>Blythe Odzinski</v>
      </c>
      <c r="E1071" t="str">
        <f ca="1">IFERROR(__xludf.DUMMYFUNCTION("""COMPUTED_VALUE"""),"North End/Dee Dee Bartels Boat Ramp, Holly Point ")</f>
        <v xml:space="preserve">North End/Dee Dee Bartels Boat Ramp, Holly Point </v>
      </c>
      <c r="F1071" s="13">
        <f ca="1">IFERROR(__xludf.DUMMYFUNCTION("""COMPUTED_VALUE"""),0.375)</f>
        <v>0.375</v>
      </c>
      <c r="G1071" s="14">
        <f ca="1">IFERROR(__xludf.DUMMYFUNCTION("""COMPUTED_VALUE"""),45188)</f>
        <v>45188</v>
      </c>
      <c r="H1071" t="str">
        <f ca="1">IFERROR(__xludf.DUMMYFUNCTION("""COMPUTED_VALUE"""),"NEAP WQ Sites")</f>
        <v>NEAP WQ Sites</v>
      </c>
      <c r="I1071" s="15">
        <f ca="1">IFERROR(__xludf.DUMMYFUNCTION("""COMPUTED_VALUE"""),0.58333333333212)</f>
        <v>0.58333333333212001</v>
      </c>
      <c r="J1071" s="16"/>
      <c r="K1071" t="str">
        <f ca="1">IFERROR(__xludf.DUMMYFUNCTION("""COMPUTED_VALUE"""),"23ft Skiff (Bertha) FL7972LJ DEP07613")</f>
        <v>23ft Skiff (Bertha) FL7972LJ DEP07613</v>
      </c>
      <c r="M1071" t="str">
        <f ca="1">IFERROR(__xludf.DUMMYFUNCTION("""COMPUTED_VALUE"""),"Ford F150 2022 (NEAP) - DEP22491")</f>
        <v>Ford F150 2022 (NEAP) - DEP22491</v>
      </c>
      <c r="N1071" t="str">
        <f ca="1">IFERROR(__xludf.DUMMYFUNCTION("""COMPUTED_VALUE"""),"Jimmy Tomazinis, (904) 547-0094")</f>
        <v>Jimmy Tomazinis, (904) 547-0094</v>
      </c>
      <c r="O1071" t="str">
        <f ca="1">IFERROR(__xludf.DUMMYFUNCTION("""COMPUTED_VALUE"""),"Chris Kurtz")</f>
        <v>Chris Kurtz</v>
      </c>
      <c r="P1071" t="str">
        <f ca="1">IFERROR(__xludf.DUMMYFUNCTION("""COMPUTED_VALUE"""),"Jimmy")</f>
        <v>Jimmy</v>
      </c>
      <c r="AE1071" s="11"/>
      <c r="AF1071" t="str">
        <v/>
      </c>
      <c r="AG1071" s="18"/>
    </row>
    <row r="1072" spans="1:33" ht="12.75">
      <c r="A1072" s="10">
        <f ca="1">IFERROR(__xludf.DUMMYFUNCTION("""COMPUTED_VALUE"""),45188.3053403703)</f>
        <v>45188.305340370302</v>
      </c>
      <c r="B1072" s="11" t="str">
        <f ca="1">IFERROR(__xludf.DUMMYFUNCTION("""COMPUTED_VALUE"""),"Jacob Berna")</f>
        <v>Jacob Berna</v>
      </c>
      <c r="C1072" t="str">
        <f ca="1">IFERROR(__xludf.DUMMYFUNCTION("""COMPUTED_VALUE"""),"jacob.berna@floridadep.gov")</f>
        <v>jacob.berna@floridadep.gov</v>
      </c>
      <c r="D1072" t="str">
        <f ca="1">IFERROR(__xludf.DUMMYFUNCTION("""COMPUTED_VALUE"""),"Nikki Dix")</f>
        <v>Nikki Dix</v>
      </c>
      <c r="E1072" t="str">
        <f ca="1">IFERROR(__xludf.DUMMYFUNCTION("""COMPUTED_VALUE"""),"Faver-Dykes State Park Boat Ramp")</f>
        <v>Faver-Dykes State Park Boat Ramp</v>
      </c>
      <c r="F1072" s="13">
        <f ca="1">IFERROR(__xludf.DUMMYFUNCTION("""COMPUTED_VALUE"""),0.3125)</f>
        <v>0.3125</v>
      </c>
      <c r="G1072" s="14">
        <f ca="1">IFERROR(__xludf.DUMMYFUNCTION("""COMPUTED_VALUE"""),45188)</f>
        <v>45188</v>
      </c>
      <c r="H1072" t="str">
        <f ca="1">IFERROR(__xludf.DUMMYFUNCTION("""COMPUTED_VALUE"""),"Pc site")</f>
        <v>Pc site</v>
      </c>
      <c r="I1072" s="15">
        <f ca="1">IFERROR(__xludf.DUMMYFUNCTION("""COMPUTED_VALUE"""),0.52083333333212)</f>
        <v>0.52083333333212001</v>
      </c>
      <c r="J1072" s="16">
        <f ca="1">IFERROR(__xludf.DUMMYFUNCTION("""COMPUTED_VALUE"""),45188.5625)</f>
        <v>45188.5625</v>
      </c>
      <c r="K1072" t="str">
        <f ca="1">IFERROR(__xludf.DUMMYFUNCTION("""COMPUTED_VALUE"""),"20ft Sea Ark FL5351SJ UNF 2015")</f>
        <v>20ft Sea Ark FL5351SJ UNF 2015</v>
      </c>
      <c r="M1072" t="str">
        <f ca="1">IFERROR(__xludf.DUMMYFUNCTION("""COMPUTED_VALUE"""),"Ford F250 2017 (Moby Dix) - DEP0021578")</f>
        <v>Ford F250 2017 (Moby Dix) - DEP0021578</v>
      </c>
      <c r="N1072" t="str">
        <f ca="1">IFERROR(__xludf.DUMMYFUNCTION("""COMPUTED_VALUE"""),"Allix North, (850) 420-7495, Jacob Berna, (904) 392-1966")</f>
        <v>Allix North, (850) 420-7495, Jacob Berna, (904) 392-1966</v>
      </c>
      <c r="O1072" t="str">
        <f ca="1">IFERROR(__xludf.DUMMYFUNCTION("""COMPUTED_VALUE"""),"Hans Prevost, Savanna Mathis")</f>
        <v>Hans Prevost, Savanna Mathis</v>
      </c>
      <c r="P1072" t="str">
        <f ca="1">IFERROR(__xludf.DUMMYFUNCTION("""COMPUTED_VALUE"""),"Jacob Berna")</f>
        <v>Jacob Berna</v>
      </c>
      <c r="AE1072" s="11"/>
      <c r="AF1072" t="str">
        <v>Nikki.Dix@floridadep.gov</v>
      </c>
      <c r="AG1072" s="18"/>
    </row>
    <row r="1073" spans="1:33" ht="12.75">
      <c r="A1073" s="10">
        <f ca="1">IFERROR(__xludf.DUMMYFUNCTION("""COMPUTED_VALUE"""),45189.2926032638)</f>
        <v>45189.292603263799</v>
      </c>
      <c r="B1073" s="11" t="str">
        <f ca="1">IFERROR(__xludf.DUMMYFUNCTION("""COMPUTED_VALUE"""),"Jacob Berna")</f>
        <v>Jacob Berna</v>
      </c>
      <c r="C1073" t="str">
        <f ca="1">IFERROR(__xludf.DUMMYFUNCTION("""COMPUTED_VALUE"""),"jacob.berna@floridadep.gov")</f>
        <v>jacob.berna@floridadep.gov</v>
      </c>
      <c r="D1073" t="str">
        <f ca="1">IFERROR(__xludf.DUMMYFUNCTION("""COMPUTED_VALUE"""),"Nikki Dix")</f>
        <v>Nikki Dix</v>
      </c>
      <c r="E1073" t="str">
        <f ca="1">IFERROR(__xludf.DUMMYFUNCTION("""COMPUTED_VALUE"""),"Bing's Landing")</f>
        <v>Bing's Landing</v>
      </c>
      <c r="F1073" s="13">
        <f ca="1">IFERROR(__xludf.DUMMYFUNCTION("""COMPUTED_VALUE"""),0.291666666667879)</f>
        <v>0.29166666666787899</v>
      </c>
      <c r="G1073" s="14">
        <f ca="1">IFERROR(__xludf.DUMMYFUNCTION("""COMPUTED_VALUE"""),45189)</f>
        <v>45189</v>
      </c>
      <c r="H1073" t="str">
        <f ca="1">IFERROR(__xludf.DUMMYFUNCTION("""COMPUTED_VALUE"""),"WO site")</f>
        <v>WO site</v>
      </c>
      <c r="I1073" s="15">
        <f ca="1">IFERROR(__xludf.DUMMYFUNCTION("""COMPUTED_VALUE"""),0.58333333333212)</f>
        <v>0.58333333333212001</v>
      </c>
      <c r="J1073" s="16">
        <f ca="1">IFERROR(__xludf.DUMMYFUNCTION("""COMPUTED_VALUE"""),45189.625)</f>
        <v>45189.625</v>
      </c>
      <c r="K1073" t="str">
        <f ca="1">IFERROR(__xludf.DUMMYFUNCTION("""COMPUTED_VALUE"""),"20ft Sea Ark FL5351SJ UNF 2015")</f>
        <v>20ft Sea Ark FL5351SJ UNF 2015</v>
      </c>
      <c r="M1073" t="str">
        <f ca="1">IFERROR(__xludf.DUMMYFUNCTION("""COMPUTED_VALUE"""),"Ford F250 2017 (Moby Dix) - DEP0021578")</f>
        <v>Ford F250 2017 (Moby Dix) - DEP0021578</v>
      </c>
      <c r="N1073" t="str">
        <f ca="1">IFERROR(__xludf.DUMMYFUNCTION("""COMPUTED_VALUE"""),"Allix North, (850) 420-7495, Jacob Berna, (904) 392-1966")</f>
        <v>Allix North, (850) 420-7495, Jacob Berna, (904) 392-1966</v>
      </c>
      <c r="O1073" t="str">
        <f ca="1">IFERROR(__xludf.DUMMYFUNCTION("""COMPUTED_VALUE"""),"Hans Prevost, Savanna Mathis")</f>
        <v>Hans Prevost, Savanna Mathis</v>
      </c>
      <c r="P1073" t="str">
        <f ca="1">IFERROR(__xludf.DUMMYFUNCTION("""COMPUTED_VALUE"""),"Jacob Berna")</f>
        <v>Jacob Berna</v>
      </c>
      <c r="AE1073" s="11"/>
      <c r="AF1073" t="str">
        <v>Nikki.Dix@floridadep.gov</v>
      </c>
      <c r="AG1073" s="18"/>
    </row>
    <row r="1074" spans="1:33" ht="12.75">
      <c r="A1074" s="10">
        <f ca="1">IFERROR(__xludf.DUMMYFUNCTION("""COMPUTED_VALUE"""),45191.2770537615)</f>
        <v>45191.2770537615</v>
      </c>
      <c r="B1074" s="11" t="str">
        <f ca="1">IFERROR(__xludf.DUMMYFUNCTION("""COMPUTED_VALUE"""),"Jimmy")</f>
        <v>Jimmy</v>
      </c>
      <c r="C1074" t="str">
        <f ca="1">IFERROR(__xludf.DUMMYFUNCTION("""COMPUTED_VALUE"""),"james.tomazinis@floridadep.gov")</f>
        <v>james.tomazinis@floridadep.gov</v>
      </c>
      <c r="D1074" t="str">
        <f ca="1">IFERROR(__xludf.DUMMYFUNCTION("""COMPUTED_VALUE"""),"Blythe Odzinski")</f>
        <v>Blythe Odzinski</v>
      </c>
      <c r="E1074" t="str">
        <f ca="1">IFERROR(__xludf.DUMMYFUNCTION("""COMPUTED_VALUE"""),"Vilano Boat Ramp")</f>
        <v>Vilano Boat Ramp</v>
      </c>
      <c r="F1074" s="13">
        <f ca="1">IFERROR(__xludf.DUMMYFUNCTION("""COMPUTED_VALUE"""),0.39583333333212)</f>
        <v>0.39583333333212001</v>
      </c>
      <c r="G1074" s="14">
        <f ca="1">IFERROR(__xludf.DUMMYFUNCTION("""COMPUTED_VALUE"""),45191)</f>
        <v>45191</v>
      </c>
      <c r="H1074" t="str">
        <f ca="1">IFERROR(__xludf.DUMMYFUNCTION("""COMPUTED_VALUE"""),"Tolomato Rakes")</f>
        <v>Tolomato Rakes</v>
      </c>
      <c r="I1074" s="15">
        <f ca="1">IFERROR(__xludf.DUMMYFUNCTION("""COMPUTED_VALUE"""),0.666666666667879)</f>
        <v>0.66666666666787899</v>
      </c>
      <c r="J1074" s="16"/>
      <c r="K1074" t="str">
        <f ca="1">IFERROR(__xludf.DUMMYFUNCTION("""COMPUTED_VALUE"""),"F 20ft Sea Ark (Easy 200) FL8534PY DEP21451")</f>
        <v>F 20ft Sea Ark (Easy 200) FL8534PY DEP21451</v>
      </c>
      <c r="M1074" t="str">
        <f ca="1">IFERROR(__xludf.DUMMYFUNCTION("""COMPUTED_VALUE"""),"Ford F150 2022 (NEAP) - DEP22491")</f>
        <v>Ford F150 2022 (NEAP) - DEP22491</v>
      </c>
      <c r="N1074" t="str">
        <f ca="1">IFERROR(__xludf.DUMMYFUNCTION("""COMPUTED_VALUE"""),"Jimmy Tomazinis, (904) 547-0094")</f>
        <v>Jimmy Tomazinis, (904) 547-0094</v>
      </c>
      <c r="O1074" t="str">
        <f ca="1">IFERROR(__xludf.DUMMYFUNCTION("""COMPUTED_VALUE"""),"Lisa Chambers and crew")</f>
        <v>Lisa Chambers and crew</v>
      </c>
      <c r="P1074" t="str">
        <f ca="1">IFERROR(__xludf.DUMMYFUNCTION("""COMPUTED_VALUE"""),"Jimmy")</f>
        <v>Jimmy</v>
      </c>
      <c r="AE1074" s="11"/>
      <c r="AF1074" t="str">
        <v/>
      </c>
      <c r="AG1074" s="18"/>
    </row>
    <row r="1075" spans="1:33" ht="12.75">
      <c r="A1075" s="10">
        <f ca="1">IFERROR(__xludf.DUMMYFUNCTION("""COMPUTED_VALUE"""),45191.3234500578)</f>
        <v>45191.323450057796</v>
      </c>
      <c r="B1075" s="11" t="str">
        <f ca="1">IFERROR(__xludf.DUMMYFUNCTION("""COMPUTED_VALUE"""),"Jacob Berna ")</f>
        <v xml:space="preserve">Jacob Berna </v>
      </c>
      <c r="C1075" t="str">
        <f ca="1">IFERROR(__xludf.DUMMYFUNCTION("""COMPUTED_VALUE"""),"jacob.berna@floridadep.gov")</f>
        <v>jacob.berna@floridadep.gov</v>
      </c>
      <c r="D1075" t="str">
        <f ca="1">IFERROR(__xludf.DUMMYFUNCTION("""COMPUTED_VALUE"""),"Nikki Dix")</f>
        <v>Nikki Dix</v>
      </c>
      <c r="E1075" t="str">
        <f ca="1">IFERROR(__xludf.DUMMYFUNCTION("""COMPUTED_VALUE"""),"Palm Valley Boat Ramp")</f>
        <v>Palm Valley Boat Ramp</v>
      </c>
      <c r="F1075" s="13">
        <f ca="1">IFERROR(__xludf.DUMMYFUNCTION("""COMPUTED_VALUE"""),0.322916666667879)</f>
        <v>0.32291666666787899</v>
      </c>
      <c r="G1075" s="14">
        <f ca="1">IFERROR(__xludf.DUMMYFUNCTION("""COMPUTED_VALUE"""),45191)</f>
        <v>45191</v>
      </c>
      <c r="H1075" t="str">
        <f ca="1">IFERROR(__xludf.DUMMYFUNCTION("""COMPUTED_VALUE"""),"PI site")</f>
        <v>PI site</v>
      </c>
      <c r="I1075" s="15">
        <f ca="1">IFERROR(__xludf.DUMMYFUNCTION("""COMPUTED_VALUE"""),0.604166666667879)</f>
        <v>0.60416666666787899</v>
      </c>
      <c r="J1075" s="16">
        <f ca="1">IFERROR(__xludf.DUMMYFUNCTION("""COMPUTED_VALUE"""),45191.625)</f>
        <v>45191.625</v>
      </c>
      <c r="K1075" t="str">
        <f ca="1">IFERROR(__xludf.DUMMYFUNCTION("""COMPUTED_VALUE"""),"20ft Sea Ark FL5351SJ UNF 2015")</f>
        <v>20ft Sea Ark FL5351SJ UNF 2015</v>
      </c>
      <c r="M1075" t="str">
        <f ca="1">IFERROR(__xludf.DUMMYFUNCTION("""COMPUTED_VALUE"""),"Ford F250 2017 (Moby Dix) - DEP0021578")</f>
        <v>Ford F250 2017 (Moby Dix) - DEP0021578</v>
      </c>
      <c r="N1075" t="str">
        <f ca="1">IFERROR(__xludf.DUMMYFUNCTION("""COMPUTED_VALUE"""),"Jacob Berna, (904) 392-1966")</f>
        <v>Jacob Berna, (904) 392-1966</v>
      </c>
      <c r="O1075" t="str">
        <f ca="1">IFERROR(__xludf.DUMMYFUNCTION("""COMPUTED_VALUE"""),"Hans Prevost, Savanna Mathis, Kala Neighbor ")</f>
        <v xml:space="preserve">Hans Prevost, Savanna Mathis, Kala Neighbor </v>
      </c>
      <c r="P1075" t="str">
        <f ca="1">IFERROR(__xludf.DUMMYFUNCTION("""COMPUTED_VALUE"""),"Jacob Berna")</f>
        <v>Jacob Berna</v>
      </c>
      <c r="AE1075" s="11"/>
      <c r="AF1075" t="str">
        <v>Nikki.Dix@floridadep.gov</v>
      </c>
      <c r="AG1075" s="18"/>
    </row>
    <row r="1076" spans="1:33" ht="12.75">
      <c r="A1076" s="10">
        <f ca="1">IFERROR(__xludf.DUMMYFUNCTION("""COMPUTED_VALUE"""),45194.5100493865)</f>
        <v>45194.510049386503</v>
      </c>
      <c r="B1076" s="11" t="str">
        <f ca="1">IFERROR(__xludf.DUMMYFUNCTION("""COMPUTED_VALUE"""),"Hans Prevost")</f>
        <v>Hans Prevost</v>
      </c>
      <c r="C1076" t="str">
        <f ca="1">IFERROR(__xludf.DUMMYFUNCTION("""COMPUTED_VALUE"""),"hans.prevost@floridadep.gov")</f>
        <v>hans.prevost@floridadep.gov</v>
      </c>
      <c r="D1076" t="str">
        <f ca="1">IFERROR(__xludf.DUMMYFUNCTION("""COMPUTED_VALUE"""),"Nikki Dix")</f>
        <v>Nikki Dix</v>
      </c>
      <c r="E1076" t="str">
        <f ca="1">IFERROR(__xludf.DUMMYFUNCTION("""COMPUTED_VALUE"""),"Faver-Dykes State Park Boat Ramp")</f>
        <v>Faver-Dykes State Park Boat Ramp</v>
      </c>
      <c r="F1076" s="13">
        <f ca="1">IFERROR(__xludf.DUMMYFUNCTION("""COMPUTED_VALUE"""),0.0208333333321206)</f>
        <v>2.0833333332120601E-2</v>
      </c>
      <c r="G1076" s="14">
        <f ca="1">IFERROR(__xludf.DUMMYFUNCTION("""COMPUTED_VALUE"""),45194)</f>
        <v>45194</v>
      </c>
      <c r="H1076" t="str">
        <f ca="1">IFERROR(__xludf.DUMMYFUNCTION("""COMPUTED_VALUE"""),"Pellicer upper transect ")</f>
        <v xml:space="preserve">Pellicer upper transect </v>
      </c>
      <c r="I1076" s="15">
        <f ca="1">IFERROR(__xludf.DUMMYFUNCTION("""COMPUTED_VALUE"""),0.666666666667879)</f>
        <v>0.66666666666787899</v>
      </c>
      <c r="J1076" s="16">
        <f ca="1">IFERROR(__xludf.DUMMYFUNCTION("""COMPUTED_VALUE"""),45194.7083333333)</f>
        <v>45194.708333333299</v>
      </c>
      <c r="K1076" t="str">
        <f ca="1">IFERROR(__xludf.DUMMYFUNCTION("""COMPUTED_VALUE"""),"20ft Sea Ark FL5351SJ UNF 2015")</f>
        <v>20ft Sea Ark FL5351SJ UNF 2015</v>
      </c>
      <c r="M1076" t="str">
        <f ca="1">IFERROR(__xludf.DUMMYFUNCTION("""COMPUTED_VALUE"""),"Ford F250 2017 (Moby Dix) - DEP0021578")</f>
        <v>Ford F250 2017 (Moby Dix) - DEP0021578</v>
      </c>
      <c r="N1076" t="str">
        <f ca="1">IFERROR(__xludf.DUMMYFUNCTION("""COMPUTED_VALUE"""),"Jacob Berna, (904) 392-1966")</f>
        <v>Jacob Berna, (904) 392-1966</v>
      </c>
      <c r="O1076" t="str">
        <f ca="1">IFERROR(__xludf.DUMMYFUNCTION("""COMPUTED_VALUE"""),"Hans Prevost")</f>
        <v>Hans Prevost</v>
      </c>
      <c r="P1076" t="str">
        <f ca="1">IFERROR(__xludf.DUMMYFUNCTION("""COMPUTED_VALUE"""),"Jacob berna ")</f>
        <v xml:space="preserve">Jacob berna </v>
      </c>
      <c r="AE1076" s="11"/>
      <c r="AF1076" t="str">
        <v>Nikki.Dix@floridadep.gov</v>
      </c>
      <c r="AG1076" s="18"/>
    </row>
    <row r="1077" spans="1:33" ht="12.75">
      <c r="A1077" s="10">
        <f ca="1">IFERROR(__xludf.DUMMYFUNCTION("""COMPUTED_VALUE"""),45200.3033603819)</f>
        <v>45200.303360381899</v>
      </c>
      <c r="B1077" s="11" t="str">
        <f ca="1">IFERROR(__xludf.DUMMYFUNCTION("""COMPUTED_VALUE"""),"Jacob Berna")</f>
        <v>Jacob Berna</v>
      </c>
      <c r="C1077" t="str">
        <f ca="1">IFERROR(__xludf.DUMMYFUNCTION("""COMPUTED_VALUE"""),"jacob.berna@floridadep.gov")</f>
        <v>jacob.berna@floridadep.gov</v>
      </c>
      <c r="D1077" t="str">
        <f ca="1">IFERROR(__xludf.DUMMYFUNCTION("""COMPUTED_VALUE"""),"Scott Eastman")</f>
        <v>Scott Eastman</v>
      </c>
      <c r="E1077" t="str">
        <f ca="1">IFERROR(__xludf.DUMMYFUNCTION("""COMPUTED_VALUE"""),"Faver-Dykes State Park Boat Ramp")</f>
        <v>Faver-Dykes State Park Boat Ramp</v>
      </c>
      <c r="F1077" s="13">
        <f ca="1">IFERROR(__xludf.DUMMYFUNCTION("""COMPUTED_VALUE"""),0.305555555554747)</f>
        <v>0.305555555554747</v>
      </c>
      <c r="G1077" s="14">
        <f ca="1">IFERROR(__xludf.DUMMYFUNCTION("""COMPUTED_VALUE"""),45200)</f>
        <v>45200</v>
      </c>
      <c r="H1077" t="str">
        <f ca="1">IFERROR(__xludf.DUMMYFUNCTION("""COMPUTED_VALUE"""),"PC transects")</f>
        <v>PC transects</v>
      </c>
      <c r="I1077" s="15">
        <f ca="1">IFERROR(__xludf.DUMMYFUNCTION("""COMPUTED_VALUE"""),0.666666666667879)</f>
        <v>0.66666666666787899</v>
      </c>
      <c r="J1077" s="16">
        <f ca="1">IFERROR(__xludf.DUMMYFUNCTION("""COMPUTED_VALUE"""),45200.7083333333)</f>
        <v>45200.708333333299</v>
      </c>
      <c r="K1077" t="str">
        <f ca="1">IFERROR(__xludf.DUMMYFUNCTION("""COMPUTED_VALUE"""),"20ft Sea Ark FL5351SJ UNF 2015")</f>
        <v>20ft Sea Ark FL5351SJ UNF 2015</v>
      </c>
      <c r="M1077" t="str">
        <f ca="1">IFERROR(__xludf.DUMMYFUNCTION("""COMPUTED_VALUE"""),"Ford F150 2015 (White) - DEP21448")</f>
        <v>Ford F150 2015 (White) - DEP21448</v>
      </c>
      <c r="N1077" t="str">
        <f ca="1">IFERROR(__xludf.DUMMYFUNCTION("""COMPUTED_VALUE"""),"Allix North, (850) 420-7495, Jacob Berna, (904) 392-1966")</f>
        <v>Allix North, (850) 420-7495, Jacob Berna, (904) 392-1966</v>
      </c>
      <c r="O1077" t="str">
        <f ca="1">IFERROR(__xludf.DUMMYFUNCTION("""COMPUTED_VALUE"""),"Hans Prevost Ches Verdeke, Kyle Derby")</f>
        <v>Hans Prevost Ches Verdeke, Kyle Derby</v>
      </c>
      <c r="P1077" t="str">
        <f ca="1">IFERROR(__xludf.DUMMYFUNCTION("""COMPUTED_VALUE"""),"Jacob Berna")</f>
        <v>Jacob Berna</v>
      </c>
      <c r="AE1077" s="11"/>
      <c r="AF1077" t="str">
        <v>Scott.Eastman@floridadep.gov</v>
      </c>
      <c r="AG1077" s="18"/>
    </row>
    <row r="1078" spans="1:33" ht="12.75">
      <c r="A1078" s="10">
        <f ca="1">IFERROR(__xludf.DUMMYFUNCTION("""COMPUTED_VALUE"""),45201.3072276967)</f>
        <v>45201.3072276967</v>
      </c>
      <c r="B1078" s="11" t="str">
        <f ca="1">IFERROR(__xludf.DUMMYFUNCTION("""COMPUTED_VALUE"""),"Jacob Berna ")</f>
        <v xml:space="preserve">Jacob Berna </v>
      </c>
      <c r="C1078" t="str">
        <f ca="1">IFERROR(__xludf.DUMMYFUNCTION("""COMPUTED_VALUE"""),"jacob.berna@floridadep.gov")</f>
        <v>jacob.berna@floridadep.gov</v>
      </c>
      <c r="D1078" t="str">
        <f ca="1">IFERROR(__xludf.DUMMYFUNCTION("""COMPUTED_VALUE"""),"Scott Eastman")</f>
        <v>Scott Eastman</v>
      </c>
      <c r="E1078" t="str">
        <f ca="1">IFERROR(__xludf.DUMMYFUNCTION("""COMPUTED_VALUE"""),"Faver-Dykes State Park Boat Ramp")</f>
        <v>Faver-Dykes State Park Boat Ramp</v>
      </c>
      <c r="F1078" s="13">
        <f ca="1">IFERROR(__xludf.DUMMYFUNCTION("""COMPUTED_VALUE"""),0.3125)</f>
        <v>0.3125</v>
      </c>
      <c r="G1078" s="14">
        <f ca="1">IFERROR(__xludf.DUMMYFUNCTION("""COMPUTED_VALUE"""),45201)</f>
        <v>45201</v>
      </c>
      <c r="H1078" t="str">
        <f ca="1">IFERROR(__xludf.DUMMYFUNCTION("""COMPUTED_VALUE"""),"Lower Transect Pc")</f>
        <v>Lower Transect Pc</v>
      </c>
      <c r="I1078" s="15">
        <f ca="1">IFERROR(__xludf.DUMMYFUNCTION("""COMPUTED_VALUE"""),0.541666666667879)</f>
        <v>0.54166666666787899</v>
      </c>
      <c r="J1078" s="16">
        <f ca="1">IFERROR(__xludf.DUMMYFUNCTION("""COMPUTED_VALUE"""),45201.5833333333)</f>
        <v>45201.583333333299</v>
      </c>
      <c r="K1078" t="str">
        <f ca="1">IFERROR(__xludf.DUMMYFUNCTION("""COMPUTED_VALUE"""),"20ft Sea Ark FL5351SJ UNF 2015")</f>
        <v>20ft Sea Ark FL5351SJ UNF 2015</v>
      </c>
      <c r="M1078" t="str">
        <f ca="1">IFERROR(__xludf.DUMMYFUNCTION("""COMPUTED_VALUE"""),"Ford F150 2015 (White) - DEP21448")</f>
        <v>Ford F150 2015 (White) - DEP21448</v>
      </c>
      <c r="N1078" t="str">
        <f ca="1">IFERROR(__xludf.DUMMYFUNCTION("""COMPUTED_VALUE"""),"Hans Prevost, (337) 224-5522, Jacob Berna, (904) 392-1966, Nikki Dix, (352) 219-4079")</f>
        <v>Hans Prevost, (337) 224-5522, Jacob Berna, (904) 392-1966, Nikki Dix, (352) 219-4079</v>
      </c>
      <c r="O1078" t="str">
        <f ca="1">IFERROR(__xludf.DUMMYFUNCTION("""COMPUTED_VALUE"""),"Ches Treveke, Kyle Derby")</f>
        <v>Ches Treveke, Kyle Derby</v>
      </c>
      <c r="P1078" t="str">
        <f ca="1">IFERROR(__xludf.DUMMYFUNCTION("""COMPUTED_VALUE"""),"Jacob Berna")</f>
        <v>Jacob Berna</v>
      </c>
      <c r="AE1078" s="11"/>
      <c r="AF1078" t="str">
        <v>Scott.Eastman@floridadep.gov</v>
      </c>
      <c r="AG1078" s="18"/>
    </row>
    <row r="1079" spans="1:33" ht="12.75">
      <c r="A1079" s="10">
        <f ca="1">IFERROR(__xludf.DUMMYFUNCTION("""COMPUTED_VALUE"""),45203.2703749537)</f>
        <v>45203.270374953703</v>
      </c>
      <c r="B1079" s="11" t="str">
        <f ca="1">IFERROR(__xludf.DUMMYFUNCTION("""COMPUTED_VALUE"""),"Jimmy")</f>
        <v>Jimmy</v>
      </c>
      <c r="C1079" t="str">
        <f ca="1">IFERROR(__xludf.DUMMYFUNCTION("""COMPUTED_VALUE"""),"janes.tomazinis@floridadep.gov")</f>
        <v>janes.tomazinis@floridadep.gov</v>
      </c>
      <c r="D1079" t="str">
        <f ca="1">IFERROR(__xludf.DUMMYFUNCTION("""COMPUTED_VALUE"""),"Jimmy Tomazinis")</f>
        <v>Jimmy Tomazinis</v>
      </c>
      <c r="E1079" t="str">
        <f ca="1">IFERROR(__xludf.DUMMYFUNCTION("""COMPUTED_VALUE"""),"Holly Point")</f>
        <v>Holly Point</v>
      </c>
      <c r="F1079" s="13">
        <f ca="1">IFERROR(__xludf.DUMMYFUNCTION("""COMPUTED_VALUE"""),0.354166666667879)</f>
        <v>0.35416666666787899</v>
      </c>
      <c r="G1079" s="14">
        <f ca="1">IFERROR(__xludf.DUMMYFUNCTION("""COMPUTED_VALUE"""),45203)</f>
        <v>45203</v>
      </c>
      <c r="H1079" t="str">
        <f ca="1">IFERROR(__xludf.DUMMYFUNCTION("""COMPUTED_VALUE"""),"Christopher Creek and Nassau River")</f>
        <v>Christopher Creek and Nassau River</v>
      </c>
      <c r="I1079" s="15">
        <f ca="1">IFERROR(__xludf.DUMMYFUNCTION("""COMPUTED_VALUE"""),0.58333333333212)</f>
        <v>0.58333333333212001</v>
      </c>
      <c r="J1079" s="16"/>
      <c r="K1079" t="str">
        <f ca="1">IFERROR(__xludf.DUMMYFUNCTION("""COMPUTED_VALUE"""),"F 20ft Sea Ark (Easy 200) FL8534PY DEP21451")</f>
        <v>F 20ft Sea Ark (Easy 200) FL8534PY DEP21451</v>
      </c>
      <c r="M1079" t="str">
        <f ca="1">IFERROR(__xludf.DUMMYFUNCTION("""COMPUTED_VALUE"""),"Ford F150 2022 (NEAP) - DEP22491")</f>
        <v>Ford F150 2022 (NEAP) - DEP22491</v>
      </c>
      <c r="N1079" t="str">
        <f ca="1">IFERROR(__xludf.DUMMYFUNCTION("""COMPUTED_VALUE"""),"Jimmy Tomazinis, (904) 547-0094")</f>
        <v>Jimmy Tomazinis, (904) 547-0094</v>
      </c>
      <c r="O1079" t="str">
        <f ca="1">IFERROR(__xludf.DUMMYFUNCTION("""COMPUTED_VALUE"""),"Chris Kurtz")</f>
        <v>Chris Kurtz</v>
      </c>
      <c r="P1079" t="str">
        <f ca="1">IFERROR(__xludf.DUMMYFUNCTION("""COMPUTED_VALUE"""),"Jimmy")</f>
        <v>Jimmy</v>
      </c>
      <c r="AE1079" s="11"/>
      <c r="AF1079" t="str">
        <v>James.Tomazinis@floridadep.gov</v>
      </c>
      <c r="AG1079" s="18"/>
    </row>
    <row r="1080" spans="1:33" ht="12.75">
      <c r="A1080" s="10">
        <f ca="1">IFERROR(__xludf.DUMMYFUNCTION("""COMPUTED_VALUE"""),45203.501708831)</f>
        <v>45203.501708830998</v>
      </c>
      <c r="B1080" s="11" t="str">
        <f ca="1">IFERROR(__xludf.DUMMYFUNCTION("""COMPUTED_VALUE"""),"Shannon")</f>
        <v>Shannon</v>
      </c>
      <c r="C1080" t="str">
        <f ca="1">IFERROR(__xludf.DUMMYFUNCTION("""COMPUTED_VALUE"""),"shannon.dunnigan@dep.state.fl.us")</f>
        <v>shannon.dunnigan@dep.state.fl.us</v>
      </c>
      <c r="D1080" t="str">
        <f ca="1">IFERROR(__xludf.DUMMYFUNCTION("""COMPUTED_VALUE"""),"Nikki Dix")</f>
        <v>Nikki Dix</v>
      </c>
      <c r="E1080" t="str">
        <f ca="1">IFERROR(__xludf.DUMMYFUNCTION("""COMPUTED_VALUE"""),"Douglas Crane Boat Ramp")</f>
        <v>Douglas Crane Boat Ramp</v>
      </c>
      <c r="F1080" s="13">
        <f ca="1">IFERROR(__xludf.DUMMYFUNCTION("""COMPUTED_VALUE"""),0.52083333333212)</f>
        <v>0.52083333333212001</v>
      </c>
      <c r="G1080" s="14">
        <f ca="1">IFERROR(__xludf.DUMMYFUNCTION("""COMPUTED_VALUE"""),45203)</f>
        <v>45203</v>
      </c>
      <c r="H1080" t="str">
        <f ca="1">IFERROR(__xludf.DUMMYFUNCTION("""COMPUTED_VALUE"""),"FM and SS SWMP sites")</f>
        <v>FM and SS SWMP sites</v>
      </c>
      <c r="I1080" s="15">
        <f ca="1">IFERROR(__xludf.DUMMYFUNCTION("""COMPUTED_VALUE"""),0.625)</f>
        <v>0.625</v>
      </c>
      <c r="J1080" s="16">
        <f ca="1">IFERROR(__xludf.DUMMYFUNCTION("""COMPUTED_VALUE"""),45203.6666666666)</f>
        <v>45203.666666666599</v>
      </c>
      <c r="K1080" t="str">
        <f ca="1">IFERROR(__xludf.DUMMYFUNCTION("""COMPUTED_VALUE"""),"20ft Sea Ark FL5351SJ UNF 2015")</f>
        <v>20ft Sea Ark FL5351SJ UNF 2015</v>
      </c>
      <c r="M1080" t="str">
        <f ca="1">IFERROR(__xludf.DUMMYFUNCTION("""COMPUTED_VALUE"""),"Ford F150 2015 (White) - DEP21448")</f>
        <v>Ford F150 2015 (White) - DEP21448</v>
      </c>
      <c r="N1080" t="str">
        <f ca="1">IFERROR(__xludf.DUMMYFUNCTION("""COMPUTED_VALUE"""),"Shannon Dunnigan, (803) 727-5734")</f>
        <v>Shannon Dunnigan, (803) 727-5734</v>
      </c>
      <c r="O1080" t="str">
        <f ca="1">IFERROR(__xludf.DUMMYFUNCTION("""COMPUTED_VALUE"""),"Megan Howkins, (321) 427-1958")</f>
        <v>Megan Howkins, (321) 427-1958</v>
      </c>
      <c r="P1080" t="str">
        <f ca="1">IFERROR(__xludf.DUMMYFUNCTION("""COMPUTED_VALUE"""),"Shannon")</f>
        <v>Shannon</v>
      </c>
      <c r="AE1080" s="11"/>
      <c r="AF1080" t="str">
        <v>Nikki.Dix@floridadep.gov</v>
      </c>
      <c r="AG1080" s="18"/>
    </row>
    <row r="1081" spans="1:33" ht="12.75">
      <c r="A1081" s="10">
        <f ca="1">IFERROR(__xludf.DUMMYFUNCTION("""COMPUTED_VALUE"""),45204.2827314351)</f>
        <v>45204.282731435102</v>
      </c>
      <c r="B1081" s="11" t="str">
        <f ca="1">IFERROR(__xludf.DUMMYFUNCTION("""COMPUTED_VALUE"""),"Jacob Berna")</f>
        <v>Jacob Berna</v>
      </c>
      <c r="C1081" t="str">
        <f ca="1">IFERROR(__xludf.DUMMYFUNCTION("""COMPUTED_VALUE"""),"jacob.berna@floridadep.gov")</f>
        <v>jacob.berna@floridadep.gov</v>
      </c>
      <c r="D1081" t="str">
        <f ca="1">IFERROR(__xludf.DUMMYFUNCTION("""COMPUTED_VALUE"""),"Nikki Dix")</f>
        <v>Nikki Dix</v>
      </c>
      <c r="E1081" t="str">
        <f ca="1">IFERROR(__xludf.DUMMYFUNCTION("""COMPUTED_VALUE"""),"Douglas Crane Boat Ramp")</f>
        <v>Douglas Crane Boat Ramp</v>
      </c>
      <c r="F1081" s="13">
        <f ca="1">IFERROR(__xludf.DUMMYFUNCTION("""COMPUTED_VALUE"""),0.291666666667879)</f>
        <v>0.29166666666787899</v>
      </c>
      <c r="G1081" s="14">
        <f ca="1">IFERROR(__xludf.DUMMYFUNCTION("""COMPUTED_VALUE"""),45204)</f>
        <v>45204</v>
      </c>
      <c r="H1081" t="str">
        <f ca="1">IFERROR(__xludf.DUMMYFUNCTION("""COMPUTED_VALUE"""),"EC site")</f>
        <v>EC site</v>
      </c>
      <c r="I1081" s="15">
        <f ca="1">IFERROR(__xludf.DUMMYFUNCTION("""COMPUTED_VALUE"""),0.541666666667879)</f>
        <v>0.54166666666787899</v>
      </c>
      <c r="J1081" s="16">
        <f ca="1">IFERROR(__xludf.DUMMYFUNCTION("""COMPUTED_VALUE"""),45204.5833333333)</f>
        <v>45204.583333333299</v>
      </c>
      <c r="K1081" t="str">
        <f ca="1">IFERROR(__xludf.DUMMYFUNCTION("""COMPUTED_VALUE"""),"20ft Sea Ark FL5351SJ UNF 2015")</f>
        <v>20ft Sea Ark FL5351SJ UNF 2015</v>
      </c>
      <c r="M1081" t="str">
        <f ca="1">IFERROR(__xludf.DUMMYFUNCTION("""COMPUTED_VALUE"""),"Ford F150 2015 (White) - DEP21448")</f>
        <v>Ford F150 2015 (White) - DEP21448</v>
      </c>
      <c r="N1081" t="str">
        <f ca="1">IFERROR(__xludf.DUMMYFUNCTION("""COMPUTED_VALUE"""),"Hans Prevost, (337) 224-5522, Jacob Berna, (904) 392-1966")</f>
        <v>Hans Prevost, (337) 224-5522, Jacob Berna, (904) 392-1966</v>
      </c>
      <c r="O1081" t="str">
        <f ca="1">IFERROR(__xludf.DUMMYFUNCTION("""COMPUTED_VALUE"""),"Savanna Mathis, Zach Lepera")</f>
        <v>Savanna Mathis, Zach Lepera</v>
      </c>
      <c r="P1081" t="str">
        <f ca="1">IFERROR(__xludf.DUMMYFUNCTION("""COMPUTED_VALUE"""),"Jacob Berna")</f>
        <v>Jacob Berna</v>
      </c>
      <c r="AE1081" s="11"/>
      <c r="AF1081" t="str">
        <v>Nikki.Dix@floridadep.gov</v>
      </c>
      <c r="AG1081" s="18"/>
    </row>
    <row r="1082" spans="1:33" ht="12.75">
      <c r="A1082" s="10">
        <f ca="1">IFERROR(__xludf.DUMMYFUNCTION("""COMPUTED_VALUE"""),45205.3707046875)</f>
        <v>45205.370704687499</v>
      </c>
      <c r="B1082" s="11" t="str">
        <f ca="1">IFERROR(__xludf.DUMMYFUNCTION("""COMPUTED_VALUE"""),"Hans prevost ")</f>
        <v xml:space="preserve">Hans prevost </v>
      </c>
      <c r="C1082" t="str">
        <f ca="1">IFERROR(__xludf.DUMMYFUNCTION("""COMPUTED_VALUE"""),"hans.prevost@floridadep.gov")</f>
        <v>hans.prevost@floridadep.gov</v>
      </c>
      <c r="D1082" t="str">
        <f ca="1">IFERROR(__xludf.DUMMYFUNCTION("""COMPUTED_VALUE"""),"Jacob Berna")</f>
        <v>Jacob Berna</v>
      </c>
      <c r="E1082" t="str">
        <f ca="1">IFERROR(__xludf.DUMMYFUNCTION("""COMPUTED_VALUE"""),"Moses creek dock ")</f>
        <v xml:space="preserve">Moses creek dock </v>
      </c>
      <c r="F1082" s="13">
        <f ca="1">IFERROR(__xludf.DUMMYFUNCTION("""COMPUTED_VALUE"""),0.385416666667879)</f>
        <v>0.38541666666787899</v>
      </c>
      <c r="G1082" s="14">
        <f ca="1">IFERROR(__xludf.DUMMYFUNCTION("""COMPUTED_VALUE"""),45205)</f>
        <v>45205</v>
      </c>
      <c r="H1082" t="str">
        <f ca="1">IFERROR(__xludf.DUMMYFUNCTION("""COMPUTED_VALUE"""),"Moses creek marsh monitoring sites ")</f>
        <v xml:space="preserve">Moses creek marsh monitoring sites </v>
      </c>
      <c r="I1082" s="15">
        <f ca="1">IFERROR(__xludf.DUMMYFUNCTION("""COMPUTED_VALUE"""),0.625)</f>
        <v>0.625</v>
      </c>
      <c r="J1082" s="16">
        <f ca="1">IFERROR(__xludf.DUMMYFUNCTION("""COMPUTED_VALUE"""),45205.6666666666)</f>
        <v>45205.666666666599</v>
      </c>
      <c r="K1082" t="str">
        <f ca="1">IFERROR(__xludf.DUMMYFUNCTION("""COMPUTED_VALUE"""),"Kayak(s)")</f>
        <v>Kayak(s)</v>
      </c>
      <c r="L1082">
        <f ca="1">IFERROR(__xludf.DUMMYFUNCTION("""COMPUTED_VALUE"""),2)</f>
        <v>2</v>
      </c>
      <c r="M1082" t="str">
        <f ca="1">IFERROR(__xludf.DUMMYFUNCTION("""COMPUTED_VALUE"""),"Ford F150 2015 (White) - DEP21448")</f>
        <v>Ford F150 2015 (White) - DEP21448</v>
      </c>
      <c r="N1082" t="str">
        <f ca="1">IFERROR(__xludf.DUMMYFUNCTION("""COMPUTED_VALUE"""),"Hans Prevost, (337) 224-5522")</f>
        <v>Hans Prevost, (337) 224-5522</v>
      </c>
      <c r="O1082" t="str">
        <f ca="1">IFERROR(__xludf.DUMMYFUNCTION("""COMPUTED_VALUE"""),"Kala Neighbor, Savanna Mathis")</f>
        <v>Kala Neighbor, Savanna Mathis</v>
      </c>
      <c r="P1082" t="str">
        <f ca="1">IFERROR(__xludf.DUMMYFUNCTION("""COMPUTED_VALUE"""),"Hans Prevost")</f>
        <v>Hans Prevost</v>
      </c>
      <c r="AE1082" s="11"/>
      <c r="AF1082" t="str">
        <v/>
      </c>
      <c r="AG1082" s="18"/>
    </row>
    <row r="1083" spans="1:33" ht="12.75">
      <c r="A1083" s="10">
        <f ca="1">IFERROR(__xludf.DUMMYFUNCTION("""COMPUTED_VALUE"""),45208.4747114814)</f>
        <v>45208.474711481402</v>
      </c>
      <c r="B1083" s="11" t="str">
        <f ca="1">IFERROR(__xludf.DUMMYFUNCTION("""COMPUTED_VALUE"""),"Chris Kurtz")</f>
        <v>Chris Kurtz</v>
      </c>
      <c r="C1083" t="str">
        <f ca="1">IFERROR(__xludf.DUMMYFUNCTION("""COMPUTED_VALUE"""),"chris.kurtz@floridadep.gov")</f>
        <v>chris.kurtz@floridadep.gov</v>
      </c>
      <c r="D1083" t="str">
        <f ca="1">IFERROR(__xludf.DUMMYFUNCTION("""COMPUTED_VALUE"""),"Blythe Odzinski")</f>
        <v>Blythe Odzinski</v>
      </c>
      <c r="E1083" t="str">
        <f ca="1">IFERROR(__xludf.DUMMYFUNCTION("""COMPUTED_VALUE"""),"Vilano Boat Ramp")</f>
        <v>Vilano Boat Ramp</v>
      </c>
      <c r="F1083" s="13">
        <f ca="1">IFERROR(__xludf.DUMMYFUNCTION("""COMPUTED_VALUE"""),0.5)</f>
        <v>0.5</v>
      </c>
      <c r="G1083" s="14">
        <f ca="1">IFERROR(__xludf.DUMMYFUNCTION("""COMPUTED_VALUE"""),45208)</f>
        <v>45208</v>
      </c>
      <c r="H1083" t="str">
        <f ca="1">IFERROR(__xludf.DUMMYFUNCTION("""COMPUTED_VALUE"""),"Matanzas ")</f>
        <v xml:space="preserve">Matanzas </v>
      </c>
      <c r="I1083" s="15">
        <f ca="1">IFERROR(__xludf.DUMMYFUNCTION("""COMPUTED_VALUE"""),0.625)</f>
        <v>0.625</v>
      </c>
      <c r="J1083" s="16">
        <f ca="1">IFERROR(__xludf.DUMMYFUNCTION("""COMPUTED_VALUE"""),45208.6666666666)</f>
        <v>45208.666666666599</v>
      </c>
      <c r="K1083" t="str">
        <f ca="1">IFERROR(__xludf.DUMMYFUNCTION("""COMPUTED_VALUE"""),"23ft Skiff (Bertha) FL7972LJ DEP07613")</f>
        <v>23ft Skiff (Bertha) FL7972LJ DEP07613</v>
      </c>
      <c r="M1083" t="str">
        <f ca="1">IFERROR(__xludf.DUMMYFUNCTION("""COMPUTED_VALUE"""),"Ford F150 2022 (NEAP) - DEP22491")</f>
        <v>Ford F150 2022 (NEAP) - DEP22491</v>
      </c>
      <c r="N1083" t="str">
        <f ca="1">IFERROR(__xludf.DUMMYFUNCTION("""COMPUTED_VALUE"""),"Jimmy Tomazinis, (904) 547-0094")</f>
        <v>Jimmy Tomazinis, (904) 547-0094</v>
      </c>
      <c r="O1083" t="str">
        <f ca="1">IFERROR(__xludf.DUMMYFUNCTION("""COMPUTED_VALUE"""),"Chris Kurtz")</f>
        <v>Chris Kurtz</v>
      </c>
      <c r="AE1083" s="11"/>
      <c r="AF1083" t="str">
        <v/>
      </c>
      <c r="AG1083" s="18"/>
    </row>
    <row r="1084" spans="1:33" ht="12.75">
      <c r="A1084" s="10">
        <f ca="1">IFERROR(__xludf.DUMMYFUNCTION("""COMPUTED_VALUE"""),45209.3823613541)</f>
        <v>45209.382361354103</v>
      </c>
      <c r="B1084" s="11" t="str">
        <f ca="1">IFERROR(__xludf.DUMMYFUNCTION("""COMPUTED_VALUE"""),"Shannon")</f>
        <v>Shannon</v>
      </c>
      <c r="C1084" t="str">
        <f ca="1">IFERROR(__xludf.DUMMYFUNCTION("""COMPUTED_VALUE"""),"shannon.dunnigan@dep.state.fl.us")</f>
        <v>shannon.dunnigan@dep.state.fl.us</v>
      </c>
      <c r="D1084" t="str">
        <f ca="1">IFERROR(__xludf.DUMMYFUNCTION("""COMPUTED_VALUE"""),"Blythe Odzinski")</f>
        <v>Blythe Odzinski</v>
      </c>
      <c r="E1084" t="str">
        <f ca="1">IFERROR(__xludf.DUMMYFUNCTION("""COMPUTED_VALUE"""),"Vilano Boat Ramp")</f>
        <v>Vilano Boat Ramp</v>
      </c>
      <c r="F1084" s="13">
        <f ca="1">IFERROR(__xludf.DUMMYFUNCTION("""COMPUTED_VALUE"""),0.39583333333212)</f>
        <v>0.39583333333212001</v>
      </c>
      <c r="G1084" s="14">
        <f ca="1">IFERROR(__xludf.DUMMYFUNCTION("""COMPUTED_VALUE"""),45209)</f>
        <v>45209</v>
      </c>
      <c r="H1084" t="str">
        <f ca="1">IFERROR(__xludf.DUMMYFUNCTION("""COMPUTED_VALUE"""),"Tolomato river reefs")</f>
        <v>Tolomato river reefs</v>
      </c>
      <c r="I1084" s="15">
        <f ca="1">IFERROR(__xludf.DUMMYFUNCTION("""COMPUTED_VALUE"""),0.666666666667879)</f>
        <v>0.66666666666787899</v>
      </c>
      <c r="J1084" s="16">
        <f ca="1">IFERROR(__xludf.DUMMYFUNCTION("""COMPUTED_VALUE"""),45209.7083333333)</f>
        <v>45209.708333333299</v>
      </c>
      <c r="K1084" t="str">
        <f ca="1">IFERROR(__xludf.DUMMYFUNCTION("""COMPUTED_VALUE"""),"23ft Skiff (Bertha) FL7972LJ DEP07613")</f>
        <v>23ft Skiff (Bertha) FL7972LJ DEP07613</v>
      </c>
      <c r="M1084" t="str">
        <f ca="1">IFERROR(__xludf.DUMMYFUNCTION("""COMPUTED_VALUE"""),"Ford F150 2015 (White) - DEP21448")</f>
        <v>Ford F150 2015 (White) - DEP21448</v>
      </c>
      <c r="N1084" t="str">
        <f ca="1">IFERROR(__xludf.DUMMYFUNCTION("""COMPUTED_VALUE"""),"Hans Prevost, (337) 224-5522, Shannon Dunnigan, (803) 727-5734")</f>
        <v>Hans Prevost, (337) 224-5522, Shannon Dunnigan, (803) 727-5734</v>
      </c>
      <c r="O1084" t="str">
        <f ca="1">IFERROR(__xludf.DUMMYFUNCTION("""COMPUTED_VALUE"""),"Sam Chapman, Tess, Cathy, Jenny, Aaron")</f>
        <v>Sam Chapman, Tess, Cathy, Jenny, Aaron</v>
      </c>
      <c r="P1084" t="str">
        <f ca="1">IFERROR(__xludf.DUMMYFUNCTION("""COMPUTED_VALUE"""),"Shannon ")</f>
        <v xml:space="preserve">Shannon </v>
      </c>
      <c r="AE1084" s="11"/>
      <c r="AF1084" t="str">
        <v/>
      </c>
      <c r="AG1084" s="18"/>
    </row>
    <row r="1085" spans="1:33" ht="12.75">
      <c r="A1085" s="10">
        <f ca="1">IFERROR(__xludf.DUMMYFUNCTION("""COMPUTED_VALUE"""),45209.3860559606)</f>
        <v>45209.386055960596</v>
      </c>
      <c r="B1085" s="11" t="str">
        <f ca="1">IFERROR(__xludf.DUMMYFUNCTION("""COMPUTED_VALUE"""),"Nikki Dix")</f>
        <v>Nikki Dix</v>
      </c>
      <c r="C1085" t="str">
        <f ca="1">IFERROR(__xludf.DUMMYFUNCTION("""COMPUTED_VALUE"""),"nikki.dix@dep.state.fl.us")</f>
        <v>nikki.dix@dep.state.fl.us</v>
      </c>
      <c r="D1085" t="str">
        <f ca="1">IFERROR(__xludf.DUMMYFUNCTION("""COMPUTED_VALUE"""),"Blythe Odzinski")</f>
        <v>Blythe Odzinski</v>
      </c>
      <c r="E1085" t="str">
        <f ca="1">IFERROR(__xludf.DUMMYFUNCTION("""COMPUTED_VALUE"""),"Vilano Boat Ramp")</f>
        <v>Vilano Boat Ramp</v>
      </c>
      <c r="F1085" s="13">
        <f ca="1">IFERROR(__xludf.DUMMYFUNCTION("""COMPUTED_VALUE"""),0.388888888890505)</f>
        <v>0.38888888889050499</v>
      </c>
      <c r="G1085" s="14">
        <f ca="1">IFERROR(__xludf.DUMMYFUNCTION("""COMPUTED_VALUE"""),45209)</f>
        <v>45209</v>
      </c>
      <c r="H1085" t="str">
        <f ca="1">IFERROR(__xludf.DUMMYFUNCTION("""COMPUTED_VALUE"""),"Tolomato rakes")</f>
        <v>Tolomato rakes</v>
      </c>
      <c r="I1085" s="15">
        <f ca="1">IFERROR(__xludf.DUMMYFUNCTION("""COMPUTED_VALUE"""),0.666666666667879)</f>
        <v>0.66666666666787899</v>
      </c>
      <c r="J1085" s="16">
        <f ca="1">IFERROR(__xludf.DUMMYFUNCTION("""COMPUTED_VALUE"""),45209.6875)</f>
        <v>45209.6875</v>
      </c>
      <c r="K1085" t="str">
        <f ca="1">IFERROR(__xludf.DUMMYFUNCTION("""COMPUTED_VALUE"""),"20ft Sea Ark FL5351SJ UNF 2015")</f>
        <v>20ft Sea Ark FL5351SJ UNF 2015</v>
      </c>
      <c r="M1085" t="str">
        <f ca="1">IFERROR(__xludf.DUMMYFUNCTION("""COMPUTED_VALUE"""),"UNF truck")</f>
        <v>UNF truck</v>
      </c>
      <c r="N1085" t="str">
        <f ca="1">IFERROR(__xludf.DUMMYFUNCTION("""COMPUTED_VALUE"""),"Nikki Dix, (352) 219-4079")</f>
        <v>Nikki Dix, (352) 219-4079</v>
      </c>
      <c r="O1085" t="str">
        <f ca="1">IFERROR(__xludf.DUMMYFUNCTION("""COMPUTED_VALUE"""),"Megan Howkins, (321) 427-1958, Jenny, Scott Jones")</f>
        <v>Megan Howkins, (321) 427-1958, Jenny, Scott Jones</v>
      </c>
      <c r="P1085" t="str">
        <f ca="1">IFERROR(__xludf.DUMMYFUNCTION("""COMPUTED_VALUE"""),"Nikki Dix")</f>
        <v>Nikki Dix</v>
      </c>
      <c r="AD1085" t="str">
        <f ca="1">IFERROR(__xludf.DUMMYFUNCTION("""COMPUTED_VALUE"""),"Good")</f>
        <v>Good</v>
      </c>
      <c r="AE1085" s="11"/>
      <c r="AF1085" t="str">
        <v/>
      </c>
      <c r="AG1085" s="18"/>
    </row>
    <row r="1086" spans="1:33" ht="12.75">
      <c r="A1086" s="10">
        <f ca="1">IFERROR(__xludf.DUMMYFUNCTION("""COMPUTED_VALUE"""),45209.5050777199)</f>
        <v>45209.505077719899</v>
      </c>
      <c r="B1086" s="11" t="str">
        <f ca="1">IFERROR(__xludf.DUMMYFUNCTION("""COMPUTED_VALUE"""),"Jimmy")</f>
        <v>Jimmy</v>
      </c>
      <c r="C1086" t="str">
        <f ca="1">IFERROR(__xludf.DUMMYFUNCTION("""COMPUTED_VALUE"""),"james.tomazinis@floridadep.gov")</f>
        <v>james.tomazinis@floridadep.gov</v>
      </c>
      <c r="D1086" t="str">
        <f ca="1">IFERROR(__xludf.DUMMYFUNCTION("""COMPUTED_VALUE"""),"Blythe Odzinski")</f>
        <v>Blythe Odzinski</v>
      </c>
      <c r="E1086" t="str">
        <f ca="1">IFERROR(__xludf.DUMMYFUNCTION("""COMPUTED_VALUE"""),"Mayport")</f>
        <v>Mayport</v>
      </c>
      <c r="F1086" s="13">
        <f ca="1">IFERROR(__xludf.DUMMYFUNCTION("""COMPUTED_VALUE"""),0.5)</f>
        <v>0.5</v>
      </c>
      <c r="G1086" s="14">
        <f ca="1">IFERROR(__xludf.DUMMYFUNCTION("""COMPUTED_VALUE"""),45209)</f>
        <v>45209</v>
      </c>
      <c r="H1086" t="str">
        <f ca="1">IFERROR(__xludf.DUMMYFUNCTION("""COMPUTED_VALUE"""),"St. John’s River and Shad Creek")</f>
        <v>St. John’s River and Shad Creek</v>
      </c>
      <c r="I1086" s="15">
        <f ca="1">IFERROR(__xludf.DUMMYFUNCTION("""COMPUTED_VALUE"""),0.625)</f>
        <v>0.625</v>
      </c>
      <c r="J1086" s="16"/>
      <c r="K1086" t="str">
        <f ca="1">IFERROR(__xludf.DUMMYFUNCTION("""COMPUTED_VALUE"""),"F 20ft Sea Ark (Easy 200) FL8534PY DEP21451")</f>
        <v>F 20ft Sea Ark (Easy 200) FL8534PY DEP21451</v>
      </c>
      <c r="M1086" t="str">
        <f ca="1">IFERROR(__xludf.DUMMYFUNCTION("""COMPUTED_VALUE"""),"Ford F150 2022 (NEAP) - DEP22491")</f>
        <v>Ford F150 2022 (NEAP) - DEP22491</v>
      </c>
      <c r="N1086" t="str">
        <f ca="1">IFERROR(__xludf.DUMMYFUNCTION("""COMPUTED_VALUE"""),"Jimmy Tomazinis, (904) 547-0094")</f>
        <v>Jimmy Tomazinis, (904) 547-0094</v>
      </c>
      <c r="O1086" t="str">
        <f ca="1">IFERROR(__xludf.DUMMYFUNCTION("""COMPUTED_VALUE"""),"Chris Kurtz")</f>
        <v>Chris Kurtz</v>
      </c>
      <c r="P1086" t="str">
        <f ca="1">IFERROR(__xludf.DUMMYFUNCTION("""COMPUTED_VALUE"""),"Jimmy")</f>
        <v>Jimmy</v>
      </c>
      <c r="AE1086" s="11"/>
      <c r="AF1086" t="str">
        <v/>
      </c>
      <c r="AG1086" s="18"/>
    </row>
    <row r="1087" spans="1:33" ht="12.75">
      <c r="A1087" s="10">
        <f ca="1">IFERROR(__xludf.DUMMYFUNCTION("""COMPUTED_VALUE"""),45210.3218111458)</f>
        <v>45210.321811145797</v>
      </c>
      <c r="B1087" s="11" t="str">
        <f ca="1">IFERROR(__xludf.DUMMYFUNCTION("""COMPUTED_VALUE"""),"Monica Maldonado ")</f>
        <v xml:space="preserve">Monica Maldonado </v>
      </c>
      <c r="C1087" t="str">
        <f ca="1">IFERROR(__xludf.DUMMYFUNCTION("""COMPUTED_VALUE"""),"monica.maldonado@floridadep.gov")</f>
        <v>monica.maldonado@floridadep.gov</v>
      </c>
      <c r="D1087" t="str">
        <f ca="1">IFERROR(__xludf.DUMMYFUNCTION("""COMPUTED_VALUE"""),"Nikki Dix")</f>
        <v>Nikki Dix</v>
      </c>
      <c r="E1087" t="str">
        <f ca="1">IFERROR(__xludf.DUMMYFUNCTION("""COMPUTED_VALUE"""),"Guana Dam")</f>
        <v>Guana Dam</v>
      </c>
      <c r="F1087" s="13">
        <f ca="1">IFERROR(__xludf.DUMMYFUNCTION("""COMPUTED_VALUE"""),0.33333333333212)</f>
        <v>0.33333333333212001</v>
      </c>
      <c r="G1087" s="14">
        <f ca="1">IFERROR(__xludf.DUMMYFUNCTION("""COMPUTED_VALUE"""),45210)</f>
        <v>45210</v>
      </c>
      <c r="H1087" t="str">
        <f ca="1">IFERROR(__xludf.DUMMYFUNCTION("""COMPUTED_VALUE"""),"Sample grab")</f>
        <v>Sample grab</v>
      </c>
      <c r="I1087" s="15">
        <f ca="1">IFERROR(__xludf.DUMMYFUNCTION("""COMPUTED_VALUE"""),0.375)</f>
        <v>0.375</v>
      </c>
      <c r="J1087" s="16">
        <f ca="1">IFERROR(__xludf.DUMMYFUNCTION("""COMPUTED_VALUE"""),45210.5833333333)</f>
        <v>45210.583333333299</v>
      </c>
      <c r="K1087" t="str">
        <f ca="1">IFERROR(__xludf.DUMMYFUNCTION("""COMPUTED_VALUE"""),"Jon Boat 1 FL5992RR DEP154045")</f>
        <v>Jon Boat 1 FL5992RR DEP154045</v>
      </c>
      <c r="M1087" t="str">
        <f ca="1">IFERROR(__xludf.DUMMYFUNCTION("""COMPUTED_VALUE"""),"Ford F150 2015 (White) - DEP21448")</f>
        <v>Ford F150 2015 (White) - DEP21448</v>
      </c>
      <c r="N1087" t="str">
        <f ca="1">IFERROR(__xludf.DUMMYFUNCTION("""COMPUTED_VALUE"""),"Monica Maldonado ")</f>
        <v xml:space="preserve">Monica Maldonado </v>
      </c>
      <c r="O1087" t="str">
        <f ca="1">IFERROR(__xludf.DUMMYFUNCTION("""COMPUTED_VALUE"""),"Nicole de Venoge &amp; Bailee Porter")</f>
        <v>Nicole de Venoge &amp; Bailee Porter</v>
      </c>
      <c r="P1087" t="str">
        <f ca="1">IFERROR(__xludf.DUMMYFUNCTION("""COMPUTED_VALUE"""),"Monica Maldonado ")</f>
        <v xml:space="preserve">Monica Maldonado </v>
      </c>
      <c r="AE1087" s="11"/>
      <c r="AF1087" t="str">
        <v>Nikki.Dix@floridadep.gov</v>
      </c>
      <c r="AG1087" s="18"/>
    </row>
    <row r="1088" spans="1:33" ht="12.75">
      <c r="A1088" s="10">
        <f ca="1">IFERROR(__xludf.DUMMYFUNCTION("""COMPUTED_VALUE"""),45210.4395782291)</f>
        <v>45210.439578229103</v>
      </c>
      <c r="B1088" s="11" t="str">
        <f ca="1">IFERROR(__xludf.DUMMYFUNCTION("""COMPUTED_VALUE"""),"Jacob Berna")</f>
        <v>Jacob Berna</v>
      </c>
      <c r="C1088" t="str">
        <f ca="1">IFERROR(__xludf.DUMMYFUNCTION("""COMPUTED_VALUE"""),"jacob.berna@floridadep.gov")</f>
        <v>jacob.berna@floridadep.gov</v>
      </c>
      <c r="D1088" t="str">
        <f ca="1">IFERROR(__xludf.DUMMYFUNCTION("""COMPUTED_VALUE"""),"Blythe Odzinski")</f>
        <v>Blythe Odzinski</v>
      </c>
      <c r="E1088" t="str">
        <f ca="1">IFERROR(__xludf.DUMMYFUNCTION("""COMPUTED_VALUE"""),"Usina Boat Ramp (Aunt Kate's)")</f>
        <v>Usina Boat Ramp (Aunt Kate's)</v>
      </c>
      <c r="F1088" s="13">
        <f ca="1">IFERROR(__xludf.DUMMYFUNCTION("""COMPUTED_VALUE"""),0.45833333333212)</f>
        <v>0.45833333333212001</v>
      </c>
      <c r="G1088" s="14">
        <f ca="1">IFERROR(__xludf.DUMMYFUNCTION("""COMPUTED_VALUE"""),45210)</f>
        <v>45210</v>
      </c>
      <c r="H1088" t="str">
        <f ca="1">IFERROR(__xludf.DUMMYFUNCTION("""COMPUTED_VALUE"""),"Hat Island")</f>
        <v>Hat Island</v>
      </c>
      <c r="I1088" s="15">
        <f ca="1">IFERROR(__xludf.DUMMYFUNCTION("""COMPUTED_VALUE"""),0.64583333333212)</f>
        <v>0.64583333333212001</v>
      </c>
      <c r="J1088" s="16">
        <f ca="1">IFERROR(__xludf.DUMMYFUNCTION("""COMPUTED_VALUE"""),45210.6666666666)</f>
        <v>45210.666666666599</v>
      </c>
      <c r="K1088" t="str">
        <f ca="1">IFERROR(__xludf.DUMMYFUNCTION("""COMPUTED_VALUE"""),"20ft Sea Ark FL5351SJ UNF 2015")</f>
        <v>20ft Sea Ark FL5351SJ UNF 2015</v>
      </c>
      <c r="M1088" t="str">
        <f ca="1">IFERROR(__xludf.DUMMYFUNCTION("""COMPUTED_VALUE"""),"Ford F250 2017 (Moby Dix) - DEP0021578")</f>
        <v>Ford F250 2017 (Moby Dix) - DEP0021578</v>
      </c>
      <c r="N1088" t="str">
        <f ca="1">IFERROR(__xludf.DUMMYFUNCTION("""COMPUTED_VALUE"""),"Hans Prevost, (337) 224-5522, Jacob Berna, (904) 392-1966")</f>
        <v>Hans Prevost, (337) 224-5522, Jacob Berna, (904) 392-1966</v>
      </c>
      <c r="O1088" t="str">
        <f ca="1">IFERROR(__xludf.DUMMYFUNCTION("""COMPUTED_VALUE"""),"Savanna Mathis, Zach Lepera")</f>
        <v>Savanna Mathis, Zach Lepera</v>
      </c>
      <c r="P1088" t="str">
        <f ca="1">IFERROR(__xludf.DUMMYFUNCTION("""COMPUTED_VALUE"""),"Jacob Berna")</f>
        <v>Jacob Berna</v>
      </c>
      <c r="AE1088" s="11"/>
      <c r="AF1088" t="str">
        <v/>
      </c>
      <c r="AG1088" s="18"/>
    </row>
    <row r="1089" spans="1:33" ht="12.75">
      <c r="A1089" s="10">
        <f ca="1">IFERROR(__xludf.DUMMYFUNCTION("""COMPUTED_VALUE"""),45215.4033301736)</f>
        <v>45215.403330173598</v>
      </c>
      <c r="B1089" s="11" t="str">
        <f ca="1">IFERROR(__xludf.DUMMYFUNCTION("""COMPUTED_VALUE"""),"Megan Howkins ")</f>
        <v xml:space="preserve">Megan Howkins </v>
      </c>
      <c r="C1089" t="str">
        <f ca="1">IFERROR(__xludf.DUMMYFUNCTION("""COMPUTED_VALUE"""),"shannon.dunnigan@dep.state.fl.us")</f>
        <v>shannon.dunnigan@dep.state.fl.us</v>
      </c>
      <c r="D1089" t="str">
        <f ca="1">IFERROR(__xludf.DUMMYFUNCTION("""COMPUTED_VALUE"""),"Nikki Dix")</f>
        <v>Nikki Dix</v>
      </c>
      <c r="E1089" t="str">
        <f ca="1">IFERROR(__xludf.DUMMYFUNCTION("""COMPUTED_VALUE"""),"Vilano Boat Ramp")</f>
        <v>Vilano Boat Ramp</v>
      </c>
      <c r="F1089" s="13">
        <f ca="1">IFERROR(__xludf.DUMMYFUNCTION("""COMPUTED_VALUE"""),0.416666666667879)</f>
        <v>0.41666666666787899</v>
      </c>
      <c r="G1089" s="14">
        <f ca="1">IFERROR(__xludf.DUMMYFUNCTION("""COMPUTED_VALUE"""),45215)</f>
        <v>45215</v>
      </c>
      <c r="H1089" t="str">
        <f ca="1">IFERROR(__xludf.DUMMYFUNCTION("""COMPUTED_VALUE"""),"SWMP sites ")</f>
        <v xml:space="preserve">SWMP sites </v>
      </c>
      <c r="I1089" s="15">
        <f ca="1">IFERROR(__xludf.DUMMYFUNCTION("""COMPUTED_VALUE"""),0.58333333333212)</f>
        <v>0.58333333333212001</v>
      </c>
      <c r="J1089" s="16">
        <f ca="1">IFERROR(__xludf.DUMMYFUNCTION("""COMPUTED_VALUE"""),45215.6041666666)</f>
        <v>45215.604166666599</v>
      </c>
      <c r="K1089" t="str">
        <f ca="1">IFERROR(__xludf.DUMMYFUNCTION("""COMPUTED_VALUE"""),"23ft Skiff (Bertha) FL7972LJ DEP07613")</f>
        <v>23ft Skiff (Bertha) FL7972LJ DEP07613</v>
      </c>
      <c r="M1089" t="str">
        <f ca="1">IFERROR(__xludf.DUMMYFUNCTION("""COMPUTED_VALUE"""),"Ford F250 2017 (Moby Dix) - DEP0021578")</f>
        <v>Ford F250 2017 (Moby Dix) - DEP0021578</v>
      </c>
      <c r="N1089" t="str">
        <f ca="1">IFERROR(__xludf.DUMMYFUNCTION("""COMPUTED_VALUE"""),"Shannon Dunnigan, (803) 727-5734")</f>
        <v>Shannon Dunnigan, (803) 727-5734</v>
      </c>
      <c r="O1089" t="str">
        <f ca="1">IFERROR(__xludf.DUMMYFUNCTION("""COMPUTED_VALUE"""),"Megan Howkins, (321) 427-1958")</f>
        <v>Megan Howkins, (321) 427-1958</v>
      </c>
      <c r="P1089" t="str">
        <f ca="1">IFERROR(__xludf.DUMMYFUNCTION("""COMPUTED_VALUE"""),"Shannon Dunnigan")</f>
        <v>Shannon Dunnigan</v>
      </c>
      <c r="AE1089" s="11"/>
      <c r="AF1089" t="str">
        <v>Nikki.Dix@floridadep.gov</v>
      </c>
      <c r="AG1089" s="18"/>
    </row>
    <row r="1090" spans="1:33" ht="12.75">
      <c r="A1090" s="10">
        <f ca="1">IFERROR(__xludf.DUMMYFUNCTION("""COMPUTED_VALUE"""),45223.5889122453)</f>
        <v>45223.588912245301</v>
      </c>
      <c r="B1090" s="11" t="str">
        <f ca="1">IFERROR(__xludf.DUMMYFUNCTION("""COMPUTED_VALUE"""),"Monica Maldonado ")</f>
        <v xml:space="preserve">Monica Maldonado </v>
      </c>
      <c r="C1090" t="str">
        <f ca="1">IFERROR(__xludf.DUMMYFUNCTION("""COMPUTED_VALUE"""),"monica.maldonado@FloridaDEP.gov")</f>
        <v>monica.maldonado@FloridaDEP.gov</v>
      </c>
      <c r="D1090" t="str">
        <f ca="1">IFERROR(__xludf.DUMMYFUNCTION("""COMPUTED_VALUE"""),"Shannon Dunnigan")</f>
        <v>Shannon Dunnigan</v>
      </c>
      <c r="E1090" t="str">
        <f ca="1">IFERROR(__xludf.DUMMYFUNCTION("""COMPUTED_VALUE"""),"Guana Dam")</f>
        <v>Guana Dam</v>
      </c>
      <c r="F1090" s="13">
        <f ca="1">IFERROR(__xludf.DUMMYFUNCTION("""COMPUTED_VALUE"""),0.58333333333212)</f>
        <v>0.58333333333212001</v>
      </c>
      <c r="G1090" s="14">
        <f ca="1">IFERROR(__xludf.DUMMYFUNCTION("""COMPUTED_VALUE"""),45223)</f>
        <v>45223</v>
      </c>
      <c r="H1090" t="str">
        <f ca="1">IFERROR(__xludf.DUMMYFUNCTION("""COMPUTED_VALUE"""),"Guana mouth")</f>
        <v>Guana mouth</v>
      </c>
      <c r="I1090" s="15">
        <f ca="1">IFERROR(__xludf.DUMMYFUNCTION("""COMPUTED_VALUE"""),0.666666666667879)</f>
        <v>0.66666666666787899</v>
      </c>
      <c r="J1090" s="16">
        <f ca="1">IFERROR(__xludf.DUMMYFUNCTION("""COMPUTED_VALUE"""),45223.6875)</f>
        <v>45223.6875</v>
      </c>
      <c r="K1090" t="str">
        <f ca="1">IFERROR(__xludf.DUMMYFUNCTION("""COMPUTED_VALUE"""),"Jon Boat 1 FL5992RR DEP154045")</f>
        <v>Jon Boat 1 FL5992RR DEP154045</v>
      </c>
      <c r="M1090" t="str">
        <f ca="1">IFERROR(__xludf.DUMMYFUNCTION("""COMPUTED_VALUE"""),"Ford F150 2015 (White) - DEP21448")</f>
        <v>Ford F150 2015 (White) - DEP21448</v>
      </c>
      <c r="N1090" t="str">
        <f ca="1">IFERROR(__xludf.DUMMYFUNCTION("""COMPUTED_VALUE"""),"Monica Maldonado ")</f>
        <v xml:space="preserve">Monica Maldonado </v>
      </c>
      <c r="O1090" t="str">
        <f ca="1">IFERROR(__xludf.DUMMYFUNCTION("""COMPUTED_VALUE"""),"Hans Prevost")</f>
        <v>Hans Prevost</v>
      </c>
      <c r="P1090" t="str">
        <f ca="1">IFERROR(__xludf.DUMMYFUNCTION("""COMPUTED_VALUE"""),"Monica Maldonado ")</f>
        <v xml:space="preserve">Monica Maldonado </v>
      </c>
      <c r="AE1090" s="11"/>
      <c r="AF1090" t="str">
        <v>Shannon.Dunnigan@floridadep.gov</v>
      </c>
      <c r="AG1090" s="18"/>
    </row>
    <row r="1091" spans="1:33" ht="12.75">
      <c r="A1091" s="10">
        <f ca="1">IFERROR(__xludf.DUMMYFUNCTION("""COMPUTED_VALUE"""),45224.4317523842)</f>
        <v>45224.431752384196</v>
      </c>
      <c r="B1091" s="11" t="str">
        <f ca="1">IFERROR(__xludf.DUMMYFUNCTION("""COMPUTED_VALUE"""),"Jacob Berna ")</f>
        <v xml:space="preserve">Jacob Berna </v>
      </c>
      <c r="C1091" t="str">
        <f ca="1">IFERROR(__xludf.DUMMYFUNCTION("""COMPUTED_VALUE"""),"jacob.berna@floridadep.gov")</f>
        <v>jacob.berna@floridadep.gov</v>
      </c>
      <c r="D1091" t="str">
        <f ca="1">IFERROR(__xludf.DUMMYFUNCTION("""COMPUTED_VALUE"""),"Katie Petrinec")</f>
        <v>Katie Petrinec</v>
      </c>
      <c r="E1091" t="str">
        <f ca="1">IFERROR(__xludf.DUMMYFUNCTION("""COMPUTED_VALUE"""),"Vilano Boat Ramp")</f>
        <v>Vilano Boat Ramp</v>
      </c>
      <c r="F1091" s="13">
        <f ca="1">IFERROR(__xludf.DUMMYFUNCTION("""COMPUTED_VALUE"""),0.430555555554747)</f>
        <v>0.430555555554747</v>
      </c>
      <c r="G1091" s="14">
        <f ca="1">IFERROR(__xludf.DUMMYFUNCTION("""COMPUTED_VALUE"""),45224)</f>
        <v>45224</v>
      </c>
      <c r="H1091" t="str">
        <f ca="1">IFERROR(__xludf.DUMMYFUNCTION("""COMPUTED_VALUE"""),"Training around Vilano ")</f>
        <v xml:space="preserve">Training around Vilano </v>
      </c>
      <c r="I1091" s="15">
        <f ca="1">IFERROR(__xludf.DUMMYFUNCTION("""COMPUTED_VALUE"""),0.541666666667879)</f>
        <v>0.54166666666787899</v>
      </c>
      <c r="J1091" s="16">
        <f ca="1">IFERROR(__xludf.DUMMYFUNCTION("""COMPUTED_VALUE"""),45224.5625)</f>
        <v>45224.5625</v>
      </c>
      <c r="K1091" t="str">
        <f ca="1">IFERROR(__xludf.DUMMYFUNCTION("""COMPUTED_VALUE"""),"23ft Skiff (Bertha) FL7972LJ DEP07613")</f>
        <v>23ft Skiff (Bertha) FL7972LJ DEP07613</v>
      </c>
      <c r="M1091" t="str">
        <f ca="1">IFERROR(__xludf.DUMMYFUNCTION("""COMPUTED_VALUE"""),"Ford F250 2017 (Moby Dix) - DEP0021578")</f>
        <v>Ford F250 2017 (Moby Dix) - DEP0021578</v>
      </c>
      <c r="N1091" t="str">
        <f ca="1">IFERROR(__xludf.DUMMYFUNCTION("""COMPUTED_VALUE"""),"Jacob Berna, (904) 392-1966")</f>
        <v>Jacob Berna, (904) 392-1966</v>
      </c>
      <c r="O1091" t="str">
        <f ca="1">IFERROR(__xludf.DUMMYFUNCTION("""COMPUTED_VALUE"""),"Megan Howkins, (321) 427-1958")</f>
        <v>Megan Howkins, (321) 427-1958</v>
      </c>
      <c r="P1091" t="str">
        <f ca="1">IFERROR(__xludf.DUMMYFUNCTION("""COMPUTED_VALUE"""),"Jacob Berna ")</f>
        <v xml:space="preserve">Jacob Berna </v>
      </c>
      <c r="AE1091" s="11"/>
      <c r="AF1091" t="str">
        <v>Katherine.Petrinec@floridadep.gov</v>
      </c>
      <c r="AG1091" s="18"/>
    </row>
    <row r="1092" spans="1:33" ht="12.75">
      <c r="A1092" s="10">
        <f ca="1">IFERROR(__xludf.DUMMYFUNCTION("""COMPUTED_VALUE"""),45224.4516060763)</f>
        <v>45224.451606076298</v>
      </c>
      <c r="B1092" s="11" t="str">
        <f ca="1">IFERROR(__xludf.DUMMYFUNCTION("""COMPUTED_VALUE"""),"Jimmy")</f>
        <v>Jimmy</v>
      </c>
      <c r="C1092" t="str">
        <f ca="1">IFERROR(__xludf.DUMMYFUNCTION("""COMPUTED_VALUE"""),"james.tomazinis@floridadep.gov")</f>
        <v>james.tomazinis@floridadep.gov</v>
      </c>
      <c r="D1092" t="str">
        <f ca="1">IFERROR(__xludf.DUMMYFUNCTION("""COMPUTED_VALUE"""),"Blythe Odzinski")</f>
        <v>Blythe Odzinski</v>
      </c>
      <c r="E1092" t="str">
        <f ca="1">IFERROR(__xludf.DUMMYFUNCTION("""COMPUTED_VALUE"""),"Guana Dam")</f>
        <v>Guana Dam</v>
      </c>
      <c r="F1092" s="13">
        <f ca="1">IFERROR(__xludf.DUMMYFUNCTION("""COMPUTED_VALUE"""),0.45833333333212)</f>
        <v>0.45833333333212001</v>
      </c>
      <c r="G1092" s="14">
        <f ca="1">IFERROR(__xludf.DUMMYFUNCTION("""COMPUTED_VALUE"""),45224)</f>
        <v>45224</v>
      </c>
      <c r="H1092" t="str">
        <f ca="1">IFERROR(__xludf.DUMMYFUNCTION("""COMPUTED_VALUE"""),"Guana Lake")</f>
        <v>Guana Lake</v>
      </c>
      <c r="I1092" s="15">
        <f ca="1">IFERROR(__xludf.DUMMYFUNCTION("""COMPUTED_VALUE"""),0.604166666667879)</f>
        <v>0.60416666666787899</v>
      </c>
      <c r="J1092" s="16"/>
      <c r="K1092" t="str">
        <f ca="1">IFERROR(__xludf.DUMMYFUNCTION("""COMPUTED_VALUE"""),"Jon Boat 1 FL5992RR DEP154045")</f>
        <v>Jon Boat 1 FL5992RR DEP154045</v>
      </c>
      <c r="M1092" t="str">
        <f ca="1">IFERROR(__xludf.DUMMYFUNCTION("""COMPUTED_VALUE"""),"Ford F150 2015 (White) - DEP21448")</f>
        <v>Ford F150 2015 (White) - DEP21448</v>
      </c>
      <c r="N1092" t="str">
        <f ca="1">IFERROR(__xludf.DUMMYFUNCTION("""COMPUTED_VALUE"""),"Jimmy Tomazinis, (904) 547-0094")</f>
        <v>Jimmy Tomazinis, (904) 547-0094</v>
      </c>
      <c r="O1092" t="str">
        <f ca="1">IFERROR(__xludf.DUMMYFUNCTION("""COMPUTED_VALUE"""),"Hans")</f>
        <v>Hans</v>
      </c>
      <c r="P1092" t="str">
        <f ca="1">IFERROR(__xludf.DUMMYFUNCTION("""COMPUTED_VALUE"""),"Jimmy")</f>
        <v>Jimmy</v>
      </c>
      <c r="AE1092" s="11"/>
      <c r="AF1092" t="str">
        <v/>
      </c>
      <c r="AG1092" s="18"/>
    </row>
    <row r="1093" spans="1:33" ht="12.75">
      <c r="A1093" s="10">
        <f ca="1">IFERROR(__xludf.DUMMYFUNCTION("""COMPUTED_VALUE"""),45225.511278831)</f>
        <v>45225.511278831</v>
      </c>
      <c r="B1093" s="11" t="str">
        <f ca="1">IFERROR(__xludf.DUMMYFUNCTION("""COMPUTED_VALUE"""),"Jimmy")</f>
        <v>Jimmy</v>
      </c>
      <c r="C1093" t="str">
        <f ca="1">IFERROR(__xludf.DUMMYFUNCTION("""COMPUTED_VALUE"""),"james.tomazinis@floridadep.gov")</f>
        <v>james.tomazinis@floridadep.gov</v>
      </c>
      <c r="D1093" t="str">
        <f ca="1">IFERROR(__xludf.DUMMYFUNCTION("""COMPUTED_VALUE"""),"Blythe Odzinski")</f>
        <v>Blythe Odzinski</v>
      </c>
      <c r="E1093" t="str">
        <f ca="1">IFERROR(__xludf.DUMMYFUNCTION("""COMPUTED_VALUE"""),"Jim King")</f>
        <v>Jim King</v>
      </c>
      <c r="F1093" s="13">
        <f ca="1">IFERROR(__xludf.DUMMYFUNCTION("""COMPUTED_VALUE"""),0.510416666667879)</f>
        <v>0.51041666666787899</v>
      </c>
      <c r="G1093" s="14"/>
      <c r="H1093" t="str">
        <f ca="1">IFERROR(__xludf.DUMMYFUNCTION("""COMPUTED_VALUE"""),"Christopher Creek")</f>
        <v>Christopher Creek</v>
      </c>
      <c r="I1093" s="15">
        <f ca="1">IFERROR(__xludf.DUMMYFUNCTION("""COMPUTED_VALUE"""),0.70833333333212)</f>
        <v>0.70833333333212001</v>
      </c>
      <c r="J1093" s="16"/>
      <c r="K1093" t="str">
        <f ca="1">IFERROR(__xludf.DUMMYFUNCTION("""COMPUTED_VALUE"""),"F 20ft Sea Ark (Easy 200) FL8534PY DEP21451")</f>
        <v>F 20ft Sea Ark (Easy 200) FL8534PY DEP21451</v>
      </c>
      <c r="M1093" t="str">
        <f ca="1">IFERROR(__xludf.DUMMYFUNCTION("""COMPUTED_VALUE"""),"Ford F150 2022 (NEAP) - DEP22491")</f>
        <v>Ford F150 2022 (NEAP) - DEP22491</v>
      </c>
      <c r="N1093" t="str">
        <f ca="1">IFERROR(__xludf.DUMMYFUNCTION("""COMPUTED_VALUE"""),"Jimmy Tomazinis, (904) 547-0094")</f>
        <v>Jimmy Tomazinis, (904) 547-0094</v>
      </c>
      <c r="O1093" t="str">
        <f ca="1">IFERROR(__xludf.DUMMYFUNCTION("""COMPUTED_VALUE"""),"Chris Kurtz")</f>
        <v>Chris Kurtz</v>
      </c>
      <c r="P1093" t="str">
        <f ca="1">IFERROR(__xludf.DUMMYFUNCTION("""COMPUTED_VALUE"""),"Jimmy")</f>
        <v>Jimmy</v>
      </c>
      <c r="AE1093" s="11"/>
      <c r="AF1093" t="str">
        <v/>
      </c>
      <c r="AG1093" s="18"/>
    </row>
    <row r="1094" spans="1:33" ht="12.75">
      <c r="A1094" s="10">
        <f ca="1">IFERROR(__xludf.DUMMYFUNCTION("""COMPUTED_VALUE"""),45226.4480951967)</f>
        <v>45226.448095196698</v>
      </c>
      <c r="B1094" s="11" t="str">
        <f ca="1">IFERROR(__xludf.DUMMYFUNCTION("""COMPUTED_VALUE"""),"Jimmy")</f>
        <v>Jimmy</v>
      </c>
      <c r="C1094" t="str">
        <f ca="1">IFERROR(__xludf.DUMMYFUNCTION("""COMPUTED_VALUE"""),"james.tomazinis@floridadep.gov")</f>
        <v>james.tomazinis@floridadep.gov</v>
      </c>
      <c r="D1094" t="str">
        <f ca="1">IFERROR(__xludf.DUMMYFUNCTION("""COMPUTED_VALUE"""),"Blythe Odzinski")</f>
        <v>Blythe Odzinski</v>
      </c>
      <c r="E1094" t="str">
        <f ca="1">IFERROR(__xludf.DUMMYFUNCTION("""COMPUTED_VALUE"""),"North End/Dee Dee Bartels Boat Ramp, Holly point")</f>
        <v>North End/Dee Dee Bartels Boat Ramp, Holly point</v>
      </c>
      <c r="F1094" s="13">
        <f ca="1">IFERROR(__xludf.DUMMYFUNCTION("""COMPUTED_VALUE"""),0.45833333333212)</f>
        <v>0.45833333333212001</v>
      </c>
      <c r="G1094" s="14">
        <f ca="1">IFERROR(__xludf.DUMMYFUNCTION("""COMPUTED_VALUE"""),45226)</f>
        <v>45226</v>
      </c>
      <c r="H1094" t="str">
        <f ca="1">IFERROR(__xludf.DUMMYFUNCTION("""COMPUTED_VALUE"""),"NEAP WQ sites")</f>
        <v>NEAP WQ sites</v>
      </c>
      <c r="I1094" s="15">
        <f ca="1">IFERROR(__xludf.DUMMYFUNCTION("""COMPUTED_VALUE"""),0.58333333333212)</f>
        <v>0.58333333333212001</v>
      </c>
      <c r="J1094" s="16"/>
      <c r="K1094" t="str">
        <f ca="1">IFERROR(__xludf.DUMMYFUNCTION("""COMPUTED_VALUE"""),"F 20ft Sea Ark (Easy 200) FL8534PY DEP21451")</f>
        <v>F 20ft Sea Ark (Easy 200) FL8534PY DEP21451</v>
      </c>
      <c r="M1094" t="str">
        <f ca="1">IFERROR(__xludf.DUMMYFUNCTION("""COMPUTED_VALUE"""),"Ford F150 2022 (NEAP) - DEP22491")</f>
        <v>Ford F150 2022 (NEAP) - DEP22491</v>
      </c>
      <c r="N1094" t="str">
        <f ca="1">IFERROR(__xludf.DUMMYFUNCTION("""COMPUTED_VALUE"""),"Jimmy Tomazinis, (904) 547-0094")</f>
        <v>Jimmy Tomazinis, (904) 547-0094</v>
      </c>
      <c r="O1094" t="str">
        <f ca="1">IFERROR(__xludf.DUMMYFUNCTION("""COMPUTED_VALUE"""),"Chris Kurtz")</f>
        <v>Chris Kurtz</v>
      </c>
      <c r="P1094" t="str">
        <f ca="1">IFERROR(__xludf.DUMMYFUNCTION("""COMPUTED_VALUE"""),"Jimmy ")</f>
        <v xml:space="preserve">Jimmy </v>
      </c>
      <c r="AE1094" s="11"/>
      <c r="AF1094" t="str">
        <v/>
      </c>
      <c r="AG1094" s="18"/>
    </row>
    <row r="1095" spans="1:33" ht="12.75">
      <c r="A1095" s="10">
        <f ca="1">IFERROR(__xludf.DUMMYFUNCTION("""COMPUTED_VALUE"""),45226.4723137963)</f>
        <v>45226.472313796301</v>
      </c>
      <c r="B1095" s="11" t="str">
        <f ca="1">IFERROR(__xludf.DUMMYFUNCTION("""COMPUTED_VALUE"""),"Jacob Berna")</f>
        <v>Jacob Berna</v>
      </c>
      <c r="C1095" t="str">
        <f ca="1">IFERROR(__xludf.DUMMYFUNCTION("""COMPUTED_VALUE"""),"jacob.berna@floridadep.gov")</f>
        <v>jacob.berna@floridadep.gov</v>
      </c>
      <c r="D1095" t="str">
        <f ca="1">IFERROR(__xludf.DUMMYFUNCTION("""COMPUTED_VALUE"""),"Blythe Odzinski")</f>
        <v>Blythe Odzinski</v>
      </c>
      <c r="E1095" t="str">
        <f ca="1">IFERROR(__xludf.DUMMYFUNCTION("""COMPUTED_VALUE"""),"Vilano Boat Ramp")</f>
        <v>Vilano Boat Ramp</v>
      </c>
      <c r="F1095" s="13">
        <f ca="1">IFERROR(__xludf.DUMMYFUNCTION("""COMPUTED_VALUE"""),0.479166666667879)</f>
        <v>0.47916666666787899</v>
      </c>
      <c r="G1095" s="14">
        <f ca="1">IFERROR(__xludf.DUMMYFUNCTION("""COMPUTED_VALUE"""),45226)</f>
        <v>45226</v>
      </c>
      <c r="H1095" t="str">
        <f ca="1">IFERROR(__xludf.DUMMYFUNCTION("""COMPUTED_VALUE"""),"East Creek and Deep Creek")</f>
        <v>East Creek and Deep Creek</v>
      </c>
      <c r="I1095" s="15">
        <f ca="1">IFERROR(__xludf.DUMMYFUNCTION("""COMPUTED_VALUE"""),0.64583333333212)</f>
        <v>0.64583333333212001</v>
      </c>
      <c r="J1095" s="16">
        <f ca="1">IFERROR(__xludf.DUMMYFUNCTION("""COMPUTED_VALUE"""),45226.6666666666)</f>
        <v>45226.666666666599</v>
      </c>
      <c r="K1095" t="str">
        <f ca="1">IFERROR(__xludf.DUMMYFUNCTION("""COMPUTED_VALUE"""),"20ft Sea Ark FL5351SJ UNF 2015")</f>
        <v>20ft Sea Ark FL5351SJ UNF 2015</v>
      </c>
      <c r="M1095" t="str">
        <f ca="1">IFERROR(__xludf.DUMMYFUNCTION("""COMPUTED_VALUE"""),"Ford F250 2017 (Moby Dix) - DEP0021578")</f>
        <v>Ford F250 2017 (Moby Dix) - DEP0021578</v>
      </c>
      <c r="N1095" t="str">
        <f ca="1">IFERROR(__xludf.DUMMYFUNCTION("""COMPUTED_VALUE"""),"Jacob Berna, (904) 392-1966")</f>
        <v>Jacob Berna, (904) 392-1966</v>
      </c>
      <c r="O1095" t="str">
        <f ca="1">IFERROR(__xludf.DUMMYFUNCTION("""COMPUTED_VALUE"""),"Megan Howkins, (321) 427-1958, Scott Jones")</f>
        <v>Megan Howkins, (321) 427-1958, Scott Jones</v>
      </c>
      <c r="P1095" t="str">
        <f ca="1">IFERROR(__xludf.DUMMYFUNCTION("""COMPUTED_VALUE"""),"Jacob Berna")</f>
        <v>Jacob Berna</v>
      </c>
      <c r="AE1095" s="11"/>
      <c r="AF1095" t="str">
        <v/>
      </c>
      <c r="AG1095" s="18"/>
    </row>
    <row r="1096" spans="1:33" ht="12.75">
      <c r="A1096" s="10">
        <f ca="1">IFERROR(__xludf.DUMMYFUNCTION("""COMPUTED_VALUE"""),45226.4929132754)</f>
        <v>45226.492913275397</v>
      </c>
      <c r="B1096" s="11" t="str">
        <f ca="1">IFERROR(__xludf.DUMMYFUNCTION("""COMPUTED_VALUE"""),"Hans prevost ")</f>
        <v xml:space="preserve">Hans prevost </v>
      </c>
      <c r="C1096" t="str">
        <f ca="1">IFERROR(__xludf.DUMMYFUNCTION("""COMPUTED_VALUE"""),"hans.prevost@floridadep.gov")</f>
        <v>hans.prevost@floridadep.gov</v>
      </c>
      <c r="D1096" t="str">
        <f ca="1">IFERROR(__xludf.DUMMYFUNCTION("""COMPUTED_VALUE"""),"Blythe Odzinski")</f>
        <v>Blythe Odzinski</v>
      </c>
      <c r="E1096" t="str">
        <f ca="1">IFERROR(__xludf.DUMMYFUNCTION("""COMPUTED_VALUE"""),"Guana Dam")</f>
        <v>Guana Dam</v>
      </c>
      <c r="F1096" s="13">
        <f ca="1">IFERROR(__xludf.DUMMYFUNCTION("""COMPUTED_VALUE"""),0.5)</f>
        <v>0.5</v>
      </c>
      <c r="G1096" s="14">
        <f ca="1">IFERROR(__xludf.DUMMYFUNCTION("""COMPUTED_VALUE"""),45226)</f>
        <v>45226</v>
      </c>
      <c r="H1096" t="str">
        <f ca="1">IFERROR(__xludf.DUMMYFUNCTION("""COMPUTED_VALUE"""),"Guana river ")</f>
        <v xml:space="preserve">Guana river </v>
      </c>
      <c r="I1096" s="15">
        <f ca="1">IFERROR(__xludf.DUMMYFUNCTION("""COMPUTED_VALUE"""),0.625)</f>
        <v>0.625</v>
      </c>
      <c r="J1096" s="16">
        <f ca="1">IFERROR(__xludf.DUMMYFUNCTION("""COMPUTED_VALUE"""),45226.6458333333)</f>
        <v>45226.645833333299</v>
      </c>
      <c r="K1096" t="str">
        <f ca="1">IFERROR(__xludf.DUMMYFUNCTION("""COMPUTED_VALUE"""),"Jon Boat 1 FL5992RR DEP154045")</f>
        <v>Jon Boat 1 FL5992RR DEP154045</v>
      </c>
      <c r="M1096" t="str">
        <f ca="1">IFERROR(__xludf.DUMMYFUNCTION("""COMPUTED_VALUE"""),"Ford F150 2015 (White) - DEP21448")</f>
        <v>Ford F150 2015 (White) - DEP21448</v>
      </c>
      <c r="N1096" t="str">
        <f ca="1">IFERROR(__xludf.DUMMYFUNCTION("""COMPUTED_VALUE"""),"Hans Prevost, (337) 224-5522")</f>
        <v>Hans Prevost, (337) 224-5522</v>
      </c>
      <c r="O1096" t="str">
        <f ca="1">IFERROR(__xludf.DUMMYFUNCTION("""COMPUTED_VALUE"""),"Monica Maldonaldo ")</f>
        <v xml:space="preserve">Monica Maldonaldo </v>
      </c>
      <c r="P1096" t="str">
        <f ca="1">IFERROR(__xludf.DUMMYFUNCTION("""COMPUTED_VALUE"""),"Hans prevost ")</f>
        <v xml:space="preserve">Hans prevost </v>
      </c>
      <c r="AE1096" s="11"/>
      <c r="AF1096" t="str">
        <v/>
      </c>
      <c r="AG1096" s="18"/>
    </row>
    <row r="1097" spans="1:33" ht="12.75">
      <c r="A1097" s="10">
        <f ca="1">IFERROR(__xludf.DUMMYFUNCTION("""COMPUTED_VALUE"""),45228.3064740162)</f>
        <v>45228.306474016201</v>
      </c>
      <c r="B1097" s="11" t="str">
        <f ca="1">IFERROR(__xludf.DUMMYFUNCTION("""COMPUTED_VALUE"""),"Hans prevost ")</f>
        <v xml:space="preserve">Hans prevost </v>
      </c>
      <c r="C1097" t="str">
        <f ca="1">IFERROR(__xludf.DUMMYFUNCTION("""COMPUTED_VALUE"""),"hans.prevost@floridadep.gov")</f>
        <v>hans.prevost@floridadep.gov</v>
      </c>
      <c r="D1097" t="str">
        <f ca="1">IFERROR(__xludf.DUMMYFUNCTION("""COMPUTED_VALUE"""),"Jacob Berna")</f>
        <v>Jacob Berna</v>
      </c>
      <c r="E1097" t="str">
        <f ca="1">IFERROR(__xludf.DUMMYFUNCTION("""COMPUTED_VALUE"""),"Guana Dam")</f>
        <v>Guana Dam</v>
      </c>
      <c r="F1097" s="13">
        <f ca="1">IFERROR(__xludf.DUMMYFUNCTION("""COMPUTED_VALUE"""),0.3125)</f>
        <v>0.3125</v>
      </c>
      <c r="G1097" s="14">
        <f ca="1">IFERROR(__xludf.DUMMYFUNCTION("""COMPUTED_VALUE"""),45228)</f>
        <v>45228</v>
      </c>
      <c r="H1097" t="str">
        <f ca="1">IFERROR(__xludf.DUMMYFUNCTION("""COMPUTED_VALUE"""),"Guana river oyster reefs ")</f>
        <v xml:space="preserve">Guana river oyster reefs </v>
      </c>
      <c r="I1097" s="15">
        <f ca="1">IFERROR(__xludf.DUMMYFUNCTION("""COMPUTED_VALUE"""),0.75)</f>
        <v>0.75</v>
      </c>
      <c r="J1097" s="16">
        <f ca="1">IFERROR(__xludf.DUMMYFUNCTION("""COMPUTED_VALUE"""),45228.7708333333)</f>
        <v>45228.770833333299</v>
      </c>
      <c r="K1097" t="str">
        <f ca="1">IFERROR(__xludf.DUMMYFUNCTION("""COMPUTED_VALUE"""),"Jon Boat 1 FL5992RR DEP154045")</f>
        <v>Jon Boat 1 FL5992RR DEP154045</v>
      </c>
      <c r="M1097" t="str">
        <f ca="1">IFERROR(__xludf.DUMMYFUNCTION("""COMPUTED_VALUE"""),"Ford F150 2015 (White) - DEP21448")</f>
        <v>Ford F150 2015 (White) - DEP21448</v>
      </c>
      <c r="N1097" t="str">
        <f ca="1">IFERROR(__xludf.DUMMYFUNCTION("""COMPUTED_VALUE"""),"Hans Prevost, (337) 224-5522")</f>
        <v>Hans Prevost, (337) 224-5522</v>
      </c>
      <c r="O1097" t="str">
        <f ca="1">IFERROR(__xludf.DUMMYFUNCTION("""COMPUTED_VALUE"""),"Mercer brugler")</f>
        <v>Mercer brugler</v>
      </c>
      <c r="P1097" t="str">
        <f ca="1">IFERROR(__xludf.DUMMYFUNCTION("""COMPUTED_VALUE"""),"Hans prevost ")</f>
        <v xml:space="preserve">Hans prevost </v>
      </c>
      <c r="AE1097" s="11"/>
      <c r="AF1097" t="str">
        <v/>
      </c>
      <c r="AG1097" s="18"/>
    </row>
    <row r="1098" spans="1:33" ht="12.75">
      <c r="A1098" s="10">
        <f ca="1">IFERROR(__xludf.DUMMYFUNCTION("""COMPUTED_VALUE"""),45228.4031170717)</f>
        <v>45228.403117071699</v>
      </c>
      <c r="B1098" s="11" t="str">
        <f ca="1">IFERROR(__xludf.DUMMYFUNCTION("""COMPUTED_VALUE"""),"Hans prevost ")</f>
        <v xml:space="preserve">Hans prevost </v>
      </c>
      <c r="C1098" t="str">
        <f ca="1">IFERROR(__xludf.DUMMYFUNCTION("""COMPUTED_VALUE"""),"hans.prevost@floridadep.gov")</f>
        <v>hans.prevost@floridadep.gov</v>
      </c>
      <c r="D1098" t="str">
        <f ca="1">IFERROR(__xludf.DUMMYFUNCTION("""COMPUTED_VALUE"""),"Jacob Berna")</f>
        <v>Jacob Berna</v>
      </c>
      <c r="E1098" t="str">
        <f ca="1">IFERROR(__xludf.DUMMYFUNCTION("""COMPUTED_VALUE"""),"Usina Boat Ramp (Aunt Kate's)")</f>
        <v>Usina Boat Ramp (Aunt Kate's)</v>
      </c>
      <c r="F1098" s="13">
        <f ca="1">IFERROR(__xludf.DUMMYFUNCTION("""COMPUTED_VALUE"""),0.40625)</f>
        <v>0.40625</v>
      </c>
      <c r="G1098" s="14">
        <f ca="1">IFERROR(__xludf.DUMMYFUNCTION("""COMPUTED_VALUE"""),45228)</f>
        <v>45228</v>
      </c>
      <c r="H1098" t="str">
        <f ca="1">IFERROR(__xludf.DUMMYFUNCTION("""COMPUTED_VALUE"""),"Guana river ")</f>
        <v xml:space="preserve">Guana river </v>
      </c>
      <c r="I1098" s="15">
        <f ca="1">IFERROR(__xludf.DUMMYFUNCTION("""COMPUTED_VALUE"""),0.5)</f>
        <v>0.5</v>
      </c>
      <c r="J1098" s="16">
        <f ca="1">IFERROR(__xludf.DUMMYFUNCTION("""COMPUTED_VALUE"""),45228.5208333333)</f>
        <v>45228.520833333299</v>
      </c>
      <c r="K1098" t="str">
        <f ca="1">IFERROR(__xludf.DUMMYFUNCTION("""COMPUTED_VALUE"""),"20ft Sea Ark FL5351SJ UNF 2015")</f>
        <v>20ft Sea Ark FL5351SJ UNF 2015</v>
      </c>
      <c r="M1098" t="str">
        <f ca="1">IFERROR(__xludf.DUMMYFUNCTION("""COMPUTED_VALUE"""),"Ford F250 2017 (Moby Dix) - DEP0021578")</f>
        <v>Ford F250 2017 (Moby Dix) - DEP0021578</v>
      </c>
      <c r="N1098" t="str">
        <f ca="1">IFERROR(__xludf.DUMMYFUNCTION("""COMPUTED_VALUE"""),"Nikki Dix, (352) 219-4079")</f>
        <v>Nikki Dix, (352) 219-4079</v>
      </c>
      <c r="O1098" t="str">
        <f ca="1">IFERROR(__xludf.DUMMYFUNCTION("""COMPUTED_VALUE"""),"Alyah Bennett, Matt kimball, Robert Dunn, Shelby Ziegler, Hans prevost ")</f>
        <v xml:space="preserve">Alyah Bennett, Matt kimball, Robert Dunn, Shelby Ziegler, Hans prevost </v>
      </c>
      <c r="P1098" t="str">
        <f ca="1">IFERROR(__xludf.DUMMYFUNCTION("""COMPUTED_VALUE"""),"Nikki dix ")</f>
        <v xml:space="preserve">Nikki dix </v>
      </c>
      <c r="AE1098" s="11"/>
      <c r="AF1098" t="str">
        <v/>
      </c>
      <c r="AG1098" s="18"/>
    </row>
    <row r="1099" spans="1:33" ht="12.75">
      <c r="A1099" s="10">
        <f ca="1">IFERROR(__xludf.DUMMYFUNCTION("""COMPUTED_VALUE"""),45228.6043465625)</f>
        <v>45228.604346562497</v>
      </c>
      <c r="B1099" s="11" t="str">
        <f ca="1">IFERROR(__xludf.DUMMYFUNCTION("""COMPUTED_VALUE"""),"Hans prevost ")</f>
        <v xml:space="preserve">Hans prevost </v>
      </c>
      <c r="C1099" t="str">
        <f ca="1">IFERROR(__xludf.DUMMYFUNCTION("""COMPUTED_VALUE"""),"hans.prevost@floridadep.gov")</f>
        <v>hans.prevost@floridadep.gov</v>
      </c>
      <c r="D1099" t="str">
        <f ca="1">IFERROR(__xludf.DUMMYFUNCTION("""COMPUTED_VALUE"""),"Jacob Berna")</f>
        <v>Jacob Berna</v>
      </c>
      <c r="E1099" t="str">
        <f ca="1">IFERROR(__xludf.DUMMYFUNCTION("""COMPUTED_VALUE"""),"Vilano Boat Ramp")</f>
        <v>Vilano Boat Ramp</v>
      </c>
      <c r="F1099" s="13">
        <f ca="1">IFERROR(__xludf.DUMMYFUNCTION("""COMPUTED_VALUE"""),0.604166666667879)</f>
        <v>0.60416666666787899</v>
      </c>
      <c r="G1099" s="14">
        <f ca="1">IFERROR(__xludf.DUMMYFUNCTION("""COMPUTED_VALUE"""),45228)</f>
        <v>45228</v>
      </c>
      <c r="H1099" t="str">
        <f ca="1">IFERROR(__xludf.DUMMYFUNCTION("""COMPUTED_VALUE"""),"GuaNa river ")</f>
        <v xml:space="preserve">GuaNa river </v>
      </c>
      <c r="I1099" s="15">
        <f ca="1">IFERROR(__xludf.DUMMYFUNCTION("""COMPUTED_VALUE"""),0.75)</f>
        <v>0.75</v>
      </c>
      <c r="J1099" s="16">
        <f ca="1">IFERROR(__xludf.DUMMYFUNCTION("""COMPUTED_VALUE"""),45228.75)</f>
        <v>45228.75</v>
      </c>
      <c r="K1099" t="str">
        <f ca="1">IFERROR(__xludf.DUMMYFUNCTION("""COMPUTED_VALUE"""),"20ft Sea Ark FL5351SJ UNF 2015")</f>
        <v>20ft Sea Ark FL5351SJ UNF 2015</v>
      </c>
      <c r="M1099" t="str">
        <f ca="1">IFERROR(__xludf.DUMMYFUNCTION("""COMPUTED_VALUE"""),"Ford F250 2017 (Moby Dix) - DEP0021578")</f>
        <v>Ford F250 2017 (Moby Dix) - DEP0021578</v>
      </c>
      <c r="N1099" t="str">
        <f ca="1">IFERROR(__xludf.DUMMYFUNCTION("""COMPUTED_VALUE"""),"Nikki Dix, (352) 219-4079")</f>
        <v>Nikki Dix, (352) 219-4079</v>
      </c>
      <c r="O1099" t="str">
        <f ca="1">IFERROR(__xludf.DUMMYFUNCTION("""COMPUTED_VALUE"""),"Shelby Ziegler, Alyah Bennett, Hans prevost, Robert Dunn, Matt kimball")</f>
        <v>Shelby Ziegler, Alyah Bennett, Hans prevost, Robert Dunn, Matt kimball</v>
      </c>
      <c r="P1099" t="str">
        <f ca="1">IFERROR(__xludf.DUMMYFUNCTION("""COMPUTED_VALUE"""),"Nikki dix ")</f>
        <v xml:space="preserve">Nikki dix </v>
      </c>
      <c r="AE1099" s="11"/>
      <c r="AF1099" t="str">
        <v/>
      </c>
      <c r="AG1099" s="18"/>
    </row>
    <row r="1100" spans="1:33" ht="12.75">
      <c r="A1100" s="10">
        <f ca="1">IFERROR(__xludf.DUMMYFUNCTION("""COMPUTED_VALUE"""),45229.4582618055)</f>
        <v>45229.458261805499</v>
      </c>
      <c r="B1100" s="11" t="str">
        <f ca="1">IFERROR(__xludf.DUMMYFUNCTION("""COMPUTED_VALUE"""),"Hans prevost ")</f>
        <v xml:space="preserve">Hans prevost </v>
      </c>
      <c r="C1100" t="str">
        <f ca="1">IFERROR(__xludf.DUMMYFUNCTION("""COMPUTED_VALUE"""),"hans.prevost@floridadep.gov")</f>
        <v>hans.prevost@floridadep.gov</v>
      </c>
      <c r="D1100" t="str">
        <f ca="1">IFERROR(__xludf.DUMMYFUNCTION("""COMPUTED_VALUE"""),"Jacob Berna")</f>
        <v>Jacob Berna</v>
      </c>
      <c r="E1100" t="str">
        <f ca="1">IFERROR(__xludf.DUMMYFUNCTION("""COMPUTED_VALUE"""),"Guana Dam")</f>
        <v>Guana Dam</v>
      </c>
      <c r="F1100" s="13">
        <f ca="1">IFERROR(__xludf.DUMMYFUNCTION("""COMPUTED_VALUE"""),0.4375)</f>
        <v>0.4375</v>
      </c>
      <c r="G1100" s="14">
        <f ca="1">IFERROR(__xludf.DUMMYFUNCTION("""COMPUTED_VALUE"""),45229)</f>
        <v>45229</v>
      </c>
      <c r="H1100" t="str">
        <f ca="1">IFERROR(__xludf.DUMMYFUNCTION("""COMPUTED_VALUE"""),"Guana river ")</f>
        <v xml:space="preserve">Guana river </v>
      </c>
      <c r="I1100" s="15">
        <f ca="1">IFERROR(__xludf.DUMMYFUNCTION("""COMPUTED_VALUE"""),0.5)</f>
        <v>0.5</v>
      </c>
      <c r="J1100" s="16">
        <f ca="1">IFERROR(__xludf.DUMMYFUNCTION("""COMPUTED_VALUE"""),45229.5208333333)</f>
        <v>45229.520833333299</v>
      </c>
      <c r="K1100" t="str">
        <f ca="1">IFERROR(__xludf.DUMMYFUNCTION("""COMPUTED_VALUE"""),"Jon Boat 1 FL5992RR DEP154045")</f>
        <v>Jon Boat 1 FL5992RR DEP154045</v>
      </c>
      <c r="M1100" t="str">
        <f ca="1">IFERROR(__xludf.DUMMYFUNCTION("""COMPUTED_VALUE"""),"Ford F150 2015 (White) - DEP21448")</f>
        <v>Ford F150 2015 (White) - DEP21448</v>
      </c>
      <c r="N1100" t="str">
        <f ca="1">IFERROR(__xludf.DUMMYFUNCTION("""COMPUTED_VALUE"""),"Hans Prevost, (337) 224-5522")</f>
        <v>Hans Prevost, (337) 224-5522</v>
      </c>
      <c r="O1100" t="str">
        <f ca="1">IFERROR(__xludf.DUMMYFUNCTION("""COMPUTED_VALUE"""),"Robert sun")</f>
        <v>Robert sun</v>
      </c>
      <c r="P1100" t="str">
        <f ca="1">IFERROR(__xludf.DUMMYFUNCTION("""COMPUTED_VALUE"""),"Hans prevost ")</f>
        <v xml:space="preserve">Hans prevost </v>
      </c>
      <c r="AE1100" s="11"/>
      <c r="AF1100" t="str">
        <v/>
      </c>
      <c r="AG1100" s="18"/>
    </row>
    <row r="1101" spans="1:33" ht="12.75">
      <c r="A1101" s="10">
        <f ca="1">IFERROR(__xludf.DUMMYFUNCTION("""COMPUTED_VALUE"""),45229.6312631828)</f>
        <v>45229.631263182797</v>
      </c>
      <c r="B1101" s="11" t="str">
        <f ca="1">IFERROR(__xludf.DUMMYFUNCTION("""COMPUTED_VALUE"""),"Hans prevost ")</f>
        <v xml:space="preserve">Hans prevost </v>
      </c>
      <c r="C1101" t="str">
        <f ca="1">IFERROR(__xludf.DUMMYFUNCTION("""COMPUTED_VALUE"""),"hans.prevost@floridadep.gov")</f>
        <v>hans.prevost@floridadep.gov</v>
      </c>
      <c r="D1101" t="str">
        <f ca="1">IFERROR(__xludf.DUMMYFUNCTION("""COMPUTED_VALUE"""),"Blythe Odzinski")</f>
        <v>Blythe Odzinski</v>
      </c>
      <c r="E1101" t="str">
        <f ca="1">IFERROR(__xludf.DUMMYFUNCTION("""COMPUTED_VALUE"""),"Usina Boat Ramp (Aunt Kate's)")</f>
        <v>Usina Boat Ramp (Aunt Kate's)</v>
      </c>
      <c r="F1101" s="13">
        <f ca="1">IFERROR(__xludf.DUMMYFUNCTION("""COMPUTED_VALUE"""),0.64583333333212)</f>
        <v>0.64583333333212001</v>
      </c>
      <c r="G1101" s="14">
        <f ca="1">IFERROR(__xludf.DUMMYFUNCTION("""COMPUTED_VALUE"""),45229)</f>
        <v>45229</v>
      </c>
      <c r="H1101" t="str">
        <f ca="1">IFERROR(__xludf.DUMMYFUNCTION("""COMPUTED_VALUE"""),"Guana River ")</f>
        <v xml:space="preserve">Guana River </v>
      </c>
      <c r="I1101" s="15">
        <f ca="1">IFERROR(__xludf.DUMMYFUNCTION("""COMPUTED_VALUE"""),0.791666666667879)</f>
        <v>0.79166666666787899</v>
      </c>
      <c r="J1101" s="16">
        <f ca="1">IFERROR(__xludf.DUMMYFUNCTION("""COMPUTED_VALUE"""),45229.7916666666)</f>
        <v>45229.791666666599</v>
      </c>
      <c r="K1101" t="str">
        <f ca="1">IFERROR(__xludf.DUMMYFUNCTION("""COMPUTED_VALUE"""),"20ft Sea Ark FL5351SJ UNF 2015")</f>
        <v>20ft Sea Ark FL5351SJ UNF 2015</v>
      </c>
      <c r="M1101" t="str">
        <f ca="1">IFERROR(__xludf.DUMMYFUNCTION("""COMPUTED_VALUE"""),"Ford F250 2017 (Moby Dix) - DEP0021578")</f>
        <v>Ford F250 2017 (Moby Dix) - DEP0021578</v>
      </c>
      <c r="N1101" t="str">
        <f ca="1">IFERROR(__xludf.DUMMYFUNCTION("""COMPUTED_VALUE"""),"Jacob Berna, (904) 392-1966")</f>
        <v>Jacob Berna, (904) 392-1966</v>
      </c>
      <c r="O1101" t="str">
        <f ca="1">IFERROR(__xludf.DUMMYFUNCTION("""COMPUTED_VALUE"""),"Hans Prevost, Nikki Dix, Robert Dunn, Matt Kimball, Shelby Zeigler ")</f>
        <v xml:space="preserve">Hans Prevost, Nikki Dix, Robert Dunn, Matt Kimball, Shelby Zeigler </v>
      </c>
      <c r="P1101" t="str">
        <f ca="1">IFERROR(__xludf.DUMMYFUNCTION("""COMPUTED_VALUE"""),"Jacob Berna ")</f>
        <v xml:space="preserve">Jacob Berna </v>
      </c>
      <c r="AE1101" s="11"/>
      <c r="AF1101" t="str">
        <v/>
      </c>
      <c r="AG1101" s="18"/>
    </row>
    <row r="1102" spans="1:33" ht="12.75">
      <c r="A1102" s="10"/>
      <c r="B1102" s="11"/>
      <c r="F1102" s="13"/>
      <c r="G1102" s="14"/>
      <c r="I1102" s="15"/>
      <c r="J1102" s="16"/>
      <c r="AE1102" s="11"/>
      <c r="AF1102" t="b">
        <v>0</v>
      </c>
      <c r="AG1102" s="18"/>
    </row>
    <row r="1103" spans="1:33" ht="12.75">
      <c r="A1103" s="10"/>
      <c r="B1103" s="11"/>
      <c r="F1103" s="13"/>
      <c r="G1103" s="14"/>
      <c r="I1103" s="15"/>
      <c r="J1103" s="16"/>
      <c r="AE1103" s="11"/>
      <c r="AF1103" t="b">
        <v>0</v>
      </c>
      <c r="AG1103" s="18"/>
    </row>
    <row r="1104" spans="1:33" ht="12.75">
      <c r="A1104" s="10"/>
      <c r="B1104" s="11"/>
      <c r="F1104" s="13"/>
      <c r="G1104" s="14"/>
      <c r="I1104" s="15"/>
      <c r="J1104" s="16"/>
      <c r="AE1104" s="11"/>
      <c r="AF1104" t="b">
        <v>0</v>
      </c>
      <c r="AG1104" s="18"/>
    </row>
    <row r="1105" spans="1:33" ht="12.75">
      <c r="A1105" s="10"/>
      <c r="B1105" s="11"/>
      <c r="F1105" s="13"/>
      <c r="G1105" s="14"/>
      <c r="I1105" s="15"/>
      <c r="J1105" s="16"/>
      <c r="AE1105" s="11"/>
      <c r="AF1105" t="b">
        <v>0</v>
      </c>
      <c r="AG1105" s="18"/>
    </row>
    <row r="1106" spans="1:33" ht="12.75">
      <c r="A1106" s="10"/>
      <c r="B1106" s="11"/>
      <c r="F1106" s="13"/>
      <c r="G1106" s="14"/>
      <c r="I1106" s="15"/>
      <c r="J1106" s="16"/>
      <c r="AE1106" s="11"/>
      <c r="AF1106" t="b">
        <v>0</v>
      </c>
      <c r="AG1106" s="18"/>
    </row>
    <row r="1107" spans="1:33" ht="12.75">
      <c r="A1107" s="10"/>
      <c r="B1107" s="11"/>
      <c r="F1107" s="13"/>
      <c r="G1107" s="14"/>
      <c r="I1107" s="15"/>
      <c r="J1107" s="16"/>
      <c r="AE1107" s="11"/>
      <c r="AF1107" t="b">
        <v>0</v>
      </c>
      <c r="AG1107" s="18"/>
    </row>
    <row r="1108" spans="1:33" ht="12.75">
      <c r="A1108" s="10"/>
      <c r="B1108" s="11"/>
      <c r="F1108" s="13"/>
      <c r="G1108" s="14"/>
      <c r="I1108" s="15"/>
      <c r="J1108" s="16"/>
      <c r="AE1108" s="11"/>
      <c r="AF1108" t="b">
        <v>0</v>
      </c>
      <c r="AG1108" s="18"/>
    </row>
    <row r="1109" spans="1:33" ht="12.75">
      <c r="A1109" s="10"/>
      <c r="B1109" s="11"/>
      <c r="F1109" s="13"/>
      <c r="G1109" s="14"/>
      <c r="I1109" s="15"/>
      <c r="J1109" s="16"/>
      <c r="AE1109" s="11"/>
      <c r="AF1109" t="b">
        <v>0</v>
      </c>
      <c r="AG1109" s="18"/>
    </row>
    <row r="1110" spans="1:33" ht="12.75">
      <c r="A1110" s="10"/>
      <c r="B1110" s="11"/>
      <c r="F1110" s="13"/>
      <c r="G1110" s="14"/>
      <c r="I1110" s="15"/>
      <c r="J1110" s="16"/>
      <c r="AE1110" s="11"/>
      <c r="AF1110" t="b">
        <v>0</v>
      </c>
      <c r="AG1110" s="18"/>
    </row>
    <row r="1111" spans="1:33" ht="12.75">
      <c r="A1111" s="10"/>
      <c r="B1111" s="11"/>
      <c r="F1111" s="13"/>
      <c r="G1111" s="14"/>
      <c r="I1111" s="15"/>
      <c r="J1111" s="16"/>
      <c r="AE1111" s="11"/>
      <c r="AF1111" t="b">
        <v>0</v>
      </c>
      <c r="AG1111" s="18"/>
    </row>
    <row r="1112" spans="1:33" ht="12.75">
      <c r="A1112" s="10"/>
      <c r="B1112" s="11"/>
      <c r="F1112" s="13"/>
      <c r="G1112" s="14"/>
      <c r="I1112" s="15"/>
      <c r="J1112" s="16"/>
      <c r="AE1112" s="11"/>
      <c r="AF1112" t="b">
        <v>0</v>
      </c>
      <c r="AG1112" s="18"/>
    </row>
    <row r="1113" spans="1:33" ht="12.75">
      <c r="A1113" s="10"/>
      <c r="B1113" s="11"/>
      <c r="F1113" s="13"/>
      <c r="G1113" s="14"/>
      <c r="I1113" s="15"/>
      <c r="J1113" s="16"/>
      <c r="AE1113" s="11"/>
      <c r="AF1113" t="b">
        <v>0</v>
      </c>
      <c r="AG1113" s="18"/>
    </row>
    <row r="1114" spans="1:33" ht="12.75">
      <c r="A1114" s="10"/>
      <c r="B1114" s="11"/>
      <c r="F1114" s="13"/>
      <c r="G1114" s="14"/>
      <c r="I1114" s="15"/>
      <c r="J1114" s="16"/>
      <c r="AE1114" s="11"/>
      <c r="AF1114" t="b">
        <v>0</v>
      </c>
      <c r="AG1114" s="18"/>
    </row>
    <row r="1115" spans="1:33" ht="12.75">
      <c r="A1115" s="10"/>
      <c r="B1115" s="11"/>
      <c r="F1115" s="13"/>
      <c r="G1115" s="14"/>
      <c r="I1115" s="15"/>
      <c r="J1115" s="16"/>
      <c r="AE1115" s="11"/>
      <c r="AF1115" t="b">
        <v>0</v>
      </c>
      <c r="AG1115" s="18"/>
    </row>
    <row r="1116" spans="1:33" ht="12.75">
      <c r="A1116" s="10"/>
      <c r="B1116" s="11"/>
      <c r="F1116" s="13"/>
      <c r="G1116" s="14"/>
      <c r="I1116" s="15"/>
      <c r="J1116" s="16"/>
      <c r="AE1116" s="11"/>
      <c r="AF1116" t="b">
        <v>0</v>
      </c>
      <c r="AG1116" s="18"/>
    </row>
    <row r="1117" spans="1:33" ht="12.75">
      <c r="A1117" s="10"/>
      <c r="B1117" s="11"/>
      <c r="F1117" s="13"/>
      <c r="G1117" s="14"/>
      <c r="I1117" s="15"/>
      <c r="J1117" s="16"/>
      <c r="AE1117" s="11"/>
      <c r="AF1117" t="b">
        <v>0</v>
      </c>
      <c r="AG1117" s="18"/>
    </row>
    <row r="1118" spans="1:33" ht="12.75">
      <c r="A1118" s="10"/>
      <c r="B1118" s="11"/>
      <c r="F1118" s="13"/>
      <c r="G1118" s="14"/>
      <c r="I1118" s="15"/>
      <c r="J1118" s="16"/>
      <c r="AE1118" s="11"/>
      <c r="AF1118" t="b">
        <v>0</v>
      </c>
      <c r="AG1118" s="18"/>
    </row>
    <row r="1119" spans="1:33" ht="12.75">
      <c r="A1119" s="10"/>
      <c r="B1119" s="11"/>
      <c r="F1119" s="13"/>
      <c r="G1119" s="14"/>
      <c r="I1119" s="15"/>
      <c r="J1119" s="16"/>
      <c r="AE1119" s="11"/>
      <c r="AF1119" t="b">
        <v>0</v>
      </c>
      <c r="AG1119" s="18"/>
    </row>
    <row r="1120" spans="1:33" ht="12.75">
      <c r="A1120" s="10"/>
      <c r="B1120" s="11"/>
      <c r="F1120" s="13"/>
      <c r="G1120" s="14"/>
      <c r="I1120" s="15"/>
      <c r="J1120" s="16"/>
      <c r="AE1120" s="11"/>
      <c r="AF1120" t="b">
        <v>0</v>
      </c>
      <c r="AG1120" s="18"/>
    </row>
    <row r="1121" spans="1:33" ht="12.75">
      <c r="A1121" s="10"/>
      <c r="B1121" s="11"/>
      <c r="F1121" s="13"/>
      <c r="G1121" s="14"/>
      <c r="I1121" s="15"/>
      <c r="J1121" s="16"/>
      <c r="AE1121" s="11"/>
      <c r="AF1121" t="b">
        <v>0</v>
      </c>
      <c r="AG1121" s="18"/>
    </row>
    <row r="1122" spans="1:33" ht="12.75">
      <c r="A1122" s="10"/>
      <c r="B1122" s="11"/>
      <c r="F1122" s="13"/>
      <c r="G1122" s="14"/>
      <c r="I1122" s="15"/>
      <c r="J1122" s="16"/>
      <c r="AE1122" s="11"/>
      <c r="AF1122" t="b">
        <v>0</v>
      </c>
      <c r="AG1122" s="18"/>
    </row>
    <row r="1123" spans="1:33" ht="12.75">
      <c r="A1123" s="10"/>
      <c r="B1123" s="11"/>
      <c r="F1123" s="13"/>
      <c r="G1123" s="14"/>
      <c r="I1123" s="15"/>
      <c r="J1123" s="16"/>
      <c r="AE1123" s="11"/>
      <c r="AF1123" t="b">
        <v>0</v>
      </c>
      <c r="AG1123" s="18"/>
    </row>
    <row r="1124" spans="1:33" ht="12.75">
      <c r="A1124" s="10"/>
      <c r="B1124" s="11"/>
      <c r="F1124" s="13"/>
      <c r="G1124" s="14"/>
      <c r="I1124" s="15"/>
      <c r="J1124" s="16"/>
      <c r="AE1124" s="11"/>
      <c r="AF1124" t="b">
        <v>0</v>
      </c>
      <c r="AG1124" s="18"/>
    </row>
    <row r="1125" spans="1:33" ht="12.75">
      <c r="A1125" s="10"/>
      <c r="B1125" s="11"/>
      <c r="F1125" s="13"/>
      <c r="G1125" s="14"/>
      <c r="I1125" s="15"/>
      <c r="J1125" s="16"/>
      <c r="AE1125" s="11"/>
      <c r="AF1125" t="b">
        <v>0</v>
      </c>
      <c r="AG1125" s="18"/>
    </row>
    <row r="1126" spans="1:33" ht="12.75">
      <c r="A1126" s="10"/>
      <c r="B1126" s="11"/>
      <c r="F1126" s="13"/>
      <c r="G1126" s="14"/>
      <c r="I1126" s="15"/>
      <c r="J1126" s="16"/>
      <c r="AE1126" s="11"/>
      <c r="AF1126" t="b">
        <v>0</v>
      </c>
      <c r="AG1126" s="18"/>
    </row>
    <row r="1127" spans="1:33" ht="12.75">
      <c r="A1127" s="10"/>
      <c r="B1127" s="11"/>
      <c r="F1127" s="13"/>
      <c r="G1127" s="14"/>
      <c r="I1127" s="15"/>
      <c r="J1127" s="16"/>
      <c r="AE1127" s="11"/>
      <c r="AF1127" t="b">
        <v>0</v>
      </c>
      <c r="AG1127" s="18"/>
    </row>
    <row r="1128" spans="1:33" ht="12.75">
      <c r="A1128" s="10"/>
      <c r="B1128" s="11"/>
      <c r="F1128" s="13"/>
      <c r="G1128" s="14"/>
      <c r="I1128" s="15"/>
      <c r="J1128" s="16"/>
      <c r="AE1128" s="11"/>
      <c r="AF1128" t="b">
        <v>0</v>
      </c>
      <c r="AG1128" s="18"/>
    </row>
    <row r="1129" spans="1:33" ht="12.75">
      <c r="A1129" s="10"/>
      <c r="B1129" s="11"/>
      <c r="F1129" s="13"/>
      <c r="G1129" s="14"/>
      <c r="I1129" s="15"/>
      <c r="J1129" s="16"/>
      <c r="AE1129" s="11"/>
      <c r="AF1129" t="b">
        <v>0</v>
      </c>
      <c r="AG1129" s="18"/>
    </row>
    <row r="1130" spans="1:33" ht="12.75">
      <c r="A1130" s="10"/>
      <c r="B1130" s="11"/>
      <c r="F1130" s="13"/>
      <c r="G1130" s="14"/>
      <c r="I1130" s="15"/>
      <c r="J1130" s="16"/>
      <c r="AE1130" s="11"/>
      <c r="AF1130" t="b">
        <v>0</v>
      </c>
      <c r="AG1130" s="18"/>
    </row>
    <row r="1131" spans="1:33" ht="12.75">
      <c r="A1131" s="10"/>
      <c r="B1131" s="11"/>
      <c r="F1131" s="13"/>
      <c r="G1131" s="14"/>
      <c r="I1131" s="15"/>
      <c r="J1131" s="16"/>
      <c r="AE1131" s="11"/>
      <c r="AF1131" t="b">
        <v>0</v>
      </c>
      <c r="AG1131" s="18"/>
    </row>
    <row r="1132" spans="1:33" ht="12.75">
      <c r="A1132" s="10"/>
      <c r="B1132" s="11"/>
      <c r="F1132" s="13"/>
      <c r="G1132" s="14"/>
      <c r="I1132" s="15"/>
      <c r="J1132" s="16"/>
      <c r="AE1132" s="11"/>
      <c r="AF1132" t="b">
        <v>0</v>
      </c>
      <c r="AG1132" s="18"/>
    </row>
    <row r="1133" spans="1:33" ht="12.75">
      <c r="A1133" s="10"/>
      <c r="B1133" s="11"/>
      <c r="F1133" s="13"/>
      <c r="G1133" s="14"/>
      <c r="I1133" s="15"/>
      <c r="J1133" s="16"/>
      <c r="AE1133" s="11"/>
      <c r="AF1133" t="b">
        <v>0</v>
      </c>
      <c r="AG1133" s="18"/>
    </row>
    <row r="1134" spans="1:33" ht="12.75">
      <c r="A1134" s="10"/>
      <c r="B1134" s="11"/>
      <c r="F1134" s="13"/>
      <c r="G1134" s="14"/>
      <c r="I1134" s="15"/>
      <c r="J1134" s="16"/>
      <c r="AE1134" s="11"/>
      <c r="AF1134" t="b">
        <v>0</v>
      </c>
      <c r="AG1134" s="18"/>
    </row>
    <row r="1135" spans="1:33" ht="12.75">
      <c r="A1135" s="10"/>
      <c r="B1135" s="11"/>
      <c r="F1135" s="13"/>
      <c r="G1135" s="14"/>
      <c r="I1135" s="15"/>
      <c r="J1135" s="16"/>
      <c r="AE1135" s="11"/>
      <c r="AF1135" t="b">
        <v>0</v>
      </c>
      <c r="AG1135" s="18"/>
    </row>
    <row r="1136" spans="1:33" ht="12.75">
      <c r="A1136" s="10"/>
      <c r="B1136" s="11"/>
      <c r="F1136" s="13"/>
      <c r="G1136" s="14"/>
      <c r="I1136" s="15"/>
      <c r="J1136" s="16"/>
      <c r="AE1136" s="11"/>
      <c r="AF1136" t="b">
        <v>0</v>
      </c>
      <c r="AG1136" s="18"/>
    </row>
    <row r="1137" spans="1:33" ht="12.75">
      <c r="A1137" s="10"/>
      <c r="B1137" s="11"/>
      <c r="F1137" s="13"/>
      <c r="G1137" s="14"/>
      <c r="I1137" s="15"/>
      <c r="J1137" s="16"/>
      <c r="AE1137" s="11"/>
      <c r="AF1137" t="b">
        <v>0</v>
      </c>
      <c r="AG1137" s="18"/>
    </row>
    <row r="1138" spans="1:33" ht="12.75">
      <c r="A1138" s="10"/>
      <c r="B1138" s="11"/>
      <c r="F1138" s="13"/>
      <c r="G1138" s="14"/>
      <c r="I1138" s="15"/>
      <c r="J1138" s="16"/>
      <c r="AE1138" s="11"/>
      <c r="AF1138" t="b">
        <v>0</v>
      </c>
      <c r="AG1138" s="18"/>
    </row>
    <row r="1139" spans="1:33" ht="12.75">
      <c r="A1139" s="10"/>
      <c r="B1139" s="11"/>
      <c r="F1139" s="13"/>
      <c r="G1139" s="14"/>
      <c r="I1139" s="15"/>
      <c r="J1139" s="16"/>
      <c r="AE1139" s="11"/>
      <c r="AF1139" t="b">
        <v>0</v>
      </c>
      <c r="AG1139" s="18"/>
    </row>
    <row r="1140" spans="1:33" ht="12.75">
      <c r="A1140" s="10"/>
      <c r="B1140" s="11"/>
      <c r="F1140" s="13"/>
      <c r="G1140" s="14"/>
      <c r="I1140" s="15"/>
      <c r="J1140" s="16"/>
      <c r="AE1140" s="11"/>
      <c r="AF1140" t="b">
        <v>0</v>
      </c>
      <c r="AG1140" s="18"/>
    </row>
    <row r="1141" spans="1:33" ht="12.75">
      <c r="A1141" s="10"/>
      <c r="B1141" s="11"/>
      <c r="F1141" s="13"/>
      <c r="G1141" s="14"/>
      <c r="I1141" s="15"/>
      <c r="J1141" s="16"/>
      <c r="AE1141" s="11"/>
      <c r="AF1141" t="b">
        <v>0</v>
      </c>
      <c r="AG1141" s="18"/>
    </row>
    <row r="1142" spans="1:33" ht="12.75">
      <c r="A1142" s="10"/>
      <c r="B1142" s="11"/>
      <c r="F1142" s="13"/>
      <c r="G1142" s="14"/>
      <c r="I1142" s="15"/>
      <c r="J1142" s="16"/>
      <c r="AE1142" s="11"/>
      <c r="AF1142" t="b">
        <v>0</v>
      </c>
      <c r="AG1142" s="18"/>
    </row>
    <row r="1143" spans="1:33" ht="12.75">
      <c r="A1143" s="10"/>
      <c r="B1143" s="11"/>
      <c r="F1143" s="13"/>
      <c r="G1143" s="14"/>
      <c r="I1143" s="15"/>
      <c r="J1143" s="16"/>
      <c r="AE1143" s="11"/>
      <c r="AF1143" t="b">
        <v>0</v>
      </c>
      <c r="AG1143" s="18"/>
    </row>
    <row r="1144" spans="1:33" ht="12.75">
      <c r="A1144" s="10"/>
      <c r="B1144" s="11"/>
      <c r="F1144" s="13"/>
      <c r="G1144" s="14"/>
      <c r="I1144" s="15"/>
      <c r="J1144" s="16"/>
      <c r="AE1144" s="11"/>
      <c r="AF1144" t="b">
        <v>0</v>
      </c>
      <c r="AG1144" s="18"/>
    </row>
    <row r="1145" spans="1:33" ht="12.75">
      <c r="A1145" s="10"/>
      <c r="B1145" s="11"/>
      <c r="F1145" s="13"/>
      <c r="G1145" s="14"/>
      <c r="I1145" s="15"/>
      <c r="J1145" s="16"/>
      <c r="AE1145" s="11"/>
      <c r="AF1145" t="b">
        <v>0</v>
      </c>
      <c r="AG1145" s="18"/>
    </row>
    <row r="1146" spans="1:33" ht="12.75">
      <c r="A1146" s="10"/>
      <c r="B1146" s="11"/>
      <c r="F1146" s="13"/>
      <c r="G1146" s="14"/>
      <c r="I1146" s="15"/>
      <c r="J1146" s="16"/>
      <c r="AE1146" s="11"/>
      <c r="AF1146" t="b">
        <v>0</v>
      </c>
      <c r="AG1146" s="18"/>
    </row>
    <row r="1147" spans="1:33" ht="12.75">
      <c r="A1147" s="10"/>
      <c r="B1147" s="11"/>
      <c r="F1147" s="13"/>
      <c r="G1147" s="14"/>
      <c r="I1147" s="15"/>
      <c r="J1147" s="16"/>
      <c r="AE1147" s="11"/>
      <c r="AF1147" t="b">
        <v>0</v>
      </c>
      <c r="AG1147" s="18"/>
    </row>
    <row r="1148" spans="1:33" ht="12.75">
      <c r="A1148" s="10"/>
      <c r="B1148" s="11"/>
      <c r="F1148" s="13"/>
      <c r="G1148" s="14"/>
      <c r="I1148" s="15"/>
      <c r="J1148" s="16"/>
      <c r="AE1148" s="11"/>
      <c r="AF1148" t="b">
        <v>0</v>
      </c>
      <c r="AG1148" s="18"/>
    </row>
    <row r="1149" spans="1:33" ht="12.75">
      <c r="A1149" s="10"/>
      <c r="B1149" s="11"/>
      <c r="F1149" s="13"/>
      <c r="G1149" s="14"/>
      <c r="I1149" s="15"/>
      <c r="J1149" s="16"/>
      <c r="AE1149" s="11"/>
      <c r="AF1149" t="b">
        <v>0</v>
      </c>
      <c r="AG1149" s="18"/>
    </row>
    <row r="1150" spans="1:33" ht="12.75">
      <c r="A1150" s="10"/>
      <c r="B1150" s="11"/>
      <c r="F1150" s="13"/>
      <c r="G1150" s="14"/>
      <c r="I1150" s="15"/>
      <c r="J1150" s="16"/>
      <c r="AE1150" s="11"/>
      <c r="AF1150" t="b">
        <v>0</v>
      </c>
      <c r="AG1150" s="18"/>
    </row>
    <row r="1151" spans="1:33" ht="12.75">
      <c r="A1151" s="10"/>
      <c r="B1151" s="11"/>
      <c r="F1151" s="13"/>
      <c r="G1151" s="14"/>
      <c r="I1151" s="15"/>
      <c r="J1151" s="16"/>
      <c r="AE1151" s="11"/>
      <c r="AF1151" t="b">
        <v>0</v>
      </c>
      <c r="AG1151" s="18"/>
    </row>
    <row r="1152" spans="1:33" ht="12.75">
      <c r="A1152" s="10"/>
      <c r="B1152" s="11"/>
      <c r="F1152" s="13"/>
      <c r="G1152" s="14"/>
      <c r="I1152" s="15"/>
      <c r="J1152" s="16"/>
      <c r="AE1152" s="11"/>
      <c r="AF1152" t="b">
        <v>0</v>
      </c>
      <c r="AG1152" s="18"/>
    </row>
    <row r="1153" spans="1:33" ht="12.75">
      <c r="A1153" s="10"/>
      <c r="B1153" s="11"/>
      <c r="F1153" s="13"/>
      <c r="G1153" s="14"/>
      <c r="I1153" s="15"/>
      <c r="J1153" s="16"/>
      <c r="AE1153" s="11"/>
      <c r="AF1153" t="b">
        <v>0</v>
      </c>
      <c r="AG1153" s="18"/>
    </row>
    <row r="1154" spans="1:33" ht="12.75">
      <c r="A1154" s="10"/>
      <c r="B1154" s="11"/>
      <c r="F1154" s="13"/>
      <c r="G1154" s="14"/>
      <c r="I1154" s="15"/>
      <c r="J1154" s="16"/>
      <c r="AE1154" s="11"/>
      <c r="AF1154" t="b">
        <v>0</v>
      </c>
      <c r="AG1154" s="18"/>
    </row>
    <row r="1155" spans="1:33" ht="12.75">
      <c r="A1155" s="10"/>
      <c r="B1155" s="11"/>
      <c r="F1155" s="13"/>
      <c r="G1155" s="14"/>
      <c r="I1155" s="15"/>
      <c r="J1155" s="16"/>
      <c r="AE1155" s="11"/>
      <c r="AF1155" t="b">
        <v>0</v>
      </c>
      <c r="AG1155" s="18"/>
    </row>
    <row r="1156" spans="1:33" ht="12.75">
      <c r="A1156" s="10"/>
      <c r="B1156" s="11"/>
      <c r="F1156" s="13"/>
      <c r="G1156" s="14"/>
      <c r="I1156" s="15"/>
      <c r="J1156" s="16"/>
      <c r="AE1156" s="11"/>
      <c r="AF1156" t="b">
        <v>0</v>
      </c>
      <c r="AG1156" s="18"/>
    </row>
    <row r="1157" spans="1:33" ht="12.75">
      <c r="A1157" s="10"/>
      <c r="B1157" s="11"/>
      <c r="F1157" s="13"/>
      <c r="G1157" s="14"/>
      <c r="I1157" s="15"/>
      <c r="J1157" s="16"/>
      <c r="AE1157" s="11"/>
      <c r="AF1157" t="b">
        <v>0</v>
      </c>
      <c r="AG1157" s="18"/>
    </row>
    <row r="1158" spans="1:33" ht="12.75">
      <c r="A1158" s="10"/>
      <c r="B1158" s="11"/>
      <c r="F1158" s="13"/>
      <c r="G1158" s="14"/>
      <c r="I1158" s="15"/>
      <c r="J1158" s="16"/>
      <c r="AE1158" s="11"/>
      <c r="AF1158" t="b">
        <v>0</v>
      </c>
      <c r="AG1158" s="18"/>
    </row>
    <row r="1159" spans="1:33" ht="12.75">
      <c r="A1159" s="10"/>
      <c r="B1159" s="11"/>
      <c r="F1159" s="13"/>
      <c r="G1159" s="14"/>
      <c r="I1159" s="15"/>
      <c r="J1159" s="16"/>
      <c r="AE1159" s="11"/>
      <c r="AF1159" t="b">
        <v>0</v>
      </c>
      <c r="AG1159" s="18"/>
    </row>
    <row r="1160" spans="1:33" ht="12.75">
      <c r="A1160" s="10"/>
      <c r="B1160" s="11"/>
      <c r="F1160" s="13"/>
      <c r="G1160" s="14"/>
      <c r="I1160" s="15"/>
      <c r="J1160" s="16"/>
      <c r="AE1160" s="11"/>
      <c r="AF1160" t="b">
        <v>0</v>
      </c>
      <c r="AG1160" s="18"/>
    </row>
    <row r="1161" spans="1:33" ht="12.75">
      <c r="A1161" s="10"/>
      <c r="B1161" s="11"/>
      <c r="F1161" s="13"/>
      <c r="G1161" s="14"/>
      <c r="I1161" s="15"/>
      <c r="J1161" s="16"/>
      <c r="AE1161" s="11"/>
      <c r="AF1161" t="b">
        <v>0</v>
      </c>
      <c r="AG1161" s="18"/>
    </row>
    <row r="1162" spans="1:33" ht="12.75">
      <c r="A1162" s="10"/>
      <c r="B1162" s="11"/>
      <c r="F1162" s="13"/>
      <c r="G1162" s="14"/>
      <c r="I1162" s="15"/>
      <c r="J1162" s="16"/>
      <c r="AE1162" s="11"/>
      <c r="AF1162" t="b">
        <v>0</v>
      </c>
      <c r="AG1162" s="18"/>
    </row>
    <row r="1163" spans="1:33" ht="12.75">
      <c r="A1163" s="10"/>
      <c r="B1163" s="11"/>
      <c r="F1163" s="13"/>
      <c r="G1163" s="14"/>
      <c r="I1163" s="15"/>
      <c r="J1163" s="16"/>
      <c r="AE1163" s="11"/>
      <c r="AF1163" t="b">
        <v>0</v>
      </c>
      <c r="AG1163" s="18"/>
    </row>
    <row r="1164" spans="1:33" ht="12.75">
      <c r="A1164" s="10"/>
      <c r="B1164" s="11"/>
      <c r="F1164" s="13"/>
      <c r="G1164" s="14"/>
      <c r="I1164" s="15"/>
      <c r="J1164" s="16"/>
      <c r="AE1164" s="11"/>
      <c r="AF1164" t="b">
        <v>0</v>
      </c>
      <c r="AG1164" s="18"/>
    </row>
    <row r="1165" spans="1:33" ht="12.75">
      <c r="A1165" s="10"/>
      <c r="B1165" s="11"/>
      <c r="F1165" s="13"/>
      <c r="G1165" s="14"/>
      <c r="I1165" s="15"/>
      <c r="J1165" s="16"/>
      <c r="AE1165" s="11"/>
      <c r="AF1165" t="b">
        <v>0</v>
      </c>
      <c r="AG1165" s="18"/>
    </row>
    <row r="1166" spans="1:33" ht="12.75">
      <c r="A1166" s="10"/>
      <c r="B1166" s="11"/>
      <c r="F1166" s="13"/>
      <c r="G1166" s="14"/>
      <c r="I1166" s="15"/>
      <c r="J1166" s="16"/>
      <c r="AE1166" s="11"/>
      <c r="AF1166" t="b">
        <v>0</v>
      </c>
      <c r="AG1166" s="18"/>
    </row>
    <row r="1167" spans="1:33" ht="12.75">
      <c r="A1167" s="10"/>
      <c r="B1167" s="11"/>
      <c r="F1167" s="13"/>
      <c r="G1167" s="14"/>
      <c r="I1167" s="15"/>
      <c r="J1167" s="16"/>
      <c r="AE1167" s="11"/>
      <c r="AF1167" t="b">
        <v>0</v>
      </c>
      <c r="AG1167" s="18"/>
    </row>
    <row r="1168" spans="1:33" ht="12.75">
      <c r="A1168" s="10"/>
      <c r="B1168" s="11"/>
      <c r="F1168" s="13"/>
      <c r="G1168" s="14"/>
      <c r="I1168" s="15"/>
      <c r="J1168" s="16"/>
      <c r="AE1168" s="11"/>
      <c r="AF1168" t="b">
        <v>0</v>
      </c>
      <c r="AG1168" s="18"/>
    </row>
    <row r="1169" spans="1:33" ht="12.75">
      <c r="A1169" s="10"/>
      <c r="B1169" s="11"/>
      <c r="F1169" s="13"/>
      <c r="G1169" s="14"/>
      <c r="I1169" s="15"/>
      <c r="J1169" s="16"/>
      <c r="AE1169" s="11"/>
      <c r="AF1169" t="b">
        <v>0</v>
      </c>
      <c r="AG1169" s="18"/>
    </row>
    <row r="1170" spans="1:33" ht="12.75">
      <c r="A1170" s="10"/>
      <c r="B1170" s="11"/>
      <c r="F1170" s="13"/>
      <c r="G1170" s="14"/>
      <c r="I1170" s="15"/>
      <c r="J1170" s="16"/>
      <c r="AE1170" s="11"/>
      <c r="AF1170" t="b">
        <v>0</v>
      </c>
      <c r="AG1170" s="18"/>
    </row>
    <row r="1171" spans="1:33" ht="12.75">
      <c r="A1171" s="10"/>
      <c r="B1171" s="11"/>
      <c r="F1171" s="13"/>
      <c r="G1171" s="14"/>
      <c r="I1171" s="15"/>
      <c r="J1171" s="16"/>
      <c r="AE1171" s="11"/>
      <c r="AF1171" t="b">
        <v>0</v>
      </c>
      <c r="AG1171" s="18"/>
    </row>
    <row r="1172" spans="1:33" ht="12.75">
      <c r="A1172" s="10"/>
      <c r="B1172" s="11"/>
      <c r="F1172" s="13"/>
      <c r="G1172" s="14"/>
      <c r="I1172" s="15"/>
      <c r="J1172" s="16"/>
      <c r="AE1172" s="11"/>
      <c r="AF1172" t="b">
        <v>0</v>
      </c>
      <c r="AG1172" s="18"/>
    </row>
    <row r="1173" spans="1:33" ht="12.75">
      <c r="A1173" s="10"/>
      <c r="B1173" s="11"/>
      <c r="F1173" s="13"/>
      <c r="G1173" s="14"/>
      <c r="I1173" s="15"/>
      <c r="J1173" s="16"/>
      <c r="AE1173" s="11"/>
      <c r="AF1173" t="b">
        <v>0</v>
      </c>
      <c r="AG1173" s="18"/>
    </row>
    <row r="1174" spans="1:33" ht="12.75">
      <c r="A1174" s="10"/>
      <c r="B1174" s="11"/>
      <c r="F1174" s="13"/>
      <c r="G1174" s="14"/>
      <c r="I1174" s="15"/>
      <c r="J1174" s="16"/>
      <c r="AE1174" s="11"/>
      <c r="AF1174" t="b">
        <v>0</v>
      </c>
      <c r="AG1174" s="18"/>
    </row>
    <row r="1175" spans="1:33" ht="12.75">
      <c r="A1175" s="10"/>
      <c r="B1175" s="11"/>
      <c r="F1175" s="13"/>
      <c r="G1175" s="14"/>
      <c r="I1175" s="15"/>
      <c r="J1175" s="16"/>
      <c r="AE1175" s="11"/>
      <c r="AF1175" t="b">
        <v>0</v>
      </c>
      <c r="AG1175" s="18"/>
    </row>
    <row r="1176" spans="1:33" ht="12.75">
      <c r="A1176" s="10"/>
      <c r="B1176" s="11"/>
      <c r="F1176" s="13"/>
      <c r="G1176" s="14"/>
      <c r="I1176" s="15"/>
      <c r="J1176" s="16"/>
      <c r="AE1176" s="11"/>
      <c r="AF1176" t="b">
        <v>0</v>
      </c>
      <c r="AG1176" s="18"/>
    </row>
    <row r="1177" spans="1:33" ht="12.75">
      <c r="A1177" s="10"/>
      <c r="B1177" s="11"/>
      <c r="F1177" s="13"/>
      <c r="G1177" s="14"/>
      <c r="I1177" s="15"/>
      <c r="J1177" s="16"/>
      <c r="AE1177" s="11"/>
      <c r="AF1177" t="b">
        <v>0</v>
      </c>
      <c r="AG1177" s="18"/>
    </row>
    <row r="1178" spans="1:33" ht="12.75">
      <c r="A1178" s="10"/>
      <c r="B1178" s="11"/>
      <c r="F1178" s="13"/>
      <c r="G1178" s="14"/>
      <c r="I1178" s="15"/>
      <c r="J1178" s="16"/>
      <c r="AE1178" s="11"/>
      <c r="AF1178" t="b">
        <v>0</v>
      </c>
      <c r="AG1178" s="18"/>
    </row>
    <row r="1179" spans="1:33" ht="12.75">
      <c r="A1179" s="10"/>
      <c r="B1179" s="11"/>
      <c r="F1179" s="13"/>
      <c r="G1179" s="14"/>
      <c r="I1179" s="15"/>
      <c r="J1179" s="16"/>
      <c r="AE1179" s="11"/>
      <c r="AF1179" t="b">
        <v>0</v>
      </c>
      <c r="AG1179" s="18"/>
    </row>
    <row r="1180" spans="1:33" ht="12.75">
      <c r="A1180" s="10"/>
      <c r="B1180" s="11"/>
      <c r="F1180" s="13"/>
      <c r="G1180" s="14"/>
      <c r="I1180" s="15"/>
      <c r="J1180" s="16"/>
      <c r="AE1180" s="11"/>
      <c r="AF1180" t="b">
        <v>0</v>
      </c>
      <c r="AG1180" s="18"/>
    </row>
    <row r="1181" spans="1:33" ht="12.75">
      <c r="A1181" s="10"/>
      <c r="B1181" s="11"/>
      <c r="F1181" s="13"/>
      <c r="G1181" s="14"/>
      <c r="I1181" s="15"/>
      <c r="J1181" s="16"/>
      <c r="AE1181" s="11"/>
      <c r="AF1181" t="b">
        <v>0</v>
      </c>
      <c r="AG1181" s="18"/>
    </row>
    <row r="1182" spans="1:33" ht="12.75">
      <c r="A1182" s="10"/>
      <c r="B1182" s="11"/>
      <c r="F1182" s="13"/>
      <c r="G1182" s="14"/>
      <c r="I1182" s="15"/>
      <c r="J1182" s="16"/>
      <c r="AE1182" s="11"/>
      <c r="AF1182" t="b">
        <v>0</v>
      </c>
      <c r="AG1182" s="18"/>
    </row>
    <row r="1183" spans="1:33" ht="12.75">
      <c r="A1183" s="10"/>
      <c r="B1183" s="11"/>
      <c r="F1183" s="13"/>
      <c r="G1183" s="14"/>
      <c r="I1183" s="15"/>
      <c r="J1183" s="16"/>
      <c r="AE1183" s="11"/>
      <c r="AF1183" t="b">
        <v>0</v>
      </c>
      <c r="AG1183" s="18"/>
    </row>
    <row r="1184" spans="1:33" ht="12.75">
      <c r="A1184" s="10"/>
      <c r="B1184" s="11"/>
      <c r="F1184" s="13"/>
      <c r="G1184" s="14"/>
      <c r="I1184" s="15"/>
      <c r="J1184" s="16"/>
      <c r="AE1184" s="11"/>
      <c r="AF1184" t="b">
        <v>0</v>
      </c>
      <c r="AG1184" s="18"/>
    </row>
    <row r="1185" spans="1:33" ht="12.75">
      <c r="A1185" s="10"/>
      <c r="B1185" s="11"/>
      <c r="F1185" s="13"/>
      <c r="G1185" s="14"/>
      <c r="I1185" s="15"/>
      <c r="J1185" s="16"/>
      <c r="AE1185" s="11"/>
      <c r="AF1185" t="b">
        <v>0</v>
      </c>
      <c r="AG1185" s="18"/>
    </row>
    <row r="1186" spans="1:33" ht="12.75">
      <c r="A1186" s="10"/>
      <c r="B1186" s="11"/>
      <c r="F1186" s="13"/>
      <c r="G1186" s="14"/>
      <c r="I1186" s="15"/>
      <c r="J1186" s="16"/>
      <c r="AE1186" s="11"/>
      <c r="AF1186" t="b">
        <v>0</v>
      </c>
      <c r="AG1186" s="18"/>
    </row>
    <row r="1187" spans="1:33" ht="12.75">
      <c r="A1187" s="10"/>
      <c r="B1187" s="11"/>
      <c r="F1187" s="13"/>
      <c r="G1187" s="14"/>
      <c r="I1187" s="15"/>
      <c r="J1187" s="16"/>
      <c r="AE1187" s="11"/>
      <c r="AF1187" t="b">
        <v>0</v>
      </c>
      <c r="AG1187" s="18"/>
    </row>
    <row r="1188" spans="1:33" ht="12.75">
      <c r="A1188" s="10"/>
      <c r="B1188" s="11"/>
      <c r="F1188" s="13"/>
      <c r="G1188" s="14"/>
      <c r="I1188" s="15"/>
      <c r="J1188" s="16"/>
      <c r="AE1188" s="11"/>
      <c r="AF1188" t="b">
        <v>0</v>
      </c>
      <c r="AG1188" s="18"/>
    </row>
    <row r="1189" spans="1:33" ht="12.75">
      <c r="A1189" s="10"/>
      <c r="B1189" s="11"/>
      <c r="F1189" s="13"/>
      <c r="G1189" s="14"/>
      <c r="I1189" s="15"/>
      <c r="J1189" s="16"/>
      <c r="AE1189" s="11"/>
      <c r="AF1189" t="b">
        <v>0</v>
      </c>
      <c r="AG1189" s="18"/>
    </row>
    <row r="1190" spans="1:33" ht="12.75">
      <c r="A1190" s="10"/>
      <c r="B1190" s="11"/>
      <c r="F1190" s="13"/>
      <c r="G1190" s="14"/>
      <c r="I1190" s="15"/>
      <c r="J1190" s="16"/>
      <c r="AE1190" s="11"/>
      <c r="AF1190" t="b">
        <v>0</v>
      </c>
      <c r="AG1190" s="18"/>
    </row>
    <row r="1191" spans="1:33" ht="12.75">
      <c r="A1191" s="10"/>
      <c r="B1191" s="11"/>
      <c r="F1191" s="13"/>
      <c r="G1191" s="14"/>
      <c r="I1191" s="15"/>
      <c r="J1191" s="16"/>
      <c r="AE1191" s="11"/>
      <c r="AF1191" t="b">
        <v>0</v>
      </c>
      <c r="AG1191" s="18"/>
    </row>
    <row r="1192" spans="1:33" ht="12.75">
      <c r="A1192" s="10"/>
      <c r="B1192" s="11"/>
      <c r="F1192" s="13"/>
      <c r="G1192" s="14"/>
      <c r="I1192" s="15"/>
      <c r="J1192" s="16"/>
      <c r="AE1192" s="11"/>
      <c r="AF1192" t="b">
        <v>0</v>
      </c>
      <c r="AG1192" s="18"/>
    </row>
    <row r="1193" spans="1:33" ht="12.75">
      <c r="A1193" s="10"/>
      <c r="B1193" s="11"/>
      <c r="F1193" s="13"/>
      <c r="G1193" s="14"/>
      <c r="I1193" s="15"/>
      <c r="J1193" s="16"/>
      <c r="AE1193" s="11"/>
      <c r="AF1193" t="b">
        <v>0</v>
      </c>
      <c r="AG1193" s="18"/>
    </row>
    <row r="1194" spans="1:33" ht="12.75">
      <c r="A1194" s="10"/>
      <c r="B1194" s="11"/>
      <c r="F1194" s="13"/>
      <c r="G1194" s="14"/>
      <c r="I1194" s="15"/>
      <c r="J1194" s="16"/>
      <c r="AE1194" s="11"/>
      <c r="AF1194" t="b">
        <v>0</v>
      </c>
      <c r="AG1194" s="18"/>
    </row>
    <row r="1195" spans="1:33" ht="12.75">
      <c r="A1195" s="10"/>
      <c r="B1195" s="11"/>
      <c r="F1195" s="13"/>
      <c r="G1195" s="14"/>
      <c r="I1195" s="15"/>
      <c r="J1195" s="16"/>
      <c r="AE1195" s="11"/>
      <c r="AF1195" t="b">
        <v>0</v>
      </c>
      <c r="AG1195" s="18"/>
    </row>
    <row r="1196" spans="1:33" ht="12.75">
      <c r="A1196" s="10"/>
      <c r="B1196" s="11"/>
      <c r="F1196" s="13"/>
      <c r="G1196" s="14"/>
      <c r="I1196" s="15"/>
      <c r="J1196" s="16"/>
      <c r="AE1196" s="11"/>
      <c r="AF1196" t="b">
        <v>0</v>
      </c>
      <c r="AG1196" s="18"/>
    </row>
    <row r="1197" spans="1:33" ht="12.75">
      <c r="A1197" s="10"/>
      <c r="B1197" s="11"/>
      <c r="F1197" s="13"/>
      <c r="G1197" s="14"/>
      <c r="I1197" s="15"/>
      <c r="J1197" s="16"/>
      <c r="AE1197" s="11"/>
      <c r="AF1197" t="b">
        <v>0</v>
      </c>
      <c r="AG1197" s="18"/>
    </row>
    <row r="1198" spans="1:33" ht="12.75">
      <c r="A1198" s="10"/>
      <c r="B1198" s="11"/>
      <c r="F1198" s="13"/>
      <c r="G1198" s="14"/>
      <c r="I1198" s="15"/>
      <c r="J1198" s="16"/>
      <c r="AE1198" s="11"/>
      <c r="AF1198" t="b">
        <v>0</v>
      </c>
      <c r="AG1198" s="18"/>
    </row>
    <row r="1199" spans="1:33" ht="12.75">
      <c r="A1199" s="10"/>
      <c r="B1199" s="11"/>
      <c r="F1199" s="13"/>
      <c r="G1199" s="14"/>
      <c r="I1199" s="15"/>
      <c r="J1199" s="16"/>
      <c r="AE1199" s="11"/>
      <c r="AF1199" t="b">
        <v>0</v>
      </c>
      <c r="AG1199" s="18"/>
    </row>
    <row r="1200" spans="1:33" ht="12.75">
      <c r="A1200" s="10"/>
      <c r="B1200" s="11"/>
      <c r="F1200" s="13"/>
      <c r="G1200" s="14"/>
      <c r="I1200" s="15"/>
      <c r="J1200" s="16"/>
      <c r="AE1200" s="11"/>
      <c r="AF1200" t="b">
        <v>0</v>
      </c>
      <c r="AG1200" s="18"/>
    </row>
    <row r="1201" spans="1:33" ht="12.75">
      <c r="A1201" s="10"/>
      <c r="B1201" s="11"/>
      <c r="F1201" s="13"/>
      <c r="G1201" s="14"/>
      <c r="I1201" s="15"/>
      <c r="J1201" s="16"/>
      <c r="AE1201" s="11"/>
      <c r="AF1201" t="b">
        <v>0</v>
      </c>
      <c r="AG1201" s="18"/>
    </row>
    <row r="1202" spans="1:33" ht="12.75">
      <c r="B1202" s="11"/>
      <c r="F1202" s="13"/>
      <c r="G1202" s="14"/>
      <c r="I1202" s="15"/>
      <c r="AE1202" s="11"/>
      <c r="AG1202" s="18"/>
    </row>
    <row r="1203" spans="1:33" ht="12.75">
      <c r="B1203" s="11"/>
      <c r="F1203" s="13"/>
      <c r="G1203" s="14"/>
      <c r="I1203" s="15"/>
      <c r="AE1203" s="11"/>
      <c r="AG1203" s="18"/>
    </row>
    <row r="1204" spans="1:33" ht="12.75">
      <c r="B1204" s="11"/>
      <c r="F1204" s="13"/>
      <c r="G1204" s="14"/>
      <c r="I1204" s="15"/>
      <c r="AE1204" s="11"/>
      <c r="AG1204" s="18"/>
    </row>
    <row r="1205" spans="1:33" ht="12.75">
      <c r="B1205" s="11"/>
      <c r="F1205" s="13"/>
      <c r="G1205" s="14"/>
      <c r="I1205" s="15"/>
      <c r="AE1205" s="11"/>
      <c r="AG1205" s="18"/>
    </row>
    <row r="1206" spans="1:33" ht="12.75">
      <c r="B1206" s="11"/>
      <c r="F1206" s="13"/>
      <c r="G1206" s="14"/>
      <c r="I1206" s="15"/>
      <c r="AE1206" s="11"/>
      <c r="AG1206" s="18"/>
    </row>
    <row r="1207" spans="1:33" ht="12.75">
      <c r="B1207" s="11"/>
      <c r="F1207" s="13"/>
      <c r="G1207" s="14"/>
      <c r="I1207" s="15"/>
      <c r="AE1207" s="11"/>
      <c r="AG1207" s="18"/>
    </row>
    <row r="1208" spans="1:33" ht="12.75">
      <c r="B1208" s="11"/>
      <c r="F1208" s="13"/>
      <c r="G1208" s="14"/>
      <c r="I1208" s="15"/>
      <c r="AE1208" s="11"/>
      <c r="AG1208" s="18"/>
    </row>
    <row r="1209" spans="1:33" ht="12.75">
      <c r="B1209" s="11"/>
      <c r="F1209" s="13"/>
      <c r="G1209" s="14"/>
      <c r="I1209" s="15"/>
      <c r="AE1209" s="11"/>
      <c r="AG1209" s="18"/>
    </row>
    <row r="1210" spans="1:33" ht="12.75">
      <c r="B1210" s="11"/>
      <c r="F1210" s="13"/>
      <c r="G1210" s="14"/>
      <c r="I1210" s="15"/>
      <c r="AE1210" s="11"/>
      <c r="AG1210" s="18"/>
    </row>
    <row r="1211" spans="1:33" ht="12.75">
      <c r="B1211" s="11"/>
      <c r="F1211" s="13"/>
      <c r="G1211" s="14"/>
      <c r="I1211" s="15"/>
      <c r="AE1211" s="11"/>
      <c r="AG1211" s="18"/>
    </row>
    <row r="1212" spans="1:33" ht="12.75">
      <c r="B1212" s="11"/>
      <c r="F1212" s="13"/>
      <c r="G1212" s="14"/>
      <c r="I1212" s="15"/>
      <c r="AE1212" s="11"/>
      <c r="AG1212" s="18"/>
    </row>
    <row r="1213" spans="1:33" ht="12.75">
      <c r="B1213" s="11"/>
      <c r="F1213" s="13"/>
      <c r="G1213" s="14"/>
      <c r="I1213" s="15"/>
      <c r="AE1213" s="11"/>
      <c r="AG1213" s="18"/>
    </row>
    <row r="1214" spans="1:33" ht="12.75">
      <c r="B1214" s="11"/>
      <c r="F1214" s="13"/>
      <c r="G1214" s="14"/>
      <c r="I1214" s="15"/>
      <c r="AE1214" s="11"/>
      <c r="AG1214" s="18"/>
    </row>
    <row r="1215" spans="1:33" ht="12.75">
      <c r="B1215" s="11"/>
      <c r="F1215" s="13"/>
      <c r="G1215" s="14"/>
      <c r="I1215" s="15"/>
      <c r="AE1215" s="11"/>
      <c r="AG1215" s="18"/>
    </row>
    <row r="1216" spans="1:33" ht="12.75">
      <c r="B1216" s="11"/>
      <c r="F1216" s="13"/>
      <c r="G1216" s="14"/>
      <c r="I1216" s="15"/>
      <c r="AE1216" s="11"/>
      <c r="AG1216" s="18"/>
    </row>
    <row r="1217" spans="2:33" ht="12.75">
      <c r="B1217" s="11"/>
      <c r="F1217" s="13"/>
      <c r="G1217" s="14"/>
      <c r="I1217" s="15"/>
      <c r="AE1217" s="11"/>
      <c r="AG1217" s="18"/>
    </row>
    <row r="1218" spans="2:33" ht="12.75">
      <c r="B1218" s="11"/>
      <c r="F1218" s="13"/>
      <c r="G1218" s="14"/>
      <c r="I1218" s="15"/>
      <c r="AE1218" s="11"/>
      <c r="AG1218" s="18"/>
    </row>
    <row r="1219" spans="2:33" ht="12.75">
      <c r="B1219" s="11"/>
      <c r="F1219" s="13"/>
      <c r="G1219" s="14"/>
      <c r="I1219" s="15"/>
      <c r="AE1219" s="11"/>
      <c r="AG1219" s="18"/>
    </row>
    <row r="1220" spans="2:33" ht="12.75">
      <c r="B1220" s="11"/>
      <c r="F1220" s="13"/>
      <c r="G1220" s="14"/>
      <c r="I1220" s="15"/>
      <c r="AE1220" s="11"/>
      <c r="AG1220" s="18"/>
    </row>
    <row r="1221" spans="2:33" ht="12.75">
      <c r="B1221" s="11"/>
      <c r="F1221" s="13"/>
      <c r="G1221" s="14"/>
      <c r="I1221" s="15"/>
      <c r="AE1221" s="11"/>
      <c r="AG1221" s="18"/>
    </row>
    <row r="1222" spans="2:33" ht="12.75">
      <c r="B1222" s="11"/>
      <c r="F1222" s="13"/>
      <c r="G1222" s="14"/>
      <c r="I1222" s="15"/>
      <c r="AE1222" s="11"/>
      <c r="AG1222" s="18"/>
    </row>
    <row r="1223" spans="2:33" ht="12.75">
      <c r="B1223" s="11"/>
      <c r="F1223" s="13"/>
      <c r="G1223" s="14"/>
      <c r="I1223" s="15"/>
      <c r="AE1223" s="11"/>
      <c r="AG1223" s="18"/>
    </row>
    <row r="1224" spans="2:33" ht="12.75">
      <c r="B1224" s="11"/>
      <c r="F1224" s="13"/>
      <c r="G1224" s="14"/>
      <c r="I1224" s="15"/>
      <c r="AE1224" s="11"/>
      <c r="AG1224" s="18"/>
    </row>
    <row r="1225" spans="2:33" ht="12.75">
      <c r="B1225" s="11"/>
      <c r="F1225" s="13"/>
      <c r="G1225" s="14"/>
      <c r="I1225" s="15"/>
      <c r="AE1225" s="11"/>
      <c r="AG1225" s="18"/>
    </row>
    <row r="1226" spans="2:33" ht="12.75">
      <c r="B1226" s="11"/>
      <c r="F1226" s="13"/>
      <c r="G1226" s="14"/>
      <c r="I1226" s="15"/>
      <c r="AE1226" s="11"/>
      <c r="AG1226" s="18"/>
    </row>
    <row r="1227" spans="2:33" ht="12.75">
      <c r="B1227" s="11"/>
      <c r="F1227" s="13"/>
      <c r="G1227" s="14"/>
      <c r="I1227" s="15"/>
      <c r="AE1227" s="11"/>
      <c r="AG1227" s="18"/>
    </row>
    <row r="1228" spans="2:33" ht="12.75">
      <c r="B1228" s="11"/>
      <c r="F1228" s="13"/>
      <c r="G1228" s="14"/>
      <c r="I1228" s="15"/>
      <c r="AE1228" s="11"/>
      <c r="AG1228" s="18"/>
    </row>
    <row r="1229" spans="2:33" ht="12.75">
      <c r="B1229" s="11"/>
      <c r="F1229" s="13"/>
      <c r="G1229" s="14"/>
      <c r="I1229" s="15"/>
      <c r="AE1229" s="11"/>
      <c r="AG1229" s="18"/>
    </row>
    <row r="1230" spans="2:33" ht="12.75">
      <c r="B1230" s="11"/>
      <c r="F1230" s="13"/>
      <c r="G1230" s="14"/>
      <c r="I1230" s="15"/>
      <c r="AE1230" s="11"/>
      <c r="AG1230" s="18"/>
    </row>
    <row r="1231" spans="2:33" ht="12.75">
      <c r="B1231" s="11"/>
      <c r="F1231" s="13"/>
      <c r="G1231" s="14"/>
      <c r="I1231" s="15"/>
      <c r="AE1231" s="11"/>
      <c r="AG1231" s="18"/>
    </row>
    <row r="1232" spans="2:33" ht="12.75">
      <c r="B1232" s="11"/>
      <c r="F1232" s="13"/>
      <c r="G1232" s="14"/>
      <c r="I1232" s="15"/>
      <c r="AE1232" s="11"/>
      <c r="AG1232" s="18"/>
    </row>
    <row r="1233" spans="2:33" ht="12.75">
      <c r="B1233" s="11"/>
      <c r="F1233" s="13"/>
      <c r="G1233" s="14"/>
      <c r="I1233" s="15"/>
      <c r="AE1233" s="11"/>
      <c r="AG1233" s="18"/>
    </row>
    <row r="1234" spans="2:33" ht="12.75">
      <c r="B1234" s="11"/>
      <c r="F1234" s="13"/>
      <c r="G1234" s="14"/>
      <c r="I1234" s="15"/>
      <c r="AE1234" s="11"/>
      <c r="AG1234" s="18"/>
    </row>
    <row r="1235" spans="2:33" ht="12.75">
      <c r="B1235" s="11"/>
      <c r="F1235" s="13"/>
      <c r="G1235" s="14"/>
      <c r="I1235" s="15"/>
      <c r="AE1235" s="11"/>
      <c r="AG1235" s="18"/>
    </row>
    <row r="1236" spans="2:33" ht="12.75">
      <c r="B1236" s="11"/>
      <c r="F1236" s="13"/>
      <c r="G1236" s="14"/>
      <c r="I1236" s="15"/>
      <c r="AE1236" s="11"/>
      <c r="AG1236" s="18"/>
    </row>
    <row r="1237" spans="2:33" ht="12.75">
      <c r="B1237" s="11"/>
      <c r="F1237" s="13"/>
      <c r="G1237" s="14"/>
      <c r="I1237" s="15"/>
      <c r="AE1237" s="11"/>
      <c r="AG1237" s="18"/>
    </row>
    <row r="1238" spans="2:33" ht="12.75">
      <c r="B1238" s="11"/>
      <c r="F1238" s="13"/>
      <c r="G1238" s="14"/>
      <c r="I1238" s="15"/>
      <c r="AE1238" s="11"/>
      <c r="AG1238" s="18"/>
    </row>
    <row r="1239" spans="2:33" ht="12.75">
      <c r="B1239" s="11"/>
      <c r="F1239" s="13"/>
      <c r="G1239" s="14"/>
      <c r="I1239" s="15"/>
      <c r="AE1239" s="11"/>
      <c r="AG1239" s="18"/>
    </row>
    <row r="1240" spans="2:33" ht="12.75">
      <c r="B1240" s="11"/>
      <c r="F1240" s="13"/>
      <c r="G1240" s="14"/>
      <c r="I1240" s="15"/>
      <c r="AE1240" s="11"/>
      <c r="AG1240" s="18"/>
    </row>
    <row r="1241" spans="2:33" ht="12.75">
      <c r="B1241" s="11"/>
      <c r="F1241" s="13"/>
      <c r="G1241" s="14"/>
      <c r="I1241" s="15"/>
      <c r="AE1241" s="11"/>
      <c r="AG1241" s="18"/>
    </row>
    <row r="1242" spans="2:33" ht="12.75">
      <c r="B1242" s="11"/>
      <c r="F1242" s="13"/>
      <c r="G1242" s="14"/>
      <c r="I1242" s="15"/>
      <c r="AE1242" s="11"/>
      <c r="AG1242" s="18"/>
    </row>
    <row r="1243" spans="2:33" ht="12.75">
      <c r="B1243" s="11"/>
      <c r="F1243" s="13"/>
      <c r="G1243" s="14"/>
      <c r="I1243" s="15"/>
      <c r="AE1243" s="11"/>
      <c r="AG1243" s="18"/>
    </row>
    <row r="1244" spans="2:33" ht="12.75">
      <c r="B1244" s="11"/>
      <c r="F1244" s="13"/>
      <c r="G1244" s="14"/>
      <c r="I1244" s="15"/>
      <c r="AE1244" s="11"/>
      <c r="AG1244" s="18"/>
    </row>
    <row r="1245" spans="2:33" ht="12.75">
      <c r="B1245" s="11"/>
      <c r="F1245" s="13"/>
      <c r="G1245" s="14"/>
      <c r="I1245" s="15"/>
      <c r="AE1245" s="11"/>
      <c r="AG1245" s="18"/>
    </row>
    <row r="1246" spans="2:33" ht="12.75">
      <c r="B1246" s="11"/>
      <c r="F1246" s="13"/>
      <c r="G1246" s="14"/>
      <c r="I1246" s="15"/>
      <c r="AE1246" s="11"/>
      <c r="AG1246" s="18"/>
    </row>
    <row r="1247" spans="2:33" ht="12.75">
      <c r="B1247" s="11"/>
      <c r="F1247" s="13"/>
      <c r="G1247" s="14"/>
      <c r="I1247" s="15"/>
      <c r="AE1247" s="11"/>
      <c r="AG1247" s="18"/>
    </row>
    <row r="1248" spans="2:33" ht="12.75">
      <c r="B1248" s="11"/>
      <c r="F1248" s="13"/>
      <c r="G1248" s="14"/>
      <c r="I1248" s="15"/>
      <c r="AE1248" s="11"/>
      <c r="AG1248" s="18"/>
    </row>
    <row r="1249" spans="2:33" ht="12.75">
      <c r="B1249" s="11"/>
      <c r="F1249" s="13"/>
      <c r="G1249" s="14"/>
      <c r="I1249" s="15"/>
      <c r="AE1249" s="11"/>
      <c r="AG1249" s="18"/>
    </row>
    <row r="1250" spans="2:33" ht="12.75">
      <c r="B1250" s="11"/>
      <c r="F1250" s="13"/>
      <c r="G1250" s="14"/>
      <c r="I1250" s="15"/>
      <c r="AE1250" s="11"/>
      <c r="AG1250" s="18"/>
    </row>
    <row r="1251" spans="2:33" ht="12.75">
      <c r="B1251" s="11"/>
      <c r="F1251" s="13"/>
      <c r="G1251" s="14"/>
      <c r="I1251" s="15"/>
      <c r="AE1251" s="11"/>
      <c r="AG1251" s="18"/>
    </row>
    <row r="1252" spans="2:33" ht="12.75">
      <c r="B1252" s="11"/>
      <c r="F1252" s="13"/>
      <c r="G1252" s="14"/>
      <c r="I1252" s="15"/>
      <c r="AE1252" s="11"/>
      <c r="AG1252" s="18"/>
    </row>
    <row r="1253" spans="2:33" ht="12.75">
      <c r="B1253" s="11"/>
      <c r="F1253" s="13"/>
      <c r="G1253" s="14"/>
      <c r="I1253" s="15"/>
      <c r="AE1253" s="11"/>
      <c r="AG1253" s="18"/>
    </row>
    <row r="1254" spans="2:33" ht="12.75">
      <c r="B1254" s="11"/>
      <c r="F1254" s="13"/>
      <c r="G1254" s="14"/>
      <c r="I1254" s="15"/>
      <c r="AE1254" s="11"/>
      <c r="AG1254" s="18"/>
    </row>
    <row r="1255" spans="2:33" ht="12.75">
      <c r="B1255" s="11"/>
      <c r="F1255" s="13"/>
      <c r="G1255" s="14"/>
      <c r="I1255" s="15"/>
      <c r="AE1255" s="11"/>
      <c r="AG1255" s="18"/>
    </row>
    <row r="1256" spans="2:33" ht="12.75">
      <c r="B1256" s="11"/>
      <c r="F1256" s="13"/>
      <c r="G1256" s="14"/>
      <c r="I1256" s="15"/>
      <c r="AE1256" s="11"/>
      <c r="AG1256" s="18"/>
    </row>
    <row r="1257" spans="2:33" ht="12.75">
      <c r="B1257" s="11"/>
      <c r="F1257" s="13"/>
      <c r="G1257" s="14"/>
      <c r="I1257" s="15"/>
      <c r="AE1257" s="11"/>
      <c r="AG1257" s="18"/>
    </row>
    <row r="1258" spans="2:33" ht="12.75">
      <c r="B1258" s="11"/>
      <c r="F1258" s="13"/>
      <c r="G1258" s="14"/>
      <c r="I1258" s="15"/>
      <c r="AE1258" s="11"/>
      <c r="AG1258" s="18"/>
    </row>
    <row r="1259" spans="2:33" ht="12.75">
      <c r="B1259" s="11"/>
      <c r="F1259" s="13"/>
      <c r="G1259" s="14"/>
      <c r="I1259" s="15"/>
      <c r="AE1259" s="11"/>
      <c r="AG1259" s="18"/>
    </row>
    <row r="1260" spans="2:33" ht="12.75">
      <c r="B1260" s="11"/>
      <c r="F1260" s="13"/>
      <c r="G1260" s="14"/>
      <c r="I1260" s="15"/>
      <c r="AE1260" s="11"/>
      <c r="AG1260" s="18"/>
    </row>
    <row r="1261" spans="2:33" ht="12.75">
      <c r="B1261" s="11"/>
      <c r="F1261" s="13"/>
      <c r="G1261" s="14"/>
      <c r="I1261" s="15"/>
      <c r="AE1261" s="11"/>
      <c r="AG1261" s="18"/>
    </row>
    <row r="1262" spans="2:33" ht="12.75">
      <c r="B1262" s="11"/>
      <c r="F1262" s="13"/>
      <c r="G1262" s="14"/>
      <c r="I1262" s="15"/>
      <c r="AE1262" s="11"/>
      <c r="AG1262" s="18"/>
    </row>
    <row r="1263" spans="2:33" ht="12.75">
      <c r="B1263" s="11"/>
      <c r="F1263" s="13"/>
      <c r="G1263" s="14"/>
      <c r="I1263" s="15"/>
      <c r="AE1263" s="11"/>
      <c r="AG1263" s="18"/>
    </row>
    <row r="1264" spans="2:33" ht="12.75">
      <c r="B1264" s="11"/>
      <c r="F1264" s="13"/>
      <c r="G1264" s="14"/>
      <c r="I1264" s="15"/>
      <c r="AE1264" s="11"/>
      <c r="AG1264" s="18"/>
    </row>
    <row r="1265" spans="2:33" ht="12.75">
      <c r="B1265" s="11"/>
      <c r="F1265" s="13"/>
      <c r="G1265" s="14"/>
      <c r="I1265" s="15"/>
      <c r="AE1265" s="11"/>
      <c r="AG1265" s="18"/>
    </row>
    <row r="1266" spans="2:33" ht="12.75">
      <c r="B1266" s="11"/>
      <c r="F1266" s="13"/>
      <c r="G1266" s="14"/>
      <c r="I1266" s="15"/>
      <c r="AE1266" s="11"/>
      <c r="AG1266" s="18"/>
    </row>
    <row r="1267" spans="2:33" ht="12.75">
      <c r="B1267" s="11"/>
      <c r="F1267" s="13"/>
      <c r="G1267" s="14"/>
      <c r="I1267" s="15"/>
      <c r="AE1267" s="11"/>
      <c r="AG1267" s="18"/>
    </row>
    <row r="1268" spans="2:33" ht="12.75">
      <c r="B1268" s="11"/>
      <c r="F1268" s="13"/>
      <c r="G1268" s="14"/>
      <c r="I1268" s="15"/>
      <c r="AE1268" s="11"/>
      <c r="AG1268" s="18"/>
    </row>
    <row r="1269" spans="2:33" ht="12.75">
      <c r="B1269" s="11"/>
      <c r="F1269" s="13"/>
      <c r="G1269" s="14"/>
      <c r="I1269" s="15"/>
      <c r="AE1269" s="11"/>
      <c r="AG1269" s="18"/>
    </row>
    <row r="1270" spans="2:33" ht="12.75">
      <c r="B1270" s="11"/>
      <c r="F1270" s="13"/>
      <c r="G1270" s="14"/>
      <c r="I1270" s="15"/>
      <c r="AE1270" s="11"/>
      <c r="AG1270" s="18"/>
    </row>
    <row r="1271" spans="2:33" ht="12.75">
      <c r="B1271" s="11"/>
      <c r="F1271" s="13"/>
      <c r="G1271" s="14"/>
      <c r="I1271" s="15"/>
      <c r="AE1271" s="11"/>
      <c r="AG1271" s="18"/>
    </row>
    <row r="1272" spans="2:33" ht="12.75">
      <c r="B1272" s="11"/>
      <c r="F1272" s="13"/>
      <c r="G1272" s="14"/>
      <c r="I1272" s="15"/>
      <c r="AE1272" s="11"/>
      <c r="AG1272" s="18"/>
    </row>
    <row r="1273" spans="2:33" ht="12.75">
      <c r="B1273" s="11"/>
      <c r="F1273" s="13"/>
      <c r="G1273" s="14"/>
      <c r="I1273" s="15"/>
      <c r="AE1273" s="11"/>
      <c r="AG1273" s="18"/>
    </row>
    <row r="1274" spans="2:33" ht="12.75">
      <c r="B1274" s="11"/>
      <c r="F1274" s="13"/>
      <c r="G1274" s="14"/>
      <c r="I1274" s="15"/>
      <c r="AE1274" s="11"/>
      <c r="AG1274" s="18"/>
    </row>
    <row r="1275" spans="2:33" ht="12.75">
      <c r="B1275" s="11"/>
      <c r="F1275" s="13"/>
      <c r="G1275" s="14"/>
      <c r="I1275" s="15"/>
      <c r="AE1275" s="11"/>
      <c r="AG1275" s="18"/>
    </row>
    <row r="1276" spans="2:33" ht="12.75">
      <c r="B1276" s="11"/>
      <c r="F1276" s="13"/>
      <c r="G1276" s="14"/>
      <c r="I1276" s="15"/>
      <c r="AE1276" s="11"/>
      <c r="AG1276" s="18"/>
    </row>
    <row r="1277" spans="2:33" ht="12.75">
      <c r="B1277" s="11"/>
      <c r="F1277" s="13"/>
      <c r="G1277" s="14"/>
      <c r="I1277" s="15"/>
      <c r="AE1277" s="11"/>
      <c r="AG1277" s="18"/>
    </row>
    <row r="1278" spans="2:33" ht="12.75">
      <c r="B1278" s="11"/>
      <c r="F1278" s="13"/>
      <c r="G1278" s="14"/>
      <c r="I1278" s="15"/>
      <c r="AE1278" s="11"/>
      <c r="AG1278" s="18"/>
    </row>
    <row r="1279" spans="2:33" ht="12.75">
      <c r="B1279" s="11"/>
      <c r="F1279" s="13"/>
      <c r="G1279" s="14"/>
      <c r="I1279" s="15"/>
      <c r="AE1279" s="11"/>
      <c r="AG1279" s="18"/>
    </row>
    <row r="1280" spans="2:33" ht="12.75">
      <c r="B1280" s="11"/>
      <c r="F1280" s="13"/>
      <c r="G1280" s="14"/>
      <c r="I1280" s="15"/>
      <c r="AE1280" s="11"/>
      <c r="AG1280" s="18"/>
    </row>
    <row r="1281" spans="2:33" ht="12.75">
      <c r="B1281" s="11"/>
      <c r="F1281" s="13"/>
      <c r="G1281" s="14"/>
      <c r="I1281" s="15"/>
      <c r="AE1281" s="11"/>
      <c r="AG1281" s="18"/>
    </row>
    <row r="1282" spans="2:33" ht="12.75">
      <c r="B1282" s="11"/>
      <c r="F1282" s="13"/>
      <c r="G1282" s="14"/>
      <c r="I1282" s="15"/>
      <c r="AE1282" s="11"/>
      <c r="AG1282" s="18"/>
    </row>
    <row r="1283" spans="2:33" ht="12.75">
      <c r="B1283" s="11"/>
      <c r="F1283" s="13"/>
      <c r="G1283" s="14"/>
      <c r="I1283" s="15"/>
      <c r="AE1283" s="11"/>
      <c r="AG1283" s="18"/>
    </row>
    <row r="1284" spans="2:33" ht="12.75">
      <c r="B1284" s="11"/>
      <c r="F1284" s="13"/>
      <c r="G1284" s="14"/>
      <c r="I1284" s="15"/>
      <c r="AE1284" s="11"/>
      <c r="AG1284" s="18"/>
    </row>
    <row r="1285" spans="2:33" ht="12.75">
      <c r="B1285" s="11"/>
      <c r="F1285" s="13"/>
      <c r="G1285" s="14"/>
      <c r="I1285" s="15"/>
      <c r="AE1285" s="11"/>
      <c r="AG1285" s="18"/>
    </row>
    <row r="1286" spans="2:33" ht="12.75">
      <c r="B1286" s="11"/>
      <c r="F1286" s="13"/>
      <c r="G1286" s="14"/>
      <c r="I1286" s="15"/>
      <c r="AE1286" s="11"/>
      <c r="AG1286" s="18"/>
    </row>
    <row r="1287" spans="2:33" ht="12.75">
      <c r="B1287" s="11"/>
      <c r="F1287" s="13"/>
      <c r="G1287" s="14"/>
      <c r="I1287" s="15"/>
      <c r="AE1287" s="11"/>
      <c r="AG1287" s="18"/>
    </row>
    <row r="1288" spans="2:33" ht="12.75">
      <c r="B1288" s="11"/>
      <c r="F1288" s="13"/>
      <c r="G1288" s="14"/>
      <c r="I1288" s="15"/>
      <c r="AE1288" s="11"/>
      <c r="AG1288" s="18"/>
    </row>
    <row r="1289" spans="2:33" ht="12.75">
      <c r="B1289" s="11"/>
      <c r="F1289" s="13"/>
      <c r="G1289" s="14"/>
      <c r="I1289" s="15"/>
      <c r="AE1289" s="11"/>
      <c r="AG1289" s="18"/>
    </row>
    <row r="1290" spans="2:33" ht="12.75">
      <c r="B1290" s="11"/>
      <c r="F1290" s="13"/>
      <c r="G1290" s="14"/>
      <c r="I1290" s="15"/>
      <c r="AE1290" s="11"/>
      <c r="AG1290" s="18"/>
    </row>
    <row r="1291" spans="2:33" ht="12.75">
      <c r="B1291" s="11"/>
      <c r="F1291" s="13"/>
      <c r="G1291" s="14"/>
      <c r="I1291" s="15"/>
      <c r="AE1291" s="11"/>
      <c r="AG1291" s="18"/>
    </row>
    <row r="1292" spans="2:33" ht="12.75">
      <c r="B1292" s="11"/>
      <c r="F1292" s="13"/>
      <c r="G1292" s="14"/>
      <c r="I1292" s="15"/>
      <c r="AE1292" s="11"/>
      <c r="AG1292" s="18"/>
    </row>
    <row r="1293" spans="2:33" ht="12.75">
      <c r="B1293" s="11"/>
      <c r="F1293" s="13"/>
      <c r="G1293" s="14"/>
      <c r="I1293" s="15"/>
      <c r="AE1293" s="11"/>
      <c r="AG1293" s="18"/>
    </row>
    <row r="1294" spans="2:33" ht="12.75">
      <c r="B1294" s="11"/>
      <c r="F1294" s="13"/>
      <c r="G1294" s="14"/>
      <c r="I1294" s="15"/>
      <c r="AE1294" s="11"/>
      <c r="AG1294" s="18"/>
    </row>
    <row r="1295" spans="2:33" ht="12.75">
      <c r="B1295" s="11"/>
      <c r="F1295" s="13"/>
      <c r="G1295" s="14"/>
      <c r="I1295" s="15"/>
      <c r="AE1295" s="11"/>
      <c r="AG1295" s="18"/>
    </row>
    <row r="1296" spans="2:33" ht="12.75">
      <c r="B1296" s="11"/>
      <c r="F1296" s="13"/>
      <c r="G1296" s="14"/>
      <c r="I1296" s="15"/>
      <c r="AE1296" s="11"/>
      <c r="AG1296" s="18"/>
    </row>
    <row r="1297" spans="2:33" ht="12.75">
      <c r="B1297" s="11"/>
      <c r="F1297" s="13"/>
      <c r="G1297" s="14"/>
      <c r="I1297" s="15"/>
      <c r="AE1297" s="11"/>
      <c r="AG1297" s="18"/>
    </row>
    <row r="1298" spans="2:33" ht="12.75">
      <c r="B1298" s="11"/>
      <c r="F1298" s="13"/>
      <c r="G1298" s="14"/>
      <c r="I1298" s="15"/>
      <c r="AE1298" s="11"/>
      <c r="AG1298" s="18"/>
    </row>
    <row r="1299" spans="2:33" ht="12.75">
      <c r="B1299" s="11"/>
      <c r="F1299" s="13"/>
      <c r="G1299" s="14"/>
      <c r="I1299" s="15"/>
      <c r="AE1299" s="11"/>
      <c r="AG1299" s="18"/>
    </row>
    <row r="1300" spans="2:33" ht="12.75">
      <c r="B1300" s="11"/>
      <c r="F1300" s="13"/>
      <c r="G1300" s="14"/>
      <c r="I1300" s="15"/>
      <c r="AE1300" s="11"/>
      <c r="AG1300" s="18"/>
    </row>
    <row r="1301" spans="2:33" ht="12.75">
      <c r="B1301" s="11"/>
      <c r="F1301" s="13"/>
      <c r="G1301" s="14"/>
      <c r="I1301" s="15"/>
      <c r="AE1301" s="11"/>
      <c r="AG1301" s="18"/>
    </row>
    <row r="1302" spans="2:33" ht="12.75">
      <c r="B1302" s="11"/>
      <c r="F1302" s="13"/>
      <c r="G1302" s="14"/>
      <c r="I1302" s="15"/>
      <c r="AE1302" s="11"/>
      <c r="AG1302" s="18"/>
    </row>
    <row r="1303" spans="2:33" ht="12.75">
      <c r="B1303" s="11"/>
      <c r="F1303" s="13"/>
      <c r="G1303" s="14"/>
      <c r="I1303" s="15"/>
      <c r="AE1303" s="11"/>
      <c r="AG1303" s="18"/>
    </row>
    <row r="1304" spans="2:33" ht="12.75">
      <c r="B1304" s="11"/>
      <c r="F1304" s="13"/>
      <c r="G1304" s="14"/>
      <c r="I1304" s="15"/>
      <c r="AE1304" s="11"/>
      <c r="AG1304" s="18"/>
    </row>
    <row r="1305" spans="2:33" ht="12.75">
      <c r="B1305" s="11"/>
      <c r="F1305" s="13"/>
      <c r="G1305" s="14"/>
      <c r="I1305" s="15"/>
      <c r="AE1305" s="11"/>
      <c r="AG1305" s="18"/>
    </row>
    <row r="1306" spans="2:33" ht="12.75">
      <c r="B1306" s="11"/>
      <c r="F1306" s="13"/>
      <c r="G1306" s="14"/>
      <c r="I1306" s="15"/>
      <c r="AE1306" s="11"/>
      <c r="AG1306" s="18"/>
    </row>
    <row r="1307" spans="2:33" ht="12.75">
      <c r="B1307" s="11"/>
      <c r="F1307" s="13"/>
      <c r="G1307" s="14"/>
      <c r="I1307" s="15"/>
      <c r="AE1307" s="11"/>
      <c r="AG1307" s="18"/>
    </row>
    <row r="1308" spans="2:33" ht="12.75">
      <c r="B1308" s="11"/>
      <c r="F1308" s="13"/>
      <c r="G1308" s="14"/>
      <c r="I1308" s="15"/>
      <c r="AE1308" s="11"/>
      <c r="AG1308" s="18"/>
    </row>
    <row r="1309" spans="2:33" ht="12.75">
      <c r="B1309" s="11"/>
      <c r="F1309" s="13"/>
      <c r="G1309" s="14"/>
      <c r="I1309" s="15"/>
      <c r="AE1309" s="11"/>
      <c r="AG1309" s="18"/>
    </row>
    <row r="1310" spans="2:33" ht="12.75">
      <c r="B1310" s="11"/>
      <c r="F1310" s="13"/>
      <c r="G1310" s="14"/>
      <c r="I1310" s="15"/>
      <c r="AE1310" s="11"/>
      <c r="AG1310" s="18"/>
    </row>
    <row r="1311" spans="2:33" ht="12.75">
      <c r="B1311" s="11"/>
      <c r="F1311" s="13"/>
      <c r="G1311" s="14"/>
      <c r="I1311" s="15"/>
      <c r="AE1311" s="11"/>
      <c r="AG1311" s="18"/>
    </row>
    <row r="1312" spans="2:33" ht="12.75">
      <c r="B1312" s="11"/>
      <c r="F1312" s="13"/>
      <c r="G1312" s="14"/>
      <c r="I1312" s="15"/>
      <c r="AE1312" s="11"/>
      <c r="AG1312" s="18"/>
    </row>
    <row r="1313" spans="2:33" ht="12.75">
      <c r="B1313" s="11"/>
      <c r="F1313" s="13"/>
      <c r="G1313" s="14"/>
      <c r="I1313" s="15"/>
      <c r="AE1313" s="11"/>
      <c r="AG1313" s="18"/>
    </row>
    <row r="1314" spans="2:33" ht="12.75">
      <c r="B1314" s="11"/>
      <c r="F1314" s="13"/>
      <c r="G1314" s="14"/>
      <c r="I1314" s="15"/>
      <c r="AE1314" s="11"/>
      <c r="AG1314" s="18"/>
    </row>
    <row r="1315" spans="2:33" ht="12.75">
      <c r="B1315" s="11"/>
      <c r="F1315" s="13"/>
      <c r="G1315" s="14"/>
      <c r="I1315" s="15"/>
      <c r="AE1315" s="11"/>
      <c r="AG1315" s="18"/>
    </row>
    <row r="1316" spans="2:33" ht="12.75">
      <c r="B1316" s="11"/>
      <c r="F1316" s="13"/>
      <c r="G1316" s="14"/>
      <c r="I1316" s="15"/>
      <c r="AE1316" s="11"/>
      <c r="AG1316" s="18"/>
    </row>
    <row r="1317" spans="2:33" ht="12.75">
      <c r="B1317" s="11"/>
      <c r="F1317" s="13"/>
      <c r="G1317" s="14"/>
      <c r="I1317" s="15"/>
      <c r="AE1317" s="11"/>
      <c r="AG1317" s="18"/>
    </row>
    <row r="1318" spans="2:33" ht="12.75">
      <c r="B1318" s="11"/>
      <c r="F1318" s="13"/>
      <c r="G1318" s="14"/>
      <c r="I1318" s="15"/>
      <c r="AE1318" s="11"/>
      <c r="AG1318" s="18"/>
    </row>
    <row r="1319" spans="2:33" ht="12.75">
      <c r="B1319" s="11"/>
      <c r="F1319" s="13"/>
      <c r="G1319" s="14"/>
      <c r="I1319" s="15"/>
      <c r="AE1319" s="11"/>
      <c r="AG1319" s="18"/>
    </row>
    <row r="1320" spans="2:33" ht="12.75">
      <c r="B1320" s="11"/>
      <c r="F1320" s="13"/>
      <c r="G1320" s="14"/>
      <c r="I1320" s="15"/>
      <c r="AE1320" s="11"/>
      <c r="AG1320" s="18"/>
    </row>
    <row r="1321" spans="2:33" ht="12.75">
      <c r="B1321" s="11"/>
      <c r="F1321" s="13"/>
      <c r="G1321" s="14"/>
      <c r="I1321" s="15"/>
      <c r="AE1321" s="11"/>
      <c r="AG1321" s="18"/>
    </row>
    <row r="1322" spans="2:33" ht="12.75">
      <c r="B1322" s="11"/>
      <c r="F1322" s="13"/>
      <c r="G1322" s="14"/>
      <c r="I1322" s="15"/>
      <c r="AE1322" s="11"/>
      <c r="AG1322" s="18"/>
    </row>
    <row r="1323" spans="2:33" ht="12.75">
      <c r="B1323" s="11"/>
      <c r="F1323" s="13"/>
      <c r="G1323" s="14"/>
      <c r="I1323" s="15"/>
      <c r="AE1323" s="11"/>
      <c r="AG1323" s="18"/>
    </row>
    <row r="1324" spans="2:33" ht="12.75">
      <c r="B1324" s="11"/>
      <c r="F1324" s="13"/>
      <c r="G1324" s="14"/>
      <c r="I1324" s="15"/>
      <c r="AE1324" s="11"/>
      <c r="AG1324" s="18"/>
    </row>
    <row r="1325" spans="2:33" ht="12.75">
      <c r="B1325" s="11"/>
      <c r="F1325" s="13"/>
      <c r="G1325" s="14"/>
      <c r="I1325" s="15"/>
      <c r="AE1325" s="11"/>
      <c r="AG1325" s="18"/>
    </row>
    <row r="1326" spans="2:33" ht="12.75">
      <c r="B1326" s="11"/>
      <c r="F1326" s="13"/>
      <c r="G1326" s="14"/>
      <c r="I1326" s="15"/>
      <c r="AE1326" s="11"/>
      <c r="AG1326" s="18"/>
    </row>
    <row r="1327" spans="2:33" ht="12.75">
      <c r="B1327" s="11"/>
      <c r="F1327" s="13"/>
      <c r="G1327" s="14"/>
      <c r="I1327" s="15"/>
      <c r="AE1327" s="11"/>
      <c r="AG1327" s="18"/>
    </row>
    <row r="1328" spans="2:33" ht="12.75">
      <c r="B1328" s="11"/>
      <c r="F1328" s="13"/>
      <c r="G1328" s="14"/>
      <c r="I1328" s="15"/>
      <c r="AE1328" s="11"/>
      <c r="AG1328" s="18"/>
    </row>
    <row r="1329" spans="2:33" ht="12.75">
      <c r="B1329" s="11"/>
      <c r="F1329" s="13"/>
      <c r="G1329" s="14"/>
      <c r="I1329" s="15"/>
      <c r="AE1329" s="11"/>
      <c r="AG1329" s="18"/>
    </row>
    <row r="1330" spans="2:33" ht="12.75">
      <c r="B1330" s="11"/>
      <c r="F1330" s="13"/>
      <c r="G1330" s="14"/>
      <c r="I1330" s="15"/>
      <c r="AE1330" s="11"/>
      <c r="AG1330" s="18"/>
    </row>
    <row r="1331" spans="2:33" ht="12.75">
      <c r="B1331" s="11"/>
      <c r="F1331" s="13"/>
      <c r="G1331" s="14"/>
      <c r="I1331" s="15"/>
      <c r="AE1331" s="11"/>
      <c r="AG1331" s="18"/>
    </row>
    <row r="1332" spans="2:33" ht="12.75">
      <c r="B1332" s="11"/>
      <c r="F1332" s="13"/>
      <c r="G1332" s="14"/>
      <c r="I1332" s="15"/>
      <c r="AE1332" s="11"/>
      <c r="AG1332" s="18"/>
    </row>
    <row r="1333" spans="2:33" ht="12.75">
      <c r="B1333" s="11"/>
      <c r="F1333" s="13"/>
      <c r="G1333" s="14"/>
      <c r="I1333" s="15"/>
      <c r="AE1333" s="11"/>
      <c r="AG1333" s="18"/>
    </row>
    <row r="1334" spans="2:33" ht="12.75">
      <c r="B1334" s="11"/>
      <c r="F1334" s="13"/>
      <c r="G1334" s="14"/>
      <c r="I1334" s="15"/>
      <c r="AE1334" s="11"/>
      <c r="AG1334" s="18"/>
    </row>
    <row r="1335" spans="2:33" ht="12.75">
      <c r="B1335" s="11"/>
      <c r="F1335" s="13"/>
      <c r="G1335" s="14"/>
      <c r="I1335" s="15"/>
      <c r="AE1335" s="11"/>
      <c r="AG1335" s="18"/>
    </row>
    <row r="1336" spans="2:33" ht="12.75">
      <c r="B1336" s="11"/>
      <c r="F1336" s="13"/>
      <c r="G1336" s="14"/>
      <c r="I1336" s="15"/>
      <c r="AE1336" s="11"/>
      <c r="AG1336" s="18"/>
    </row>
    <row r="1337" spans="2:33" ht="12.75">
      <c r="B1337" s="11"/>
      <c r="F1337" s="13"/>
      <c r="G1337" s="14"/>
      <c r="I1337" s="15"/>
      <c r="AE1337" s="11"/>
      <c r="AG1337" s="18"/>
    </row>
    <row r="1338" spans="2:33" ht="12.75">
      <c r="B1338" s="11"/>
      <c r="F1338" s="13"/>
      <c r="G1338" s="14"/>
      <c r="I1338" s="15"/>
      <c r="AE1338" s="11"/>
      <c r="AG1338" s="18"/>
    </row>
    <row r="1339" spans="2:33" ht="12.75">
      <c r="B1339" s="11"/>
      <c r="F1339" s="13"/>
      <c r="G1339" s="14"/>
      <c r="I1339" s="15"/>
      <c r="AE1339" s="11"/>
      <c r="AG1339" s="18"/>
    </row>
    <row r="1340" spans="2:33" ht="12.75">
      <c r="B1340" s="11"/>
      <c r="F1340" s="13"/>
      <c r="G1340" s="14"/>
      <c r="I1340" s="15"/>
      <c r="AE1340" s="11"/>
      <c r="AG1340" s="18"/>
    </row>
    <row r="1341" spans="2:33" ht="12.75">
      <c r="B1341" s="11"/>
      <c r="F1341" s="13"/>
      <c r="G1341" s="14"/>
      <c r="I1341" s="15"/>
      <c r="AE1341" s="11"/>
      <c r="AG1341" s="18"/>
    </row>
    <row r="1342" spans="2:33" ht="12.75">
      <c r="B1342" s="11"/>
      <c r="F1342" s="13"/>
      <c r="G1342" s="14"/>
      <c r="I1342" s="15"/>
      <c r="AE1342" s="11"/>
      <c r="AG1342" s="18"/>
    </row>
    <row r="1343" spans="2:33" ht="12.75">
      <c r="B1343" s="11"/>
      <c r="F1343" s="13"/>
      <c r="G1343" s="14"/>
      <c r="I1343" s="15"/>
      <c r="AE1343" s="11"/>
      <c r="AG1343" s="18"/>
    </row>
    <row r="1344" spans="2:33" ht="12.75">
      <c r="B1344" s="11"/>
      <c r="F1344" s="13"/>
      <c r="G1344" s="14"/>
      <c r="I1344" s="15"/>
      <c r="AE1344" s="11"/>
      <c r="AG1344" s="18"/>
    </row>
    <row r="1345" spans="2:33" ht="12.75">
      <c r="B1345" s="11"/>
      <c r="F1345" s="13"/>
      <c r="G1345" s="14"/>
      <c r="I1345" s="15"/>
      <c r="AE1345" s="11"/>
      <c r="AG1345" s="18"/>
    </row>
    <row r="1346" spans="2:33" ht="12.75">
      <c r="B1346" s="11"/>
      <c r="F1346" s="13"/>
      <c r="G1346" s="14"/>
      <c r="I1346" s="15"/>
      <c r="AE1346" s="11"/>
      <c r="AG1346" s="18"/>
    </row>
    <row r="1347" spans="2:33" ht="12.75">
      <c r="B1347" s="11"/>
      <c r="F1347" s="13"/>
      <c r="G1347" s="14"/>
      <c r="I1347" s="15"/>
      <c r="AE1347" s="11"/>
      <c r="AG1347" s="18"/>
    </row>
    <row r="1348" spans="2:33" ht="12.75">
      <c r="B1348" s="11"/>
      <c r="F1348" s="13"/>
      <c r="G1348" s="14"/>
      <c r="I1348" s="15"/>
      <c r="AE1348" s="11"/>
      <c r="AG1348" s="18"/>
    </row>
    <row r="1349" spans="2:33" ht="12.75">
      <c r="B1349" s="11"/>
      <c r="F1349" s="13"/>
      <c r="G1349" s="14"/>
      <c r="I1349" s="15"/>
      <c r="AE1349" s="11"/>
      <c r="AG1349" s="18"/>
    </row>
    <row r="1350" spans="2:33" ht="12.75">
      <c r="B1350" s="11"/>
      <c r="F1350" s="13"/>
      <c r="G1350" s="14"/>
      <c r="I1350" s="15"/>
      <c r="AE1350" s="11"/>
      <c r="AG1350" s="18"/>
    </row>
    <row r="1351" spans="2:33" ht="12.75">
      <c r="B1351" s="11"/>
      <c r="F1351" s="13"/>
      <c r="G1351" s="14"/>
      <c r="I1351" s="15"/>
      <c r="AE1351" s="11"/>
      <c r="AG1351" s="18"/>
    </row>
    <row r="1352" spans="2:33" ht="12.75">
      <c r="B1352" s="11"/>
      <c r="F1352" s="13"/>
      <c r="G1352" s="14"/>
      <c r="I1352" s="15"/>
      <c r="AE1352" s="11"/>
      <c r="AG1352" s="18"/>
    </row>
    <row r="1353" spans="2:33" ht="12.75">
      <c r="B1353" s="11"/>
      <c r="F1353" s="13"/>
      <c r="G1353" s="14"/>
      <c r="I1353" s="15"/>
      <c r="AE1353" s="11"/>
      <c r="AG1353" s="18"/>
    </row>
    <row r="1354" spans="2:33" ht="12.75">
      <c r="B1354" s="11"/>
      <c r="F1354" s="13"/>
      <c r="G1354" s="14"/>
      <c r="I1354" s="15"/>
      <c r="AE1354" s="11"/>
      <c r="AG1354" s="18"/>
    </row>
    <row r="1355" spans="2:33" ht="12.75">
      <c r="B1355" s="11"/>
      <c r="F1355" s="13"/>
      <c r="G1355" s="14"/>
      <c r="I1355" s="15"/>
      <c r="AE1355" s="11"/>
      <c r="AG1355" s="18"/>
    </row>
    <row r="1356" spans="2:33" ht="12.75">
      <c r="B1356" s="11"/>
      <c r="F1356" s="13"/>
      <c r="G1356" s="14"/>
      <c r="I1356" s="15"/>
      <c r="AE1356" s="11"/>
      <c r="AG1356" s="18"/>
    </row>
    <row r="1357" spans="2:33" ht="12.75">
      <c r="B1357" s="11"/>
      <c r="F1357" s="13"/>
      <c r="G1357" s="14"/>
      <c r="I1357" s="15"/>
      <c r="AE1357" s="11"/>
      <c r="AG1357" s="18"/>
    </row>
    <row r="1358" spans="2:33" ht="12.75">
      <c r="B1358" s="11"/>
      <c r="F1358" s="13"/>
      <c r="G1358" s="14"/>
      <c r="I1358" s="15"/>
      <c r="AE1358" s="11"/>
      <c r="AG1358" s="18"/>
    </row>
    <row r="1359" spans="2:33" ht="12.75">
      <c r="B1359" s="11"/>
      <c r="F1359" s="13"/>
      <c r="G1359" s="14"/>
      <c r="I1359" s="15"/>
      <c r="AE1359" s="11"/>
      <c r="AG1359" s="18"/>
    </row>
    <row r="1360" spans="2:33" ht="12.75">
      <c r="B1360" s="11"/>
      <c r="F1360" s="13"/>
      <c r="G1360" s="14"/>
      <c r="I1360" s="15"/>
      <c r="AE1360" s="11"/>
      <c r="AG1360" s="18"/>
    </row>
    <row r="1361" spans="2:33" ht="12.75">
      <c r="B1361" s="11"/>
      <c r="F1361" s="13"/>
      <c r="G1361" s="14"/>
      <c r="I1361" s="15"/>
      <c r="AE1361" s="11"/>
      <c r="AG1361" s="18"/>
    </row>
    <row r="1362" spans="2:33" ht="12.75">
      <c r="B1362" s="11"/>
      <c r="F1362" s="13"/>
      <c r="G1362" s="14"/>
      <c r="I1362" s="15"/>
      <c r="AE1362" s="11"/>
      <c r="AG1362" s="18"/>
    </row>
    <row r="1363" spans="2:33" ht="12.75">
      <c r="B1363" s="11"/>
      <c r="F1363" s="13"/>
      <c r="G1363" s="14"/>
      <c r="I1363" s="15"/>
      <c r="AE1363" s="11"/>
      <c r="AG1363" s="18"/>
    </row>
    <row r="1364" spans="2:33" ht="12.75">
      <c r="B1364" s="11"/>
      <c r="F1364" s="13"/>
      <c r="G1364" s="14"/>
      <c r="I1364" s="15"/>
      <c r="AE1364" s="11"/>
      <c r="AG1364" s="18"/>
    </row>
    <row r="1365" spans="2:33" ht="12.75">
      <c r="B1365" s="11"/>
      <c r="F1365" s="13"/>
      <c r="G1365" s="14"/>
      <c r="I1365" s="15"/>
      <c r="AE1365" s="11"/>
      <c r="AG1365" s="18"/>
    </row>
    <row r="1366" spans="2:33" ht="12.75">
      <c r="B1366" s="11"/>
      <c r="F1366" s="13"/>
      <c r="G1366" s="14"/>
      <c r="I1366" s="15"/>
      <c r="AE1366" s="11"/>
      <c r="AG1366" s="18"/>
    </row>
    <row r="1367" spans="2:33" ht="12.75">
      <c r="B1367" s="11"/>
      <c r="F1367" s="13"/>
      <c r="G1367" s="14"/>
      <c r="I1367" s="15"/>
      <c r="AE1367" s="11"/>
      <c r="AG1367" s="18"/>
    </row>
    <row r="1368" spans="2:33" ht="12.75">
      <c r="B1368" s="11"/>
      <c r="F1368" s="13"/>
      <c r="G1368" s="14"/>
      <c r="I1368" s="15"/>
      <c r="AE1368" s="11"/>
      <c r="AG1368" s="18"/>
    </row>
    <row r="1369" spans="2:33" ht="12.75">
      <c r="B1369" s="11"/>
      <c r="F1369" s="13"/>
      <c r="G1369" s="14"/>
      <c r="I1369" s="15"/>
      <c r="AE1369" s="11"/>
      <c r="AG1369" s="18"/>
    </row>
    <row r="1370" spans="2:33" ht="12.75">
      <c r="B1370" s="11"/>
      <c r="F1370" s="13"/>
      <c r="G1370" s="14"/>
      <c r="I1370" s="15"/>
      <c r="AE1370" s="11"/>
      <c r="AG1370" s="18"/>
    </row>
    <row r="1371" spans="2:33" ht="12.75">
      <c r="B1371" s="11"/>
      <c r="F1371" s="13"/>
      <c r="G1371" s="14"/>
      <c r="I1371" s="15"/>
      <c r="AE1371" s="11"/>
      <c r="AG1371" s="18"/>
    </row>
    <row r="1372" spans="2:33" ht="12.75">
      <c r="B1372" s="11"/>
      <c r="F1372" s="13"/>
      <c r="G1372" s="14"/>
      <c r="I1372" s="15"/>
      <c r="AE1372" s="11"/>
      <c r="AG1372" s="18"/>
    </row>
    <row r="1373" spans="2:33" ht="12.75">
      <c r="B1373" s="11"/>
      <c r="F1373" s="13"/>
      <c r="G1373" s="14"/>
      <c r="I1373" s="15"/>
      <c r="AE1373" s="11"/>
      <c r="AG1373" s="18"/>
    </row>
    <row r="1374" spans="2:33" ht="12.75">
      <c r="B1374" s="11"/>
      <c r="F1374" s="13"/>
      <c r="G1374" s="14"/>
      <c r="I1374" s="15"/>
      <c r="AE1374" s="11"/>
      <c r="AG1374" s="18"/>
    </row>
    <row r="1375" spans="2:33" ht="12.75">
      <c r="B1375" s="11"/>
      <c r="F1375" s="13"/>
      <c r="G1375" s="14"/>
      <c r="I1375" s="15"/>
      <c r="AE1375" s="11"/>
      <c r="AG1375" s="18"/>
    </row>
    <row r="1376" spans="2:33" ht="12.75">
      <c r="B1376" s="11"/>
      <c r="F1376" s="13"/>
      <c r="G1376" s="14"/>
      <c r="I1376" s="15"/>
      <c r="AE1376" s="11"/>
      <c r="AG1376" s="18"/>
    </row>
    <row r="1377" spans="2:33" ht="12.75">
      <c r="B1377" s="11"/>
      <c r="F1377" s="13"/>
      <c r="G1377" s="14"/>
      <c r="I1377" s="15"/>
      <c r="AE1377" s="11"/>
      <c r="AG1377" s="18"/>
    </row>
    <row r="1378" spans="2:33" ht="12.75">
      <c r="B1378" s="11"/>
      <c r="F1378" s="13"/>
      <c r="G1378" s="14"/>
      <c r="I1378" s="15"/>
      <c r="AE1378" s="11"/>
      <c r="AG1378" s="18"/>
    </row>
    <row r="1379" spans="2:33" ht="12.75">
      <c r="B1379" s="11"/>
      <c r="F1379" s="13"/>
      <c r="G1379" s="14"/>
      <c r="I1379" s="15"/>
      <c r="AE1379" s="11"/>
      <c r="AG1379" s="18"/>
    </row>
    <row r="1380" spans="2:33" ht="12.75">
      <c r="B1380" s="11"/>
      <c r="F1380" s="13"/>
      <c r="G1380" s="14"/>
      <c r="I1380" s="15"/>
      <c r="AE1380" s="11"/>
      <c r="AG1380" s="18"/>
    </row>
    <row r="1381" spans="2:33" ht="12.75">
      <c r="B1381" s="11"/>
      <c r="F1381" s="13"/>
      <c r="G1381" s="14"/>
      <c r="I1381" s="15"/>
      <c r="AE1381" s="11"/>
      <c r="AG1381" s="18"/>
    </row>
    <row r="1382" spans="2:33" ht="12.75">
      <c r="B1382" s="11"/>
      <c r="F1382" s="13"/>
      <c r="G1382" s="14"/>
      <c r="I1382" s="15"/>
      <c r="AE1382" s="11"/>
      <c r="AG1382" s="18"/>
    </row>
    <row r="1383" spans="2:33" ht="12.75">
      <c r="B1383" s="11"/>
      <c r="F1383" s="13"/>
      <c r="G1383" s="14"/>
      <c r="I1383" s="15"/>
      <c r="AE1383" s="11"/>
      <c r="AG1383" s="18"/>
    </row>
    <row r="1384" spans="2:33" ht="12.75">
      <c r="B1384" s="11"/>
      <c r="F1384" s="13"/>
      <c r="G1384" s="14"/>
      <c r="I1384" s="15"/>
      <c r="AE1384" s="11"/>
      <c r="AG1384" s="18"/>
    </row>
    <row r="1385" spans="2:33" ht="12.75">
      <c r="B1385" s="11"/>
      <c r="F1385" s="13"/>
      <c r="G1385" s="14"/>
      <c r="I1385" s="15"/>
      <c r="AE1385" s="11"/>
      <c r="AG1385" s="18"/>
    </row>
    <row r="1386" spans="2:33" ht="12.75">
      <c r="B1386" s="11"/>
      <c r="F1386" s="13"/>
      <c r="G1386" s="14"/>
      <c r="I1386" s="15"/>
      <c r="AE1386" s="11"/>
      <c r="AG1386" s="18"/>
    </row>
    <row r="1387" spans="2:33" ht="12.75">
      <c r="B1387" s="11"/>
      <c r="F1387" s="13"/>
      <c r="G1387" s="14"/>
      <c r="I1387" s="15"/>
      <c r="AE1387" s="11"/>
      <c r="AG1387" s="18"/>
    </row>
    <row r="1388" spans="2:33" ht="12.75">
      <c r="B1388" s="11"/>
      <c r="F1388" s="13"/>
      <c r="G1388" s="14"/>
      <c r="I1388" s="15"/>
      <c r="AE1388" s="11"/>
      <c r="AG1388" s="18"/>
    </row>
    <row r="1389" spans="2:33" ht="12.75">
      <c r="B1389" s="11"/>
      <c r="F1389" s="13"/>
      <c r="G1389" s="14"/>
      <c r="I1389" s="15"/>
      <c r="AE1389" s="11"/>
      <c r="AG1389" s="18"/>
    </row>
    <row r="1390" spans="2:33" ht="12.75">
      <c r="B1390" s="11"/>
      <c r="F1390" s="13"/>
      <c r="G1390" s="14"/>
      <c r="I1390" s="15"/>
      <c r="AE1390" s="11"/>
      <c r="AG1390" s="18"/>
    </row>
    <row r="1391" spans="2:33" ht="12.75">
      <c r="B1391" s="11"/>
      <c r="F1391" s="13"/>
      <c r="G1391" s="14"/>
      <c r="I1391" s="15"/>
      <c r="AE1391" s="11"/>
      <c r="AG1391" s="18"/>
    </row>
    <row r="1392" spans="2:33" ht="12.75">
      <c r="B1392" s="11"/>
      <c r="F1392" s="13"/>
      <c r="G1392" s="14"/>
      <c r="I1392" s="15"/>
      <c r="AE1392" s="11"/>
      <c r="AG1392" s="18"/>
    </row>
    <row r="1393" spans="2:33" ht="12.75">
      <c r="B1393" s="11"/>
      <c r="F1393" s="13"/>
      <c r="G1393" s="14"/>
      <c r="I1393" s="15"/>
      <c r="AE1393" s="11"/>
      <c r="AG1393" s="18"/>
    </row>
    <row r="1394" spans="2:33" ht="12.75">
      <c r="B1394" s="11"/>
      <c r="F1394" s="13"/>
      <c r="G1394" s="14"/>
      <c r="I1394" s="15"/>
      <c r="AE1394" s="11"/>
      <c r="AG1394" s="18"/>
    </row>
    <row r="1395" spans="2:33" ht="12.75">
      <c r="B1395" s="11"/>
      <c r="F1395" s="13"/>
      <c r="G1395" s="14"/>
      <c r="I1395" s="15"/>
      <c r="AE1395" s="11"/>
      <c r="AG1395" s="18"/>
    </row>
    <row r="1396" spans="2:33" ht="12.75">
      <c r="B1396" s="11"/>
      <c r="F1396" s="13"/>
      <c r="G1396" s="14"/>
      <c r="I1396" s="15"/>
      <c r="AE1396" s="11"/>
      <c r="AG1396" s="18"/>
    </row>
    <row r="1397" spans="2:33" ht="12.75">
      <c r="B1397" s="11"/>
      <c r="F1397" s="13"/>
      <c r="G1397" s="14"/>
      <c r="I1397" s="15"/>
      <c r="AE1397" s="11"/>
      <c r="AG1397" s="18"/>
    </row>
    <row r="1398" spans="2:33" ht="12.75">
      <c r="B1398" s="11"/>
      <c r="F1398" s="13"/>
      <c r="G1398" s="14"/>
      <c r="I1398" s="15"/>
      <c r="AE1398" s="11"/>
      <c r="AG1398" s="18"/>
    </row>
    <row r="1399" spans="2:33" ht="12.75">
      <c r="B1399" s="11"/>
      <c r="F1399" s="13"/>
      <c r="G1399" s="14"/>
      <c r="I1399" s="15"/>
      <c r="AE1399" s="11"/>
      <c r="AG1399" s="18"/>
    </row>
    <row r="1400" spans="2:33" ht="12.75">
      <c r="B1400" s="11"/>
      <c r="F1400" s="13"/>
      <c r="G1400" s="14"/>
      <c r="I1400" s="15"/>
      <c r="AE1400" s="11"/>
      <c r="AG1400" s="18"/>
    </row>
    <row r="1401" spans="2:33" ht="12.75">
      <c r="B1401" s="11"/>
      <c r="F1401" s="13"/>
      <c r="G1401" s="14"/>
      <c r="I1401" s="15"/>
      <c r="AE1401" s="11"/>
      <c r="AG1401" s="18"/>
    </row>
    <row r="1402" spans="2:33" ht="12.75">
      <c r="B1402" s="11"/>
      <c r="F1402" s="13"/>
      <c r="G1402" s="14"/>
      <c r="I1402" s="15"/>
      <c r="AE1402" s="11"/>
      <c r="AG1402" s="18"/>
    </row>
    <row r="1403" spans="2:33" ht="12.75">
      <c r="B1403" s="11"/>
      <c r="F1403" s="13"/>
      <c r="G1403" s="14"/>
      <c r="I1403" s="15"/>
      <c r="AE1403" s="11"/>
      <c r="AG1403" s="18"/>
    </row>
    <row r="1404" spans="2:33" ht="12.75">
      <c r="B1404" s="11"/>
      <c r="F1404" s="13"/>
      <c r="G1404" s="14"/>
      <c r="I1404" s="15"/>
      <c r="AE1404" s="11"/>
      <c r="AG1404" s="18"/>
    </row>
    <row r="1405" spans="2:33" ht="12.75">
      <c r="B1405" s="11"/>
      <c r="F1405" s="13"/>
      <c r="G1405" s="14"/>
      <c r="I1405" s="15"/>
      <c r="AE1405" s="11"/>
      <c r="AG1405" s="18"/>
    </row>
    <row r="1406" spans="2:33" ht="12.75">
      <c r="B1406" s="11"/>
      <c r="F1406" s="13"/>
      <c r="G1406" s="14"/>
      <c r="I1406" s="15"/>
      <c r="AE1406" s="11"/>
      <c r="AG1406" s="18"/>
    </row>
    <row r="1407" spans="2:33" ht="12.75">
      <c r="B1407" s="11"/>
      <c r="F1407" s="13"/>
      <c r="G1407" s="14"/>
      <c r="I1407" s="15"/>
      <c r="AE1407" s="11"/>
      <c r="AG1407" s="18"/>
    </row>
    <row r="1408" spans="2:33" ht="12.75">
      <c r="B1408" s="11"/>
      <c r="F1408" s="13"/>
      <c r="G1408" s="14"/>
      <c r="I1408" s="15"/>
      <c r="AE1408" s="11"/>
      <c r="AG1408" s="18"/>
    </row>
    <row r="1409" spans="2:33" ht="12.75">
      <c r="B1409" s="11"/>
      <c r="F1409" s="13"/>
      <c r="G1409" s="14"/>
      <c r="I1409" s="15"/>
      <c r="AE1409" s="11"/>
      <c r="AG1409" s="18"/>
    </row>
    <row r="1410" spans="2:33" ht="12.75">
      <c r="B1410" s="11"/>
      <c r="F1410" s="13"/>
      <c r="G1410" s="14"/>
      <c r="I1410" s="15"/>
      <c r="AE1410" s="11"/>
      <c r="AG1410" s="18"/>
    </row>
    <row r="1411" spans="2:33" ht="12.75">
      <c r="B1411" s="11"/>
      <c r="F1411" s="13"/>
      <c r="G1411" s="14"/>
      <c r="I1411" s="15"/>
      <c r="AE1411" s="11"/>
      <c r="AG1411" s="18"/>
    </row>
    <row r="1412" spans="2:33" ht="12.75">
      <c r="B1412" s="11"/>
      <c r="F1412" s="13"/>
      <c r="G1412" s="14"/>
      <c r="I1412" s="15"/>
      <c r="AE1412" s="11"/>
      <c r="AG1412" s="18"/>
    </row>
    <row r="1413" spans="2:33" ht="12.75">
      <c r="B1413" s="11"/>
      <c r="F1413" s="13"/>
      <c r="G1413" s="14"/>
      <c r="I1413" s="15"/>
      <c r="AE1413" s="11"/>
      <c r="AG1413" s="18"/>
    </row>
    <row r="1414" spans="2:33" ht="12.75">
      <c r="B1414" s="11"/>
      <c r="F1414" s="13"/>
      <c r="G1414" s="14"/>
      <c r="I1414" s="15"/>
      <c r="AE1414" s="11"/>
      <c r="AG1414" s="18"/>
    </row>
    <row r="1415" spans="2:33" ht="12.75">
      <c r="B1415" s="11"/>
      <c r="F1415" s="13"/>
      <c r="G1415" s="14"/>
      <c r="I1415" s="15"/>
      <c r="AE1415" s="11"/>
      <c r="AG1415" s="18"/>
    </row>
    <row r="1416" spans="2:33" ht="12.75">
      <c r="B1416" s="11"/>
      <c r="F1416" s="13"/>
      <c r="G1416" s="14"/>
      <c r="I1416" s="15"/>
      <c r="AE1416" s="11"/>
      <c r="AG1416" s="18"/>
    </row>
    <row r="1417" spans="2:33" ht="12.75">
      <c r="B1417" s="11"/>
      <c r="F1417" s="13"/>
      <c r="G1417" s="14"/>
      <c r="I1417" s="15"/>
      <c r="AE1417" s="11"/>
      <c r="AG1417" s="18"/>
    </row>
    <row r="1418" spans="2:33" ht="12.75">
      <c r="B1418" s="11"/>
      <c r="F1418" s="13"/>
      <c r="G1418" s="14"/>
      <c r="I1418" s="15"/>
      <c r="AE1418" s="11"/>
      <c r="AG1418" s="18"/>
    </row>
    <row r="1419" spans="2:33" ht="12.75">
      <c r="B1419" s="11"/>
      <c r="F1419" s="13"/>
      <c r="G1419" s="14"/>
      <c r="I1419" s="15"/>
      <c r="AE1419" s="11"/>
      <c r="AG1419" s="18"/>
    </row>
    <row r="1420" spans="2:33" ht="12.75">
      <c r="B1420" s="11"/>
      <c r="F1420" s="13"/>
      <c r="G1420" s="14"/>
      <c r="I1420" s="15"/>
      <c r="AE1420" s="11"/>
      <c r="AG1420" s="18"/>
    </row>
    <row r="1421" spans="2:33" ht="12.75">
      <c r="B1421" s="11"/>
      <c r="F1421" s="13"/>
      <c r="G1421" s="14"/>
      <c r="I1421" s="15"/>
      <c r="AE1421" s="11"/>
      <c r="AG1421" s="18"/>
    </row>
    <row r="1422" spans="2:33" ht="12.75">
      <c r="B1422" s="11"/>
      <c r="F1422" s="13"/>
      <c r="G1422" s="14"/>
      <c r="I1422" s="15"/>
      <c r="AE1422" s="11"/>
      <c r="AG1422" s="18"/>
    </row>
    <row r="1423" spans="2:33" ht="12.75">
      <c r="B1423" s="11"/>
      <c r="F1423" s="13"/>
      <c r="G1423" s="14"/>
      <c r="I1423" s="15"/>
      <c r="AE1423" s="11"/>
      <c r="AG1423" s="18"/>
    </row>
    <row r="1424" spans="2:33" ht="12.75">
      <c r="B1424" s="11"/>
      <c r="F1424" s="13"/>
      <c r="G1424" s="14"/>
      <c r="I1424" s="15"/>
      <c r="AE1424" s="11"/>
      <c r="AG1424" s="18"/>
    </row>
    <row r="1425" spans="2:33" ht="12.75">
      <c r="B1425" s="11"/>
      <c r="F1425" s="13"/>
      <c r="G1425" s="14"/>
      <c r="I1425" s="15"/>
      <c r="AE1425" s="11"/>
      <c r="AG1425" s="18"/>
    </row>
    <row r="1426" spans="2:33" ht="12.75">
      <c r="B1426" s="11"/>
      <c r="F1426" s="13"/>
      <c r="G1426" s="14"/>
      <c r="I1426" s="15"/>
      <c r="AE1426" s="11"/>
      <c r="AG1426" s="18"/>
    </row>
    <row r="1427" spans="2:33" ht="12.75">
      <c r="B1427" s="11"/>
      <c r="F1427" s="13"/>
      <c r="G1427" s="14"/>
      <c r="I1427" s="15"/>
      <c r="AE1427" s="11"/>
      <c r="AG1427" s="18"/>
    </row>
    <row r="1428" spans="2:33" ht="12.75">
      <c r="B1428" s="11"/>
      <c r="F1428" s="13"/>
      <c r="G1428" s="14"/>
      <c r="I1428" s="15"/>
      <c r="AE1428" s="11"/>
      <c r="AG1428" s="18"/>
    </row>
    <row r="1429" spans="2:33" ht="12.75">
      <c r="B1429" s="11"/>
      <c r="F1429" s="13"/>
      <c r="G1429" s="14"/>
      <c r="I1429" s="15"/>
      <c r="AE1429" s="11"/>
      <c r="AG1429" s="18"/>
    </row>
    <row r="1430" spans="2:33" ht="12.75">
      <c r="B1430" s="11"/>
      <c r="F1430" s="13"/>
      <c r="G1430" s="14"/>
      <c r="I1430" s="15"/>
      <c r="AE1430" s="11"/>
      <c r="AG1430" s="18"/>
    </row>
    <row r="1431" spans="2:33" ht="12.75">
      <c r="B1431" s="11"/>
      <c r="F1431" s="13"/>
      <c r="G1431" s="14"/>
      <c r="I1431" s="15"/>
      <c r="AE1431" s="11"/>
      <c r="AG1431" s="18"/>
    </row>
    <row r="1432" spans="2:33" ht="12.75">
      <c r="B1432" s="11"/>
      <c r="F1432" s="13"/>
      <c r="G1432" s="14"/>
      <c r="I1432" s="15"/>
      <c r="AE1432" s="11"/>
      <c r="AG1432" s="18"/>
    </row>
    <row r="1433" spans="2:33" ht="12.75">
      <c r="B1433" s="11"/>
      <c r="F1433" s="13"/>
      <c r="G1433" s="14"/>
      <c r="I1433" s="15"/>
      <c r="AE1433" s="11"/>
      <c r="AG1433" s="18"/>
    </row>
    <row r="1434" spans="2:33" ht="12.75">
      <c r="B1434" s="11"/>
      <c r="F1434" s="13"/>
      <c r="G1434" s="14"/>
      <c r="I1434" s="15"/>
      <c r="AE1434" s="11"/>
      <c r="AG1434" s="18"/>
    </row>
    <row r="1435" spans="2:33" ht="12.75">
      <c r="B1435" s="11"/>
      <c r="F1435" s="13"/>
      <c r="G1435" s="14"/>
      <c r="I1435" s="15"/>
      <c r="AE1435" s="11"/>
      <c r="AG1435" s="18"/>
    </row>
    <row r="1436" spans="2:33" ht="12.75">
      <c r="B1436" s="11"/>
      <c r="F1436" s="13"/>
      <c r="G1436" s="14"/>
      <c r="I1436" s="15"/>
      <c r="AE1436" s="11"/>
      <c r="AG1436" s="18"/>
    </row>
    <row r="1437" spans="2:33" ht="12.75">
      <c r="B1437" s="11"/>
      <c r="F1437" s="13"/>
      <c r="G1437" s="14"/>
      <c r="I1437" s="15"/>
      <c r="AE1437" s="11"/>
      <c r="AG1437" s="18"/>
    </row>
    <row r="1438" spans="2:33" ht="12.75">
      <c r="B1438" s="11"/>
      <c r="F1438" s="13"/>
      <c r="G1438" s="14"/>
      <c r="I1438" s="15"/>
      <c r="AE1438" s="11"/>
      <c r="AG1438" s="18"/>
    </row>
    <row r="1439" spans="2:33" ht="12.75">
      <c r="B1439" s="11"/>
      <c r="F1439" s="13"/>
      <c r="G1439" s="14"/>
      <c r="I1439" s="15"/>
      <c r="AE1439" s="11"/>
      <c r="AG1439" s="18"/>
    </row>
    <row r="1440" spans="2:33" ht="12.75">
      <c r="B1440" s="11"/>
      <c r="F1440" s="13"/>
      <c r="G1440" s="14"/>
      <c r="I1440" s="15"/>
      <c r="AE1440" s="11"/>
      <c r="AG1440" s="18"/>
    </row>
    <row r="1441" spans="2:33" ht="12.75">
      <c r="B1441" s="11"/>
      <c r="F1441" s="13"/>
      <c r="G1441" s="14"/>
      <c r="I1441" s="15"/>
      <c r="AE1441" s="11"/>
      <c r="AG1441" s="18"/>
    </row>
    <row r="1442" spans="2:33" ht="12.75">
      <c r="B1442" s="11"/>
      <c r="F1442" s="13"/>
      <c r="G1442" s="14"/>
      <c r="I1442" s="15"/>
      <c r="AE1442" s="11"/>
      <c r="AG1442" s="18"/>
    </row>
    <row r="1443" spans="2:33" ht="12.75">
      <c r="B1443" s="11"/>
      <c r="F1443" s="13"/>
      <c r="G1443" s="14"/>
      <c r="I1443" s="15"/>
      <c r="AE1443" s="11"/>
      <c r="AG1443" s="18"/>
    </row>
    <row r="1444" spans="2:33" ht="12.75">
      <c r="B1444" s="11"/>
      <c r="F1444" s="13"/>
      <c r="G1444" s="14"/>
      <c r="I1444" s="15"/>
      <c r="AE1444" s="11"/>
      <c r="AG1444" s="18"/>
    </row>
    <row r="1445" spans="2:33" ht="12.75">
      <c r="B1445" s="11"/>
      <c r="F1445" s="13"/>
      <c r="G1445" s="14"/>
      <c r="I1445" s="15"/>
      <c r="AE1445" s="11"/>
      <c r="AG1445" s="18"/>
    </row>
    <row r="1446" spans="2:33" ht="12.75">
      <c r="B1446" s="11"/>
      <c r="F1446" s="13"/>
      <c r="G1446" s="14"/>
      <c r="I1446" s="15"/>
      <c r="AE1446" s="11"/>
      <c r="AG1446" s="18"/>
    </row>
    <row r="1447" spans="2:33" ht="12.75">
      <c r="B1447" s="11"/>
      <c r="F1447" s="13"/>
      <c r="G1447" s="14"/>
      <c r="I1447" s="15"/>
      <c r="AE1447" s="11"/>
      <c r="AG1447" s="18"/>
    </row>
    <row r="1448" spans="2:33" ht="12.75">
      <c r="B1448" s="11"/>
      <c r="F1448" s="13"/>
      <c r="G1448" s="14"/>
      <c r="I1448" s="15"/>
      <c r="AE1448" s="11"/>
      <c r="AG1448" s="18"/>
    </row>
    <row r="1449" spans="2:33" ht="12.75">
      <c r="B1449" s="11"/>
      <c r="F1449" s="13"/>
      <c r="G1449" s="14"/>
      <c r="I1449" s="15"/>
      <c r="AE1449" s="11"/>
      <c r="AG1449" s="18"/>
    </row>
    <row r="1450" spans="2:33" ht="12.75">
      <c r="B1450" s="11"/>
      <c r="F1450" s="13"/>
      <c r="G1450" s="14"/>
      <c r="I1450" s="15"/>
      <c r="AE1450" s="11"/>
      <c r="AG1450" s="18"/>
    </row>
    <row r="1451" spans="2:33" ht="12.75">
      <c r="B1451" s="11"/>
      <c r="F1451" s="13"/>
      <c r="G1451" s="14"/>
      <c r="I1451" s="15"/>
      <c r="AE1451" s="11"/>
      <c r="AG1451" s="18"/>
    </row>
    <row r="1452" spans="2:33" ht="12.75">
      <c r="B1452" s="11"/>
      <c r="F1452" s="13"/>
      <c r="G1452" s="14"/>
      <c r="I1452" s="15"/>
      <c r="AE1452" s="11"/>
      <c r="AG1452" s="18"/>
    </row>
    <row r="1453" spans="2:33" ht="12.75">
      <c r="B1453" s="11"/>
      <c r="F1453" s="13"/>
      <c r="G1453" s="14"/>
      <c r="I1453" s="15"/>
      <c r="AE1453" s="11"/>
      <c r="AG1453" s="18"/>
    </row>
    <row r="1454" spans="2:33" ht="12.75">
      <c r="B1454" s="11"/>
      <c r="F1454" s="13"/>
      <c r="G1454" s="14"/>
      <c r="I1454" s="15"/>
      <c r="AE1454" s="11"/>
      <c r="AG1454" s="18"/>
    </row>
    <row r="1455" spans="2:33" ht="12.75">
      <c r="B1455" s="11"/>
      <c r="F1455" s="13"/>
      <c r="G1455" s="14"/>
      <c r="I1455" s="15"/>
      <c r="AE1455" s="11"/>
      <c r="AG1455" s="18"/>
    </row>
    <row r="1456" spans="2:33" ht="12.75">
      <c r="B1456" s="11"/>
      <c r="F1456" s="13"/>
      <c r="G1456" s="14"/>
      <c r="I1456" s="15"/>
      <c r="AE1456" s="11"/>
      <c r="AG1456" s="18"/>
    </row>
    <row r="1457" spans="2:33" ht="12.75">
      <c r="B1457" s="11"/>
      <c r="F1457" s="13"/>
      <c r="G1457" s="14"/>
      <c r="I1457" s="15"/>
      <c r="AE1457" s="11"/>
      <c r="AG1457" s="18"/>
    </row>
    <row r="1458" spans="2:33" ht="12.75">
      <c r="B1458" s="11"/>
      <c r="F1458" s="13"/>
      <c r="G1458" s="14"/>
      <c r="I1458" s="15"/>
      <c r="AE1458" s="11"/>
      <c r="AG1458" s="18"/>
    </row>
    <row r="1459" spans="2:33" ht="12.75">
      <c r="B1459" s="11"/>
      <c r="F1459" s="13"/>
      <c r="G1459" s="14"/>
      <c r="I1459" s="15"/>
      <c r="AE1459" s="11"/>
      <c r="AG1459" s="18"/>
    </row>
    <row r="1460" spans="2:33" ht="12.75">
      <c r="B1460" s="11"/>
      <c r="F1460" s="13"/>
      <c r="G1460" s="14"/>
      <c r="I1460" s="15"/>
      <c r="AE1460" s="11"/>
      <c r="AG1460" s="18"/>
    </row>
    <row r="1461" spans="2:33" ht="12.75">
      <c r="B1461" s="11"/>
      <c r="F1461" s="13"/>
      <c r="G1461" s="14"/>
      <c r="I1461" s="15"/>
      <c r="AE1461" s="11"/>
      <c r="AG1461" s="18"/>
    </row>
    <row r="1462" spans="2:33" ht="12.75">
      <c r="B1462" s="11"/>
      <c r="F1462" s="13"/>
      <c r="G1462" s="14"/>
      <c r="I1462" s="15"/>
      <c r="AE1462" s="11"/>
      <c r="AG1462" s="18"/>
    </row>
    <row r="1463" spans="2:33" ht="12.75">
      <c r="B1463" s="11"/>
      <c r="F1463" s="13"/>
      <c r="G1463" s="14"/>
      <c r="I1463" s="15"/>
      <c r="AE1463" s="11"/>
      <c r="AG1463" s="18"/>
    </row>
    <row r="1464" spans="2:33" ht="12.75">
      <c r="B1464" s="11"/>
      <c r="F1464" s="13"/>
      <c r="G1464" s="14"/>
      <c r="I1464" s="15"/>
      <c r="AE1464" s="11"/>
      <c r="AG1464" s="18"/>
    </row>
    <row r="1465" spans="2:33" ht="12.75">
      <c r="B1465" s="11"/>
      <c r="F1465" s="13"/>
      <c r="G1465" s="14"/>
      <c r="I1465" s="15"/>
      <c r="AE1465" s="11"/>
      <c r="AG1465" s="18"/>
    </row>
    <row r="1466" spans="2:33" ht="12.75">
      <c r="B1466" s="11"/>
      <c r="F1466" s="13"/>
      <c r="G1466" s="14"/>
      <c r="I1466" s="15"/>
      <c r="AE1466" s="11"/>
      <c r="AG1466" s="18"/>
    </row>
    <row r="1467" spans="2:33" ht="12.75">
      <c r="B1467" s="11"/>
      <c r="F1467" s="13"/>
      <c r="G1467" s="14"/>
      <c r="I1467" s="15"/>
      <c r="AE1467" s="11"/>
      <c r="AG1467" s="18"/>
    </row>
    <row r="1468" spans="2:33" ht="12.75">
      <c r="B1468" s="11"/>
      <c r="F1468" s="13"/>
      <c r="G1468" s="14"/>
      <c r="I1468" s="15"/>
      <c r="AE1468" s="11"/>
      <c r="AG1468" s="18"/>
    </row>
    <row r="1469" spans="2:33" ht="12.75">
      <c r="B1469" s="11"/>
      <c r="F1469" s="13"/>
      <c r="G1469" s="14"/>
      <c r="I1469" s="15"/>
      <c r="AE1469" s="11"/>
      <c r="AG1469" s="18"/>
    </row>
    <row r="1470" spans="2:33" ht="12.75">
      <c r="B1470" s="11"/>
      <c r="F1470" s="13"/>
      <c r="G1470" s="14"/>
      <c r="I1470" s="15"/>
      <c r="AE1470" s="11"/>
      <c r="AG1470" s="18"/>
    </row>
    <row r="1471" spans="2:33" ht="12.75">
      <c r="B1471" s="11"/>
      <c r="F1471" s="13"/>
      <c r="G1471" s="14"/>
      <c r="I1471" s="15"/>
      <c r="AE1471" s="11"/>
      <c r="AG1471" s="18"/>
    </row>
    <row r="1472" spans="2:33" ht="12.75">
      <c r="B1472" s="11"/>
      <c r="F1472" s="13"/>
      <c r="G1472" s="14"/>
      <c r="I1472" s="15"/>
      <c r="AE1472" s="11"/>
      <c r="AG1472" s="18"/>
    </row>
    <row r="1473" spans="2:33" ht="12.75">
      <c r="B1473" s="11"/>
      <c r="F1473" s="13"/>
      <c r="G1473" s="14"/>
      <c r="I1473" s="15"/>
      <c r="AE1473" s="11"/>
      <c r="AG1473" s="18"/>
    </row>
    <row r="1474" spans="2:33" ht="12.75">
      <c r="B1474" s="11"/>
      <c r="F1474" s="13"/>
      <c r="G1474" s="14"/>
      <c r="I1474" s="15"/>
      <c r="AE1474" s="11"/>
      <c r="AG1474" s="18"/>
    </row>
    <row r="1475" spans="2:33" ht="12.75">
      <c r="B1475" s="11"/>
      <c r="F1475" s="13"/>
      <c r="G1475" s="14"/>
      <c r="I1475" s="15"/>
      <c r="AE1475" s="11"/>
      <c r="AG1475" s="18"/>
    </row>
  </sheetData>
  <conditionalFormatting sqref="AG1:AG1475">
    <cfRule type="containsBlanks" dxfId="12" priority="1">
      <formula>LEN(TRIM(AG1))=0</formula>
    </cfRule>
  </conditionalFormatting>
  <conditionalFormatting sqref="AG1:AG1475">
    <cfRule type="containsText" dxfId="11" priority="2" operator="containsText" text="KR">
      <formula>NOT(ISERROR(SEARCH(("KR"),(AG1))))</formula>
    </cfRule>
  </conditionalFormatting>
  <conditionalFormatting sqref="AG1:AG1475">
    <cfRule type="beginsWith" dxfId="10" priority="3" operator="beginsWith" text="cancel">
      <formula>LEFT((AG1),LEN("cancel"))=("cancel")</formula>
    </cfRule>
  </conditionalFormatting>
  <conditionalFormatting sqref="AG1:AG1475">
    <cfRule type="containsText" dxfId="9" priority="4" operator="containsText" text="J">
      <formula>NOT(ISERROR(SEARCH(("J"),(AG1))))</formula>
    </cfRule>
  </conditionalFormatting>
  <conditionalFormatting sqref="AG1:AG1475">
    <cfRule type="containsText" dxfId="8" priority="5" operator="containsText" text="ND">
      <formula>NOT(ISERROR(SEARCH(("ND"),(AG1))))</formula>
    </cfRule>
  </conditionalFormatting>
  <conditionalFormatting sqref="AG1:AG1475">
    <cfRule type="containsText" dxfId="7" priority="6" operator="containsText" text="SF">
      <formula>NOT(ISERROR(SEARCH(("SF"),(AG1))))</formula>
    </cfRule>
  </conditionalFormatting>
  <conditionalFormatting sqref="AG1:AG1475">
    <cfRule type="containsText" dxfId="6" priority="7" operator="containsText" text="LS">
      <formula>NOT(ISERROR(SEARCH(("LS"),(AG1))))</formula>
    </cfRule>
  </conditionalFormatting>
  <conditionalFormatting sqref="AG1:AG1475">
    <cfRule type="containsText" dxfId="5" priority="8" operator="containsText" text="SW">
      <formula>NOT(ISERROR(SEARCH(("SW"),(AG1))))</formula>
    </cfRule>
  </conditionalFormatting>
  <conditionalFormatting sqref="AG1:AG1475">
    <cfRule type="containsText" dxfId="4" priority="9" operator="containsText" text="SE">
      <formula>NOT(ISERROR(SEARCH(("SE"),(AG1))))</formula>
    </cfRule>
  </conditionalFormatting>
  <conditionalFormatting sqref="AG1:AG1475">
    <cfRule type="containsText" dxfId="3" priority="10" operator="containsText" text="pm">
      <formula>NOT(ISERROR(SEARCH(("pm"),(AG1))))</formula>
    </cfRule>
  </conditionalFormatting>
  <conditionalFormatting sqref="AH1:AH1475 AG187:AG188">
    <cfRule type="containsBlanks" dxfId="2" priority="11">
      <formula>LEN(TRIM(AH1))=0</formula>
    </cfRule>
  </conditionalFormatting>
  <conditionalFormatting sqref="AH1:AH1475 AG187:AG188">
    <cfRule type="notContainsBlanks" dxfId="1" priority="12">
      <formula>LEN(TRIM(AH1))&gt;0</formula>
    </cfRule>
  </conditionalFormatting>
  <conditionalFormatting sqref="AG1:AG1475">
    <cfRule type="notContainsBlanks" dxfId="0" priority="13">
      <formula>LEN(TRIM(AG1))&gt;0</formula>
    </cfRule>
  </conditionalFormatting>
  <hyperlinks>
    <hyperlink ref="AJ27" r:id="rId1" xr:uid="{00000000-0004-0000-0200-000000000000}"/>
    <hyperlink ref="AJ28" r:id="rId2" xr:uid="{00000000-0004-0000-0200-000001000000}"/>
    <hyperlink ref="AJ29" r:id="rId3" xr:uid="{00000000-0004-0000-0200-000002000000}"/>
    <hyperlink ref="AJ30" r:id="rId4" xr:uid="{00000000-0004-0000-0200-000003000000}"/>
    <hyperlink ref="AJ31" r:id="rId5" xr:uid="{00000000-0004-0000-0200-000004000000}"/>
    <hyperlink ref="AJ32" r:id="rId6" xr:uid="{00000000-0004-0000-0200-000005000000}"/>
    <hyperlink ref="AJ33" r:id="rId7" xr:uid="{00000000-0004-0000-0200-000006000000}"/>
    <hyperlink ref="AJ34" r:id="rId8" xr:uid="{00000000-0004-0000-0200-000007000000}"/>
    <hyperlink ref="AJ35" r:id="rId9" xr:uid="{00000000-0004-0000-0200-000008000000}"/>
    <hyperlink ref="AJ36" r:id="rId10" xr:uid="{00000000-0004-0000-0200-000009000000}"/>
    <hyperlink ref="AJ37" r:id="rId11" xr:uid="{00000000-0004-0000-0200-00000A000000}"/>
    <hyperlink ref="AJ38" r:id="rId12" xr:uid="{00000000-0004-0000-0200-00000B000000}"/>
    <hyperlink ref="AJ39" r:id="rId13" xr:uid="{00000000-0004-0000-0200-00000C000000}"/>
    <hyperlink ref="AJ41" r:id="rId14" xr:uid="{00000000-0004-0000-0200-00000D000000}"/>
    <hyperlink ref="AJ42" r:id="rId15" xr:uid="{00000000-0004-0000-0200-00000E000000}"/>
    <hyperlink ref="AJ43" r:id="rId16" xr:uid="{00000000-0004-0000-0200-00000F000000}"/>
    <hyperlink ref="AJ44" r:id="rId17" xr:uid="{00000000-0004-0000-0200-000010000000}"/>
    <hyperlink ref="AJ45" r:id="rId18" xr:uid="{00000000-0004-0000-0200-000011000000}"/>
    <hyperlink ref="AJ46" r:id="rId19" xr:uid="{00000000-0004-0000-0200-000012000000}"/>
    <hyperlink ref="AJ47" r:id="rId20" xr:uid="{00000000-0004-0000-0200-000013000000}"/>
    <hyperlink ref="AJ48" r:id="rId21" xr:uid="{00000000-0004-0000-0200-000014000000}"/>
    <hyperlink ref="AJ49" r:id="rId22" xr:uid="{00000000-0004-0000-0200-000015000000}"/>
    <hyperlink ref="AJ50" r:id="rId23" xr:uid="{00000000-0004-0000-0200-000016000000}"/>
    <hyperlink ref="AJ51" r:id="rId24" xr:uid="{00000000-0004-0000-0200-000017000000}"/>
    <hyperlink ref="AJ52" r:id="rId25" xr:uid="{00000000-0004-0000-0200-000018000000}"/>
    <hyperlink ref="AJ53" r:id="rId26" xr:uid="{00000000-0004-0000-0200-000019000000}"/>
    <hyperlink ref="AJ54" r:id="rId27" xr:uid="{00000000-0004-0000-0200-00001A000000}"/>
    <hyperlink ref="AJ55" r:id="rId28" xr:uid="{00000000-0004-0000-0200-00001B000000}"/>
    <hyperlink ref="AJ56" r:id="rId29" xr:uid="{00000000-0004-0000-0200-00001C000000}"/>
    <hyperlink ref="AJ57" r:id="rId30" xr:uid="{00000000-0004-0000-0200-00001D000000}"/>
    <hyperlink ref="AJ58" r:id="rId31" xr:uid="{00000000-0004-0000-0200-00001E000000}"/>
    <hyperlink ref="AJ59" r:id="rId32" xr:uid="{00000000-0004-0000-0200-00001F000000}"/>
    <hyperlink ref="AJ60" r:id="rId33" xr:uid="{00000000-0004-0000-0200-000020000000}"/>
    <hyperlink ref="AJ61" r:id="rId34" xr:uid="{00000000-0004-0000-0200-000021000000}"/>
    <hyperlink ref="AJ62" r:id="rId35" xr:uid="{00000000-0004-0000-0200-000022000000}"/>
    <hyperlink ref="AJ63" r:id="rId36" xr:uid="{00000000-0004-0000-0200-000023000000}"/>
    <hyperlink ref="AJ64" r:id="rId37" xr:uid="{00000000-0004-0000-0200-000024000000}"/>
    <hyperlink ref="AJ65" r:id="rId38" xr:uid="{00000000-0004-0000-0200-000025000000}"/>
    <hyperlink ref="AJ66" r:id="rId39" xr:uid="{00000000-0004-0000-0200-000026000000}"/>
    <hyperlink ref="AJ67" r:id="rId40" xr:uid="{00000000-0004-0000-0200-000027000000}"/>
    <hyperlink ref="AJ68" r:id="rId41" xr:uid="{00000000-0004-0000-0200-000028000000}"/>
    <hyperlink ref="AJ69" r:id="rId42" xr:uid="{00000000-0004-0000-0200-000029000000}"/>
    <hyperlink ref="AJ70" r:id="rId43" xr:uid="{00000000-0004-0000-0200-00002A000000}"/>
    <hyperlink ref="AJ71" r:id="rId44" xr:uid="{00000000-0004-0000-0200-00002B000000}"/>
    <hyperlink ref="AJ72" r:id="rId45" xr:uid="{00000000-0004-0000-0200-00002C000000}"/>
    <hyperlink ref="AJ73" r:id="rId46" xr:uid="{00000000-0004-0000-0200-00002D000000}"/>
    <hyperlink ref="AJ74" r:id="rId47" xr:uid="{00000000-0004-0000-0200-00002E000000}"/>
    <hyperlink ref="AJ75" r:id="rId48" xr:uid="{00000000-0004-0000-0200-00002F000000}"/>
    <hyperlink ref="AJ76" r:id="rId49" xr:uid="{00000000-0004-0000-0200-000030000000}"/>
    <hyperlink ref="AJ77" r:id="rId50" xr:uid="{00000000-0004-0000-0200-000031000000}"/>
    <hyperlink ref="AJ78" r:id="rId51" xr:uid="{00000000-0004-0000-0200-000032000000}"/>
    <hyperlink ref="AJ79" r:id="rId52" xr:uid="{00000000-0004-0000-0200-000033000000}"/>
    <hyperlink ref="AJ80" r:id="rId53" xr:uid="{00000000-0004-0000-0200-000034000000}"/>
    <hyperlink ref="AJ81" r:id="rId54" xr:uid="{00000000-0004-0000-0200-000035000000}"/>
    <hyperlink ref="AJ82" r:id="rId55" xr:uid="{00000000-0004-0000-0200-000036000000}"/>
    <hyperlink ref="AJ83" r:id="rId56" xr:uid="{00000000-0004-0000-0200-000037000000}"/>
    <hyperlink ref="AJ84" r:id="rId57" xr:uid="{00000000-0004-0000-0200-000038000000}"/>
    <hyperlink ref="AJ85" r:id="rId58" xr:uid="{00000000-0004-0000-0200-000039000000}"/>
    <hyperlink ref="AJ86" r:id="rId59" xr:uid="{00000000-0004-0000-0200-00003A000000}"/>
    <hyperlink ref="AJ87" r:id="rId60" xr:uid="{00000000-0004-0000-0200-00003B000000}"/>
    <hyperlink ref="AJ88" r:id="rId61" xr:uid="{00000000-0004-0000-0200-00003C000000}"/>
    <hyperlink ref="AJ89" r:id="rId62" xr:uid="{00000000-0004-0000-0200-00003D000000}"/>
    <hyperlink ref="AJ90" r:id="rId63" xr:uid="{00000000-0004-0000-0200-00003E000000}"/>
    <hyperlink ref="AJ91" r:id="rId64" xr:uid="{00000000-0004-0000-0200-00003F000000}"/>
    <hyperlink ref="AJ92" r:id="rId65" xr:uid="{00000000-0004-0000-0200-000040000000}"/>
    <hyperlink ref="AJ93" r:id="rId66" xr:uid="{00000000-0004-0000-0200-000041000000}"/>
    <hyperlink ref="AJ94" r:id="rId67" xr:uid="{00000000-0004-0000-0200-000042000000}"/>
    <hyperlink ref="AJ95" r:id="rId68" xr:uid="{00000000-0004-0000-0200-000043000000}"/>
    <hyperlink ref="AJ96" r:id="rId69" xr:uid="{00000000-0004-0000-0200-000044000000}"/>
    <hyperlink ref="AJ97" r:id="rId70" xr:uid="{00000000-0004-0000-0200-000045000000}"/>
    <hyperlink ref="AJ98" r:id="rId71" xr:uid="{00000000-0004-0000-0200-000046000000}"/>
    <hyperlink ref="AJ99" r:id="rId72" xr:uid="{00000000-0004-0000-0200-000047000000}"/>
    <hyperlink ref="AJ100" r:id="rId73" xr:uid="{00000000-0004-0000-0200-000048000000}"/>
    <hyperlink ref="AJ101" r:id="rId74" xr:uid="{00000000-0004-0000-0200-000049000000}"/>
    <hyperlink ref="AJ102" r:id="rId75" xr:uid="{00000000-0004-0000-0200-00004A000000}"/>
    <hyperlink ref="AJ103" r:id="rId76" xr:uid="{00000000-0004-0000-0200-00004B000000}"/>
    <hyperlink ref="AJ104" r:id="rId77" xr:uid="{00000000-0004-0000-0200-00004C000000}"/>
    <hyperlink ref="AJ105" r:id="rId78" xr:uid="{00000000-0004-0000-0200-00004D000000}"/>
    <hyperlink ref="AJ106" r:id="rId79" xr:uid="{00000000-0004-0000-0200-00004E000000}"/>
    <hyperlink ref="AJ107" r:id="rId80" xr:uid="{00000000-0004-0000-0200-00004F000000}"/>
    <hyperlink ref="AJ108" r:id="rId81" xr:uid="{00000000-0004-0000-0200-000050000000}"/>
    <hyperlink ref="AJ109" r:id="rId82" xr:uid="{00000000-0004-0000-0200-000051000000}"/>
    <hyperlink ref="AJ110" r:id="rId83" xr:uid="{00000000-0004-0000-0200-000052000000}"/>
    <hyperlink ref="AJ111" r:id="rId84" xr:uid="{00000000-0004-0000-0200-000053000000}"/>
    <hyperlink ref="AJ112" r:id="rId85" xr:uid="{00000000-0004-0000-0200-000054000000}"/>
    <hyperlink ref="AJ113" r:id="rId86" xr:uid="{00000000-0004-0000-0200-000055000000}"/>
    <hyperlink ref="AJ114" r:id="rId87" xr:uid="{00000000-0004-0000-0200-000056000000}"/>
    <hyperlink ref="AJ115" r:id="rId88" xr:uid="{00000000-0004-0000-0200-000057000000}"/>
    <hyperlink ref="AJ116" r:id="rId89" xr:uid="{00000000-0004-0000-0200-000058000000}"/>
    <hyperlink ref="AJ117" r:id="rId90" xr:uid="{00000000-0004-0000-0200-000059000000}"/>
    <hyperlink ref="AJ118" r:id="rId91" xr:uid="{00000000-0004-0000-0200-00005A000000}"/>
    <hyperlink ref="AJ119" r:id="rId92" xr:uid="{00000000-0004-0000-0200-00005B000000}"/>
    <hyperlink ref="AJ120" r:id="rId93" xr:uid="{00000000-0004-0000-0200-00005C000000}"/>
    <hyperlink ref="AJ121" r:id="rId94" xr:uid="{00000000-0004-0000-0200-00005D000000}"/>
    <hyperlink ref="AJ122" r:id="rId95" xr:uid="{00000000-0004-0000-0200-00005E000000}"/>
    <hyperlink ref="AJ123" r:id="rId96" xr:uid="{00000000-0004-0000-0200-00005F000000}"/>
    <hyperlink ref="AJ124" r:id="rId97" xr:uid="{00000000-0004-0000-0200-000060000000}"/>
    <hyperlink ref="AJ125" r:id="rId98" xr:uid="{00000000-0004-0000-0200-000061000000}"/>
    <hyperlink ref="AJ126" r:id="rId99" xr:uid="{00000000-0004-0000-0200-000062000000}"/>
    <hyperlink ref="AJ127" r:id="rId100" xr:uid="{00000000-0004-0000-0200-000063000000}"/>
    <hyperlink ref="AJ128" r:id="rId101" xr:uid="{00000000-0004-0000-0200-000064000000}"/>
    <hyperlink ref="AJ129" r:id="rId102" xr:uid="{00000000-0004-0000-0200-000065000000}"/>
    <hyperlink ref="AJ130" r:id="rId103" xr:uid="{00000000-0004-0000-0200-000066000000}"/>
    <hyperlink ref="AJ131" r:id="rId104" xr:uid="{00000000-0004-0000-0200-000067000000}"/>
    <hyperlink ref="AJ132" r:id="rId105" xr:uid="{00000000-0004-0000-0200-000068000000}"/>
    <hyperlink ref="AJ133" r:id="rId106" xr:uid="{00000000-0004-0000-0200-000069000000}"/>
    <hyperlink ref="AJ134" r:id="rId107" xr:uid="{00000000-0004-0000-0200-00006A000000}"/>
    <hyperlink ref="AJ135" r:id="rId108" xr:uid="{00000000-0004-0000-0200-00006B000000}"/>
    <hyperlink ref="AJ136" r:id="rId109" xr:uid="{00000000-0004-0000-0200-00006C000000}"/>
    <hyperlink ref="AJ137" r:id="rId110" xr:uid="{00000000-0004-0000-0200-00006D000000}"/>
    <hyperlink ref="AJ138" r:id="rId111" xr:uid="{00000000-0004-0000-0200-00006E000000}"/>
    <hyperlink ref="AJ139" r:id="rId112" xr:uid="{00000000-0004-0000-0200-00006F000000}"/>
    <hyperlink ref="AJ140" r:id="rId113" xr:uid="{00000000-0004-0000-0200-000070000000}"/>
    <hyperlink ref="AJ141" r:id="rId114" xr:uid="{00000000-0004-0000-0200-000071000000}"/>
    <hyperlink ref="AJ142" r:id="rId115" xr:uid="{00000000-0004-0000-0200-000072000000}"/>
    <hyperlink ref="AJ143" r:id="rId116" xr:uid="{00000000-0004-0000-0200-000073000000}"/>
    <hyperlink ref="AJ144" r:id="rId117" xr:uid="{00000000-0004-0000-0200-000074000000}"/>
    <hyperlink ref="AJ145" r:id="rId118" xr:uid="{00000000-0004-0000-0200-000075000000}"/>
    <hyperlink ref="AJ146" r:id="rId119" xr:uid="{00000000-0004-0000-0200-000076000000}"/>
    <hyperlink ref="AJ147" r:id="rId120" xr:uid="{00000000-0004-0000-0200-000077000000}"/>
    <hyperlink ref="AJ148" r:id="rId121" xr:uid="{00000000-0004-0000-0200-000078000000}"/>
    <hyperlink ref="AJ149" r:id="rId122" xr:uid="{00000000-0004-0000-0200-000079000000}"/>
    <hyperlink ref="AJ150" r:id="rId123" xr:uid="{00000000-0004-0000-0200-00007A000000}"/>
    <hyperlink ref="AJ151" r:id="rId124" xr:uid="{00000000-0004-0000-0200-00007B000000}"/>
    <hyperlink ref="AJ152" r:id="rId125" xr:uid="{00000000-0004-0000-0200-00007C000000}"/>
    <hyperlink ref="AJ153" r:id="rId126" xr:uid="{00000000-0004-0000-0200-00007D000000}"/>
    <hyperlink ref="AJ154" r:id="rId127" xr:uid="{00000000-0004-0000-0200-00007E000000}"/>
    <hyperlink ref="AJ155" r:id="rId128" xr:uid="{00000000-0004-0000-0200-00007F000000}"/>
    <hyperlink ref="AJ156" r:id="rId129" xr:uid="{00000000-0004-0000-0200-000080000000}"/>
    <hyperlink ref="AJ157" r:id="rId130" xr:uid="{00000000-0004-0000-0200-000081000000}"/>
    <hyperlink ref="AJ158" r:id="rId131" xr:uid="{00000000-0004-0000-0200-000082000000}"/>
    <hyperlink ref="AJ159" r:id="rId132" xr:uid="{00000000-0004-0000-0200-000083000000}"/>
    <hyperlink ref="AJ160" r:id="rId133" xr:uid="{00000000-0004-0000-0200-000084000000}"/>
    <hyperlink ref="AJ161" r:id="rId134" xr:uid="{00000000-0004-0000-0200-000085000000}"/>
    <hyperlink ref="AJ162" r:id="rId135" xr:uid="{00000000-0004-0000-0200-000086000000}"/>
    <hyperlink ref="AJ163" r:id="rId136" xr:uid="{00000000-0004-0000-0200-000087000000}"/>
    <hyperlink ref="AJ164" r:id="rId137" xr:uid="{00000000-0004-0000-0200-000088000000}"/>
    <hyperlink ref="AJ165" r:id="rId138" xr:uid="{00000000-0004-0000-0200-000089000000}"/>
    <hyperlink ref="AJ166" r:id="rId139" xr:uid="{00000000-0004-0000-0200-00008A000000}"/>
    <hyperlink ref="AJ167" r:id="rId140" xr:uid="{00000000-0004-0000-0200-00008B000000}"/>
    <hyperlink ref="AJ168" r:id="rId141" xr:uid="{00000000-0004-0000-0200-00008C000000}"/>
    <hyperlink ref="AJ169" r:id="rId142" xr:uid="{00000000-0004-0000-0200-00008D000000}"/>
    <hyperlink ref="AJ170" r:id="rId143" xr:uid="{00000000-0004-0000-0200-00008E000000}"/>
    <hyperlink ref="AJ171" r:id="rId144" xr:uid="{00000000-0004-0000-0200-00008F000000}"/>
    <hyperlink ref="AJ172" r:id="rId145" xr:uid="{00000000-0004-0000-0200-000090000000}"/>
    <hyperlink ref="AJ173" r:id="rId146" xr:uid="{00000000-0004-0000-0200-000091000000}"/>
    <hyperlink ref="AJ174" r:id="rId147" xr:uid="{00000000-0004-0000-0200-000092000000}"/>
    <hyperlink ref="AJ175" r:id="rId148" xr:uid="{00000000-0004-0000-0200-000093000000}"/>
    <hyperlink ref="AJ176" r:id="rId149" xr:uid="{00000000-0004-0000-0200-000094000000}"/>
    <hyperlink ref="AJ177" r:id="rId150" xr:uid="{00000000-0004-0000-0200-000095000000}"/>
    <hyperlink ref="AJ178" r:id="rId151" xr:uid="{00000000-0004-0000-0200-000096000000}"/>
    <hyperlink ref="AJ179" r:id="rId152" xr:uid="{00000000-0004-0000-0200-000097000000}"/>
    <hyperlink ref="AJ180" r:id="rId153" xr:uid="{00000000-0004-0000-0200-000098000000}"/>
    <hyperlink ref="AJ181" r:id="rId154" xr:uid="{00000000-0004-0000-0200-000099000000}"/>
    <hyperlink ref="AJ182" r:id="rId155" xr:uid="{00000000-0004-0000-0200-00009A000000}"/>
    <hyperlink ref="AJ183" r:id="rId156" xr:uid="{00000000-0004-0000-0200-00009B000000}"/>
    <hyperlink ref="AJ184" r:id="rId157" xr:uid="{00000000-0004-0000-0200-00009C000000}"/>
    <hyperlink ref="AJ185" r:id="rId158" xr:uid="{00000000-0004-0000-0200-00009D000000}"/>
    <hyperlink ref="AJ186" r:id="rId159" xr:uid="{00000000-0004-0000-0200-00009E000000}"/>
    <hyperlink ref="AJ187" r:id="rId160" xr:uid="{00000000-0004-0000-0200-00009F000000}"/>
    <hyperlink ref="AJ188" r:id="rId161" xr:uid="{00000000-0004-0000-0200-0000A0000000}"/>
    <hyperlink ref="AJ189" r:id="rId162" xr:uid="{00000000-0004-0000-0200-0000A1000000}"/>
    <hyperlink ref="AJ190" r:id="rId163" xr:uid="{00000000-0004-0000-0200-0000A2000000}"/>
    <hyperlink ref="AJ191" r:id="rId164" xr:uid="{00000000-0004-0000-0200-0000A3000000}"/>
    <hyperlink ref="AJ192" r:id="rId165" xr:uid="{00000000-0004-0000-0200-0000A4000000}"/>
    <hyperlink ref="AJ193" r:id="rId166" xr:uid="{00000000-0004-0000-0200-0000A5000000}"/>
    <hyperlink ref="AJ194" r:id="rId167" xr:uid="{00000000-0004-0000-0200-0000A6000000}"/>
    <hyperlink ref="AJ195" r:id="rId168" xr:uid="{00000000-0004-0000-0200-0000A7000000}"/>
    <hyperlink ref="AJ196" r:id="rId169" xr:uid="{00000000-0004-0000-0200-0000A8000000}"/>
    <hyperlink ref="AJ197" r:id="rId170" xr:uid="{00000000-0004-0000-0200-0000A9000000}"/>
    <hyperlink ref="AJ198" r:id="rId171" xr:uid="{00000000-0004-0000-0200-0000AA000000}"/>
    <hyperlink ref="AJ199" r:id="rId172" xr:uid="{00000000-0004-0000-0200-0000AB000000}"/>
    <hyperlink ref="AJ200" r:id="rId173" xr:uid="{00000000-0004-0000-0200-0000AC000000}"/>
    <hyperlink ref="AJ201" r:id="rId174" xr:uid="{00000000-0004-0000-0200-0000AD000000}"/>
    <hyperlink ref="AJ202" r:id="rId175" xr:uid="{00000000-0004-0000-0200-0000AE000000}"/>
    <hyperlink ref="AJ203" r:id="rId176" xr:uid="{00000000-0004-0000-0200-0000AF000000}"/>
    <hyperlink ref="AJ204" r:id="rId177" xr:uid="{00000000-0004-0000-0200-0000B0000000}"/>
    <hyperlink ref="AJ206" r:id="rId178" xr:uid="{00000000-0004-0000-0200-0000B1000000}"/>
    <hyperlink ref="AJ207" r:id="rId179" xr:uid="{00000000-0004-0000-0200-0000B2000000}"/>
    <hyperlink ref="AJ208" r:id="rId180" xr:uid="{00000000-0004-0000-0200-0000B3000000}"/>
    <hyperlink ref="AJ209" r:id="rId181" xr:uid="{00000000-0004-0000-0200-0000B4000000}"/>
    <hyperlink ref="AJ210" r:id="rId182" xr:uid="{00000000-0004-0000-0200-0000B5000000}"/>
    <hyperlink ref="AJ211" r:id="rId183" xr:uid="{00000000-0004-0000-0200-0000B6000000}"/>
    <hyperlink ref="AJ212" r:id="rId184" xr:uid="{00000000-0004-0000-0200-0000B7000000}"/>
    <hyperlink ref="AJ213" r:id="rId185" xr:uid="{00000000-0004-0000-0200-0000B8000000}"/>
    <hyperlink ref="AJ214" r:id="rId186" xr:uid="{00000000-0004-0000-0200-0000B9000000}"/>
    <hyperlink ref="AJ215" r:id="rId187" xr:uid="{00000000-0004-0000-0200-0000BA000000}"/>
    <hyperlink ref="AJ216" r:id="rId188" xr:uid="{00000000-0004-0000-0200-0000BB000000}"/>
    <hyperlink ref="AJ217" r:id="rId189" xr:uid="{00000000-0004-0000-0200-0000BC000000}"/>
    <hyperlink ref="AJ218" r:id="rId190" xr:uid="{00000000-0004-0000-0200-0000BD000000}"/>
    <hyperlink ref="AJ219" r:id="rId191" xr:uid="{00000000-0004-0000-0200-0000BE000000}"/>
    <hyperlink ref="AJ220" r:id="rId192" xr:uid="{00000000-0004-0000-0200-0000BF000000}"/>
    <hyperlink ref="AJ221" r:id="rId193" xr:uid="{00000000-0004-0000-0200-0000C0000000}"/>
    <hyperlink ref="AJ222" r:id="rId194" xr:uid="{00000000-0004-0000-0200-0000C1000000}"/>
    <hyperlink ref="AJ223" r:id="rId195" xr:uid="{00000000-0004-0000-0200-0000C2000000}"/>
    <hyperlink ref="AJ224" r:id="rId196" xr:uid="{00000000-0004-0000-0200-0000C3000000}"/>
    <hyperlink ref="AJ225" r:id="rId197" xr:uid="{00000000-0004-0000-0200-0000C4000000}"/>
    <hyperlink ref="AJ226" r:id="rId198" xr:uid="{00000000-0004-0000-0200-0000C5000000}"/>
    <hyperlink ref="AJ227" r:id="rId199" xr:uid="{00000000-0004-0000-0200-0000C6000000}"/>
    <hyperlink ref="AJ228" r:id="rId200" xr:uid="{00000000-0004-0000-0200-0000C7000000}"/>
    <hyperlink ref="AJ229" r:id="rId201" xr:uid="{00000000-0004-0000-0200-0000C8000000}"/>
    <hyperlink ref="AJ230" r:id="rId202" xr:uid="{00000000-0004-0000-0200-0000C9000000}"/>
    <hyperlink ref="AJ231" r:id="rId203" xr:uid="{00000000-0004-0000-0200-0000CA000000}"/>
    <hyperlink ref="AJ232" r:id="rId204" xr:uid="{00000000-0004-0000-0200-0000CB000000}"/>
    <hyperlink ref="AJ233" r:id="rId205" xr:uid="{00000000-0004-0000-0200-0000CC000000}"/>
    <hyperlink ref="AJ234" r:id="rId206" xr:uid="{00000000-0004-0000-0200-0000CD000000}"/>
    <hyperlink ref="AJ235" r:id="rId207" xr:uid="{00000000-0004-0000-0200-0000CE000000}"/>
    <hyperlink ref="AJ236" r:id="rId208" xr:uid="{00000000-0004-0000-0200-0000CF000000}"/>
    <hyperlink ref="AJ237" r:id="rId209" xr:uid="{00000000-0004-0000-0200-0000D0000000}"/>
    <hyperlink ref="AJ238" r:id="rId210" xr:uid="{00000000-0004-0000-0200-0000D1000000}"/>
    <hyperlink ref="AJ239" r:id="rId211" xr:uid="{00000000-0004-0000-0200-0000D2000000}"/>
    <hyperlink ref="AJ240" r:id="rId212" xr:uid="{00000000-0004-0000-0200-0000D3000000}"/>
    <hyperlink ref="AJ241" r:id="rId213" xr:uid="{00000000-0004-0000-0200-0000D4000000}"/>
    <hyperlink ref="AJ242" r:id="rId214" xr:uid="{00000000-0004-0000-0200-0000D5000000}"/>
    <hyperlink ref="AJ243" r:id="rId215" xr:uid="{00000000-0004-0000-0200-0000D6000000}"/>
    <hyperlink ref="AJ244" r:id="rId216" xr:uid="{00000000-0004-0000-0200-0000D7000000}"/>
    <hyperlink ref="AJ245" r:id="rId217" xr:uid="{00000000-0004-0000-0200-0000D8000000}"/>
    <hyperlink ref="AJ246" r:id="rId218" xr:uid="{00000000-0004-0000-0200-0000D9000000}"/>
    <hyperlink ref="AJ247" r:id="rId219" xr:uid="{00000000-0004-0000-0200-0000DA000000}"/>
    <hyperlink ref="AJ248" r:id="rId220" xr:uid="{00000000-0004-0000-0200-0000DB000000}"/>
    <hyperlink ref="AJ249" r:id="rId221" xr:uid="{00000000-0004-0000-0200-0000DC000000}"/>
    <hyperlink ref="AJ250" r:id="rId222" xr:uid="{00000000-0004-0000-0200-0000DD000000}"/>
    <hyperlink ref="AJ251" r:id="rId223" xr:uid="{00000000-0004-0000-0200-0000DE000000}"/>
    <hyperlink ref="AJ252" r:id="rId224" xr:uid="{00000000-0004-0000-0200-0000DF000000}"/>
    <hyperlink ref="AJ253" r:id="rId225" xr:uid="{00000000-0004-0000-0200-0000E0000000}"/>
    <hyperlink ref="AJ254" r:id="rId226" xr:uid="{00000000-0004-0000-0200-0000E1000000}"/>
    <hyperlink ref="AJ255" r:id="rId227" xr:uid="{00000000-0004-0000-0200-0000E2000000}"/>
    <hyperlink ref="AJ256" r:id="rId228" xr:uid="{00000000-0004-0000-0200-0000E3000000}"/>
    <hyperlink ref="AJ257" r:id="rId229" xr:uid="{00000000-0004-0000-0200-0000E4000000}"/>
    <hyperlink ref="AJ258" r:id="rId230" xr:uid="{00000000-0004-0000-0200-0000E5000000}"/>
    <hyperlink ref="AJ259" r:id="rId231" xr:uid="{00000000-0004-0000-0200-0000E6000000}"/>
    <hyperlink ref="AJ260" r:id="rId232" xr:uid="{00000000-0004-0000-0200-0000E7000000}"/>
    <hyperlink ref="AJ261" r:id="rId233" xr:uid="{00000000-0004-0000-0200-0000E8000000}"/>
    <hyperlink ref="AJ262" r:id="rId234" xr:uid="{00000000-0004-0000-0200-0000E9000000}"/>
    <hyperlink ref="AJ263" r:id="rId235" xr:uid="{00000000-0004-0000-0200-0000EA000000}"/>
    <hyperlink ref="AJ264" r:id="rId236" xr:uid="{00000000-0004-0000-0200-0000EB000000}"/>
    <hyperlink ref="AJ265" r:id="rId237" xr:uid="{00000000-0004-0000-0200-0000EC000000}"/>
    <hyperlink ref="AJ266" r:id="rId238" xr:uid="{00000000-0004-0000-0200-0000ED000000}"/>
    <hyperlink ref="AJ267" r:id="rId239" xr:uid="{00000000-0004-0000-0200-0000EE000000}"/>
    <hyperlink ref="AJ268" r:id="rId240" xr:uid="{00000000-0004-0000-0200-0000EF000000}"/>
    <hyperlink ref="AJ269" r:id="rId241" xr:uid="{00000000-0004-0000-0200-0000F0000000}"/>
    <hyperlink ref="AJ270" r:id="rId242" xr:uid="{00000000-0004-0000-0200-0000F1000000}"/>
    <hyperlink ref="AJ271" r:id="rId243" xr:uid="{00000000-0004-0000-0200-0000F2000000}"/>
    <hyperlink ref="AJ272" r:id="rId244" xr:uid="{00000000-0004-0000-0200-0000F3000000}"/>
    <hyperlink ref="AJ273" r:id="rId245" xr:uid="{00000000-0004-0000-0200-0000F4000000}"/>
    <hyperlink ref="AJ274" r:id="rId246" xr:uid="{00000000-0004-0000-0200-0000F5000000}"/>
    <hyperlink ref="AJ275" r:id="rId247" xr:uid="{00000000-0004-0000-0200-0000F6000000}"/>
    <hyperlink ref="AJ276" r:id="rId248" xr:uid="{00000000-0004-0000-0200-0000F7000000}"/>
    <hyperlink ref="AJ277" r:id="rId249" xr:uid="{00000000-0004-0000-0200-0000F8000000}"/>
    <hyperlink ref="AJ278" r:id="rId250" xr:uid="{00000000-0004-0000-0200-0000F9000000}"/>
    <hyperlink ref="AJ279" r:id="rId251" xr:uid="{00000000-0004-0000-0200-0000FA000000}"/>
    <hyperlink ref="AJ280" r:id="rId252" xr:uid="{00000000-0004-0000-0200-0000FB000000}"/>
    <hyperlink ref="AJ281" r:id="rId253" xr:uid="{00000000-0004-0000-0200-0000FC000000}"/>
    <hyperlink ref="AJ282" r:id="rId254" xr:uid="{00000000-0004-0000-0200-0000FD000000}"/>
    <hyperlink ref="AJ283" r:id="rId255" xr:uid="{00000000-0004-0000-0200-0000FE000000}"/>
    <hyperlink ref="AJ284" r:id="rId256" xr:uid="{00000000-0004-0000-0200-0000FF000000}"/>
    <hyperlink ref="AJ285" r:id="rId257" xr:uid="{00000000-0004-0000-0200-000000010000}"/>
    <hyperlink ref="AJ286" r:id="rId258" xr:uid="{00000000-0004-0000-0200-000001010000}"/>
    <hyperlink ref="AJ287" r:id="rId259" xr:uid="{00000000-0004-0000-0200-000002010000}"/>
    <hyperlink ref="AJ288" r:id="rId260" xr:uid="{00000000-0004-0000-0200-000003010000}"/>
    <hyperlink ref="AJ289" r:id="rId261" xr:uid="{00000000-0004-0000-0200-000004010000}"/>
    <hyperlink ref="AJ290" r:id="rId262" xr:uid="{00000000-0004-0000-0200-000005010000}"/>
    <hyperlink ref="AJ291" r:id="rId263" xr:uid="{00000000-0004-0000-0200-000006010000}"/>
    <hyperlink ref="AJ292" r:id="rId264" xr:uid="{00000000-0004-0000-0200-000007010000}"/>
    <hyperlink ref="AJ293" r:id="rId265" xr:uid="{00000000-0004-0000-0200-000008010000}"/>
    <hyperlink ref="AJ294" r:id="rId266" xr:uid="{00000000-0004-0000-0200-000009010000}"/>
    <hyperlink ref="AJ295" r:id="rId267" xr:uid="{00000000-0004-0000-0200-00000A010000}"/>
    <hyperlink ref="AJ296" r:id="rId268" xr:uid="{00000000-0004-0000-0200-00000B010000}"/>
    <hyperlink ref="AJ297" r:id="rId269" xr:uid="{00000000-0004-0000-0200-00000C010000}"/>
    <hyperlink ref="AJ298" r:id="rId270" xr:uid="{00000000-0004-0000-0200-00000D010000}"/>
    <hyperlink ref="AJ299" r:id="rId271" xr:uid="{00000000-0004-0000-0200-00000E010000}"/>
    <hyperlink ref="AJ300" r:id="rId272" xr:uid="{00000000-0004-0000-0200-00000F010000}"/>
    <hyperlink ref="AJ301" r:id="rId273" xr:uid="{00000000-0004-0000-0200-000010010000}"/>
    <hyperlink ref="AJ302" r:id="rId274" xr:uid="{00000000-0004-0000-0200-000011010000}"/>
    <hyperlink ref="AJ303" r:id="rId275" xr:uid="{00000000-0004-0000-0200-000012010000}"/>
    <hyperlink ref="AJ304" r:id="rId276" xr:uid="{00000000-0004-0000-0200-000013010000}"/>
    <hyperlink ref="AJ305" r:id="rId277" xr:uid="{00000000-0004-0000-0200-000014010000}"/>
    <hyperlink ref="AJ306" r:id="rId278" xr:uid="{00000000-0004-0000-0200-000015010000}"/>
    <hyperlink ref="AJ307" r:id="rId279" xr:uid="{00000000-0004-0000-0200-000016010000}"/>
    <hyperlink ref="AJ308" r:id="rId280" xr:uid="{00000000-0004-0000-0200-000017010000}"/>
    <hyperlink ref="AJ309" r:id="rId281" xr:uid="{00000000-0004-0000-0200-000018010000}"/>
    <hyperlink ref="AJ310" r:id="rId282" xr:uid="{00000000-0004-0000-0200-000019010000}"/>
    <hyperlink ref="AJ311" r:id="rId283" xr:uid="{00000000-0004-0000-0200-00001A010000}"/>
    <hyperlink ref="AJ312" r:id="rId284" xr:uid="{00000000-0004-0000-0200-00001B010000}"/>
    <hyperlink ref="AJ313" r:id="rId285" xr:uid="{00000000-0004-0000-0200-00001C010000}"/>
    <hyperlink ref="AJ314" r:id="rId286" xr:uid="{00000000-0004-0000-0200-00001D010000}"/>
    <hyperlink ref="AJ315" r:id="rId287" xr:uid="{00000000-0004-0000-0200-00001E010000}"/>
    <hyperlink ref="AJ316" r:id="rId288" xr:uid="{00000000-0004-0000-0200-00001F010000}"/>
    <hyperlink ref="AJ317" r:id="rId289" xr:uid="{00000000-0004-0000-0200-000020010000}"/>
    <hyperlink ref="AJ318" r:id="rId290" xr:uid="{00000000-0004-0000-0200-000021010000}"/>
    <hyperlink ref="AJ319" r:id="rId291" xr:uid="{00000000-0004-0000-0200-000022010000}"/>
    <hyperlink ref="AJ320" r:id="rId292" xr:uid="{00000000-0004-0000-0200-000023010000}"/>
    <hyperlink ref="AJ321" r:id="rId293" xr:uid="{00000000-0004-0000-0200-000024010000}"/>
    <hyperlink ref="AJ322" r:id="rId294" xr:uid="{00000000-0004-0000-0200-000025010000}"/>
    <hyperlink ref="AJ323" r:id="rId295" xr:uid="{00000000-0004-0000-0200-000026010000}"/>
    <hyperlink ref="AJ324" r:id="rId296" xr:uid="{00000000-0004-0000-0200-000027010000}"/>
    <hyperlink ref="AJ325" r:id="rId297" xr:uid="{00000000-0004-0000-0200-000028010000}"/>
    <hyperlink ref="AJ326" r:id="rId298" xr:uid="{00000000-0004-0000-0200-000029010000}"/>
    <hyperlink ref="AJ327" r:id="rId299" xr:uid="{00000000-0004-0000-0200-00002A010000}"/>
    <hyperlink ref="AJ328" r:id="rId300" xr:uid="{00000000-0004-0000-0200-00002B010000}"/>
    <hyperlink ref="AJ329" r:id="rId301" xr:uid="{00000000-0004-0000-0200-00002C010000}"/>
    <hyperlink ref="AJ330" r:id="rId302" xr:uid="{00000000-0004-0000-0200-00002D010000}"/>
    <hyperlink ref="AJ331" r:id="rId303" xr:uid="{00000000-0004-0000-0200-00002E010000}"/>
    <hyperlink ref="AJ332" r:id="rId304" xr:uid="{00000000-0004-0000-0200-00002F010000}"/>
    <hyperlink ref="AJ333" r:id="rId305" xr:uid="{00000000-0004-0000-0200-000030010000}"/>
    <hyperlink ref="AJ334" r:id="rId306" xr:uid="{00000000-0004-0000-0200-000031010000}"/>
    <hyperlink ref="AJ335" r:id="rId307" xr:uid="{00000000-0004-0000-0200-000032010000}"/>
    <hyperlink ref="AJ336" r:id="rId308" xr:uid="{00000000-0004-0000-0200-000033010000}"/>
    <hyperlink ref="AJ337" r:id="rId309" xr:uid="{00000000-0004-0000-0200-000034010000}"/>
    <hyperlink ref="AJ338" r:id="rId310" xr:uid="{00000000-0004-0000-0200-000035010000}"/>
    <hyperlink ref="AJ339" r:id="rId311" xr:uid="{00000000-0004-0000-0200-000036010000}"/>
    <hyperlink ref="AJ340" r:id="rId312" xr:uid="{00000000-0004-0000-0200-000037010000}"/>
    <hyperlink ref="AJ341" r:id="rId313" xr:uid="{00000000-0004-0000-0200-000038010000}"/>
    <hyperlink ref="AJ342" r:id="rId314" xr:uid="{00000000-0004-0000-0200-000039010000}"/>
    <hyperlink ref="AJ343" r:id="rId315" xr:uid="{00000000-0004-0000-0200-00003A010000}"/>
    <hyperlink ref="AJ344" r:id="rId316" xr:uid="{00000000-0004-0000-0200-00003B010000}"/>
    <hyperlink ref="AJ345" r:id="rId317" xr:uid="{00000000-0004-0000-0200-00003C010000}"/>
    <hyperlink ref="AJ346" r:id="rId318" xr:uid="{00000000-0004-0000-0200-00003D010000}"/>
    <hyperlink ref="AJ347" r:id="rId319" xr:uid="{00000000-0004-0000-0200-00003E010000}"/>
    <hyperlink ref="AJ348" r:id="rId320" xr:uid="{00000000-0004-0000-0200-00003F010000}"/>
    <hyperlink ref="AJ349" r:id="rId321" xr:uid="{00000000-0004-0000-0200-000040010000}"/>
    <hyperlink ref="AJ350" r:id="rId322" xr:uid="{00000000-0004-0000-0200-000041010000}"/>
    <hyperlink ref="AJ351" r:id="rId323" xr:uid="{00000000-0004-0000-0200-000042010000}"/>
    <hyperlink ref="AJ352" r:id="rId324" xr:uid="{00000000-0004-0000-0200-000043010000}"/>
    <hyperlink ref="AJ353" r:id="rId325" xr:uid="{00000000-0004-0000-0200-000044010000}"/>
    <hyperlink ref="AJ354" r:id="rId326" xr:uid="{00000000-0004-0000-0200-000045010000}"/>
    <hyperlink ref="AJ355" r:id="rId327" xr:uid="{00000000-0004-0000-0200-000046010000}"/>
    <hyperlink ref="AJ356" r:id="rId328" xr:uid="{00000000-0004-0000-0200-000047010000}"/>
    <hyperlink ref="AJ357" r:id="rId329" xr:uid="{00000000-0004-0000-0200-000048010000}"/>
    <hyperlink ref="AJ358" r:id="rId330" xr:uid="{00000000-0004-0000-0200-000049010000}"/>
    <hyperlink ref="AJ359" r:id="rId331" xr:uid="{00000000-0004-0000-0200-00004A010000}"/>
    <hyperlink ref="AJ360" r:id="rId332" xr:uid="{00000000-0004-0000-0200-00004B010000}"/>
    <hyperlink ref="AJ361" r:id="rId333" xr:uid="{00000000-0004-0000-0200-00004C010000}"/>
    <hyperlink ref="AJ362" r:id="rId334" xr:uid="{00000000-0004-0000-0200-00004D010000}"/>
    <hyperlink ref="AJ363" r:id="rId335" xr:uid="{00000000-0004-0000-0200-00004E010000}"/>
    <hyperlink ref="AJ364" r:id="rId336" xr:uid="{00000000-0004-0000-0200-00004F010000}"/>
    <hyperlink ref="AJ365" r:id="rId337" xr:uid="{00000000-0004-0000-0200-000050010000}"/>
    <hyperlink ref="AJ366" r:id="rId338" xr:uid="{00000000-0004-0000-0200-000051010000}"/>
    <hyperlink ref="AJ367" r:id="rId339" xr:uid="{00000000-0004-0000-0200-000052010000}"/>
    <hyperlink ref="AJ368" r:id="rId340" xr:uid="{00000000-0004-0000-0200-000053010000}"/>
    <hyperlink ref="AJ369" r:id="rId341" xr:uid="{00000000-0004-0000-0200-000054010000}"/>
    <hyperlink ref="AJ370" r:id="rId342" xr:uid="{00000000-0004-0000-0200-000055010000}"/>
    <hyperlink ref="AJ371" r:id="rId343" xr:uid="{00000000-0004-0000-0200-000056010000}"/>
    <hyperlink ref="AJ372" r:id="rId344" xr:uid="{00000000-0004-0000-0200-000057010000}"/>
    <hyperlink ref="AJ373" r:id="rId345" xr:uid="{00000000-0004-0000-0200-000058010000}"/>
    <hyperlink ref="AJ374" r:id="rId346" xr:uid="{00000000-0004-0000-0200-000059010000}"/>
    <hyperlink ref="AJ375" r:id="rId347" xr:uid="{00000000-0004-0000-0200-00005A010000}"/>
    <hyperlink ref="AJ376" r:id="rId348" xr:uid="{00000000-0004-0000-0200-00005B010000}"/>
    <hyperlink ref="AJ377" r:id="rId349" xr:uid="{00000000-0004-0000-0200-00005C010000}"/>
    <hyperlink ref="AJ378" r:id="rId350" xr:uid="{00000000-0004-0000-0200-00005D010000}"/>
    <hyperlink ref="AJ379" r:id="rId351" xr:uid="{00000000-0004-0000-0200-00005E010000}"/>
    <hyperlink ref="AJ380" r:id="rId352" xr:uid="{00000000-0004-0000-0200-00005F010000}"/>
    <hyperlink ref="AJ381" r:id="rId353" xr:uid="{00000000-0004-0000-0200-000060010000}"/>
    <hyperlink ref="AJ382" r:id="rId354" xr:uid="{00000000-0004-0000-0200-000061010000}"/>
    <hyperlink ref="AJ383" r:id="rId355" xr:uid="{00000000-0004-0000-0200-000062010000}"/>
    <hyperlink ref="AJ384" r:id="rId356" xr:uid="{00000000-0004-0000-0200-000063010000}"/>
    <hyperlink ref="AJ385" r:id="rId357" xr:uid="{00000000-0004-0000-0200-000064010000}"/>
    <hyperlink ref="AJ386" r:id="rId358" xr:uid="{00000000-0004-0000-0200-000065010000}"/>
    <hyperlink ref="AJ387" r:id="rId359" xr:uid="{00000000-0004-0000-0200-000066010000}"/>
    <hyperlink ref="AJ388" r:id="rId360" xr:uid="{00000000-0004-0000-0200-000067010000}"/>
    <hyperlink ref="AJ389" r:id="rId361" xr:uid="{00000000-0004-0000-0200-000068010000}"/>
    <hyperlink ref="AJ390" r:id="rId362" xr:uid="{00000000-0004-0000-0200-000069010000}"/>
    <hyperlink ref="AJ391" r:id="rId363" xr:uid="{00000000-0004-0000-0200-00006A010000}"/>
    <hyperlink ref="AJ392" r:id="rId364" xr:uid="{00000000-0004-0000-0200-00006B010000}"/>
    <hyperlink ref="AJ393" r:id="rId365" xr:uid="{00000000-0004-0000-0200-00006C010000}"/>
    <hyperlink ref="AJ394" r:id="rId366" xr:uid="{00000000-0004-0000-0200-00006D010000}"/>
    <hyperlink ref="AJ395" r:id="rId367" xr:uid="{00000000-0004-0000-0200-00006E010000}"/>
    <hyperlink ref="AJ396" r:id="rId368" xr:uid="{00000000-0004-0000-0200-00006F010000}"/>
    <hyperlink ref="AJ397" r:id="rId369" xr:uid="{00000000-0004-0000-0200-000070010000}"/>
    <hyperlink ref="AJ398" r:id="rId370" xr:uid="{00000000-0004-0000-0200-000071010000}"/>
    <hyperlink ref="AJ399" r:id="rId371" xr:uid="{00000000-0004-0000-0200-000072010000}"/>
    <hyperlink ref="AJ400" r:id="rId372" xr:uid="{00000000-0004-0000-0200-000073010000}"/>
    <hyperlink ref="AJ401" r:id="rId373" xr:uid="{00000000-0004-0000-0200-000074010000}"/>
    <hyperlink ref="AJ402" r:id="rId374" xr:uid="{00000000-0004-0000-0200-000075010000}"/>
    <hyperlink ref="AJ403" r:id="rId375" xr:uid="{00000000-0004-0000-0200-000076010000}"/>
    <hyperlink ref="AJ404" r:id="rId376" xr:uid="{00000000-0004-0000-0200-000077010000}"/>
    <hyperlink ref="AJ405" r:id="rId377" xr:uid="{00000000-0004-0000-0200-000078010000}"/>
    <hyperlink ref="AJ406" r:id="rId378" xr:uid="{00000000-0004-0000-0200-000079010000}"/>
    <hyperlink ref="AJ407" r:id="rId379" xr:uid="{00000000-0004-0000-0200-00007A010000}"/>
    <hyperlink ref="AJ408" r:id="rId380" xr:uid="{00000000-0004-0000-0200-00007B010000}"/>
    <hyperlink ref="AJ409" r:id="rId381" xr:uid="{00000000-0004-0000-0200-00007C010000}"/>
    <hyperlink ref="AJ410" r:id="rId382" xr:uid="{00000000-0004-0000-0200-00007D010000}"/>
    <hyperlink ref="AJ411" r:id="rId383" xr:uid="{00000000-0004-0000-0200-00007E010000}"/>
    <hyperlink ref="AJ412" r:id="rId384" xr:uid="{00000000-0004-0000-0200-00007F010000}"/>
    <hyperlink ref="AJ413" r:id="rId385" xr:uid="{00000000-0004-0000-0200-000080010000}"/>
    <hyperlink ref="AJ414" r:id="rId386" xr:uid="{00000000-0004-0000-0200-000081010000}"/>
    <hyperlink ref="AJ415" r:id="rId387" xr:uid="{00000000-0004-0000-0200-000082010000}"/>
    <hyperlink ref="AJ416" r:id="rId388" xr:uid="{00000000-0004-0000-0200-000083010000}"/>
    <hyperlink ref="AJ417" r:id="rId389" xr:uid="{00000000-0004-0000-0200-000084010000}"/>
    <hyperlink ref="AJ418" r:id="rId390" xr:uid="{00000000-0004-0000-0200-000085010000}"/>
    <hyperlink ref="AJ419" r:id="rId391" xr:uid="{00000000-0004-0000-0200-000086010000}"/>
    <hyperlink ref="AJ420" r:id="rId392" xr:uid="{00000000-0004-0000-0200-000087010000}"/>
    <hyperlink ref="AJ421" r:id="rId393" xr:uid="{00000000-0004-0000-0200-000088010000}"/>
    <hyperlink ref="AJ422" r:id="rId394" xr:uid="{00000000-0004-0000-0200-000089010000}"/>
    <hyperlink ref="AJ423" r:id="rId395" xr:uid="{00000000-0004-0000-0200-00008A010000}"/>
    <hyperlink ref="AJ424" r:id="rId396" xr:uid="{00000000-0004-0000-0200-00008B010000}"/>
    <hyperlink ref="AJ425" r:id="rId397" xr:uid="{00000000-0004-0000-0200-00008C010000}"/>
    <hyperlink ref="AJ426" r:id="rId398" xr:uid="{00000000-0004-0000-0200-00008D010000}"/>
    <hyperlink ref="AJ427" r:id="rId399" xr:uid="{00000000-0004-0000-0200-00008E010000}"/>
    <hyperlink ref="AJ428" r:id="rId400" xr:uid="{00000000-0004-0000-0200-00008F010000}"/>
    <hyperlink ref="AJ429" r:id="rId401" xr:uid="{00000000-0004-0000-0200-000090010000}"/>
    <hyperlink ref="AJ430" r:id="rId402" xr:uid="{00000000-0004-0000-0200-000091010000}"/>
    <hyperlink ref="AJ431" r:id="rId403" xr:uid="{00000000-0004-0000-0200-000092010000}"/>
    <hyperlink ref="AJ432" r:id="rId404" xr:uid="{00000000-0004-0000-0200-000093010000}"/>
    <hyperlink ref="AJ433" r:id="rId405" xr:uid="{00000000-0004-0000-0200-000094010000}"/>
    <hyperlink ref="AJ434" r:id="rId406" xr:uid="{00000000-0004-0000-0200-000095010000}"/>
    <hyperlink ref="AJ435" r:id="rId407" xr:uid="{00000000-0004-0000-0200-000096010000}"/>
    <hyperlink ref="AJ436" r:id="rId408" xr:uid="{00000000-0004-0000-0200-000097010000}"/>
    <hyperlink ref="AJ437" r:id="rId409" xr:uid="{00000000-0004-0000-0200-000098010000}"/>
    <hyperlink ref="AJ438" r:id="rId410" xr:uid="{00000000-0004-0000-0200-000099010000}"/>
    <hyperlink ref="AJ439" r:id="rId411" xr:uid="{00000000-0004-0000-0200-00009A010000}"/>
    <hyperlink ref="AJ440" r:id="rId412" xr:uid="{00000000-0004-0000-0200-00009B010000}"/>
    <hyperlink ref="AJ441" r:id="rId413" xr:uid="{00000000-0004-0000-0200-00009C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5703125" defaultRowHeight="15.75" customHeight="1"/>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J1101"/>
  <sheetViews>
    <sheetView workbookViewId="0">
      <pane ySplit="1" topLeftCell="A2" activePane="bottomLeft" state="frozen"/>
      <selection pane="bottomLeft" activeCell="B3" sqref="B3"/>
    </sheetView>
  </sheetViews>
  <sheetFormatPr defaultColWidth="12.5703125" defaultRowHeight="15.75" customHeight="1"/>
  <cols>
    <col min="1" max="2" width="18.85546875" customWidth="1"/>
    <col min="3" max="3" width="28.85546875" customWidth="1"/>
    <col min="4" max="7" width="18.85546875" customWidth="1"/>
    <col min="8" max="8" width="21.5703125" customWidth="1"/>
    <col min="9" max="9" width="27.28515625" customWidth="1"/>
    <col min="10" max="38" width="18.85546875" customWidth="1"/>
  </cols>
  <sheetData>
    <row r="1" spans="1:36" ht="15.75" customHeight="1">
      <c r="A1" t="s">
        <v>3261</v>
      </c>
      <c r="B1" s="27" t="s">
        <v>3262</v>
      </c>
      <c r="C1" s="12" t="s">
        <v>3263</v>
      </c>
      <c r="D1" s="12" t="s">
        <v>3264</v>
      </c>
      <c r="E1" s="27" t="s">
        <v>3265</v>
      </c>
      <c r="F1" s="12" t="s">
        <v>3266</v>
      </c>
      <c r="G1" t="s">
        <v>3267</v>
      </c>
      <c r="H1" s="12" t="s">
        <v>3268</v>
      </c>
      <c r="I1" s="28" t="s">
        <v>3269</v>
      </c>
      <c r="J1" t="s">
        <v>3270</v>
      </c>
      <c r="K1" t="s">
        <v>3271</v>
      </c>
      <c r="L1" t="s">
        <v>3272</v>
      </c>
      <c r="M1" t="s">
        <v>3273</v>
      </c>
      <c r="N1" t="s">
        <v>3274</v>
      </c>
      <c r="O1" t="s">
        <v>3275</v>
      </c>
      <c r="P1" s="12" t="s">
        <v>3276</v>
      </c>
      <c r="Q1" t="s">
        <v>3277</v>
      </c>
      <c r="R1" t="s">
        <v>3278</v>
      </c>
      <c r="S1" t="s">
        <v>3279</v>
      </c>
      <c r="T1" t="s">
        <v>3280</v>
      </c>
      <c r="U1" t="s">
        <v>3281</v>
      </c>
      <c r="V1" t="s">
        <v>3282</v>
      </c>
      <c r="W1" t="s">
        <v>3283</v>
      </c>
      <c r="X1" t="s">
        <v>3284</v>
      </c>
      <c r="Y1" t="s">
        <v>3285</v>
      </c>
      <c r="Z1" t="s">
        <v>3286</v>
      </c>
      <c r="AA1" t="s">
        <v>3287</v>
      </c>
      <c r="AB1" t="s">
        <v>3288</v>
      </c>
      <c r="AC1" t="s">
        <v>3289</v>
      </c>
      <c r="AD1" t="s">
        <v>3290</v>
      </c>
      <c r="AE1" s="12" t="s">
        <v>3291</v>
      </c>
      <c r="AF1" s="27" t="s">
        <v>3292</v>
      </c>
      <c r="AG1" s="9" t="s">
        <v>3</v>
      </c>
      <c r="AH1" s="9" t="s">
        <v>4</v>
      </c>
      <c r="AI1" s="9" t="s">
        <v>5</v>
      </c>
      <c r="AJ1" s="9" t="s">
        <v>6</v>
      </c>
    </row>
    <row r="2" spans="1:36" ht="15.75" customHeight="1">
      <c r="A2" s="29">
        <v>42342.632352789355</v>
      </c>
      <c r="B2" s="12" t="s">
        <v>3293</v>
      </c>
      <c r="C2" s="12" t="s">
        <v>3294</v>
      </c>
      <c r="D2" s="12" t="s">
        <v>3295</v>
      </c>
      <c r="E2" s="12" t="s">
        <v>3296</v>
      </c>
      <c r="F2" s="30">
        <v>42342</v>
      </c>
      <c r="G2" s="12" t="s">
        <v>3297</v>
      </c>
      <c r="H2" s="31">
        <v>6.25E-2</v>
      </c>
      <c r="I2" s="32">
        <v>0.66666666666424135</v>
      </c>
      <c r="J2" s="12" t="s">
        <v>3298</v>
      </c>
      <c r="L2" s="12" t="s">
        <v>3299</v>
      </c>
      <c r="M2" s="12" t="s">
        <v>3300</v>
      </c>
      <c r="N2" s="12" t="s">
        <v>3301</v>
      </c>
      <c r="O2" s="12" t="s">
        <v>3302</v>
      </c>
      <c r="AG2" s="33" t="s">
        <v>8</v>
      </c>
      <c r="AH2" s="33" t="s">
        <v>8</v>
      </c>
      <c r="AI2" s="33" t="s">
        <v>8</v>
      </c>
      <c r="AJ2" s="33" t="s">
        <v>8</v>
      </c>
    </row>
    <row r="3" spans="1:36" ht="15.75" customHeight="1">
      <c r="A3" s="29">
        <v>42342.63713599537</v>
      </c>
      <c r="B3" s="12" t="s">
        <v>3293</v>
      </c>
      <c r="C3" s="12" t="s">
        <v>3294</v>
      </c>
      <c r="D3" s="12" t="s">
        <v>3303</v>
      </c>
      <c r="E3" s="12" t="s">
        <v>3296</v>
      </c>
      <c r="F3" s="30">
        <v>42342</v>
      </c>
      <c r="G3" s="12" t="s">
        <v>3297</v>
      </c>
      <c r="H3" s="31">
        <v>5.2083333335758653E-2</v>
      </c>
      <c r="I3" s="32">
        <v>0.66666666666424135</v>
      </c>
      <c r="J3" s="12" t="s">
        <v>3304</v>
      </c>
      <c r="L3" s="12" t="s">
        <v>3299</v>
      </c>
      <c r="M3" s="12" t="s">
        <v>3305</v>
      </c>
      <c r="N3" s="12" t="s">
        <v>3306</v>
      </c>
      <c r="O3" s="12" t="s">
        <v>3307</v>
      </c>
      <c r="AG3" s="33" t="s">
        <v>8</v>
      </c>
      <c r="AH3" s="33" t="s">
        <v>8</v>
      </c>
      <c r="AI3" s="33" t="s">
        <v>8</v>
      </c>
      <c r="AJ3" s="33" t="s">
        <v>8</v>
      </c>
    </row>
    <row r="4" spans="1:36" ht="15.75" customHeight="1">
      <c r="A4" s="29">
        <v>42346.648145185187</v>
      </c>
      <c r="B4" s="12" t="s">
        <v>3293</v>
      </c>
      <c r="C4" s="12" t="s">
        <v>3308</v>
      </c>
      <c r="D4" s="12" t="s">
        <v>3303</v>
      </c>
      <c r="E4" s="12" t="s">
        <v>3309</v>
      </c>
      <c r="F4" s="30">
        <v>42347</v>
      </c>
      <c r="G4" s="12" t="s">
        <v>3310</v>
      </c>
      <c r="H4" s="31">
        <v>0.375</v>
      </c>
      <c r="I4" s="29">
        <v>42347.708333333328</v>
      </c>
      <c r="J4" s="12" t="s">
        <v>3304</v>
      </c>
      <c r="L4" s="12" t="s">
        <v>3299</v>
      </c>
      <c r="M4" s="12" t="s">
        <v>3311</v>
      </c>
      <c r="N4" s="12" t="s">
        <v>3312</v>
      </c>
      <c r="O4" s="12" t="s">
        <v>3313</v>
      </c>
      <c r="AG4" s="33" t="s">
        <v>8</v>
      </c>
      <c r="AH4" s="33" t="s">
        <v>8</v>
      </c>
      <c r="AI4" s="33" t="s">
        <v>8</v>
      </c>
      <c r="AJ4" s="33" t="s">
        <v>8</v>
      </c>
    </row>
    <row r="5" spans="1:36" ht="15.75" customHeight="1">
      <c r="A5" s="29">
        <v>42536.539454097219</v>
      </c>
      <c r="B5" s="12" t="s">
        <v>3293</v>
      </c>
      <c r="C5" s="12" t="s">
        <v>3308</v>
      </c>
      <c r="D5" s="12" t="s">
        <v>3303</v>
      </c>
      <c r="E5" s="12" t="s">
        <v>3314</v>
      </c>
      <c r="F5" s="30">
        <v>42537</v>
      </c>
      <c r="G5" s="12" t="s">
        <v>3315</v>
      </c>
      <c r="H5" s="31">
        <v>0.16666666666424135</v>
      </c>
      <c r="I5" s="29">
        <v>42537.583333333328</v>
      </c>
      <c r="J5" s="12" t="s">
        <v>3316</v>
      </c>
      <c r="L5" s="12" t="s">
        <v>3299</v>
      </c>
      <c r="M5" s="12" t="s">
        <v>3313</v>
      </c>
      <c r="N5" s="12" t="s">
        <v>3317</v>
      </c>
      <c r="O5" s="12" t="s">
        <v>3313</v>
      </c>
      <c r="AG5" s="33" t="s">
        <v>8</v>
      </c>
      <c r="AH5" s="33" t="s">
        <v>8</v>
      </c>
      <c r="AI5" s="33" t="s">
        <v>8</v>
      </c>
      <c r="AJ5" s="33" t="s">
        <v>8</v>
      </c>
    </row>
    <row r="6" spans="1:36" ht="15.75" customHeight="1">
      <c r="A6" s="29">
        <v>42542.45380643518</v>
      </c>
      <c r="B6" s="12" t="s">
        <v>3293</v>
      </c>
      <c r="C6" s="12" t="s">
        <v>3308</v>
      </c>
      <c r="D6" s="12" t="s">
        <v>3303</v>
      </c>
      <c r="E6" s="12" t="s">
        <v>3318</v>
      </c>
      <c r="F6" s="30">
        <v>42543</v>
      </c>
      <c r="G6" s="12" t="s">
        <v>3319</v>
      </c>
      <c r="H6" s="31">
        <v>0.375</v>
      </c>
      <c r="I6" s="29">
        <v>42543.541666666672</v>
      </c>
      <c r="J6" s="12" t="s">
        <v>3316</v>
      </c>
      <c r="L6" s="12" t="s">
        <v>3299</v>
      </c>
      <c r="M6" s="12" t="s">
        <v>3313</v>
      </c>
      <c r="N6" s="12" t="s">
        <v>3320</v>
      </c>
      <c r="O6" s="12" t="s">
        <v>3313</v>
      </c>
      <c r="AG6" s="33" t="s">
        <v>8</v>
      </c>
      <c r="AH6" s="33" t="s">
        <v>8</v>
      </c>
      <c r="AI6" s="33" t="s">
        <v>8</v>
      </c>
      <c r="AJ6" s="33" t="s">
        <v>8</v>
      </c>
    </row>
    <row r="7" spans="1:36" ht="15.75" customHeight="1">
      <c r="A7" s="29">
        <v>42596.453526412035</v>
      </c>
      <c r="B7" s="12" t="s">
        <v>3293</v>
      </c>
      <c r="C7" s="12" t="s">
        <v>3308</v>
      </c>
      <c r="D7" s="12" t="s">
        <v>3303</v>
      </c>
      <c r="E7" s="12" t="s">
        <v>3321</v>
      </c>
      <c r="F7" s="30">
        <v>42597</v>
      </c>
      <c r="G7" s="12" t="s">
        <v>3322</v>
      </c>
      <c r="H7" s="31">
        <v>0.28125</v>
      </c>
      <c r="I7" s="29">
        <v>42536.541666666672</v>
      </c>
      <c r="J7" s="12" t="s">
        <v>3316</v>
      </c>
      <c r="L7" s="12" t="s">
        <v>3299</v>
      </c>
      <c r="M7" s="12" t="s">
        <v>3313</v>
      </c>
      <c r="N7" s="12" t="s">
        <v>3323</v>
      </c>
      <c r="O7" s="12" t="s">
        <v>3313</v>
      </c>
      <c r="AG7" s="33" t="s">
        <v>8</v>
      </c>
      <c r="AH7" s="33" t="s">
        <v>8</v>
      </c>
      <c r="AI7" s="33" t="s">
        <v>8</v>
      </c>
      <c r="AJ7" s="33" t="s">
        <v>8</v>
      </c>
    </row>
    <row r="8" spans="1:36" ht="15.75" customHeight="1">
      <c r="A8" s="29">
        <v>42628.46103982639</v>
      </c>
      <c r="B8" s="12" t="s">
        <v>3293</v>
      </c>
      <c r="C8" s="12" t="s">
        <v>3308</v>
      </c>
      <c r="D8" s="12" t="s">
        <v>3303</v>
      </c>
      <c r="E8" s="12" t="s">
        <v>3321</v>
      </c>
      <c r="F8" s="30">
        <v>42629</v>
      </c>
      <c r="G8" s="12" t="s">
        <v>3324</v>
      </c>
      <c r="H8" s="31">
        <v>0.29166666666424135</v>
      </c>
      <c r="I8" s="29">
        <v>42629.541666666672</v>
      </c>
      <c r="J8" s="12" t="s">
        <v>3316</v>
      </c>
      <c r="L8" s="12" t="s">
        <v>3299</v>
      </c>
      <c r="M8" s="12" t="s">
        <v>3313</v>
      </c>
      <c r="N8" s="12" t="s">
        <v>3325</v>
      </c>
      <c r="O8" s="12" t="s">
        <v>3313</v>
      </c>
      <c r="AG8" s="33" t="s">
        <v>8</v>
      </c>
      <c r="AH8" s="33" t="s">
        <v>8</v>
      </c>
      <c r="AI8" s="33" t="s">
        <v>8</v>
      </c>
      <c r="AJ8" s="33" t="s">
        <v>8</v>
      </c>
    </row>
    <row r="9" spans="1:36" ht="15.75" customHeight="1">
      <c r="A9" s="29">
        <v>42642.617500659719</v>
      </c>
      <c r="B9" s="12" t="s">
        <v>3293</v>
      </c>
      <c r="C9" s="12" t="s">
        <v>3308</v>
      </c>
      <c r="D9" s="12" t="s">
        <v>3303</v>
      </c>
      <c r="E9" s="12" t="s">
        <v>3321</v>
      </c>
      <c r="F9" s="30">
        <v>42643</v>
      </c>
      <c r="G9" s="12" t="s">
        <v>3326</v>
      </c>
      <c r="H9" s="31">
        <v>0.33333333333575865</v>
      </c>
      <c r="I9" s="29">
        <v>42643.5</v>
      </c>
      <c r="J9" s="12" t="s">
        <v>3316</v>
      </c>
      <c r="L9" s="12" t="s">
        <v>3299</v>
      </c>
      <c r="M9" s="12" t="s">
        <v>3313</v>
      </c>
      <c r="N9" s="12" t="s">
        <v>3327</v>
      </c>
      <c r="O9" s="12" t="s">
        <v>3313</v>
      </c>
      <c r="AG9" s="33" t="s">
        <v>8</v>
      </c>
      <c r="AH9" s="33" t="s">
        <v>8</v>
      </c>
      <c r="AI9" s="33" t="s">
        <v>8</v>
      </c>
      <c r="AJ9" s="33" t="s">
        <v>8</v>
      </c>
    </row>
    <row r="10" spans="1:36" ht="15.75" customHeight="1">
      <c r="A10" s="29">
        <v>42655.689032650465</v>
      </c>
      <c r="B10" s="12" t="s">
        <v>3293</v>
      </c>
      <c r="C10" s="12" t="s">
        <v>3308</v>
      </c>
      <c r="D10" s="12" t="s">
        <v>3303</v>
      </c>
      <c r="E10" s="12" t="s">
        <v>3321</v>
      </c>
      <c r="F10" s="30">
        <v>42656</v>
      </c>
      <c r="G10" s="12" t="s">
        <v>3328</v>
      </c>
      <c r="H10" s="31">
        <v>0.27083333333575865</v>
      </c>
      <c r="I10" s="29">
        <v>42656.5</v>
      </c>
      <c r="J10" s="12" t="s">
        <v>3316</v>
      </c>
      <c r="L10" s="12" t="s">
        <v>3299</v>
      </c>
      <c r="M10" s="12" t="s">
        <v>3313</v>
      </c>
      <c r="N10" s="12" t="s">
        <v>3329</v>
      </c>
      <c r="O10" s="12" t="s">
        <v>3313</v>
      </c>
      <c r="AG10" s="33" t="s">
        <v>8</v>
      </c>
      <c r="AH10" s="33" t="s">
        <v>8</v>
      </c>
      <c r="AI10" s="33" t="s">
        <v>8</v>
      </c>
      <c r="AJ10" s="33" t="s">
        <v>8</v>
      </c>
    </row>
    <row r="11" spans="1:36" ht="15.75" customHeight="1">
      <c r="A11" s="29">
        <v>42710.565824467594</v>
      </c>
      <c r="B11" s="12" t="s">
        <v>3293</v>
      </c>
      <c r="C11" s="12" t="s">
        <v>3308</v>
      </c>
      <c r="D11" s="12" t="s">
        <v>3303</v>
      </c>
      <c r="E11" s="12" t="s">
        <v>3321</v>
      </c>
      <c r="F11" s="30">
        <v>42711</v>
      </c>
      <c r="G11" s="12" t="s">
        <v>3330</v>
      </c>
      <c r="H11" s="31">
        <v>0.5625</v>
      </c>
      <c r="I11" s="29">
        <v>42711.708333333328</v>
      </c>
      <c r="J11" s="12" t="s">
        <v>3331</v>
      </c>
      <c r="L11" s="12" t="s">
        <v>3299</v>
      </c>
      <c r="M11" s="12" t="s">
        <v>3313</v>
      </c>
      <c r="N11" s="12" t="s">
        <v>3323</v>
      </c>
      <c r="O11" s="12" t="s">
        <v>3313</v>
      </c>
      <c r="AG11" s="33" t="s">
        <v>8</v>
      </c>
      <c r="AH11" s="33" t="s">
        <v>8</v>
      </c>
      <c r="AI11" s="33" t="s">
        <v>8</v>
      </c>
      <c r="AJ11" s="33" t="s">
        <v>8</v>
      </c>
    </row>
    <row r="12" spans="1:36" ht="15.75" customHeight="1">
      <c r="A12" s="29">
        <v>42710.566515451384</v>
      </c>
      <c r="B12" s="12" t="s">
        <v>3293</v>
      </c>
      <c r="C12" s="12" t="s">
        <v>3308</v>
      </c>
      <c r="D12" s="12" t="s">
        <v>3303</v>
      </c>
      <c r="E12" s="12" t="s">
        <v>3321</v>
      </c>
      <c r="F12" s="30">
        <v>42713</v>
      </c>
      <c r="G12" s="12" t="s">
        <v>3330</v>
      </c>
      <c r="H12" s="31">
        <v>0.64583333333575865</v>
      </c>
      <c r="I12" s="29">
        <v>42713.75</v>
      </c>
      <c r="J12" s="12" t="s">
        <v>3331</v>
      </c>
      <c r="L12" s="12" t="s">
        <v>3299</v>
      </c>
      <c r="M12" s="12" t="s">
        <v>3313</v>
      </c>
      <c r="N12" s="12" t="s">
        <v>3323</v>
      </c>
      <c r="O12" s="12" t="s">
        <v>3313</v>
      </c>
      <c r="AG12" s="33" t="s">
        <v>8</v>
      </c>
      <c r="AH12" s="33" t="s">
        <v>8</v>
      </c>
      <c r="AI12" s="33" t="s">
        <v>8</v>
      </c>
      <c r="AJ12" s="33" t="s">
        <v>8</v>
      </c>
    </row>
    <row r="13" spans="1:36" ht="15.75" customHeight="1">
      <c r="A13" s="29">
        <v>42775.52267298611</v>
      </c>
      <c r="B13" s="12" t="s">
        <v>3293</v>
      </c>
      <c r="C13" s="12" t="s">
        <v>3308</v>
      </c>
      <c r="D13" s="12" t="s">
        <v>3303</v>
      </c>
      <c r="E13" s="12" t="s">
        <v>3321</v>
      </c>
      <c r="F13" s="30">
        <v>42776</v>
      </c>
      <c r="G13" s="12" t="s">
        <v>3332</v>
      </c>
      <c r="H13" s="31">
        <v>0.30208333333575865</v>
      </c>
      <c r="I13" s="29">
        <v>42776.5</v>
      </c>
      <c r="L13" s="12" t="s">
        <v>3299</v>
      </c>
      <c r="M13" s="12" t="s">
        <v>3313</v>
      </c>
      <c r="N13" s="12" t="s">
        <v>3333</v>
      </c>
      <c r="O13" s="12" t="s">
        <v>3313</v>
      </c>
      <c r="AG13" s="33" t="s">
        <v>8</v>
      </c>
      <c r="AH13" s="33" t="s">
        <v>8</v>
      </c>
      <c r="AI13" s="33" t="s">
        <v>8</v>
      </c>
      <c r="AJ13" s="33" t="s">
        <v>8</v>
      </c>
    </row>
    <row r="14" spans="1:36" ht="15.75" customHeight="1">
      <c r="A14" s="29">
        <v>42789.423990752315</v>
      </c>
      <c r="B14" s="12" t="s">
        <v>3293</v>
      </c>
      <c r="C14" s="12" t="s">
        <v>3308</v>
      </c>
      <c r="D14" s="12" t="s">
        <v>3303</v>
      </c>
      <c r="E14" s="12" t="s">
        <v>3321</v>
      </c>
      <c r="F14" s="30">
        <v>42790</v>
      </c>
      <c r="G14" s="12" t="s">
        <v>3334</v>
      </c>
      <c r="H14" s="31">
        <v>0.26388888889050577</v>
      </c>
      <c r="I14" s="29">
        <v>42790.5</v>
      </c>
      <c r="J14" s="12" t="s">
        <v>3316</v>
      </c>
      <c r="L14" s="12" t="s">
        <v>3299</v>
      </c>
      <c r="M14" s="12" t="s">
        <v>3313</v>
      </c>
      <c r="N14" s="12" t="s">
        <v>3335</v>
      </c>
      <c r="O14" s="12" t="s">
        <v>3313</v>
      </c>
      <c r="AG14" s="33" t="s">
        <v>8</v>
      </c>
      <c r="AH14" s="33" t="s">
        <v>8</v>
      </c>
      <c r="AI14" s="33" t="s">
        <v>8</v>
      </c>
      <c r="AJ14" s="33" t="s">
        <v>8</v>
      </c>
    </row>
    <row r="15" spans="1:36" ht="15.75" customHeight="1">
      <c r="A15" s="29">
        <v>42804.322415208335</v>
      </c>
      <c r="B15" s="12" t="s">
        <v>3293</v>
      </c>
      <c r="C15" s="12" t="s">
        <v>3308</v>
      </c>
      <c r="D15" s="12" t="s">
        <v>3303</v>
      </c>
      <c r="E15" s="12" t="s">
        <v>3318</v>
      </c>
      <c r="F15" s="30">
        <v>42804</v>
      </c>
      <c r="G15" s="12" t="s">
        <v>3336</v>
      </c>
      <c r="H15" s="31">
        <v>0.35416666666424135</v>
      </c>
      <c r="I15" s="29">
        <v>42804.541666666672</v>
      </c>
      <c r="J15" s="12" t="s">
        <v>3316</v>
      </c>
      <c r="M15" s="12" t="s">
        <v>3313</v>
      </c>
      <c r="N15" s="12" t="s">
        <v>3337</v>
      </c>
      <c r="O15" s="12" t="s">
        <v>3313</v>
      </c>
      <c r="AG15" s="33" t="s">
        <v>8</v>
      </c>
      <c r="AH15" s="33" t="s">
        <v>8</v>
      </c>
      <c r="AI15" s="33" t="s">
        <v>8</v>
      </c>
      <c r="AJ15" s="33" t="s">
        <v>8</v>
      </c>
    </row>
    <row r="16" spans="1:36" ht="15.75" customHeight="1">
      <c r="A16" s="29">
        <v>42838.392366643515</v>
      </c>
      <c r="B16" s="12" t="s">
        <v>3293</v>
      </c>
      <c r="C16" s="12" t="s">
        <v>3308</v>
      </c>
      <c r="D16" s="12" t="s">
        <v>3303</v>
      </c>
      <c r="E16" s="12" t="s">
        <v>3321</v>
      </c>
      <c r="F16" s="30">
        <v>42840</v>
      </c>
      <c r="G16" s="12" t="s">
        <v>3338</v>
      </c>
      <c r="H16" s="31">
        <v>0.33333333333575865</v>
      </c>
      <c r="I16" s="29">
        <v>42842.333333333328</v>
      </c>
      <c r="J16" s="12" t="s">
        <v>3316</v>
      </c>
      <c r="L16" s="12" t="s">
        <v>3299</v>
      </c>
      <c r="M16" s="12" t="s">
        <v>3313</v>
      </c>
      <c r="N16" s="12" t="s">
        <v>3339</v>
      </c>
      <c r="O16" s="12" t="s">
        <v>3313</v>
      </c>
      <c r="AG16" s="33" t="s">
        <v>8</v>
      </c>
      <c r="AH16" s="33" t="s">
        <v>8</v>
      </c>
      <c r="AI16" s="33" t="s">
        <v>8</v>
      </c>
      <c r="AJ16" s="33" t="s">
        <v>8</v>
      </c>
    </row>
    <row r="17" spans="1:36" ht="15.75" customHeight="1">
      <c r="A17" s="29">
        <v>42845.52479333333</v>
      </c>
      <c r="B17" s="12" t="s">
        <v>3293</v>
      </c>
      <c r="C17" s="12" t="s">
        <v>3308</v>
      </c>
      <c r="D17" s="12" t="s">
        <v>3303</v>
      </c>
      <c r="E17" s="12" t="s">
        <v>3321</v>
      </c>
      <c r="F17" s="30">
        <v>42846</v>
      </c>
      <c r="G17" s="12" t="s">
        <v>3338</v>
      </c>
      <c r="H17" s="31">
        <v>0.27083333333575865</v>
      </c>
      <c r="I17" s="29">
        <v>42846.541666666672</v>
      </c>
      <c r="J17" s="12" t="s">
        <v>3331</v>
      </c>
      <c r="L17" s="12" t="s">
        <v>3299</v>
      </c>
      <c r="M17" s="12" t="s">
        <v>3313</v>
      </c>
      <c r="N17" s="12" t="s">
        <v>3340</v>
      </c>
      <c r="O17" s="12" t="s">
        <v>3313</v>
      </c>
      <c r="AG17" s="33" t="s">
        <v>8</v>
      </c>
      <c r="AH17" s="33" t="s">
        <v>8</v>
      </c>
      <c r="AI17" s="33" t="s">
        <v>8</v>
      </c>
      <c r="AJ17" s="33" t="s">
        <v>8</v>
      </c>
    </row>
    <row r="18" spans="1:36" ht="15.75" customHeight="1">
      <c r="A18" s="29">
        <v>42852.416892210647</v>
      </c>
      <c r="B18" s="12" t="s">
        <v>3293</v>
      </c>
      <c r="C18" s="12" t="s">
        <v>3308</v>
      </c>
      <c r="D18" s="12" t="s">
        <v>3303</v>
      </c>
      <c r="E18" s="12" t="s">
        <v>3321</v>
      </c>
      <c r="F18" s="30">
        <v>42853</v>
      </c>
      <c r="G18" s="12" t="s">
        <v>3332</v>
      </c>
      <c r="H18" s="31">
        <v>0.41666666666424135</v>
      </c>
      <c r="I18" s="29">
        <v>42853.583333333328</v>
      </c>
      <c r="J18" s="12" t="s">
        <v>3316</v>
      </c>
      <c r="L18" s="12" t="s">
        <v>3299</v>
      </c>
      <c r="M18" s="12" t="s">
        <v>3313</v>
      </c>
      <c r="N18" s="12" t="s">
        <v>3341</v>
      </c>
      <c r="AG18" s="33" t="s">
        <v>8</v>
      </c>
      <c r="AH18" s="33" t="s">
        <v>8</v>
      </c>
      <c r="AI18" s="33" t="s">
        <v>8</v>
      </c>
      <c r="AJ18" s="33" t="s">
        <v>8</v>
      </c>
    </row>
    <row r="19" spans="1:36" ht="15.75" customHeight="1">
      <c r="A19" s="29">
        <v>42858.394262442132</v>
      </c>
      <c r="B19" s="12" t="s">
        <v>3293</v>
      </c>
      <c r="C19" s="12" t="s">
        <v>3308</v>
      </c>
      <c r="D19" s="12" t="s">
        <v>3303</v>
      </c>
      <c r="E19" s="12" t="s">
        <v>3318</v>
      </c>
      <c r="F19" s="30">
        <v>42860</v>
      </c>
      <c r="G19" s="12" t="s">
        <v>3342</v>
      </c>
      <c r="H19" s="31">
        <v>0.29166666666424135</v>
      </c>
      <c r="I19" s="29">
        <v>42860.583333333328</v>
      </c>
      <c r="J19" s="12" t="s">
        <v>3316</v>
      </c>
      <c r="L19" s="12" t="s">
        <v>3299</v>
      </c>
      <c r="M19" s="12" t="s">
        <v>3313</v>
      </c>
      <c r="N19" s="12" t="s">
        <v>3343</v>
      </c>
      <c r="O19" s="12" t="s">
        <v>3313</v>
      </c>
      <c r="AG19" s="33" t="s">
        <v>8</v>
      </c>
      <c r="AH19" s="33" t="s">
        <v>8</v>
      </c>
      <c r="AI19" s="33" t="s">
        <v>8</v>
      </c>
      <c r="AJ19" s="33" t="s">
        <v>8</v>
      </c>
    </row>
    <row r="20" spans="1:36" ht="15.75" customHeight="1">
      <c r="A20" s="29">
        <v>42891.496738761576</v>
      </c>
      <c r="B20" s="12" t="s">
        <v>3293</v>
      </c>
      <c r="C20" s="12" t="s">
        <v>3308</v>
      </c>
      <c r="D20" s="12" t="s">
        <v>3303</v>
      </c>
      <c r="F20" s="30">
        <v>42894</v>
      </c>
      <c r="H20" s="31">
        <v>0.33333333333575865</v>
      </c>
      <c r="I20" s="29">
        <v>42894.583333333328</v>
      </c>
      <c r="J20" s="12" t="s">
        <v>3316</v>
      </c>
      <c r="L20" s="12" t="s">
        <v>3299</v>
      </c>
      <c r="M20" s="12" t="s">
        <v>3313</v>
      </c>
      <c r="N20" s="12" t="s">
        <v>3313</v>
      </c>
      <c r="O20" s="12" t="s">
        <v>3313</v>
      </c>
      <c r="AG20" s="33" t="s">
        <v>8</v>
      </c>
      <c r="AH20" s="33" t="s">
        <v>8</v>
      </c>
      <c r="AI20" s="33" t="s">
        <v>8</v>
      </c>
      <c r="AJ20" s="33" t="s">
        <v>8</v>
      </c>
    </row>
    <row r="21" spans="1:36" ht="15.75" customHeight="1">
      <c r="A21" s="29">
        <v>42891.497326597222</v>
      </c>
      <c r="B21" s="12" t="s">
        <v>3293</v>
      </c>
      <c r="C21" s="12" t="s">
        <v>3308</v>
      </c>
      <c r="D21" s="12" t="s">
        <v>3303</v>
      </c>
      <c r="F21" s="30">
        <v>42895</v>
      </c>
      <c r="H21" s="31">
        <v>0.33333333333575865</v>
      </c>
      <c r="I21" s="29">
        <v>42895.583333333328</v>
      </c>
      <c r="J21" s="12" t="s">
        <v>3316</v>
      </c>
      <c r="L21" s="12" t="s">
        <v>3299</v>
      </c>
      <c r="M21" s="12" t="s">
        <v>3313</v>
      </c>
      <c r="N21" s="12" t="s">
        <v>3313</v>
      </c>
      <c r="O21" s="12" t="s">
        <v>3313</v>
      </c>
      <c r="AG21" s="33" t="s">
        <v>8</v>
      </c>
      <c r="AH21" s="33" t="s">
        <v>8</v>
      </c>
      <c r="AI21" s="33" t="s">
        <v>8</v>
      </c>
      <c r="AJ21" s="33" t="s">
        <v>8</v>
      </c>
    </row>
    <row r="22" spans="1:36" ht="15.75" customHeight="1">
      <c r="A22" s="29">
        <v>42899.430159108801</v>
      </c>
      <c r="B22" s="12" t="s">
        <v>3293</v>
      </c>
      <c r="C22" s="12" t="s">
        <v>3308</v>
      </c>
      <c r="D22" s="12" t="s">
        <v>3303</v>
      </c>
      <c r="E22" s="12" t="s">
        <v>3296</v>
      </c>
      <c r="F22" s="30">
        <v>42900</v>
      </c>
      <c r="G22" s="12" t="s">
        <v>3344</v>
      </c>
      <c r="H22" s="31">
        <v>0.375</v>
      </c>
      <c r="I22" s="29">
        <v>42900.541666666672</v>
      </c>
      <c r="J22" s="12" t="s">
        <v>3316</v>
      </c>
      <c r="L22" s="12" t="s">
        <v>3299</v>
      </c>
      <c r="M22" s="12" t="s">
        <v>3313</v>
      </c>
      <c r="N22" s="12" t="s">
        <v>3313</v>
      </c>
      <c r="O22" s="12" t="s">
        <v>3313</v>
      </c>
      <c r="AC22" s="34" t="s">
        <v>3345</v>
      </c>
      <c r="AD22" s="12" t="s">
        <v>3346</v>
      </c>
      <c r="AE22" s="35"/>
      <c r="AF22" s="35"/>
      <c r="AG22" s="33" t="s">
        <v>8</v>
      </c>
      <c r="AH22" s="33" t="s">
        <v>8</v>
      </c>
      <c r="AI22" s="33" t="s">
        <v>8</v>
      </c>
      <c r="AJ22" s="33" t="s">
        <v>8</v>
      </c>
    </row>
    <row r="23" spans="1:36" ht="15.75" customHeight="1">
      <c r="A23" s="29">
        <v>42906.522776446756</v>
      </c>
      <c r="B23" s="12" t="s">
        <v>3293</v>
      </c>
      <c r="C23" s="12" t="s">
        <v>3308</v>
      </c>
      <c r="D23" s="12" t="s">
        <v>3303</v>
      </c>
      <c r="E23" s="12" t="s">
        <v>3347</v>
      </c>
      <c r="F23" s="30">
        <v>42907</v>
      </c>
      <c r="G23" s="12" t="s">
        <v>3348</v>
      </c>
      <c r="H23" s="31">
        <v>0.35416666666424135</v>
      </c>
      <c r="I23" s="29">
        <v>42907.5625</v>
      </c>
      <c r="J23" s="12" t="s">
        <v>3316</v>
      </c>
      <c r="L23" s="12" t="s">
        <v>3299</v>
      </c>
      <c r="M23" s="12" t="s">
        <v>3313</v>
      </c>
      <c r="N23" s="12" t="s">
        <v>3313</v>
      </c>
      <c r="O23" s="12" t="s">
        <v>3313</v>
      </c>
      <c r="AC23" s="34" t="s">
        <v>3349</v>
      </c>
      <c r="AD23" s="12" t="s">
        <v>3350</v>
      </c>
      <c r="AE23" s="35"/>
      <c r="AF23" s="35"/>
      <c r="AG23" s="33" t="s">
        <v>8</v>
      </c>
      <c r="AH23" s="33" t="s">
        <v>8</v>
      </c>
      <c r="AI23" s="33" t="s">
        <v>8</v>
      </c>
      <c r="AJ23" s="33" t="s">
        <v>8</v>
      </c>
    </row>
    <row r="24" spans="1:36" ht="15.75" customHeight="1">
      <c r="A24" s="29">
        <v>42927.430768657403</v>
      </c>
      <c r="B24" s="12" t="s">
        <v>3293</v>
      </c>
      <c r="C24" s="12" t="s">
        <v>3308</v>
      </c>
      <c r="D24" s="12" t="s">
        <v>3303</v>
      </c>
      <c r="E24" s="12" t="s">
        <v>3318</v>
      </c>
      <c r="F24" s="30">
        <v>42928</v>
      </c>
      <c r="G24" s="12" t="s">
        <v>3338</v>
      </c>
      <c r="H24" s="31">
        <v>0.35416666666424135</v>
      </c>
      <c r="I24" s="29">
        <v>42928.541666666672</v>
      </c>
      <c r="J24" s="12" t="s">
        <v>3316</v>
      </c>
      <c r="L24" s="12" t="s">
        <v>3299</v>
      </c>
      <c r="M24" s="12" t="s">
        <v>3313</v>
      </c>
      <c r="N24" s="12" t="s">
        <v>3351</v>
      </c>
      <c r="O24" s="12" t="s">
        <v>3313</v>
      </c>
      <c r="AC24" s="34" t="s">
        <v>3352</v>
      </c>
      <c r="AD24" s="12" t="s">
        <v>3353</v>
      </c>
      <c r="AE24" s="35"/>
      <c r="AF24" s="35"/>
      <c r="AG24" s="33" t="s">
        <v>8</v>
      </c>
      <c r="AH24" s="33" t="s">
        <v>8</v>
      </c>
      <c r="AI24" s="33" t="s">
        <v>8</v>
      </c>
      <c r="AJ24" s="33" t="s">
        <v>8</v>
      </c>
    </row>
    <row r="25" spans="1:36" ht="15.75" customHeight="1">
      <c r="A25" s="29">
        <v>42928.631366365742</v>
      </c>
      <c r="B25" s="12" t="s">
        <v>3354</v>
      </c>
      <c r="C25" s="12" t="s">
        <v>3355</v>
      </c>
      <c r="D25" s="12" t="s">
        <v>3303</v>
      </c>
      <c r="E25" s="12" t="s">
        <v>3356</v>
      </c>
      <c r="F25" s="30">
        <v>42929</v>
      </c>
      <c r="G25" s="12" t="s">
        <v>3357</v>
      </c>
      <c r="H25" s="31">
        <v>0.375</v>
      </c>
      <c r="I25" s="29">
        <v>42929.541666666672</v>
      </c>
      <c r="J25" s="12" t="s">
        <v>3358</v>
      </c>
      <c r="K25" s="12">
        <v>7</v>
      </c>
      <c r="L25" s="12" t="s">
        <v>3299</v>
      </c>
      <c r="M25" s="12" t="s">
        <v>3354</v>
      </c>
      <c r="N25" s="12" t="s">
        <v>3359</v>
      </c>
      <c r="O25" s="12" t="s">
        <v>3354</v>
      </c>
      <c r="AC25" s="12" t="s">
        <v>3360</v>
      </c>
      <c r="AD25" s="12"/>
      <c r="AE25" s="35"/>
      <c r="AF25" s="35"/>
      <c r="AG25" s="33" t="s">
        <v>8</v>
      </c>
      <c r="AH25" s="33" t="s">
        <v>8</v>
      </c>
      <c r="AI25" s="33" t="s">
        <v>8</v>
      </c>
      <c r="AJ25" s="33" t="s">
        <v>8</v>
      </c>
    </row>
    <row r="26" spans="1:36" ht="15.75" customHeight="1">
      <c r="A26" s="29">
        <v>42935.510615416671</v>
      </c>
      <c r="B26" s="12" t="s">
        <v>3293</v>
      </c>
      <c r="C26" s="12" t="s">
        <v>3308</v>
      </c>
      <c r="D26" s="12" t="s">
        <v>3303</v>
      </c>
      <c r="E26" s="12" t="s">
        <v>3318</v>
      </c>
      <c r="F26" s="30">
        <v>42936</v>
      </c>
      <c r="G26" s="12" t="s">
        <v>3338</v>
      </c>
      <c r="H26" s="31">
        <v>0.33333333333575865</v>
      </c>
      <c r="I26" s="29">
        <v>42936.541666666672</v>
      </c>
      <c r="J26" s="12" t="s">
        <v>3316</v>
      </c>
      <c r="L26" s="12" t="s">
        <v>3299</v>
      </c>
      <c r="M26" s="12" t="s">
        <v>3313</v>
      </c>
      <c r="N26" s="12" t="s">
        <v>3361</v>
      </c>
      <c r="O26" s="12" t="s">
        <v>3313</v>
      </c>
      <c r="AC26" s="34" t="s">
        <v>3362</v>
      </c>
      <c r="AD26" s="12" t="s">
        <v>3363</v>
      </c>
      <c r="AE26" s="35"/>
      <c r="AF26" s="35"/>
      <c r="AG26" s="33" t="s">
        <v>8</v>
      </c>
      <c r="AH26" s="33" t="s">
        <v>8</v>
      </c>
      <c r="AI26" s="33" t="s">
        <v>8</v>
      </c>
      <c r="AJ26" s="33" t="s">
        <v>8</v>
      </c>
    </row>
    <row r="27" spans="1:36" ht="15.75" customHeight="1">
      <c r="A27" s="29">
        <v>43166.424018796301</v>
      </c>
      <c r="B27" s="12" t="s">
        <v>3364</v>
      </c>
      <c r="C27" s="12" t="s">
        <v>9</v>
      </c>
      <c r="D27" s="12" t="s">
        <v>3303</v>
      </c>
      <c r="E27" s="12" t="s">
        <v>3318</v>
      </c>
      <c r="F27" s="29">
        <v>43166.5</v>
      </c>
      <c r="G27" s="12" t="s">
        <v>3365</v>
      </c>
      <c r="H27" s="32">
        <v>0.125</v>
      </c>
      <c r="I27" s="29">
        <v>43166.708333333328</v>
      </c>
      <c r="J27" s="12" t="s">
        <v>3366</v>
      </c>
      <c r="L27" s="12" t="s">
        <v>3367</v>
      </c>
      <c r="M27" s="12" t="s">
        <v>3313</v>
      </c>
      <c r="N27" s="12" t="s">
        <v>3368</v>
      </c>
      <c r="O27" s="12" t="s">
        <v>3293</v>
      </c>
      <c r="P27" s="12" t="s">
        <v>3369</v>
      </c>
      <c r="Q27" s="12" t="s">
        <v>3369</v>
      </c>
      <c r="R27" s="12" t="s">
        <v>3369</v>
      </c>
      <c r="S27" s="12" t="s">
        <v>3369</v>
      </c>
      <c r="T27" s="12" t="s">
        <v>3369</v>
      </c>
      <c r="U27" s="12" t="s">
        <v>3369</v>
      </c>
      <c r="V27" s="12" t="s">
        <v>3369</v>
      </c>
      <c r="W27" s="12" t="s">
        <v>3369</v>
      </c>
      <c r="X27" s="12" t="s">
        <v>3369</v>
      </c>
      <c r="Y27" s="12" t="s">
        <v>3369</v>
      </c>
      <c r="Z27" s="12" t="s">
        <v>3369</v>
      </c>
      <c r="AA27" s="12" t="s">
        <v>3369</v>
      </c>
      <c r="AB27" s="12" t="s">
        <v>3369</v>
      </c>
      <c r="AC27" s="12" t="s">
        <v>3370</v>
      </c>
      <c r="AD27" s="12" t="s">
        <v>3371</v>
      </c>
      <c r="AE27" s="35"/>
      <c r="AF27" s="35"/>
      <c r="AG27" s="33" t="s">
        <v>10</v>
      </c>
      <c r="AH27" s="36" t="s">
        <v>11</v>
      </c>
      <c r="AI27" s="36" t="str">
        <f>HYPERLINK("https://drive.google.com/a/gtmnerr.org/file/d/1-xBJcM5t4rp1kF8CtiHFHCGIYOyemNCh/view?usp=drivesdk","Trey Tester - 3/7/2018")</f>
        <v>Trey Tester - 3/7/2018</v>
      </c>
      <c r="AJ27" s="33" t="s">
        <v>12</v>
      </c>
    </row>
    <row r="28" spans="1:36" ht="15.75" customHeight="1">
      <c r="A28" s="29">
        <v>43175.399098888884</v>
      </c>
      <c r="B28" s="12" t="s">
        <v>3372</v>
      </c>
      <c r="C28" s="12" t="s">
        <v>3373</v>
      </c>
      <c r="D28" s="12" t="s">
        <v>3374</v>
      </c>
      <c r="E28" s="12" t="s">
        <v>3375</v>
      </c>
      <c r="F28" s="29">
        <v>43175.458333333328</v>
      </c>
      <c r="G28" s="12" t="s">
        <v>3376</v>
      </c>
      <c r="H28" s="32">
        <v>0.64583333333575865</v>
      </c>
      <c r="I28" s="29">
        <v>43175.6875</v>
      </c>
      <c r="J28" s="12" t="s">
        <v>3377</v>
      </c>
      <c r="L28" s="12" t="s">
        <v>3378</v>
      </c>
      <c r="M28" s="12" t="s">
        <v>3379</v>
      </c>
      <c r="N28" s="12" t="s">
        <v>3380</v>
      </c>
      <c r="O28" s="12" t="s">
        <v>3381</v>
      </c>
      <c r="P28" s="12" t="s">
        <v>3369</v>
      </c>
      <c r="Q28" s="12" t="s">
        <v>3369</v>
      </c>
      <c r="R28" s="12" t="s">
        <v>3369</v>
      </c>
      <c r="S28" s="12" t="s">
        <v>3369</v>
      </c>
      <c r="T28" s="12" t="s">
        <v>3369</v>
      </c>
      <c r="U28" s="12" t="s">
        <v>3369</v>
      </c>
      <c r="V28" s="12" t="s">
        <v>3369</v>
      </c>
      <c r="W28" s="12" t="s">
        <v>3369</v>
      </c>
      <c r="X28" s="12" t="s">
        <v>3369</v>
      </c>
      <c r="Y28" s="12" t="s">
        <v>3369</v>
      </c>
      <c r="Z28" s="12" t="s">
        <v>3369</v>
      </c>
      <c r="AA28" s="12" t="s">
        <v>3369</v>
      </c>
      <c r="AB28" s="12" t="s">
        <v>3369</v>
      </c>
      <c r="AC28" s="12" t="s">
        <v>3382</v>
      </c>
      <c r="AG28" s="33" t="s">
        <v>14</v>
      </c>
      <c r="AH28" s="36" t="s">
        <v>15</v>
      </c>
      <c r="AI28" s="36" t="str">
        <f>HYPERLINK("https://drive.google.com/a/gtmnerr.org/file/d/1PoGr328HmybT9p6Khc3j48PbR5wcYaea/view?usp=drivesdk","Pamela Marcum - 3/16/2018")</f>
        <v>Pamela Marcum - 3/16/2018</v>
      </c>
      <c r="AJ28" s="33" t="s">
        <v>16</v>
      </c>
    </row>
    <row r="29" spans="1:36" ht="15.75" customHeight="1">
      <c r="A29" s="29">
        <v>43182.360994224538</v>
      </c>
      <c r="B29" s="12" t="s">
        <v>3372</v>
      </c>
      <c r="C29" s="12" t="s">
        <v>3383</v>
      </c>
      <c r="D29" s="12" t="s">
        <v>3374</v>
      </c>
      <c r="F29" s="29">
        <v>43181.458333333328</v>
      </c>
      <c r="G29" s="12" t="s">
        <v>3384</v>
      </c>
      <c r="H29" s="32">
        <v>0.625</v>
      </c>
      <c r="I29" s="29">
        <v>43181.6875</v>
      </c>
      <c r="J29" s="12" t="s">
        <v>3377</v>
      </c>
      <c r="L29" s="12" t="s">
        <v>3378</v>
      </c>
      <c r="M29" s="12" t="s">
        <v>3385</v>
      </c>
      <c r="N29" s="12" t="s">
        <v>3386</v>
      </c>
      <c r="O29" s="12" t="s">
        <v>3372</v>
      </c>
      <c r="P29" s="12" t="s">
        <v>3369</v>
      </c>
      <c r="Q29" s="12" t="s">
        <v>3369</v>
      </c>
      <c r="R29" s="12" t="s">
        <v>3369</v>
      </c>
      <c r="S29" s="12" t="s">
        <v>3369</v>
      </c>
      <c r="T29" s="12" t="s">
        <v>3369</v>
      </c>
      <c r="U29" s="12" t="s">
        <v>3369</v>
      </c>
      <c r="V29" s="12" t="s">
        <v>3369</v>
      </c>
      <c r="W29" s="12" t="s">
        <v>3369</v>
      </c>
      <c r="X29" s="12" t="s">
        <v>3369</v>
      </c>
      <c r="Y29" s="12" t="s">
        <v>3369</v>
      </c>
      <c r="Z29" s="12" t="s">
        <v>3369</v>
      </c>
      <c r="AA29" s="12" t="s">
        <v>3369</v>
      </c>
      <c r="AB29" s="12" t="s">
        <v>3369</v>
      </c>
      <c r="AG29" s="33" t="s">
        <v>18</v>
      </c>
      <c r="AH29" s="36" t="s">
        <v>19</v>
      </c>
      <c r="AI29" s="36" t="str">
        <f>HYPERLINK("https://drive.google.com/a/gtmnerr.org/file/d/1lZDSHrj3qsq_O52lhKl_J8Ol3Ppm2wpf/view?usp=drivesdk","Pamela Marcum - 3/22/2018")</f>
        <v>Pamela Marcum - 3/22/2018</v>
      </c>
      <c r="AJ29" s="33" t="s">
        <v>20</v>
      </c>
    </row>
    <row r="30" spans="1:36" ht="15.75" customHeight="1">
      <c r="A30" s="29">
        <v>43183.372215925927</v>
      </c>
      <c r="B30" s="12" t="s">
        <v>3372</v>
      </c>
      <c r="C30" s="12" t="s">
        <v>3373</v>
      </c>
      <c r="D30" s="12" t="s">
        <v>3374</v>
      </c>
      <c r="E30" s="12" t="s">
        <v>3387</v>
      </c>
      <c r="F30" s="29">
        <v>43183.458333333328</v>
      </c>
      <c r="G30" s="12" t="s">
        <v>3388</v>
      </c>
      <c r="H30" s="32">
        <v>0.625</v>
      </c>
      <c r="I30" s="29">
        <v>43183.6875</v>
      </c>
      <c r="J30" s="12" t="s">
        <v>3377</v>
      </c>
      <c r="L30" s="12" t="s">
        <v>3378</v>
      </c>
      <c r="M30" s="12" t="s">
        <v>3379</v>
      </c>
      <c r="N30" s="12" t="s">
        <v>3389</v>
      </c>
      <c r="O30" s="12" t="s">
        <v>3372</v>
      </c>
      <c r="P30" s="12" t="s">
        <v>3369</v>
      </c>
      <c r="Q30" s="12" t="s">
        <v>3369</v>
      </c>
      <c r="R30" s="12" t="s">
        <v>3369</v>
      </c>
      <c r="S30" s="12" t="s">
        <v>3369</v>
      </c>
      <c r="T30" s="12" t="s">
        <v>3369</v>
      </c>
      <c r="U30" s="12" t="s">
        <v>3369</v>
      </c>
      <c r="V30" s="12" t="s">
        <v>3369</v>
      </c>
      <c r="W30" s="12" t="s">
        <v>3369</v>
      </c>
      <c r="X30" s="12" t="s">
        <v>3369</v>
      </c>
      <c r="Y30" s="12" t="s">
        <v>3369</v>
      </c>
      <c r="Z30" s="12" t="s">
        <v>3369</v>
      </c>
      <c r="AA30" s="12" t="s">
        <v>3369</v>
      </c>
      <c r="AB30" s="12" t="s">
        <v>3369</v>
      </c>
      <c r="AG30" s="33" t="s">
        <v>22</v>
      </c>
      <c r="AH30" s="36" t="s">
        <v>23</v>
      </c>
      <c r="AI30" s="36" t="str">
        <f>HYPERLINK("https://drive.google.com/a/gtmnerr.org/file/d/1QvAZ7R1p5_SFBt5mF93Am43VNlxMzFTn/view?usp=drivesdk","Pamela Marcum - 3/24/2018")</f>
        <v>Pamela Marcum - 3/24/2018</v>
      </c>
      <c r="AJ30" s="33" t="s">
        <v>24</v>
      </c>
    </row>
    <row r="31" spans="1:36" ht="15.75" customHeight="1">
      <c r="A31" s="29">
        <v>43185.585203900468</v>
      </c>
      <c r="B31" s="12" t="s">
        <v>3390</v>
      </c>
      <c r="C31" s="12" t="s">
        <v>3391</v>
      </c>
      <c r="D31" s="12" t="s">
        <v>3374</v>
      </c>
      <c r="E31" s="12" t="s">
        <v>3318</v>
      </c>
      <c r="F31" s="29">
        <v>43186.805555555555</v>
      </c>
      <c r="G31" s="12" t="s">
        <v>3392</v>
      </c>
      <c r="H31" s="32">
        <v>0.97916666666424135</v>
      </c>
      <c r="I31" s="29">
        <v>43186.989583333328</v>
      </c>
      <c r="J31" s="12" t="s">
        <v>3377</v>
      </c>
      <c r="L31" s="12" t="s">
        <v>3393</v>
      </c>
      <c r="M31" s="12" t="s">
        <v>3394</v>
      </c>
      <c r="N31" s="12" t="s">
        <v>3395</v>
      </c>
      <c r="O31" s="12" t="s">
        <v>3390</v>
      </c>
      <c r="P31" s="12" t="s">
        <v>3369</v>
      </c>
      <c r="Q31" s="12" t="s">
        <v>3369</v>
      </c>
      <c r="R31" s="12" t="s">
        <v>3369</v>
      </c>
      <c r="S31" s="12" t="s">
        <v>3369</v>
      </c>
      <c r="T31" s="12" t="s">
        <v>3369</v>
      </c>
      <c r="U31" s="12" t="s">
        <v>3369</v>
      </c>
      <c r="V31" s="12" t="s">
        <v>3369</v>
      </c>
      <c r="W31" s="12" t="s">
        <v>3369</v>
      </c>
      <c r="X31" s="12" t="s">
        <v>3369</v>
      </c>
      <c r="Y31" s="12" t="s">
        <v>3369</v>
      </c>
      <c r="Z31" s="12" t="s">
        <v>3369</v>
      </c>
      <c r="AA31" s="12" t="s">
        <v>3369</v>
      </c>
      <c r="AB31" s="12" t="s">
        <v>3369</v>
      </c>
      <c r="AG31" s="33" t="s">
        <v>25</v>
      </c>
      <c r="AH31" s="36" t="s">
        <v>26</v>
      </c>
      <c r="AI31" s="36" t="str">
        <f>HYPERLINK("https://drive.google.com/a/gtmnerr.org/file/d/1YinwlBsrG6skh50eUb96HFs4ROS8w5Vd/view?usp=drivesdk","Silas Tanner - 3/27/2018")</f>
        <v>Silas Tanner - 3/27/2018</v>
      </c>
      <c r="AJ31" s="33" t="s">
        <v>27</v>
      </c>
    </row>
    <row r="32" spans="1:36" ht="15.75" customHeight="1">
      <c r="A32" s="29">
        <v>43185.587777546301</v>
      </c>
      <c r="B32" s="12" t="s">
        <v>3390</v>
      </c>
      <c r="C32" s="12" t="s">
        <v>3391</v>
      </c>
      <c r="D32" s="12" t="s">
        <v>3374</v>
      </c>
      <c r="E32" s="12" t="s">
        <v>3396</v>
      </c>
      <c r="F32" s="29">
        <v>43186.291666666672</v>
      </c>
      <c r="G32" s="12" t="s">
        <v>3397</v>
      </c>
      <c r="H32" s="32">
        <v>0.5625</v>
      </c>
      <c r="I32" s="29">
        <v>43186.572916666672</v>
      </c>
      <c r="J32" s="12" t="s">
        <v>3377</v>
      </c>
      <c r="L32" s="12" t="s">
        <v>3393</v>
      </c>
      <c r="M32" s="12" t="s">
        <v>3394</v>
      </c>
      <c r="N32" s="12" t="s">
        <v>3398</v>
      </c>
      <c r="O32" s="12" t="s">
        <v>3390</v>
      </c>
      <c r="P32" s="12" t="s">
        <v>3369</v>
      </c>
      <c r="Q32" s="12" t="s">
        <v>3369</v>
      </c>
      <c r="R32" s="12" t="s">
        <v>3369</v>
      </c>
      <c r="S32" s="12" t="s">
        <v>3369</v>
      </c>
      <c r="T32" s="12" t="s">
        <v>3369</v>
      </c>
      <c r="U32" s="12" t="s">
        <v>3369</v>
      </c>
      <c r="V32" s="12" t="s">
        <v>3369</v>
      </c>
      <c r="W32" s="12" t="s">
        <v>3369</v>
      </c>
      <c r="X32" s="12" t="s">
        <v>3369</v>
      </c>
      <c r="Y32" s="12" t="s">
        <v>3369</v>
      </c>
      <c r="Z32" s="12" t="s">
        <v>3369</v>
      </c>
      <c r="AA32" s="12" t="s">
        <v>3369</v>
      </c>
      <c r="AB32" s="12" t="s">
        <v>3369</v>
      </c>
      <c r="AG32" s="33" t="s">
        <v>28</v>
      </c>
      <c r="AH32" s="36" t="s">
        <v>29</v>
      </c>
      <c r="AI32" s="36" t="str">
        <f>HYPERLINK("https://drive.google.com/a/gtmnerr.org/file/d/1UDcTZ57HVMirRLXojC9fGFCmlWToZDMk/view?usp=drivesdk","Silas Tanner - 3/27/2018")</f>
        <v>Silas Tanner - 3/27/2018</v>
      </c>
      <c r="AJ32" s="33" t="s">
        <v>30</v>
      </c>
    </row>
    <row r="33" spans="1:36" ht="15.75" customHeight="1">
      <c r="A33" s="29">
        <v>43187.317305231481</v>
      </c>
      <c r="B33" s="12" t="s">
        <v>3399</v>
      </c>
      <c r="C33" s="12" t="s">
        <v>3400</v>
      </c>
      <c r="D33" s="12" t="s">
        <v>3401</v>
      </c>
      <c r="E33" s="12" t="s">
        <v>3356</v>
      </c>
      <c r="F33" s="29">
        <v>43187.322916666672</v>
      </c>
      <c r="G33" s="12" t="s">
        <v>3402</v>
      </c>
      <c r="H33" s="32">
        <v>0.5</v>
      </c>
      <c r="I33" s="29">
        <v>43187.010416666672</v>
      </c>
      <c r="J33" s="12" t="s">
        <v>3403</v>
      </c>
      <c r="L33" s="12" t="s">
        <v>3378</v>
      </c>
      <c r="M33" s="12" t="s">
        <v>3394</v>
      </c>
      <c r="O33" s="12" t="s">
        <v>3399</v>
      </c>
      <c r="P33" s="12" t="s">
        <v>3369</v>
      </c>
      <c r="Q33" s="12" t="s">
        <v>3369</v>
      </c>
      <c r="R33" s="12" t="s">
        <v>3369</v>
      </c>
      <c r="S33" s="12" t="s">
        <v>3369</v>
      </c>
      <c r="T33" s="12" t="s">
        <v>3369</v>
      </c>
      <c r="U33" s="12" t="s">
        <v>3369</v>
      </c>
      <c r="V33" s="12" t="s">
        <v>3369</v>
      </c>
      <c r="W33" s="12" t="s">
        <v>3369</v>
      </c>
      <c r="X33" s="12" t="s">
        <v>3369</v>
      </c>
      <c r="Y33" s="12" t="s">
        <v>3369</v>
      </c>
      <c r="Z33" s="12" t="s">
        <v>3369</v>
      </c>
      <c r="AA33" s="12" t="s">
        <v>3369</v>
      </c>
      <c r="AB33" s="12" t="s">
        <v>3369</v>
      </c>
      <c r="AG33" s="33" t="s">
        <v>31</v>
      </c>
      <c r="AH33" s="36" t="s">
        <v>32</v>
      </c>
      <c r="AI33" s="36" t="str">
        <f>HYPERLINK("https://drive.google.com/a/gtmnerr.org/file/d/1jgjcWdO9z2WyqZPvktwTx42rtdLSC_0a/view?usp=drivesdk","James Tomazinis - 3/28/2018")</f>
        <v>James Tomazinis - 3/28/2018</v>
      </c>
      <c r="AJ33" s="33" t="s">
        <v>33</v>
      </c>
    </row>
    <row r="34" spans="1:36" ht="15.75" customHeight="1">
      <c r="A34" s="29">
        <v>43188.360827847224</v>
      </c>
      <c r="B34" s="12" t="s">
        <v>3399</v>
      </c>
      <c r="C34" s="12" t="s">
        <v>3400</v>
      </c>
      <c r="D34" s="12" t="s">
        <v>3401</v>
      </c>
      <c r="E34" s="12" t="s">
        <v>3404</v>
      </c>
      <c r="F34" s="29">
        <v>43188.385416666672</v>
      </c>
      <c r="G34" s="12" t="s">
        <v>3405</v>
      </c>
      <c r="H34" s="32">
        <v>0.70833333333575865</v>
      </c>
      <c r="I34" s="29">
        <v>43188.71875</v>
      </c>
      <c r="J34" s="12" t="s">
        <v>3377</v>
      </c>
      <c r="L34" s="12" t="s">
        <v>3393</v>
      </c>
      <c r="M34" s="12" t="s">
        <v>3406</v>
      </c>
      <c r="N34" s="12" t="s">
        <v>3407</v>
      </c>
      <c r="O34" s="12" t="s">
        <v>3408</v>
      </c>
      <c r="P34" s="12" t="s">
        <v>3369</v>
      </c>
      <c r="Q34" s="12" t="s">
        <v>3369</v>
      </c>
      <c r="R34" s="12" t="s">
        <v>3369</v>
      </c>
      <c r="S34" s="12" t="s">
        <v>3369</v>
      </c>
      <c r="T34" s="12" t="s">
        <v>3369</v>
      </c>
      <c r="U34" s="12" t="s">
        <v>3369</v>
      </c>
      <c r="V34" s="12" t="s">
        <v>3369</v>
      </c>
      <c r="W34" s="12" t="s">
        <v>3369</v>
      </c>
      <c r="X34" s="12" t="s">
        <v>3369</v>
      </c>
      <c r="Y34" s="12" t="s">
        <v>3369</v>
      </c>
      <c r="Z34" s="12" t="s">
        <v>3369</v>
      </c>
      <c r="AA34" s="12" t="s">
        <v>3369</v>
      </c>
      <c r="AB34" s="12" t="s">
        <v>3369</v>
      </c>
      <c r="AG34" s="33" t="s">
        <v>34</v>
      </c>
      <c r="AH34" s="36" t="s">
        <v>35</v>
      </c>
      <c r="AI34" s="36" t="str">
        <f>HYPERLINK("https://drive.google.com/a/gtmnerr.org/file/d/1xdZPUxBQL3Q04nu9hZKEqU5OAwvcXjY4/view?usp=drivesdk","James Tomazinis - 3/29/2018")</f>
        <v>James Tomazinis - 3/29/2018</v>
      </c>
      <c r="AJ34" s="33" t="s">
        <v>36</v>
      </c>
    </row>
    <row r="35" spans="1:36" ht="15.75" customHeight="1">
      <c r="A35" s="29">
        <v>43189.494782939815</v>
      </c>
      <c r="B35" s="12" t="s">
        <v>3293</v>
      </c>
      <c r="C35" s="12" t="s">
        <v>3308</v>
      </c>
      <c r="D35" s="12" t="s">
        <v>3303</v>
      </c>
      <c r="E35" s="12" t="s">
        <v>3409</v>
      </c>
      <c r="F35" s="29">
        <v>43190.375</v>
      </c>
      <c r="G35" s="12" t="s">
        <v>3410</v>
      </c>
      <c r="H35" s="32">
        <v>0.54166666666424135</v>
      </c>
      <c r="I35" s="29">
        <v>43190.708333333328</v>
      </c>
      <c r="J35" s="12" t="s">
        <v>3377</v>
      </c>
      <c r="L35" s="12" t="s">
        <v>3393</v>
      </c>
      <c r="M35" s="12" t="s">
        <v>3313</v>
      </c>
      <c r="N35" s="12" t="s">
        <v>3411</v>
      </c>
      <c r="O35" s="12" t="s">
        <v>3293</v>
      </c>
      <c r="P35" s="12" t="s">
        <v>3369</v>
      </c>
      <c r="Q35" s="12" t="s">
        <v>3369</v>
      </c>
      <c r="R35" s="12" t="s">
        <v>3369</v>
      </c>
      <c r="S35" s="12" t="s">
        <v>3369</v>
      </c>
      <c r="T35" s="12" t="s">
        <v>3369</v>
      </c>
      <c r="U35" s="12" t="s">
        <v>3369</v>
      </c>
      <c r="V35" s="12" t="s">
        <v>3369</v>
      </c>
      <c r="W35" s="12" t="s">
        <v>3369</v>
      </c>
      <c r="X35" s="12" t="s">
        <v>3369</v>
      </c>
      <c r="Y35" s="12" t="s">
        <v>3369</v>
      </c>
      <c r="Z35" s="12" t="s">
        <v>3369</v>
      </c>
      <c r="AA35" s="12" t="s">
        <v>3369</v>
      </c>
      <c r="AB35" s="12" t="s">
        <v>3369</v>
      </c>
      <c r="AC35" s="12" t="s">
        <v>3412</v>
      </c>
      <c r="AD35" s="12" t="s">
        <v>3413</v>
      </c>
      <c r="AE35" s="35"/>
      <c r="AF35" s="35"/>
      <c r="AG35" s="33" t="s">
        <v>38</v>
      </c>
      <c r="AH35" s="36" t="s">
        <v>39</v>
      </c>
      <c r="AI35" s="36" t="str">
        <f>HYPERLINK("https://drive.google.com/a/gtmnerr.org/file/d/1CqRffsFMJFT8y9LOWdRzM3m5rD9ZeP2D/view?usp=drivesdk","Kenneth Rainer - 3/31/2018")</f>
        <v>Kenneth Rainer - 3/31/2018</v>
      </c>
      <c r="AJ35" s="33" t="s">
        <v>40</v>
      </c>
    </row>
    <row r="36" spans="1:36" ht="15.75" customHeight="1">
      <c r="A36" s="29">
        <v>43193.314899652774</v>
      </c>
      <c r="B36" s="12" t="s">
        <v>3372</v>
      </c>
      <c r="C36" s="12" t="s">
        <v>3383</v>
      </c>
      <c r="D36" s="12" t="s">
        <v>3374</v>
      </c>
      <c r="E36" s="12" t="s">
        <v>3414</v>
      </c>
      <c r="F36" s="29">
        <v>43193.354166666672</v>
      </c>
      <c r="G36" s="12" t="s">
        <v>3415</v>
      </c>
      <c r="H36" s="32">
        <v>0.64583333333575865</v>
      </c>
      <c r="I36" s="29">
        <v>43193.666666666672</v>
      </c>
      <c r="J36" s="12" t="s">
        <v>3377</v>
      </c>
      <c r="L36" s="12" t="s">
        <v>3378</v>
      </c>
      <c r="M36" s="12" t="s">
        <v>3379</v>
      </c>
      <c r="N36" s="12" t="s">
        <v>3386</v>
      </c>
      <c r="O36" s="12" t="s">
        <v>3416</v>
      </c>
      <c r="P36" s="12" t="s">
        <v>3369</v>
      </c>
      <c r="Q36" s="12" t="s">
        <v>3369</v>
      </c>
      <c r="R36" s="12" t="s">
        <v>3369</v>
      </c>
      <c r="S36" s="12" t="s">
        <v>3369</v>
      </c>
      <c r="T36" s="12" t="s">
        <v>3369</v>
      </c>
      <c r="U36" s="12" t="s">
        <v>3369</v>
      </c>
      <c r="V36" s="12" t="s">
        <v>3369</v>
      </c>
      <c r="W36" s="12" t="s">
        <v>3369</v>
      </c>
      <c r="X36" s="12" t="s">
        <v>3369</v>
      </c>
      <c r="Y36" s="12" t="s">
        <v>3369</v>
      </c>
      <c r="Z36" s="12" t="s">
        <v>3369</v>
      </c>
      <c r="AA36" s="12" t="s">
        <v>3369</v>
      </c>
      <c r="AB36" s="12" t="s">
        <v>3369</v>
      </c>
      <c r="AG36" s="33" t="s">
        <v>42</v>
      </c>
      <c r="AH36" s="36" t="s">
        <v>43</v>
      </c>
      <c r="AI36" s="36" t="str">
        <f>HYPERLINK("https://drive.google.com/a/gtmnerr.org/file/d/1VQkdorZRbfabc3AEa7o8ja86ZuyLfsIJ/view?usp=drivesdk","Pamela Marcum - 4/3/2018")</f>
        <v>Pamela Marcum - 4/3/2018</v>
      </c>
      <c r="AJ36" s="33" t="s">
        <v>44</v>
      </c>
    </row>
    <row r="37" spans="1:36" ht="12.75">
      <c r="A37" s="29">
        <v>43195.325308298612</v>
      </c>
      <c r="B37" s="12" t="s">
        <v>3417</v>
      </c>
      <c r="C37" s="12" t="s">
        <v>3383</v>
      </c>
      <c r="D37" s="12" t="s">
        <v>3374</v>
      </c>
      <c r="E37" s="12" t="s">
        <v>3418</v>
      </c>
      <c r="F37" s="29">
        <v>43195.354166666672</v>
      </c>
      <c r="G37" s="12" t="s">
        <v>3419</v>
      </c>
      <c r="H37" s="32">
        <v>0.4375</v>
      </c>
      <c r="I37" s="29">
        <v>43195.458333333328</v>
      </c>
      <c r="J37" s="12" t="s">
        <v>3377</v>
      </c>
      <c r="L37" s="12" t="s">
        <v>3378</v>
      </c>
      <c r="M37" s="12" t="s">
        <v>3379</v>
      </c>
      <c r="N37" s="12" t="s">
        <v>3420</v>
      </c>
      <c r="O37" s="12" t="s">
        <v>3417</v>
      </c>
      <c r="P37" s="12" t="s">
        <v>3369</v>
      </c>
      <c r="Q37" s="12" t="s">
        <v>3369</v>
      </c>
      <c r="R37" s="12" t="s">
        <v>3369</v>
      </c>
      <c r="S37" s="12" t="s">
        <v>3369</v>
      </c>
      <c r="T37" s="12" t="s">
        <v>3369</v>
      </c>
      <c r="U37" s="12" t="s">
        <v>3369</v>
      </c>
      <c r="V37" s="12" t="s">
        <v>3369</v>
      </c>
      <c r="W37" s="12" t="s">
        <v>3369</v>
      </c>
      <c r="X37" s="12" t="s">
        <v>3369</v>
      </c>
      <c r="Y37" s="12" t="s">
        <v>3369</v>
      </c>
      <c r="Z37" s="12" t="s">
        <v>3369</v>
      </c>
      <c r="AA37" s="12" t="s">
        <v>3369</v>
      </c>
      <c r="AB37" s="12" t="s">
        <v>3369</v>
      </c>
      <c r="AG37" s="33" t="s">
        <v>45</v>
      </c>
      <c r="AH37" s="36" t="s">
        <v>46</v>
      </c>
      <c r="AI37" s="36" t="str">
        <f>HYPERLINK("https://drive.google.com/a/gtmnerr.org/file/d/1wwbmFLgI3rXytEVbNoq8P0VpSeSlZpZt/view?usp=drivesdk","Pam Marcum - 4/5/2018")</f>
        <v>Pam Marcum - 4/5/2018</v>
      </c>
      <c r="AJ37" s="33" t="s">
        <v>47</v>
      </c>
    </row>
    <row r="38" spans="1:36" ht="12.75">
      <c r="A38" s="29">
        <v>43197.370906585653</v>
      </c>
      <c r="B38" s="12" t="s">
        <v>3421</v>
      </c>
      <c r="C38" s="12" t="s">
        <v>3422</v>
      </c>
      <c r="D38" s="12" t="s">
        <v>3374</v>
      </c>
      <c r="E38" s="12" t="s">
        <v>3418</v>
      </c>
      <c r="F38" s="29">
        <v>43197.388888888891</v>
      </c>
      <c r="G38" s="12" t="s">
        <v>3423</v>
      </c>
      <c r="H38" s="32">
        <v>0.49305555555474712</v>
      </c>
      <c r="I38" s="29">
        <v>43197.520833333328</v>
      </c>
      <c r="J38" s="12" t="s">
        <v>3377</v>
      </c>
      <c r="L38" s="12" t="s">
        <v>3393</v>
      </c>
      <c r="M38" s="12" t="s">
        <v>3406</v>
      </c>
      <c r="N38" s="12" t="s">
        <v>3386</v>
      </c>
      <c r="O38" s="12" t="s">
        <v>3408</v>
      </c>
      <c r="P38" s="12" t="s">
        <v>3369</v>
      </c>
      <c r="Q38" s="12" t="s">
        <v>3369</v>
      </c>
      <c r="R38" s="12" t="s">
        <v>3369</v>
      </c>
      <c r="S38" s="12" t="s">
        <v>3369</v>
      </c>
      <c r="T38" s="12" t="s">
        <v>3369</v>
      </c>
      <c r="U38" s="12" t="s">
        <v>3369</v>
      </c>
      <c r="V38" s="12" t="s">
        <v>3369</v>
      </c>
      <c r="W38" s="12" t="s">
        <v>3369</v>
      </c>
      <c r="X38" s="12" t="s">
        <v>3369</v>
      </c>
      <c r="Y38" s="12" t="s">
        <v>3369</v>
      </c>
      <c r="Z38" s="12" t="s">
        <v>3369</v>
      </c>
      <c r="AA38" s="12" t="s">
        <v>3369</v>
      </c>
      <c r="AB38" s="12" t="s">
        <v>3369</v>
      </c>
      <c r="AG38" s="33" t="s">
        <v>48</v>
      </c>
      <c r="AH38" s="36" t="s">
        <v>49</v>
      </c>
      <c r="AI38" s="36" t="str">
        <f>HYPERLINK("https://drive.google.com/a/gtmnerr.org/file/d/1PS5YPza6b0J9agPHBVTnWxTfvhLIFch7/view?usp=drivesdk","Benjamin E Mowbray - 4/7/2018")</f>
        <v>Benjamin E Mowbray - 4/7/2018</v>
      </c>
      <c r="AJ38" s="33" t="s">
        <v>50</v>
      </c>
    </row>
    <row r="39" spans="1:36" ht="12.75">
      <c r="A39" s="29">
        <v>43197.372173587966</v>
      </c>
      <c r="B39" s="12" t="s">
        <v>3386</v>
      </c>
      <c r="C39" s="12" t="s">
        <v>3422</v>
      </c>
      <c r="D39" s="12" t="s">
        <v>3374</v>
      </c>
      <c r="E39" s="12" t="s">
        <v>3418</v>
      </c>
      <c r="F39" s="29">
        <v>43197.388888888891</v>
      </c>
      <c r="G39" s="12" t="s">
        <v>3423</v>
      </c>
      <c r="H39" s="32">
        <v>0.49305555555474712</v>
      </c>
      <c r="I39" s="29">
        <v>43197.520833333328</v>
      </c>
      <c r="J39" s="12" t="s">
        <v>3331</v>
      </c>
      <c r="L39" s="12" t="s">
        <v>3378</v>
      </c>
      <c r="M39" s="12" t="s">
        <v>3424</v>
      </c>
      <c r="O39" s="12" t="s">
        <v>3381</v>
      </c>
      <c r="P39" s="12" t="s">
        <v>3369</v>
      </c>
      <c r="Q39" s="12" t="s">
        <v>3369</v>
      </c>
      <c r="R39" s="12" t="s">
        <v>3369</v>
      </c>
      <c r="S39" s="12" t="s">
        <v>3369</v>
      </c>
      <c r="T39" s="12" t="s">
        <v>3369</v>
      </c>
      <c r="U39" s="12" t="s">
        <v>3369</v>
      </c>
      <c r="V39" s="12" t="s">
        <v>3369</v>
      </c>
      <c r="W39" s="12" t="s">
        <v>3369</v>
      </c>
      <c r="X39" s="12" t="s">
        <v>3369</v>
      </c>
      <c r="Y39" s="12" t="s">
        <v>3369</v>
      </c>
      <c r="Z39" s="12" t="s">
        <v>3369</v>
      </c>
      <c r="AA39" s="12" t="s">
        <v>3369</v>
      </c>
      <c r="AB39" s="12" t="s">
        <v>3369</v>
      </c>
      <c r="AG39" s="33" t="s">
        <v>51</v>
      </c>
      <c r="AH39" s="36" t="s">
        <v>52</v>
      </c>
      <c r="AI39" s="36" t="str">
        <f>HYPERLINK("https://drive.google.com/a/gtmnerr.org/file/d/1xtziDCcDw8NcS5SRk_17AU3Q8TKpQ1Z4/view?usp=drivesdk","Ben Mowbray - 4/7/2018")</f>
        <v>Ben Mowbray - 4/7/2018</v>
      </c>
      <c r="AJ39" s="33" t="s">
        <v>53</v>
      </c>
    </row>
    <row r="40" spans="1:36" ht="12.75">
      <c r="A40" s="29">
        <v>43199.524604062499</v>
      </c>
      <c r="B40" s="12" t="s">
        <v>3390</v>
      </c>
      <c r="C40" s="12" t="s">
        <v>3391</v>
      </c>
      <c r="D40" s="12" t="s">
        <v>3374</v>
      </c>
      <c r="E40" s="12" t="s">
        <v>3396</v>
      </c>
      <c r="F40" s="29">
        <v>43201.291666666672</v>
      </c>
      <c r="G40" s="12" t="s">
        <v>3397</v>
      </c>
      <c r="H40" s="32">
        <v>0.5625</v>
      </c>
      <c r="I40" s="29">
        <v>43201.572916666672</v>
      </c>
      <c r="J40" s="12" t="s">
        <v>3377</v>
      </c>
      <c r="L40" s="12" t="s">
        <v>3393</v>
      </c>
      <c r="M40" s="12" t="s">
        <v>3394</v>
      </c>
      <c r="N40" s="12" t="s">
        <v>3425</v>
      </c>
      <c r="O40" s="12" t="s">
        <v>3390</v>
      </c>
      <c r="P40" s="12" t="s">
        <v>3369</v>
      </c>
      <c r="Q40" s="12" t="s">
        <v>3369</v>
      </c>
      <c r="R40" s="12" t="s">
        <v>3369</v>
      </c>
      <c r="S40" s="12" t="s">
        <v>3369</v>
      </c>
      <c r="T40" s="12" t="s">
        <v>3369</v>
      </c>
      <c r="U40" s="12" t="s">
        <v>3369</v>
      </c>
      <c r="V40" s="12" t="s">
        <v>3369</v>
      </c>
      <c r="W40" s="12" t="s">
        <v>3369</v>
      </c>
      <c r="X40" s="12" t="s">
        <v>3369</v>
      </c>
      <c r="Y40" s="12" t="s">
        <v>3369</v>
      </c>
      <c r="Z40" s="12" t="s">
        <v>3369</v>
      </c>
      <c r="AA40" s="12" t="s">
        <v>3369</v>
      </c>
      <c r="AB40" s="12" t="s">
        <v>3369</v>
      </c>
      <c r="AC40" s="12" t="s">
        <v>3426</v>
      </c>
      <c r="AD40" s="12" t="s">
        <v>3427</v>
      </c>
      <c r="AE40" s="35"/>
      <c r="AF40" s="35"/>
      <c r="AG40" s="33" t="s">
        <v>8</v>
      </c>
      <c r="AH40" s="33" t="s">
        <v>8</v>
      </c>
      <c r="AI40" s="33" t="s">
        <v>8</v>
      </c>
      <c r="AJ40" s="33" t="s">
        <v>8</v>
      </c>
    </row>
    <row r="41" spans="1:36" ht="12.75">
      <c r="A41" s="29">
        <v>43200.445317233796</v>
      </c>
      <c r="B41" s="12" t="s">
        <v>3390</v>
      </c>
      <c r="C41" s="12" t="s">
        <v>3391</v>
      </c>
      <c r="D41" s="12" t="s">
        <v>3374</v>
      </c>
      <c r="E41" s="12" t="s">
        <v>3396</v>
      </c>
      <c r="F41" s="29">
        <v>43202.3125</v>
      </c>
      <c r="G41" s="12" t="s">
        <v>3397</v>
      </c>
      <c r="H41" s="32">
        <v>0.5625</v>
      </c>
      <c r="I41" s="29">
        <v>43202.572916666672</v>
      </c>
      <c r="J41" s="12" t="s">
        <v>3331</v>
      </c>
      <c r="L41" s="12" t="s">
        <v>3378</v>
      </c>
      <c r="M41" s="12" t="s">
        <v>3428</v>
      </c>
      <c r="O41" s="12" t="s">
        <v>3429</v>
      </c>
      <c r="P41" s="12" t="s">
        <v>3369</v>
      </c>
      <c r="Q41" s="12" t="s">
        <v>3369</v>
      </c>
      <c r="R41" s="12" t="s">
        <v>3369</v>
      </c>
      <c r="S41" s="12" t="s">
        <v>3369</v>
      </c>
      <c r="T41" s="12" t="s">
        <v>3369</v>
      </c>
      <c r="U41" s="12" t="s">
        <v>3369</v>
      </c>
      <c r="V41" s="12" t="s">
        <v>3369</v>
      </c>
      <c r="W41" s="12" t="s">
        <v>3369</v>
      </c>
      <c r="X41" s="12" t="s">
        <v>3369</v>
      </c>
      <c r="Y41" s="12" t="s">
        <v>3369</v>
      </c>
      <c r="Z41" s="12" t="s">
        <v>3369</v>
      </c>
      <c r="AA41" s="12" t="s">
        <v>3369</v>
      </c>
      <c r="AB41" s="12" t="s">
        <v>3369</v>
      </c>
      <c r="AG41" s="33" t="s">
        <v>55</v>
      </c>
      <c r="AH41" s="36" t="s">
        <v>56</v>
      </c>
      <c r="AI41" s="36" t="str">
        <f>HYPERLINK("https://drive.google.com/a/gtmnerr.org/file/d/1dZ2zFneiLNJ-LVQ0meYVs4oB71EuzBH6/view?usp=drivesdk","Silas Tanner - 4/12/2018")</f>
        <v>Silas Tanner - 4/12/2018</v>
      </c>
      <c r="AJ41" s="33" t="s">
        <v>57</v>
      </c>
    </row>
    <row r="42" spans="1:36" ht="12.75">
      <c r="A42" s="29">
        <v>43201.392433506946</v>
      </c>
      <c r="B42" s="12" t="s">
        <v>3390</v>
      </c>
      <c r="C42" s="12" t="s">
        <v>3391</v>
      </c>
      <c r="D42" s="12" t="s">
        <v>3374</v>
      </c>
      <c r="E42" s="12" t="s">
        <v>3430</v>
      </c>
      <c r="F42" s="29">
        <v>43203.416666666672</v>
      </c>
      <c r="G42" s="12" t="s">
        <v>3431</v>
      </c>
      <c r="H42" s="32">
        <v>0.54166666666424135</v>
      </c>
      <c r="I42" s="29">
        <v>43203.583333333328</v>
      </c>
      <c r="J42" s="12" t="s">
        <v>3377</v>
      </c>
      <c r="L42" s="12" t="s">
        <v>3393</v>
      </c>
      <c r="M42" s="12" t="s">
        <v>3390</v>
      </c>
      <c r="N42" s="12" t="s">
        <v>3432</v>
      </c>
      <c r="O42" s="12" t="s">
        <v>3390</v>
      </c>
      <c r="P42" s="12" t="s">
        <v>3369</v>
      </c>
      <c r="Q42" s="12" t="s">
        <v>3369</v>
      </c>
      <c r="R42" s="12" t="s">
        <v>3369</v>
      </c>
      <c r="S42" s="12" t="s">
        <v>3369</v>
      </c>
      <c r="T42" s="12" t="s">
        <v>3369</v>
      </c>
      <c r="U42" s="12" t="s">
        <v>3369</v>
      </c>
      <c r="V42" s="12" t="s">
        <v>3369</v>
      </c>
      <c r="W42" s="12" t="s">
        <v>3369</v>
      </c>
      <c r="X42" s="12" t="s">
        <v>3369</v>
      </c>
      <c r="Y42" s="12" t="s">
        <v>3369</v>
      </c>
      <c r="Z42" s="12" t="s">
        <v>3369</v>
      </c>
      <c r="AA42" s="12" t="s">
        <v>3369</v>
      </c>
      <c r="AB42" s="12" t="s">
        <v>3369</v>
      </c>
      <c r="AC42" s="12" t="s">
        <v>3433</v>
      </c>
      <c r="AD42" s="12" t="s">
        <v>3434</v>
      </c>
      <c r="AE42" s="35"/>
      <c r="AF42" s="35"/>
      <c r="AG42" s="33" t="s">
        <v>59</v>
      </c>
      <c r="AH42" s="36" t="s">
        <v>60</v>
      </c>
      <c r="AI42" s="36" t="str">
        <f>HYPERLINK("https://drive.google.com/a/gtmnerr.org/file/d/1iSoKHDcZ4JzQNG4JwzRoVeKu0BXy7IBM/view?usp=drivesdk","Silas Tanner - 4/13/2018")</f>
        <v>Silas Tanner - 4/13/2018</v>
      </c>
      <c r="AJ42" s="33" t="s">
        <v>61</v>
      </c>
    </row>
    <row r="43" spans="1:36" ht="12.75">
      <c r="A43" s="29">
        <v>43202.333061296296</v>
      </c>
      <c r="B43" s="12" t="s">
        <v>3372</v>
      </c>
      <c r="C43" s="12" t="s">
        <v>259</v>
      </c>
      <c r="D43" s="12" t="s">
        <v>3374</v>
      </c>
      <c r="E43" s="12" t="s">
        <v>3435</v>
      </c>
      <c r="F43" s="29">
        <v>43202.354166666672</v>
      </c>
      <c r="G43" s="12" t="s">
        <v>3436</v>
      </c>
      <c r="H43" s="32">
        <v>0.54166666666424135</v>
      </c>
      <c r="I43" s="29">
        <v>43202.5625</v>
      </c>
      <c r="J43" s="12" t="s">
        <v>3377</v>
      </c>
      <c r="L43" s="12" t="s">
        <v>3393</v>
      </c>
      <c r="M43" s="12" t="s">
        <v>3379</v>
      </c>
      <c r="N43" s="12" t="s">
        <v>3437</v>
      </c>
      <c r="O43" s="12" t="s">
        <v>3381</v>
      </c>
      <c r="P43" s="12" t="s">
        <v>3369</v>
      </c>
      <c r="Q43" s="12" t="s">
        <v>3369</v>
      </c>
      <c r="R43" s="12" t="s">
        <v>3369</v>
      </c>
      <c r="S43" s="12" t="s">
        <v>3369</v>
      </c>
      <c r="T43" s="12" t="s">
        <v>3369</v>
      </c>
      <c r="U43" s="12" t="s">
        <v>3369</v>
      </c>
      <c r="V43" s="12" t="s">
        <v>3369</v>
      </c>
      <c r="W43" s="12" t="s">
        <v>3369</v>
      </c>
      <c r="X43" s="12" t="s">
        <v>3369</v>
      </c>
      <c r="Y43" s="12" t="s">
        <v>3369</v>
      </c>
      <c r="Z43" s="12" t="s">
        <v>3369</v>
      </c>
      <c r="AA43" s="12" t="s">
        <v>3369</v>
      </c>
      <c r="AB43" s="12" t="s">
        <v>3369</v>
      </c>
      <c r="AG43" s="33" t="s">
        <v>62</v>
      </c>
      <c r="AH43" s="36" t="s">
        <v>63</v>
      </c>
      <c r="AI43" s="36" t="str">
        <f>HYPERLINK("https://drive.google.com/a/gtmnerr.org/file/d/1X-tbMcKrUC7VZG_2B5PruW_7lMpu_1vI/view?usp=drivesdk","Pamela Marcum - 4/12/2018")</f>
        <v>Pamela Marcum - 4/12/2018</v>
      </c>
      <c r="AJ43" s="33" t="s">
        <v>64</v>
      </c>
    </row>
    <row r="44" spans="1:36" ht="12.75">
      <c r="A44" s="29">
        <v>43206.542863148148</v>
      </c>
      <c r="B44" s="12" t="s">
        <v>3386</v>
      </c>
      <c r="C44" s="12" t="s">
        <v>3438</v>
      </c>
      <c r="D44" s="12" t="s">
        <v>3374</v>
      </c>
      <c r="E44" s="12" t="s">
        <v>3387</v>
      </c>
      <c r="F44" s="29">
        <v>43207.333333333328</v>
      </c>
      <c r="G44" s="12" t="s">
        <v>3439</v>
      </c>
      <c r="H44" s="32">
        <v>0.52083333333575865</v>
      </c>
      <c r="I44" s="29">
        <v>43207.052083333328</v>
      </c>
      <c r="J44" s="12" t="s">
        <v>3331</v>
      </c>
      <c r="L44" s="12" t="s">
        <v>3393</v>
      </c>
      <c r="M44" s="12" t="s">
        <v>3440</v>
      </c>
      <c r="N44" s="12" t="s">
        <v>3441</v>
      </c>
      <c r="O44" s="12" t="s">
        <v>3381</v>
      </c>
      <c r="P44" s="12" t="s">
        <v>3369</v>
      </c>
      <c r="Q44" s="12" t="s">
        <v>3369</v>
      </c>
      <c r="R44" s="12" t="s">
        <v>3369</v>
      </c>
      <c r="S44" s="12" t="s">
        <v>3369</v>
      </c>
      <c r="T44" s="12" t="s">
        <v>3369</v>
      </c>
      <c r="U44" s="12" t="s">
        <v>3369</v>
      </c>
      <c r="V44" s="12" t="s">
        <v>3369</v>
      </c>
      <c r="W44" s="12" t="s">
        <v>3369</v>
      </c>
      <c r="X44" s="12" t="s">
        <v>3369</v>
      </c>
      <c r="Y44" s="12" t="s">
        <v>3369</v>
      </c>
      <c r="Z44" s="12" t="s">
        <v>3369</v>
      </c>
      <c r="AA44" s="12" t="s">
        <v>3369</v>
      </c>
      <c r="AB44" s="12" t="s">
        <v>3369</v>
      </c>
      <c r="AG44" s="33" t="s">
        <v>65</v>
      </c>
      <c r="AH44" s="36" t="s">
        <v>66</v>
      </c>
      <c r="AI44" s="36" t="str">
        <f>HYPERLINK("https://docs.google.com/document/d/1lvnFSpiVYr6imjfOlWlxPW2ouTpS9jO0pAxu4_Njk7M/edit?usp=drivesdk","Ben Mowbray - Tuesday, April 17, 2018 at 12:00:00 AM")</f>
        <v>Ben Mowbray - Tuesday, April 17, 2018 at 12:00:00 AM</v>
      </c>
      <c r="AJ44" s="33" t="s">
        <v>67</v>
      </c>
    </row>
    <row r="45" spans="1:36" ht="12.75">
      <c r="A45" s="29">
        <v>43206.735719456017</v>
      </c>
      <c r="B45" s="12" t="s">
        <v>3372</v>
      </c>
      <c r="C45" s="12" t="s">
        <v>3383</v>
      </c>
      <c r="D45" s="12" t="s">
        <v>3374</v>
      </c>
      <c r="F45" s="30">
        <v>43208</v>
      </c>
      <c r="G45" s="12" t="s">
        <v>3442</v>
      </c>
      <c r="H45" s="32">
        <v>0.54166666666424135</v>
      </c>
      <c r="I45" s="29">
        <v>43208.604166666672</v>
      </c>
      <c r="J45" s="12" t="s">
        <v>3331</v>
      </c>
      <c r="L45" s="12" t="s">
        <v>3393</v>
      </c>
      <c r="M45" s="12" t="s">
        <v>3443</v>
      </c>
      <c r="N45" s="12" t="s">
        <v>3444</v>
      </c>
      <c r="O45" s="12" t="s">
        <v>3390</v>
      </c>
      <c r="P45" s="12" t="s">
        <v>3369</v>
      </c>
      <c r="Q45" s="12" t="s">
        <v>3369</v>
      </c>
      <c r="R45" s="12" t="s">
        <v>3369</v>
      </c>
      <c r="S45" s="12" t="s">
        <v>3369</v>
      </c>
      <c r="T45" s="12" t="s">
        <v>3369</v>
      </c>
      <c r="U45" s="12" t="s">
        <v>3369</v>
      </c>
      <c r="V45" s="12" t="s">
        <v>3369</v>
      </c>
      <c r="W45" s="12" t="s">
        <v>3369</v>
      </c>
      <c r="X45" s="12" t="s">
        <v>3369</v>
      </c>
      <c r="Y45" s="12" t="s">
        <v>3369</v>
      </c>
      <c r="Z45" s="12" t="s">
        <v>3369</v>
      </c>
      <c r="AA45" s="12" t="s">
        <v>3369</v>
      </c>
      <c r="AB45" s="12" t="s">
        <v>3369</v>
      </c>
      <c r="AE45" s="32">
        <v>0.33333333333575865</v>
      </c>
      <c r="AF45" s="35"/>
      <c r="AG45" s="33" t="s">
        <v>68</v>
      </c>
      <c r="AH45" s="36" t="s">
        <v>69</v>
      </c>
      <c r="AI45" s="36" t="str">
        <f>HYPERLINK("https://docs.google.com/document/d/1yuciw9UAQC0hXjE6C7ODRboAy7GXEhKwmAu3V1IstVw/edit?usp=drivesdk","Pamela Marcum - 4/18/2018 8:00 AM")</f>
        <v>Pamela Marcum - 4/18/2018 8:00 AM</v>
      </c>
      <c r="AJ45" s="33" t="s">
        <v>70</v>
      </c>
    </row>
    <row r="46" spans="1:36" ht="12.75">
      <c r="A46" s="29">
        <v>43209.301340277772</v>
      </c>
      <c r="B46" s="12" t="s">
        <v>3372</v>
      </c>
      <c r="C46" s="12" t="s">
        <v>3373</v>
      </c>
      <c r="D46" s="12" t="s">
        <v>3374</v>
      </c>
      <c r="E46" s="12" t="s">
        <v>3445</v>
      </c>
      <c r="F46" s="30">
        <v>43209</v>
      </c>
      <c r="G46" s="12" t="s">
        <v>3446</v>
      </c>
      <c r="H46" s="32">
        <v>0.625</v>
      </c>
      <c r="I46" s="29">
        <v>43209.645833333328</v>
      </c>
      <c r="J46" s="12" t="s">
        <v>3331</v>
      </c>
      <c r="L46" s="12" t="s">
        <v>3393</v>
      </c>
      <c r="M46" s="12" t="s">
        <v>3443</v>
      </c>
      <c r="N46" s="12" t="s">
        <v>3447</v>
      </c>
      <c r="O46" s="12" t="s">
        <v>3381</v>
      </c>
      <c r="P46" s="12" t="s">
        <v>3369</v>
      </c>
      <c r="Q46" s="12" t="s">
        <v>3369</v>
      </c>
      <c r="R46" s="12" t="s">
        <v>3369</v>
      </c>
      <c r="S46" s="12" t="s">
        <v>3369</v>
      </c>
      <c r="T46" s="12" t="s">
        <v>3369</v>
      </c>
      <c r="U46" s="12" t="s">
        <v>3369</v>
      </c>
      <c r="V46" s="12" t="s">
        <v>3369</v>
      </c>
      <c r="W46" s="12" t="s">
        <v>3369</v>
      </c>
      <c r="X46" s="12" t="s">
        <v>3369</v>
      </c>
      <c r="Y46" s="12" t="s">
        <v>3369</v>
      </c>
      <c r="Z46" s="12" t="s">
        <v>3369</v>
      </c>
      <c r="AA46" s="12" t="s">
        <v>3369</v>
      </c>
      <c r="AB46" s="12" t="s">
        <v>3369</v>
      </c>
      <c r="AE46" s="32">
        <v>0.32291666666424135</v>
      </c>
      <c r="AF46" s="35"/>
      <c r="AG46" s="33" t="s">
        <v>71</v>
      </c>
      <c r="AH46" s="36" t="s">
        <v>72</v>
      </c>
      <c r="AI46" s="36" t="str">
        <f>HYPERLINK("https://docs.google.com/document/d/1xUIhT2sRTDOWmpUEFwaZu47fXh5-6Kw9MpWVOIypX_Y/edit?usp=drivesdk","Pamela Marcum - 4/19/2018 7:45 AM")</f>
        <v>Pamela Marcum - 4/19/2018 7:45 AM</v>
      </c>
      <c r="AJ46" s="33" t="s">
        <v>73</v>
      </c>
    </row>
    <row r="47" spans="1:36" ht="12.75">
      <c r="A47" s="29">
        <v>43210.345755034723</v>
      </c>
      <c r="B47" s="12" t="s">
        <v>3390</v>
      </c>
      <c r="C47" s="12" t="s">
        <v>3448</v>
      </c>
      <c r="D47" s="12" t="s">
        <v>3374</v>
      </c>
      <c r="E47" s="12" t="s">
        <v>3449</v>
      </c>
      <c r="F47" s="30">
        <v>43210</v>
      </c>
      <c r="G47" s="12" t="s">
        <v>3450</v>
      </c>
      <c r="H47" s="32">
        <v>0.64583333333575865</v>
      </c>
      <c r="I47" s="29">
        <v>43210.666666666672</v>
      </c>
      <c r="J47" s="12" t="s">
        <v>3331</v>
      </c>
      <c r="L47" s="12" t="s">
        <v>3393</v>
      </c>
      <c r="M47" s="12" t="s">
        <v>3451</v>
      </c>
      <c r="N47" s="12" t="s">
        <v>3452</v>
      </c>
      <c r="O47" s="12" t="s">
        <v>3390</v>
      </c>
      <c r="P47" s="12" t="s">
        <v>3369</v>
      </c>
      <c r="Q47" s="12" t="s">
        <v>3369</v>
      </c>
      <c r="R47" s="12" t="s">
        <v>3369</v>
      </c>
      <c r="S47" s="12" t="s">
        <v>3369</v>
      </c>
      <c r="T47" s="12" t="s">
        <v>3369</v>
      </c>
      <c r="U47" s="12" t="s">
        <v>3369</v>
      </c>
      <c r="V47" s="12" t="s">
        <v>3369</v>
      </c>
      <c r="W47" s="12" t="s">
        <v>3369</v>
      </c>
      <c r="X47" s="12" t="s">
        <v>3369</v>
      </c>
      <c r="Y47" s="12" t="s">
        <v>3369</v>
      </c>
      <c r="Z47" s="12" t="s">
        <v>3369</v>
      </c>
      <c r="AA47" s="12" t="s">
        <v>3369</v>
      </c>
      <c r="AB47" s="12" t="s">
        <v>3369</v>
      </c>
      <c r="AE47" s="32">
        <v>0.375</v>
      </c>
      <c r="AF47" s="35"/>
      <c r="AG47" s="33" t="s">
        <v>74</v>
      </c>
      <c r="AH47" s="36" t="s">
        <v>75</v>
      </c>
      <c r="AI47" s="36" t="str">
        <f>HYPERLINK("https://docs.google.com/document/d/1JEa1CEgHyehbkiQb0UeiGakohFPxlUdscuddwbzrIxE/edit?usp=drivesdk","Silas Tanner - 4/20/2018 9:00 AM")</f>
        <v>Silas Tanner - 4/20/2018 9:00 AM</v>
      </c>
      <c r="AJ47" s="33" t="s">
        <v>76</v>
      </c>
    </row>
    <row r="48" spans="1:36" ht="12.75">
      <c r="A48" s="29">
        <v>43213.402466388885</v>
      </c>
      <c r="B48" s="12" t="s">
        <v>3390</v>
      </c>
      <c r="C48" s="12" t="s">
        <v>3391</v>
      </c>
      <c r="D48" s="12" t="s">
        <v>3374</v>
      </c>
      <c r="E48" s="12" t="s">
        <v>3453</v>
      </c>
      <c r="F48" s="30">
        <v>43214</v>
      </c>
      <c r="G48" s="12" t="s">
        <v>3310</v>
      </c>
      <c r="H48" s="32">
        <v>0.65625</v>
      </c>
      <c r="I48" s="29">
        <v>43214.6875</v>
      </c>
      <c r="J48" s="12" t="s">
        <v>3331</v>
      </c>
      <c r="L48" s="12" t="s">
        <v>3393</v>
      </c>
      <c r="M48" s="12" t="s">
        <v>3454</v>
      </c>
      <c r="N48" s="12" t="s">
        <v>3455</v>
      </c>
      <c r="O48" s="12" t="s">
        <v>3390</v>
      </c>
      <c r="P48" s="12" t="s">
        <v>3369</v>
      </c>
      <c r="Q48" s="12" t="s">
        <v>3369</v>
      </c>
      <c r="R48" s="12" t="s">
        <v>3369</v>
      </c>
      <c r="S48" s="12" t="s">
        <v>3369</v>
      </c>
      <c r="T48" s="12" t="s">
        <v>3369</v>
      </c>
      <c r="U48" s="12" t="s">
        <v>3369</v>
      </c>
      <c r="V48" s="12" t="s">
        <v>3369</v>
      </c>
      <c r="W48" s="12" t="s">
        <v>3369</v>
      </c>
      <c r="X48" s="12" t="s">
        <v>3369</v>
      </c>
      <c r="Y48" s="12" t="s">
        <v>3369</v>
      </c>
      <c r="Z48" s="12" t="s">
        <v>3369</v>
      </c>
      <c r="AA48" s="12" t="s">
        <v>3369</v>
      </c>
      <c r="AB48" s="12" t="s">
        <v>3369</v>
      </c>
      <c r="AE48" s="32">
        <v>0.40625</v>
      </c>
      <c r="AF48" s="35"/>
      <c r="AG48" s="33" t="s">
        <v>77</v>
      </c>
      <c r="AH48" s="36" t="s">
        <v>78</v>
      </c>
      <c r="AI48" s="36" t="str">
        <f>HYPERLINK("https://docs.google.com/document/d/1JFryXOw2InmmGmXxxzshvZNk4sdpEONK7hn7Y_AqJRE/edit?usp=drivesdk","Silas Tanner - 4/23/2018 9:45 AM")</f>
        <v>Silas Tanner - 4/23/2018 9:45 AM</v>
      </c>
      <c r="AJ48" s="33" t="s">
        <v>79</v>
      </c>
    </row>
    <row r="49" spans="1:36" ht="12.75">
      <c r="A49" s="29">
        <v>43213.714154884263</v>
      </c>
      <c r="B49" s="12" t="s">
        <v>3399</v>
      </c>
      <c r="C49" s="12" t="s">
        <v>3456</v>
      </c>
      <c r="D49" s="12" t="s">
        <v>3401</v>
      </c>
      <c r="E49" s="12" t="s">
        <v>3356</v>
      </c>
      <c r="F49" s="30">
        <v>43214</v>
      </c>
      <c r="G49" s="12" t="s">
        <v>3457</v>
      </c>
      <c r="H49" s="32">
        <v>0.45833333333575865</v>
      </c>
      <c r="J49" s="12" t="s">
        <v>3403</v>
      </c>
      <c r="L49" s="12" t="s">
        <v>3299</v>
      </c>
      <c r="M49" s="12" t="s">
        <v>3458</v>
      </c>
      <c r="N49" s="12" t="s">
        <v>3459</v>
      </c>
      <c r="O49" s="12" t="s">
        <v>3408</v>
      </c>
      <c r="P49" s="12" t="s">
        <v>3369</v>
      </c>
      <c r="Q49" s="12" t="s">
        <v>3369</v>
      </c>
      <c r="R49" s="12" t="s">
        <v>3369</v>
      </c>
      <c r="S49" s="12" t="s">
        <v>3369</v>
      </c>
      <c r="T49" s="12" t="s">
        <v>3369</v>
      </c>
      <c r="U49" s="12" t="s">
        <v>3369</v>
      </c>
      <c r="V49" s="12" t="s">
        <v>3369</v>
      </c>
      <c r="W49" s="12" t="s">
        <v>3369</v>
      </c>
      <c r="X49" s="12" t="s">
        <v>3369</v>
      </c>
      <c r="Y49" s="12" t="s">
        <v>3369</v>
      </c>
      <c r="Z49" s="12" t="s">
        <v>3369</v>
      </c>
      <c r="AA49" s="12" t="s">
        <v>3369</v>
      </c>
      <c r="AB49" s="12" t="s">
        <v>3369</v>
      </c>
      <c r="AE49" s="32">
        <v>0.28125</v>
      </c>
      <c r="AF49" s="35"/>
      <c r="AG49" s="33" t="s">
        <v>80</v>
      </c>
      <c r="AH49" s="36" t="s">
        <v>81</v>
      </c>
      <c r="AI49" s="36" t="str">
        <f>HYPERLINK("https://docs.google.com/document/d/1cZgdQ9Bkry7GfAi9UtVtg27Em-ne__SFXnsOQWLIXOg/edit?usp=drivesdk","James Tomazinis - 4/24/2018 6:45 AM")</f>
        <v>James Tomazinis - 4/24/2018 6:45 AM</v>
      </c>
      <c r="AJ49" s="33" t="s">
        <v>82</v>
      </c>
    </row>
    <row r="50" spans="1:36" ht="12.75">
      <c r="A50" s="29">
        <v>43214.35881612268</v>
      </c>
      <c r="B50" s="12" t="s">
        <v>3372</v>
      </c>
      <c r="C50" s="12" t="s">
        <v>3383</v>
      </c>
      <c r="D50" s="12" t="s">
        <v>3374</v>
      </c>
      <c r="E50" s="12" t="s">
        <v>3296</v>
      </c>
      <c r="F50" s="30">
        <v>43214</v>
      </c>
      <c r="G50" s="12" t="s">
        <v>3460</v>
      </c>
      <c r="H50" s="32">
        <v>0.58333333333575865</v>
      </c>
      <c r="I50" s="29">
        <v>43214.604166666672</v>
      </c>
      <c r="J50" s="12" t="s">
        <v>3377</v>
      </c>
      <c r="L50" s="12" t="s">
        <v>3461</v>
      </c>
      <c r="M50" s="12" t="s">
        <v>3300</v>
      </c>
      <c r="N50" s="12" t="s">
        <v>3462</v>
      </c>
      <c r="O50" s="12" t="s">
        <v>3381</v>
      </c>
      <c r="P50" s="12" t="s">
        <v>3369</v>
      </c>
      <c r="Q50" s="12" t="s">
        <v>3369</v>
      </c>
      <c r="R50" s="12" t="s">
        <v>3369</v>
      </c>
      <c r="S50" s="12" t="s">
        <v>3369</v>
      </c>
      <c r="T50" s="12" t="s">
        <v>3369</v>
      </c>
      <c r="U50" s="12" t="s">
        <v>3369</v>
      </c>
      <c r="V50" s="12" t="s">
        <v>3369</v>
      </c>
      <c r="W50" s="12" t="s">
        <v>3369</v>
      </c>
      <c r="X50" s="12" t="s">
        <v>3369</v>
      </c>
      <c r="Y50" s="12" t="s">
        <v>3369</v>
      </c>
      <c r="Z50" s="12" t="s">
        <v>3369</v>
      </c>
      <c r="AA50" s="12" t="s">
        <v>3369</v>
      </c>
      <c r="AB50" s="12" t="s">
        <v>3369</v>
      </c>
      <c r="AE50" s="32">
        <v>0.36458333333575865</v>
      </c>
      <c r="AF50" s="35"/>
      <c r="AG50" s="33" t="s">
        <v>83</v>
      </c>
      <c r="AH50" s="36" t="s">
        <v>84</v>
      </c>
      <c r="AI50" s="36" t="str">
        <f>HYPERLINK("https://docs.google.com/document/d/141YwKW4KI8Q1dzT2ZpYz1hJTIpHl_K-P_b2fL-FVL80/edit?usp=drivesdk","Pamela Marcum - 4/24/2018 8:45 AM")</f>
        <v>Pamela Marcum - 4/24/2018 8:45 AM</v>
      </c>
      <c r="AJ50" s="33" t="s">
        <v>85</v>
      </c>
    </row>
    <row r="51" spans="1:36" ht="12.75">
      <c r="A51" s="29">
        <v>43215.263776793981</v>
      </c>
      <c r="B51" s="12" t="s">
        <v>3390</v>
      </c>
      <c r="C51" s="12" t="s">
        <v>3463</v>
      </c>
      <c r="D51" s="12" t="s">
        <v>3374</v>
      </c>
      <c r="E51" s="12" t="s">
        <v>3464</v>
      </c>
      <c r="F51" s="30">
        <v>43215</v>
      </c>
      <c r="G51" s="12" t="s">
        <v>3465</v>
      </c>
      <c r="H51" s="32">
        <v>0.5625</v>
      </c>
      <c r="I51" s="29">
        <v>43215.583333333328</v>
      </c>
      <c r="J51" s="12" t="s">
        <v>3377</v>
      </c>
      <c r="L51" s="12" t="s">
        <v>3461</v>
      </c>
      <c r="M51" s="12" t="s">
        <v>3466</v>
      </c>
      <c r="N51" s="12" t="s">
        <v>3452</v>
      </c>
      <c r="O51" s="12" t="s">
        <v>3390</v>
      </c>
      <c r="P51" s="12" t="s">
        <v>3369</v>
      </c>
      <c r="Q51" s="12" t="s">
        <v>3369</v>
      </c>
      <c r="R51" s="12" t="s">
        <v>3369</v>
      </c>
      <c r="S51" s="12" t="s">
        <v>3369</v>
      </c>
      <c r="T51" s="12" t="s">
        <v>3369</v>
      </c>
      <c r="U51" s="12" t="s">
        <v>3369</v>
      </c>
      <c r="V51" s="12" t="s">
        <v>3369</v>
      </c>
      <c r="W51" s="12" t="s">
        <v>3369</v>
      </c>
      <c r="X51" s="12" t="s">
        <v>3369</v>
      </c>
      <c r="Y51" s="12" t="s">
        <v>3369</v>
      </c>
      <c r="Z51" s="12" t="s">
        <v>3369</v>
      </c>
      <c r="AA51" s="12" t="s">
        <v>3369</v>
      </c>
      <c r="AB51" s="12" t="s">
        <v>3369</v>
      </c>
      <c r="AE51" s="32">
        <v>0.29166666666424135</v>
      </c>
      <c r="AF51" s="35"/>
      <c r="AG51" s="33" t="s">
        <v>86</v>
      </c>
      <c r="AH51" s="36" t="s">
        <v>87</v>
      </c>
      <c r="AI51" s="36" t="str">
        <f>HYPERLINK("https://docs.google.com/document/d/11JZf3cCy2oWzUnb0sX9zgzWgWoI2_8xAwaHHjF2yHkM/edit?usp=drivesdk","Silas Tanner - 4/25/2018 7:00 AM")</f>
        <v>Silas Tanner - 4/25/2018 7:00 AM</v>
      </c>
      <c r="AJ51" s="33" t="s">
        <v>88</v>
      </c>
    </row>
    <row r="52" spans="1:36" ht="12.75">
      <c r="A52" s="29">
        <v>43216.533915763888</v>
      </c>
      <c r="B52" s="12" t="s">
        <v>3390</v>
      </c>
      <c r="C52" s="12" t="s">
        <v>3448</v>
      </c>
      <c r="D52" s="12" t="s">
        <v>3374</v>
      </c>
      <c r="E52" s="12" t="s">
        <v>3467</v>
      </c>
      <c r="F52" s="30">
        <v>43216</v>
      </c>
      <c r="G52" s="12" t="s">
        <v>3468</v>
      </c>
      <c r="H52" s="32">
        <v>0.72916666666424135</v>
      </c>
      <c r="I52" s="29">
        <v>43216.770833333328</v>
      </c>
      <c r="J52" s="12" t="s">
        <v>3469</v>
      </c>
      <c r="K52" s="12">
        <v>2</v>
      </c>
      <c r="L52" s="12" t="s">
        <v>3461</v>
      </c>
      <c r="M52" s="12" t="s">
        <v>3451</v>
      </c>
      <c r="O52" s="12" t="s">
        <v>3417</v>
      </c>
      <c r="P52" s="12" t="s">
        <v>3369</v>
      </c>
      <c r="Q52" s="12" t="s">
        <v>3369</v>
      </c>
      <c r="R52" s="12" t="s">
        <v>3369</v>
      </c>
      <c r="S52" s="12" t="s">
        <v>3369</v>
      </c>
      <c r="T52" s="12" t="s">
        <v>3369</v>
      </c>
      <c r="U52" s="12" t="s">
        <v>3369</v>
      </c>
      <c r="V52" s="12" t="s">
        <v>3369</v>
      </c>
      <c r="W52" s="12" t="s">
        <v>3369</v>
      </c>
      <c r="X52" s="12" t="s">
        <v>3369</v>
      </c>
      <c r="Y52" s="12" t="s">
        <v>3369</v>
      </c>
      <c r="Z52" s="12" t="s">
        <v>3369</v>
      </c>
      <c r="AA52" s="12" t="s">
        <v>3369</v>
      </c>
      <c r="AB52" s="12" t="s">
        <v>3369</v>
      </c>
      <c r="AE52" s="32">
        <v>0.60416666666424135</v>
      </c>
      <c r="AF52" s="35"/>
      <c r="AG52" s="33" t="s">
        <v>89</v>
      </c>
      <c r="AH52" s="36" t="s">
        <v>90</v>
      </c>
      <c r="AI52" s="36" t="str">
        <f>HYPERLINK("https://docs.google.com/document/d/1eL5Q6SNkiPmg7jIbli2gKBq4HNhYtjpYK0Xasr2D1E4/edit?usp=drivesdk","Silas Tanner - 4/26/2018 2:30 PM")</f>
        <v>Silas Tanner - 4/26/2018 2:30 PM</v>
      </c>
      <c r="AJ52" s="33" t="s">
        <v>91</v>
      </c>
    </row>
    <row r="53" spans="1:36" ht="12.75">
      <c r="A53" s="29">
        <v>43217.373252245372</v>
      </c>
      <c r="B53" s="12" t="s">
        <v>3470</v>
      </c>
      <c r="C53" s="12" t="s">
        <v>3471</v>
      </c>
      <c r="D53" s="12" t="s">
        <v>3374</v>
      </c>
      <c r="E53" s="12" t="s">
        <v>3472</v>
      </c>
      <c r="F53" s="30">
        <v>43217</v>
      </c>
      <c r="G53" s="12" t="s">
        <v>3473</v>
      </c>
      <c r="H53" s="32">
        <v>2.0833333335758653E-2</v>
      </c>
      <c r="I53" s="29">
        <v>43217.604166666672</v>
      </c>
      <c r="J53" s="12" t="s">
        <v>3331</v>
      </c>
      <c r="L53" s="12" t="s">
        <v>3461</v>
      </c>
      <c r="M53" s="12" t="s">
        <v>3474</v>
      </c>
      <c r="N53" s="12" t="s">
        <v>3432</v>
      </c>
      <c r="O53" s="12" t="s">
        <v>3475</v>
      </c>
      <c r="P53" s="12" t="s">
        <v>3369</v>
      </c>
      <c r="Q53" s="12" t="s">
        <v>3369</v>
      </c>
      <c r="R53" s="12" t="s">
        <v>3369</v>
      </c>
      <c r="S53" s="12" t="s">
        <v>3369</v>
      </c>
      <c r="T53" s="12" t="s">
        <v>3369</v>
      </c>
      <c r="U53" s="12" t="s">
        <v>3369</v>
      </c>
      <c r="V53" s="12" t="s">
        <v>3369</v>
      </c>
      <c r="W53" s="12" t="s">
        <v>3369</v>
      </c>
      <c r="X53" s="12" t="s">
        <v>3369</v>
      </c>
      <c r="Y53" s="12" t="s">
        <v>3369</v>
      </c>
      <c r="Z53" s="12" t="s">
        <v>3369</v>
      </c>
      <c r="AA53" s="12" t="s">
        <v>3369</v>
      </c>
      <c r="AB53" s="12" t="s">
        <v>3369</v>
      </c>
      <c r="AE53" s="32">
        <v>0.42708333333575865</v>
      </c>
      <c r="AF53" s="35"/>
      <c r="AG53" s="33" t="s">
        <v>92</v>
      </c>
      <c r="AH53" s="36" t="s">
        <v>93</v>
      </c>
      <c r="AI53" s="36" t="str">
        <f>HYPERLINK("https://docs.google.com/document/d/1pqxIs0u3K7GhvcOKvyC8IjsZWvGnhWY4BbRyjvR0EHs/edit?usp=drivesdk","Shannon Dunnigan - 4/27/2018 10:15 AM")</f>
        <v>Shannon Dunnigan - 4/27/2018 10:15 AM</v>
      </c>
      <c r="AJ53" s="33" t="s">
        <v>94</v>
      </c>
    </row>
    <row r="54" spans="1:36" ht="12.75">
      <c r="A54" s="29">
        <v>43217.477074259259</v>
      </c>
      <c r="B54" s="12" t="s">
        <v>3372</v>
      </c>
      <c r="C54" s="12" t="s">
        <v>3383</v>
      </c>
      <c r="D54" s="12" t="s">
        <v>3374</v>
      </c>
      <c r="E54" s="12" t="s">
        <v>3476</v>
      </c>
      <c r="F54" s="30">
        <v>43217</v>
      </c>
      <c r="G54" s="12" t="s">
        <v>3477</v>
      </c>
      <c r="H54" s="32">
        <v>0.75</v>
      </c>
      <c r="I54" s="29">
        <v>43217.770833333328</v>
      </c>
      <c r="J54" s="12" t="s">
        <v>3377</v>
      </c>
      <c r="L54" s="12" t="s">
        <v>3393</v>
      </c>
      <c r="M54" s="12" t="s">
        <v>3385</v>
      </c>
      <c r="N54" s="12" t="s">
        <v>3478</v>
      </c>
      <c r="O54" s="12" t="s">
        <v>3417</v>
      </c>
      <c r="P54" s="12" t="s">
        <v>3369</v>
      </c>
      <c r="Q54" s="12" t="s">
        <v>3369</v>
      </c>
      <c r="R54" s="12" t="s">
        <v>3369</v>
      </c>
      <c r="S54" s="12" t="s">
        <v>3369</v>
      </c>
      <c r="T54" s="12" t="s">
        <v>3369</v>
      </c>
      <c r="U54" s="12" t="s">
        <v>3369</v>
      </c>
      <c r="V54" s="12" t="s">
        <v>3369</v>
      </c>
      <c r="W54" s="12" t="s">
        <v>3369</v>
      </c>
      <c r="X54" s="12" t="s">
        <v>3369</v>
      </c>
      <c r="Y54" s="12" t="s">
        <v>3369</v>
      </c>
      <c r="Z54" s="12" t="s">
        <v>3369</v>
      </c>
      <c r="AA54" s="12" t="s">
        <v>3369</v>
      </c>
      <c r="AB54" s="12" t="s">
        <v>3369</v>
      </c>
      <c r="AE54" s="32">
        <v>0.47916666666424135</v>
      </c>
      <c r="AF54" s="35"/>
      <c r="AG54" s="33" t="s">
        <v>95</v>
      </c>
      <c r="AH54" s="36" t="s">
        <v>96</v>
      </c>
      <c r="AI54" s="36" t="str">
        <f>HYPERLINK("https://docs.google.com/document/d/1o_kh_Z-U6_tGhTgiT0C3Z1YHstpG_03KK-kY2lq7ebs/edit?usp=drivesdk","Pamela Marcum - 4/27/2018 11:30 AM")</f>
        <v>Pamela Marcum - 4/27/2018 11:30 AM</v>
      </c>
      <c r="AJ54" s="33" t="s">
        <v>97</v>
      </c>
    </row>
    <row r="55" spans="1:36" ht="12.75">
      <c r="A55" s="29">
        <v>43220.414964583339</v>
      </c>
      <c r="B55" s="12" t="s">
        <v>3390</v>
      </c>
      <c r="C55" s="12" t="s">
        <v>3391</v>
      </c>
      <c r="D55" s="12" t="s">
        <v>3374</v>
      </c>
      <c r="E55" s="12" t="s">
        <v>3396</v>
      </c>
      <c r="F55" s="30">
        <v>43221</v>
      </c>
      <c r="G55" s="12" t="s">
        <v>3479</v>
      </c>
      <c r="H55" s="32">
        <v>0.5625</v>
      </c>
      <c r="I55" s="29">
        <v>43221.572916666672</v>
      </c>
      <c r="J55" s="12" t="s">
        <v>3331</v>
      </c>
      <c r="L55" s="12" t="s">
        <v>3393</v>
      </c>
      <c r="M55" s="12" t="s">
        <v>3480</v>
      </c>
      <c r="O55" s="12" t="s">
        <v>3390</v>
      </c>
      <c r="P55" s="12" t="s">
        <v>3369</v>
      </c>
      <c r="Q55" s="12" t="s">
        <v>3369</v>
      </c>
      <c r="R55" s="12" t="s">
        <v>3369</v>
      </c>
      <c r="S55" s="12" t="s">
        <v>3369</v>
      </c>
      <c r="T55" s="12" t="s">
        <v>3369</v>
      </c>
      <c r="U55" s="12" t="s">
        <v>3369</v>
      </c>
      <c r="V55" s="12" t="s">
        <v>3369</v>
      </c>
      <c r="W55" s="12" t="s">
        <v>3369</v>
      </c>
      <c r="X55" s="12" t="s">
        <v>3369</v>
      </c>
      <c r="Y55" s="12" t="s">
        <v>3369</v>
      </c>
      <c r="Z55" s="12" t="s">
        <v>3369</v>
      </c>
      <c r="AA55" s="12" t="s">
        <v>3369</v>
      </c>
      <c r="AB55" s="12" t="s">
        <v>3369</v>
      </c>
      <c r="AE55" s="32">
        <v>0.38541666666424135</v>
      </c>
      <c r="AF55" s="35"/>
      <c r="AG55" s="33" t="s">
        <v>98</v>
      </c>
      <c r="AH55" s="36" t="s">
        <v>99</v>
      </c>
      <c r="AI55" s="36" t="str">
        <f>HYPERLINK("https://docs.google.com/document/d/15XlgdKXD7KIdSk2IIAY4JghUF2KIMnTCytAv-cTrJKA/edit?usp=drivesdk","Silas Tanner - 5/1/2018 9:15 AM")</f>
        <v>Silas Tanner - 5/1/2018 9:15 AM</v>
      </c>
      <c r="AJ55" s="33" t="s">
        <v>100</v>
      </c>
    </row>
    <row r="56" spans="1:36" ht="12.75">
      <c r="A56" s="29">
        <v>43221.41032998843</v>
      </c>
      <c r="B56" s="12" t="s">
        <v>3386</v>
      </c>
      <c r="C56" s="12" t="s">
        <v>3481</v>
      </c>
      <c r="D56" s="12" t="s">
        <v>3374</v>
      </c>
      <c r="E56" s="12" t="s">
        <v>3482</v>
      </c>
      <c r="F56" s="30">
        <v>43221</v>
      </c>
      <c r="G56" s="12" t="s">
        <v>3483</v>
      </c>
      <c r="H56" s="32">
        <v>0.5</v>
      </c>
      <c r="I56" s="29">
        <v>43221.217361111107</v>
      </c>
      <c r="J56" s="12" t="s">
        <v>3377</v>
      </c>
      <c r="L56" s="12" t="s">
        <v>3484</v>
      </c>
      <c r="M56" s="12" t="s">
        <v>3485</v>
      </c>
      <c r="N56" s="12" t="s">
        <v>3486</v>
      </c>
      <c r="O56" s="12" t="s">
        <v>3386</v>
      </c>
      <c r="P56" s="12" t="s">
        <v>3369</v>
      </c>
      <c r="Q56" s="12" t="s">
        <v>3369</v>
      </c>
      <c r="R56" s="12" t="s">
        <v>3369</v>
      </c>
      <c r="S56" s="12" t="s">
        <v>3369</v>
      </c>
      <c r="T56" s="12" t="s">
        <v>3369</v>
      </c>
      <c r="U56" s="12" t="s">
        <v>3369</v>
      </c>
      <c r="V56" s="12" t="s">
        <v>3369</v>
      </c>
      <c r="W56" s="12" t="s">
        <v>3369</v>
      </c>
      <c r="X56" s="12" t="s">
        <v>3369</v>
      </c>
      <c r="Y56" s="12" t="s">
        <v>3369</v>
      </c>
      <c r="Z56" s="12" t="s">
        <v>3369</v>
      </c>
      <c r="AA56" s="12" t="s">
        <v>3369</v>
      </c>
      <c r="AB56" s="12" t="s">
        <v>3369</v>
      </c>
      <c r="AE56" s="32">
        <v>0.43055555555474712</v>
      </c>
      <c r="AF56" s="35"/>
      <c r="AG56" s="33" t="s">
        <v>101</v>
      </c>
      <c r="AH56" s="36" t="s">
        <v>102</v>
      </c>
      <c r="AI56" s="36" t="str">
        <f>HYPERLINK("https://docs.google.com/document/d/1v2wrRH98Mb6W56K8yPZheM1Zp9pKLMkjPI3HLleM2-E/edit?usp=drivesdk","Ben Mowbray - 5/1/2018 10:20 AM")</f>
        <v>Ben Mowbray - 5/1/2018 10:20 AM</v>
      </c>
      <c r="AJ56" s="33" t="s">
        <v>103</v>
      </c>
    </row>
    <row r="57" spans="1:36" ht="12.75">
      <c r="A57" s="29">
        <v>43221.713923240735</v>
      </c>
      <c r="B57" s="12" t="s">
        <v>3372</v>
      </c>
      <c r="C57" s="12" t="s">
        <v>3373</v>
      </c>
      <c r="D57" s="12" t="s">
        <v>3374</v>
      </c>
      <c r="E57" s="12" t="s">
        <v>3487</v>
      </c>
      <c r="F57" s="30">
        <v>43222</v>
      </c>
      <c r="G57" s="12" t="s">
        <v>3488</v>
      </c>
      <c r="H57" s="32">
        <v>0.625</v>
      </c>
      <c r="I57" s="29">
        <v>43222.666666666672</v>
      </c>
      <c r="J57" s="12" t="s">
        <v>3331</v>
      </c>
      <c r="L57" s="12" t="s">
        <v>3393</v>
      </c>
      <c r="M57" s="12" t="s">
        <v>3489</v>
      </c>
      <c r="N57" s="12" t="s">
        <v>3490</v>
      </c>
      <c r="O57" s="12" t="s">
        <v>3386</v>
      </c>
      <c r="P57" s="12" t="s">
        <v>3369</v>
      </c>
      <c r="Q57" s="12" t="s">
        <v>3369</v>
      </c>
      <c r="R57" s="12" t="s">
        <v>3369</v>
      </c>
      <c r="S57" s="12" t="s">
        <v>3369</v>
      </c>
      <c r="T57" s="12" t="s">
        <v>3369</v>
      </c>
      <c r="U57" s="12" t="s">
        <v>3369</v>
      </c>
      <c r="V57" s="12" t="s">
        <v>3369</v>
      </c>
      <c r="W57" s="12" t="s">
        <v>3369</v>
      </c>
      <c r="X57" s="12" t="s">
        <v>3369</v>
      </c>
      <c r="Y57" s="12" t="s">
        <v>3369</v>
      </c>
      <c r="Z57" s="12" t="s">
        <v>3369</v>
      </c>
      <c r="AA57" s="12" t="s">
        <v>3369</v>
      </c>
      <c r="AB57" s="12" t="s">
        <v>3369</v>
      </c>
      <c r="AE57" s="32">
        <v>0.375</v>
      </c>
      <c r="AF57" s="35"/>
      <c r="AG57" s="33" t="s">
        <v>104</v>
      </c>
      <c r="AH57" s="36" t="s">
        <v>105</v>
      </c>
      <c r="AI57" s="36" t="str">
        <f>HYPERLINK("https://docs.google.com/document/d/1v_EdmdvVGzhAN3sdHRshOKc3HcBBu2-dgl8Cd4de5UM/edit?usp=drivesdk","Pamela Marcum - 5/2/2018 9:00 AM")</f>
        <v>Pamela Marcum - 5/2/2018 9:00 AM</v>
      </c>
      <c r="AJ57" s="33" t="s">
        <v>106</v>
      </c>
    </row>
    <row r="58" spans="1:36" ht="12.75">
      <c r="A58" s="29">
        <v>43223.373082175924</v>
      </c>
      <c r="B58" s="12" t="s">
        <v>3372</v>
      </c>
      <c r="C58" s="12" t="s">
        <v>3383</v>
      </c>
      <c r="D58" s="12" t="s">
        <v>3374</v>
      </c>
      <c r="E58" s="12" t="s">
        <v>3491</v>
      </c>
      <c r="F58" s="30">
        <v>43223</v>
      </c>
      <c r="G58" s="12" t="s">
        <v>3492</v>
      </c>
      <c r="H58" s="32">
        <v>0.66666666666424135</v>
      </c>
      <c r="I58" s="29">
        <v>43223.708333333328</v>
      </c>
      <c r="J58" s="12" t="s">
        <v>3331</v>
      </c>
      <c r="L58" s="12" t="s">
        <v>3393</v>
      </c>
      <c r="M58" s="12" t="s">
        <v>3489</v>
      </c>
      <c r="O58" s="12" t="s">
        <v>3386</v>
      </c>
      <c r="P58" s="12" t="s">
        <v>3369</v>
      </c>
      <c r="Q58" s="12" t="s">
        <v>3369</v>
      </c>
      <c r="R58" s="12" t="s">
        <v>3369</v>
      </c>
      <c r="S58" s="12" t="s">
        <v>3369</v>
      </c>
      <c r="T58" s="12" t="s">
        <v>3369</v>
      </c>
      <c r="U58" s="12" t="s">
        <v>3369</v>
      </c>
      <c r="V58" s="12" t="s">
        <v>3369</v>
      </c>
      <c r="W58" s="12" t="s">
        <v>3369</v>
      </c>
      <c r="X58" s="12" t="s">
        <v>3369</v>
      </c>
      <c r="Y58" s="12" t="s">
        <v>3369</v>
      </c>
      <c r="Z58" s="12" t="s">
        <v>3369</v>
      </c>
      <c r="AA58" s="12" t="s">
        <v>3369</v>
      </c>
      <c r="AB58" s="12" t="s">
        <v>3369</v>
      </c>
      <c r="AE58" s="32">
        <v>0.45833333333575865</v>
      </c>
      <c r="AF58" s="35"/>
      <c r="AG58" s="33" t="s">
        <v>107</v>
      </c>
      <c r="AH58" s="36" t="s">
        <v>108</v>
      </c>
      <c r="AI58" s="36" t="str">
        <f>HYPERLINK("https://docs.google.com/document/d/1aRzzSkR4_IR2TrYGXtPq9lf_h_sywa9CZFinxHZ5IvA/edit?usp=drivesdk","Pamela Marcum - 5/3/2018 11:00 AM")</f>
        <v>Pamela Marcum - 5/3/2018 11:00 AM</v>
      </c>
      <c r="AJ58" s="33" t="s">
        <v>109</v>
      </c>
    </row>
    <row r="59" spans="1:36" ht="12.75">
      <c r="A59" s="29">
        <v>43224.389443703709</v>
      </c>
      <c r="B59" s="12" t="s">
        <v>3372</v>
      </c>
      <c r="C59" s="12" t="s">
        <v>3383</v>
      </c>
      <c r="D59" s="12" t="s">
        <v>3374</v>
      </c>
      <c r="E59" s="12" t="s">
        <v>3493</v>
      </c>
      <c r="F59" s="30">
        <v>43224</v>
      </c>
      <c r="G59" s="12" t="s">
        <v>3494</v>
      </c>
      <c r="H59" s="32">
        <v>0.66666666666424135</v>
      </c>
      <c r="I59" s="29">
        <v>43224.708333333328</v>
      </c>
      <c r="L59" s="12" t="s">
        <v>3393</v>
      </c>
      <c r="M59" s="12" t="s">
        <v>3379</v>
      </c>
      <c r="N59" s="12" t="s">
        <v>3495</v>
      </c>
      <c r="O59" s="12" t="s">
        <v>3417</v>
      </c>
      <c r="P59" s="12" t="s">
        <v>3369</v>
      </c>
      <c r="Q59" s="12" t="s">
        <v>3369</v>
      </c>
      <c r="R59" s="12" t="s">
        <v>3369</v>
      </c>
      <c r="S59" s="12" t="s">
        <v>3369</v>
      </c>
      <c r="T59" s="12" t="s">
        <v>3369</v>
      </c>
      <c r="U59" s="12" t="s">
        <v>3369</v>
      </c>
      <c r="V59" s="12" t="s">
        <v>3369</v>
      </c>
      <c r="W59" s="12" t="s">
        <v>3369</v>
      </c>
      <c r="X59" s="12" t="s">
        <v>3369</v>
      </c>
      <c r="Y59" s="12" t="s">
        <v>3369</v>
      </c>
      <c r="Z59" s="12" t="s">
        <v>3369</v>
      </c>
      <c r="AA59" s="12" t="s">
        <v>3369</v>
      </c>
      <c r="AB59" s="12" t="s">
        <v>3369</v>
      </c>
      <c r="AE59" s="32">
        <v>0.41666666666424135</v>
      </c>
      <c r="AF59" s="35"/>
      <c r="AG59" s="33" t="s">
        <v>110</v>
      </c>
      <c r="AH59" s="36" t="s">
        <v>111</v>
      </c>
      <c r="AI59" s="36" t="str">
        <f>HYPERLINK("https://docs.google.com/document/d/1UxSihKYLLd3ptxsJHs_8U8O3j5OHfzHKbjnt5FECBbs/edit?usp=drivesdk","Pamela Marcum - 5/4/2018 10:00 AM")</f>
        <v>Pamela Marcum - 5/4/2018 10:00 AM</v>
      </c>
      <c r="AJ59" s="33" t="s">
        <v>112</v>
      </c>
    </row>
    <row r="60" spans="1:36" ht="12.75">
      <c r="A60" s="29">
        <v>43228.350774004633</v>
      </c>
      <c r="B60" s="12" t="s">
        <v>3386</v>
      </c>
      <c r="C60" s="12" t="s">
        <v>3481</v>
      </c>
      <c r="D60" s="12" t="s">
        <v>3374</v>
      </c>
      <c r="E60" s="12" t="s">
        <v>3296</v>
      </c>
      <c r="F60" s="30">
        <v>43228</v>
      </c>
      <c r="G60" s="12" t="s">
        <v>3496</v>
      </c>
      <c r="H60" s="32">
        <v>0.60416666666424135</v>
      </c>
      <c r="I60" s="29">
        <v>43228.118055555555</v>
      </c>
      <c r="J60" s="12" t="s">
        <v>3331</v>
      </c>
      <c r="L60" s="12" t="s">
        <v>3393</v>
      </c>
      <c r="M60" s="12" t="s">
        <v>3497</v>
      </c>
      <c r="N60" s="12" t="s">
        <v>3498</v>
      </c>
      <c r="O60" s="12" t="s">
        <v>3499</v>
      </c>
      <c r="P60" s="12" t="s">
        <v>3369</v>
      </c>
      <c r="Q60" s="12" t="s">
        <v>3369</v>
      </c>
      <c r="R60" s="12" t="s">
        <v>3369</v>
      </c>
      <c r="S60" s="12" t="s">
        <v>3369</v>
      </c>
      <c r="T60" s="12" t="s">
        <v>3369</v>
      </c>
      <c r="U60" s="12" t="s">
        <v>3369</v>
      </c>
      <c r="V60" s="12" t="s">
        <v>3369</v>
      </c>
      <c r="W60" s="12" t="s">
        <v>3369</v>
      </c>
      <c r="X60" s="12" t="s">
        <v>3369</v>
      </c>
      <c r="Y60" s="12" t="s">
        <v>3369</v>
      </c>
      <c r="Z60" s="12" t="s">
        <v>3369</v>
      </c>
      <c r="AA60" s="12" t="s">
        <v>3369</v>
      </c>
      <c r="AB60" s="12" t="s">
        <v>3369</v>
      </c>
      <c r="AE60" s="32">
        <v>0.38888888889050577</v>
      </c>
      <c r="AF60" s="35"/>
      <c r="AG60" s="33" t="s">
        <v>114</v>
      </c>
      <c r="AH60" s="36" t="s">
        <v>115</v>
      </c>
      <c r="AI60" s="36" t="str">
        <f>HYPERLINK("https://docs.google.com/document/d/1YVH9hAY0Il0DCK6rFfBHIM-B2FMeHXQEEJUjpA6N7-U/edit?usp=drivesdk","Ben Mowbray - 5/8/2018 9:20 AM")</f>
        <v>Ben Mowbray - 5/8/2018 9:20 AM</v>
      </c>
      <c r="AJ60" s="33" t="s">
        <v>116</v>
      </c>
    </row>
    <row r="61" spans="1:36" ht="12.75">
      <c r="A61" s="29">
        <v>43230.361591643523</v>
      </c>
      <c r="B61" s="12" t="s">
        <v>3386</v>
      </c>
      <c r="C61" s="12" t="s">
        <v>3481</v>
      </c>
      <c r="D61" s="12" t="s">
        <v>3374</v>
      </c>
      <c r="E61" s="12" t="s">
        <v>3500</v>
      </c>
      <c r="F61" s="30">
        <v>43230</v>
      </c>
      <c r="G61" s="12" t="s">
        <v>3496</v>
      </c>
      <c r="H61" s="32">
        <v>0.10416666666424135</v>
      </c>
      <c r="I61" s="29">
        <v>43230.135416666672</v>
      </c>
      <c r="J61" s="12" t="s">
        <v>3331</v>
      </c>
      <c r="L61" s="12" t="s">
        <v>3461</v>
      </c>
      <c r="M61" s="12" t="s">
        <v>3497</v>
      </c>
      <c r="N61" s="12" t="s">
        <v>3501</v>
      </c>
      <c r="O61" s="12" t="s">
        <v>3499</v>
      </c>
      <c r="P61" s="12" t="s">
        <v>3369</v>
      </c>
      <c r="Q61" s="12" t="s">
        <v>3369</v>
      </c>
      <c r="R61" s="12" t="s">
        <v>3369</v>
      </c>
      <c r="S61" s="12" t="s">
        <v>3369</v>
      </c>
      <c r="T61" s="12" t="s">
        <v>3369</v>
      </c>
      <c r="U61" s="12" t="s">
        <v>3369</v>
      </c>
      <c r="V61" s="12" t="s">
        <v>3369</v>
      </c>
      <c r="W61" s="12" t="s">
        <v>3369</v>
      </c>
      <c r="X61" s="12" t="s">
        <v>3369</v>
      </c>
      <c r="Y61" s="12" t="s">
        <v>3369</v>
      </c>
      <c r="Z61" s="12" t="s">
        <v>3369</v>
      </c>
      <c r="AA61" s="12" t="s">
        <v>3369</v>
      </c>
      <c r="AB61" s="12" t="s">
        <v>3369</v>
      </c>
      <c r="AE61" s="32">
        <v>0.41666666666424135</v>
      </c>
      <c r="AF61" s="35"/>
      <c r="AG61" s="33" t="s">
        <v>117</v>
      </c>
      <c r="AH61" s="36" t="s">
        <v>118</v>
      </c>
      <c r="AI61" s="36" t="str">
        <f>HYPERLINK("https://docs.google.com/document/d/12huri7tFQSawQjEXKj8ob1-TqT9eABr2dmxojMW4czY/edit?usp=drivesdk","Ben Mowbray - 5/10/2018 10:00 AM")</f>
        <v>Ben Mowbray - 5/10/2018 10:00 AM</v>
      </c>
      <c r="AJ61" s="33" t="s">
        <v>119</v>
      </c>
    </row>
    <row r="62" spans="1:36" ht="12.75">
      <c r="A62" s="29">
        <v>43231.299959039352</v>
      </c>
      <c r="B62" s="12" t="s">
        <v>3386</v>
      </c>
      <c r="C62" s="12" t="s">
        <v>3481</v>
      </c>
      <c r="D62" s="12" t="s">
        <v>3374</v>
      </c>
      <c r="E62" s="12" t="s">
        <v>3430</v>
      </c>
      <c r="F62" s="30">
        <v>43231</v>
      </c>
      <c r="G62" s="12" t="s">
        <v>3502</v>
      </c>
      <c r="H62" s="32">
        <v>0.4375</v>
      </c>
      <c r="I62" s="29">
        <v>43231.625</v>
      </c>
      <c r="J62" s="12" t="s">
        <v>3377</v>
      </c>
      <c r="L62" s="12" t="s">
        <v>3393</v>
      </c>
      <c r="M62" s="12" t="s">
        <v>3497</v>
      </c>
      <c r="N62" s="12" t="s">
        <v>3503</v>
      </c>
      <c r="O62" s="12" t="s">
        <v>3499</v>
      </c>
      <c r="P62" s="12" t="s">
        <v>3369</v>
      </c>
      <c r="Q62" s="12" t="s">
        <v>3369</v>
      </c>
      <c r="R62" s="12" t="s">
        <v>3369</v>
      </c>
      <c r="S62" s="12" t="s">
        <v>3369</v>
      </c>
      <c r="T62" s="12" t="s">
        <v>3369</v>
      </c>
      <c r="U62" s="12" t="s">
        <v>3369</v>
      </c>
      <c r="V62" s="12" t="s">
        <v>3369</v>
      </c>
      <c r="W62" s="12" t="s">
        <v>3369</v>
      </c>
      <c r="X62" s="12" t="s">
        <v>3369</v>
      </c>
      <c r="Y62" s="12" t="s">
        <v>3369</v>
      </c>
      <c r="Z62" s="12" t="s">
        <v>3369</v>
      </c>
      <c r="AA62" s="12" t="s">
        <v>3369</v>
      </c>
      <c r="AB62" s="12" t="s">
        <v>3369</v>
      </c>
      <c r="AE62" s="32">
        <v>0.35416666666424135</v>
      </c>
      <c r="AF62" s="35"/>
      <c r="AG62" s="33" t="s">
        <v>120</v>
      </c>
      <c r="AH62" s="36" t="s">
        <v>121</v>
      </c>
      <c r="AI62" s="36" t="str">
        <f>HYPERLINK("https://docs.google.com/document/d/1NVKICve706r0YkCzp__mT8BDMJdF4QnbOgxRSabgmKc/edit?usp=drivesdk","Ben Mowbray - 5/11/2018 8:30 AM")</f>
        <v>Ben Mowbray - 5/11/2018 8:30 AM</v>
      </c>
      <c r="AJ62" s="33" t="s">
        <v>122</v>
      </c>
    </row>
    <row r="63" spans="1:36" ht="12.75">
      <c r="A63" s="29">
        <v>43234.639079108798</v>
      </c>
      <c r="B63" s="12" t="s">
        <v>3390</v>
      </c>
      <c r="C63" s="12" t="s">
        <v>3391</v>
      </c>
      <c r="D63" s="12" t="s">
        <v>3374</v>
      </c>
      <c r="E63" s="12" t="s">
        <v>3396</v>
      </c>
      <c r="F63" s="30">
        <v>43235</v>
      </c>
      <c r="G63" s="12" t="s">
        <v>3504</v>
      </c>
      <c r="H63" s="32">
        <v>0.5</v>
      </c>
      <c r="I63" s="29">
        <v>43235.520833333328</v>
      </c>
      <c r="J63" s="12" t="s">
        <v>3377</v>
      </c>
      <c r="L63" s="12" t="s">
        <v>3393</v>
      </c>
      <c r="M63" s="12" t="s">
        <v>3454</v>
      </c>
      <c r="N63" s="12" t="s">
        <v>3505</v>
      </c>
      <c r="O63" s="12" t="s">
        <v>3390</v>
      </c>
      <c r="P63" s="12" t="s">
        <v>3369</v>
      </c>
      <c r="Q63" s="12" t="s">
        <v>3369</v>
      </c>
      <c r="R63" s="12" t="s">
        <v>3369</v>
      </c>
      <c r="S63" s="12" t="s">
        <v>3369</v>
      </c>
      <c r="T63" s="12" t="s">
        <v>3369</v>
      </c>
      <c r="U63" s="12" t="s">
        <v>3369</v>
      </c>
      <c r="V63" s="12" t="s">
        <v>3369</v>
      </c>
      <c r="W63" s="12" t="s">
        <v>3369</v>
      </c>
      <c r="X63" s="12" t="s">
        <v>3369</v>
      </c>
      <c r="Y63" s="12" t="s">
        <v>3369</v>
      </c>
      <c r="Z63" s="12" t="s">
        <v>3369</v>
      </c>
      <c r="AA63" s="12" t="s">
        <v>3369</v>
      </c>
      <c r="AB63" s="12" t="s">
        <v>3369</v>
      </c>
      <c r="AE63" s="32">
        <v>0.36458333333575865</v>
      </c>
      <c r="AF63" s="35"/>
      <c r="AG63" s="33" t="s">
        <v>123</v>
      </c>
      <c r="AH63" s="36" t="s">
        <v>124</v>
      </c>
      <c r="AI63" s="36" t="str">
        <f>HYPERLINK("https://docs.google.com/document/d/1As9djMbo-ypJ-TIGH9yy3dPkMxR0WI1KMjZ3T-YgY3o/edit?usp=drivesdk","Silas Tanner - 5/15/2018 8:45 AM")</f>
        <v>Silas Tanner - 5/15/2018 8:45 AM</v>
      </c>
      <c r="AJ63" s="33" t="s">
        <v>125</v>
      </c>
    </row>
    <row r="64" spans="1:36" ht="12.75">
      <c r="A64" s="29">
        <v>43236.66317133102</v>
      </c>
      <c r="B64" s="12" t="s">
        <v>3293</v>
      </c>
      <c r="C64" s="12" t="s">
        <v>3308</v>
      </c>
      <c r="D64" s="12" t="s">
        <v>3303</v>
      </c>
      <c r="E64" s="12" t="s">
        <v>3318</v>
      </c>
      <c r="F64" s="30">
        <v>43237</v>
      </c>
      <c r="G64" s="12" t="s">
        <v>3506</v>
      </c>
      <c r="H64" s="32">
        <v>0.5</v>
      </c>
      <c r="I64" s="29">
        <v>43237.520833333328</v>
      </c>
      <c r="J64" s="12" t="s">
        <v>3377</v>
      </c>
      <c r="L64" s="12" t="s">
        <v>3393</v>
      </c>
      <c r="M64" s="12" t="s">
        <v>3313</v>
      </c>
      <c r="N64" s="12" t="s">
        <v>3343</v>
      </c>
      <c r="O64" s="12" t="s">
        <v>3293</v>
      </c>
      <c r="P64" s="12" t="s">
        <v>3369</v>
      </c>
      <c r="Q64" s="12" t="s">
        <v>3369</v>
      </c>
      <c r="R64" s="12" t="s">
        <v>3369</v>
      </c>
      <c r="S64" s="12" t="s">
        <v>3369</v>
      </c>
      <c r="T64" s="12" t="s">
        <v>3369</v>
      </c>
      <c r="U64" s="12" t="s">
        <v>3369</v>
      </c>
      <c r="V64" s="12" t="s">
        <v>3369</v>
      </c>
      <c r="W64" s="12" t="s">
        <v>3369</v>
      </c>
      <c r="X64" s="12" t="s">
        <v>3369</v>
      </c>
      <c r="Y64" s="12" t="s">
        <v>3369</v>
      </c>
      <c r="Z64" s="12" t="s">
        <v>3369</v>
      </c>
      <c r="AA64" s="12" t="s">
        <v>3369</v>
      </c>
      <c r="AB64" s="12" t="s">
        <v>3369</v>
      </c>
      <c r="AC64" s="12" t="s">
        <v>3507</v>
      </c>
      <c r="AD64" s="12" t="s">
        <v>3508</v>
      </c>
      <c r="AE64" s="32">
        <v>0.3125</v>
      </c>
      <c r="AF64" s="35"/>
      <c r="AG64" s="33" t="s">
        <v>127</v>
      </c>
      <c r="AH64" s="36" t="s">
        <v>128</v>
      </c>
      <c r="AI64" s="36" t="str">
        <f>HYPERLINK("https://docs.google.com/document/d/1ZYCXLV6gt2oXgWl9Ziwcxz8bjA1d5w_O5I7Ap6ZOB2M/edit?usp=drivesdk","Kenneth Rainer - 5/17/2018 7:30 AM")</f>
        <v>Kenneth Rainer - 5/17/2018 7:30 AM</v>
      </c>
      <c r="AJ64" s="33" t="s">
        <v>129</v>
      </c>
    </row>
    <row r="65" spans="1:36" ht="12.75">
      <c r="A65" s="29">
        <v>43237.315960254629</v>
      </c>
      <c r="B65" s="12" t="s">
        <v>3386</v>
      </c>
      <c r="C65" s="12" t="s">
        <v>3481</v>
      </c>
      <c r="D65" s="12" t="s">
        <v>3374</v>
      </c>
      <c r="E65" s="12" t="s">
        <v>3509</v>
      </c>
      <c r="F65" s="30">
        <v>43237</v>
      </c>
      <c r="G65" s="12" t="s">
        <v>3405</v>
      </c>
      <c r="H65" s="32">
        <v>0.375</v>
      </c>
      <c r="I65" s="29">
        <v>43237.388888888891</v>
      </c>
      <c r="J65" s="12" t="s">
        <v>3331</v>
      </c>
      <c r="L65" s="12" t="s">
        <v>3461</v>
      </c>
      <c r="M65" s="12" t="s">
        <v>3497</v>
      </c>
      <c r="N65" s="12" t="s">
        <v>3510</v>
      </c>
      <c r="O65" s="12" t="s">
        <v>3499</v>
      </c>
      <c r="P65" s="12" t="s">
        <v>3369</v>
      </c>
      <c r="Q65" s="12" t="s">
        <v>3369</v>
      </c>
      <c r="R65" s="12" t="s">
        <v>3369</v>
      </c>
      <c r="S65" s="12" t="s">
        <v>3369</v>
      </c>
      <c r="T65" s="12" t="s">
        <v>3369</v>
      </c>
      <c r="U65" s="12" t="s">
        <v>3369</v>
      </c>
      <c r="V65" s="12" t="s">
        <v>3369</v>
      </c>
      <c r="W65" s="12" t="s">
        <v>3369</v>
      </c>
      <c r="X65" s="12" t="s">
        <v>3369</v>
      </c>
      <c r="Y65" s="12" t="s">
        <v>3369</v>
      </c>
      <c r="Z65" s="12" t="s">
        <v>3369</v>
      </c>
      <c r="AA65" s="12" t="s">
        <v>3369</v>
      </c>
      <c r="AB65" s="12" t="s">
        <v>3369</v>
      </c>
      <c r="AE65" s="32">
        <v>0.33333333333575865</v>
      </c>
      <c r="AF65" s="35"/>
      <c r="AG65" s="33" t="s">
        <v>130</v>
      </c>
      <c r="AH65" s="36" t="s">
        <v>131</v>
      </c>
      <c r="AI65" s="36" t="str">
        <f>HYPERLINK("https://docs.google.com/document/d/10nnniawQVtJWr1j6dGtxHYuaPvjUZS_oEzRZ6f249BE/edit?usp=drivesdk","Ben Mowbray - 5/17/2018 8:00 AM")</f>
        <v>Ben Mowbray - 5/17/2018 8:00 AM</v>
      </c>
      <c r="AJ65" s="33" t="s">
        <v>132</v>
      </c>
    </row>
    <row r="66" spans="1:36" ht="12.75">
      <c r="A66" s="29">
        <v>43243.814437928246</v>
      </c>
      <c r="B66" s="12" t="s">
        <v>3372</v>
      </c>
      <c r="C66" s="12" t="s">
        <v>3373</v>
      </c>
      <c r="D66" s="12" t="s">
        <v>3374</v>
      </c>
      <c r="E66" s="12" t="s">
        <v>3511</v>
      </c>
      <c r="F66" s="30">
        <v>43244</v>
      </c>
      <c r="G66" s="12" t="s">
        <v>3512</v>
      </c>
      <c r="H66" s="32">
        <v>0.625</v>
      </c>
      <c r="I66" s="29">
        <v>43244.666666666672</v>
      </c>
      <c r="J66" s="12" t="s">
        <v>3377</v>
      </c>
      <c r="L66" s="12" t="s">
        <v>3461</v>
      </c>
      <c r="M66" s="12" t="s">
        <v>3379</v>
      </c>
      <c r="N66" s="12" t="s">
        <v>3513</v>
      </c>
      <c r="O66" s="12" t="s">
        <v>3417</v>
      </c>
      <c r="P66" s="12" t="s">
        <v>3369</v>
      </c>
      <c r="Q66" s="12" t="s">
        <v>3369</v>
      </c>
      <c r="R66" s="12" t="s">
        <v>3369</v>
      </c>
      <c r="S66" s="12" t="s">
        <v>3369</v>
      </c>
      <c r="T66" s="12" t="s">
        <v>3369</v>
      </c>
      <c r="U66" s="12" t="s">
        <v>3369</v>
      </c>
      <c r="V66" s="12" t="s">
        <v>3369</v>
      </c>
      <c r="W66" s="12" t="s">
        <v>3369</v>
      </c>
      <c r="X66" s="12" t="s">
        <v>3369</v>
      </c>
      <c r="Y66" s="12" t="s">
        <v>3369</v>
      </c>
      <c r="Z66" s="12" t="s">
        <v>3369</v>
      </c>
      <c r="AA66" s="12" t="s">
        <v>3369</v>
      </c>
      <c r="AB66" s="12" t="s">
        <v>3369</v>
      </c>
      <c r="AE66" s="32">
        <v>0.33333333333575865</v>
      </c>
      <c r="AF66" s="35"/>
      <c r="AG66" s="33" t="s">
        <v>133</v>
      </c>
      <c r="AH66" s="36" t="s">
        <v>134</v>
      </c>
      <c r="AI66" s="36" t="str">
        <f>HYPERLINK("https://docs.google.com/document/d/1_HH9Z8-j5vEDahK3SVVb5cw1dwoAO7QFzxqAWGE-CnI/edit?usp=drivesdk","Pamela Marcum - 5/24/2018 8:00 AM")</f>
        <v>Pamela Marcum - 5/24/2018 8:00 AM</v>
      </c>
      <c r="AJ66" s="33" t="s">
        <v>135</v>
      </c>
    </row>
    <row r="67" spans="1:36" ht="12.75">
      <c r="A67" s="29">
        <v>43244.446380150461</v>
      </c>
      <c r="B67" s="12" t="s">
        <v>3390</v>
      </c>
      <c r="C67" s="12" t="s">
        <v>3391</v>
      </c>
      <c r="D67" s="12" t="s">
        <v>3374</v>
      </c>
      <c r="E67" s="12" t="s">
        <v>3375</v>
      </c>
      <c r="F67" s="30">
        <v>43245</v>
      </c>
      <c r="G67" s="12" t="s">
        <v>3514</v>
      </c>
      <c r="H67" s="32">
        <v>0.5</v>
      </c>
      <c r="I67" s="29">
        <v>43245.541666666672</v>
      </c>
      <c r="J67" s="12" t="s">
        <v>3377</v>
      </c>
      <c r="L67" s="12" t="s">
        <v>3461</v>
      </c>
      <c r="M67" s="12" t="s">
        <v>3454</v>
      </c>
      <c r="N67" s="12" t="s">
        <v>3515</v>
      </c>
      <c r="O67" s="12" t="s">
        <v>3390</v>
      </c>
      <c r="P67" s="12" t="s">
        <v>3369</v>
      </c>
      <c r="Q67" s="12" t="s">
        <v>3369</v>
      </c>
      <c r="R67" s="12" t="s">
        <v>3369</v>
      </c>
      <c r="S67" s="12" t="s">
        <v>3369</v>
      </c>
      <c r="T67" s="12" t="s">
        <v>3369</v>
      </c>
      <c r="U67" s="12" t="s">
        <v>3369</v>
      </c>
      <c r="V67" s="12" t="s">
        <v>3369</v>
      </c>
      <c r="W67" s="12" t="s">
        <v>3369</v>
      </c>
      <c r="X67" s="12" t="s">
        <v>3369</v>
      </c>
      <c r="Y67" s="12" t="s">
        <v>3369</v>
      </c>
      <c r="Z67" s="12" t="s">
        <v>3369</v>
      </c>
      <c r="AA67" s="12" t="s">
        <v>3369</v>
      </c>
      <c r="AB67" s="12" t="s">
        <v>3369</v>
      </c>
      <c r="AE67" s="32">
        <v>0.34375</v>
      </c>
      <c r="AF67" s="35"/>
      <c r="AG67" s="33" t="s">
        <v>136</v>
      </c>
      <c r="AH67" s="36" t="s">
        <v>137</v>
      </c>
      <c r="AI67" s="36" t="str">
        <f>HYPERLINK("https://docs.google.com/document/d/1xPjlL2XpuJuVs9bhlQHaVaBJvaUVRrAiSl6QpD-EBQQ/edit?usp=drivesdk","Silas Tanner - 5/25/2018 8:15 AM")</f>
        <v>Silas Tanner - 5/25/2018 8:15 AM</v>
      </c>
      <c r="AJ67" s="33" t="s">
        <v>138</v>
      </c>
    </row>
    <row r="68" spans="1:36" ht="12.75">
      <c r="A68" s="29">
        <v>43248.360703877319</v>
      </c>
      <c r="B68" s="12" t="s">
        <v>3386</v>
      </c>
      <c r="C68" s="12" t="s">
        <v>3481</v>
      </c>
      <c r="D68" s="12" t="s">
        <v>3374</v>
      </c>
      <c r="E68" s="12" t="s">
        <v>3516</v>
      </c>
      <c r="F68" s="30">
        <v>43248</v>
      </c>
      <c r="G68" s="12" t="s">
        <v>3517</v>
      </c>
      <c r="H68" s="32">
        <v>0.66666666666424135</v>
      </c>
      <c r="I68" s="29">
        <v>43248.708333333328</v>
      </c>
      <c r="J68" s="12" t="s">
        <v>3377</v>
      </c>
      <c r="L68" s="12" t="s">
        <v>3393</v>
      </c>
      <c r="M68" s="12" t="s">
        <v>3497</v>
      </c>
      <c r="N68" s="12" t="s">
        <v>3518</v>
      </c>
      <c r="O68" s="12" t="s">
        <v>3499</v>
      </c>
      <c r="P68" s="12" t="s">
        <v>3369</v>
      </c>
      <c r="Q68" s="12" t="s">
        <v>3369</v>
      </c>
      <c r="R68" s="12" t="s">
        <v>3369</v>
      </c>
      <c r="S68" s="12" t="s">
        <v>3369</v>
      </c>
      <c r="T68" s="12" t="s">
        <v>3369</v>
      </c>
      <c r="U68" s="12" t="s">
        <v>3369</v>
      </c>
      <c r="V68" s="12" t="s">
        <v>3369</v>
      </c>
      <c r="W68" s="12" t="s">
        <v>3369</v>
      </c>
      <c r="X68" s="12" t="s">
        <v>3369</v>
      </c>
      <c r="Y68" s="12" t="s">
        <v>3369</v>
      </c>
      <c r="Z68" s="12" t="s">
        <v>3369</v>
      </c>
      <c r="AA68" s="12" t="s">
        <v>3369</v>
      </c>
      <c r="AB68" s="12" t="s">
        <v>3369</v>
      </c>
      <c r="AE68" s="32">
        <v>0.39583333333575865</v>
      </c>
      <c r="AF68" s="35"/>
      <c r="AG68" s="33" t="s">
        <v>140</v>
      </c>
      <c r="AH68" s="36" t="s">
        <v>141</v>
      </c>
      <c r="AI68" s="36" t="str">
        <f>HYPERLINK("https://docs.google.com/document/d/1Z8dAn-NJRpmpNLlG1zkbjukS7RuYIXNvx0IZ730X_Lk/edit?usp=drivesdk","Ben Mowbray - 5/28/2018 9:30 AM")</f>
        <v>Ben Mowbray - 5/28/2018 9:30 AM</v>
      </c>
      <c r="AJ68" s="33" t="s">
        <v>142</v>
      </c>
    </row>
    <row r="69" spans="1:36" ht="12.75">
      <c r="A69" s="29">
        <v>43249.317150289353</v>
      </c>
      <c r="B69" s="12" t="s">
        <v>3390</v>
      </c>
      <c r="C69" s="12" t="s">
        <v>3391</v>
      </c>
      <c r="D69" s="12" t="s">
        <v>3374</v>
      </c>
      <c r="E69" s="12" t="s">
        <v>3519</v>
      </c>
      <c r="F69" s="30">
        <v>43249</v>
      </c>
      <c r="G69" s="12" t="s">
        <v>3520</v>
      </c>
      <c r="H69" s="32">
        <v>0.625</v>
      </c>
      <c r="I69" s="29">
        <v>43249.645833333328</v>
      </c>
      <c r="J69" s="12" t="s">
        <v>3331</v>
      </c>
      <c r="L69" s="12" t="s">
        <v>3461</v>
      </c>
      <c r="M69" s="12" t="s">
        <v>3466</v>
      </c>
      <c r="O69" s="12" t="s">
        <v>3390</v>
      </c>
      <c r="P69" s="12" t="s">
        <v>3369</v>
      </c>
      <c r="Q69" s="12" t="s">
        <v>3369</v>
      </c>
      <c r="R69" s="12" t="s">
        <v>3369</v>
      </c>
      <c r="S69" s="12" t="s">
        <v>3369</v>
      </c>
      <c r="T69" s="12" t="s">
        <v>3369</v>
      </c>
      <c r="U69" s="12" t="s">
        <v>3369</v>
      </c>
      <c r="V69" s="12" t="s">
        <v>3369</v>
      </c>
      <c r="W69" s="12" t="s">
        <v>3369</v>
      </c>
      <c r="X69" s="12" t="s">
        <v>3369</v>
      </c>
      <c r="Y69" s="12" t="s">
        <v>3369</v>
      </c>
      <c r="Z69" s="12" t="s">
        <v>3369</v>
      </c>
      <c r="AA69" s="12" t="s">
        <v>3369</v>
      </c>
      <c r="AB69" s="12" t="s">
        <v>3369</v>
      </c>
      <c r="AE69" s="32">
        <v>0.39583333333575865</v>
      </c>
      <c r="AF69" s="35"/>
      <c r="AG69" s="33" t="s">
        <v>143</v>
      </c>
      <c r="AH69" s="36" t="s">
        <v>144</v>
      </c>
      <c r="AI69" s="36" t="str">
        <f>HYPERLINK("https://docs.google.com/document/d/1-UbK8hMJUW_5g5Rku1FY9ewcvvUW5AHNrwKQATrchv4/edit?usp=drivesdk","Silas Tanner - 5/29/2018 9:30 AM")</f>
        <v>Silas Tanner - 5/29/2018 9:30 AM</v>
      </c>
      <c r="AJ69" s="33" t="s">
        <v>145</v>
      </c>
    </row>
    <row r="70" spans="1:36" ht="12.75">
      <c r="A70" s="29">
        <v>43250.39838402778</v>
      </c>
      <c r="B70" s="12" t="s">
        <v>3399</v>
      </c>
      <c r="C70" s="12" t="s">
        <v>3400</v>
      </c>
      <c r="D70" s="12" t="s">
        <v>3401</v>
      </c>
      <c r="E70" s="12" t="s">
        <v>3521</v>
      </c>
      <c r="F70" s="30">
        <v>43250</v>
      </c>
      <c r="G70" s="12" t="s">
        <v>3522</v>
      </c>
      <c r="H70" s="32">
        <v>0.54166666666424135</v>
      </c>
      <c r="J70" s="12" t="s">
        <v>3403</v>
      </c>
      <c r="L70" s="12" t="s">
        <v>3523</v>
      </c>
      <c r="M70" s="12" t="s">
        <v>3458</v>
      </c>
      <c r="N70" s="12" t="s">
        <v>3505</v>
      </c>
      <c r="O70" s="12" t="s">
        <v>3408</v>
      </c>
      <c r="P70" s="12" t="s">
        <v>3369</v>
      </c>
      <c r="Q70" s="12" t="s">
        <v>3369</v>
      </c>
      <c r="R70" s="12" t="s">
        <v>3369</v>
      </c>
      <c r="S70" s="12" t="s">
        <v>3369</v>
      </c>
      <c r="T70" s="12" t="s">
        <v>3369</v>
      </c>
      <c r="U70" s="12" t="s">
        <v>3369</v>
      </c>
      <c r="V70" s="12" t="s">
        <v>3369</v>
      </c>
      <c r="W70" s="12" t="s">
        <v>3369</v>
      </c>
      <c r="X70" s="12" t="s">
        <v>3369</v>
      </c>
      <c r="Y70" s="12" t="s">
        <v>3369</v>
      </c>
      <c r="Z70" s="12" t="s">
        <v>3369</v>
      </c>
      <c r="AA70" s="12" t="s">
        <v>3369</v>
      </c>
      <c r="AB70" s="12" t="s">
        <v>3369</v>
      </c>
      <c r="AE70" s="32">
        <v>0.40625</v>
      </c>
      <c r="AF70" s="35"/>
      <c r="AG70" s="33" t="s">
        <v>146</v>
      </c>
      <c r="AH70" s="36" t="s">
        <v>147</v>
      </c>
      <c r="AI70" s="36" t="str">
        <f>HYPERLINK("https://docs.google.com/document/d/1WsrMwbtq1vkTBudK_ew-NbpNttOyEo3T3Yuj3AdKLcs/edit?usp=drivesdk","James Tomazinis - 5/30/2018 9:45 AM")</f>
        <v>James Tomazinis - 5/30/2018 9:45 AM</v>
      </c>
      <c r="AJ70" s="33" t="s">
        <v>148</v>
      </c>
    </row>
    <row r="71" spans="1:36" ht="12.75">
      <c r="A71" s="29">
        <v>43250.442842881945</v>
      </c>
      <c r="B71" s="12" t="s">
        <v>3386</v>
      </c>
      <c r="C71" s="12" t="s">
        <v>3481</v>
      </c>
      <c r="D71" s="12" t="s">
        <v>3374</v>
      </c>
      <c r="E71" s="12" t="s">
        <v>3524</v>
      </c>
      <c r="F71" s="30">
        <v>43250</v>
      </c>
      <c r="G71" s="12" t="s">
        <v>3525</v>
      </c>
      <c r="H71" s="32">
        <v>0.80555555555474712</v>
      </c>
      <c r="I71" s="29">
        <v>43250.847222222219</v>
      </c>
      <c r="J71" s="12" t="s">
        <v>3526</v>
      </c>
      <c r="K71" s="12">
        <v>2</v>
      </c>
      <c r="L71" s="12" t="s">
        <v>3461</v>
      </c>
      <c r="M71" s="12" t="s">
        <v>3489</v>
      </c>
      <c r="N71" s="12" t="s">
        <v>3527</v>
      </c>
      <c r="O71" s="12" t="s">
        <v>3499</v>
      </c>
      <c r="P71" s="12" t="s">
        <v>3369</v>
      </c>
      <c r="Q71" s="12" t="s">
        <v>3369</v>
      </c>
      <c r="R71" s="12" t="s">
        <v>3369</v>
      </c>
      <c r="S71" s="12" t="s">
        <v>3369</v>
      </c>
      <c r="T71" s="12" t="s">
        <v>3369</v>
      </c>
      <c r="U71" s="12" t="s">
        <v>3369</v>
      </c>
      <c r="V71" s="12" t="s">
        <v>3369</v>
      </c>
      <c r="W71" s="12" t="s">
        <v>3369</v>
      </c>
      <c r="X71" s="12" t="s">
        <v>3369</v>
      </c>
      <c r="Y71" s="12" t="s">
        <v>3369</v>
      </c>
      <c r="Z71" s="12" t="s">
        <v>3369</v>
      </c>
      <c r="AA71" s="12" t="s">
        <v>3369</v>
      </c>
      <c r="AB71" s="12" t="s">
        <v>3369</v>
      </c>
      <c r="AE71" s="32">
        <v>0.5</v>
      </c>
      <c r="AF71" s="35"/>
      <c r="AG71" s="33" t="s">
        <v>149</v>
      </c>
      <c r="AH71" s="36" t="s">
        <v>150</v>
      </c>
      <c r="AI71" s="36" t="str">
        <f>HYPERLINK("https://docs.google.com/document/d/1QBVhj8T9wlvA9MtmpE0nIHEBCK43PFkjVDTBjO99NHM/edit?usp=drivesdk","Ben Mowbray - 5/30/2018 12:00 PM")</f>
        <v>Ben Mowbray - 5/30/2018 12:00 PM</v>
      </c>
      <c r="AJ71" s="33" t="s">
        <v>151</v>
      </c>
    </row>
    <row r="72" spans="1:36" ht="12.75">
      <c r="A72" s="29">
        <v>43250.488843298612</v>
      </c>
      <c r="B72" s="12" t="s">
        <v>3390</v>
      </c>
      <c r="C72" s="12" t="s">
        <v>3391</v>
      </c>
      <c r="D72" s="12" t="s">
        <v>3374</v>
      </c>
      <c r="E72" s="12" t="s">
        <v>3528</v>
      </c>
      <c r="F72" s="30">
        <v>43251</v>
      </c>
      <c r="G72" s="12" t="s">
        <v>3529</v>
      </c>
      <c r="H72" s="32">
        <v>0.58333333333575865</v>
      </c>
      <c r="I72" s="29">
        <v>43251.604166666672</v>
      </c>
      <c r="J72" s="12" t="s">
        <v>3331</v>
      </c>
      <c r="L72" s="12" t="s">
        <v>3393</v>
      </c>
      <c r="M72" s="12" t="s">
        <v>3480</v>
      </c>
      <c r="O72" s="12" t="s">
        <v>3390</v>
      </c>
      <c r="P72" s="12" t="s">
        <v>3369</v>
      </c>
      <c r="Q72" s="12" t="s">
        <v>3369</v>
      </c>
      <c r="R72" s="12" t="s">
        <v>3369</v>
      </c>
      <c r="S72" s="12" t="s">
        <v>3369</v>
      </c>
      <c r="T72" s="12" t="s">
        <v>3369</v>
      </c>
      <c r="U72" s="12" t="s">
        <v>3369</v>
      </c>
      <c r="V72" s="12" t="s">
        <v>3369</v>
      </c>
      <c r="W72" s="12" t="s">
        <v>3369</v>
      </c>
      <c r="X72" s="12" t="s">
        <v>3369</v>
      </c>
      <c r="Y72" s="12" t="s">
        <v>3369</v>
      </c>
      <c r="Z72" s="12" t="s">
        <v>3369</v>
      </c>
      <c r="AA72" s="12" t="s">
        <v>3369</v>
      </c>
      <c r="AB72" s="12" t="s">
        <v>3369</v>
      </c>
      <c r="AE72" s="32">
        <v>0.36458333333575865</v>
      </c>
      <c r="AF72" s="35"/>
      <c r="AG72" s="33" t="s">
        <v>152</v>
      </c>
      <c r="AH72" s="36" t="s">
        <v>153</v>
      </c>
      <c r="AI72" s="36" t="str">
        <f>HYPERLINK("https://docs.google.com/document/d/18xsY3dGulHPGl_CAhmxP1foemiasC677-RRywmPh4mc/edit?usp=drivesdk","Silas Tanner - 5/31/2018 8:45 AM")</f>
        <v>Silas Tanner - 5/31/2018 8:45 AM</v>
      </c>
      <c r="AJ72" s="33" t="s">
        <v>154</v>
      </c>
    </row>
    <row r="73" spans="1:36" ht="12.75">
      <c r="A73" s="29">
        <v>43251.475591377312</v>
      </c>
      <c r="B73" s="12" t="s">
        <v>3386</v>
      </c>
      <c r="C73" s="12" t="s">
        <v>3481</v>
      </c>
      <c r="D73" s="12" t="s">
        <v>3374</v>
      </c>
      <c r="E73" s="12" t="s">
        <v>3530</v>
      </c>
      <c r="F73" s="30">
        <v>43251</v>
      </c>
      <c r="G73" s="12" t="s">
        <v>3525</v>
      </c>
      <c r="H73" s="32">
        <v>0.79166666666424135</v>
      </c>
      <c r="I73" s="29">
        <v>43251.833333333328</v>
      </c>
      <c r="J73" s="12" t="s">
        <v>3526</v>
      </c>
      <c r="K73" s="12">
        <v>2</v>
      </c>
      <c r="L73" s="12" t="s">
        <v>3461</v>
      </c>
      <c r="M73" s="12" t="s">
        <v>3489</v>
      </c>
      <c r="N73" s="12" t="s">
        <v>3531</v>
      </c>
      <c r="O73" s="12" t="s">
        <v>3499</v>
      </c>
      <c r="P73" s="12" t="s">
        <v>3369</v>
      </c>
      <c r="Q73" s="12" t="s">
        <v>3369</v>
      </c>
      <c r="R73" s="12" t="s">
        <v>3369</v>
      </c>
      <c r="S73" s="12" t="s">
        <v>3369</v>
      </c>
      <c r="T73" s="12" t="s">
        <v>3369</v>
      </c>
      <c r="U73" s="12" t="s">
        <v>3369</v>
      </c>
      <c r="V73" s="12" t="s">
        <v>3369</v>
      </c>
      <c r="W73" s="12" t="s">
        <v>3369</v>
      </c>
      <c r="X73" s="12" t="s">
        <v>3369</v>
      </c>
      <c r="Y73" s="12" t="s">
        <v>3369</v>
      </c>
      <c r="Z73" s="12" t="s">
        <v>3369</v>
      </c>
      <c r="AA73" s="12" t="s">
        <v>3369</v>
      </c>
      <c r="AB73" s="12" t="s">
        <v>3369</v>
      </c>
      <c r="AE73" s="32">
        <v>0.54166666666424135</v>
      </c>
      <c r="AF73" s="35"/>
      <c r="AG73" s="33" t="s">
        <v>155</v>
      </c>
      <c r="AH73" s="36" t="s">
        <v>156</v>
      </c>
      <c r="AI73" s="36" t="str">
        <f>HYPERLINK("https://docs.google.com/document/d/1GGxNyt9MBnblp9Zx3L_z8an_bzsgGlS6W15cDVnm3fk/edit?usp=drivesdk","Ben Mowbray - 5/31/2018 1:00 PM")</f>
        <v>Ben Mowbray - 5/31/2018 1:00 PM</v>
      </c>
      <c r="AJ73" s="33" t="s">
        <v>157</v>
      </c>
    </row>
    <row r="74" spans="1:36" ht="12.75">
      <c r="A74" s="29">
        <v>43252.412328599537</v>
      </c>
      <c r="B74" s="12" t="s">
        <v>3372</v>
      </c>
      <c r="C74" s="12" t="s">
        <v>3383</v>
      </c>
      <c r="D74" s="12" t="s">
        <v>3374</v>
      </c>
      <c r="E74" s="12" t="s">
        <v>3524</v>
      </c>
      <c r="F74" s="30">
        <v>43252</v>
      </c>
      <c r="G74" s="12" t="s">
        <v>3532</v>
      </c>
      <c r="H74" s="32">
        <v>0.66666666666424135</v>
      </c>
      <c r="I74" s="29">
        <v>43253.708333333328</v>
      </c>
      <c r="J74" s="12" t="s">
        <v>3331</v>
      </c>
      <c r="L74" s="12" t="s">
        <v>3461</v>
      </c>
      <c r="M74" s="12" t="s">
        <v>3379</v>
      </c>
      <c r="N74" s="12" t="s">
        <v>3533</v>
      </c>
      <c r="O74" s="12" t="s">
        <v>3417</v>
      </c>
      <c r="P74" s="12" t="s">
        <v>3369</v>
      </c>
      <c r="Q74" s="12" t="s">
        <v>3369</v>
      </c>
      <c r="R74" s="12" t="s">
        <v>3369</v>
      </c>
      <c r="S74" s="12" t="s">
        <v>3369</v>
      </c>
      <c r="T74" s="12" t="s">
        <v>3369</v>
      </c>
      <c r="U74" s="12" t="s">
        <v>3369</v>
      </c>
      <c r="V74" s="12" t="s">
        <v>3369</v>
      </c>
      <c r="W74" s="12" t="s">
        <v>3369</v>
      </c>
      <c r="X74" s="12" t="s">
        <v>3369</v>
      </c>
      <c r="Y74" s="12" t="s">
        <v>3369</v>
      </c>
      <c r="Z74" s="12" t="s">
        <v>3369</v>
      </c>
      <c r="AA74" s="12" t="s">
        <v>3369</v>
      </c>
      <c r="AB74" s="12" t="s">
        <v>3369</v>
      </c>
      <c r="AE74" s="32">
        <v>0.45833333333575865</v>
      </c>
      <c r="AF74" s="35"/>
      <c r="AG74" s="33" t="s">
        <v>158</v>
      </c>
      <c r="AH74" s="36" t="s">
        <v>159</v>
      </c>
      <c r="AI74" s="36" t="str">
        <f>HYPERLINK("https://docs.google.com/document/d/1Meihg5Jrur5EeX5nc6SpgFu2CqSqHvOVRaDjMu8Kzjw/edit?usp=drivesdk","Pamela Marcum - 6/1/2018 11:00 AM")</f>
        <v>Pamela Marcum - 6/1/2018 11:00 AM</v>
      </c>
      <c r="AJ74" s="33" t="s">
        <v>160</v>
      </c>
    </row>
    <row r="75" spans="1:36" ht="12.75">
      <c r="A75" s="29">
        <v>43252.970223252312</v>
      </c>
      <c r="B75" s="12" t="s">
        <v>3372</v>
      </c>
      <c r="C75" s="12" t="s">
        <v>3383</v>
      </c>
      <c r="D75" s="12" t="s">
        <v>3374</v>
      </c>
      <c r="E75" s="12" t="s">
        <v>3534</v>
      </c>
      <c r="F75" s="30">
        <v>43253</v>
      </c>
      <c r="G75" s="12" t="s">
        <v>3535</v>
      </c>
      <c r="H75" s="32">
        <v>0.5</v>
      </c>
      <c r="I75" s="29">
        <v>43252.541666666672</v>
      </c>
      <c r="J75" s="12" t="s">
        <v>3331</v>
      </c>
      <c r="L75" s="12" t="s">
        <v>3461</v>
      </c>
      <c r="M75" s="12" t="s">
        <v>3379</v>
      </c>
      <c r="N75" s="12" t="s">
        <v>3536</v>
      </c>
      <c r="O75" s="12" t="s">
        <v>3381</v>
      </c>
      <c r="P75" s="12" t="s">
        <v>3369</v>
      </c>
      <c r="Q75" s="12" t="s">
        <v>3369</v>
      </c>
      <c r="R75" s="12" t="s">
        <v>3369</v>
      </c>
      <c r="S75" s="12" t="s">
        <v>3369</v>
      </c>
      <c r="T75" s="12" t="s">
        <v>3369</v>
      </c>
      <c r="U75" s="12" t="s">
        <v>3369</v>
      </c>
      <c r="V75" s="12" t="s">
        <v>3369</v>
      </c>
      <c r="W75" s="12" t="s">
        <v>3369</v>
      </c>
      <c r="X75" s="12" t="s">
        <v>3369</v>
      </c>
      <c r="Y75" s="12" t="s">
        <v>3369</v>
      </c>
      <c r="Z75" s="12" t="s">
        <v>3369</v>
      </c>
      <c r="AA75" s="12" t="s">
        <v>3369</v>
      </c>
      <c r="AB75" s="12" t="s">
        <v>3369</v>
      </c>
      <c r="AE75" s="32">
        <v>0.25</v>
      </c>
      <c r="AF75" s="35"/>
      <c r="AG75" s="33" t="s">
        <v>161</v>
      </c>
      <c r="AH75" s="36" t="s">
        <v>162</v>
      </c>
      <c r="AI75" s="36" t="str">
        <f>HYPERLINK("https://docs.google.com/document/d/1_BU8DyN37-pP7dXayBuVa2UgN4SSVZhJ2PswBb3iWpA/edit?usp=drivesdk","Pamela Marcum - 6/2/2018 6:00 AM")</f>
        <v>Pamela Marcum - 6/2/2018 6:00 AM</v>
      </c>
      <c r="AJ75" s="33" t="s">
        <v>163</v>
      </c>
    </row>
    <row r="76" spans="1:36" ht="12.75">
      <c r="A76" s="29">
        <v>43255.506500011572</v>
      </c>
      <c r="B76" s="12" t="s">
        <v>3293</v>
      </c>
      <c r="C76" s="12" t="s">
        <v>3308</v>
      </c>
      <c r="D76" s="12" t="s">
        <v>3303</v>
      </c>
      <c r="E76" s="12" t="s">
        <v>3453</v>
      </c>
      <c r="F76" s="30">
        <v>43256</v>
      </c>
      <c r="G76" s="12" t="s">
        <v>3537</v>
      </c>
      <c r="H76" s="32">
        <v>0.64583333333575865</v>
      </c>
      <c r="I76" s="29">
        <v>43257.645833333328</v>
      </c>
      <c r="J76" s="12" t="s">
        <v>3526</v>
      </c>
      <c r="K76" s="12">
        <v>6</v>
      </c>
      <c r="L76" s="12" t="s">
        <v>3393</v>
      </c>
      <c r="M76" s="12" t="s">
        <v>3538</v>
      </c>
      <c r="N76" s="12" t="s">
        <v>3539</v>
      </c>
      <c r="O76" s="12" t="s">
        <v>3293</v>
      </c>
      <c r="P76" s="12" t="s">
        <v>3369</v>
      </c>
      <c r="Q76" s="12" t="s">
        <v>3369</v>
      </c>
      <c r="R76" s="12" t="s">
        <v>3369</v>
      </c>
      <c r="S76" s="12" t="s">
        <v>3369</v>
      </c>
      <c r="T76" s="12" t="s">
        <v>3369</v>
      </c>
      <c r="U76" s="12" t="s">
        <v>3369</v>
      </c>
      <c r="V76" s="12" t="s">
        <v>3369</v>
      </c>
      <c r="W76" s="12" t="s">
        <v>3369</v>
      </c>
      <c r="X76" s="12" t="s">
        <v>3369</v>
      </c>
      <c r="Y76" s="12" t="s">
        <v>3369</v>
      </c>
      <c r="Z76" s="12" t="s">
        <v>3369</v>
      </c>
      <c r="AA76" s="12" t="s">
        <v>3369</v>
      </c>
      <c r="AB76" s="12" t="s">
        <v>3369</v>
      </c>
      <c r="AC76" s="12" t="s">
        <v>3540</v>
      </c>
      <c r="AD76" s="12" t="s">
        <v>3541</v>
      </c>
      <c r="AE76" s="32">
        <v>0.41666666666424135</v>
      </c>
      <c r="AF76" s="35"/>
      <c r="AG76" s="33" t="s">
        <v>164</v>
      </c>
      <c r="AH76" s="36" t="s">
        <v>165</v>
      </c>
      <c r="AI76" s="36" t="str">
        <f>HYPERLINK("https://docs.google.com/document/d/1_99TZLD-k-C9EsSVpSJNccEWzt4WrxyVPB59pY1zq1c/edit?usp=drivesdk","Kenneth Rainer - 6/5/2018 10:00 AM")</f>
        <v>Kenneth Rainer - 6/5/2018 10:00 AM</v>
      </c>
      <c r="AJ76" s="33" t="s">
        <v>166</v>
      </c>
    </row>
    <row r="77" spans="1:36" ht="12.75">
      <c r="A77" s="29">
        <v>43255.509085983795</v>
      </c>
      <c r="B77" s="12" t="s">
        <v>3406</v>
      </c>
      <c r="C77" s="12" t="s">
        <v>3400</v>
      </c>
      <c r="D77" s="12" t="s">
        <v>3303</v>
      </c>
      <c r="E77" s="12" t="s">
        <v>3453</v>
      </c>
      <c r="F77" s="30">
        <v>43256</v>
      </c>
      <c r="G77" s="12" t="s">
        <v>3542</v>
      </c>
      <c r="H77" s="32">
        <v>0.64583333333575865</v>
      </c>
      <c r="I77" s="29">
        <v>43257.645833333328</v>
      </c>
      <c r="J77" s="12" t="s">
        <v>3366</v>
      </c>
      <c r="L77" s="12" t="s">
        <v>3461</v>
      </c>
      <c r="M77" s="12" t="s">
        <v>3538</v>
      </c>
      <c r="N77" s="12" t="s">
        <v>3539</v>
      </c>
      <c r="O77" s="12" t="s">
        <v>3399</v>
      </c>
      <c r="P77" s="12" t="s">
        <v>3369</v>
      </c>
      <c r="Q77" s="12" t="s">
        <v>3369</v>
      </c>
      <c r="R77" s="12" t="s">
        <v>3369</v>
      </c>
      <c r="S77" s="12" t="s">
        <v>3369</v>
      </c>
      <c r="T77" s="12" t="s">
        <v>3369</v>
      </c>
      <c r="U77" s="12" t="s">
        <v>3369</v>
      </c>
      <c r="V77" s="12" t="s">
        <v>3369</v>
      </c>
      <c r="W77" s="12" t="s">
        <v>3369</v>
      </c>
      <c r="X77" s="12" t="s">
        <v>3369</v>
      </c>
      <c r="Y77" s="12" t="s">
        <v>3369</v>
      </c>
      <c r="Z77" s="12" t="s">
        <v>3369</v>
      </c>
      <c r="AA77" s="12" t="s">
        <v>3369</v>
      </c>
      <c r="AB77" s="12" t="s">
        <v>3369</v>
      </c>
      <c r="AC77" s="12" t="s">
        <v>3540</v>
      </c>
      <c r="AD77" s="12" t="s">
        <v>3541</v>
      </c>
      <c r="AE77" s="32">
        <v>0.41666666666424135</v>
      </c>
      <c r="AF77" s="35"/>
      <c r="AG77" s="33" t="s">
        <v>167</v>
      </c>
      <c r="AH77" s="36" t="s">
        <v>168</v>
      </c>
      <c r="AI77" s="36" t="str">
        <f>HYPERLINK("https://docs.google.com/document/d/1OT1kes3CIgU0ZoBNEpPtzP0zZ3y229Cg9-mTm6wn5UM/edit?usp=drivesdk","Jimmy Tomazinis - 6/5/2018 10:00 AM")</f>
        <v>Jimmy Tomazinis - 6/5/2018 10:00 AM</v>
      </c>
      <c r="AJ77" s="33" t="s">
        <v>169</v>
      </c>
    </row>
    <row r="78" spans="1:36" ht="12.75">
      <c r="A78" s="29">
        <v>43255.511730532409</v>
      </c>
      <c r="B78" s="12" t="s">
        <v>3293</v>
      </c>
      <c r="C78" s="12" t="s">
        <v>3308</v>
      </c>
      <c r="D78" s="12" t="s">
        <v>3303</v>
      </c>
      <c r="E78" s="12" t="s">
        <v>3318</v>
      </c>
      <c r="F78" s="30">
        <v>43258</v>
      </c>
      <c r="G78" s="12" t="s">
        <v>3543</v>
      </c>
      <c r="H78" s="32">
        <v>0.64583333333575865</v>
      </c>
      <c r="I78" s="29">
        <v>43258.666666666672</v>
      </c>
      <c r="J78" s="12" t="s">
        <v>3377</v>
      </c>
      <c r="L78" s="12" t="s">
        <v>3393</v>
      </c>
      <c r="M78" s="12" t="s">
        <v>3544</v>
      </c>
      <c r="N78" s="12" t="s">
        <v>3545</v>
      </c>
      <c r="O78" s="12" t="s">
        <v>3293</v>
      </c>
      <c r="P78" s="12" t="s">
        <v>3369</v>
      </c>
      <c r="Q78" s="12" t="s">
        <v>3369</v>
      </c>
      <c r="R78" s="12" t="s">
        <v>3369</v>
      </c>
      <c r="S78" s="12" t="s">
        <v>3369</v>
      </c>
      <c r="T78" s="12" t="s">
        <v>3369</v>
      </c>
      <c r="U78" s="12" t="s">
        <v>3369</v>
      </c>
      <c r="V78" s="12" t="s">
        <v>3369</v>
      </c>
      <c r="W78" s="12" t="s">
        <v>3369</v>
      </c>
      <c r="X78" s="12" t="s">
        <v>3369</v>
      </c>
      <c r="Y78" s="12" t="s">
        <v>3369</v>
      </c>
      <c r="Z78" s="12" t="s">
        <v>3369</v>
      </c>
      <c r="AA78" s="12" t="s">
        <v>3369</v>
      </c>
      <c r="AB78" s="12" t="s">
        <v>3369</v>
      </c>
      <c r="AC78" s="12" t="s">
        <v>3546</v>
      </c>
      <c r="AD78" s="12" t="s">
        <v>3547</v>
      </c>
      <c r="AE78" s="32">
        <v>0.39583333333575865</v>
      </c>
      <c r="AF78" s="35"/>
      <c r="AG78" s="33" t="s">
        <v>170</v>
      </c>
      <c r="AH78" s="36" t="s">
        <v>171</v>
      </c>
      <c r="AI78" s="36" t="str">
        <f>HYPERLINK("https://docs.google.com/document/d/1f4rCTUh5g2HKvT37iHIzLi2xkFwrlxrV8ZlB-EPRd_0/edit?usp=drivesdk","Kenneth Rainer - 6/7/2018 9:30 AM")</f>
        <v>Kenneth Rainer - 6/7/2018 9:30 AM</v>
      </c>
      <c r="AJ78" s="33" t="s">
        <v>172</v>
      </c>
    </row>
    <row r="79" spans="1:36" ht="12.75">
      <c r="A79" s="29">
        <v>43255.513483252318</v>
      </c>
      <c r="B79" s="12" t="s">
        <v>3390</v>
      </c>
      <c r="C79" s="12" t="s">
        <v>3391</v>
      </c>
      <c r="D79" s="12" t="s">
        <v>3303</v>
      </c>
      <c r="E79" s="12" t="s">
        <v>3318</v>
      </c>
      <c r="F79" s="30">
        <v>43258</v>
      </c>
      <c r="G79" s="12" t="s">
        <v>3543</v>
      </c>
      <c r="H79" s="32">
        <v>0.64583333333575865</v>
      </c>
      <c r="I79" s="29">
        <v>43258.666666666672</v>
      </c>
      <c r="J79" s="12" t="s">
        <v>3366</v>
      </c>
      <c r="L79" s="12" t="s">
        <v>3461</v>
      </c>
      <c r="M79" s="12" t="s">
        <v>3544</v>
      </c>
      <c r="N79" s="12" t="s">
        <v>3545</v>
      </c>
      <c r="O79" s="12" t="s">
        <v>3390</v>
      </c>
      <c r="P79" s="12" t="s">
        <v>3369</v>
      </c>
      <c r="Q79" s="12" t="s">
        <v>3369</v>
      </c>
      <c r="R79" s="12" t="s">
        <v>3369</v>
      </c>
      <c r="S79" s="12" t="s">
        <v>3369</v>
      </c>
      <c r="T79" s="12" t="s">
        <v>3369</v>
      </c>
      <c r="U79" s="12" t="s">
        <v>3369</v>
      </c>
      <c r="V79" s="12" t="s">
        <v>3369</v>
      </c>
      <c r="W79" s="12" t="s">
        <v>3369</v>
      </c>
      <c r="X79" s="12" t="s">
        <v>3369</v>
      </c>
      <c r="Y79" s="12" t="s">
        <v>3369</v>
      </c>
      <c r="Z79" s="12" t="s">
        <v>3369</v>
      </c>
      <c r="AA79" s="12" t="s">
        <v>3369</v>
      </c>
      <c r="AB79" s="12" t="s">
        <v>3369</v>
      </c>
      <c r="AC79" s="12" t="s">
        <v>3546</v>
      </c>
      <c r="AD79" s="12" t="s">
        <v>3547</v>
      </c>
      <c r="AE79" s="32">
        <v>0.39583333333575865</v>
      </c>
      <c r="AF79" s="35"/>
      <c r="AG79" s="33" t="s">
        <v>173</v>
      </c>
      <c r="AH79" s="36" t="s">
        <v>174</v>
      </c>
      <c r="AI79" s="36" t="str">
        <f>HYPERLINK("https://docs.google.com/document/d/1omI7AifJyv7VBder7xWpamlAqbP_DccSbkNyJKL1wJk/edit?usp=drivesdk","Silas Tanner - 6/7/2018 9:30 AM")</f>
        <v>Silas Tanner - 6/7/2018 9:30 AM</v>
      </c>
      <c r="AJ79" s="33" t="s">
        <v>175</v>
      </c>
    </row>
    <row r="80" spans="1:36" ht="12.75">
      <c r="A80" s="29">
        <v>43262.361474270831</v>
      </c>
      <c r="B80" s="12" t="s">
        <v>3399</v>
      </c>
      <c r="C80" s="12" t="s">
        <v>3400</v>
      </c>
      <c r="D80" s="12" t="s">
        <v>3401</v>
      </c>
      <c r="E80" s="12" t="s">
        <v>3356</v>
      </c>
      <c r="F80" s="30">
        <v>43262</v>
      </c>
      <c r="G80" s="12" t="s">
        <v>3548</v>
      </c>
      <c r="H80" s="32">
        <v>0.5</v>
      </c>
      <c r="J80" s="12" t="s">
        <v>3403</v>
      </c>
      <c r="L80" s="12" t="s">
        <v>3523</v>
      </c>
      <c r="M80" s="12" t="s">
        <v>3458</v>
      </c>
      <c r="N80" s="12" t="s">
        <v>3505</v>
      </c>
      <c r="O80" s="12" t="s">
        <v>3408</v>
      </c>
      <c r="P80" s="12" t="s">
        <v>3369</v>
      </c>
      <c r="Q80" s="12" t="s">
        <v>3369</v>
      </c>
      <c r="R80" s="12" t="s">
        <v>3369</v>
      </c>
      <c r="S80" s="12" t="s">
        <v>3369</v>
      </c>
      <c r="T80" s="12" t="s">
        <v>3369</v>
      </c>
      <c r="U80" s="12" t="s">
        <v>3369</v>
      </c>
      <c r="V80" s="12" t="s">
        <v>3369</v>
      </c>
      <c r="W80" s="12" t="s">
        <v>3369</v>
      </c>
      <c r="X80" s="12" t="s">
        <v>3369</v>
      </c>
      <c r="Y80" s="12" t="s">
        <v>3369</v>
      </c>
      <c r="Z80" s="12" t="s">
        <v>3369</v>
      </c>
      <c r="AA80" s="12" t="s">
        <v>3369</v>
      </c>
      <c r="AB80" s="12" t="s">
        <v>3369</v>
      </c>
      <c r="AE80" s="32">
        <v>0.35416666666424135</v>
      </c>
      <c r="AF80" s="35"/>
      <c r="AG80" s="33" t="s">
        <v>176</v>
      </c>
      <c r="AH80" s="36" t="s">
        <v>177</v>
      </c>
      <c r="AI80" s="36" t="str">
        <f>HYPERLINK("https://docs.google.com/document/d/1nhihx7WUJyq9xrne-IuE8z6M1bOCmJPhlEGshsFWGQU/edit?usp=drivesdk","James Tomazinis - 6/11/2018 8:30 AM")</f>
        <v>James Tomazinis - 6/11/2018 8:30 AM</v>
      </c>
      <c r="AJ80" s="33" t="s">
        <v>178</v>
      </c>
    </row>
    <row r="81" spans="1:36" ht="12.75">
      <c r="A81" s="29">
        <v>43263.29583268518</v>
      </c>
      <c r="B81" s="12" t="s">
        <v>3390</v>
      </c>
      <c r="C81" s="12" t="s">
        <v>3448</v>
      </c>
      <c r="D81" s="12" t="s">
        <v>3374</v>
      </c>
      <c r="E81" s="12" t="s">
        <v>3464</v>
      </c>
      <c r="F81" s="30">
        <v>43263</v>
      </c>
      <c r="G81" s="12" t="s">
        <v>3465</v>
      </c>
      <c r="H81" s="32">
        <v>0.58333333333575865</v>
      </c>
      <c r="I81" s="29">
        <v>43263.604166666672</v>
      </c>
      <c r="J81" s="12" t="s">
        <v>3377</v>
      </c>
      <c r="L81" s="12" t="s">
        <v>3461</v>
      </c>
      <c r="M81" s="12" t="s">
        <v>3466</v>
      </c>
      <c r="N81" s="12" t="s">
        <v>3549</v>
      </c>
      <c r="O81" s="12" t="s">
        <v>3550</v>
      </c>
      <c r="P81" s="12" t="s">
        <v>3369</v>
      </c>
      <c r="Q81" s="12" t="s">
        <v>3369</v>
      </c>
      <c r="R81" s="12" t="s">
        <v>3369</v>
      </c>
      <c r="S81" s="12" t="s">
        <v>3369</v>
      </c>
      <c r="T81" s="12" t="s">
        <v>3369</v>
      </c>
      <c r="U81" s="12" t="s">
        <v>3369</v>
      </c>
      <c r="V81" s="12" t="s">
        <v>3369</v>
      </c>
      <c r="W81" s="12" t="s">
        <v>3369</v>
      </c>
      <c r="X81" s="12" t="s">
        <v>3369</v>
      </c>
      <c r="Y81" s="12" t="s">
        <v>3369</v>
      </c>
      <c r="Z81" s="12" t="s">
        <v>3369</v>
      </c>
      <c r="AA81" s="12" t="s">
        <v>3369</v>
      </c>
      <c r="AB81" s="12" t="s">
        <v>3369</v>
      </c>
      <c r="AE81" s="32">
        <v>0.36458333333575865</v>
      </c>
      <c r="AF81" s="35"/>
      <c r="AG81" s="33" t="s">
        <v>179</v>
      </c>
      <c r="AH81" s="36" t="s">
        <v>180</v>
      </c>
      <c r="AI81" s="36" t="str">
        <f>HYPERLINK("https://docs.google.com/document/d/14xL-FgR87Xdn5S8WoYx0_em_jRQvOEXqyE9kNUhAwZs/edit?usp=drivesdk","Silas Tanner - 6/12/2018 8:45 AM")</f>
        <v>Silas Tanner - 6/12/2018 8:45 AM</v>
      </c>
      <c r="AJ81" s="33" t="s">
        <v>181</v>
      </c>
    </row>
    <row r="82" spans="1:36" ht="12.75">
      <c r="A82" s="29">
        <v>43263.545481180554</v>
      </c>
      <c r="B82" s="12" t="s">
        <v>3293</v>
      </c>
      <c r="C82" s="12" t="s">
        <v>9</v>
      </c>
      <c r="D82" s="12" t="s">
        <v>3303</v>
      </c>
      <c r="E82" s="12" t="s">
        <v>3321</v>
      </c>
      <c r="F82" s="30">
        <v>43265</v>
      </c>
      <c r="G82" s="12" t="s">
        <v>3551</v>
      </c>
      <c r="H82" s="32">
        <v>0.6875</v>
      </c>
      <c r="I82" s="29">
        <v>43265.708333333328</v>
      </c>
      <c r="J82" s="12" t="s">
        <v>3377</v>
      </c>
      <c r="L82" s="12" t="s">
        <v>3393</v>
      </c>
      <c r="M82" s="12" t="s">
        <v>3552</v>
      </c>
      <c r="N82" s="12" t="s">
        <v>3553</v>
      </c>
      <c r="O82" s="12" t="s">
        <v>3293</v>
      </c>
      <c r="P82" s="12" t="s">
        <v>3369</v>
      </c>
      <c r="Q82" s="12" t="s">
        <v>3369</v>
      </c>
      <c r="R82" s="12" t="s">
        <v>3369</v>
      </c>
      <c r="S82" s="12" t="s">
        <v>3369</v>
      </c>
      <c r="T82" s="12" t="s">
        <v>3369</v>
      </c>
      <c r="U82" s="12" t="s">
        <v>3369</v>
      </c>
      <c r="V82" s="12" t="s">
        <v>3369</v>
      </c>
      <c r="W82" s="12" t="s">
        <v>3369</v>
      </c>
      <c r="X82" s="12" t="s">
        <v>3369</v>
      </c>
      <c r="Y82" s="12" t="s">
        <v>3369</v>
      </c>
      <c r="Z82" s="12" t="s">
        <v>3369</v>
      </c>
      <c r="AA82" s="12" t="s">
        <v>3369</v>
      </c>
      <c r="AB82" s="12" t="s">
        <v>3369</v>
      </c>
      <c r="AC82" s="12" t="s">
        <v>3554</v>
      </c>
      <c r="AD82" s="12" t="s">
        <v>3555</v>
      </c>
      <c r="AE82" s="32">
        <v>0.52083333333575865</v>
      </c>
      <c r="AF82" s="35"/>
      <c r="AG82" s="33" t="s">
        <v>182</v>
      </c>
      <c r="AH82" s="36" t="s">
        <v>183</v>
      </c>
      <c r="AI82" s="36" t="str">
        <f>HYPERLINK("https://docs.google.com/document/d/1Ad-FJGyHWoa6R8teeyJx_5DdPsF8CvyTVaG0dnm6hzA/edit?usp=drivesdk","Kenneth Rainer - 6/14/2018 12:30 PM")</f>
        <v>Kenneth Rainer - 6/14/2018 12:30 PM</v>
      </c>
      <c r="AJ82" s="33" t="s">
        <v>184</v>
      </c>
    </row>
    <row r="83" spans="1:36" ht="12.75">
      <c r="A83" s="29">
        <v>43264.685055034723</v>
      </c>
      <c r="B83" s="12" t="s">
        <v>3390</v>
      </c>
      <c r="C83" s="12" t="s">
        <v>3391</v>
      </c>
      <c r="D83" s="12" t="s">
        <v>3374</v>
      </c>
      <c r="E83" s="12" t="s">
        <v>3430</v>
      </c>
      <c r="F83" s="30">
        <v>43265</v>
      </c>
      <c r="G83" s="12" t="s">
        <v>3556</v>
      </c>
      <c r="H83" s="32">
        <v>0.66666666666424135</v>
      </c>
      <c r="I83" s="29">
        <v>43265.697916666672</v>
      </c>
      <c r="J83" s="12" t="s">
        <v>3366</v>
      </c>
      <c r="L83" s="12" t="s">
        <v>3461</v>
      </c>
      <c r="M83" s="12" t="s">
        <v>3454</v>
      </c>
      <c r="N83" s="12" t="s">
        <v>3557</v>
      </c>
      <c r="O83" s="12" t="s">
        <v>3429</v>
      </c>
      <c r="P83" s="12" t="s">
        <v>3369</v>
      </c>
      <c r="Q83" s="12" t="s">
        <v>3369</v>
      </c>
      <c r="R83" s="12" t="s">
        <v>3369</v>
      </c>
      <c r="S83" s="12" t="s">
        <v>3369</v>
      </c>
      <c r="T83" s="12" t="s">
        <v>3369</v>
      </c>
      <c r="U83" s="12" t="s">
        <v>3369</v>
      </c>
      <c r="V83" s="12" t="s">
        <v>3369</v>
      </c>
      <c r="W83" s="12" t="s">
        <v>3369</v>
      </c>
      <c r="X83" s="12" t="s">
        <v>3369</v>
      </c>
      <c r="Y83" s="12" t="s">
        <v>3369</v>
      </c>
      <c r="Z83" s="12" t="s">
        <v>3369</v>
      </c>
      <c r="AA83" s="12" t="s">
        <v>3369</v>
      </c>
      <c r="AB83" s="12" t="s">
        <v>3369</v>
      </c>
      <c r="AE83" s="32">
        <v>0.5</v>
      </c>
      <c r="AF83" s="35"/>
      <c r="AG83" s="33" t="s">
        <v>185</v>
      </c>
      <c r="AH83" s="36" t="s">
        <v>186</v>
      </c>
      <c r="AI83" s="36" t="str">
        <f>HYPERLINK("https://docs.google.com/document/d/1ZVWr_QqAdt-Iz7q9i3GNK8i0lyZgwCCfyxmlR1hJwkw/edit?usp=drivesdk","Silas Tanner - 6/14/2018 12:00 PM")</f>
        <v>Silas Tanner - 6/14/2018 12:00 PM</v>
      </c>
      <c r="AJ83" s="33" t="s">
        <v>187</v>
      </c>
    </row>
    <row r="84" spans="1:36" ht="12.75">
      <c r="A84" s="29">
        <v>43266.392776643523</v>
      </c>
      <c r="B84" s="12" t="s">
        <v>3399</v>
      </c>
      <c r="C84" s="12" t="s">
        <v>3400</v>
      </c>
      <c r="D84" s="12" t="s">
        <v>3401</v>
      </c>
      <c r="E84" s="12" t="s">
        <v>3558</v>
      </c>
      <c r="F84" s="30">
        <v>43266</v>
      </c>
      <c r="G84" s="12" t="s">
        <v>3559</v>
      </c>
      <c r="H84" s="32">
        <v>0.70833333333575865</v>
      </c>
      <c r="J84" s="12" t="s">
        <v>3377</v>
      </c>
      <c r="L84" s="12" t="s">
        <v>3299</v>
      </c>
      <c r="M84" s="12" t="s">
        <v>3560</v>
      </c>
      <c r="N84" s="12" t="s">
        <v>3561</v>
      </c>
      <c r="O84" s="12" t="s">
        <v>3399</v>
      </c>
      <c r="P84" s="12" t="s">
        <v>3369</v>
      </c>
      <c r="Q84" s="12" t="s">
        <v>3369</v>
      </c>
      <c r="R84" s="12" t="s">
        <v>3369</v>
      </c>
      <c r="S84" s="12" t="s">
        <v>3369</v>
      </c>
      <c r="T84" s="12" t="s">
        <v>3369</v>
      </c>
      <c r="U84" s="12" t="s">
        <v>3369</v>
      </c>
      <c r="V84" s="12" t="s">
        <v>3369</v>
      </c>
      <c r="W84" s="12" t="s">
        <v>3369</v>
      </c>
      <c r="X84" s="12" t="s">
        <v>3369</v>
      </c>
      <c r="Y84" s="12" t="s">
        <v>3369</v>
      </c>
      <c r="Z84" s="12" t="s">
        <v>3369</v>
      </c>
      <c r="AA84" s="12" t="s">
        <v>3369</v>
      </c>
      <c r="AB84" s="12" t="s">
        <v>3369</v>
      </c>
      <c r="AE84" s="32">
        <v>0.41666666666424135</v>
      </c>
      <c r="AF84" s="35"/>
      <c r="AG84" s="33" t="s">
        <v>188</v>
      </c>
      <c r="AH84" s="36" t="s">
        <v>189</v>
      </c>
      <c r="AI84" s="36" t="str">
        <f>HYPERLINK("https://docs.google.com/document/d/1segsGRdC7iRishkJwC9X3suCxEE9-PDWq8OEnJz3WW4/edit?usp=drivesdk","James Tomazinis - 6/15/2018 10:00 AM")</f>
        <v>James Tomazinis - 6/15/2018 10:00 AM</v>
      </c>
      <c r="AJ84" s="33" t="s">
        <v>190</v>
      </c>
    </row>
    <row r="85" spans="1:36" ht="12.75">
      <c r="A85" s="29">
        <v>43266.465946099532</v>
      </c>
      <c r="B85" s="12" t="s">
        <v>3390</v>
      </c>
      <c r="C85" s="12" t="s">
        <v>3391</v>
      </c>
      <c r="D85" s="12" t="s">
        <v>3374</v>
      </c>
      <c r="E85" s="12" t="s">
        <v>3430</v>
      </c>
      <c r="F85" s="30">
        <v>43266</v>
      </c>
      <c r="G85" s="12" t="s">
        <v>3562</v>
      </c>
      <c r="H85" s="32">
        <v>0.66666666666424135</v>
      </c>
      <c r="I85" s="29">
        <v>43266.708333333328</v>
      </c>
      <c r="J85" s="12" t="s">
        <v>3366</v>
      </c>
      <c r="L85" s="12" t="s">
        <v>3461</v>
      </c>
      <c r="M85" s="12" t="s">
        <v>3454</v>
      </c>
      <c r="N85" s="12" t="s">
        <v>3563</v>
      </c>
      <c r="O85" s="12" t="s">
        <v>3390</v>
      </c>
      <c r="P85" s="12" t="s">
        <v>3369</v>
      </c>
      <c r="Q85" s="12" t="s">
        <v>3369</v>
      </c>
      <c r="R85" s="12" t="s">
        <v>3369</v>
      </c>
      <c r="S85" s="12" t="s">
        <v>3369</v>
      </c>
      <c r="T85" s="12" t="s">
        <v>3369</v>
      </c>
      <c r="U85" s="12" t="s">
        <v>3369</v>
      </c>
      <c r="V85" s="12" t="s">
        <v>3369</v>
      </c>
      <c r="W85" s="12" t="s">
        <v>3369</v>
      </c>
      <c r="X85" s="12" t="s">
        <v>3369</v>
      </c>
      <c r="Y85" s="12" t="s">
        <v>3369</v>
      </c>
      <c r="Z85" s="12" t="s">
        <v>3369</v>
      </c>
      <c r="AA85" s="12" t="s">
        <v>3369</v>
      </c>
      <c r="AB85" s="12" t="s">
        <v>3369</v>
      </c>
      <c r="AE85" s="32">
        <v>0.54166666666424135</v>
      </c>
      <c r="AF85" s="35"/>
      <c r="AG85" s="33" t="s">
        <v>191</v>
      </c>
      <c r="AH85" s="36" t="s">
        <v>192</v>
      </c>
      <c r="AI85" s="36" t="str">
        <f>HYPERLINK("https://docs.google.com/document/d/1YErNHz-z5auJhRmMWf7quuIOf99gflm67GG5yE4XHtw/edit?usp=drivesdk","Silas Tanner - 6/15/2018 1:00 PM")</f>
        <v>Silas Tanner - 6/15/2018 1:00 PM</v>
      </c>
      <c r="AJ85" s="33" t="s">
        <v>193</v>
      </c>
    </row>
    <row r="86" spans="1:36" ht="12.75">
      <c r="A86" s="29">
        <v>43267.414271377318</v>
      </c>
      <c r="B86" s="12" t="s">
        <v>3564</v>
      </c>
      <c r="C86" s="12" t="s">
        <v>3565</v>
      </c>
      <c r="D86" s="12" t="s">
        <v>3374</v>
      </c>
      <c r="E86" s="12" t="s">
        <v>3566</v>
      </c>
      <c r="F86" s="30">
        <v>43267</v>
      </c>
      <c r="G86" s="12" t="s">
        <v>3567</v>
      </c>
      <c r="H86" s="32">
        <v>0.625</v>
      </c>
      <c r="I86" s="29">
        <v>43267.666666666672</v>
      </c>
      <c r="J86" s="12" t="s">
        <v>3366</v>
      </c>
      <c r="L86" s="12" t="s">
        <v>3393</v>
      </c>
      <c r="M86" s="12" t="s">
        <v>3497</v>
      </c>
      <c r="N86" s="12" t="s">
        <v>3568</v>
      </c>
      <c r="O86" s="12" t="s">
        <v>3569</v>
      </c>
      <c r="P86" s="12" t="s">
        <v>3369</v>
      </c>
      <c r="Q86" s="12" t="s">
        <v>3369</v>
      </c>
      <c r="R86" s="12" t="s">
        <v>3369</v>
      </c>
      <c r="S86" s="12" t="s">
        <v>3369</v>
      </c>
      <c r="T86" s="12" t="s">
        <v>3369</v>
      </c>
      <c r="U86" s="12" t="s">
        <v>3369</v>
      </c>
      <c r="V86" s="12" t="s">
        <v>3369</v>
      </c>
      <c r="W86" s="12" t="s">
        <v>3369</v>
      </c>
      <c r="X86" s="12" t="s">
        <v>3369</v>
      </c>
      <c r="Y86" s="12" t="s">
        <v>3369</v>
      </c>
      <c r="Z86" s="12" t="s">
        <v>3369</v>
      </c>
      <c r="AA86" s="12" t="s">
        <v>3369</v>
      </c>
      <c r="AB86" s="12" t="s">
        <v>3369</v>
      </c>
      <c r="AC86" s="12" t="s">
        <v>3570</v>
      </c>
      <c r="AD86" s="12" t="s">
        <v>3571</v>
      </c>
      <c r="AE86" s="32">
        <v>0.4375</v>
      </c>
      <c r="AF86" s="35"/>
      <c r="AG86" s="33" t="s">
        <v>194</v>
      </c>
      <c r="AH86" s="36" t="s">
        <v>195</v>
      </c>
      <c r="AI86" s="36" t="str">
        <f>HYPERLINK("https://docs.google.com/document/d/1zx2ToY0GcjujicDXZiUTnvQUpIp0-oiJuQlUByUuEXk/edit?usp=drivesdk","Gabriela Canas - 6/16/2018 10:30 AM")</f>
        <v>Gabriela Canas - 6/16/2018 10:30 AM</v>
      </c>
      <c r="AJ86" s="33" t="s">
        <v>196</v>
      </c>
    </row>
    <row r="87" spans="1:36" ht="12.75">
      <c r="A87" s="29">
        <v>43269.255356481481</v>
      </c>
      <c r="B87" s="12" t="s">
        <v>3372</v>
      </c>
      <c r="C87" s="12" t="s">
        <v>3383</v>
      </c>
      <c r="D87" s="12" t="s">
        <v>3374</v>
      </c>
      <c r="E87" s="12" t="s">
        <v>3572</v>
      </c>
      <c r="F87" s="30">
        <v>43269</v>
      </c>
      <c r="G87" s="12" t="s">
        <v>3573</v>
      </c>
      <c r="H87" s="32">
        <v>0.625</v>
      </c>
      <c r="I87" s="29">
        <v>43269.708333333328</v>
      </c>
      <c r="J87" s="12" t="s">
        <v>3377</v>
      </c>
      <c r="L87" s="12" t="s">
        <v>3461</v>
      </c>
      <c r="M87" s="12" t="s">
        <v>3489</v>
      </c>
      <c r="N87" s="12" t="s">
        <v>3574</v>
      </c>
      <c r="O87" s="12" t="s">
        <v>3417</v>
      </c>
      <c r="P87" s="12" t="s">
        <v>3369</v>
      </c>
      <c r="Q87" s="12" t="s">
        <v>3369</v>
      </c>
      <c r="R87" s="12" t="s">
        <v>3369</v>
      </c>
      <c r="S87" s="12" t="s">
        <v>3369</v>
      </c>
      <c r="T87" s="12" t="s">
        <v>3369</v>
      </c>
      <c r="U87" s="12" t="s">
        <v>3369</v>
      </c>
      <c r="V87" s="12" t="s">
        <v>3369</v>
      </c>
      <c r="W87" s="12" t="s">
        <v>3369</v>
      </c>
      <c r="X87" s="12" t="s">
        <v>3369</v>
      </c>
      <c r="Y87" s="12" t="s">
        <v>3369</v>
      </c>
      <c r="Z87" s="12" t="s">
        <v>3369</v>
      </c>
      <c r="AA87" s="12" t="s">
        <v>3369</v>
      </c>
      <c r="AB87" s="12" t="s">
        <v>3369</v>
      </c>
      <c r="AE87" s="32">
        <v>0.29166666666424135</v>
      </c>
      <c r="AF87" s="35"/>
      <c r="AG87" s="33" t="s">
        <v>197</v>
      </c>
      <c r="AH87" s="36" t="s">
        <v>198</v>
      </c>
      <c r="AI87" s="36" t="str">
        <f>HYPERLINK("https://docs.google.com/document/d/1KwWbRZ0rfVkD6cgG4sahSuTzc2waIBHIwhs9aelaYeM/edit?usp=drivesdk","Pamela Marcum - 6/18/2018 7:00 AM")</f>
        <v>Pamela Marcum - 6/18/2018 7:00 AM</v>
      </c>
      <c r="AJ87" s="33" t="s">
        <v>199</v>
      </c>
    </row>
    <row r="88" spans="1:36" ht="12.75">
      <c r="A88" s="29">
        <v>43270.230364710646</v>
      </c>
      <c r="B88" s="12" t="s">
        <v>3386</v>
      </c>
      <c r="C88" s="12" t="s">
        <v>3481</v>
      </c>
      <c r="D88" s="12" t="s">
        <v>3374</v>
      </c>
      <c r="E88" s="12" t="s">
        <v>3575</v>
      </c>
      <c r="F88" s="30">
        <v>43270</v>
      </c>
      <c r="G88" s="12" t="s">
        <v>3576</v>
      </c>
      <c r="H88" s="32">
        <v>0.5625</v>
      </c>
      <c r="I88" s="29">
        <v>43270.625</v>
      </c>
      <c r="J88" s="12" t="s">
        <v>3526</v>
      </c>
      <c r="K88" s="12">
        <v>1</v>
      </c>
      <c r="L88" s="12" t="s">
        <v>3299</v>
      </c>
      <c r="M88" s="12" t="s">
        <v>3497</v>
      </c>
      <c r="N88" s="12" t="s">
        <v>3577</v>
      </c>
      <c r="O88" s="12" t="s">
        <v>3499</v>
      </c>
      <c r="P88" s="12" t="s">
        <v>3369</v>
      </c>
      <c r="Q88" s="12" t="s">
        <v>3369</v>
      </c>
      <c r="R88" s="12" t="s">
        <v>3369</v>
      </c>
      <c r="S88" s="12" t="s">
        <v>3369</v>
      </c>
      <c r="T88" s="12" t="s">
        <v>3369</v>
      </c>
      <c r="U88" s="12" t="s">
        <v>3369</v>
      </c>
      <c r="V88" s="12" t="s">
        <v>3369</v>
      </c>
      <c r="W88" s="12" t="s">
        <v>3369</v>
      </c>
      <c r="X88" s="12" t="s">
        <v>3369</v>
      </c>
      <c r="Y88" s="12" t="s">
        <v>3369</v>
      </c>
      <c r="Z88" s="12" t="s">
        <v>3369</v>
      </c>
      <c r="AA88" s="12" t="s">
        <v>3369</v>
      </c>
      <c r="AB88" s="12" t="s">
        <v>3369</v>
      </c>
      <c r="AE88" s="32">
        <v>0.375</v>
      </c>
      <c r="AF88" s="35"/>
      <c r="AG88" s="33" t="s">
        <v>200</v>
      </c>
      <c r="AH88" s="36" t="s">
        <v>201</v>
      </c>
      <c r="AI88" s="36" t="str">
        <f>HYPERLINK("https://docs.google.com/document/d/18sH7tpcvRVPrnvu5INSV_e-yIKj2uGcQozGVLnx_pZU/edit?usp=drivesdk","Ben Mowbray - 6/19/2018 9:00 AM")</f>
        <v>Ben Mowbray - 6/19/2018 9:00 AM</v>
      </c>
      <c r="AJ88" s="33" t="s">
        <v>202</v>
      </c>
    </row>
    <row r="89" spans="1:36" ht="12.75">
      <c r="A89" s="29">
        <v>43272.359175879625</v>
      </c>
      <c r="B89" s="12" t="s">
        <v>3399</v>
      </c>
      <c r="C89" s="12" t="s">
        <v>3400</v>
      </c>
      <c r="D89" s="12" t="s">
        <v>3401</v>
      </c>
      <c r="E89" s="12" t="s">
        <v>3578</v>
      </c>
      <c r="F89" s="30">
        <v>43272</v>
      </c>
      <c r="G89" s="12" t="s">
        <v>3579</v>
      </c>
      <c r="H89" s="32">
        <v>0.70833333333575865</v>
      </c>
      <c r="J89" s="12" t="s">
        <v>3366</v>
      </c>
      <c r="L89" s="12" t="s">
        <v>3393</v>
      </c>
      <c r="M89" s="12" t="s">
        <v>3580</v>
      </c>
      <c r="N89" s="12" t="s">
        <v>3459</v>
      </c>
      <c r="O89" s="12" t="s">
        <v>3408</v>
      </c>
      <c r="P89" s="12" t="s">
        <v>3369</v>
      </c>
      <c r="Q89" s="12" t="s">
        <v>3369</v>
      </c>
      <c r="R89" s="12" t="s">
        <v>3369</v>
      </c>
      <c r="S89" s="12" t="s">
        <v>3369</v>
      </c>
      <c r="T89" s="12" t="s">
        <v>3369</v>
      </c>
      <c r="U89" s="12" t="s">
        <v>3369</v>
      </c>
      <c r="V89" s="12" t="s">
        <v>3369</v>
      </c>
      <c r="W89" s="12" t="s">
        <v>3369</v>
      </c>
      <c r="X89" s="12" t="s">
        <v>3369</v>
      </c>
      <c r="Y89" s="12" t="s">
        <v>3369</v>
      </c>
      <c r="Z89" s="12" t="s">
        <v>3369</v>
      </c>
      <c r="AA89" s="12" t="s">
        <v>3369</v>
      </c>
      <c r="AB89" s="12" t="s">
        <v>3369</v>
      </c>
      <c r="AE89" s="32">
        <v>0.40625</v>
      </c>
      <c r="AF89" s="35"/>
      <c r="AG89" s="33" t="s">
        <v>203</v>
      </c>
      <c r="AH89" s="36" t="s">
        <v>204</v>
      </c>
      <c r="AI89" s="36" t="str">
        <f>HYPERLINK("https://docs.google.com/document/d/1v7q-IULNLh2s7jlsl-iuhE7Fi_UIkWYnjOZQaPhKCSs/edit?usp=drivesdk","James Tomazinis - 6/21/2018 9:45 AM")</f>
        <v>James Tomazinis - 6/21/2018 9:45 AM</v>
      </c>
      <c r="AJ89" s="33" t="s">
        <v>205</v>
      </c>
    </row>
    <row r="90" spans="1:36" ht="12.75">
      <c r="A90" s="29">
        <v>43276.375861493056</v>
      </c>
      <c r="B90" s="12" t="s">
        <v>3372</v>
      </c>
      <c r="C90" s="12" t="s">
        <v>3383</v>
      </c>
      <c r="D90" s="12" t="s">
        <v>3374</v>
      </c>
      <c r="E90" s="12" t="s">
        <v>3375</v>
      </c>
      <c r="F90" s="30">
        <v>43276</v>
      </c>
      <c r="G90" s="12" t="s">
        <v>3581</v>
      </c>
      <c r="H90" s="32">
        <v>0.625</v>
      </c>
      <c r="I90" s="29">
        <v>43276.666666666672</v>
      </c>
      <c r="J90" s="12" t="s">
        <v>3377</v>
      </c>
      <c r="L90" s="12" t="s">
        <v>3461</v>
      </c>
      <c r="M90" s="12" t="s">
        <v>3379</v>
      </c>
      <c r="N90" s="12" t="s">
        <v>3582</v>
      </c>
      <c r="O90" s="12" t="s">
        <v>3372</v>
      </c>
      <c r="P90" s="12" t="s">
        <v>3369</v>
      </c>
      <c r="Q90" s="12" t="s">
        <v>3369</v>
      </c>
      <c r="R90" s="12" t="s">
        <v>3369</v>
      </c>
      <c r="S90" s="12" t="s">
        <v>3369</v>
      </c>
      <c r="T90" s="12" t="s">
        <v>3369</v>
      </c>
      <c r="U90" s="12" t="s">
        <v>3369</v>
      </c>
      <c r="V90" s="12" t="s">
        <v>3369</v>
      </c>
      <c r="W90" s="12" t="s">
        <v>3369</v>
      </c>
      <c r="X90" s="12" t="s">
        <v>3369</v>
      </c>
      <c r="Y90" s="12" t="s">
        <v>3369</v>
      </c>
      <c r="Z90" s="12" t="s">
        <v>3369</v>
      </c>
      <c r="AA90" s="12" t="s">
        <v>3369</v>
      </c>
      <c r="AB90" s="12" t="s">
        <v>3369</v>
      </c>
      <c r="AE90" s="32">
        <v>0.5</v>
      </c>
      <c r="AF90" s="35"/>
      <c r="AG90" s="33" t="s">
        <v>207</v>
      </c>
      <c r="AH90" s="36" t="s">
        <v>208</v>
      </c>
      <c r="AI90" s="36" t="str">
        <f>HYPERLINK("https://docs.google.com/document/d/1L0kzkzO3R_dAJCQe55pzE_QXkWNAsyj-X0rnm0gVaQY/edit?usp=drivesdk","Pamela Marcum - 6/25/2018 12:00 PM")</f>
        <v>Pamela Marcum - 6/25/2018 12:00 PM</v>
      </c>
      <c r="AJ90" s="33" t="s">
        <v>209</v>
      </c>
    </row>
    <row r="91" spans="1:36" ht="12.75">
      <c r="A91" s="29">
        <v>43276.430572291662</v>
      </c>
      <c r="B91" s="12" t="s">
        <v>3293</v>
      </c>
      <c r="C91" s="12" t="s">
        <v>3308</v>
      </c>
      <c r="D91" s="12" t="s">
        <v>3303</v>
      </c>
      <c r="E91" s="12" t="s">
        <v>3318</v>
      </c>
      <c r="F91" s="30">
        <v>43277</v>
      </c>
      <c r="G91" s="12" t="s">
        <v>3583</v>
      </c>
      <c r="H91" s="32">
        <v>0.54166666666424135</v>
      </c>
      <c r="I91" s="29">
        <v>43277.583333333328</v>
      </c>
      <c r="J91" s="12" t="s">
        <v>3377</v>
      </c>
      <c r="L91" s="12" t="s">
        <v>3393</v>
      </c>
      <c r="M91" s="12" t="s">
        <v>3313</v>
      </c>
      <c r="N91" s="12" t="s">
        <v>3584</v>
      </c>
      <c r="O91" s="12" t="s">
        <v>3293</v>
      </c>
      <c r="P91" s="12" t="s">
        <v>3369</v>
      </c>
      <c r="Q91" s="12" t="s">
        <v>3369</v>
      </c>
      <c r="R91" s="12" t="s">
        <v>3369</v>
      </c>
      <c r="S91" s="12" t="s">
        <v>3369</v>
      </c>
      <c r="T91" s="12" t="s">
        <v>3369</v>
      </c>
      <c r="U91" s="12" t="s">
        <v>3369</v>
      </c>
      <c r="V91" s="12" t="s">
        <v>3369</v>
      </c>
      <c r="W91" s="12" t="s">
        <v>3369</v>
      </c>
      <c r="X91" s="12" t="s">
        <v>3369</v>
      </c>
      <c r="Y91" s="12" t="s">
        <v>3369</v>
      </c>
      <c r="Z91" s="12" t="s">
        <v>3369</v>
      </c>
      <c r="AA91" s="12" t="s">
        <v>3369</v>
      </c>
      <c r="AB91" s="12" t="s">
        <v>3369</v>
      </c>
      <c r="AC91" s="12" t="s">
        <v>3585</v>
      </c>
      <c r="AD91" s="12" t="s">
        <v>3586</v>
      </c>
      <c r="AE91" s="32">
        <v>0.375</v>
      </c>
      <c r="AF91" s="35"/>
      <c r="AG91" s="33" t="s">
        <v>210</v>
      </c>
      <c r="AH91" s="36" t="s">
        <v>211</v>
      </c>
      <c r="AI91" s="36" t="str">
        <f>HYPERLINK("https://docs.google.com/document/d/1ntrs6YFpK78CyX3JOrufebLGk1XUDopFAGN4tHmjzSY/edit?usp=drivesdk","Kenneth Rainer - 6/26/2018 9:00 AM")</f>
        <v>Kenneth Rainer - 6/26/2018 9:00 AM</v>
      </c>
      <c r="AJ91" s="33" t="s">
        <v>212</v>
      </c>
    </row>
    <row r="92" spans="1:36" ht="12.75">
      <c r="A92" s="29">
        <v>43278.30461924769</v>
      </c>
      <c r="B92" s="12" t="s">
        <v>3399</v>
      </c>
      <c r="C92" s="12" t="s">
        <v>3400</v>
      </c>
      <c r="D92" s="12" t="s">
        <v>3401</v>
      </c>
      <c r="E92" s="12" t="s">
        <v>3356</v>
      </c>
      <c r="F92" s="30">
        <v>43278</v>
      </c>
      <c r="G92" s="12" t="s">
        <v>3587</v>
      </c>
      <c r="H92" s="32">
        <v>0.54166666666424135</v>
      </c>
      <c r="J92" s="12" t="s">
        <v>3403</v>
      </c>
      <c r="L92" s="12" t="s">
        <v>3299</v>
      </c>
      <c r="M92" s="12" t="s">
        <v>3458</v>
      </c>
      <c r="N92" s="12" t="s">
        <v>3588</v>
      </c>
      <c r="O92" s="12" t="s">
        <v>3408</v>
      </c>
      <c r="P92" s="12" t="s">
        <v>3369</v>
      </c>
      <c r="Q92" s="12" t="s">
        <v>3369</v>
      </c>
      <c r="R92" s="12" t="s">
        <v>3369</v>
      </c>
      <c r="S92" s="12" t="s">
        <v>3369</v>
      </c>
      <c r="T92" s="12" t="s">
        <v>3369</v>
      </c>
      <c r="U92" s="12" t="s">
        <v>3369</v>
      </c>
      <c r="V92" s="12" t="s">
        <v>3369</v>
      </c>
      <c r="W92" s="12" t="s">
        <v>3369</v>
      </c>
      <c r="X92" s="12" t="s">
        <v>3369</v>
      </c>
      <c r="Y92" s="12" t="s">
        <v>3369</v>
      </c>
      <c r="Z92" s="12" t="s">
        <v>3369</v>
      </c>
      <c r="AA92" s="12" t="s">
        <v>3369</v>
      </c>
      <c r="AB92" s="12" t="s">
        <v>3369</v>
      </c>
      <c r="AE92" s="32">
        <v>0.3125</v>
      </c>
      <c r="AF92" s="35"/>
      <c r="AG92" s="33" t="s">
        <v>213</v>
      </c>
      <c r="AH92" s="36" t="s">
        <v>214</v>
      </c>
      <c r="AI92" s="36" t="str">
        <f>HYPERLINK("https://docs.google.com/document/d/1FpILXcPLEtzulcfVT6SGTL70ibQT75O0hb2ZfXmGgmI/edit?usp=drivesdk","James Tomazinis - 6/27/2018 7:30 AM")</f>
        <v>James Tomazinis - 6/27/2018 7:30 AM</v>
      </c>
      <c r="AJ92" s="33" t="s">
        <v>215</v>
      </c>
    </row>
    <row r="93" spans="1:36" ht="12.75">
      <c r="A93" s="29">
        <v>43278.408061863425</v>
      </c>
      <c r="B93" s="12" t="s">
        <v>3390</v>
      </c>
      <c r="C93" s="12" t="s">
        <v>3391</v>
      </c>
      <c r="D93" s="12" t="s">
        <v>3589</v>
      </c>
      <c r="E93" s="12" t="s">
        <v>3430</v>
      </c>
      <c r="F93" s="30">
        <v>43278</v>
      </c>
      <c r="G93" s="12" t="s">
        <v>3590</v>
      </c>
      <c r="H93" s="32">
        <v>0.60416666666424135</v>
      </c>
      <c r="I93" s="29">
        <v>43278.645833333328</v>
      </c>
      <c r="J93" s="12" t="s">
        <v>3377</v>
      </c>
      <c r="L93" s="12" t="s">
        <v>3393</v>
      </c>
      <c r="M93" s="12" t="s">
        <v>3591</v>
      </c>
      <c r="N93" s="12" t="s">
        <v>3557</v>
      </c>
      <c r="O93" s="12" t="s">
        <v>3390</v>
      </c>
      <c r="P93" s="12" t="s">
        <v>3369</v>
      </c>
      <c r="Q93" s="12" t="s">
        <v>3369</v>
      </c>
      <c r="R93" s="12" t="s">
        <v>3369</v>
      </c>
      <c r="S93" s="12" t="s">
        <v>3369</v>
      </c>
      <c r="T93" s="12" t="s">
        <v>3369</v>
      </c>
      <c r="U93" s="12" t="s">
        <v>3369</v>
      </c>
      <c r="V93" s="12" t="s">
        <v>3369</v>
      </c>
      <c r="W93" s="12" t="s">
        <v>3369</v>
      </c>
      <c r="X93" s="12" t="s">
        <v>3369</v>
      </c>
      <c r="Y93" s="12" t="s">
        <v>3369</v>
      </c>
      <c r="Z93" s="12" t="s">
        <v>3369</v>
      </c>
      <c r="AA93" s="12" t="s">
        <v>3369</v>
      </c>
      <c r="AB93" s="12" t="s">
        <v>3369</v>
      </c>
      <c r="AE93" s="32">
        <v>0.45833333333575865</v>
      </c>
      <c r="AF93" s="35"/>
      <c r="AG93" s="33" t="s">
        <v>216</v>
      </c>
      <c r="AH93" s="36" t="s">
        <v>217</v>
      </c>
      <c r="AI93" s="36" t="str">
        <f>HYPERLINK("https://docs.google.com/document/d/1XauK_Lwrv1Qt95jY2ZpwtpyOvOLtQrABuSS55AExW6U/edit?usp=drivesdk","Silas Tanner - 6/27/2018 11:00 AM")</f>
        <v>Silas Tanner - 6/27/2018 11:00 AM</v>
      </c>
      <c r="AJ93" s="33" t="s">
        <v>218</v>
      </c>
    </row>
    <row r="94" spans="1:36" ht="12.75">
      <c r="A94" s="29">
        <v>43280.540484293982</v>
      </c>
      <c r="B94" s="12" t="s">
        <v>3386</v>
      </c>
      <c r="C94" s="12" t="s">
        <v>3481</v>
      </c>
      <c r="D94" s="12" t="s">
        <v>3589</v>
      </c>
      <c r="E94" s="12" t="s">
        <v>3296</v>
      </c>
      <c r="F94" s="30">
        <v>43281</v>
      </c>
      <c r="G94" s="12" t="s">
        <v>3592</v>
      </c>
      <c r="H94" s="32">
        <v>0.54166666666424135</v>
      </c>
      <c r="I94" s="29">
        <v>43281.5625</v>
      </c>
      <c r="J94" s="12" t="s">
        <v>3377</v>
      </c>
      <c r="L94" s="12" t="s">
        <v>3461</v>
      </c>
      <c r="M94" s="12" t="s">
        <v>3497</v>
      </c>
      <c r="N94" s="12" t="s">
        <v>3593</v>
      </c>
      <c r="O94" s="12" t="s">
        <v>3499</v>
      </c>
      <c r="P94" s="12" t="s">
        <v>3369</v>
      </c>
      <c r="Q94" s="12" t="s">
        <v>3369</v>
      </c>
      <c r="R94" s="12" t="s">
        <v>3369</v>
      </c>
      <c r="S94" s="12" t="s">
        <v>3369</v>
      </c>
      <c r="T94" s="12" t="s">
        <v>3369</v>
      </c>
      <c r="U94" s="12" t="s">
        <v>3369</v>
      </c>
      <c r="V94" s="12" t="s">
        <v>3369</v>
      </c>
      <c r="W94" s="12" t="s">
        <v>3369</v>
      </c>
      <c r="X94" s="12" t="s">
        <v>3369</v>
      </c>
      <c r="Y94" s="12" t="s">
        <v>3369</v>
      </c>
      <c r="Z94" s="12" t="s">
        <v>3369</v>
      </c>
      <c r="AA94" s="12" t="s">
        <v>3369</v>
      </c>
      <c r="AB94" s="12" t="s">
        <v>3369</v>
      </c>
      <c r="AE94" s="32">
        <v>0.20138888889050577</v>
      </c>
      <c r="AF94" s="35"/>
      <c r="AG94" s="33" t="s">
        <v>219</v>
      </c>
      <c r="AH94" s="36" t="s">
        <v>220</v>
      </c>
      <c r="AI94" s="36" t="str">
        <f>HYPERLINK("https://docs.google.com/document/d/1jQ1Oq7IYAKkafOHydGGQLYmkCHw1ud0uqub5wzV9okc/edit?usp=drivesdk","Ben Mowbray - 6/30/2018 4:50 AM")</f>
        <v>Ben Mowbray - 6/30/2018 4:50 AM</v>
      </c>
      <c r="AJ94" s="33" t="s">
        <v>221</v>
      </c>
    </row>
    <row r="95" spans="1:36" ht="12.75">
      <c r="A95" s="29">
        <v>43282.143638344904</v>
      </c>
      <c r="B95" s="12" t="s">
        <v>3386</v>
      </c>
      <c r="C95" s="12" t="s">
        <v>3481</v>
      </c>
      <c r="D95" s="12" t="s">
        <v>3589</v>
      </c>
      <c r="E95" s="12" t="s">
        <v>3296</v>
      </c>
      <c r="F95" s="30">
        <v>43282</v>
      </c>
      <c r="G95" s="12" t="s">
        <v>3594</v>
      </c>
      <c r="H95" s="32">
        <v>0.33333333333575865</v>
      </c>
      <c r="I95" s="29">
        <v>43282.34375</v>
      </c>
      <c r="J95" s="12" t="s">
        <v>3377</v>
      </c>
      <c r="L95" s="12" t="s">
        <v>3461</v>
      </c>
      <c r="M95" s="12" t="s">
        <v>3497</v>
      </c>
      <c r="N95" s="12" t="s">
        <v>3595</v>
      </c>
      <c r="O95" s="12" t="s">
        <v>3499</v>
      </c>
      <c r="P95" s="12" t="s">
        <v>3369</v>
      </c>
      <c r="Q95" s="12" t="s">
        <v>3369</v>
      </c>
      <c r="S95" s="12" t="s">
        <v>3369</v>
      </c>
      <c r="T95" s="12" t="s">
        <v>3369</v>
      </c>
      <c r="U95" s="12" t="s">
        <v>3369</v>
      </c>
      <c r="V95" s="12" t="s">
        <v>3369</v>
      </c>
      <c r="W95" s="12" t="s">
        <v>3369</v>
      </c>
      <c r="X95" s="12" t="s">
        <v>3369</v>
      </c>
      <c r="Y95" s="12" t="s">
        <v>3369</v>
      </c>
      <c r="Z95" s="12" t="s">
        <v>3369</v>
      </c>
      <c r="AA95" s="12" t="s">
        <v>3369</v>
      </c>
      <c r="AB95" s="12" t="s">
        <v>3369</v>
      </c>
      <c r="AE95" s="32">
        <v>0.1875</v>
      </c>
      <c r="AF95" s="35"/>
      <c r="AG95" s="33" t="s">
        <v>223</v>
      </c>
      <c r="AH95" s="36" t="s">
        <v>224</v>
      </c>
      <c r="AI95" s="36" t="str">
        <f>HYPERLINK("https://docs.google.com/document/d/1XiMLRnysfffxhmnRhmieWEnwz45lXHcfCtEJfVr3uy4/edit?usp=drivesdk","Ben Mowbray - 7/1/2018 4:30 AM")</f>
        <v>Ben Mowbray - 7/1/2018 4:30 AM</v>
      </c>
      <c r="AJ95" s="33" t="s">
        <v>225</v>
      </c>
    </row>
    <row r="96" spans="1:36" ht="12.75">
      <c r="A96" s="29">
        <v>43283.193795127314</v>
      </c>
      <c r="B96" s="12" t="s">
        <v>3386</v>
      </c>
      <c r="C96" s="12" t="s">
        <v>3481</v>
      </c>
      <c r="D96" s="12" t="s">
        <v>3589</v>
      </c>
      <c r="E96" s="12" t="s">
        <v>3296</v>
      </c>
      <c r="F96" s="30">
        <v>43283</v>
      </c>
      <c r="G96" s="12" t="s">
        <v>3596</v>
      </c>
      <c r="H96" s="32">
        <v>0.35416666666424135</v>
      </c>
      <c r="I96" s="29">
        <v>43283.375</v>
      </c>
      <c r="J96" s="12" t="s">
        <v>3377</v>
      </c>
      <c r="L96" s="12" t="s">
        <v>3461</v>
      </c>
      <c r="M96" s="12" t="s">
        <v>3489</v>
      </c>
      <c r="O96" s="12" t="s">
        <v>3499</v>
      </c>
      <c r="P96" s="12" t="s">
        <v>3369</v>
      </c>
      <c r="Q96" s="12" t="s">
        <v>3369</v>
      </c>
      <c r="R96" s="12" t="s">
        <v>3369</v>
      </c>
      <c r="S96" s="12" t="s">
        <v>3369</v>
      </c>
      <c r="T96" s="12" t="s">
        <v>3369</v>
      </c>
      <c r="U96" s="12" t="s">
        <v>3369</v>
      </c>
      <c r="V96" s="12" t="s">
        <v>3369</v>
      </c>
      <c r="W96" s="12" t="s">
        <v>3369</v>
      </c>
      <c r="X96" s="12" t="s">
        <v>3369</v>
      </c>
      <c r="Y96" s="12" t="s">
        <v>3369</v>
      </c>
      <c r="Z96" s="12" t="s">
        <v>3369</v>
      </c>
      <c r="AA96" s="12" t="s">
        <v>3369</v>
      </c>
      <c r="AB96" s="12" t="s">
        <v>3369</v>
      </c>
      <c r="AE96" s="32">
        <v>0.20833333333575865</v>
      </c>
      <c r="AF96" s="35"/>
      <c r="AG96" s="33" t="s">
        <v>226</v>
      </c>
      <c r="AH96" s="36" t="s">
        <v>227</v>
      </c>
      <c r="AI96" s="36" t="str">
        <f>HYPERLINK("https://docs.google.com/document/d/1qsBp188AIvYYa7bWDNtbtdNGEWYhVYQXnzAKQ6cwFU4/edit?usp=drivesdk","Ben Mowbray - 7/2/2018 5:00 AM")</f>
        <v>Ben Mowbray - 7/2/2018 5:00 AM</v>
      </c>
      <c r="AJ96" s="33" t="s">
        <v>228</v>
      </c>
    </row>
    <row r="97" spans="1:36" ht="12.75">
      <c r="A97" s="29">
        <v>43283.533550590277</v>
      </c>
      <c r="B97" s="12" t="s">
        <v>3390</v>
      </c>
      <c r="C97" s="12" t="s">
        <v>3391</v>
      </c>
      <c r="D97" s="12" t="s">
        <v>3589</v>
      </c>
      <c r="E97" s="12" t="s">
        <v>3597</v>
      </c>
      <c r="F97" s="30">
        <v>43284</v>
      </c>
      <c r="G97" s="12" t="s">
        <v>3529</v>
      </c>
      <c r="H97" s="32">
        <v>0.6875</v>
      </c>
      <c r="I97" s="29">
        <v>43284.697916666672</v>
      </c>
      <c r="J97" s="12" t="s">
        <v>3377</v>
      </c>
      <c r="L97" s="12" t="s">
        <v>3393</v>
      </c>
      <c r="M97" s="12" t="s">
        <v>3454</v>
      </c>
      <c r="N97" s="12" t="s">
        <v>3598</v>
      </c>
      <c r="O97" s="12" t="s">
        <v>3390</v>
      </c>
      <c r="P97" s="12" t="s">
        <v>3369</v>
      </c>
      <c r="Q97" s="12" t="s">
        <v>3369</v>
      </c>
      <c r="R97" s="12" t="s">
        <v>3369</v>
      </c>
      <c r="S97" s="12" t="s">
        <v>3369</v>
      </c>
      <c r="T97" s="12" t="s">
        <v>3369</v>
      </c>
      <c r="U97" s="12" t="s">
        <v>3369</v>
      </c>
      <c r="V97" s="12" t="s">
        <v>3369</v>
      </c>
      <c r="W97" s="12" t="s">
        <v>3369</v>
      </c>
      <c r="X97" s="12" t="s">
        <v>3369</v>
      </c>
      <c r="Y97" s="12" t="s">
        <v>3369</v>
      </c>
      <c r="Z97" s="12" t="s">
        <v>3369</v>
      </c>
      <c r="AA97" s="12" t="s">
        <v>3369</v>
      </c>
      <c r="AB97" s="12" t="s">
        <v>3369</v>
      </c>
      <c r="AE97" s="32">
        <v>0.5</v>
      </c>
      <c r="AF97" s="35"/>
      <c r="AG97" s="33" t="s">
        <v>229</v>
      </c>
      <c r="AH97" s="36" t="s">
        <v>230</v>
      </c>
      <c r="AI97" s="36" t="str">
        <f>HYPERLINK("https://docs.google.com/document/d/1StEQUgg0DdG61MF8-4mfq09rrv9NLcT7qfqHE2eQsnQ/edit?usp=drivesdk","Silas Tanner - 7/3/2018 12:00 PM")</f>
        <v>Silas Tanner - 7/3/2018 12:00 PM</v>
      </c>
      <c r="AJ97" s="33" t="s">
        <v>231</v>
      </c>
    </row>
    <row r="98" spans="1:36" ht="12.75">
      <c r="A98" s="29">
        <v>43284.196692268517</v>
      </c>
      <c r="B98" s="12" t="s">
        <v>3372</v>
      </c>
      <c r="C98" s="12" t="s">
        <v>3383</v>
      </c>
      <c r="D98" s="12" t="s">
        <v>3589</v>
      </c>
      <c r="E98" s="12" t="s">
        <v>3599</v>
      </c>
      <c r="F98" s="30">
        <v>43283</v>
      </c>
      <c r="G98" s="12" t="s">
        <v>3600</v>
      </c>
      <c r="H98" s="32">
        <v>0.5</v>
      </c>
      <c r="I98" s="29">
        <v>43283.541666666672</v>
      </c>
      <c r="J98" s="12" t="s">
        <v>3331</v>
      </c>
      <c r="L98" s="12" t="s">
        <v>3299</v>
      </c>
      <c r="M98" s="12" t="s">
        <v>3385</v>
      </c>
      <c r="N98" s="12" t="s">
        <v>3601</v>
      </c>
      <c r="O98" s="12" t="s">
        <v>3372</v>
      </c>
      <c r="P98" s="12" t="s">
        <v>3369</v>
      </c>
      <c r="Q98" s="12" t="s">
        <v>3369</v>
      </c>
      <c r="R98" s="12" t="s">
        <v>3369</v>
      </c>
      <c r="S98" s="12" t="s">
        <v>3369</v>
      </c>
      <c r="T98" s="12" t="s">
        <v>3369</v>
      </c>
      <c r="U98" s="12" t="s">
        <v>3369</v>
      </c>
      <c r="V98" s="12" t="s">
        <v>3369</v>
      </c>
      <c r="W98" s="12" t="s">
        <v>3369</v>
      </c>
      <c r="X98" s="12" t="s">
        <v>3369</v>
      </c>
      <c r="Y98" s="12" t="s">
        <v>3369</v>
      </c>
      <c r="Z98" s="12" t="s">
        <v>3369</v>
      </c>
      <c r="AA98" s="12" t="s">
        <v>3369</v>
      </c>
      <c r="AB98" s="12" t="s">
        <v>3369</v>
      </c>
      <c r="AE98" s="32">
        <v>0.25</v>
      </c>
      <c r="AF98" s="35"/>
      <c r="AG98" s="33" t="s">
        <v>232</v>
      </c>
      <c r="AH98" s="36" t="s">
        <v>233</v>
      </c>
      <c r="AI98" s="36" t="str">
        <f>HYPERLINK("https://docs.google.com/document/d/1fdR1XrqTv5cgCvbuRnVbbi9FDd6k8Mk-S0hm8LSStSE/edit?usp=drivesdk","Pamela Marcum - 7/2/2018 6:00 AM")</f>
        <v>Pamela Marcum - 7/2/2018 6:00 AM</v>
      </c>
      <c r="AJ98" s="33" t="s">
        <v>234</v>
      </c>
    </row>
    <row r="99" spans="1:36" ht="12.75">
      <c r="A99" s="29">
        <v>43286.222711331022</v>
      </c>
      <c r="B99" s="12" t="s">
        <v>3386</v>
      </c>
      <c r="C99" s="12" t="s">
        <v>3481</v>
      </c>
      <c r="D99" s="12" t="s">
        <v>3589</v>
      </c>
      <c r="E99" s="12" t="s">
        <v>3296</v>
      </c>
      <c r="F99" s="30">
        <v>43286</v>
      </c>
      <c r="G99" s="12" t="s">
        <v>3602</v>
      </c>
      <c r="H99" s="32">
        <v>0.41666666666424135</v>
      </c>
      <c r="I99" s="29">
        <v>43286.4375</v>
      </c>
      <c r="J99" s="12" t="s">
        <v>3377</v>
      </c>
      <c r="L99" s="12" t="s">
        <v>3299</v>
      </c>
      <c r="M99" s="12" t="s">
        <v>3497</v>
      </c>
      <c r="N99" s="12" t="s">
        <v>3603</v>
      </c>
      <c r="O99" s="12" t="s">
        <v>3499</v>
      </c>
      <c r="P99" s="12" t="s">
        <v>3369</v>
      </c>
      <c r="Q99" s="12" t="s">
        <v>3369</v>
      </c>
      <c r="R99" s="12" t="s">
        <v>3369</v>
      </c>
      <c r="S99" s="12" t="s">
        <v>3369</v>
      </c>
      <c r="T99" s="12" t="s">
        <v>3369</v>
      </c>
      <c r="U99" s="12" t="s">
        <v>3369</v>
      </c>
      <c r="V99" s="12" t="s">
        <v>3369</v>
      </c>
      <c r="W99" s="12" t="s">
        <v>3369</v>
      </c>
      <c r="X99" s="12" t="s">
        <v>3369</v>
      </c>
      <c r="Y99" s="12" t="s">
        <v>3369</v>
      </c>
      <c r="Z99" s="12" t="s">
        <v>3369</v>
      </c>
      <c r="AA99" s="12" t="s">
        <v>3369</v>
      </c>
      <c r="AB99" s="12" t="s">
        <v>3369</v>
      </c>
      <c r="AE99" s="32">
        <v>0.25</v>
      </c>
      <c r="AF99" s="35"/>
      <c r="AG99" s="33" t="s">
        <v>235</v>
      </c>
      <c r="AH99" s="36" t="s">
        <v>236</v>
      </c>
      <c r="AI99" s="36" t="str">
        <f>HYPERLINK("https://docs.google.com/document/d/1B6fzv88D5-nJ8bnEEW7BlQPXBFnv4G5EWzrYGS9Jm9w/edit?usp=drivesdk","Ben Mowbray - 7/5/2018 6:00 AM")</f>
        <v>Ben Mowbray - 7/5/2018 6:00 AM</v>
      </c>
      <c r="AJ99" s="33" t="s">
        <v>237</v>
      </c>
    </row>
    <row r="100" spans="1:36" ht="12.75">
      <c r="A100" s="29">
        <v>43286.402342303241</v>
      </c>
      <c r="B100" s="12" t="s">
        <v>3390</v>
      </c>
      <c r="C100" s="12" t="s">
        <v>3391</v>
      </c>
      <c r="D100" s="12" t="s">
        <v>3589</v>
      </c>
      <c r="E100" s="12" t="s">
        <v>3604</v>
      </c>
      <c r="F100" s="30">
        <v>43286</v>
      </c>
      <c r="G100" s="12" t="s">
        <v>3605</v>
      </c>
      <c r="H100" s="32">
        <v>0.66666666666424135</v>
      </c>
      <c r="I100" s="29">
        <v>43286.6875</v>
      </c>
      <c r="J100" s="12" t="s">
        <v>3331</v>
      </c>
      <c r="L100" s="12" t="s">
        <v>3393</v>
      </c>
      <c r="M100" s="12" t="s">
        <v>3606</v>
      </c>
      <c r="N100" s="12" t="s">
        <v>3607</v>
      </c>
      <c r="O100" s="12" t="s">
        <v>3390</v>
      </c>
      <c r="P100" s="12" t="s">
        <v>3369</v>
      </c>
      <c r="Q100" s="12" t="s">
        <v>3369</v>
      </c>
      <c r="R100" s="12" t="s">
        <v>3369</v>
      </c>
      <c r="S100" s="12" t="s">
        <v>3369</v>
      </c>
      <c r="T100" s="12" t="s">
        <v>3369</v>
      </c>
      <c r="U100" s="12" t="s">
        <v>3369</v>
      </c>
      <c r="V100" s="12" t="s">
        <v>3369</v>
      </c>
      <c r="W100" s="12" t="s">
        <v>3369</v>
      </c>
      <c r="X100" s="12" t="s">
        <v>3369</v>
      </c>
      <c r="Y100" s="12" t="s">
        <v>3369</v>
      </c>
      <c r="Z100" s="12" t="s">
        <v>3369</v>
      </c>
      <c r="AA100" s="12" t="s">
        <v>3369</v>
      </c>
      <c r="AB100" s="12" t="s">
        <v>3369</v>
      </c>
      <c r="AE100" s="32">
        <v>0.5</v>
      </c>
      <c r="AF100" s="35"/>
      <c r="AG100" s="33" t="s">
        <v>238</v>
      </c>
      <c r="AH100" s="36" t="s">
        <v>239</v>
      </c>
      <c r="AI100" s="36" t="str">
        <f>HYPERLINK("https://docs.google.com/document/d/1g5f9yPdc6uaO_l9y9K3YLZPe5ak-o0BxRUX5eZ2dmP0/edit?usp=drivesdk","Silas Tanner - 7/5/2018 12:00 PM")</f>
        <v>Silas Tanner - 7/5/2018 12:00 PM</v>
      </c>
      <c r="AJ100" s="33" t="s">
        <v>240</v>
      </c>
    </row>
    <row r="101" spans="1:36" ht="12.75">
      <c r="A101" s="29">
        <v>43287.480081747686</v>
      </c>
      <c r="B101" s="12" t="s">
        <v>3386</v>
      </c>
      <c r="C101" s="12" t="s">
        <v>3608</v>
      </c>
      <c r="D101" s="12" t="s">
        <v>3589</v>
      </c>
      <c r="E101" s="12" t="s">
        <v>3609</v>
      </c>
      <c r="F101" s="30">
        <v>43290</v>
      </c>
      <c r="G101" s="12" t="s">
        <v>3610</v>
      </c>
      <c r="H101" s="32">
        <v>0.5625</v>
      </c>
      <c r="I101" s="29">
        <v>43290.090277777781</v>
      </c>
      <c r="J101" s="12" t="s">
        <v>3377</v>
      </c>
      <c r="L101" s="12" t="s">
        <v>3611</v>
      </c>
      <c r="M101" s="12" t="s">
        <v>3497</v>
      </c>
      <c r="N101" s="12" t="s">
        <v>3612</v>
      </c>
      <c r="O101" s="12" t="s">
        <v>3499</v>
      </c>
      <c r="P101" s="12" t="s">
        <v>3369</v>
      </c>
      <c r="Q101" s="12" t="s">
        <v>3369</v>
      </c>
      <c r="R101" s="12" t="s">
        <v>3369</v>
      </c>
      <c r="S101" s="12" t="s">
        <v>3369</v>
      </c>
      <c r="T101" s="12" t="s">
        <v>3369</v>
      </c>
      <c r="U101" s="12" t="s">
        <v>3369</v>
      </c>
      <c r="V101" s="12" t="s">
        <v>3369</v>
      </c>
      <c r="W101" s="12" t="s">
        <v>3369</v>
      </c>
      <c r="X101" s="12" t="s">
        <v>3369</v>
      </c>
      <c r="Y101" s="12" t="s">
        <v>3369</v>
      </c>
      <c r="Z101" s="12" t="s">
        <v>3369</v>
      </c>
      <c r="AA101" s="12" t="s">
        <v>3369</v>
      </c>
      <c r="AB101" s="12" t="s">
        <v>3369</v>
      </c>
      <c r="AE101" s="32">
        <v>0.45138888889050577</v>
      </c>
      <c r="AF101" s="35"/>
      <c r="AG101" s="33" t="s">
        <v>241</v>
      </c>
      <c r="AH101" s="36" t="s">
        <v>242</v>
      </c>
      <c r="AI101" s="36" t="str">
        <f>HYPERLINK("https://docs.google.com/document/d/1FGSJu50WpKVPQMMjfQsJgZFm6YVlPd9AmbZ7l5n8PbY/edit?usp=drivesdk","Ben Mowbray - 7/9/2018 10:50 AM")</f>
        <v>Ben Mowbray - 7/9/2018 10:50 AM</v>
      </c>
      <c r="AJ101" s="33" t="s">
        <v>243</v>
      </c>
    </row>
    <row r="102" spans="1:36" ht="12.75">
      <c r="A102" s="29">
        <v>43291.377819918984</v>
      </c>
      <c r="B102" s="12" t="s">
        <v>3399</v>
      </c>
      <c r="C102" s="12" t="s">
        <v>3400</v>
      </c>
      <c r="D102" s="12" t="s">
        <v>3401</v>
      </c>
      <c r="E102" s="12" t="s">
        <v>3404</v>
      </c>
      <c r="F102" s="30">
        <v>43291</v>
      </c>
      <c r="G102" s="12" t="s">
        <v>3405</v>
      </c>
      <c r="H102" s="32">
        <v>0.54166666666424135</v>
      </c>
      <c r="J102" s="12" t="s">
        <v>3366</v>
      </c>
      <c r="L102" s="12" t="s">
        <v>3393</v>
      </c>
      <c r="M102" s="12" t="s">
        <v>3613</v>
      </c>
      <c r="N102" s="12" t="s">
        <v>3614</v>
      </c>
      <c r="O102" s="12" t="s">
        <v>3408</v>
      </c>
      <c r="P102" s="12" t="s">
        <v>3369</v>
      </c>
      <c r="Q102" s="12" t="s">
        <v>3369</v>
      </c>
      <c r="R102" s="12" t="s">
        <v>3369</v>
      </c>
      <c r="S102" s="12" t="s">
        <v>3369</v>
      </c>
      <c r="T102" s="12" t="s">
        <v>3369</v>
      </c>
      <c r="U102" s="12" t="s">
        <v>3369</v>
      </c>
      <c r="V102" s="12" t="s">
        <v>3369</v>
      </c>
      <c r="W102" s="12" t="s">
        <v>3369</v>
      </c>
      <c r="X102" s="12" t="s">
        <v>3369</v>
      </c>
      <c r="Y102" s="12" t="s">
        <v>3369</v>
      </c>
      <c r="Z102" s="12" t="s">
        <v>3369</v>
      </c>
      <c r="AA102" s="12" t="s">
        <v>3369</v>
      </c>
      <c r="AB102" s="12" t="s">
        <v>3369</v>
      </c>
      <c r="AE102" s="32">
        <v>0.39583333333575865</v>
      </c>
      <c r="AF102" s="35"/>
      <c r="AG102" s="33" t="s">
        <v>244</v>
      </c>
      <c r="AH102" s="36" t="s">
        <v>245</v>
      </c>
      <c r="AI102" s="36" t="str">
        <f>HYPERLINK("https://docs.google.com/document/d/1acVIuNRHP6o9EhpjLyK7BPUBmQo2wAa7dSOlClJFeIA/edit?usp=drivesdk","James Tomazinis - 7/10/2018 9:30 AM")</f>
        <v>James Tomazinis - 7/10/2018 9:30 AM</v>
      </c>
      <c r="AJ102" s="33" t="s">
        <v>246</v>
      </c>
    </row>
    <row r="103" spans="1:36" ht="12.75">
      <c r="A103" s="29">
        <v>43291.37799818287</v>
      </c>
      <c r="B103" s="12" t="s">
        <v>3372</v>
      </c>
      <c r="C103" s="12" t="s">
        <v>3383</v>
      </c>
      <c r="D103" s="12" t="s">
        <v>3589</v>
      </c>
      <c r="E103" s="12" t="s">
        <v>3615</v>
      </c>
      <c r="F103" s="30">
        <v>43291</v>
      </c>
      <c r="G103" s="12" t="s">
        <v>3616</v>
      </c>
      <c r="H103" s="32">
        <v>0.625</v>
      </c>
      <c r="I103" s="29">
        <v>43291.645833333328</v>
      </c>
      <c r="J103" s="12" t="s">
        <v>3377</v>
      </c>
      <c r="L103" s="12" t="s">
        <v>3299</v>
      </c>
      <c r="M103" s="12" t="s">
        <v>3379</v>
      </c>
      <c r="N103" s="12" t="s">
        <v>3617</v>
      </c>
      <c r="O103" s="12" t="s">
        <v>3372</v>
      </c>
      <c r="P103" s="12" t="s">
        <v>3369</v>
      </c>
      <c r="Q103" s="12" t="s">
        <v>3369</v>
      </c>
      <c r="R103" s="12" t="s">
        <v>3369</v>
      </c>
      <c r="S103" s="12" t="s">
        <v>3369</v>
      </c>
      <c r="T103" s="12" t="s">
        <v>3369</v>
      </c>
      <c r="U103" s="12" t="s">
        <v>3369</v>
      </c>
      <c r="V103" s="12" t="s">
        <v>3369</v>
      </c>
      <c r="W103" s="12" t="s">
        <v>3369</v>
      </c>
      <c r="X103" s="12" t="s">
        <v>3369</v>
      </c>
      <c r="Y103" s="12" t="s">
        <v>3369</v>
      </c>
      <c r="Z103" s="12" t="s">
        <v>3369</v>
      </c>
      <c r="AA103" s="12" t="s">
        <v>3369</v>
      </c>
      <c r="AB103" s="12" t="s">
        <v>3369</v>
      </c>
      <c r="AE103" s="32">
        <v>0.375</v>
      </c>
      <c r="AF103" s="35"/>
      <c r="AG103" s="33" t="s">
        <v>247</v>
      </c>
      <c r="AH103" s="36" t="s">
        <v>248</v>
      </c>
      <c r="AI103" s="36" t="str">
        <f>HYPERLINK("https://docs.google.com/document/d/1wU-ztvrplHNJ3Wq6k-7vP1L8aMRqh_hvA2p-U5wWUF0/edit?usp=drivesdk","Pamela Marcum - 7/10/2018 9:00 AM")</f>
        <v>Pamela Marcum - 7/10/2018 9:00 AM</v>
      </c>
      <c r="AJ103" s="33" t="s">
        <v>249</v>
      </c>
    </row>
    <row r="104" spans="1:36" ht="12.75">
      <c r="A104" s="29">
        <v>43291.807919918981</v>
      </c>
      <c r="B104" s="12" t="s">
        <v>3399</v>
      </c>
      <c r="C104" s="12" t="s">
        <v>3400</v>
      </c>
      <c r="D104" s="12" t="s">
        <v>3401</v>
      </c>
      <c r="E104" s="12" t="s">
        <v>3618</v>
      </c>
      <c r="F104" s="30">
        <v>43292</v>
      </c>
      <c r="G104" s="12" t="s">
        <v>3419</v>
      </c>
      <c r="H104" s="32">
        <v>0.41666666666424135</v>
      </c>
      <c r="J104" s="12" t="s">
        <v>3403</v>
      </c>
      <c r="L104" s="12" t="s">
        <v>3393</v>
      </c>
      <c r="M104" s="12" t="s">
        <v>3613</v>
      </c>
      <c r="N104" s="12" t="s">
        <v>3505</v>
      </c>
      <c r="O104" s="12" t="s">
        <v>3408</v>
      </c>
      <c r="P104" s="12" t="s">
        <v>3369</v>
      </c>
      <c r="Q104" s="12" t="s">
        <v>3369</v>
      </c>
      <c r="AE104" s="32">
        <v>0.34722222221898846</v>
      </c>
      <c r="AF104" s="35"/>
      <c r="AG104" s="33" t="s">
        <v>250</v>
      </c>
      <c r="AH104" s="36" t="s">
        <v>251</v>
      </c>
      <c r="AI104" s="36" t="str">
        <f>HYPERLINK("https://docs.google.com/document/d/1cWHC30uCG8clysPvFjcXE45CuDzXqmgLp_YEJ8TY14o/edit?usp=drivesdk","James Tomazinis - 7/11/2018 8:20 AM")</f>
        <v>James Tomazinis - 7/11/2018 8:20 AM</v>
      </c>
      <c r="AJ104" s="33" t="s">
        <v>252</v>
      </c>
    </row>
    <row r="105" spans="1:36" ht="12.75">
      <c r="A105" s="29">
        <v>43292.611803749998</v>
      </c>
      <c r="B105" s="12" t="s">
        <v>3293</v>
      </c>
      <c r="C105" s="12" t="s">
        <v>3308</v>
      </c>
      <c r="D105" s="12" t="s">
        <v>3303</v>
      </c>
      <c r="E105" s="12" t="s">
        <v>3619</v>
      </c>
      <c r="F105" s="30">
        <v>43293</v>
      </c>
      <c r="G105" s="12" t="s">
        <v>3620</v>
      </c>
      <c r="H105" s="32">
        <v>0.54166666666424135</v>
      </c>
      <c r="I105" s="29">
        <v>43293.5625</v>
      </c>
      <c r="J105" s="12" t="s">
        <v>3377</v>
      </c>
      <c r="L105" s="12" t="s">
        <v>3299</v>
      </c>
      <c r="M105" s="12" t="s">
        <v>3313</v>
      </c>
      <c r="N105" s="12" t="s">
        <v>3621</v>
      </c>
      <c r="O105" s="12" t="s">
        <v>3293</v>
      </c>
      <c r="P105" s="12" t="s">
        <v>3369</v>
      </c>
      <c r="Q105" s="12" t="s">
        <v>3369</v>
      </c>
      <c r="R105" s="12" t="s">
        <v>3369</v>
      </c>
      <c r="S105" s="12" t="s">
        <v>3369</v>
      </c>
      <c r="T105" s="12" t="s">
        <v>3369</v>
      </c>
      <c r="U105" s="12" t="s">
        <v>3369</v>
      </c>
      <c r="V105" s="12" t="s">
        <v>3369</v>
      </c>
      <c r="W105" s="12" t="s">
        <v>3369</v>
      </c>
      <c r="X105" s="12" t="s">
        <v>3369</v>
      </c>
      <c r="Y105" s="12" t="s">
        <v>3369</v>
      </c>
      <c r="Z105" s="12" t="s">
        <v>3369</v>
      </c>
      <c r="AA105" s="12" t="s">
        <v>3369</v>
      </c>
      <c r="AB105" s="12" t="s">
        <v>3369</v>
      </c>
      <c r="AC105" s="12" t="s">
        <v>3622</v>
      </c>
      <c r="AD105" s="12" t="s">
        <v>3623</v>
      </c>
      <c r="AE105" s="32">
        <v>0.39583333333575865</v>
      </c>
      <c r="AF105" s="35"/>
      <c r="AG105" s="33" t="s">
        <v>253</v>
      </c>
      <c r="AH105" s="36" t="s">
        <v>254</v>
      </c>
      <c r="AI105" s="36" t="str">
        <f>HYPERLINK("https://docs.google.com/document/d/15JSaSCbxrJwu6kwkLTnDA9-lYy2XQUHFjS2JiRUKLGM/edit?usp=drivesdk","Kenneth Rainer - 7/12/2018 9:30 AM")</f>
        <v>Kenneth Rainer - 7/12/2018 9:30 AM</v>
      </c>
      <c r="AJ105" s="33" t="s">
        <v>255</v>
      </c>
    </row>
    <row r="106" spans="1:36" ht="12.75">
      <c r="A106" s="29">
        <v>43293.378109062498</v>
      </c>
      <c r="B106" s="12" t="s">
        <v>3470</v>
      </c>
      <c r="C106" s="12" t="s">
        <v>3471</v>
      </c>
      <c r="D106" s="12" t="s">
        <v>3589</v>
      </c>
      <c r="E106" s="12" t="s">
        <v>3472</v>
      </c>
      <c r="F106" s="30">
        <v>43293</v>
      </c>
      <c r="G106" s="12" t="s">
        <v>3624</v>
      </c>
      <c r="H106" s="32">
        <v>0.5625</v>
      </c>
      <c r="I106" s="29">
        <v>43293.625</v>
      </c>
      <c r="J106" s="12" t="s">
        <v>3331</v>
      </c>
      <c r="L106" s="12" t="s">
        <v>3393</v>
      </c>
      <c r="M106" s="12" t="s">
        <v>3625</v>
      </c>
      <c r="N106" s="12" t="s">
        <v>3626</v>
      </c>
      <c r="O106" s="12" t="s">
        <v>3470</v>
      </c>
      <c r="P106" s="12" t="s">
        <v>3369</v>
      </c>
      <c r="Q106" s="12" t="s">
        <v>3369</v>
      </c>
      <c r="R106" s="12" t="s">
        <v>3369</v>
      </c>
      <c r="S106" s="12" t="s">
        <v>3369</v>
      </c>
      <c r="T106" s="12" t="s">
        <v>3369</v>
      </c>
      <c r="U106" s="12" t="s">
        <v>3369</v>
      </c>
      <c r="V106" s="12" t="s">
        <v>3369</v>
      </c>
      <c r="W106" s="12" t="s">
        <v>3369</v>
      </c>
      <c r="X106" s="12" t="s">
        <v>3369</v>
      </c>
      <c r="Y106" s="12" t="s">
        <v>3369</v>
      </c>
      <c r="Z106" s="12" t="s">
        <v>3369</v>
      </c>
      <c r="AA106" s="12" t="s">
        <v>3369</v>
      </c>
      <c r="AB106" s="12" t="s">
        <v>3369</v>
      </c>
      <c r="AE106" s="32">
        <v>0.45833333333575865</v>
      </c>
      <c r="AF106" s="35"/>
      <c r="AG106" s="33" t="s">
        <v>256</v>
      </c>
      <c r="AH106" s="36" t="s">
        <v>257</v>
      </c>
      <c r="AI106" s="36" t="str">
        <f>HYPERLINK("https://docs.google.com/document/d/1Gyx9ROaTKWuy-76rkui4kE2dTnRUDtMTJAqKpXUVmj4/edit?usp=drivesdk","Shannon Dunnigan - 7/12/2018 11:00 AM")</f>
        <v>Shannon Dunnigan - 7/12/2018 11:00 AM</v>
      </c>
      <c r="AJ106" s="33" t="s">
        <v>258</v>
      </c>
    </row>
    <row r="107" spans="1:36" ht="12.75">
      <c r="A107" s="29">
        <v>43298.60367862269</v>
      </c>
      <c r="B107" s="12" t="s">
        <v>3386</v>
      </c>
      <c r="C107" s="12" t="s">
        <v>3481</v>
      </c>
      <c r="D107" s="12" t="s">
        <v>3295</v>
      </c>
      <c r="E107" s="12" t="s">
        <v>3296</v>
      </c>
      <c r="F107" s="30">
        <v>43299</v>
      </c>
      <c r="G107" s="12" t="s">
        <v>3627</v>
      </c>
      <c r="H107" s="32">
        <v>0.47916666666424135</v>
      </c>
      <c r="I107" s="29">
        <v>43299.5</v>
      </c>
      <c r="J107" s="12" t="s">
        <v>3377</v>
      </c>
      <c r="L107" s="12" t="s">
        <v>3393</v>
      </c>
      <c r="M107" s="12" t="s">
        <v>3497</v>
      </c>
      <c r="N107" s="12" t="s">
        <v>3628</v>
      </c>
      <c r="O107" s="12" t="s">
        <v>3499</v>
      </c>
      <c r="P107" s="12" t="s">
        <v>3369</v>
      </c>
      <c r="Q107" s="12" t="s">
        <v>3369</v>
      </c>
      <c r="R107" s="12" t="s">
        <v>3369</v>
      </c>
      <c r="S107" s="12" t="s">
        <v>3369</v>
      </c>
      <c r="T107" s="12" t="s">
        <v>3369</v>
      </c>
      <c r="U107" s="12" t="s">
        <v>3369</v>
      </c>
      <c r="V107" s="12" t="s">
        <v>3369</v>
      </c>
      <c r="W107" s="12" t="s">
        <v>3369</v>
      </c>
      <c r="X107" s="12" t="s">
        <v>3369</v>
      </c>
      <c r="Y107" s="12" t="s">
        <v>3369</v>
      </c>
      <c r="Z107" s="12" t="s">
        <v>3369</v>
      </c>
      <c r="AA107" s="12" t="s">
        <v>3369</v>
      </c>
      <c r="AB107" s="12" t="s">
        <v>3369</v>
      </c>
      <c r="AE107" s="32">
        <v>0.26041666666424135</v>
      </c>
      <c r="AF107" s="35"/>
      <c r="AG107" s="33" t="s">
        <v>260</v>
      </c>
      <c r="AH107" s="36" t="s">
        <v>261</v>
      </c>
      <c r="AI107" s="36" t="str">
        <f>HYPERLINK("https://docs.google.com/document/d/1B2B_zzU6VYd5JQ-56maF2bnECN2oN8ZVlQhWEyzl5pg/edit?usp=drivesdk","Ben Mowbray - 7/18/2018 6:15 AM")</f>
        <v>Ben Mowbray - 7/18/2018 6:15 AM</v>
      </c>
      <c r="AJ107" s="33" t="s">
        <v>262</v>
      </c>
    </row>
    <row r="108" spans="1:36" ht="12.75">
      <c r="A108" s="29">
        <v>43300.229544895832</v>
      </c>
      <c r="B108" s="12" t="s">
        <v>3386</v>
      </c>
      <c r="C108" s="12" t="s">
        <v>3481</v>
      </c>
      <c r="D108" s="12" t="s">
        <v>3589</v>
      </c>
      <c r="E108" s="12" t="s">
        <v>3296</v>
      </c>
      <c r="F108" s="30">
        <v>43300</v>
      </c>
      <c r="G108" s="12" t="s">
        <v>3629</v>
      </c>
      <c r="H108" s="32">
        <v>0.5</v>
      </c>
      <c r="I108" s="29">
        <v>43300.524305555555</v>
      </c>
      <c r="J108" s="12" t="s">
        <v>3377</v>
      </c>
      <c r="L108" s="12" t="s">
        <v>3393</v>
      </c>
      <c r="M108" s="12" t="s">
        <v>3497</v>
      </c>
      <c r="N108" s="12" t="s">
        <v>3630</v>
      </c>
      <c r="O108" s="12" t="s">
        <v>3499</v>
      </c>
      <c r="P108" s="12" t="s">
        <v>3369</v>
      </c>
      <c r="Q108" s="12" t="s">
        <v>3369</v>
      </c>
      <c r="R108" s="12" t="s">
        <v>3369</v>
      </c>
      <c r="S108" s="12" t="s">
        <v>3369</v>
      </c>
      <c r="T108" s="12" t="s">
        <v>3369</v>
      </c>
      <c r="U108" s="12" t="s">
        <v>3369</v>
      </c>
      <c r="V108" s="12" t="s">
        <v>3369</v>
      </c>
      <c r="W108" s="12" t="s">
        <v>3369</v>
      </c>
      <c r="X108" s="12" t="s">
        <v>3369</v>
      </c>
      <c r="Y108" s="12" t="s">
        <v>3369</v>
      </c>
      <c r="Z108" s="12" t="s">
        <v>3369</v>
      </c>
      <c r="AA108" s="12" t="s">
        <v>3369</v>
      </c>
      <c r="AB108" s="12" t="s">
        <v>3369</v>
      </c>
      <c r="AE108" s="32">
        <v>0.25</v>
      </c>
      <c r="AF108" s="35"/>
      <c r="AG108" s="33" t="s">
        <v>263</v>
      </c>
      <c r="AH108" s="36" t="s">
        <v>264</v>
      </c>
      <c r="AI108" s="36" t="str">
        <f>HYPERLINK("https://docs.google.com/document/d/1_Jz1cLc_0eyZ6COebIUYyR_BuSj6Ej0LPmwxx-PUG2s/edit?usp=drivesdk","Ben Mowbray - 7/19/2018 6:00 AM")</f>
        <v>Ben Mowbray - 7/19/2018 6:00 AM</v>
      </c>
      <c r="AJ108" s="33" t="s">
        <v>265</v>
      </c>
    </row>
    <row r="109" spans="1:36" ht="12.75">
      <c r="A109" s="29">
        <v>43305.341144351856</v>
      </c>
      <c r="B109" s="12" t="s">
        <v>3390</v>
      </c>
      <c r="C109" s="12" t="s">
        <v>3391</v>
      </c>
      <c r="D109" s="12" t="s">
        <v>3631</v>
      </c>
      <c r="E109" s="12" t="s">
        <v>3464</v>
      </c>
      <c r="F109" s="30">
        <v>43305</v>
      </c>
      <c r="G109" s="12" t="s">
        <v>3465</v>
      </c>
      <c r="H109" s="32">
        <v>0.58333333333575865</v>
      </c>
      <c r="I109" s="29">
        <v>43305.604166666672</v>
      </c>
      <c r="J109" s="12" t="s">
        <v>3377</v>
      </c>
      <c r="L109" s="12" t="s">
        <v>3393</v>
      </c>
      <c r="M109" s="12" t="s">
        <v>3632</v>
      </c>
      <c r="N109" s="12" t="s">
        <v>3633</v>
      </c>
      <c r="O109" s="12" t="s">
        <v>3390</v>
      </c>
      <c r="P109" s="12" t="s">
        <v>3369</v>
      </c>
      <c r="Q109" s="12" t="s">
        <v>3369</v>
      </c>
      <c r="R109" s="12" t="s">
        <v>3369</v>
      </c>
      <c r="S109" s="12" t="s">
        <v>3369</v>
      </c>
      <c r="T109" s="12" t="s">
        <v>3369</v>
      </c>
      <c r="U109" s="12" t="s">
        <v>3369</v>
      </c>
      <c r="V109" s="12" t="s">
        <v>3369</v>
      </c>
      <c r="W109" s="12" t="s">
        <v>3369</v>
      </c>
      <c r="X109" s="12" t="s">
        <v>3369</v>
      </c>
      <c r="Y109" s="12" t="s">
        <v>3369</v>
      </c>
      <c r="Z109" s="12" t="s">
        <v>3369</v>
      </c>
      <c r="AA109" s="12" t="s">
        <v>3369</v>
      </c>
      <c r="AB109" s="12" t="s">
        <v>3369</v>
      </c>
      <c r="AE109" s="32">
        <v>0.35416666666424135</v>
      </c>
      <c r="AF109" s="35"/>
      <c r="AG109" s="33" t="s">
        <v>266</v>
      </c>
      <c r="AH109" s="36" t="s">
        <v>267</v>
      </c>
      <c r="AI109" s="36" t="str">
        <f>HYPERLINK("https://docs.google.com/document/d/1hYRN2pBVHw4Yusqyy9lepzKzhEppwr8z0-qaMhE2DYQ/edit?usp=drivesdk","Silas Tanner - 7/24/2018 8:30 AM")</f>
        <v>Silas Tanner - 7/24/2018 8:30 AM</v>
      </c>
      <c r="AJ109" s="33" t="s">
        <v>268</v>
      </c>
    </row>
    <row r="110" spans="1:36" ht="12.75">
      <c r="A110" s="29">
        <v>43306.439400659721</v>
      </c>
      <c r="B110" s="12" t="s">
        <v>3372</v>
      </c>
      <c r="C110" s="12" t="s">
        <v>3383</v>
      </c>
      <c r="D110" s="12" t="s">
        <v>3589</v>
      </c>
      <c r="E110" s="12" t="s">
        <v>3509</v>
      </c>
      <c r="F110" s="30">
        <v>43306</v>
      </c>
      <c r="G110" s="12" t="s">
        <v>3446</v>
      </c>
      <c r="H110" s="32">
        <v>0.54166666666424135</v>
      </c>
      <c r="I110" s="29">
        <v>43306.5625</v>
      </c>
      <c r="J110" s="12" t="s">
        <v>3331</v>
      </c>
      <c r="L110" s="12" t="s">
        <v>3299</v>
      </c>
      <c r="M110" s="12" t="s">
        <v>3489</v>
      </c>
      <c r="O110" s="12" t="s">
        <v>3372</v>
      </c>
      <c r="P110" s="12" t="s">
        <v>3369</v>
      </c>
      <c r="Q110" s="12" t="s">
        <v>3369</v>
      </c>
      <c r="R110" s="12" t="s">
        <v>3369</v>
      </c>
      <c r="S110" s="12" t="s">
        <v>3369</v>
      </c>
      <c r="T110" s="12" t="s">
        <v>3369</v>
      </c>
      <c r="U110" s="12" t="s">
        <v>3369</v>
      </c>
      <c r="V110" s="12" t="s">
        <v>3369</v>
      </c>
      <c r="W110" s="12" t="s">
        <v>3369</v>
      </c>
      <c r="X110" s="12" t="s">
        <v>3369</v>
      </c>
      <c r="Y110" s="12" t="s">
        <v>3369</v>
      </c>
      <c r="Z110" s="12" t="s">
        <v>3369</v>
      </c>
      <c r="AA110" s="12" t="s">
        <v>3369</v>
      </c>
      <c r="AB110" s="12" t="s">
        <v>3369</v>
      </c>
      <c r="AE110" s="32">
        <v>0.45833333333575865</v>
      </c>
      <c r="AF110" s="35"/>
      <c r="AG110" s="33" t="s">
        <v>269</v>
      </c>
      <c r="AH110" s="36" t="s">
        <v>270</v>
      </c>
      <c r="AI110" s="36" t="str">
        <f>HYPERLINK("https://docs.google.com/document/d/1Yf58Vo3igrV_L3FTGJfaglDeuNiDkG2mScsf6Af2oGg/edit?usp=drivesdk","Pamela Marcum - 7/25/2018 11:00 AM")</f>
        <v>Pamela Marcum - 7/25/2018 11:00 AM</v>
      </c>
      <c r="AJ110" s="33" t="s">
        <v>271</v>
      </c>
    </row>
    <row r="111" spans="1:36" ht="12.75">
      <c r="A111" s="29">
        <v>43306.581745532407</v>
      </c>
      <c r="B111" s="12" t="s">
        <v>3390</v>
      </c>
      <c r="C111" s="12" t="s">
        <v>3391</v>
      </c>
      <c r="D111" s="12" t="s">
        <v>3631</v>
      </c>
      <c r="E111" s="12" t="s">
        <v>3430</v>
      </c>
      <c r="F111" s="30">
        <v>43308</v>
      </c>
      <c r="G111" s="12" t="s">
        <v>3556</v>
      </c>
      <c r="H111" s="32">
        <v>0.64583333333575865</v>
      </c>
      <c r="I111" s="29">
        <v>43308.6875</v>
      </c>
      <c r="J111" s="12" t="s">
        <v>3377</v>
      </c>
      <c r="L111" s="12" t="s">
        <v>3393</v>
      </c>
      <c r="M111" s="12" t="s">
        <v>3591</v>
      </c>
      <c r="N111" s="12" t="s">
        <v>3634</v>
      </c>
      <c r="O111" s="12" t="s">
        <v>3390</v>
      </c>
      <c r="P111" s="12" t="s">
        <v>3369</v>
      </c>
      <c r="Q111" s="12" t="s">
        <v>3369</v>
      </c>
      <c r="R111" s="12" t="s">
        <v>3369</v>
      </c>
      <c r="S111" s="12" t="s">
        <v>3369</v>
      </c>
      <c r="T111" s="12" t="s">
        <v>3369</v>
      </c>
      <c r="U111" s="12" t="s">
        <v>3369</v>
      </c>
      <c r="V111" s="12" t="s">
        <v>3369</v>
      </c>
      <c r="W111" s="12" t="s">
        <v>3369</v>
      </c>
      <c r="X111" s="12" t="s">
        <v>3369</v>
      </c>
      <c r="Y111" s="12" t="s">
        <v>3369</v>
      </c>
      <c r="Z111" s="12" t="s">
        <v>3369</v>
      </c>
      <c r="AA111" s="12" t="s">
        <v>3369</v>
      </c>
      <c r="AB111" s="12" t="s">
        <v>3369</v>
      </c>
      <c r="AE111" s="32">
        <v>0.47916666666424135</v>
      </c>
      <c r="AF111" s="35"/>
      <c r="AG111" s="33" t="s">
        <v>272</v>
      </c>
      <c r="AH111" s="36" t="s">
        <v>273</v>
      </c>
      <c r="AI111" s="36" t="str">
        <f>HYPERLINK("https://docs.google.com/document/d/1BaYGUmqVMqP7K6yogEN7JA9Puier9G8taRo2F6LjQ64/edit?usp=drivesdk","Silas Tanner - 7/27/2018 11:30 AM")</f>
        <v>Silas Tanner - 7/27/2018 11:30 AM</v>
      </c>
      <c r="AJ111" s="33" t="s">
        <v>274</v>
      </c>
    </row>
    <row r="112" spans="1:36" ht="12.75">
      <c r="A112" s="29">
        <v>43307.376990648147</v>
      </c>
      <c r="B112" s="12" t="s">
        <v>3372</v>
      </c>
      <c r="C112" s="12" t="s">
        <v>3383</v>
      </c>
      <c r="D112" s="12" t="s">
        <v>3589</v>
      </c>
      <c r="E112" s="12" t="s">
        <v>3296</v>
      </c>
      <c r="F112" s="30">
        <v>43307</v>
      </c>
      <c r="G112" s="12" t="s">
        <v>3635</v>
      </c>
      <c r="H112" s="32">
        <v>0.5</v>
      </c>
      <c r="I112" s="29">
        <v>43307.520833333328</v>
      </c>
      <c r="J112" s="12" t="s">
        <v>3331</v>
      </c>
      <c r="L112" s="12" t="s">
        <v>3299</v>
      </c>
      <c r="M112" s="12" t="s">
        <v>3379</v>
      </c>
      <c r="N112" s="12" t="s">
        <v>3636</v>
      </c>
      <c r="O112" s="12" t="s">
        <v>3372</v>
      </c>
      <c r="P112" s="12" t="s">
        <v>3369</v>
      </c>
      <c r="Q112" s="12" t="s">
        <v>3369</v>
      </c>
      <c r="R112" s="12" t="s">
        <v>3369</v>
      </c>
      <c r="S112" s="12" t="s">
        <v>3369</v>
      </c>
      <c r="T112" s="12" t="s">
        <v>3369</v>
      </c>
      <c r="U112" s="12" t="s">
        <v>3369</v>
      </c>
      <c r="V112" s="12" t="s">
        <v>3369</v>
      </c>
      <c r="W112" s="12" t="s">
        <v>3369</v>
      </c>
      <c r="X112" s="12" t="s">
        <v>3369</v>
      </c>
      <c r="Y112" s="12" t="s">
        <v>3369</v>
      </c>
      <c r="Z112" s="12" t="s">
        <v>3369</v>
      </c>
      <c r="AA112" s="12" t="s">
        <v>3369</v>
      </c>
      <c r="AB112" s="12" t="s">
        <v>3369</v>
      </c>
      <c r="AE112" s="32">
        <v>0.39583333333575865</v>
      </c>
      <c r="AF112" s="35"/>
      <c r="AG112" s="33" t="s">
        <v>275</v>
      </c>
      <c r="AH112" s="36" t="s">
        <v>276</v>
      </c>
      <c r="AI112" s="36" t="str">
        <f>HYPERLINK("https://docs.google.com/document/d/1tlC1SwEUPLpFXpij-oCM2rMilZlFExtd_0xZd7qUeZM/edit?usp=drivesdk","Pamela Marcum - 7/26/2018 9:30 AM")</f>
        <v>Pamela Marcum - 7/26/2018 9:30 AM</v>
      </c>
      <c r="AJ112" s="33" t="s">
        <v>277</v>
      </c>
    </row>
    <row r="113" spans="1:36" ht="12.75">
      <c r="A113" s="29">
        <v>43307.498248541669</v>
      </c>
      <c r="B113" s="12" t="s">
        <v>3372</v>
      </c>
      <c r="C113" s="12" t="s">
        <v>3373</v>
      </c>
      <c r="D113" s="12" t="s">
        <v>3589</v>
      </c>
      <c r="E113" s="12" t="s">
        <v>3637</v>
      </c>
      <c r="F113" s="30">
        <v>43306</v>
      </c>
      <c r="G113" s="12" t="s">
        <v>3638</v>
      </c>
      <c r="H113" s="32">
        <v>0.625</v>
      </c>
      <c r="I113" s="29">
        <v>43306.75</v>
      </c>
      <c r="J113" s="12" t="s">
        <v>3331</v>
      </c>
      <c r="L113" s="12" t="s">
        <v>3299</v>
      </c>
      <c r="M113" s="12" t="s">
        <v>3489</v>
      </c>
      <c r="O113" s="12" t="s">
        <v>3372</v>
      </c>
      <c r="P113" s="12" t="s">
        <v>3369</v>
      </c>
      <c r="Q113" s="12" t="s">
        <v>3369</v>
      </c>
      <c r="R113" s="12" t="s">
        <v>3369</v>
      </c>
      <c r="S113" s="12" t="s">
        <v>3369</v>
      </c>
      <c r="T113" s="12" t="s">
        <v>3369</v>
      </c>
      <c r="U113" s="12" t="s">
        <v>3369</v>
      </c>
      <c r="V113" s="12" t="s">
        <v>3369</v>
      </c>
      <c r="W113" s="12" t="s">
        <v>3369</v>
      </c>
      <c r="X113" s="12" t="s">
        <v>3369</v>
      </c>
      <c r="Y113" s="12" t="s">
        <v>3369</v>
      </c>
      <c r="Z113" s="12" t="s">
        <v>3369</v>
      </c>
      <c r="AA113" s="12" t="s">
        <v>3369</v>
      </c>
      <c r="AB113" s="12" t="s">
        <v>3369</v>
      </c>
      <c r="AE113" s="32">
        <v>0.54166666666424135</v>
      </c>
      <c r="AF113" s="35"/>
      <c r="AG113" s="33" t="s">
        <v>279</v>
      </c>
      <c r="AH113" s="36" t="s">
        <v>280</v>
      </c>
      <c r="AI113" s="36" t="str">
        <f>HYPERLINK("https://docs.google.com/document/d/1cg_61x0Prb1H5bL7SShihaJ8nyb-k-Re1xSmZMw8yHQ/edit?usp=drivesdk","Pamela Marcum - 7/25/2018 1:00 PM")</f>
        <v>Pamela Marcum - 7/25/2018 1:00 PM</v>
      </c>
      <c r="AJ113" s="33" t="s">
        <v>281</v>
      </c>
    </row>
    <row r="114" spans="1:36" ht="12.75">
      <c r="A114" s="29">
        <v>43312.301209479163</v>
      </c>
      <c r="B114" s="12" t="s">
        <v>3372</v>
      </c>
      <c r="C114" s="12" t="s">
        <v>3639</v>
      </c>
      <c r="D114" s="12" t="s">
        <v>3589</v>
      </c>
      <c r="E114" s="12" t="s">
        <v>3637</v>
      </c>
      <c r="F114" s="30">
        <v>43312</v>
      </c>
      <c r="G114" s="12" t="s">
        <v>3640</v>
      </c>
      <c r="H114" s="32">
        <v>0.625</v>
      </c>
      <c r="I114" s="29">
        <v>43312.666666666672</v>
      </c>
      <c r="J114" s="12" t="s">
        <v>3331</v>
      </c>
      <c r="L114" s="12" t="s">
        <v>3393</v>
      </c>
      <c r="M114" s="12" t="s">
        <v>3489</v>
      </c>
      <c r="N114" s="12" t="s">
        <v>3641</v>
      </c>
      <c r="O114" s="12" t="s">
        <v>3372</v>
      </c>
      <c r="P114" s="12" t="s">
        <v>3369</v>
      </c>
      <c r="Q114" s="12" t="s">
        <v>3369</v>
      </c>
      <c r="R114" s="12" t="s">
        <v>3369</v>
      </c>
      <c r="S114" s="12" t="s">
        <v>3369</v>
      </c>
      <c r="T114" s="12" t="s">
        <v>3369</v>
      </c>
      <c r="U114" s="12" t="s">
        <v>3369</v>
      </c>
      <c r="V114" s="12" t="s">
        <v>3369</v>
      </c>
      <c r="W114" s="12" t="s">
        <v>3369</v>
      </c>
      <c r="X114" s="12" t="s">
        <v>3369</v>
      </c>
      <c r="Y114" s="12" t="s">
        <v>3369</v>
      </c>
      <c r="Z114" s="12" t="s">
        <v>3369</v>
      </c>
      <c r="AA114" s="12" t="s">
        <v>3369</v>
      </c>
      <c r="AB114" s="12" t="s">
        <v>3369</v>
      </c>
      <c r="AE114" s="32">
        <v>0.30208333333575865</v>
      </c>
      <c r="AF114" s="35"/>
      <c r="AG114" s="33" t="s">
        <v>282</v>
      </c>
      <c r="AH114" s="36" t="s">
        <v>283</v>
      </c>
      <c r="AI114" s="36" t="str">
        <f>HYPERLINK("https://docs.google.com/document/d/1g6-SDWzTDxEaT_6esAFl7Ag0FmdmW2RSeVn4yz_-SWI/edit?usp=drivesdk","&lt;&lt;Your First and Last Name&gt;&gt; - 7/31/2018 7:15 AM")</f>
        <v>&lt;&lt;Your First and Last Name&gt;&gt; - 7/31/2018 7:15 AM</v>
      </c>
      <c r="AJ114" s="33" t="s">
        <v>284</v>
      </c>
    </row>
    <row r="115" spans="1:36" ht="12.75">
      <c r="A115" s="29">
        <v>43312.537395520834</v>
      </c>
      <c r="B115" s="12" t="s">
        <v>3293</v>
      </c>
      <c r="C115" s="12" t="s">
        <v>9</v>
      </c>
      <c r="D115" s="12" t="s">
        <v>3303</v>
      </c>
      <c r="E115" s="12" t="s">
        <v>3318</v>
      </c>
      <c r="F115" s="30">
        <v>43313</v>
      </c>
      <c r="G115" s="12" t="s">
        <v>3338</v>
      </c>
      <c r="H115" s="32">
        <v>0.54166666666424135</v>
      </c>
      <c r="I115" s="29">
        <v>43313.666666666672</v>
      </c>
      <c r="J115" s="12" t="s">
        <v>3642</v>
      </c>
      <c r="L115" s="12" t="s">
        <v>3299</v>
      </c>
      <c r="M115" s="12" t="s">
        <v>3643</v>
      </c>
      <c r="N115" s="12" t="s">
        <v>3644</v>
      </c>
      <c r="O115" s="12" t="s">
        <v>3645</v>
      </c>
      <c r="P115" s="12" t="s">
        <v>3369</v>
      </c>
      <c r="Q115" s="12" t="s">
        <v>3369</v>
      </c>
      <c r="R115" s="12" t="s">
        <v>3369</v>
      </c>
      <c r="S115" s="12" t="s">
        <v>3369</v>
      </c>
      <c r="T115" s="12" t="s">
        <v>3369</v>
      </c>
      <c r="U115" s="12" t="s">
        <v>3369</v>
      </c>
      <c r="V115" s="12" t="s">
        <v>3369</v>
      </c>
      <c r="W115" s="12" t="s">
        <v>3369</v>
      </c>
      <c r="X115" s="12" t="s">
        <v>3369</v>
      </c>
      <c r="Y115" s="12" t="s">
        <v>3369</v>
      </c>
      <c r="Z115" s="12" t="s">
        <v>3369</v>
      </c>
      <c r="AA115" s="12" t="s">
        <v>3369</v>
      </c>
      <c r="AB115" s="12" t="s">
        <v>3369</v>
      </c>
      <c r="AC115" s="12" t="s">
        <v>3646</v>
      </c>
      <c r="AD115" s="12" t="s">
        <v>3647</v>
      </c>
      <c r="AE115" s="32">
        <v>0.33333333333575865</v>
      </c>
      <c r="AF115" s="35"/>
      <c r="AG115" s="33" t="s">
        <v>285</v>
      </c>
      <c r="AH115" s="36" t="s">
        <v>286</v>
      </c>
      <c r="AI115" s="36" t="str">
        <f>HYPERLINK("https://docs.google.com/document/d/1DymsQ1HeGPgIcWUJTZNcP4_6Zo3y4_qnZSDka3MTvQk/edit?usp=drivesdk","Kenneth Rainer - 8/1/2018 8:00 AM")</f>
        <v>Kenneth Rainer - 8/1/2018 8:00 AM</v>
      </c>
      <c r="AJ115" s="33" t="s">
        <v>287</v>
      </c>
    </row>
    <row r="116" spans="1:36" ht="12.75">
      <c r="A116" s="29">
        <v>43313.399844421292</v>
      </c>
      <c r="B116" s="12" t="s">
        <v>3372</v>
      </c>
      <c r="C116" s="12" t="s">
        <v>3383</v>
      </c>
      <c r="D116" s="12" t="s">
        <v>3589</v>
      </c>
      <c r="E116" s="12" t="s">
        <v>3637</v>
      </c>
      <c r="F116" s="30">
        <v>43312</v>
      </c>
      <c r="G116" s="12" t="s">
        <v>3648</v>
      </c>
      <c r="H116" s="32">
        <v>0.625</v>
      </c>
      <c r="I116" s="29">
        <v>43312.666666666672</v>
      </c>
      <c r="J116" s="12" t="s">
        <v>3331</v>
      </c>
      <c r="L116" s="12" t="s">
        <v>3393</v>
      </c>
      <c r="M116" s="12" t="s">
        <v>3489</v>
      </c>
      <c r="N116" s="12" t="s">
        <v>3649</v>
      </c>
      <c r="O116" s="12" t="s">
        <v>3372</v>
      </c>
      <c r="P116" s="12" t="s">
        <v>3369</v>
      </c>
      <c r="Q116" s="12" t="s">
        <v>3369</v>
      </c>
      <c r="R116" s="12" t="s">
        <v>3369</v>
      </c>
      <c r="S116" s="12" t="s">
        <v>3369</v>
      </c>
      <c r="T116" s="12" t="s">
        <v>3369</v>
      </c>
      <c r="U116" s="12" t="s">
        <v>3369</v>
      </c>
      <c r="V116" s="12" t="s">
        <v>3369</v>
      </c>
      <c r="W116" s="12" t="s">
        <v>3369</v>
      </c>
      <c r="X116" s="12" t="s">
        <v>3369</v>
      </c>
      <c r="Y116" s="12" t="s">
        <v>3369</v>
      </c>
      <c r="Z116" s="12" t="s">
        <v>3369</v>
      </c>
      <c r="AA116" s="12" t="s">
        <v>3369</v>
      </c>
      <c r="AB116" s="12" t="s">
        <v>3369</v>
      </c>
      <c r="AE116" s="32">
        <v>0.30208333333575865</v>
      </c>
      <c r="AF116" s="35"/>
      <c r="AG116" s="33" t="s">
        <v>288</v>
      </c>
      <c r="AH116" s="36" t="s">
        <v>289</v>
      </c>
      <c r="AI116" s="36" t="str">
        <f>HYPERLINK("https://docs.google.com/document/d/1M1nSKDRh8KbBXalT-n5-pUJ-LMgc4RpRlvCNRApVBRo/edit?usp=drivesdk","Pamela Marcum - 7/31/2018 7:15 AM")</f>
        <v>Pamela Marcum - 7/31/2018 7:15 AM</v>
      </c>
      <c r="AJ116" s="33" t="s">
        <v>290</v>
      </c>
    </row>
    <row r="117" spans="1:36" ht="12.75">
      <c r="A117" s="29">
        <v>43314.227093321759</v>
      </c>
      <c r="B117" s="12" t="s">
        <v>3386</v>
      </c>
      <c r="C117" s="12" t="s">
        <v>3481</v>
      </c>
      <c r="D117" s="12" t="s">
        <v>3295</v>
      </c>
      <c r="E117" s="12" t="s">
        <v>3296</v>
      </c>
      <c r="F117" s="30">
        <v>43314</v>
      </c>
      <c r="G117" s="12" t="s">
        <v>3650</v>
      </c>
      <c r="H117" s="32">
        <v>0.54166666666424135</v>
      </c>
      <c r="I117" s="29">
        <v>43314.055555555555</v>
      </c>
      <c r="J117" s="12" t="s">
        <v>3366</v>
      </c>
      <c r="L117" s="12" t="s">
        <v>3393</v>
      </c>
      <c r="M117" s="12" t="s">
        <v>3497</v>
      </c>
      <c r="N117" s="12" t="s">
        <v>3628</v>
      </c>
      <c r="O117" s="12" t="s">
        <v>3499</v>
      </c>
      <c r="P117" s="12" t="s">
        <v>3369</v>
      </c>
      <c r="Q117" s="12" t="s">
        <v>3369</v>
      </c>
      <c r="R117" s="12" t="s">
        <v>3369</v>
      </c>
      <c r="S117" s="12" t="s">
        <v>3369</v>
      </c>
      <c r="T117" s="12" t="s">
        <v>3369</v>
      </c>
      <c r="U117" s="12" t="s">
        <v>3369</v>
      </c>
      <c r="V117" s="12" t="s">
        <v>3369</v>
      </c>
      <c r="W117" s="12" t="s">
        <v>3369</v>
      </c>
      <c r="X117" s="12" t="s">
        <v>3369</v>
      </c>
      <c r="Y117" s="12" t="s">
        <v>3369</v>
      </c>
      <c r="Z117" s="12" t="s">
        <v>3369</v>
      </c>
      <c r="AA117" s="12" t="s">
        <v>3369</v>
      </c>
      <c r="AB117" s="12" t="s">
        <v>3369</v>
      </c>
      <c r="AE117" s="32">
        <v>0.23958333333575865</v>
      </c>
      <c r="AF117" s="35"/>
      <c r="AG117" s="33" t="s">
        <v>291</v>
      </c>
      <c r="AH117" s="36" t="s">
        <v>292</v>
      </c>
      <c r="AI117" s="36" t="str">
        <f>HYPERLINK("https://docs.google.com/document/d/18ANL2EAsbj-9X5mz0tRj4YzFgnSMdKPwDfVJotzLaHQ/edit?usp=drivesdk","Ben Mowbray - 8/2/2018 5:45 AM")</f>
        <v>Ben Mowbray - 8/2/2018 5:45 AM</v>
      </c>
      <c r="AJ117" s="33" t="s">
        <v>293</v>
      </c>
    </row>
    <row r="118" spans="1:36" ht="12.75">
      <c r="A118" s="29">
        <v>43314.357554895832</v>
      </c>
      <c r="B118" s="12" t="s">
        <v>3372</v>
      </c>
      <c r="C118" s="12" t="s">
        <v>3383</v>
      </c>
      <c r="D118" s="12" t="s">
        <v>3589</v>
      </c>
      <c r="E118" s="12" t="s">
        <v>3637</v>
      </c>
      <c r="F118" s="30">
        <v>43314</v>
      </c>
      <c r="G118" s="12" t="s">
        <v>3648</v>
      </c>
      <c r="H118" s="32">
        <v>0.625</v>
      </c>
      <c r="I118" s="29">
        <v>43314.666666666672</v>
      </c>
      <c r="J118" s="12" t="s">
        <v>3377</v>
      </c>
      <c r="L118" s="12" t="s">
        <v>3299</v>
      </c>
      <c r="M118" s="12" t="s">
        <v>3379</v>
      </c>
      <c r="N118" s="12" t="s">
        <v>3651</v>
      </c>
      <c r="O118" s="12" t="s">
        <v>3372</v>
      </c>
      <c r="P118" s="12" t="s">
        <v>3369</v>
      </c>
      <c r="Q118" s="12" t="s">
        <v>3369</v>
      </c>
      <c r="R118" s="12" t="s">
        <v>3369</v>
      </c>
      <c r="S118" s="12" t="s">
        <v>3369</v>
      </c>
      <c r="T118" s="12" t="s">
        <v>3369</v>
      </c>
      <c r="U118" s="12" t="s">
        <v>3369</v>
      </c>
      <c r="V118" s="12" t="s">
        <v>3369</v>
      </c>
      <c r="W118" s="12" t="s">
        <v>3369</v>
      </c>
      <c r="X118" s="12" t="s">
        <v>3369</v>
      </c>
      <c r="Y118" s="12" t="s">
        <v>3369</v>
      </c>
      <c r="Z118" s="12" t="s">
        <v>3369</v>
      </c>
      <c r="AA118" s="12" t="s">
        <v>3369</v>
      </c>
      <c r="AB118" s="12" t="s">
        <v>3369</v>
      </c>
      <c r="AE118" s="32">
        <v>0.39583333333575865</v>
      </c>
      <c r="AF118" s="35"/>
      <c r="AG118" s="33" t="s">
        <v>294</v>
      </c>
      <c r="AH118" s="36" t="s">
        <v>295</v>
      </c>
      <c r="AI118" s="36" t="str">
        <f>HYPERLINK("https://docs.google.com/document/d/1_xpbSdAQxiV952g8DEviihzsJ9JvdoIja7XikkzE2jM/edit?usp=drivesdk","Pamela Marcum - 8/2/2018 9:30 AM")</f>
        <v>Pamela Marcum - 8/2/2018 9:30 AM</v>
      </c>
      <c r="AJ118" s="33" t="s">
        <v>296</v>
      </c>
    </row>
    <row r="119" spans="1:36" ht="12.75">
      <c r="A119" s="29">
        <v>43314.603467233799</v>
      </c>
      <c r="B119" s="12" t="s">
        <v>3386</v>
      </c>
      <c r="C119" s="12" t="s">
        <v>3652</v>
      </c>
      <c r="D119" s="12" t="s">
        <v>3295</v>
      </c>
      <c r="E119" s="12" t="s">
        <v>3296</v>
      </c>
      <c r="F119" s="30">
        <v>43315</v>
      </c>
      <c r="G119" s="12" t="s">
        <v>3653</v>
      </c>
      <c r="H119" s="32">
        <v>0.5</v>
      </c>
      <c r="I119" s="29">
        <v>43315.513888888891</v>
      </c>
      <c r="J119" s="12" t="s">
        <v>3331</v>
      </c>
      <c r="L119" s="12" t="s">
        <v>3393</v>
      </c>
      <c r="M119" s="12" t="s">
        <v>3497</v>
      </c>
      <c r="N119" s="12" t="s">
        <v>3654</v>
      </c>
      <c r="O119" s="12" t="s">
        <v>3499</v>
      </c>
      <c r="P119" s="12" t="s">
        <v>3369</v>
      </c>
      <c r="Q119" s="12" t="s">
        <v>3369</v>
      </c>
      <c r="R119" s="12" t="s">
        <v>3369</v>
      </c>
      <c r="S119" s="12" t="s">
        <v>3369</v>
      </c>
      <c r="T119" s="12" t="s">
        <v>3369</v>
      </c>
      <c r="U119" s="12" t="s">
        <v>3369</v>
      </c>
      <c r="V119" s="12" t="s">
        <v>3369</v>
      </c>
      <c r="W119" s="12" t="s">
        <v>3369</v>
      </c>
      <c r="X119" s="12" t="s">
        <v>3369</v>
      </c>
      <c r="Y119" s="12" t="s">
        <v>3369</v>
      </c>
      <c r="Z119" s="12" t="s">
        <v>3369</v>
      </c>
      <c r="AA119" s="12" t="s">
        <v>3369</v>
      </c>
      <c r="AB119" s="12" t="s">
        <v>3369</v>
      </c>
      <c r="AE119" s="32">
        <v>0.28125</v>
      </c>
      <c r="AF119" s="35"/>
      <c r="AG119" s="33" t="s">
        <v>297</v>
      </c>
      <c r="AH119" s="36" t="s">
        <v>298</v>
      </c>
      <c r="AI119" s="36" t="str">
        <f>HYPERLINK("https://docs.google.com/document/d/1CEf7cA2GIPp1xy65JDmnWfxQvW39taVTsOsaX1Ue6ho/edit?usp=drivesdk","Ben Mowbray - 8/3/2018 6:45 AM")</f>
        <v>Ben Mowbray - 8/3/2018 6:45 AM</v>
      </c>
      <c r="AJ119" s="33" t="s">
        <v>299</v>
      </c>
    </row>
    <row r="120" spans="1:36" ht="12.75">
      <c r="A120" s="29">
        <v>43315.280441574076</v>
      </c>
      <c r="B120" s="12" t="s">
        <v>3372</v>
      </c>
      <c r="C120" s="12" t="s">
        <v>3383</v>
      </c>
      <c r="D120" s="12" t="s">
        <v>3589</v>
      </c>
      <c r="E120" s="12" t="s">
        <v>3404</v>
      </c>
      <c r="F120" s="30">
        <v>43315</v>
      </c>
      <c r="G120" s="12" t="s">
        <v>3496</v>
      </c>
      <c r="H120" s="32">
        <v>0.5</v>
      </c>
      <c r="I120" s="29">
        <v>43315.520833333328</v>
      </c>
      <c r="J120" s="12" t="s">
        <v>3377</v>
      </c>
      <c r="L120" s="12" t="s">
        <v>3299</v>
      </c>
      <c r="M120" s="12" t="s">
        <v>3379</v>
      </c>
      <c r="N120" s="12" t="s">
        <v>3655</v>
      </c>
      <c r="O120" s="12" t="s">
        <v>3372</v>
      </c>
      <c r="P120" s="12" t="s">
        <v>3369</v>
      </c>
      <c r="Q120" s="12" t="s">
        <v>3369</v>
      </c>
      <c r="R120" s="12" t="s">
        <v>3369</v>
      </c>
      <c r="S120" s="12" t="s">
        <v>3369</v>
      </c>
      <c r="T120" s="12" t="s">
        <v>3369</v>
      </c>
      <c r="U120" s="12" t="s">
        <v>3369</v>
      </c>
      <c r="V120" s="12" t="s">
        <v>3369</v>
      </c>
      <c r="W120" s="12" t="s">
        <v>3369</v>
      </c>
      <c r="X120" s="12" t="s">
        <v>3369</v>
      </c>
      <c r="Y120" s="12" t="s">
        <v>3369</v>
      </c>
      <c r="Z120" s="12" t="s">
        <v>3369</v>
      </c>
      <c r="AA120" s="12" t="s">
        <v>3369</v>
      </c>
      <c r="AB120" s="12" t="s">
        <v>3369</v>
      </c>
      <c r="AE120" s="32">
        <v>0.3125</v>
      </c>
      <c r="AF120" s="35"/>
      <c r="AG120" s="33" t="s">
        <v>300</v>
      </c>
      <c r="AH120" s="36" t="s">
        <v>301</v>
      </c>
      <c r="AI120" s="36" t="str">
        <f>HYPERLINK("https://docs.google.com/document/d/1_f4X9tN9ILtz5QvdB_rIlrFD1AFhQW601asBRe7AfEg/edit?usp=drivesdk","Pamela Marcum - 8/3/2018 7:30 AM")</f>
        <v>Pamela Marcum - 8/3/2018 7:30 AM</v>
      </c>
      <c r="AJ120" s="33" t="s">
        <v>302</v>
      </c>
    </row>
    <row r="121" spans="1:36" ht="12.75">
      <c r="A121" s="29">
        <v>43319.243383553243</v>
      </c>
      <c r="B121" s="12" t="s">
        <v>3390</v>
      </c>
      <c r="C121" s="12" t="s">
        <v>1444</v>
      </c>
      <c r="D121" s="12" t="s">
        <v>3589</v>
      </c>
      <c r="E121" s="12" t="s">
        <v>3597</v>
      </c>
      <c r="F121" s="30">
        <v>43319</v>
      </c>
      <c r="G121" s="12" t="s">
        <v>3465</v>
      </c>
      <c r="H121" s="32">
        <v>0.52083333333575865</v>
      </c>
      <c r="I121" s="29">
        <v>43319.041666666672</v>
      </c>
      <c r="J121" s="12" t="s">
        <v>3377</v>
      </c>
      <c r="L121" s="12" t="s">
        <v>3393</v>
      </c>
      <c r="M121" s="12" t="s">
        <v>3466</v>
      </c>
      <c r="N121" s="12" t="s">
        <v>3656</v>
      </c>
      <c r="O121" s="12" t="s">
        <v>3550</v>
      </c>
      <c r="P121" s="12" t="s">
        <v>3369</v>
      </c>
      <c r="Q121" s="12" t="s">
        <v>3369</v>
      </c>
      <c r="R121" s="12" t="s">
        <v>3369</v>
      </c>
      <c r="S121" s="12" t="s">
        <v>3369</v>
      </c>
      <c r="T121" s="12" t="s">
        <v>3369</v>
      </c>
      <c r="U121" s="12" t="s">
        <v>3369</v>
      </c>
      <c r="V121" s="12" t="s">
        <v>3369</v>
      </c>
      <c r="W121" s="12" t="s">
        <v>3369</v>
      </c>
      <c r="X121" s="12" t="s">
        <v>3369</v>
      </c>
      <c r="Y121" s="12" t="s">
        <v>3369</v>
      </c>
      <c r="Z121" s="12" t="s">
        <v>3369</v>
      </c>
      <c r="AA121" s="12" t="s">
        <v>3369</v>
      </c>
      <c r="AB121" s="12" t="s">
        <v>3369</v>
      </c>
      <c r="AE121" s="32">
        <v>0.27083333333575865</v>
      </c>
      <c r="AF121" s="35"/>
      <c r="AG121" s="33" t="s">
        <v>303</v>
      </c>
      <c r="AH121" s="36" t="s">
        <v>304</v>
      </c>
      <c r="AI121" s="36" t="str">
        <f>HYPERLINK("https://docs.google.com/document/d/1gFmRMe2zpH3j4wfW__4Oo9qMajLX3jmZ0kcbMSYh65A/edit?usp=drivesdk","Silas Tanner - 8/7/2018 6:30 AM")</f>
        <v>Silas Tanner - 8/7/2018 6:30 AM</v>
      </c>
      <c r="AJ121" s="33" t="s">
        <v>305</v>
      </c>
    </row>
    <row r="122" spans="1:36" ht="12.75">
      <c r="A122" s="29">
        <v>43319.736613472225</v>
      </c>
      <c r="B122" s="12" t="s">
        <v>3399</v>
      </c>
      <c r="C122" s="12" t="s">
        <v>3400</v>
      </c>
      <c r="D122" s="12" t="s">
        <v>3401</v>
      </c>
      <c r="E122" s="12" t="s">
        <v>3356</v>
      </c>
      <c r="F122" s="30">
        <v>43320</v>
      </c>
      <c r="G122" s="12" t="s">
        <v>3657</v>
      </c>
      <c r="H122" s="32">
        <v>0.375</v>
      </c>
      <c r="J122" s="12" t="s">
        <v>3403</v>
      </c>
      <c r="L122" s="12" t="s">
        <v>3299</v>
      </c>
      <c r="M122" s="12" t="s">
        <v>3458</v>
      </c>
      <c r="N122" s="12" t="s">
        <v>3658</v>
      </c>
      <c r="O122" s="12" t="s">
        <v>3408</v>
      </c>
      <c r="P122" s="12" t="s">
        <v>3369</v>
      </c>
      <c r="Q122" s="12" t="s">
        <v>3369</v>
      </c>
      <c r="R122" s="12" t="s">
        <v>3369</v>
      </c>
      <c r="S122" s="12" t="s">
        <v>3369</v>
      </c>
      <c r="T122" s="12" t="s">
        <v>3369</v>
      </c>
      <c r="U122" s="12" t="s">
        <v>3369</v>
      </c>
      <c r="V122" s="12" t="s">
        <v>3369</v>
      </c>
      <c r="W122" s="12" t="s">
        <v>3369</v>
      </c>
      <c r="X122" s="12" t="s">
        <v>3369</v>
      </c>
      <c r="Y122" s="12" t="s">
        <v>3369</v>
      </c>
      <c r="Z122" s="12" t="s">
        <v>3369</v>
      </c>
      <c r="AA122" s="12" t="s">
        <v>3369</v>
      </c>
      <c r="AB122" s="12" t="s">
        <v>3369</v>
      </c>
      <c r="AE122" s="32">
        <v>0.30208333333575865</v>
      </c>
      <c r="AF122" s="35"/>
      <c r="AG122" s="33" t="s">
        <v>306</v>
      </c>
      <c r="AH122" s="36" t="s">
        <v>307</v>
      </c>
      <c r="AI122" s="36" t="str">
        <f>HYPERLINK("https://docs.google.com/document/d/1WiDFrx4D7wDtTG7xhG56FExYdRv-4DwwdP-wvUsnRMc/edit?usp=drivesdk","James Tomazinis - 8/8/2018 7:15 AM")</f>
        <v>James Tomazinis - 8/8/2018 7:15 AM</v>
      </c>
      <c r="AJ122" s="33" t="s">
        <v>308</v>
      </c>
    </row>
    <row r="123" spans="1:36" ht="12.75">
      <c r="A123" s="29">
        <v>43320.354894675926</v>
      </c>
      <c r="B123" s="12" t="s">
        <v>3372</v>
      </c>
      <c r="C123" s="12" t="s">
        <v>3383</v>
      </c>
      <c r="D123" s="12" t="s">
        <v>3589</v>
      </c>
      <c r="E123" s="12" t="s">
        <v>3637</v>
      </c>
      <c r="F123" s="30">
        <v>43320</v>
      </c>
      <c r="G123" s="12" t="s">
        <v>3648</v>
      </c>
      <c r="H123" s="32">
        <v>0.625</v>
      </c>
      <c r="I123" s="29">
        <v>43321.666666666672</v>
      </c>
      <c r="J123" s="12" t="s">
        <v>3377</v>
      </c>
      <c r="L123" s="12" t="s">
        <v>3393</v>
      </c>
      <c r="M123" s="12" t="s">
        <v>3379</v>
      </c>
      <c r="N123" s="12" t="s">
        <v>3659</v>
      </c>
      <c r="O123" s="12" t="s">
        <v>3372</v>
      </c>
      <c r="P123" s="12" t="s">
        <v>3369</v>
      </c>
      <c r="Q123" s="12" t="s">
        <v>3369</v>
      </c>
      <c r="R123" s="12" t="s">
        <v>3369</v>
      </c>
      <c r="S123" s="12" t="s">
        <v>3369</v>
      </c>
      <c r="T123" s="12" t="s">
        <v>3369</v>
      </c>
      <c r="U123" s="12" t="s">
        <v>3369</v>
      </c>
      <c r="V123" s="12" t="s">
        <v>3369</v>
      </c>
      <c r="W123" s="12" t="s">
        <v>3369</v>
      </c>
      <c r="X123" s="12" t="s">
        <v>3369</v>
      </c>
      <c r="Y123" s="12" t="s">
        <v>3369</v>
      </c>
      <c r="Z123" s="12" t="s">
        <v>3369</v>
      </c>
      <c r="AA123" s="12" t="s">
        <v>3369</v>
      </c>
      <c r="AB123" s="12" t="s">
        <v>3369</v>
      </c>
      <c r="AE123" s="32">
        <v>0.375</v>
      </c>
      <c r="AF123" s="35"/>
      <c r="AG123" s="33" t="s">
        <v>309</v>
      </c>
      <c r="AH123" s="36" t="s">
        <v>310</v>
      </c>
      <c r="AI123" s="36" t="str">
        <f>HYPERLINK("https://docs.google.com/document/d/1c5DkI6jJ5VBQm3EWgcA563cNGIBizGgTtaIKGIJ2dE8/edit?usp=drivesdk","Pamela Marcum - 8/8/2018 9:00 AM")</f>
        <v>Pamela Marcum - 8/8/2018 9:00 AM</v>
      </c>
      <c r="AJ123" s="33" t="s">
        <v>311</v>
      </c>
    </row>
    <row r="124" spans="1:36" ht="12.75">
      <c r="A124" s="29">
        <v>43322.354314652781</v>
      </c>
      <c r="B124" s="12" t="s">
        <v>3390</v>
      </c>
      <c r="C124" s="12" t="s">
        <v>3463</v>
      </c>
      <c r="D124" s="12" t="s">
        <v>3589</v>
      </c>
      <c r="E124" s="12" t="s">
        <v>3430</v>
      </c>
      <c r="F124" s="30">
        <v>43322</v>
      </c>
      <c r="G124" s="12" t="s">
        <v>3660</v>
      </c>
      <c r="H124" s="32">
        <v>0.54166666666424135</v>
      </c>
      <c r="I124" s="29">
        <v>43322.625</v>
      </c>
      <c r="J124" s="12" t="s">
        <v>3377</v>
      </c>
      <c r="L124" s="12" t="s">
        <v>3393</v>
      </c>
      <c r="M124" s="12" t="s">
        <v>3591</v>
      </c>
      <c r="N124" s="12" t="s">
        <v>3661</v>
      </c>
      <c r="O124" s="12" t="s">
        <v>3470</v>
      </c>
      <c r="P124" s="12" t="s">
        <v>3369</v>
      </c>
      <c r="Q124" s="12" t="s">
        <v>3369</v>
      </c>
      <c r="R124" s="12" t="s">
        <v>3369</v>
      </c>
      <c r="S124" s="12" t="s">
        <v>3369</v>
      </c>
      <c r="T124" s="12" t="s">
        <v>3369</v>
      </c>
      <c r="U124" s="12" t="s">
        <v>3369</v>
      </c>
      <c r="V124" s="12" t="s">
        <v>3369</v>
      </c>
      <c r="W124" s="12" t="s">
        <v>3369</v>
      </c>
      <c r="X124" s="12" t="s">
        <v>3369</v>
      </c>
      <c r="Y124" s="12" t="s">
        <v>3369</v>
      </c>
      <c r="Z124" s="12" t="s">
        <v>3369</v>
      </c>
      <c r="AA124" s="12" t="s">
        <v>3369</v>
      </c>
      <c r="AB124" s="12" t="s">
        <v>3369</v>
      </c>
      <c r="AE124" s="32">
        <v>0.4375</v>
      </c>
      <c r="AF124" s="35"/>
      <c r="AG124" s="33" t="s">
        <v>312</v>
      </c>
      <c r="AH124" s="36" t="s">
        <v>313</v>
      </c>
      <c r="AI124" s="36" t="str">
        <f>HYPERLINK("https://docs.google.com/document/d/17sdCynz09IpAwVH5o8CprezXdWWPeoNhVJw4691Iw8A/edit?usp=drivesdk","Silas Tanner - 8/10/2018 10:30 AM")</f>
        <v>Silas Tanner - 8/10/2018 10:30 AM</v>
      </c>
      <c r="AJ124" s="33" t="s">
        <v>314</v>
      </c>
    </row>
    <row r="125" spans="1:36" ht="12.75">
      <c r="A125" s="29">
        <v>43323.540329085648</v>
      </c>
      <c r="B125" s="12" t="s">
        <v>3662</v>
      </c>
      <c r="C125" s="12" t="s">
        <v>3400</v>
      </c>
      <c r="D125" s="12" t="s">
        <v>3401</v>
      </c>
      <c r="E125" s="12" t="s">
        <v>3663</v>
      </c>
      <c r="F125" s="30">
        <v>43323</v>
      </c>
      <c r="G125" s="12" t="s">
        <v>3664</v>
      </c>
      <c r="H125" s="32">
        <v>0.70833333333575865</v>
      </c>
      <c r="J125" s="12" t="s">
        <v>3298</v>
      </c>
      <c r="L125" s="12" t="s">
        <v>3299</v>
      </c>
      <c r="M125" s="12" t="s">
        <v>3458</v>
      </c>
      <c r="O125" s="12" t="s">
        <v>3408</v>
      </c>
      <c r="P125" s="12" t="s">
        <v>3369</v>
      </c>
      <c r="Q125" s="12" t="s">
        <v>3369</v>
      </c>
      <c r="R125" s="12" t="s">
        <v>3369</v>
      </c>
      <c r="S125" s="12" t="s">
        <v>3369</v>
      </c>
      <c r="T125" s="12" t="s">
        <v>3369</v>
      </c>
      <c r="U125" s="12" t="s">
        <v>3369</v>
      </c>
      <c r="V125" s="12" t="s">
        <v>3369</v>
      </c>
      <c r="W125" s="12" t="s">
        <v>3369</v>
      </c>
      <c r="X125" s="12" t="s">
        <v>3369</v>
      </c>
      <c r="Y125" s="12" t="s">
        <v>3369</v>
      </c>
      <c r="Z125" s="12" t="s">
        <v>3369</v>
      </c>
      <c r="AA125" s="12" t="s">
        <v>3369</v>
      </c>
      <c r="AB125" s="12" t="s">
        <v>3369</v>
      </c>
      <c r="AE125" s="32">
        <v>0.54166666666424135</v>
      </c>
      <c r="AF125" s="35"/>
      <c r="AG125" s="33" t="s">
        <v>315</v>
      </c>
      <c r="AH125" s="36" t="s">
        <v>316</v>
      </c>
      <c r="AI125" s="36" t="str">
        <f>HYPERLINK("https://docs.google.com/document/d/1ewslJEYMYiLWpQVfKwKUIdB5aER5uzJ2SHLwyC5bnho/edit?usp=drivesdk","James Tomazinis  - 8/11/2018 1:00 PM")</f>
        <v>James Tomazinis  - 8/11/2018 1:00 PM</v>
      </c>
      <c r="AJ125" s="33" t="s">
        <v>317</v>
      </c>
    </row>
    <row r="126" spans="1:36" ht="12.75">
      <c r="A126" s="29">
        <v>43326.450935335648</v>
      </c>
      <c r="B126" s="12" t="s">
        <v>3293</v>
      </c>
      <c r="C126" s="12" t="s">
        <v>3308</v>
      </c>
      <c r="D126" s="12" t="s">
        <v>3303</v>
      </c>
      <c r="E126" s="12" t="s">
        <v>3318</v>
      </c>
      <c r="F126" s="30">
        <v>43326</v>
      </c>
      <c r="G126" s="12" t="s">
        <v>3338</v>
      </c>
      <c r="H126" s="32">
        <v>0.66666666666424135</v>
      </c>
      <c r="I126" s="29">
        <v>43326.6875</v>
      </c>
      <c r="J126" s="12" t="s">
        <v>3377</v>
      </c>
      <c r="L126" s="12" t="s">
        <v>3393</v>
      </c>
      <c r="M126" s="12" t="s">
        <v>3313</v>
      </c>
      <c r="N126" s="12" t="s">
        <v>3665</v>
      </c>
      <c r="O126" s="12" t="s">
        <v>3293</v>
      </c>
      <c r="P126" s="12" t="s">
        <v>3369</v>
      </c>
      <c r="Q126" s="12" t="s">
        <v>3369</v>
      </c>
      <c r="R126" s="12" t="s">
        <v>3369</v>
      </c>
      <c r="S126" s="12" t="s">
        <v>3369</v>
      </c>
      <c r="T126" s="12" t="s">
        <v>3369</v>
      </c>
      <c r="U126" s="12" t="s">
        <v>3369</v>
      </c>
      <c r="V126" s="12" t="s">
        <v>3369</v>
      </c>
      <c r="W126" s="12" t="s">
        <v>3369</v>
      </c>
      <c r="X126" s="12" t="s">
        <v>3369</v>
      </c>
      <c r="Y126" s="12" t="s">
        <v>3369</v>
      </c>
      <c r="Z126" s="12" t="s">
        <v>3369</v>
      </c>
      <c r="AA126" s="12" t="s">
        <v>3369</v>
      </c>
      <c r="AB126" s="12" t="s">
        <v>3369</v>
      </c>
      <c r="AC126" s="12" t="s">
        <v>3666</v>
      </c>
      <c r="AD126" s="12" t="s">
        <v>3667</v>
      </c>
      <c r="AE126" s="32">
        <v>0.54166666666424135</v>
      </c>
      <c r="AF126" s="35"/>
      <c r="AG126" s="33" t="s">
        <v>318</v>
      </c>
      <c r="AH126" s="36" t="s">
        <v>319</v>
      </c>
      <c r="AI126" s="36" t="str">
        <f>HYPERLINK("https://docs.google.com/document/d/1UoUokpEmpx5df0h6r4uANvSRcZZUW8I676NwUPCYPfg/edit?usp=drivesdk","Kenneth Rainer - 8/14/2018 1:00 PM")</f>
        <v>Kenneth Rainer - 8/14/2018 1:00 PM</v>
      </c>
      <c r="AJ126" s="33" t="s">
        <v>320</v>
      </c>
    </row>
    <row r="127" spans="1:36" ht="12.75">
      <c r="A127" s="29">
        <v>43326.498959872682</v>
      </c>
      <c r="B127" s="12" t="s">
        <v>3406</v>
      </c>
      <c r="C127" s="12" t="s">
        <v>2137</v>
      </c>
      <c r="D127" s="12" t="s">
        <v>3401</v>
      </c>
      <c r="E127" s="12" t="s">
        <v>3404</v>
      </c>
      <c r="F127" s="30">
        <v>43326</v>
      </c>
      <c r="G127" s="12" t="s">
        <v>3668</v>
      </c>
      <c r="H127" s="32">
        <v>0.6875</v>
      </c>
      <c r="I127" s="29">
        <v>43326.708333333328</v>
      </c>
      <c r="J127" s="12" t="s">
        <v>3366</v>
      </c>
      <c r="L127" s="12" t="s">
        <v>3299</v>
      </c>
      <c r="M127" s="12" t="s">
        <v>3458</v>
      </c>
      <c r="N127" s="12" t="s">
        <v>3669</v>
      </c>
      <c r="O127" s="12" t="s">
        <v>3406</v>
      </c>
      <c r="P127" s="12" t="s">
        <v>3369</v>
      </c>
      <c r="Q127" s="12" t="s">
        <v>3369</v>
      </c>
      <c r="R127" s="12" t="s">
        <v>3369</v>
      </c>
      <c r="S127" s="12" t="s">
        <v>3369</v>
      </c>
      <c r="T127" s="12" t="s">
        <v>3369</v>
      </c>
      <c r="U127" s="12" t="s">
        <v>3369</v>
      </c>
      <c r="V127" s="12" t="s">
        <v>3369</v>
      </c>
      <c r="W127" s="12" t="s">
        <v>3369</v>
      </c>
      <c r="X127" s="12" t="s">
        <v>3369</v>
      </c>
      <c r="Y127" s="12" t="s">
        <v>3369</v>
      </c>
      <c r="Z127" s="12" t="s">
        <v>3369</v>
      </c>
      <c r="AA127" s="12" t="s">
        <v>3369</v>
      </c>
      <c r="AB127" s="12" t="s">
        <v>3369</v>
      </c>
      <c r="AE127" s="32">
        <v>0.54166666666424135</v>
      </c>
      <c r="AF127" s="35"/>
      <c r="AG127" s="33" t="s">
        <v>321</v>
      </c>
      <c r="AH127" s="36" t="s">
        <v>322</v>
      </c>
      <c r="AI127" s="36" t="str">
        <f>HYPERLINK("https://docs.google.com/document/d/1Zr-dHoYFPh8hWNtbTV1mMdu01l2o95lPBKDPC730sdw/edit?usp=drivesdk","Jimmy Tomazinis - 8/14/2018 1:00 PM")</f>
        <v>Jimmy Tomazinis - 8/14/2018 1:00 PM</v>
      </c>
      <c r="AJ127" s="33" t="s">
        <v>323</v>
      </c>
    </row>
    <row r="128" spans="1:36" ht="12.75">
      <c r="A128" s="29">
        <v>43327.41478663194</v>
      </c>
      <c r="B128" s="12" t="s">
        <v>3386</v>
      </c>
      <c r="C128" s="12" t="s">
        <v>3481</v>
      </c>
      <c r="D128" s="12" t="s">
        <v>3589</v>
      </c>
      <c r="E128" s="12" t="s">
        <v>3430</v>
      </c>
      <c r="F128" s="30">
        <v>43327</v>
      </c>
      <c r="G128" s="12" t="s">
        <v>3670</v>
      </c>
      <c r="H128" s="32">
        <v>0.625</v>
      </c>
      <c r="I128" s="29">
        <v>43327.666666666672</v>
      </c>
      <c r="J128" s="12" t="s">
        <v>3377</v>
      </c>
      <c r="L128" s="12" t="s">
        <v>3393</v>
      </c>
      <c r="M128" s="12" t="s">
        <v>3489</v>
      </c>
      <c r="O128" s="12" t="s">
        <v>3499</v>
      </c>
      <c r="P128" s="12" t="s">
        <v>3369</v>
      </c>
      <c r="Q128" s="12" t="s">
        <v>3369</v>
      </c>
      <c r="R128" s="12" t="s">
        <v>3369</v>
      </c>
      <c r="S128" s="12" t="s">
        <v>3369</v>
      </c>
      <c r="T128" s="12" t="s">
        <v>3369</v>
      </c>
      <c r="U128" s="12" t="s">
        <v>3369</v>
      </c>
      <c r="V128" s="12" t="s">
        <v>3369</v>
      </c>
      <c r="W128" s="12" t="s">
        <v>3369</v>
      </c>
      <c r="X128" s="12" t="s">
        <v>3369</v>
      </c>
      <c r="Y128" s="12" t="s">
        <v>3369</v>
      </c>
      <c r="Z128" s="12" t="s">
        <v>3369</v>
      </c>
      <c r="AA128" s="12" t="s">
        <v>3369</v>
      </c>
      <c r="AB128" s="12" t="s">
        <v>3369</v>
      </c>
      <c r="AE128" s="32">
        <v>0.54166666666424135</v>
      </c>
      <c r="AF128" s="35"/>
      <c r="AG128" s="33" t="s">
        <v>324</v>
      </c>
      <c r="AH128" s="36" t="s">
        <v>325</v>
      </c>
      <c r="AI128" s="36" t="str">
        <f>HYPERLINK("https://docs.google.com/document/d/1ERbNqlmZ7cO96gpNW3hInnDf7lFEo276aaUSKUXyTaw/edit?usp=drivesdk","Ben Mowbray - 8/15/2018 1:00 PM")</f>
        <v>Ben Mowbray - 8/15/2018 1:00 PM</v>
      </c>
      <c r="AJ128" s="33" t="s">
        <v>326</v>
      </c>
    </row>
    <row r="129" spans="1:36" ht="12.75">
      <c r="A129" s="29">
        <v>43329.47656545139</v>
      </c>
      <c r="B129" s="12" t="s">
        <v>3386</v>
      </c>
      <c r="C129" s="12" t="s">
        <v>3481</v>
      </c>
      <c r="D129" s="12" t="s">
        <v>3589</v>
      </c>
      <c r="E129" s="12" t="s">
        <v>3296</v>
      </c>
      <c r="F129" s="30">
        <v>43332</v>
      </c>
      <c r="G129" s="12" t="s">
        <v>3671</v>
      </c>
      <c r="H129" s="32">
        <v>0.63888888889050577</v>
      </c>
      <c r="I129" s="29">
        <v>43332.652777777781</v>
      </c>
      <c r="J129" s="12" t="s">
        <v>3331</v>
      </c>
      <c r="L129" s="12" t="s">
        <v>3393</v>
      </c>
      <c r="M129" s="12" t="s">
        <v>3489</v>
      </c>
      <c r="N129" s="12" t="s">
        <v>3672</v>
      </c>
      <c r="O129" s="12" t="s">
        <v>3499</v>
      </c>
      <c r="P129" s="12" t="s">
        <v>3369</v>
      </c>
      <c r="Q129" s="12" t="s">
        <v>3369</v>
      </c>
      <c r="R129" s="12" t="s">
        <v>3369</v>
      </c>
      <c r="S129" s="12" t="s">
        <v>3369</v>
      </c>
      <c r="T129" s="12" t="s">
        <v>3369</v>
      </c>
      <c r="U129" s="12" t="s">
        <v>3369</v>
      </c>
      <c r="V129" s="12" t="s">
        <v>3369</v>
      </c>
      <c r="W129" s="12" t="s">
        <v>3369</v>
      </c>
      <c r="X129" s="12" t="s">
        <v>3369</v>
      </c>
      <c r="Y129" s="12" t="s">
        <v>3369</v>
      </c>
      <c r="Z129" s="12" t="s">
        <v>3369</v>
      </c>
      <c r="AA129" s="12" t="s">
        <v>3369</v>
      </c>
      <c r="AB129" s="12" t="s">
        <v>3369</v>
      </c>
      <c r="AE129" s="32">
        <v>0.34722222221898846</v>
      </c>
      <c r="AF129" s="35"/>
      <c r="AG129" s="33" t="s">
        <v>327</v>
      </c>
      <c r="AH129" s="36" t="s">
        <v>328</v>
      </c>
      <c r="AI129" s="36" t="str">
        <f>HYPERLINK("https://docs.google.com/document/d/1Xqh3FggsY2bltRwZowLuBS6_e56PQHzyI4rVU95A2Zg/edit?usp=drivesdk","Ben Mowbray - 8/20/2018 8:20 AM")</f>
        <v>Ben Mowbray - 8/20/2018 8:20 AM</v>
      </c>
      <c r="AJ129" s="33" t="s">
        <v>329</v>
      </c>
    </row>
    <row r="130" spans="1:36" ht="12.75">
      <c r="A130" s="29">
        <v>43332.356024120367</v>
      </c>
      <c r="B130" s="12" t="s">
        <v>3399</v>
      </c>
      <c r="C130" s="12" t="s">
        <v>3400</v>
      </c>
      <c r="D130" s="12" t="s">
        <v>3401</v>
      </c>
      <c r="E130" s="12" t="s">
        <v>3404</v>
      </c>
      <c r="F130" s="30">
        <v>43332</v>
      </c>
      <c r="G130" s="12" t="s">
        <v>3673</v>
      </c>
      <c r="H130" s="32">
        <v>0.70833333333575865</v>
      </c>
      <c r="J130" s="12" t="s">
        <v>3377</v>
      </c>
      <c r="L130" s="12" t="s">
        <v>3299</v>
      </c>
      <c r="M130" s="12" t="s">
        <v>3466</v>
      </c>
      <c r="N130" s="12" t="s">
        <v>3505</v>
      </c>
      <c r="O130" s="12" t="s">
        <v>3408</v>
      </c>
      <c r="P130" s="12" t="s">
        <v>3369</v>
      </c>
      <c r="Q130" s="12" t="s">
        <v>3369</v>
      </c>
      <c r="R130" s="12" t="s">
        <v>3369</v>
      </c>
      <c r="S130" s="12" t="s">
        <v>3369</v>
      </c>
      <c r="T130" s="12" t="s">
        <v>3369</v>
      </c>
      <c r="U130" s="12" t="s">
        <v>3369</v>
      </c>
      <c r="V130" s="12" t="s">
        <v>3369</v>
      </c>
      <c r="W130" s="12" t="s">
        <v>3369</v>
      </c>
      <c r="X130" s="12" t="s">
        <v>3369</v>
      </c>
      <c r="Y130" s="12" t="s">
        <v>3369</v>
      </c>
      <c r="Z130" s="12" t="s">
        <v>3369</v>
      </c>
      <c r="AA130" s="12" t="s">
        <v>3369</v>
      </c>
      <c r="AB130" s="12" t="s">
        <v>3369</v>
      </c>
      <c r="AE130" s="32">
        <v>0.39583333333575865</v>
      </c>
      <c r="AF130" s="35"/>
      <c r="AG130" s="33" t="s">
        <v>330</v>
      </c>
      <c r="AH130" s="36" t="s">
        <v>331</v>
      </c>
      <c r="AI130" s="36" t="str">
        <f>HYPERLINK("https://docs.google.com/document/d/1LabdHmssr2wUehcOV54gssrkT8MfwEnxZTasLs1gtgo/edit?usp=drivesdk","James Tomazinis - 8/20/2018 9:30 AM")</f>
        <v>James Tomazinis - 8/20/2018 9:30 AM</v>
      </c>
      <c r="AJ130" s="33" t="s">
        <v>332</v>
      </c>
    </row>
    <row r="131" spans="1:36" ht="12.75">
      <c r="A131" s="29">
        <v>43333.356462488431</v>
      </c>
      <c r="B131" s="12" t="s">
        <v>3399</v>
      </c>
      <c r="C131" s="12" t="s">
        <v>3400</v>
      </c>
      <c r="D131" s="12" t="s">
        <v>3401</v>
      </c>
      <c r="E131" s="12" t="s">
        <v>3404</v>
      </c>
      <c r="F131" s="30">
        <v>43333</v>
      </c>
      <c r="G131" s="12" t="s">
        <v>3673</v>
      </c>
      <c r="H131" s="32">
        <v>0.70833333333575865</v>
      </c>
      <c r="J131" s="12" t="s">
        <v>3377</v>
      </c>
      <c r="L131" s="12" t="s">
        <v>3299</v>
      </c>
      <c r="M131" s="12" t="s">
        <v>3466</v>
      </c>
      <c r="N131" s="12" t="s">
        <v>3674</v>
      </c>
      <c r="O131" s="12" t="s">
        <v>3408</v>
      </c>
      <c r="P131" s="12" t="s">
        <v>3369</v>
      </c>
      <c r="Q131" s="12" t="s">
        <v>3369</v>
      </c>
      <c r="R131" s="12" t="s">
        <v>3369</v>
      </c>
      <c r="S131" s="12" t="s">
        <v>3369</v>
      </c>
      <c r="T131" s="12" t="s">
        <v>3369</v>
      </c>
      <c r="U131" s="12" t="s">
        <v>3369</v>
      </c>
      <c r="V131" s="12" t="s">
        <v>3369</v>
      </c>
      <c r="W131" s="12" t="s">
        <v>3369</v>
      </c>
      <c r="X131" s="12" t="s">
        <v>3369</v>
      </c>
      <c r="Y131" s="12" t="s">
        <v>3369</v>
      </c>
      <c r="Z131" s="12" t="s">
        <v>3369</v>
      </c>
      <c r="AA131" s="12" t="s">
        <v>3369</v>
      </c>
      <c r="AB131" s="12" t="s">
        <v>3369</v>
      </c>
      <c r="AE131" s="32">
        <v>0.39583333333575865</v>
      </c>
      <c r="AF131" s="35"/>
      <c r="AG131" s="33" t="s">
        <v>333</v>
      </c>
      <c r="AH131" s="36" t="s">
        <v>334</v>
      </c>
      <c r="AI131" s="36" t="str">
        <f>HYPERLINK("https://docs.google.com/document/d/1q53uSpEdchRnj-Rtxaj4hDDzRXe32da2SRUUmKfdEYs/edit?usp=drivesdk","James Tomazinis - 8/21/2018 9:30 AM")</f>
        <v>James Tomazinis - 8/21/2018 9:30 AM</v>
      </c>
      <c r="AJ131" s="33" t="s">
        <v>335</v>
      </c>
    </row>
    <row r="132" spans="1:36" ht="12.75">
      <c r="A132" s="29">
        <v>43333.380585497682</v>
      </c>
      <c r="B132" s="12" t="s">
        <v>3386</v>
      </c>
      <c r="C132" s="12" t="s">
        <v>3481</v>
      </c>
      <c r="D132" s="12" t="s">
        <v>3589</v>
      </c>
      <c r="E132" s="12" t="s">
        <v>3296</v>
      </c>
      <c r="F132" s="30">
        <v>43333</v>
      </c>
      <c r="G132" s="12" t="s">
        <v>3675</v>
      </c>
      <c r="H132" s="32">
        <v>0.5625</v>
      </c>
      <c r="I132" s="29">
        <v>43333.583333333328</v>
      </c>
      <c r="J132" s="12" t="s">
        <v>3331</v>
      </c>
      <c r="L132" s="12" t="s">
        <v>3393</v>
      </c>
      <c r="M132" s="12" t="s">
        <v>3676</v>
      </c>
      <c r="N132" s="12" t="s">
        <v>3677</v>
      </c>
      <c r="O132" s="12" t="s">
        <v>3381</v>
      </c>
      <c r="P132" s="12" t="s">
        <v>3369</v>
      </c>
      <c r="Q132" s="12" t="s">
        <v>3369</v>
      </c>
      <c r="R132" s="12" t="s">
        <v>3369</v>
      </c>
      <c r="S132" s="12" t="s">
        <v>3369</v>
      </c>
      <c r="T132" s="12" t="s">
        <v>3369</v>
      </c>
      <c r="U132" s="12" t="s">
        <v>3369</v>
      </c>
      <c r="V132" s="12" t="s">
        <v>3369</v>
      </c>
      <c r="W132" s="12" t="s">
        <v>3369</v>
      </c>
      <c r="X132" s="12" t="s">
        <v>3369</v>
      </c>
      <c r="Y132" s="12" t="s">
        <v>3369</v>
      </c>
      <c r="Z132" s="12" t="s">
        <v>3369</v>
      </c>
      <c r="AA132" s="12" t="s">
        <v>3369</v>
      </c>
      <c r="AB132" s="12" t="s">
        <v>3369</v>
      </c>
      <c r="AE132" s="32">
        <v>0.40277777778101154</v>
      </c>
      <c r="AF132" s="35"/>
      <c r="AG132" s="33" t="s">
        <v>336</v>
      </c>
      <c r="AH132" s="36" t="s">
        <v>337</v>
      </c>
      <c r="AI132" s="36" t="str">
        <f>HYPERLINK("https://docs.google.com/document/d/1-b6Gewks7v19ieHsXcoC8h0jDEWW_u_gOcnr1iFkHVU/edit?usp=drivesdk","Ben Mowbray - 8/21/2018 9:40 AM")</f>
        <v>Ben Mowbray - 8/21/2018 9:40 AM</v>
      </c>
      <c r="AJ132" s="33" t="s">
        <v>338</v>
      </c>
    </row>
    <row r="133" spans="1:36" ht="12.75">
      <c r="A133" s="29">
        <v>43334.386247916671</v>
      </c>
      <c r="B133" s="12" t="s">
        <v>3399</v>
      </c>
      <c r="C133" s="12" t="s">
        <v>3400</v>
      </c>
      <c r="D133" s="12" t="s">
        <v>3401</v>
      </c>
      <c r="E133" s="12" t="s">
        <v>3482</v>
      </c>
      <c r="F133" s="30">
        <v>43334</v>
      </c>
      <c r="G133" s="12" t="s">
        <v>3678</v>
      </c>
      <c r="H133" s="32">
        <v>0.70833333333575865</v>
      </c>
      <c r="J133" s="12" t="s">
        <v>3377</v>
      </c>
      <c r="L133" s="12" t="s">
        <v>3299</v>
      </c>
      <c r="M133" s="12" t="s">
        <v>3580</v>
      </c>
      <c r="N133" s="12" t="s">
        <v>3679</v>
      </c>
      <c r="O133" s="12" t="s">
        <v>3408</v>
      </c>
      <c r="P133" s="12" t="s">
        <v>3369</v>
      </c>
      <c r="Q133" s="12" t="s">
        <v>3369</v>
      </c>
      <c r="R133" s="12" t="s">
        <v>3369</v>
      </c>
      <c r="S133" s="12" t="s">
        <v>3369</v>
      </c>
      <c r="T133" s="12" t="s">
        <v>3369</v>
      </c>
      <c r="U133" s="12" t="s">
        <v>3369</v>
      </c>
      <c r="V133" s="12" t="s">
        <v>3369</v>
      </c>
      <c r="W133" s="12" t="s">
        <v>3369</v>
      </c>
      <c r="X133" s="12" t="s">
        <v>3369</v>
      </c>
      <c r="Y133" s="12" t="s">
        <v>3369</v>
      </c>
      <c r="Z133" s="12" t="s">
        <v>3369</v>
      </c>
      <c r="AA133" s="12" t="s">
        <v>3369</v>
      </c>
      <c r="AB133" s="12" t="s">
        <v>3369</v>
      </c>
      <c r="AE133" s="32">
        <v>0.39583333333575865</v>
      </c>
      <c r="AF133" s="35"/>
      <c r="AG133" s="33" t="s">
        <v>339</v>
      </c>
      <c r="AH133" s="36" t="s">
        <v>340</v>
      </c>
      <c r="AI133" s="36" t="str">
        <f>HYPERLINK("https://docs.google.com/document/d/1FbfrpXrmysodX8qvntPP4u8abx1oSvLdYgvdnAhlqV4/edit?usp=drivesdk","James Tomazinis - 8/22/2018 9:30 AM")</f>
        <v>James Tomazinis - 8/22/2018 9:30 AM</v>
      </c>
      <c r="AJ133" s="33" t="s">
        <v>341</v>
      </c>
    </row>
    <row r="134" spans="1:36" ht="12.75">
      <c r="A134" s="29">
        <v>43334.654585405093</v>
      </c>
      <c r="B134" s="12" t="s">
        <v>3390</v>
      </c>
      <c r="C134" s="12" t="s">
        <v>3391</v>
      </c>
      <c r="D134" s="12" t="s">
        <v>3589</v>
      </c>
      <c r="E134" s="12" t="s">
        <v>3396</v>
      </c>
      <c r="F134" s="30">
        <v>43335</v>
      </c>
      <c r="G134" s="12" t="s">
        <v>3529</v>
      </c>
      <c r="H134" s="32">
        <v>0.625</v>
      </c>
      <c r="I134" s="29">
        <v>43335.645833333328</v>
      </c>
      <c r="J134" s="12" t="s">
        <v>3331</v>
      </c>
      <c r="L134" s="12" t="s">
        <v>3393</v>
      </c>
      <c r="M134" s="12" t="s">
        <v>3591</v>
      </c>
      <c r="N134" s="12" t="s">
        <v>3680</v>
      </c>
      <c r="O134" s="12" t="s">
        <v>3470</v>
      </c>
      <c r="P134" s="12" t="s">
        <v>3369</v>
      </c>
      <c r="Q134" s="12" t="s">
        <v>3369</v>
      </c>
      <c r="R134" s="12" t="s">
        <v>3369</v>
      </c>
      <c r="S134" s="12" t="s">
        <v>3369</v>
      </c>
      <c r="T134" s="12" t="s">
        <v>3369</v>
      </c>
      <c r="U134" s="12" t="s">
        <v>3369</v>
      </c>
      <c r="V134" s="12" t="s">
        <v>3369</v>
      </c>
      <c r="W134" s="12" t="s">
        <v>3369</v>
      </c>
      <c r="X134" s="12" t="s">
        <v>3369</v>
      </c>
      <c r="Y134" s="12" t="s">
        <v>3369</v>
      </c>
      <c r="Z134" s="12" t="s">
        <v>3369</v>
      </c>
      <c r="AA134" s="12" t="s">
        <v>3369</v>
      </c>
      <c r="AB134" s="12" t="s">
        <v>3369</v>
      </c>
      <c r="AE134" s="32">
        <v>0.30208333333575865</v>
      </c>
      <c r="AF134" s="35"/>
      <c r="AG134" s="33" t="s">
        <v>342</v>
      </c>
      <c r="AH134" s="36" t="s">
        <v>343</v>
      </c>
      <c r="AI134" s="36" t="str">
        <f>HYPERLINK("https://docs.google.com/document/d/1V_UjvbS_4beIAIbGI2rknHAZN_bkiraEkuj6Ua6mwWE/edit?usp=drivesdk","Silas Tanner - 8/23/2018 7:15 AM")</f>
        <v>Silas Tanner - 8/23/2018 7:15 AM</v>
      </c>
      <c r="AJ134" s="33" t="s">
        <v>344</v>
      </c>
    </row>
    <row r="135" spans="1:36" ht="12.75">
      <c r="A135" s="29">
        <v>43335.38977065972</v>
      </c>
      <c r="B135" s="12" t="s">
        <v>3417</v>
      </c>
      <c r="C135" s="12" t="s">
        <v>3383</v>
      </c>
      <c r="D135" s="12" t="s">
        <v>3589</v>
      </c>
      <c r="E135" s="12" t="s">
        <v>3296</v>
      </c>
      <c r="F135" s="30">
        <v>43335</v>
      </c>
      <c r="G135" s="12" t="s">
        <v>3681</v>
      </c>
      <c r="H135" s="32">
        <v>0.625</v>
      </c>
      <c r="I135" s="29">
        <v>43335.666666666672</v>
      </c>
      <c r="J135" s="12" t="s">
        <v>3366</v>
      </c>
      <c r="L135" s="12" t="s">
        <v>3682</v>
      </c>
      <c r="M135" s="12" t="s">
        <v>3489</v>
      </c>
      <c r="O135" s="12" t="s">
        <v>3417</v>
      </c>
      <c r="P135" s="12" t="s">
        <v>3369</v>
      </c>
      <c r="Q135" s="12" t="s">
        <v>3369</v>
      </c>
      <c r="R135" s="12" t="s">
        <v>3369</v>
      </c>
      <c r="S135" s="12" t="s">
        <v>3369</v>
      </c>
      <c r="T135" s="12" t="s">
        <v>3369</v>
      </c>
      <c r="U135" s="12" t="s">
        <v>3369</v>
      </c>
      <c r="V135" s="12" t="s">
        <v>3369</v>
      </c>
      <c r="W135" s="12" t="s">
        <v>3369</v>
      </c>
      <c r="X135" s="12" t="s">
        <v>3369</v>
      </c>
      <c r="Y135" s="12" t="s">
        <v>3369</v>
      </c>
      <c r="Z135" s="12" t="s">
        <v>3369</v>
      </c>
      <c r="AA135" s="12" t="s">
        <v>3369</v>
      </c>
      <c r="AB135" s="12" t="s">
        <v>3369</v>
      </c>
      <c r="AE135" s="32">
        <v>0.45833333333575865</v>
      </c>
      <c r="AF135" s="35"/>
      <c r="AG135" s="33" t="s">
        <v>345</v>
      </c>
      <c r="AH135" s="36" t="s">
        <v>346</v>
      </c>
      <c r="AI135" s="36" t="str">
        <f>HYPERLINK("https://docs.google.com/document/d/1FoCPEaVaT4-aS9Qr0r4nW6zlRTuDNZoJ3QoyHDTqm4A/edit?usp=drivesdk","Pam Marcum - 8/23/2018 11:00 AM")</f>
        <v>Pam Marcum - 8/23/2018 11:00 AM</v>
      </c>
      <c r="AJ135" s="33" t="s">
        <v>347</v>
      </c>
    </row>
    <row r="136" spans="1:36" ht="12.75">
      <c r="A136" s="29">
        <v>43335.921703680557</v>
      </c>
      <c r="B136" s="12" t="s">
        <v>3470</v>
      </c>
      <c r="C136" s="12" t="s">
        <v>3683</v>
      </c>
      <c r="D136" s="12" t="s">
        <v>3589</v>
      </c>
      <c r="E136" s="12" t="s">
        <v>3472</v>
      </c>
      <c r="F136" s="30">
        <v>43336</v>
      </c>
      <c r="G136" s="12" t="s">
        <v>3684</v>
      </c>
      <c r="H136" s="32">
        <v>0.54166666666424135</v>
      </c>
      <c r="I136" s="29">
        <v>43336.645833333328</v>
      </c>
      <c r="J136" s="12" t="s">
        <v>3331</v>
      </c>
      <c r="L136" s="12" t="s">
        <v>3393</v>
      </c>
      <c r="M136" s="12" t="s">
        <v>3591</v>
      </c>
      <c r="N136" s="12" t="s">
        <v>3685</v>
      </c>
      <c r="O136" s="12" t="s">
        <v>3470</v>
      </c>
      <c r="P136" s="12" t="s">
        <v>3369</v>
      </c>
      <c r="Q136" s="12" t="s">
        <v>3369</v>
      </c>
      <c r="R136" s="12" t="s">
        <v>3369</v>
      </c>
      <c r="S136" s="12" t="s">
        <v>3369</v>
      </c>
      <c r="T136" s="12" t="s">
        <v>3369</v>
      </c>
      <c r="U136" s="12" t="s">
        <v>3369</v>
      </c>
      <c r="V136" s="12" t="s">
        <v>3369</v>
      </c>
      <c r="W136" s="12" t="s">
        <v>3369</v>
      </c>
      <c r="X136" s="12" t="s">
        <v>3369</v>
      </c>
      <c r="Y136" s="12" t="s">
        <v>3369</v>
      </c>
      <c r="Z136" s="12" t="s">
        <v>3369</v>
      </c>
      <c r="AA136" s="12" t="s">
        <v>3369</v>
      </c>
      <c r="AB136" s="12" t="s">
        <v>3369</v>
      </c>
      <c r="AE136" s="32">
        <v>0.4375</v>
      </c>
      <c r="AF136" s="35"/>
      <c r="AG136" s="33" t="s">
        <v>348</v>
      </c>
      <c r="AH136" s="36" t="s">
        <v>349</v>
      </c>
      <c r="AI136" s="36" t="str">
        <f>HYPERLINK("https://docs.google.com/document/d/1XqXDCS49mMlYjyDJhRRyb2rd--vYYMQZl9cTt1SyJXY/edit?usp=drivesdk","Shannon Dunnigan - 8/24/2018 10:30 AM")</f>
        <v>Shannon Dunnigan - 8/24/2018 10:30 AM</v>
      </c>
      <c r="AJ136" s="33" t="s">
        <v>350</v>
      </c>
    </row>
    <row r="137" spans="1:36" ht="12.75">
      <c r="A137" s="29">
        <v>43340.684834270833</v>
      </c>
      <c r="B137" s="12" t="s">
        <v>3386</v>
      </c>
      <c r="C137" s="12" t="s">
        <v>3481</v>
      </c>
      <c r="D137" s="12" t="s">
        <v>3295</v>
      </c>
      <c r="E137" s="12" t="s">
        <v>3516</v>
      </c>
      <c r="F137" s="30">
        <v>43341</v>
      </c>
      <c r="G137" s="12" t="s">
        <v>3686</v>
      </c>
      <c r="H137" s="32">
        <v>0.625</v>
      </c>
      <c r="I137" s="29">
        <v>43341.652777777781</v>
      </c>
      <c r="J137" s="12" t="s">
        <v>3331</v>
      </c>
      <c r="L137" s="12" t="s">
        <v>3393</v>
      </c>
      <c r="M137" s="12" t="s">
        <v>3497</v>
      </c>
      <c r="N137" s="12" t="s">
        <v>3490</v>
      </c>
      <c r="O137" s="12" t="s">
        <v>3499</v>
      </c>
      <c r="P137" s="12" t="s">
        <v>3369</v>
      </c>
      <c r="Q137" s="12" t="s">
        <v>3369</v>
      </c>
      <c r="R137" s="12" t="s">
        <v>3369</v>
      </c>
      <c r="S137" s="12" t="s">
        <v>3369</v>
      </c>
      <c r="T137" s="12" t="s">
        <v>3369</v>
      </c>
      <c r="U137" s="12" t="s">
        <v>3369</v>
      </c>
      <c r="V137" s="12" t="s">
        <v>3369</v>
      </c>
      <c r="W137" s="12" t="s">
        <v>3369</v>
      </c>
      <c r="X137" s="12" t="s">
        <v>3369</v>
      </c>
      <c r="Y137" s="12" t="s">
        <v>3369</v>
      </c>
      <c r="Z137" s="12" t="s">
        <v>3369</v>
      </c>
      <c r="AA137" s="12" t="s">
        <v>3369</v>
      </c>
      <c r="AB137" s="12" t="s">
        <v>3369</v>
      </c>
      <c r="AE137" s="32">
        <v>0.42708333333575865</v>
      </c>
      <c r="AF137" s="35"/>
      <c r="AG137" s="33" t="s">
        <v>351</v>
      </c>
      <c r="AH137" s="36" t="s">
        <v>352</v>
      </c>
      <c r="AI137" s="36" t="str">
        <f>HYPERLINK("https://docs.google.com/document/d/12qKaqDTA40f8qxQAUU_wtTRdEwjpjOsa3wmJ7Cm-CR0/edit?usp=drivesdk","Ben Mowbray - 8/29/2018 10:15 AM")</f>
        <v>Ben Mowbray - 8/29/2018 10:15 AM</v>
      </c>
      <c r="AJ137" s="33" t="s">
        <v>353</v>
      </c>
    </row>
    <row r="138" spans="1:36" ht="12.75">
      <c r="A138" s="29">
        <v>43342.405627210646</v>
      </c>
      <c r="B138" s="12" t="s">
        <v>3399</v>
      </c>
      <c r="C138" s="12" t="s">
        <v>3400</v>
      </c>
      <c r="D138" s="12" t="s">
        <v>3401</v>
      </c>
      <c r="E138" s="12" t="s">
        <v>3687</v>
      </c>
      <c r="F138" s="30">
        <v>43342</v>
      </c>
      <c r="G138" s="12" t="s">
        <v>3436</v>
      </c>
      <c r="H138" s="32">
        <v>0.66666666666424135</v>
      </c>
      <c r="J138" s="12" t="s">
        <v>3377</v>
      </c>
      <c r="L138" s="12" t="s">
        <v>3299</v>
      </c>
      <c r="M138" s="12" t="s">
        <v>3458</v>
      </c>
      <c r="N138" s="12" t="s">
        <v>3688</v>
      </c>
      <c r="O138" s="12" t="s">
        <v>3408</v>
      </c>
      <c r="P138" s="12" t="s">
        <v>3369</v>
      </c>
      <c r="Q138" s="12" t="s">
        <v>3369</v>
      </c>
      <c r="R138" s="12" t="s">
        <v>3369</v>
      </c>
      <c r="S138" s="12" t="s">
        <v>3369</v>
      </c>
      <c r="T138" s="12" t="s">
        <v>3369</v>
      </c>
      <c r="U138" s="12" t="s">
        <v>3369</v>
      </c>
      <c r="V138" s="12" t="s">
        <v>3369</v>
      </c>
      <c r="W138" s="12" t="s">
        <v>3369</v>
      </c>
      <c r="X138" s="12" t="s">
        <v>3369</v>
      </c>
      <c r="Y138" s="12" t="s">
        <v>3369</v>
      </c>
      <c r="Z138" s="12" t="s">
        <v>3369</v>
      </c>
      <c r="AA138" s="12" t="s">
        <v>3369</v>
      </c>
      <c r="AB138" s="12" t="s">
        <v>3369</v>
      </c>
      <c r="AE138" s="32">
        <v>0.41666666666424135</v>
      </c>
      <c r="AF138" s="35"/>
      <c r="AG138" s="33" t="s">
        <v>354</v>
      </c>
      <c r="AH138" s="36" t="s">
        <v>355</v>
      </c>
      <c r="AI138" s="36" t="str">
        <f>HYPERLINK("https://docs.google.com/document/d/1n6ckOJjtT5Kbqv-5GwvO7IK8Y_xs2-jWe9dPvarxoEo/edit?usp=drivesdk","James Tomazinis - 8/30/2018 10:00 AM")</f>
        <v>James Tomazinis - 8/30/2018 10:00 AM</v>
      </c>
      <c r="AJ138" s="33" t="s">
        <v>356</v>
      </c>
    </row>
    <row r="139" spans="1:36" ht="12.75">
      <c r="A139" s="29">
        <v>43347.344824988424</v>
      </c>
      <c r="B139" s="12" t="s">
        <v>3386</v>
      </c>
      <c r="C139" s="12" t="s">
        <v>3481</v>
      </c>
      <c r="D139" s="12" t="s">
        <v>3295</v>
      </c>
      <c r="E139" s="12" t="s">
        <v>3509</v>
      </c>
      <c r="F139" s="30">
        <v>43347</v>
      </c>
      <c r="G139" s="12" t="s">
        <v>3496</v>
      </c>
      <c r="H139" s="32">
        <v>0.64583333333575865</v>
      </c>
      <c r="I139" s="29">
        <v>43347.6875</v>
      </c>
      <c r="J139" s="12" t="s">
        <v>3331</v>
      </c>
      <c r="L139" s="12" t="s">
        <v>3689</v>
      </c>
      <c r="M139" s="12" t="s">
        <v>3497</v>
      </c>
      <c r="N139" s="12" t="s">
        <v>3690</v>
      </c>
      <c r="O139" s="12" t="s">
        <v>3499</v>
      </c>
      <c r="P139" s="12" t="s">
        <v>3369</v>
      </c>
      <c r="Q139" s="12" t="s">
        <v>3369</v>
      </c>
      <c r="R139" s="12" t="s">
        <v>3369</v>
      </c>
      <c r="S139" s="12" t="s">
        <v>3369</v>
      </c>
      <c r="T139" s="12" t="s">
        <v>3369</v>
      </c>
      <c r="U139" s="12" t="s">
        <v>3369</v>
      </c>
      <c r="V139" s="12" t="s">
        <v>3369</v>
      </c>
      <c r="W139" s="12" t="s">
        <v>3369</v>
      </c>
      <c r="X139" s="12" t="s">
        <v>3369</v>
      </c>
      <c r="Y139" s="12" t="s">
        <v>3369</v>
      </c>
      <c r="Z139" s="12" t="s">
        <v>3369</v>
      </c>
      <c r="AA139" s="12" t="s">
        <v>3369</v>
      </c>
      <c r="AB139" s="12" t="s">
        <v>3369</v>
      </c>
      <c r="AE139" s="32">
        <v>0.40277777778101154</v>
      </c>
      <c r="AF139" s="35"/>
      <c r="AG139" s="33" t="s">
        <v>357</v>
      </c>
      <c r="AH139" s="36" t="s">
        <v>358</v>
      </c>
      <c r="AI139" s="36" t="str">
        <f>HYPERLINK("https://docs.google.com/document/d/1Lmr6ukcytK5A4BRLAWOczZ0_erfF7eQyrndmyQl55_4/edit?usp=drivesdk","Ben Mowbray - 9/4/2018 9:40 AM")</f>
        <v>Ben Mowbray - 9/4/2018 9:40 AM</v>
      </c>
      <c r="AJ139" s="33" t="s">
        <v>359</v>
      </c>
    </row>
    <row r="140" spans="1:36" ht="12.75">
      <c r="A140" s="29">
        <v>43347.660692743055</v>
      </c>
      <c r="B140" s="12" t="s">
        <v>3399</v>
      </c>
      <c r="C140" s="12" t="s">
        <v>3400</v>
      </c>
      <c r="D140" s="12" t="s">
        <v>3401</v>
      </c>
      <c r="E140" s="12" t="s">
        <v>3482</v>
      </c>
      <c r="F140" s="30">
        <v>43348</v>
      </c>
      <c r="G140" s="12" t="s">
        <v>3691</v>
      </c>
      <c r="H140" s="32">
        <v>0.54166666666424135</v>
      </c>
      <c r="J140" s="12" t="s">
        <v>3377</v>
      </c>
      <c r="L140" s="12" t="s">
        <v>3393</v>
      </c>
      <c r="M140" s="12" t="s">
        <v>3613</v>
      </c>
      <c r="N140" s="12" t="s">
        <v>3452</v>
      </c>
      <c r="O140" s="12" t="s">
        <v>3408</v>
      </c>
      <c r="P140" s="12" t="s">
        <v>3369</v>
      </c>
      <c r="Q140" s="12" t="s">
        <v>3369</v>
      </c>
      <c r="R140" s="12" t="s">
        <v>3369</v>
      </c>
      <c r="S140" s="12" t="s">
        <v>3369</v>
      </c>
      <c r="T140" s="12" t="s">
        <v>3369</v>
      </c>
      <c r="U140" s="12" t="s">
        <v>3369</v>
      </c>
      <c r="V140" s="12" t="s">
        <v>3369</v>
      </c>
      <c r="W140" s="12" t="s">
        <v>3369</v>
      </c>
      <c r="X140" s="12" t="s">
        <v>3369</v>
      </c>
      <c r="Y140" s="12" t="s">
        <v>3369</v>
      </c>
      <c r="Z140" s="12" t="s">
        <v>3369</v>
      </c>
      <c r="AA140" s="12" t="s">
        <v>3369</v>
      </c>
      <c r="AB140" s="12" t="s">
        <v>3369</v>
      </c>
      <c r="AE140" s="32">
        <v>0.27083333333575865</v>
      </c>
      <c r="AF140" s="35"/>
      <c r="AG140" s="33" t="s">
        <v>360</v>
      </c>
      <c r="AH140" s="36" t="s">
        <v>361</v>
      </c>
      <c r="AI140" s="36" t="str">
        <f>HYPERLINK("https://docs.google.com/document/d/1O7zNwJ7tD7cHfDAv1vY8YMgIs28bfzrPCLqAZVh0D54/edit?usp=drivesdk","James Tomazinis - 9/5/2018 6:30 AM")</f>
        <v>James Tomazinis - 9/5/2018 6:30 AM</v>
      </c>
      <c r="AJ140" s="33" t="s">
        <v>362</v>
      </c>
    </row>
    <row r="141" spans="1:36" ht="12.75">
      <c r="A141" s="29">
        <v>43348.315951076387</v>
      </c>
      <c r="B141" s="12" t="s">
        <v>3372</v>
      </c>
      <c r="C141" s="12" t="s">
        <v>3383</v>
      </c>
      <c r="D141" s="12" t="s">
        <v>3589</v>
      </c>
      <c r="E141" s="12" t="s">
        <v>3524</v>
      </c>
      <c r="F141" s="30">
        <v>43348</v>
      </c>
      <c r="G141" s="12" t="s">
        <v>3692</v>
      </c>
      <c r="H141" s="32">
        <v>0.625</v>
      </c>
      <c r="I141" s="29">
        <v>43348.666666666672</v>
      </c>
      <c r="J141" s="12" t="s">
        <v>3366</v>
      </c>
      <c r="L141" s="12" t="s">
        <v>3299</v>
      </c>
      <c r="M141" s="12" t="s">
        <v>3379</v>
      </c>
      <c r="N141" s="12" t="s">
        <v>3693</v>
      </c>
      <c r="O141" s="12" t="s">
        <v>3372</v>
      </c>
      <c r="P141" s="12" t="s">
        <v>3369</v>
      </c>
      <c r="Q141" s="12" t="s">
        <v>3369</v>
      </c>
      <c r="R141" s="12" t="s">
        <v>3369</v>
      </c>
      <c r="S141" s="12" t="s">
        <v>3369</v>
      </c>
      <c r="T141" s="12" t="s">
        <v>3369</v>
      </c>
      <c r="U141" s="12" t="s">
        <v>3369</v>
      </c>
      <c r="V141" s="12" t="s">
        <v>3369</v>
      </c>
      <c r="W141" s="12" t="s">
        <v>3369</v>
      </c>
      <c r="X141" s="12" t="s">
        <v>3369</v>
      </c>
      <c r="Y141" s="12" t="s">
        <v>3369</v>
      </c>
      <c r="Z141" s="12" t="s">
        <v>3369</v>
      </c>
      <c r="AA141" s="12" t="s">
        <v>3369</v>
      </c>
      <c r="AB141" s="12" t="s">
        <v>3369</v>
      </c>
      <c r="AE141" s="32">
        <v>0.39583333333575865</v>
      </c>
      <c r="AF141" s="35"/>
      <c r="AG141" s="33" t="s">
        <v>363</v>
      </c>
      <c r="AH141" s="36" t="s">
        <v>364</v>
      </c>
      <c r="AI141" s="36" t="str">
        <f>HYPERLINK("https://docs.google.com/document/d/1kJHcvyhgyIpKw8P9mBqauadO_E-MGaX1yx9HngVDcEU/edit?usp=drivesdk","Pamela Marcum - 9/5/2018 9:30 AM")</f>
        <v>Pamela Marcum - 9/5/2018 9:30 AM</v>
      </c>
      <c r="AJ141" s="33" t="s">
        <v>365</v>
      </c>
    </row>
    <row r="142" spans="1:36" ht="12.75">
      <c r="A142" s="29">
        <v>43348.337647222223</v>
      </c>
      <c r="B142" s="12" t="s">
        <v>3386</v>
      </c>
      <c r="C142" s="12" t="s">
        <v>3481</v>
      </c>
      <c r="D142" s="12" t="s">
        <v>3295</v>
      </c>
      <c r="E142" s="12" t="s">
        <v>3296</v>
      </c>
      <c r="F142" s="30">
        <v>43348</v>
      </c>
      <c r="G142" s="12" t="s">
        <v>3694</v>
      </c>
      <c r="H142" s="32">
        <v>0.5625</v>
      </c>
      <c r="I142" s="29">
        <v>43348.590277777781</v>
      </c>
      <c r="J142" s="12" t="s">
        <v>3331</v>
      </c>
      <c r="L142" s="12" t="s">
        <v>3689</v>
      </c>
      <c r="M142" s="12" t="s">
        <v>3497</v>
      </c>
      <c r="N142" s="12" t="s">
        <v>3695</v>
      </c>
      <c r="O142" s="12" t="s">
        <v>3499</v>
      </c>
      <c r="P142" s="12" t="s">
        <v>3369</v>
      </c>
      <c r="Q142" s="12" t="s">
        <v>3369</v>
      </c>
      <c r="R142" s="12" t="s">
        <v>3369</v>
      </c>
      <c r="S142" s="12" t="s">
        <v>3369</v>
      </c>
      <c r="T142" s="12" t="s">
        <v>3369</v>
      </c>
      <c r="U142" s="12" t="s">
        <v>3369</v>
      </c>
      <c r="V142" s="12" t="s">
        <v>3369</v>
      </c>
      <c r="W142" s="12" t="s">
        <v>3369</v>
      </c>
      <c r="X142" s="12" t="s">
        <v>3369</v>
      </c>
      <c r="Y142" s="12" t="s">
        <v>3369</v>
      </c>
      <c r="Z142" s="12" t="s">
        <v>3369</v>
      </c>
      <c r="AA142" s="12" t="s">
        <v>3369</v>
      </c>
      <c r="AB142" s="12" t="s">
        <v>3369</v>
      </c>
      <c r="AE142" s="32">
        <v>0.38888888889050577</v>
      </c>
      <c r="AF142" s="35"/>
      <c r="AG142" s="33" t="s">
        <v>366</v>
      </c>
      <c r="AH142" s="36" t="s">
        <v>367</v>
      </c>
      <c r="AI142" s="36" t="str">
        <f>HYPERLINK("https://docs.google.com/document/d/1hlaZ7sS4mysE6nV8d7dJ53WrBvYx2rjjVBaLtrkEUXE/edit?usp=drivesdk","Ben Mowbray - 9/5/2018 9:20 AM")</f>
        <v>Ben Mowbray - 9/5/2018 9:20 AM</v>
      </c>
      <c r="AJ142" s="33" t="s">
        <v>368</v>
      </c>
    </row>
    <row r="143" spans="1:36" ht="12.75">
      <c r="A143" s="29">
        <v>43348.60891362268</v>
      </c>
      <c r="B143" s="12" t="s">
        <v>3406</v>
      </c>
      <c r="C143" s="12" t="s">
        <v>3400</v>
      </c>
      <c r="D143" s="12" t="s">
        <v>3401</v>
      </c>
      <c r="E143" s="12" t="s">
        <v>3356</v>
      </c>
      <c r="F143" s="30">
        <v>43349</v>
      </c>
      <c r="G143" s="12" t="s">
        <v>3696</v>
      </c>
      <c r="H143" s="32">
        <v>0.375</v>
      </c>
      <c r="J143" s="12" t="s">
        <v>3403</v>
      </c>
      <c r="L143" s="12" t="s">
        <v>3461</v>
      </c>
      <c r="M143" s="12" t="s">
        <v>3458</v>
      </c>
      <c r="N143" s="12" t="s">
        <v>3505</v>
      </c>
      <c r="O143" s="12" t="s">
        <v>3408</v>
      </c>
      <c r="P143" s="12" t="s">
        <v>3369</v>
      </c>
      <c r="Q143" s="12" t="s">
        <v>3369</v>
      </c>
      <c r="R143" s="12" t="s">
        <v>3369</v>
      </c>
      <c r="S143" s="12" t="s">
        <v>3369</v>
      </c>
      <c r="T143" s="12" t="s">
        <v>3369</v>
      </c>
      <c r="U143" s="12" t="s">
        <v>3369</v>
      </c>
      <c r="V143" s="12" t="s">
        <v>3369</v>
      </c>
      <c r="W143" s="12" t="s">
        <v>3369</v>
      </c>
      <c r="X143" s="12" t="s">
        <v>3369</v>
      </c>
      <c r="Y143" s="12" t="s">
        <v>3369</v>
      </c>
      <c r="Z143" s="12" t="s">
        <v>3369</v>
      </c>
      <c r="AA143" s="12" t="s">
        <v>3369</v>
      </c>
      <c r="AB143" s="12" t="s">
        <v>3369</v>
      </c>
      <c r="AE143" s="32">
        <v>0.30208333333575865</v>
      </c>
      <c r="AF143" s="35"/>
      <c r="AG143" s="33" t="s">
        <v>369</v>
      </c>
      <c r="AH143" s="36" t="s">
        <v>370</v>
      </c>
      <c r="AI143" s="36" t="str">
        <f>HYPERLINK("https://docs.google.com/document/d/1uWaH_X62R2Liuv1Udb-7AgjTcZgYdkQkjrG1FW0qql4/edit?usp=drivesdk","Jimmy Tomazinis - 9/6/2018 7:15 AM")</f>
        <v>Jimmy Tomazinis - 9/6/2018 7:15 AM</v>
      </c>
      <c r="AJ143" s="33" t="s">
        <v>371</v>
      </c>
    </row>
    <row r="144" spans="1:36" ht="12.75">
      <c r="A144" s="29">
        <v>43349.336833842593</v>
      </c>
      <c r="B144" s="12" t="s">
        <v>3386</v>
      </c>
      <c r="C144" s="12" t="s">
        <v>3652</v>
      </c>
      <c r="D144" s="12" t="s">
        <v>3295</v>
      </c>
      <c r="E144" s="12" t="s">
        <v>3697</v>
      </c>
      <c r="F144" s="30">
        <v>43349</v>
      </c>
      <c r="G144" s="12" t="s">
        <v>3698</v>
      </c>
      <c r="H144" s="32">
        <v>0.58333333333575865</v>
      </c>
      <c r="I144" s="29">
        <v>43349.625</v>
      </c>
      <c r="J144" s="12" t="s">
        <v>3377</v>
      </c>
      <c r="L144" s="12" t="s">
        <v>3393</v>
      </c>
      <c r="M144" s="12" t="s">
        <v>3497</v>
      </c>
      <c r="N144" s="12" t="s">
        <v>3654</v>
      </c>
      <c r="O144" s="12" t="s">
        <v>3499</v>
      </c>
      <c r="P144" s="12" t="s">
        <v>3369</v>
      </c>
      <c r="Q144" s="12" t="s">
        <v>3369</v>
      </c>
      <c r="R144" s="12" t="s">
        <v>3369</v>
      </c>
      <c r="S144" s="12" t="s">
        <v>3369</v>
      </c>
      <c r="T144" s="12" t="s">
        <v>3369</v>
      </c>
      <c r="U144" s="12" t="s">
        <v>3369</v>
      </c>
      <c r="V144" s="12" t="s">
        <v>3369</v>
      </c>
      <c r="W144" s="12" t="s">
        <v>3369</v>
      </c>
      <c r="X144" s="12" t="s">
        <v>3369</v>
      </c>
      <c r="Y144" s="12" t="s">
        <v>3369</v>
      </c>
      <c r="Z144" s="12" t="s">
        <v>3369</v>
      </c>
      <c r="AA144" s="12" t="s">
        <v>3369</v>
      </c>
      <c r="AB144" s="12" t="s">
        <v>3369</v>
      </c>
      <c r="AE144" s="32">
        <v>0.38888888889050577</v>
      </c>
      <c r="AF144" s="35"/>
      <c r="AG144" s="33" t="s">
        <v>372</v>
      </c>
      <c r="AH144" s="36" t="s">
        <v>373</v>
      </c>
      <c r="AI144" s="36" t="str">
        <f>HYPERLINK("https://docs.google.com/document/d/1yedKFixA69V0VtSDY7-I0SVCLPtcIuBrNsPWlFA5t0Q/edit?usp=drivesdk","Ben Mowbray - 9/6/2018 9:20 AM")</f>
        <v>Ben Mowbray - 9/6/2018 9:20 AM</v>
      </c>
      <c r="AJ144" s="33" t="s">
        <v>374</v>
      </c>
    </row>
    <row r="145" spans="1:36" ht="12.75">
      <c r="A145" s="29">
        <v>43349.379244537035</v>
      </c>
      <c r="B145" s="12" t="s">
        <v>3372</v>
      </c>
      <c r="C145" s="12" t="s">
        <v>3373</v>
      </c>
      <c r="D145" s="12" t="s">
        <v>3589</v>
      </c>
      <c r="E145" s="12" t="s">
        <v>3524</v>
      </c>
      <c r="F145" s="30">
        <v>43349</v>
      </c>
      <c r="G145" s="12" t="s">
        <v>3699</v>
      </c>
      <c r="H145" s="32">
        <v>0.625</v>
      </c>
      <c r="I145" s="29">
        <v>43348.666666666672</v>
      </c>
      <c r="J145" s="12" t="s">
        <v>3366</v>
      </c>
      <c r="L145" s="12" t="s">
        <v>3299</v>
      </c>
      <c r="M145" s="12" t="s">
        <v>3379</v>
      </c>
      <c r="N145" s="12" t="s">
        <v>3700</v>
      </c>
      <c r="O145" s="12" t="s">
        <v>3372</v>
      </c>
      <c r="P145" s="12" t="s">
        <v>3369</v>
      </c>
      <c r="Q145" s="12" t="s">
        <v>3369</v>
      </c>
      <c r="R145" s="12" t="s">
        <v>3369</v>
      </c>
      <c r="S145" s="12" t="s">
        <v>3369</v>
      </c>
      <c r="T145" s="12" t="s">
        <v>3369</v>
      </c>
      <c r="U145" s="12" t="s">
        <v>3369</v>
      </c>
      <c r="V145" s="12" t="s">
        <v>3369</v>
      </c>
      <c r="W145" s="12" t="s">
        <v>3369</v>
      </c>
      <c r="X145" s="12" t="s">
        <v>3369</v>
      </c>
      <c r="Y145" s="12" t="s">
        <v>3369</v>
      </c>
      <c r="Z145" s="12" t="s">
        <v>3369</v>
      </c>
      <c r="AA145" s="12" t="s">
        <v>3369</v>
      </c>
      <c r="AB145" s="12" t="s">
        <v>3369</v>
      </c>
      <c r="AE145" s="32">
        <v>0.4375</v>
      </c>
      <c r="AF145" s="35"/>
      <c r="AG145" s="33" t="s">
        <v>375</v>
      </c>
      <c r="AH145" s="36" t="s">
        <v>376</v>
      </c>
      <c r="AI145" s="36" t="str">
        <f>HYPERLINK("https://docs.google.com/document/d/17DVNObsevh1PglvOtUWG2_f9xR1DhwO97Kb9C_lXeyg/edit?usp=drivesdk","Pamela Marcum - 9/6/2018 10:30 AM")</f>
        <v>Pamela Marcum - 9/6/2018 10:30 AM</v>
      </c>
      <c r="AJ145" s="33" t="s">
        <v>377</v>
      </c>
    </row>
    <row r="146" spans="1:36" ht="12.75">
      <c r="A146" s="29">
        <v>43350.373606030094</v>
      </c>
      <c r="B146" s="12" t="s">
        <v>3386</v>
      </c>
      <c r="C146" s="12" t="s">
        <v>3481</v>
      </c>
      <c r="D146" s="12" t="s">
        <v>3295</v>
      </c>
      <c r="E146" s="12" t="s">
        <v>3701</v>
      </c>
      <c r="F146" s="30">
        <v>43350</v>
      </c>
      <c r="G146" s="12" t="s">
        <v>3702</v>
      </c>
      <c r="H146" s="32">
        <v>0.54166666666424135</v>
      </c>
      <c r="I146" s="29">
        <v>43350.569444444445</v>
      </c>
      <c r="J146" s="12" t="s">
        <v>3377</v>
      </c>
      <c r="L146" s="12" t="s">
        <v>3393</v>
      </c>
      <c r="M146" s="12" t="s">
        <v>3497</v>
      </c>
      <c r="N146" s="12" t="s">
        <v>3703</v>
      </c>
      <c r="O146" s="12" t="s">
        <v>3499</v>
      </c>
      <c r="P146" s="12" t="s">
        <v>3369</v>
      </c>
      <c r="Q146" s="12" t="s">
        <v>3369</v>
      </c>
      <c r="R146" s="12" t="s">
        <v>3369</v>
      </c>
      <c r="S146" s="12" t="s">
        <v>3369</v>
      </c>
      <c r="T146" s="12" t="s">
        <v>3369</v>
      </c>
      <c r="U146" s="12" t="s">
        <v>3369</v>
      </c>
      <c r="V146" s="12" t="s">
        <v>3369</v>
      </c>
      <c r="W146" s="12" t="s">
        <v>3369</v>
      </c>
      <c r="X146" s="12" t="s">
        <v>3369</v>
      </c>
      <c r="Y146" s="12" t="s">
        <v>3369</v>
      </c>
      <c r="Z146" s="12" t="s">
        <v>3369</v>
      </c>
      <c r="AA146" s="12" t="s">
        <v>3369</v>
      </c>
      <c r="AB146" s="12" t="s">
        <v>3369</v>
      </c>
      <c r="AE146" s="32">
        <v>0.4375</v>
      </c>
      <c r="AF146" s="35"/>
      <c r="AG146" s="33" t="s">
        <v>378</v>
      </c>
      <c r="AH146" s="36" t="s">
        <v>379</v>
      </c>
      <c r="AI146" s="36" t="str">
        <f>HYPERLINK("https://docs.google.com/document/d/1vK2OVKgBHmbnDyydJiI28-r72XA9d-1diz04IeBEKo4/edit?usp=drivesdk","Ben Mowbray - 9/7/2018 10:30 AM")</f>
        <v>Ben Mowbray - 9/7/2018 10:30 AM</v>
      </c>
      <c r="AJ146" s="33" t="s">
        <v>380</v>
      </c>
    </row>
    <row r="147" spans="1:36" ht="12.75">
      <c r="A147" s="29">
        <v>43350.484773067132</v>
      </c>
      <c r="B147" s="12" t="s">
        <v>3417</v>
      </c>
      <c r="C147" s="12" t="s">
        <v>3639</v>
      </c>
      <c r="D147" s="12" t="s">
        <v>3589</v>
      </c>
      <c r="E147" s="12" t="s">
        <v>3704</v>
      </c>
      <c r="F147" s="30">
        <v>43350</v>
      </c>
      <c r="G147" s="12" t="s">
        <v>3705</v>
      </c>
      <c r="H147" s="32">
        <v>0.625</v>
      </c>
      <c r="I147" s="29">
        <v>43350.666666666672</v>
      </c>
      <c r="J147" s="12" t="s">
        <v>3366</v>
      </c>
      <c r="L147" s="12" t="s">
        <v>3299</v>
      </c>
      <c r="M147" s="12" t="s">
        <v>3379</v>
      </c>
      <c r="N147" s="12" t="s">
        <v>3706</v>
      </c>
      <c r="O147" s="12" t="s">
        <v>3381</v>
      </c>
      <c r="P147" s="12" t="s">
        <v>3369</v>
      </c>
      <c r="Q147" s="12" t="s">
        <v>3369</v>
      </c>
      <c r="R147" s="12" t="s">
        <v>3369</v>
      </c>
      <c r="S147" s="12" t="s">
        <v>3369</v>
      </c>
      <c r="T147" s="12" t="s">
        <v>3369</v>
      </c>
      <c r="U147" s="12" t="s">
        <v>3369</v>
      </c>
      <c r="V147" s="12" t="s">
        <v>3369</v>
      </c>
      <c r="W147" s="12" t="s">
        <v>3369</v>
      </c>
      <c r="X147" s="12" t="s">
        <v>3369</v>
      </c>
      <c r="Y147" s="12" t="s">
        <v>3369</v>
      </c>
      <c r="Z147" s="12" t="s">
        <v>3369</v>
      </c>
      <c r="AA147" s="12" t="s">
        <v>3369</v>
      </c>
      <c r="AB147" s="12" t="s">
        <v>3369</v>
      </c>
      <c r="AE147" s="32">
        <v>0.47916666666424135</v>
      </c>
      <c r="AF147" s="35"/>
      <c r="AG147" s="33" t="s">
        <v>381</v>
      </c>
      <c r="AH147" s="36" t="s">
        <v>382</v>
      </c>
      <c r="AI147" s="36" t="str">
        <f>HYPERLINK("https://docs.google.com/document/d/1pOCINOcEnSuc-joWQ1QIg6quFm4xBtL_1Iljg7H-ldU/edit?usp=drivesdk","Pam Marcum - 9/7/2018 11:30 AM")</f>
        <v>Pam Marcum - 9/7/2018 11:30 AM</v>
      </c>
      <c r="AJ147" s="33" t="s">
        <v>383</v>
      </c>
    </row>
    <row r="148" spans="1:36" ht="12.75">
      <c r="A148" s="29">
        <v>43352.419852361112</v>
      </c>
      <c r="B148" s="12" t="s">
        <v>3417</v>
      </c>
      <c r="C148" s="12" t="s">
        <v>3383</v>
      </c>
      <c r="D148" s="12" t="s">
        <v>3589</v>
      </c>
      <c r="E148" s="12" t="s">
        <v>3707</v>
      </c>
      <c r="F148" s="30">
        <v>43352</v>
      </c>
      <c r="G148" s="12" t="s">
        <v>3708</v>
      </c>
      <c r="H148" s="32">
        <v>0.79166666666424135</v>
      </c>
      <c r="I148" s="29">
        <v>43352.833333333328</v>
      </c>
      <c r="J148" s="12" t="s">
        <v>3403</v>
      </c>
      <c r="L148" s="12" t="s">
        <v>3461</v>
      </c>
      <c r="M148" s="12" t="s">
        <v>3379</v>
      </c>
      <c r="N148" s="12" t="s">
        <v>3709</v>
      </c>
      <c r="O148" s="12" t="s">
        <v>3381</v>
      </c>
      <c r="P148" s="12" t="s">
        <v>3369</v>
      </c>
      <c r="Q148" s="12" t="s">
        <v>3369</v>
      </c>
      <c r="R148" s="12" t="s">
        <v>3369</v>
      </c>
      <c r="S148" s="12" t="s">
        <v>3369</v>
      </c>
      <c r="T148" s="12" t="s">
        <v>3369</v>
      </c>
      <c r="U148" s="12" t="s">
        <v>3369</v>
      </c>
      <c r="V148" s="12" t="s">
        <v>3369</v>
      </c>
      <c r="W148" s="12" t="s">
        <v>3369</v>
      </c>
      <c r="X148" s="12" t="s">
        <v>3369</v>
      </c>
      <c r="Y148" s="12" t="s">
        <v>3369</v>
      </c>
      <c r="Z148" s="12" t="s">
        <v>3369</v>
      </c>
      <c r="AA148" s="12" t="s">
        <v>3369</v>
      </c>
      <c r="AB148" s="12" t="s">
        <v>3369</v>
      </c>
      <c r="AE148" s="32">
        <v>0.54166666666424135</v>
      </c>
      <c r="AF148" s="35"/>
      <c r="AG148" s="33" t="s">
        <v>384</v>
      </c>
      <c r="AH148" s="36" t="s">
        <v>385</v>
      </c>
      <c r="AI148" s="36" t="str">
        <f>HYPERLINK("https://docs.google.com/document/d/1horU_i0hM4yRqRXVdDj8o-byRvvnkNKOrgAhhkzyH94/edit?usp=drivesdk","Pam Marcum - 9/9/2018 1:00 PM")</f>
        <v>Pam Marcum - 9/9/2018 1:00 PM</v>
      </c>
      <c r="AJ148" s="33" t="s">
        <v>386</v>
      </c>
    </row>
    <row r="149" spans="1:36" ht="12.75">
      <c r="A149" s="29">
        <v>43352.534949687499</v>
      </c>
      <c r="B149" s="12" t="s">
        <v>3386</v>
      </c>
      <c r="C149" s="12" t="s">
        <v>3481</v>
      </c>
      <c r="D149" s="12" t="s">
        <v>3589</v>
      </c>
      <c r="E149" s="12" t="s">
        <v>3710</v>
      </c>
      <c r="F149" s="30">
        <v>43352</v>
      </c>
      <c r="G149" s="12" t="s">
        <v>3711</v>
      </c>
      <c r="H149" s="32">
        <v>0.75</v>
      </c>
      <c r="I149" s="29">
        <v>43352.791666666672</v>
      </c>
      <c r="J149" s="12" t="s">
        <v>3331</v>
      </c>
      <c r="L149" s="12" t="s">
        <v>3393</v>
      </c>
      <c r="M149" s="12" t="s">
        <v>3497</v>
      </c>
      <c r="N149" s="12" t="s">
        <v>3712</v>
      </c>
      <c r="O149" s="12" t="s">
        <v>3499</v>
      </c>
      <c r="P149" s="12" t="s">
        <v>3369</v>
      </c>
      <c r="Q149" s="12" t="s">
        <v>3369</v>
      </c>
      <c r="R149" s="12" t="s">
        <v>3369</v>
      </c>
      <c r="S149" s="12" t="s">
        <v>3369</v>
      </c>
      <c r="T149" s="12" t="s">
        <v>3369</v>
      </c>
      <c r="U149" s="12" t="s">
        <v>3369</v>
      </c>
      <c r="V149" s="12" t="s">
        <v>3369</v>
      </c>
      <c r="W149" s="12" t="s">
        <v>3369</v>
      </c>
      <c r="X149" s="12" t="s">
        <v>3369</v>
      </c>
      <c r="Y149" s="12" t="s">
        <v>3369</v>
      </c>
      <c r="Z149" s="12" t="s">
        <v>3369</v>
      </c>
      <c r="AA149" s="12" t="s">
        <v>3369</v>
      </c>
      <c r="AB149" s="12" t="s">
        <v>3369</v>
      </c>
      <c r="AE149" s="32">
        <v>0.58333333333575865</v>
      </c>
      <c r="AF149" s="35"/>
      <c r="AG149" s="33" t="s">
        <v>387</v>
      </c>
      <c r="AH149" s="36" t="s">
        <v>388</v>
      </c>
      <c r="AI149" s="36" t="str">
        <f>HYPERLINK("https://docs.google.com/document/d/1cwuPEokQaH8ROzsr7i8PtwhzKFzoCSG6aC6VvMPnr4c/edit?usp=drivesdk","Ben Mowbray - 9/9/2018 2:00 PM")</f>
        <v>Ben Mowbray - 9/9/2018 2:00 PM</v>
      </c>
      <c r="AJ149" s="33" t="s">
        <v>389</v>
      </c>
    </row>
    <row r="150" spans="1:36" ht="12.75">
      <c r="A150" s="29">
        <v>43353.468254756939</v>
      </c>
      <c r="B150" s="12" t="s">
        <v>3386</v>
      </c>
      <c r="C150" s="12" t="s">
        <v>3481</v>
      </c>
      <c r="D150" s="12" t="s">
        <v>3589</v>
      </c>
      <c r="E150" s="12" t="s">
        <v>3530</v>
      </c>
      <c r="F150" s="30">
        <v>43353</v>
      </c>
      <c r="G150" s="12" t="s">
        <v>3713</v>
      </c>
      <c r="H150" s="32">
        <v>0.79166666666424135</v>
      </c>
      <c r="I150" s="29">
        <v>43353.833333333328</v>
      </c>
      <c r="J150" s="12" t="s">
        <v>3377</v>
      </c>
      <c r="L150" s="12" t="s">
        <v>3393</v>
      </c>
      <c r="M150" s="12" t="s">
        <v>3489</v>
      </c>
      <c r="N150" s="12" t="s">
        <v>3714</v>
      </c>
      <c r="O150" s="12" t="s">
        <v>3381</v>
      </c>
      <c r="P150" s="12" t="s">
        <v>3369</v>
      </c>
      <c r="Q150" s="12" t="s">
        <v>3369</v>
      </c>
      <c r="R150" s="12" t="s">
        <v>3369</v>
      </c>
      <c r="S150" s="12" t="s">
        <v>3369</v>
      </c>
      <c r="T150" s="12" t="s">
        <v>3369</v>
      </c>
      <c r="U150" s="12" t="s">
        <v>3369</v>
      </c>
      <c r="V150" s="12" t="s">
        <v>3369</v>
      </c>
      <c r="W150" s="12" t="s">
        <v>3369</v>
      </c>
      <c r="X150" s="12" t="s">
        <v>3369</v>
      </c>
      <c r="Y150" s="12" t="s">
        <v>3369</v>
      </c>
      <c r="Z150" s="12" t="s">
        <v>3369</v>
      </c>
      <c r="AA150" s="12" t="s">
        <v>3369</v>
      </c>
      <c r="AB150" s="12" t="s">
        <v>3369</v>
      </c>
      <c r="AE150" s="32">
        <v>0.55555555555474712</v>
      </c>
      <c r="AF150" s="35"/>
      <c r="AG150" s="33" t="s">
        <v>390</v>
      </c>
      <c r="AH150" s="36" t="s">
        <v>391</v>
      </c>
      <c r="AI150" s="36" t="str">
        <f>HYPERLINK("https://docs.google.com/document/d/18a8HUQtBa0oDSzts9fdeoJSPbEzLp3lUXgyOK0PBc3I/edit?usp=drivesdk","Ben Mowbray - 9/10/2018 1:20 PM")</f>
        <v>Ben Mowbray - 9/10/2018 1:20 PM</v>
      </c>
      <c r="AJ150" s="33" t="s">
        <v>392</v>
      </c>
    </row>
    <row r="151" spans="1:36" ht="12.75">
      <c r="A151" s="29">
        <v>43353.549159016206</v>
      </c>
      <c r="B151" s="12" t="s">
        <v>3372</v>
      </c>
      <c r="C151" s="12" t="s">
        <v>3383</v>
      </c>
      <c r="D151" s="12" t="s">
        <v>3589</v>
      </c>
      <c r="E151" s="12" t="s">
        <v>3599</v>
      </c>
      <c r="F151" s="30">
        <v>43353</v>
      </c>
      <c r="G151" s="12" t="s">
        <v>3715</v>
      </c>
      <c r="H151" s="32">
        <v>0.75</v>
      </c>
      <c r="I151" s="29">
        <v>43353.791666666672</v>
      </c>
      <c r="J151" s="12" t="s">
        <v>3377</v>
      </c>
      <c r="L151" s="12" t="s">
        <v>3393</v>
      </c>
      <c r="M151" s="12" t="s">
        <v>3489</v>
      </c>
      <c r="N151" s="12" t="s">
        <v>3716</v>
      </c>
      <c r="O151" s="12" t="s">
        <v>3417</v>
      </c>
      <c r="P151" s="12" t="s">
        <v>3369</v>
      </c>
      <c r="Q151" s="12" t="s">
        <v>3369</v>
      </c>
      <c r="R151" s="12" t="s">
        <v>3369</v>
      </c>
      <c r="S151" s="12" t="s">
        <v>3369</v>
      </c>
      <c r="T151" s="12" t="s">
        <v>3369</v>
      </c>
      <c r="U151" s="12" t="s">
        <v>3369</v>
      </c>
      <c r="V151" s="12" t="s">
        <v>3369</v>
      </c>
      <c r="W151" s="12" t="s">
        <v>3369</v>
      </c>
      <c r="X151" s="12" t="s">
        <v>3369</v>
      </c>
      <c r="Y151" s="12" t="s">
        <v>3369</v>
      </c>
      <c r="Z151" s="12" t="s">
        <v>3369</v>
      </c>
      <c r="AA151" s="12" t="s">
        <v>3369</v>
      </c>
      <c r="AB151" s="12" t="s">
        <v>3369</v>
      </c>
      <c r="AE151" s="32">
        <v>0.58333333333575865</v>
      </c>
      <c r="AF151" s="35"/>
      <c r="AG151" s="33" t="s">
        <v>393</v>
      </c>
      <c r="AH151" s="36" t="s">
        <v>394</v>
      </c>
      <c r="AI151" s="36" t="str">
        <f>HYPERLINK("https://docs.google.com/document/d/1o5u6URG4eEL0bZO7Pcc_tA0H2uas6Y_qmD-HJgPbqg4/edit?usp=drivesdk","Pamela Marcum - 9/10/2018 2:00 PM")</f>
        <v>Pamela Marcum - 9/10/2018 2:00 PM</v>
      </c>
      <c r="AJ151" s="33" t="s">
        <v>395</v>
      </c>
    </row>
    <row r="152" spans="1:36" ht="12.75">
      <c r="A152" s="29">
        <v>43354.269650543982</v>
      </c>
      <c r="B152" s="12" t="s">
        <v>3417</v>
      </c>
      <c r="C152" s="12" t="s">
        <v>3717</v>
      </c>
      <c r="D152" s="12" t="s">
        <v>3589</v>
      </c>
      <c r="E152" s="12" t="s">
        <v>3387</v>
      </c>
      <c r="F152" s="30">
        <v>43354</v>
      </c>
      <c r="G152" s="12" t="s">
        <v>3708</v>
      </c>
      <c r="H152" s="32">
        <v>0.35416666666424135</v>
      </c>
      <c r="I152" s="29">
        <v>43354.416666666672</v>
      </c>
      <c r="J152" s="12" t="s">
        <v>3377</v>
      </c>
      <c r="L152" s="12" t="s">
        <v>3393</v>
      </c>
      <c r="M152" s="12" t="s">
        <v>3379</v>
      </c>
      <c r="N152" s="12" t="s">
        <v>3718</v>
      </c>
      <c r="O152" s="12" t="s">
        <v>3381</v>
      </c>
      <c r="P152" s="12" t="s">
        <v>3369</v>
      </c>
      <c r="Q152" s="12" t="s">
        <v>3369</v>
      </c>
      <c r="R152" s="12" t="s">
        <v>3369</v>
      </c>
      <c r="S152" s="12" t="s">
        <v>3369</v>
      </c>
      <c r="T152" s="12" t="s">
        <v>3369</v>
      </c>
      <c r="U152" s="12" t="s">
        <v>3369</v>
      </c>
      <c r="V152" s="12" t="s">
        <v>3369</v>
      </c>
      <c r="W152" s="12" t="s">
        <v>3369</v>
      </c>
      <c r="X152" s="12" t="s">
        <v>3369</v>
      </c>
      <c r="Y152" s="12" t="s">
        <v>3369</v>
      </c>
      <c r="Z152" s="12" t="s">
        <v>3369</v>
      </c>
      <c r="AA152" s="12" t="s">
        <v>3369</v>
      </c>
      <c r="AB152" s="12" t="s">
        <v>3369</v>
      </c>
      <c r="AE152" s="32">
        <v>0.28125</v>
      </c>
      <c r="AF152" s="35"/>
      <c r="AG152" s="33" t="s">
        <v>396</v>
      </c>
      <c r="AH152" s="36" t="s">
        <v>397</v>
      </c>
      <c r="AI152" s="36" t="str">
        <f>HYPERLINK("https://docs.google.com/document/d/13cBA5zcD8QJszQ_sgnLYt3r_hQFmNxCM9ctlDrF2yaI/edit?usp=drivesdk","Pam Marcum - 9/11/2018 6:45 AM")</f>
        <v>Pam Marcum - 9/11/2018 6:45 AM</v>
      </c>
      <c r="AJ152" s="33" t="s">
        <v>398</v>
      </c>
    </row>
    <row r="153" spans="1:36" ht="12.75">
      <c r="A153" s="29">
        <v>43354.459766261571</v>
      </c>
      <c r="B153" s="12" t="s">
        <v>3470</v>
      </c>
      <c r="C153" s="12" t="s">
        <v>3719</v>
      </c>
      <c r="D153" s="12" t="s">
        <v>3589</v>
      </c>
      <c r="E153" s="12" t="s">
        <v>3687</v>
      </c>
      <c r="F153" s="30">
        <v>43355</v>
      </c>
      <c r="G153" s="12" t="s">
        <v>3720</v>
      </c>
      <c r="H153" s="32">
        <v>0.625</v>
      </c>
      <c r="I153" s="29">
        <v>43355.6875</v>
      </c>
      <c r="J153" s="12" t="s">
        <v>3331</v>
      </c>
      <c r="L153" s="12" t="s">
        <v>3299</v>
      </c>
      <c r="M153" s="12" t="s">
        <v>3474</v>
      </c>
      <c r="N153" s="12" t="s">
        <v>3721</v>
      </c>
      <c r="O153" s="12" t="s">
        <v>3722</v>
      </c>
      <c r="P153" s="12" t="s">
        <v>3369</v>
      </c>
      <c r="Q153" s="12" t="s">
        <v>3369</v>
      </c>
      <c r="R153" s="12" t="s">
        <v>3369</v>
      </c>
      <c r="S153" s="12" t="s">
        <v>3369</v>
      </c>
      <c r="T153" s="12" t="s">
        <v>3369</v>
      </c>
      <c r="U153" s="12" t="s">
        <v>3369</v>
      </c>
      <c r="V153" s="12" t="s">
        <v>3369</v>
      </c>
      <c r="W153" s="12" t="s">
        <v>3369</v>
      </c>
      <c r="X153" s="12" t="s">
        <v>3369</v>
      </c>
      <c r="Y153" s="12" t="s">
        <v>3369</v>
      </c>
      <c r="Z153" s="12" t="s">
        <v>3369</v>
      </c>
      <c r="AA153" s="12" t="s">
        <v>3369</v>
      </c>
      <c r="AB153" s="12" t="s">
        <v>3369</v>
      </c>
      <c r="AE153" s="32">
        <v>0.48958333333575865</v>
      </c>
      <c r="AF153" s="35"/>
      <c r="AG153" s="33" t="s">
        <v>399</v>
      </c>
      <c r="AH153" s="36" t="s">
        <v>400</v>
      </c>
      <c r="AI153" s="36" t="str">
        <f>HYPERLINK("https://docs.google.com/document/d/1LQqlIwHGCF52aRRtJim0ILCgeeS8U4NH2xgD9iHPfTc/edit?usp=drivesdk","Shannon Dunnigan - 9/12/2018 11:45 AM")</f>
        <v>Shannon Dunnigan - 9/12/2018 11:45 AM</v>
      </c>
      <c r="AJ153" s="33" t="s">
        <v>401</v>
      </c>
    </row>
    <row r="154" spans="1:36" ht="12.75">
      <c r="A154" s="29">
        <v>43354.494699976851</v>
      </c>
      <c r="B154" s="12" t="s">
        <v>3386</v>
      </c>
      <c r="C154" s="12" t="s">
        <v>3481</v>
      </c>
      <c r="D154" s="12" t="s">
        <v>3295</v>
      </c>
      <c r="E154" s="12" t="s">
        <v>3516</v>
      </c>
      <c r="F154" s="30">
        <v>43354</v>
      </c>
      <c r="G154" s="12" t="s">
        <v>3648</v>
      </c>
      <c r="H154" s="32">
        <v>0.60416666666424135</v>
      </c>
      <c r="I154" s="29">
        <v>43354.645833333328</v>
      </c>
      <c r="J154" s="12" t="s">
        <v>3331</v>
      </c>
      <c r="L154" s="12" t="s">
        <v>3299</v>
      </c>
      <c r="M154" s="12" t="s">
        <v>3497</v>
      </c>
      <c r="N154" s="12" t="s">
        <v>3723</v>
      </c>
      <c r="O154" s="12" t="s">
        <v>3499</v>
      </c>
      <c r="P154" s="12" t="s">
        <v>3369</v>
      </c>
      <c r="Q154" s="12" t="s">
        <v>3369</v>
      </c>
      <c r="R154" s="12" t="s">
        <v>3369</v>
      </c>
      <c r="S154" s="12" t="s">
        <v>3369</v>
      </c>
      <c r="T154" s="12" t="s">
        <v>3369</v>
      </c>
      <c r="U154" s="12" t="s">
        <v>3369</v>
      </c>
      <c r="V154" s="12" t="s">
        <v>3369</v>
      </c>
      <c r="W154" s="12" t="s">
        <v>3369</v>
      </c>
      <c r="X154" s="12" t="s">
        <v>3369</v>
      </c>
      <c r="Y154" s="12" t="s">
        <v>3369</v>
      </c>
      <c r="Z154" s="12" t="s">
        <v>3369</v>
      </c>
      <c r="AA154" s="12" t="s">
        <v>3369</v>
      </c>
      <c r="AB154" s="12" t="s">
        <v>3369</v>
      </c>
      <c r="AE154" s="32">
        <v>0.39583333333575865</v>
      </c>
      <c r="AF154" s="35"/>
      <c r="AG154" s="33" t="s">
        <v>402</v>
      </c>
      <c r="AH154" s="36" t="s">
        <v>403</v>
      </c>
      <c r="AI154" s="36" t="str">
        <f>HYPERLINK("https://docs.google.com/document/d/19gtAry6vLFmaQvsDWVMoI53O_6Z53p6xfjK01wQTQ_Y/edit?usp=drivesdk","Ben Mowbray - 9/11/2018 9:30 AM")</f>
        <v>Ben Mowbray - 9/11/2018 9:30 AM</v>
      </c>
      <c r="AJ154" s="33" t="s">
        <v>404</v>
      </c>
    </row>
    <row r="155" spans="1:36" ht="12.75">
      <c r="A155" s="29">
        <v>43354.503103831019</v>
      </c>
      <c r="B155" s="12" t="s">
        <v>3417</v>
      </c>
      <c r="C155" s="12" t="s">
        <v>3383</v>
      </c>
      <c r="D155" s="12" t="s">
        <v>3589</v>
      </c>
      <c r="E155" s="12" t="s">
        <v>3296</v>
      </c>
      <c r="F155" s="30">
        <v>43354</v>
      </c>
      <c r="G155" s="12" t="s">
        <v>3419</v>
      </c>
      <c r="H155" s="32">
        <v>0.83333333333575865</v>
      </c>
      <c r="I155" s="29">
        <v>43354.854166666672</v>
      </c>
      <c r="J155" s="12" t="s">
        <v>3377</v>
      </c>
      <c r="L155" s="12" t="s">
        <v>3393</v>
      </c>
      <c r="M155" s="12" t="s">
        <v>3724</v>
      </c>
      <c r="N155" s="12" t="s">
        <v>3725</v>
      </c>
      <c r="O155" s="12" t="s">
        <v>3381</v>
      </c>
      <c r="P155" s="12" t="s">
        <v>3369</v>
      </c>
      <c r="Q155" s="12" t="s">
        <v>3369</v>
      </c>
      <c r="R155" s="12" t="s">
        <v>3369</v>
      </c>
      <c r="S155" s="12" t="s">
        <v>3369</v>
      </c>
      <c r="T155" s="12" t="s">
        <v>3369</v>
      </c>
      <c r="U155" s="12" t="s">
        <v>3369</v>
      </c>
      <c r="V155" s="12" t="s">
        <v>3369</v>
      </c>
      <c r="W155" s="12" t="s">
        <v>3369</v>
      </c>
      <c r="X155" s="12" t="s">
        <v>3369</v>
      </c>
      <c r="Y155" s="12" t="s">
        <v>3369</v>
      </c>
      <c r="Z155" s="12" t="s">
        <v>3369</v>
      </c>
      <c r="AA155" s="12" t="s">
        <v>3369</v>
      </c>
      <c r="AB155" s="12" t="s">
        <v>3369</v>
      </c>
      <c r="AE155" s="32">
        <v>0.58333333333575865</v>
      </c>
      <c r="AF155" s="35"/>
      <c r="AG155" s="33" t="s">
        <v>405</v>
      </c>
      <c r="AH155" s="36" t="s">
        <v>406</v>
      </c>
      <c r="AI155" s="36" t="str">
        <f>HYPERLINK("https://docs.google.com/document/d/1cwjqEBUaX4TZ2uiNweLlEFnrIqkIxDij-KCrl3jgdSs/edit?usp=drivesdk","Pam Marcum - 9/11/2018 2:00 PM")</f>
        <v>Pam Marcum - 9/11/2018 2:00 PM</v>
      </c>
      <c r="AJ155" s="33" t="s">
        <v>407</v>
      </c>
    </row>
    <row r="156" spans="1:36" ht="12.75">
      <c r="A156" s="29">
        <v>43355.342063055556</v>
      </c>
      <c r="B156" s="12" t="s">
        <v>3390</v>
      </c>
      <c r="C156" s="12" t="s">
        <v>3391</v>
      </c>
      <c r="D156" s="12" t="s">
        <v>3589</v>
      </c>
      <c r="E156" s="12" t="s">
        <v>3464</v>
      </c>
      <c r="F156" s="30">
        <v>43355</v>
      </c>
      <c r="G156" s="12" t="s">
        <v>3726</v>
      </c>
      <c r="H156" s="32">
        <v>0.57291666666424135</v>
      </c>
      <c r="I156" s="29">
        <v>43355.59375</v>
      </c>
      <c r="J156" s="12" t="s">
        <v>3377</v>
      </c>
      <c r="L156" s="12" t="s">
        <v>3393</v>
      </c>
      <c r="M156" s="12" t="s">
        <v>3454</v>
      </c>
      <c r="N156" s="12" t="s">
        <v>3505</v>
      </c>
      <c r="O156" s="12" t="s">
        <v>3390</v>
      </c>
      <c r="P156" s="12" t="s">
        <v>3369</v>
      </c>
      <c r="Q156" s="12" t="s">
        <v>3369</v>
      </c>
      <c r="R156" s="12" t="s">
        <v>3369</v>
      </c>
      <c r="S156" s="12" t="s">
        <v>3369</v>
      </c>
      <c r="T156" s="12" t="s">
        <v>3369</v>
      </c>
      <c r="U156" s="12" t="s">
        <v>3369</v>
      </c>
      <c r="V156" s="12" t="s">
        <v>3369</v>
      </c>
      <c r="W156" s="12" t="s">
        <v>3369</v>
      </c>
      <c r="X156" s="12" t="s">
        <v>3369</v>
      </c>
      <c r="Y156" s="12" t="s">
        <v>3369</v>
      </c>
      <c r="Z156" s="12" t="s">
        <v>3369</v>
      </c>
      <c r="AA156" s="12" t="s">
        <v>3369</v>
      </c>
      <c r="AB156" s="12" t="s">
        <v>3369</v>
      </c>
      <c r="AE156" s="32">
        <v>0.42708333333575865</v>
      </c>
      <c r="AF156" s="35"/>
      <c r="AG156" s="33" t="s">
        <v>408</v>
      </c>
      <c r="AH156" s="36" t="s">
        <v>409</v>
      </c>
      <c r="AI156" s="36" t="str">
        <f>HYPERLINK("https://docs.google.com/document/d/1dbUQc-0YRcUCWv4ZLuAiuh-szs2P71qMm4cR0NVclQw/edit?usp=drivesdk","Silas Tanner - 9/12/2018 10:15 AM")</f>
        <v>Silas Tanner - 9/12/2018 10:15 AM</v>
      </c>
      <c r="AJ156" s="33" t="s">
        <v>410</v>
      </c>
    </row>
    <row r="157" spans="1:36" ht="12.75">
      <c r="A157" s="29">
        <v>43356.701109571761</v>
      </c>
      <c r="B157" s="12" t="s">
        <v>3399</v>
      </c>
      <c r="C157" s="12" t="s">
        <v>3456</v>
      </c>
      <c r="D157" s="12" t="s">
        <v>3401</v>
      </c>
      <c r="E157" s="12" t="s">
        <v>3727</v>
      </c>
      <c r="F157" s="30">
        <v>43357</v>
      </c>
      <c r="G157" s="12" t="s">
        <v>3728</v>
      </c>
      <c r="H157" s="32">
        <v>0.54166666666424135</v>
      </c>
      <c r="J157" s="12" t="s">
        <v>3366</v>
      </c>
      <c r="L157" s="12" t="s">
        <v>3299</v>
      </c>
      <c r="M157" s="12" t="s">
        <v>3458</v>
      </c>
      <c r="N157" s="12" t="s">
        <v>3729</v>
      </c>
      <c r="O157" s="12" t="s">
        <v>3408</v>
      </c>
      <c r="P157" s="12" t="s">
        <v>3369</v>
      </c>
      <c r="Q157" s="12" t="s">
        <v>3369</v>
      </c>
      <c r="R157" s="12" t="s">
        <v>3369</v>
      </c>
      <c r="S157" s="12" t="s">
        <v>3369</v>
      </c>
      <c r="T157" s="12" t="s">
        <v>3369</v>
      </c>
      <c r="U157" s="12" t="s">
        <v>3369</v>
      </c>
      <c r="V157" s="12" t="s">
        <v>3369</v>
      </c>
      <c r="W157" s="12" t="s">
        <v>3369</v>
      </c>
      <c r="X157" s="12" t="s">
        <v>3369</v>
      </c>
      <c r="Y157" s="12" t="s">
        <v>3369</v>
      </c>
      <c r="Z157" s="12" t="s">
        <v>3369</v>
      </c>
      <c r="AA157" s="12" t="s">
        <v>3369</v>
      </c>
      <c r="AB157" s="12" t="s">
        <v>3369</v>
      </c>
      <c r="AE157" s="32">
        <v>0.40277777778101154</v>
      </c>
      <c r="AF157" s="35"/>
      <c r="AG157" s="33" t="s">
        <v>411</v>
      </c>
      <c r="AH157" s="36" t="s">
        <v>412</v>
      </c>
      <c r="AI157" s="36" t="str">
        <f>HYPERLINK("https://docs.google.com/document/d/1vSRqTWP7CmpWxXBMw2pni-Z1VXWQUibiRPAhtbpU00M/edit?usp=drivesdk","James Tomazinis - 9/14/2018 9:40 AM")</f>
        <v>James Tomazinis - 9/14/2018 9:40 AM</v>
      </c>
      <c r="AJ157" s="33" t="s">
        <v>413</v>
      </c>
    </row>
    <row r="158" spans="1:36" ht="12.75">
      <c r="A158" s="29">
        <v>43360.497623344912</v>
      </c>
      <c r="B158" s="12" t="s">
        <v>3564</v>
      </c>
      <c r="C158" s="12" t="s">
        <v>3565</v>
      </c>
      <c r="D158" s="12" t="s">
        <v>3589</v>
      </c>
      <c r="E158" s="12" t="s">
        <v>3730</v>
      </c>
      <c r="F158" s="30">
        <v>43360</v>
      </c>
      <c r="G158" s="12" t="s">
        <v>3731</v>
      </c>
      <c r="H158" s="32">
        <v>0.60416666666424135</v>
      </c>
      <c r="I158" s="29">
        <v>43360.125</v>
      </c>
      <c r="J158" s="12" t="s">
        <v>3331</v>
      </c>
      <c r="L158" s="12" t="s">
        <v>3393</v>
      </c>
      <c r="M158" s="12" t="s">
        <v>3459</v>
      </c>
      <c r="N158" s="12" t="s">
        <v>3490</v>
      </c>
      <c r="O158" s="12" t="s">
        <v>3732</v>
      </c>
      <c r="P158" s="12" t="s">
        <v>3369</v>
      </c>
      <c r="Q158" s="12" t="s">
        <v>3369</v>
      </c>
      <c r="R158" s="12" t="s">
        <v>3369</v>
      </c>
      <c r="S158" s="12" t="s">
        <v>3369</v>
      </c>
      <c r="T158" s="12" t="s">
        <v>3369</v>
      </c>
      <c r="U158" s="12" t="s">
        <v>3369</v>
      </c>
      <c r="V158" s="12" t="s">
        <v>3369</v>
      </c>
      <c r="W158" s="12" t="s">
        <v>3369</v>
      </c>
      <c r="X158" s="12" t="s">
        <v>3369</v>
      </c>
      <c r="Y158" s="12" t="s">
        <v>3369</v>
      </c>
      <c r="Z158" s="12" t="s">
        <v>3369</v>
      </c>
      <c r="AA158" s="12" t="s">
        <v>3369</v>
      </c>
      <c r="AB158" s="12" t="s">
        <v>3369</v>
      </c>
      <c r="AE158" s="32">
        <v>0.52083333333575865</v>
      </c>
      <c r="AF158" s="35"/>
      <c r="AG158" s="33" t="s">
        <v>414</v>
      </c>
      <c r="AH158" s="36" t="s">
        <v>415</v>
      </c>
      <c r="AI158" s="36" t="str">
        <f>HYPERLINK("https://docs.google.com/document/d/1L1Qa-gJZob4LNqDWn65q46mBvDTDwlLwU3zjXy1ncsw/edit?usp=drivesdk","Gabriela Canas - 9/17/2018 12:30 PM")</f>
        <v>Gabriela Canas - 9/17/2018 12:30 PM</v>
      </c>
      <c r="AJ158" s="33" t="s">
        <v>416</v>
      </c>
    </row>
    <row r="159" spans="1:36" ht="12.75">
      <c r="A159" s="29">
        <v>43362.308713124999</v>
      </c>
      <c r="B159" s="12" t="s">
        <v>3399</v>
      </c>
      <c r="C159" s="12" t="s">
        <v>3400</v>
      </c>
      <c r="D159" s="12" t="s">
        <v>3401</v>
      </c>
      <c r="E159" s="12" t="s">
        <v>3710</v>
      </c>
      <c r="F159" s="30">
        <v>43362</v>
      </c>
      <c r="G159" s="12" t="s">
        <v>3733</v>
      </c>
      <c r="H159" s="32">
        <v>0.5625</v>
      </c>
      <c r="J159" s="12" t="s">
        <v>3403</v>
      </c>
      <c r="L159" s="12" t="s">
        <v>3734</v>
      </c>
      <c r="M159" s="12" t="s">
        <v>3458</v>
      </c>
      <c r="N159" s="12" t="s">
        <v>3735</v>
      </c>
      <c r="O159" s="12" t="s">
        <v>3408</v>
      </c>
      <c r="P159" s="12" t="s">
        <v>3369</v>
      </c>
      <c r="Q159" s="12" t="s">
        <v>3369</v>
      </c>
      <c r="R159" s="12" t="s">
        <v>3369</v>
      </c>
      <c r="S159" s="12" t="s">
        <v>3369</v>
      </c>
      <c r="T159" s="12" t="s">
        <v>3369</v>
      </c>
      <c r="U159" s="12" t="s">
        <v>3369</v>
      </c>
      <c r="V159" s="12" t="s">
        <v>3369</v>
      </c>
      <c r="W159" s="12" t="s">
        <v>3369</v>
      </c>
      <c r="X159" s="12" t="s">
        <v>3369</v>
      </c>
      <c r="Y159" s="12" t="s">
        <v>3369</v>
      </c>
      <c r="Z159" s="12" t="s">
        <v>3369</v>
      </c>
      <c r="AA159" s="12" t="s">
        <v>3369</v>
      </c>
      <c r="AB159" s="12" t="s">
        <v>3369</v>
      </c>
      <c r="AE159" s="32">
        <v>0.375</v>
      </c>
      <c r="AF159" s="35"/>
      <c r="AG159" s="33" t="s">
        <v>417</v>
      </c>
      <c r="AH159" s="36" t="s">
        <v>418</v>
      </c>
      <c r="AI159" s="36" t="str">
        <f>HYPERLINK("https://docs.google.com/document/d/1BEemg3yUgKS4kZmHueWdHy0Eq3TwI6BuvwXCR9oCHpE/edit?usp=drivesdk","James Tomazinis - 9/19/2018 9:00 AM")</f>
        <v>James Tomazinis - 9/19/2018 9:00 AM</v>
      </c>
      <c r="AJ159" s="33" t="s">
        <v>419</v>
      </c>
    </row>
    <row r="160" spans="1:36" ht="12.75">
      <c r="A160" s="29">
        <v>43362.39120690972</v>
      </c>
      <c r="B160" s="12" t="s">
        <v>3386</v>
      </c>
      <c r="C160" s="12" t="s">
        <v>3481</v>
      </c>
      <c r="D160" s="12" t="s">
        <v>3295</v>
      </c>
      <c r="E160" s="12" t="s">
        <v>3736</v>
      </c>
      <c r="F160" s="30">
        <v>43362</v>
      </c>
      <c r="G160" s="12" t="s">
        <v>3737</v>
      </c>
      <c r="H160" s="32">
        <v>0.625</v>
      </c>
      <c r="I160" s="29">
        <v>43362.666666666672</v>
      </c>
      <c r="J160" s="12" t="s">
        <v>3331</v>
      </c>
      <c r="L160" s="12" t="s">
        <v>3299</v>
      </c>
      <c r="M160" s="12" t="s">
        <v>3497</v>
      </c>
      <c r="N160" s="12" t="s">
        <v>3654</v>
      </c>
      <c r="O160" s="12" t="s">
        <v>3499</v>
      </c>
      <c r="P160" s="12" t="s">
        <v>3369</v>
      </c>
      <c r="Q160" s="12" t="s">
        <v>3369</v>
      </c>
      <c r="R160" s="12" t="s">
        <v>3369</v>
      </c>
      <c r="S160" s="12" t="s">
        <v>3369</v>
      </c>
      <c r="T160" s="12" t="s">
        <v>3369</v>
      </c>
      <c r="U160" s="12" t="s">
        <v>3369</v>
      </c>
      <c r="V160" s="12" t="s">
        <v>3369</v>
      </c>
      <c r="W160" s="12" t="s">
        <v>3369</v>
      </c>
      <c r="X160" s="12" t="s">
        <v>3369</v>
      </c>
      <c r="Y160" s="12" t="s">
        <v>3369</v>
      </c>
      <c r="Z160" s="12" t="s">
        <v>3369</v>
      </c>
      <c r="AA160" s="12" t="s">
        <v>3369</v>
      </c>
      <c r="AB160" s="12" t="s">
        <v>3369</v>
      </c>
      <c r="AE160" s="32">
        <v>0.40972222221898846</v>
      </c>
      <c r="AF160" s="35"/>
      <c r="AG160" s="33" t="s">
        <v>420</v>
      </c>
      <c r="AH160" s="36" t="s">
        <v>421</v>
      </c>
      <c r="AI160" s="36" t="str">
        <f>HYPERLINK("https://docs.google.com/document/d/13L1BLRxELDJtkWSeTmCGPwxwpJo_bGihEn16D1Ndh94/edit?usp=drivesdk","Ben Mowbray - 9/19/2018 9:50 AM")</f>
        <v>Ben Mowbray - 9/19/2018 9:50 AM</v>
      </c>
      <c r="AJ160" s="33" t="s">
        <v>422</v>
      </c>
    </row>
    <row r="161" spans="1:36" ht="12.75">
      <c r="A161" s="29">
        <v>43362.845694328702</v>
      </c>
      <c r="B161" s="12" t="s">
        <v>3470</v>
      </c>
      <c r="C161" s="12" t="s">
        <v>3719</v>
      </c>
      <c r="D161" s="12" t="s">
        <v>3589</v>
      </c>
      <c r="E161" s="12" t="s">
        <v>3687</v>
      </c>
      <c r="F161" s="30">
        <v>43363</v>
      </c>
      <c r="G161" s="12" t="s">
        <v>3738</v>
      </c>
      <c r="H161" s="32">
        <v>0.45833333333575865</v>
      </c>
      <c r="I161" s="29">
        <v>43363.5625</v>
      </c>
      <c r="J161" s="12" t="s">
        <v>3331</v>
      </c>
      <c r="L161" s="12" t="s">
        <v>3299</v>
      </c>
      <c r="M161" s="12" t="s">
        <v>3591</v>
      </c>
      <c r="N161" s="12" t="s">
        <v>3739</v>
      </c>
      <c r="O161" s="12" t="s">
        <v>3470</v>
      </c>
      <c r="P161" s="12" t="s">
        <v>3369</v>
      </c>
      <c r="Q161" s="12" t="s">
        <v>3369</v>
      </c>
      <c r="R161" s="12" t="s">
        <v>3369</v>
      </c>
      <c r="S161" s="12" t="s">
        <v>3369</v>
      </c>
      <c r="T161" s="12" t="s">
        <v>3369</v>
      </c>
      <c r="U161" s="12" t="s">
        <v>3369</v>
      </c>
      <c r="V161" s="12" t="s">
        <v>3369</v>
      </c>
      <c r="W161" s="12" t="s">
        <v>3369</v>
      </c>
      <c r="X161" s="12" t="s">
        <v>3369</v>
      </c>
      <c r="Y161" s="12" t="s">
        <v>3369</v>
      </c>
      <c r="Z161" s="12" t="s">
        <v>3369</v>
      </c>
      <c r="AA161" s="12" t="s">
        <v>3369</v>
      </c>
      <c r="AB161" s="12" t="s">
        <v>3369</v>
      </c>
      <c r="AE161" s="32">
        <v>0.35416666666424135</v>
      </c>
      <c r="AF161" s="35"/>
      <c r="AG161" s="33" t="s">
        <v>423</v>
      </c>
      <c r="AH161" s="36" t="s">
        <v>424</v>
      </c>
      <c r="AI161" s="36" t="str">
        <f>HYPERLINK("https://docs.google.com/document/d/1XgPHyLVaetsiT9yAxWjsIn05pUXXzoUT6oXrjFlL0YY/edit?usp=drivesdk","Shannon Dunnigan - 9/20/2018 8:30 AM")</f>
        <v>Shannon Dunnigan - 9/20/2018 8:30 AM</v>
      </c>
      <c r="AJ161" s="33" t="s">
        <v>425</v>
      </c>
    </row>
    <row r="162" spans="1:36" ht="12.75">
      <c r="A162" s="29">
        <v>43366.743190810186</v>
      </c>
      <c r="B162" s="12" t="s">
        <v>3390</v>
      </c>
      <c r="C162" s="12" t="s">
        <v>3391</v>
      </c>
      <c r="D162" s="12" t="s">
        <v>3589</v>
      </c>
      <c r="E162" s="12" t="s">
        <v>3597</v>
      </c>
      <c r="F162" s="30">
        <v>43367</v>
      </c>
      <c r="G162" s="12" t="s">
        <v>3529</v>
      </c>
      <c r="H162" s="32">
        <v>0.53125</v>
      </c>
      <c r="I162" s="29">
        <v>43367.541666666672</v>
      </c>
      <c r="J162" s="12" t="s">
        <v>3377</v>
      </c>
      <c r="L162" s="12" t="s">
        <v>3393</v>
      </c>
      <c r="M162" s="12" t="s">
        <v>3454</v>
      </c>
      <c r="N162" s="12" t="s">
        <v>3740</v>
      </c>
      <c r="O162" s="12" t="s">
        <v>3390</v>
      </c>
      <c r="P162" s="12" t="s">
        <v>3369</v>
      </c>
      <c r="Q162" s="12" t="s">
        <v>3369</v>
      </c>
      <c r="R162" s="12" t="s">
        <v>3369</v>
      </c>
      <c r="S162" s="12" t="s">
        <v>3369</v>
      </c>
      <c r="T162" s="12" t="s">
        <v>3369</v>
      </c>
      <c r="U162" s="12" t="s">
        <v>3369</v>
      </c>
      <c r="V162" s="12" t="s">
        <v>3369</v>
      </c>
      <c r="W162" s="12" t="s">
        <v>3369</v>
      </c>
      <c r="X162" s="12" t="s">
        <v>3369</v>
      </c>
      <c r="Y162" s="12" t="s">
        <v>3369</v>
      </c>
      <c r="Z162" s="12" t="s">
        <v>3369</v>
      </c>
      <c r="AA162" s="12" t="s">
        <v>3369</v>
      </c>
      <c r="AB162" s="12" t="s">
        <v>3369</v>
      </c>
      <c r="AE162" s="32">
        <v>0.36458333333575865</v>
      </c>
      <c r="AF162" s="35"/>
      <c r="AG162" s="33" t="s">
        <v>426</v>
      </c>
      <c r="AH162" s="36" t="s">
        <v>427</v>
      </c>
      <c r="AI162" s="36" t="str">
        <f>HYPERLINK("https://docs.google.com/document/d/19y2xBdaEYRCaUdOVOFVL8R13UVTXTgDmuMIsfnSUrpc/edit?usp=drivesdk","Silas Tanner - 9/24/2018 8:45 AM")</f>
        <v>Silas Tanner - 9/24/2018 8:45 AM</v>
      </c>
      <c r="AJ162" s="33" t="s">
        <v>428</v>
      </c>
    </row>
    <row r="163" spans="1:36" ht="12.75">
      <c r="A163" s="29">
        <v>43367.632876539355</v>
      </c>
      <c r="B163" s="12" t="s">
        <v>3386</v>
      </c>
      <c r="C163" s="12" t="s">
        <v>3481</v>
      </c>
      <c r="D163" s="12" t="s">
        <v>3589</v>
      </c>
      <c r="E163" s="12" t="s">
        <v>3430</v>
      </c>
      <c r="F163" s="30">
        <v>43370</v>
      </c>
      <c r="G163" s="12" t="s">
        <v>3741</v>
      </c>
      <c r="H163" s="32">
        <v>0.52777777778101154</v>
      </c>
      <c r="I163" s="29">
        <v>43370.583333333328</v>
      </c>
      <c r="J163" s="12" t="s">
        <v>3331</v>
      </c>
      <c r="L163" s="12" t="s">
        <v>3393</v>
      </c>
      <c r="M163" s="12" t="s">
        <v>3742</v>
      </c>
      <c r="N163" s="12" t="s">
        <v>3743</v>
      </c>
      <c r="O163" s="12" t="s">
        <v>3744</v>
      </c>
      <c r="P163" s="12" t="s">
        <v>3369</v>
      </c>
      <c r="Q163" s="12" t="s">
        <v>3369</v>
      </c>
      <c r="R163" s="12" t="s">
        <v>3369</v>
      </c>
      <c r="S163" s="12" t="s">
        <v>3369</v>
      </c>
      <c r="T163" s="12" t="s">
        <v>3369</v>
      </c>
      <c r="U163" s="12" t="s">
        <v>3369</v>
      </c>
      <c r="V163" s="12" t="s">
        <v>3369</v>
      </c>
      <c r="W163" s="12" t="s">
        <v>3369</v>
      </c>
      <c r="X163" s="12" t="s">
        <v>3369</v>
      </c>
      <c r="Y163" s="12" t="s">
        <v>3369</v>
      </c>
      <c r="Z163" s="12" t="s">
        <v>3369</v>
      </c>
      <c r="AA163" s="12" t="s">
        <v>3369</v>
      </c>
      <c r="AB163" s="12" t="s">
        <v>3369</v>
      </c>
      <c r="AE163" s="32">
        <v>0.30555555555474712</v>
      </c>
      <c r="AF163" s="35"/>
      <c r="AG163" s="33" t="s">
        <v>429</v>
      </c>
      <c r="AH163" s="36" t="s">
        <v>430</v>
      </c>
      <c r="AI163" s="36" t="str">
        <f>HYPERLINK("https://docs.google.com/document/d/1cZCSPnwhRfGhAyk0zgxcNQFgvBFuINflyXPMCG46zK4/edit?usp=drivesdk","Ben Mowbray - 9/27/2018 7:20 AM")</f>
        <v>Ben Mowbray - 9/27/2018 7:20 AM</v>
      </c>
      <c r="AJ163" s="33" t="s">
        <v>431</v>
      </c>
    </row>
    <row r="164" spans="1:36" ht="12.75">
      <c r="A164" s="29">
        <v>43367.635299421294</v>
      </c>
      <c r="B164" s="12" t="s">
        <v>3386</v>
      </c>
      <c r="C164" s="12" t="s">
        <v>3481</v>
      </c>
      <c r="D164" s="12" t="s">
        <v>3589</v>
      </c>
      <c r="E164" s="12" t="s">
        <v>3710</v>
      </c>
      <c r="F164" s="30">
        <v>43371</v>
      </c>
      <c r="G164" s="12" t="s">
        <v>3745</v>
      </c>
      <c r="H164" s="32">
        <v>0.52777777778101154</v>
      </c>
      <c r="I164" s="29">
        <v>43371.583333333328</v>
      </c>
      <c r="J164" s="12" t="s">
        <v>3331</v>
      </c>
      <c r="L164" s="12" t="s">
        <v>3393</v>
      </c>
      <c r="M164" s="12" t="s">
        <v>3742</v>
      </c>
      <c r="N164" s="12" t="s">
        <v>3746</v>
      </c>
      <c r="O164" s="12" t="s">
        <v>3744</v>
      </c>
      <c r="P164" s="12" t="s">
        <v>3369</v>
      </c>
      <c r="Q164" s="12" t="s">
        <v>3369</v>
      </c>
      <c r="R164" s="12" t="s">
        <v>3369</v>
      </c>
      <c r="S164" s="12" t="s">
        <v>3369</v>
      </c>
      <c r="T164" s="12" t="s">
        <v>3369</v>
      </c>
      <c r="U164" s="12" t="s">
        <v>3369</v>
      </c>
      <c r="V164" s="12" t="s">
        <v>3369</v>
      </c>
      <c r="W164" s="12" t="s">
        <v>3369</v>
      </c>
      <c r="X164" s="12" t="s">
        <v>3369</v>
      </c>
      <c r="Y164" s="12" t="s">
        <v>3369</v>
      </c>
      <c r="Z164" s="12" t="s">
        <v>3369</v>
      </c>
      <c r="AA164" s="12" t="s">
        <v>3369</v>
      </c>
      <c r="AB164" s="12" t="s">
        <v>3369</v>
      </c>
      <c r="AE164" s="32">
        <v>0.32638888889050577</v>
      </c>
      <c r="AF164" s="35"/>
      <c r="AG164" s="33" t="s">
        <v>432</v>
      </c>
      <c r="AH164" s="36" t="s">
        <v>433</v>
      </c>
      <c r="AI164" s="36" t="str">
        <f>HYPERLINK("https://docs.google.com/document/d/10rU4XDlqfzQWaY9r_oxgwKKaIF7s4-1zNcxL46nYc7c/edit?usp=drivesdk","Ben Mowbray - 9/28/2018 7:50 AM")</f>
        <v>Ben Mowbray - 9/28/2018 7:50 AM</v>
      </c>
      <c r="AJ164" s="33" t="s">
        <v>434</v>
      </c>
    </row>
    <row r="165" spans="1:36" ht="12.75">
      <c r="A165" s="29">
        <v>43368.30057486111</v>
      </c>
      <c r="B165" s="12" t="s">
        <v>3390</v>
      </c>
      <c r="C165" s="12" t="s">
        <v>1444</v>
      </c>
      <c r="D165" s="12" t="s">
        <v>3589</v>
      </c>
      <c r="E165" s="12" t="s">
        <v>3597</v>
      </c>
      <c r="F165" s="30">
        <v>43368</v>
      </c>
      <c r="G165" s="12" t="s">
        <v>3747</v>
      </c>
      <c r="H165" s="32">
        <v>0.51041666666424135</v>
      </c>
      <c r="I165" s="29">
        <v>43368.520833333328</v>
      </c>
      <c r="J165" s="12" t="s">
        <v>3377</v>
      </c>
      <c r="L165" s="12" t="s">
        <v>3393</v>
      </c>
      <c r="M165" s="12" t="s">
        <v>3480</v>
      </c>
      <c r="O165" s="12" t="s">
        <v>3390</v>
      </c>
      <c r="P165" s="12" t="s">
        <v>3369</v>
      </c>
      <c r="Q165" s="12" t="s">
        <v>3369</v>
      </c>
      <c r="R165" s="12" t="s">
        <v>3369</v>
      </c>
      <c r="S165" s="12" t="s">
        <v>3369</v>
      </c>
      <c r="T165" s="12" t="s">
        <v>3369</v>
      </c>
      <c r="U165" s="12" t="s">
        <v>3369</v>
      </c>
      <c r="V165" s="12" t="s">
        <v>3369</v>
      </c>
      <c r="W165" s="12" t="s">
        <v>3369</v>
      </c>
      <c r="X165" s="12" t="s">
        <v>3369</v>
      </c>
      <c r="Y165" s="12" t="s">
        <v>3369</v>
      </c>
      <c r="Z165" s="12" t="s">
        <v>3369</v>
      </c>
      <c r="AA165" s="12" t="s">
        <v>3369</v>
      </c>
      <c r="AB165" s="12" t="s">
        <v>3369</v>
      </c>
      <c r="AE165" s="32">
        <v>0.34375</v>
      </c>
      <c r="AF165" s="35"/>
      <c r="AG165" s="33" t="s">
        <v>435</v>
      </c>
      <c r="AH165" s="36" t="s">
        <v>436</v>
      </c>
      <c r="AI165" s="36" t="str">
        <f>HYPERLINK("https://docs.google.com/document/d/1KDK2Lyv_0BANy_IEzxkUFIoBnnXj9uvp7TxHIpYvUyk/edit?usp=drivesdk","Silas Tanner - 9/25/2018 8:15 AM")</f>
        <v>Silas Tanner - 9/25/2018 8:15 AM</v>
      </c>
      <c r="AJ165" s="33" t="s">
        <v>437</v>
      </c>
    </row>
    <row r="166" spans="1:36" ht="12.75">
      <c r="A166" s="29">
        <v>43369.382131828708</v>
      </c>
      <c r="B166" s="12" t="s">
        <v>3372</v>
      </c>
      <c r="C166" s="12" t="s">
        <v>3373</v>
      </c>
      <c r="D166" s="12" t="s">
        <v>3589</v>
      </c>
      <c r="E166" s="12" t="s">
        <v>3387</v>
      </c>
      <c r="F166" s="30">
        <v>43369</v>
      </c>
      <c r="G166" s="12" t="s">
        <v>3748</v>
      </c>
      <c r="H166" s="32">
        <v>0.625</v>
      </c>
      <c r="I166" s="29">
        <v>43369.666666666672</v>
      </c>
      <c r="J166" s="12" t="s">
        <v>3377</v>
      </c>
      <c r="L166" s="12" t="s">
        <v>3393</v>
      </c>
      <c r="M166" s="12" t="s">
        <v>3489</v>
      </c>
      <c r="N166" s="12" t="s">
        <v>3749</v>
      </c>
      <c r="O166" s="12" t="s">
        <v>3417</v>
      </c>
      <c r="P166" s="12" t="s">
        <v>3369</v>
      </c>
      <c r="Q166" s="12" t="s">
        <v>3369</v>
      </c>
      <c r="R166" s="12" t="s">
        <v>3369</v>
      </c>
      <c r="S166" s="12" t="s">
        <v>3369</v>
      </c>
      <c r="T166" s="12" t="s">
        <v>3369</v>
      </c>
      <c r="U166" s="12" t="s">
        <v>3369</v>
      </c>
      <c r="V166" s="12" t="s">
        <v>3369</v>
      </c>
      <c r="W166" s="12" t="s">
        <v>3369</v>
      </c>
      <c r="X166" s="12" t="s">
        <v>3369</v>
      </c>
      <c r="Y166" s="12" t="s">
        <v>3369</v>
      </c>
      <c r="Z166" s="12" t="s">
        <v>3369</v>
      </c>
      <c r="AA166" s="12" t="s">
        <v>3369</v>
      </c>
      <c r="AB166" s="12" t="s">
        <v>3369</v>
      </c>
      <c r="AE166" s="32">
        <v>0.4375</v>
      </c>
      <c r="AF166" s="35"/>
      <c r="AG166" s="33" t="s">
        <v>438</v>
      </c>
      <c r="AH166" s="36" t="s">
        <v>439</v>
      </c>
      <c r="AI166" s="36" t="str">
        <f>HYPERLINK("https://docs.google.com/document/d/1YbcgZerdP1LVsxnkBb1fZoOvlgu2Id6KK0LNMU632hw/edit?usp=drivesdk","Pamela Marcum - 9/26/2018 10:30 AM")</f>
        <v>Pamela Marcum - 9/26/2018 10:30 AM</v>
      </c>
      <c r="AJ166" s="33" t="s">
        <v>440</v>
      </c>
    </row>
    <row r="167" spans="1:36" ht="12.75">
      <c r="A167" s="29">
        <v>43374.312609965273</v>
      </c>
      <c r="B167" s="12" t="s">
        <v>3386</v>
      </c>
      <c r="C167" s="12" t="s">
        <v>3481</v>
      </c>
      <c r="D167" s="12" t="s">
        <v>3295</v>
      </c>
      <c r="E167" s="12" t="s">
        <v>3509</v>
      </c>
      <c r="F167" s="30">
        <v>43374</v>
      </c>
      <c r="G167" s="12" t="s">
        <v>3750</v>
      </c>
      <c r="H167" s="32">
        <v>0.5625</v>
      </c>
      <c r="I167" s="29">
        <v>43374.583333333328</v>
      </c>
      <c r="J167" s="12" t="s">
        <v>3331</v>
      </c>
      <c r="L167" s="12" t="s">
        <v>3393</v>
      </c>
      <c r="M167" s="12" t="s">
        <v>3742</v>
      </c>
      <c r="N167" s="12" t="s">
        <v>3510</v>
      </c>
      <c r="O167" s="12" t="s">
        <v>3744</v>
      </c>
      <c r="P167" s="12" t="s">
        <v>3369</v>
      </c>
      <c r="Q167" s="12" t="s">
        <v>3369</v>
      </c>
      <c r="R167" s="12" t="s">
        <v>3369</v>
      </c>
      <c r="S167" s="12" t="s">
        <v>3369</v>
      </c>
      <c r="T167" s="12" t="s">
        <v>3369</v>
      </c>
      <c r="U167" s="12" t="s">
        <v>3369</v>
      </c>
      <c r="V167" s="12" t="s">
        <v>3369</v>
      </c>
      <c r="W167" s="12" t="s">
        <v>3369</v>
      </c>
      <c r="X167" s="12" t="s">
        <v>3369</v>
      </c>
      <c r="Y167" s="12" t="s">
        <v>3369</v>
      </c>
      <c r="Z167" s="12" t="s">
        <v>3369</v>
      </c>
      <c r="AA167" s="12" t="s">
        <v>3369</v>
      </c>
      <c r="AB167" s="12" t="s">
        <v>3369</v>
      </c>
      <c r="AE167" s="32">
        <v>0.35416666666424135</v>
      </c>
      <c r="AF167" s="35"/>
      <c r="AG167" s="33" t="s">
        <v>441</v>
      </c>
      <c r="AH167" s="36" t="s">
        <v>442</v>
      </c>
      <c r="AI167" s="36" t="str">
        <f>HYPERLINK("https://docs.google.com/document/d/10B-Y9mtzPJLK-Vl1R2A-xzT2AB0jOcgS4S3pnj8j_Ks/edit?usp=drivesdk","Ben Mowbray - 10/1/2018 8:30 AM")</f>
        <v>Ben Mowbray - 10/1/2018 8:30 AM</v>
      </c>
      <c r="AJ167" s="33" t="s">
        <v>443</v>
      </c>
    </row>
    <row r="168" spans="1:36" ht="12.75">
      <c r="A168" s="29">
        <v>43375.232179444443</v>
      </c>
      <c r="B168" s="12" t="s">
        <v>3372</v>
      </c>
      <c r="C168" s="12" t="s">
        <v>3383</v>
      </c>
      <c r="D168" s="12" t="s">
        <v>3589</v>
      </c>
      <c r="E168" s="12" t="s">
        <v>3482</v>
      </c>
      <c r="F168" s="30">
        <v>43375</v>
      </c>
      <c r="G168" s="12" t="s">
        <v>3751</v>
      </c>
      <c r="H168" s="32">
        <v>0.45833333333575865</v>
      </c>
      <c r="I168" s="29">
        <v>43375.5</v>
      </c>
      <c r="J168" s="12" t="s">
        <v>3377</v>
      </c>
      <c r="L168" s="12" t="s">
        <v>3461</v>
      </c>
      <c r="M168" s="12" t="s">
        <v>3379</v>
      </c>
      <c r="N168" s="12" t="s">
        <v>3752</v>
      </c>
      <c r="O168" s="12" t="s">
        <v>3381</v>
      </c>
      <c r="P168" s="12" t="s">
        <v>3369</v>
      </c>
      <c r="Q168" s="12" t="s">
        <v>3369</v>
      </c>
      <c r="R168" s="12" t="s">
        <v>3369</v>
      </c>
      <c r="S168" s="12" t="s">
        <v>3369</v>
      </c>
      <c r="T168" s="12" t="s">
        <v>3369</v>
      </c>
      <c r="U168" s="12" t="s">
        <v>3369</v>
      </c>
      <c r="V168" s="12" t="s">
        <v>3369</v>
      </c>
      <c r="W168" s="12" t="s">
        <v>3369</v>
      </c>
      <c r="X168" s="12" t="s">
        <v>3369</v>
      </c>
      <c r="Y168" s="12" t="s">
        <v>3369</v>
      </c>
      <c r="Z168" s="12" t="s">
        <v>3369</v>
      </c>
      <c r="AA168" s="12" t="s">
        <v>3369</v>
      </c>
      <c r="AB168" s="12" t="s">
        <v>3369</v>
      </c>
      <c r="AE168" s="32">
        <v>0.27083333333575865</v>
      </c>
      <c r="AF168" s="35"/>
      <c r="AG168" s="33" t="s">
        <v>445</v>
      </c>
      <c r="AH168" s="36" t="s">
        <v>446</v>
      </c>
      <c r="AI168" s="36" t="str">
        <f>HYPERLINK("https://docs.google.com/document/d/1JqTnJCbGjhbLNmpNm8MVKYBsWfwqFc2Spby_NHY6YBU/edit?usp=drivesdk","Pamela Marcum - 10/2/2018 6:30 AM")</f>
        <v>Pamela Marcum - 10/2/2018 6:30 AM</v>
      </c>
      <c r="AJ168" s="33" t="s">
        <v>447</v>
      </c>
    </row>
    <row r="169" spans="1:36" ht="12.75">
      <c r="A169" s="29">
        <v>43375.328114606484</v>
      </c>
      <c r="B169" s="12" t="s">
        <v>3499</v>
      </c>
      <c r="C169" s="12" t="s">
        <v>3481</v>
      </c>
      <c r="D169" s="12" t="s">
        <v>3295</v>
      </c>
      <c r="E169" s="12" t="s">
        <v>3753</v>
      </c>
      <c r="F169" s="30">
        <v>43375</v>
      </c>
      <c r="G169" s="12" t="s">
        <v>3754</v>
      </c>
      <c r="H169" s="32">
        <v>0.54166666666424135</v>
      </c>
      <c r="I169" s="29">
        <v>43375.569444444445</v>
      </c>
      <c r="J169" s="12" t="s">
        <v>3331</v>
      </c>
      <c r="L169" s="12" t="s">
        <v>3393</v>
      </c>
      <c r="M169" s="12" t="s">
        <v>3742</v>
      </c>
      <c r="N169" s="12" t="s">
        <v>3755</v>
      </c>
      <c r="O169" s="12" t="s">
        <v>3499</v>
      </c>
      <c r="P169" s="12" t="s">
        <v>3369</v>
      </c>
      <c r="Q169" s="12" t="s">
        <v>3369</v>
      </c>
      <c r="R169" s="12" t="s">
        <v>3369</v>
      </c>
      <c r="S169" s="12" t="s">
        <v>3369</v>
      </c>
      <c r="T169" s="12" t="s">
        <v>3369</v>
      </c>
      <c r="U169" s="12" t="s">
        <v>3369</v>
      </c>
      <c r="V169" s="12" t="s">
        <v>3369</v>
      </c>
      <c r="W169" s="12" t="s">
        <v>3369</v>
      </c>
      <c r="X169" s="12" t="s">
        <v>3369</v>
      </c>
      <c r="Y169" s="12" t="s">
        <v>3369</v>
      </c>
      <c r="Z169" s="12" t="s">
        <v>3369</v>
      </c>
      <c r="AA169" s="12" t="s">
        <v>3369</v>
      </c>
      <c r="AB169" s="12" t="s">
        <v>3369</v>
      </c>
      <c r="AE169" s="32">
        <v>0.35416666666424135</v>
      </c>
      <c r="AF169" s="35"/>
      <c r="AG169" s="33" t="s">
        <v>448</v>
      </c>
      <c r="AH169" s="36" t="s">
        <v>449</v>
      </c>
      <c r="AI169" s="36" t="str">
        <f>HYPERLINK("https://docs.google.com/document/d/1OeQTHLSFGSAT31agDkq7pmB0XfjKbGB3H-0rpdiqzEk/edit?usp=drivesdk","Ben - 10/2/2018 8:30 AM")</f>
        <v>Ben - 10/2/2018 8:30 AM</v>
      </c>
      <c r="AJ169" s="33" t="s">
        <v>450</v>
      </c>
    </row>
    <row r="170" spans="1:36" ht="12.75">
      <c r="A170" s="29">
        <v>43376.259619097225</v>
      </c>
      <c r="B170" s="12" t="s">
        <v>3417</v>
      </c>
      <c r="C170" s="12" t="s">
        <v>3383</v>
      </c>
      <c r="D170" s="12" t="s">
        <v>3589</v>
      </c>
      <c r="E170" s="12" t="s">
        <v>3296</v>
      </c>
      <c r="F170" s="30">
        <v>43376</v>
      </c>
      <c r="G170" s="12" t="s">
        <v>3756</v>
      </c>
      <c r="H170" s="32">
        <v>0.54166666666424135</v>
      </c>
      <c r="I170" s="29">
        <v>43376.5625</v>
      </c>
      <c r="J170" s="12" t="s">
        <v>3377</v>
      </c>
      <c r="L170" s="12" t="s">
        <v>3461</v>
      </c>
      <c r="M170" s="12" t="s">
        <v>3379</v>
      </c>
      <c r="N170" s="12" t="s">
        <v>3757</v>
      </c>
      <c r="O170" s="12" t="s">
        <v>3381</v>
      </c>
      <c r="P170" s="12" t="s">
        <v>3369</v>
      </c>
      <c r="Q170" s="12" t="s">
        <v>3369</v>
      </c>
      <c r="R170" s="12" t="s">
        <v>3369</v>
      </c>
      <c r="S170" s="12" t="s">
        <v>3369</v>
      </c>
      <c r="T170" s="12" t="s">
        <v>3369</v>
      </c>
      <c r="U170" s="12" t="s">
        <v>3369</v>
      </c>
      <c r="V170" s="12" t="s">
        <v>3369</v>
      </c>
      <c r="W170" s="12" t="s">
        <v>3369</v>
      </c>
      <c r="X170" s="12" t="s">
        <v>3369</v>
      </c>
      <c r="Y170" s="12" t="s">
        <v>3369</v>
      </c>
      <c r="Z170" s="12" t="s">
        <v>3369</v>
      </c>
      <c r="AA170" s="12" t="s">
        <v>3369</v>
      </c>
      <c r="AB170" s="12" t="s">
        <v>3369</v>
      </c>
      <c r="AE170" s="32">
        <v>0.29166666666424135</v>
      </c>
      <c r="AF170" s="35"/>
      <c r="AG170" s="33" t="s">
        <v>451</v>
      </c>
      <c r="AH170" s="36" t="s">
        <v>452</v>
      </c>
      <c r="AI170" s="36" t="str">
        <f>HYPERLINK("https://docs.google.com/document/d/1h91QH6PngBZUaCNZ-MO08urM96IecrjSB_niSTukIOo/edit?usp=drivesdk","Pam Marcum - 10/3/2018 7:00 AM")</f>
        <v>Pam Marcum - 10/3/2018 7:00 AM</v>
      </c>
      <c r="AJ170" s="33" t="s">
        <v>453</v>
      </c>
    </row>
    <row r="171" spans="1:36" ht="12.75">
      <c r="A171" s="29">
        <v>43376.300010937499</v>
      </c>
      <c r="B171" s="12" t="s">
        <v>3499</v>
      </c>
      <c r="C171" s="12" t="s">
        <v>3758</v>
      </c>
      <c r="D171" s="12" t="s">
        <v>3295</v>
      </c>
      <c r="E171" s="12" t="s">
        <v>3296</v>
      </c>
      <c r="F171" s="30">
        <v>43376</v>
      </c>
      <c r="G171" s="12" t="s">
        <v>3759</v>
      </c>
      <c r="H171" s="32">
        <v>0.52083333333575865</v>
      </c>
      <c r="I171" s="29">
        <v>43376.541666666672</v>
      </c>
      <c r="J171" s="12" t="s">
        <v>3331</v>
      </c>
      <c r="L171" s="12" t="s">
        <v>3393</v>
      </c>
      <c r="M171" s="12" t="s">
        <v>3742</v>
      </c>
      <c r="N171" s="12" t="s">
        <v>3760</v>
      </c>
      <c r="O171" s="12" t="s">
        <v>3499</v>
      </c>
      <c r="P171" s="12" t="s">
        <v>3369</v>
      </c>
      <c r="Q171" s="12" t="s">
        <v>3369</v>
      </c>
      <c r="R171" s="12" t="s">
        <v>3369</v>
      </c>
      <c r="S171" s="12" t="s">
        <v>3369</v>
      </c>
      <c r="T171" s="12" t="s">
        <v>3369</v>
      </c>
      <c r="U171" s="12" t="s">
        <v>3369</v>
      </c>
      <c r="V171" s="12" t="s">
        <v>3369</v>
      </c>
      <c r="W171" s="12" t="s">
        <v>3369</v>
      </c>
      <c r="X171" s="12" t="s">
        <v>3369</v>
      </c>
      <c r="Y171" s="12" t="s">
        <v>3369</v>
      </c>
      <c r="Z171" s="12" t="s">
        <v>3369</v>
      </c>
      <c r="AA171" s="12" t="s">
        <v>3369</v>
      </c>
      <c r="AB171" s="12" t="s">
        <v>3369</v>
      </c>
      <c r="AE171" s="32">
        <v>0.31944444444525288</v>
      </c>
      <c r="AF171" s="35"/>
      <c r="AG171" s="33" t="s">
        <v>454</v>
      </c>
      <c r="AH171" s="36" t="s">
        <v>455</v>
      </c>
      <c r="AI171" s="36" t="str">
        <f>HYPERLINK("https://docs.google.com/document/d/1JRlYA77vV_VIb-S6I2VOgzFmlAaoJSMri79y4krYTeg/edit?usp=drivesdk","Ben - 10/3/2018 7:40 AM")</f>
        <v>Ben - 10/3/2018 7:40 AM</v>
      </c>
      <c r="AJ171" s="33" t="s">
        <v>456</v>
      </c>
    </row>
    <row r="172" spans="1:36" ht="12.75">
      <c r="A172" s="29">
        <v>43377.295364791666</v>
      </c>
      <c r="B172" s="12" t="s">
        <v>3372</v>
      </c>
      <c r="C172" s="12" t="s">
        <v>3383</v>
      </c>
      <c r="D172" s="12" t="s">
        <v>3589</v>
      </c>
      <c r="E172" s="12" t="s">
        <v>3761</v>
      </c>
      <c r="F172" s="30">
        <v>43377</v>
      </c>
      <c r="G172" s="12" t="s">
        <v>3762</v>
      </c>
      <c r="H172" s="32">
        <v>0.625</v>
      </c>
      <c r="I172" s="29">
        <v>43377.666666666672</v>
      </c>
      <c r="J172" s="12" t="s">
        <v>3331</v>
      </c>
      <c r="L172" s="12" t="s">
        <v>3461</v>
      </c>
      <c r="M172" s="12" t="s">
        <v>3379</v>
      </c>
      <c r="N172" s="12" t="s">
        <v>3763</v>
      </c>
      <c r="O172" s="12" t="s">
        <v>3381</v>
      </c>
      <c r="P172" s="12" t="s">
        <v>3369</v>
      </c>
      <c r="Q172" s="12" t="s">
        <v>3369</v>
      </c>
      <c r="R172" s="12" t="s">
        <v>3369</v>
      </c>
      <c r="S172" s="12" t="s">
        <v>3369</v>
      </c>
      <c r="T172" s="12" t="s">
        <v>3369</v>
      </c>
      <c r="U172" s="12" t="s">
        <v>3369</v>
      </c>
      <c r="V172" s="12" t="s">
        <v>3369</v>
      </c>
      <c r="W172" s="12" t="s">
        <v>3369</v>
      </c>
      <c r="X172" s="12" t="s">
        <v>3369</v>
      </c>
      <c r="Y172" s="12" t="s">
        <v>3369</v>
      </c>
      <c r="Z172" s="12" t="s">
        <v>3369</v>
      </c>
      <c r="AA172" s="12" t="s">
        <v>3369</v>
      </c>
      <c r="AB172" s="12" t="s">
        <v>3369</v>
      </c>
      <c r="AE172" s="32">
        <v>0.30208333333575865</v>
      </c>
      <c r="AF172" s="35"/>
      <c r="AG172" s="33" t="s">
        <v>457</v>
      </c>
      <c r="AH172" s="36" t="s">
        <v>458</v>
      </c>
      <c r="AI172" s="36" t="str">
        <f>HYPERLINK("https://docs.google.com/document/d/1jLef7WH1ZWvUDuCPO5cYBeyKUgeRQ04zAG93ZEtwINk/edit?usp=drivesdk","Pamela Marcum - 10/4/2018 7:15 AM")</f>
        <v>Pamela Marcum - 10/4/2018 7:15 AM</v>
      </c>
      <c r="AJ172" s="33" t="s">
        <v>459</v>
      </c>
    </row>
    <row r="173" spans="1:36" ht="12.75">
      <c r="A173" s="29">
        <v>43377.313221238423</v>
      </c>
      <c r="B173" s="12" t="s">
        <v>3390</v>
      </c>
      <c r="C173" s="12" t="s">
        <v>3391</v>
      </c>
      <c r="D173" s="12" t="s">
        <v>3589</v>
      </c>
      <c r="E173" s="12" t="s">
        <v>3467</v>
      </c>
      <c r="F173" s="30">
        <v>43377</v>
      </c>
      <c r="G173" s="12" t="s">
        <v>3764</v>
      </c>
      <c r="H173" s="32">
        <v>0.58333333333575865</v>
      </c>
      <c r="I173" s="29">
        <v>43377.625</v>
      </c>
      <c r="J173" s="12" t="s">
        <v>3469</v>
      </c>
      <c r="K173" s="12">
        <v>2</v>
      </c>
      <c r="L173" s="12" t="s">
        <v>3393</v>
      </c>
      <c r="M173" s="12" t="s">
        <v>3742</v>
      </c>
      <c r="N173" s="12" t="s">
        <v>3505</v>
      </c>
      <c r="O173" s="12" t="s">
        <v>3390</v>
      </c>
      <c r="P173" s="12" t="s">
        <v>3369</v>
      </c>
      <c r="Q173" s="12" t="s">
        <v>3369</v>
      </c>
      <c r="R173" s="12" t="s">
        <v>3369</v>
      </c>
      <c r="S173" s="12" t="s">
        <v>3369</v>
      </c>
      <c r="T173" s="12" t="s">
        <v>3369</v>
      </c>
      <c r="U173" s="12" t="s">
        <v>3369</v>
      </c>
      <c r="V173" s="12" t="s">
        <v>3369</v>
      </c>
      <c r="W173" s="12" t="s">
        <v>3369</v>
      </c>
      <c r="X173" s="12" t="s">
        <v>3369</v>
      </c>
      <c r="Y173" s="12" t="s">
        <v>3369</v>
      </c>
      <c r="Z173" s="12" t="s">
        <v>3369</v>
      </c>
      <c r="AA173" s="12" t="s">
        <v>3369</v>
      </c>
      <c r="AB173" s="12" t="s">
        <v>3369</v>
      </c>
      <c r="AE173" s="32">
        <v>0.33333333333575865</v>
      </c>
      <c r="AF173" s="35"/>
      <c r="AG173" s="33" t="s">
        <v>460</v>
      </c>
      <c r="AH173" s="36" t="s">
        <v>461</v>
      </c>
      <c r="AI173" s="36" t="str">
        <f>HYPERLINK("https://docs.google.com/document/d/1LuCtXJrW5W_uDwtAy3HfcI7oOa4lD8iG7UzSamPCoDk/edit?usp=drivesdk","Silas Tanner - 10/4/2018 8:00 AM")</f>
        <v>Silas Tanner - 10/4/2018 8:00 AM</v>
      </c>
      <c r="AJ173" s="33" t="s">
        <v>462</v>
      </c>
    </row>
    <row r="174" spans="1:36" ht="12.75">
      <c r="A174" s="29">
        <v>43377.337906516201</v>
      </c>
      <c r="B174" s="12" t="s">
        <v>3470</v>
      </c>
      <c r="C174" s="12" t="s">
        <v>3719</v>
      </c>
      <c r="D174" s="12" t="s">
        <v>3589</v>
      </c>
      <c r="E174" s="12" t="s">
        <v>3687</v>
      </c>
      <c r="F174" s="30">
        <v>43377</v>
      </c>
      <c r="G174" s="12" t="s">
        <v>3473</v>
      </c>
      <c r="H174" s="32">
        <v>0</v>
      </c>
      <c r="I174" s="29">
        <v>43377.5625</v>
      </c>
      <c r="J174" s="12" t="s">
        <v>3377</v>
      </c>
      <c r="L174" s="12" t="s">
        <v>3299</v>
      </c>
      <c r="M174" s="12" t="s">
        <v>3474</v>
      </c>
      <c r="N174" s="12" t="s">
        <v>3765</v>
      </c>
      <c r="O174" s="12" t="s">
        <v>3475</v>
      </c>
      <c r="P174" s="12" t="s">
        <v>3369</v>
      </c>
      <c r="Q174" s="12" t="s">
        <v>3369</v>
      </c>
      <c r="R174" s="12" t="s">
        <v>3369</v>
      </c>
      <c r="S174" s="12" t="s">
        <v>3369</v>
      </c>
      <c r="T174" s="12" t="s">
        <v>3369</v>
      </c>
      <c r="U174" s="12" t="s">
        <v>3369</v>
      </c>
      <c r="V174" s="12" t="s">
        <v>3369</v>
      </c>
      <c r="W174" s="12" t="s">
        <v>3369</v>
      </c>
      <c r="X174" s="12" t="s">
        <v>3369</v>
      </c>
      <c r="Y174" s="12" t="s">
        <v>3369</v>
      </c>
      <c r="Z174" s="12" t="s">
        <v>3369</v>
      </c>
      <c r="AA174" s="12" t="s">
        <v>3369</v>
      </c>
      <c r="AB174" s="12" t="s">
        <v>3369</v>
      </c>
      <c r="AE174" s="32">
        <v>0.38541666666424135</v>
      </c>
      <c r="AF174" s="35"/>
      <c r="AG174" s="33" t="s">
        <v>463</v>
      </c>
      <c r="AH174" s="36" t="s">
        <v>464</v>
      </c>
      <c r="AI174" s="36" t="str">
        <f>HYPERLINK("https://docs.google.com/document/d/165OlHMSD7QQspuLihMnA4iOz0DUxDdUqPxfmQ1cBeNs/edit?usp=drivesdk","Shannon Dunnigan - 10/4/2018 9:15 AM")</f>
        <v>Shannon Dunnigan - 10/4/2018 9:15 AM</v>
      </c>
      <c r="AJ174" s="33" t="s">
        <v>465</v>
      </c>
    </row>
    <row r="175" spans="1:36" ht="12.75">
      <c r="A175" s="29">
        <v>43382.602404201389</v>
      </c>
      <c r="B175" s="12" t="s">
        <v>3390</v>
      </c>
      <c r="C175" s="12" t="s">
        <v>3391</v>
      </c>
      <c r="D175" s="12" t="s">
        <v>3589</v>
      </c>
      <c r="E175" s="12" t="s">
        <v>3766</v>
      </c>
      <c r="F175" s="30">
        <v>43383</v>
      </c>
      <c r="G175" s="12" t="s">
        <v>3529</v>
      </c>
      <c r="H175" s="32">
        <v>0.50069444444670808</v>
      </c>
      <c r="I175" s="29">
        <v>43383.510416666672</v>
      </c>
      <c r="J175" s="12" t="s">
        <v>3331</v>
      </c>
      <c r="L175" s="12" t="s">
        <v>3393</v>
      </c>
      <c r="M175" s="12" t="s">
        <v>3454</v>
      </c>
      <c r="N175" s="12" t="s">
        <v>3505</v>
      </c>
      <c r="O175" s="12" t="s">
        <v>3767</v>
      </c>
      <c r="P175" s="12" t="s">
        <v>3369</v>
      </c>
      <c r="Q175" s="12" t="s">
        <v>3369</v>
      </c>
      <c r="R175" s="12" t="s">
        <v>3369</v>
      </c>
      <c r="S175" s="12" t="s">
        <v>3369</v>
      </c>
      <c r="T175" s="12" t="s">
        <v>3369</v>
      </c>
      <c r="U175" s="12" t="s">
        <v>3369</v>
      </c>
      <c r="V175" s="12" t="s">
        <v>3369</v>
      </c>
      <c r="W175" s="12" t="s">
        <v>3369</v>
      </c>
      <c r="X175" s="12" t="s">
        <v>3369</v>
      </c>
      <c r="Y175" s="12" t="s">
        <v>3369</v>
      </c>
      <c r="Z175" s="12" t="s">
        <v>3369</v>
      </c>
      <c r="AA175" s="12" t="s">
        <v>3369</v>
      </c>
      <c r="AB175" s="12" t="s">
        <v>3369</v>
      </c>
      <c r="AE175" s="32">
        <v>0.3125</v>
      </c>
      <c r="AF175" s="35"/>
      <c r="AG175" s="33" t="s">
        <v>466</v>
      </c>
      <c r="AH175" s="36" t="s">
        <v>467</v>
      </c>
      <c r="AI175" s="36" t="str">
        <f>HYPERLINK("https://docs.google.com/document/d/1L1XIyzHuHRQHoWUjLZVh96I0pkX6GW-koS18WeV4S5A/edit?usp=drivesdk","Silas Tanner - 10/10/2018 7:30 AM")</f>
        <v>Silas Tanner - 10/10/2018 7:30 AM</v>
      </c>
      <c r="AJ175" s="33" t="s">
        <v>468</v>
      </c>
    </row>
    <row r="176" spans="1:36" ht="12.75">
      <c r="A176" s="29">
        <v>43385.417226562495</v>
      </c>
      <c r="B176" s="12" t="s">
        <v>3386</v>
      </c>
      <c r="C176" s="12" t="s">
        <v>3481</v>
      </c>
      <c r="D176" s="12" t="s">
        <v>3589</v>
      </c>
      <c r="E176" s="12" t="s">
        <v>3387</v>
      </c>
      <c r="F176" s="30">
        <v>43385</v>
      </c>
      <c r="G176" s="12" t="s">
        <v>3768</v>
      </c>
      <c r="H176" s="32">
        <v>0.66666666666424135</v>
      </c>
      <c r="I176" s="29">
        <v>43385.71875</v>
      </c>
      <c r="J176" s="12" t="s">
        <v>3377</v>
      </c>
      <c r="L176" s="12" t="s">
        <v>3393</v>
      </c>
      <c r="M176" s="12" t="s">
        <v>3489</v>
      </c>
      <c r="O176" s="12" t="s">
        <v>3381</v>
      </c>
      <c r="P176" s="12" t="s">
        <v>3369</v>
      </c>
      <c r="Q176" s="12" t="s">
        <v>3369</v>
      </c>
      <c r="R176" s="12" t="s">
        <v>3369</v>
      </c>
      <c r="S176" s="12" t="s">
        <v>3369</v>
      </c>
      <c r="T176" s="12" t="s">
        <v>3369</v>
      </c>
      <c r="U176" s="12" t="s">
        <v>3369</v>
      </c>
      <c r="V176" s="12" t="s">
        <v>3369</v>
      </c>
      <c r="W176" s="12" t="s">
        <v>3369</v>
      </c>
      <c r="X176" s="12" t="s">
        <v>3369</v>
      </c>
      <c r="Y176" s="12" t="s">
        <v>3369</v>
      </c>
      <c r="Z176" s="12" t="s">
        <v>3369</v>
      </c>
      <c r="AA176" s="12" t="s">
        <v>3369</v>
      </c>
      <c r="AB176" s="12" t="s">
        <v>3369</v>
      </c>
      <c r="AE176" s="32">
        <v>0.46875</v>
      </c>
      <c r="AF176" s="35"/>
      <c r="AG176" s="33" t="s">
        <v>469</v>
      </c>
      <c r="AH176" s="36" t="s">
        <v>470</v>
      </c>
      <c r="AI176" s="36" t="str">
        <f>HYPERLINK("https://docs.google.com/document/d/1FPp7Ct0JiV_kWgKtlmLlCmGzPELIhER6zZ_PuQTEZXQ/edit?usp=drivesdk","Ben Mowbray - 10/12/2018 11:15 AM")</f>
        <v>Ben Mowbray - 10/12/2018 11:15 AM</v>
      </c>
      <c r="AJ176" s="33" t="s">
        <v>471</v>
      </c>
    </row>
    <row r="177" spans="1:36" ht="12.75">
      <c r="A177" s="29">
        <v>43389.283237442127</v>
      </c>
      <c r="B177" s="12" t="s">
        <v>3372</v>
      </c>
      <c r="C177" s="12" t="s">
        <v>3769</v>
      </c>
      <c r="D177" s="12" t="s">
        <v>3589</v>
      </c>
      <c r="E177" s="12" t="s">
        <v>3296</v>
      </c>
      <c r="F177" s="30">
        <v>43389</v>
      </c>
      <c r="G177" s="12" t="s">
        <v>3419</v>
      </c>
      <c r="H177" s="32">
        <v>0.47916666666424135</v>
      </c>
      <c r="I177" s="29">
        <v>43389.5</v>
      </c>
      <c r="J177" s="12" t="s">
        <v>3331</v>
      </c>
      <c r="L177" s="12" t="s">
        <v>3393</v>
      </c>
      <c r="M177" s="12" t="s">
        <v>3489</v>
      </c>
      <c r="N177" s="12" t="s">
        <v>3770</v>
      </c>
      <c r="O177" s="12" t="s">
        <v>3381</v>
      </c>
      <c r="P177" s="12" t="s">
        <v>3369</v>
      </c>
      <c r="Q177" s="12" t="s">
        <v>3369</v>
      </c>
      <c r="R177" s="12" t="s">
        <v>3369</v>
      </c>
      <c r="S177" s="12" t="s">
        <v>3369</v>
      </c>
      <c r="T177" s="12" t="s">
        <v>3369</v>
      </c>
      <c r="U177" s="12" t="s">
        <v>3369</v>
      </c>
      <c r="V177" s="12" t="s">
        <v>3369</v>
      </c>
      <c r="W177" s="12" t="s">
        <v>3369</v>
      </c>
      <c r="X177" s="12" t="s">
        <v>3369</v>
      </c>
      <c r="Y177" s="12" t="s">
        <v>3369</v>
      </c>
      <c r="Z177" s="12" t="s">
        <v>3369</v>
      </c>
      <c r="AA177" s="12" t="s">
        <v>3369</v>
      </c>
      <c r="AB177" s="12" t="s">
        <v>3369</v>
      </c>
      <c r="AE177" s="32">
        <v>0.30208333333575865</v>
      </c>
      <c r="AF177" s="35"/>
      <c r="AG177" s="33" t="s">
        <v>472</v>
      </c>
      <c r="AH177" s="36" t="s">
        <v>473</v>
      </c>
      <c r="AI177" s="36" t="str">
        <f>HYPERLINK("https://docs.google.com/document/d/1JGMIP5SQ2ZMKd8eDucsvIls3aSK9Tt3z-nF29BgavLw/edit?usp=drivesdk","Pamela Marcum - 10/16/2018 7:15 AM")</f>
        <v>Pamela Marcum - 10/16/2018 7:15 AM</v>
      </c>
      <c r="AJ177" s="33" t="s">
        <v>474</v>
      </c>
    </row>
    <row r="178" spans="1:36" ht="12.75">
      <c r="A178" s="29">
        <v>43391.587539490742</v>
      </c>
      <c r="B178" s="12" t="s">
        <v>3390</v>
      </c>
      <c r="C178" s="12" t="s">
        <v>3391</v>
      </c>
      <c r="D178" s="12" t="s">
        <v>3589</v>
      </c>
      <c r="E178" s="12" t="s">
        <v>3430</v>
      </c>
      <c r="F178" s="30">
        <v>43392</v>
      </c>
      <c r="G178" s="12" t="s">
        <v>3556</v>
      </c>
      <c r="H178" s="32">
        <v>0.47916666666424135</v>
      </c>
      <c r="I178" s="29">
        <v>43392.520833333328</v>
      </c>
      <c r="J178" s="12" t="s">
        <v>3331</v>
      </c>
      <c r="L178" s="12" t="s">
        <v>3299</v>
      </c>
      <c r="M178" s="12" t="s">
        <v>3591</v>
      </c>
      <c r="N178" s="12" t="s">
        <v>3563</v>
      </c>
      <c r="O178" s="12" t="s">
        <v>3470</v>
      </c>
      <c r="P178" s="12" t="s">
        <v>3369</v>
      </c>
      <c r="Q178" s="12" t="s">
        <v>3369</v>
      </c>
      <c r="R178" s="12" t="s">
        <v>3369</v>
      </c>
      <c r="S178" s="12" t="s">
        <v>3369</v>
      </c>
      <c r="T178" s="12" t="s">
        <v>3369</v>
      </c>
      <c r="U178" s="12" t="s">
        <v>3369</v>
      </c>
      <c r="V178" s="12" t="s">
        <v>3369</v>
      </c>
      <c r="W178" s="12" t="s">
        <v>3369</v>
      </c>
      <c r="X178" s="12" t="s">
        <v>3369</v>
      </c>
      <c r="Y178" s="12" t="s">
        <v>3369</v>
      </c>
      <c r="Z178" s="12" t="s">
        <v>3369</v>
      </c>
      <c r="AA178" s="12" t="s">
        <v>3369</v>
      </c>
      <c r="AB178" s="12" t="s">
        <v>3369</v>
      </c>
      <c r="AE178" s="32">
        <v>0.35416666666424135</v>
      </c>
      <c r="AF178" s="35"/>
      <c r="AG178" s="33" t="s">
        <v>475</v>
      </c>
      <c r="AH178" s="36" t="s">
        <v>476</v>
      </c>
      <c r="AI178" s="36" t="str">
        <f>HYPERLINK("https://docs.google.com/document/d/1RDmcLZdwMIRHDuujQWjczrbdq11SFvJ7BvyZZWaLJ_M/edit?usp=drivesdk","Silas Tanner - 10/19/2018 8:30 AM")</f>
        <v>Silas Tanner - 10/19/2018 8:30 AM</v>
      </c>
      <c r="AJ178" s="33" t="s">
        <v>477</v>
      </c>
    </row>
    <row r="179" spans="1:36" ht="12.75">
      <c r="A179" s="29">
        <v>43395.332952164354</v>
      </c>
      <c r="B179" s="12" t="s">
        <v>3399</v>
      </c>
      <c r="C179" s="12" t="s">
        <v>3400</v>
      </c>
      <c r="D179" s="12" t="s">
        <v>3401</v>
      </c>
      <c r="E179" s="12" t="s">
        <v>3356</v>
      </c>
      <c r="F179" s="30">
        <v>43395</v>
      </c>
      <c r="G179" s="12" t="s">
        <v>3771</v>
      </c>
      <c r="H179" s="32">
        <v>0.41666666666424135</v>
      </c>
      <c r="J179" s="12" t="s">
        <v>3403</v>
      </c>
      <c r="L179" s="12" t="s">
        <v>3299</v>
      </c>
      <c r="M179" s="12" t="s">
        <v>3458</v>
      </c>
      <c r="N179" s="12" t="s">
        <v>3505</v>
      </c>
      <c r="O179" s="12" t="s">
        <v>3408</v>
      </c>
      <c r="P179" s="12" t="s">
        <v>3369</v>
      </c>
      <c r="Q179" s="12" t="s">
        <v>3369</v>
      </c>
      <c r="R179" s="12" t="s">
        <v>3369</v>
      </c>
      <c r="S179" s="12" t="s">
        <v>3369</v>
      </c>
      <c r="T179" s="12" t="s">
        <v>3369</v>
      </c>
      <c r="U179" s="12" t="s">
        <v>3369</v>
      </c>
      <c r="V179" s="12" t="s">
        <v>3369</v>
      </c>
      <c r="W179" s="12" t="s">
        <v>3369</v>
      </c>
      <c r="X179" s="12" t="s">
        <v>3369</v>
      </c>
      <c r="Y179" s="12" t="s">
        <v>3369</v>
      </c>
      <c r="Z179" s="12" t="s">
        <v>3369</v>
      </c>
      <c r="AA179" s="12" t="s">
        <v>3369</v>
      </c>
      <c r="AB179" s="12" t="s">
        <v>3369</v>
      </c>
      <c r="AE179" s="32">
        <v>0.35416666666424135</v>
      </c>
      <c r="AF179" s="35"/>
      <c r="AG179" s="33" t="s">
        <v>478</v>
      </c>
      <c r="AH179" s="36" t="s">
        <v>479</v>
      </c>
      <c r="AI179" s="36" t="str">
        <f>HYPERLINK("https://docs.google.com/document/d/1vhbaWsznObDXbxBjYZJm-c5mH0w0JZvCBOp-BzfpDKI/edit?usp=drivesdk","James Tomazinis - 10/22/2018 8:30 AM")</f>
        <v>James Tomazinis - 10/22/2018 8:30 AM</v>
      </c>
      <c r="AJ179" s="33" t="s">
        <v>480</v>
      </c>
    </row>
    <row r="180" spans="1:36" ht="12.75">
      <c r="A180" s="29">
        <v>43395.561414131946</v>
      </c>
      <c r="B180" s="12" t="s">
        <v>3390</v>
      </c>
      <c r="C180" s="12" t="s">
        <v>3391</v>
      </c>
      <c r="D180" s="12" t="s">
        <v>3589</v>
      </c>
      <c r="E180" s="12" t="s">
        <v>3597</v>
      </c>
      <c r="F180" s="30">
        <v>43396</v>
      </c>
      <c r="G180" s="12" t="s">
        <v>3529</v>
      </c>
      <c r="H180" s="32">
        <v>0.54166666666424135</v>
      </c>
      <c r="I180" s="29">
        <v>43396.5625</v>
      </c>
      <c r="J180" s="12" t="s">
        <v>3331</v>
      </c>
      <c r="L180" s="12" t="s">
        <v>3299</v>
      </c>
      <c r="M180" s="12" t="s">
        <v>3466</v>
      </c>
      <c r="N180" s="12" t="s">
        <v>3772</v>
      </c>
      <c r="O180" s="12" t="s">
        <v>3390</v>
      </c>
      <c r="P180" s="12" t="s">
        <v>3369</v>
      </c>
      <c r="Q180" s="12" t="s">
        <v>3369</v>
      </c>
      <c r="R180" s="12" t="s">
        <v>3369</v>
      </c>
      <c r="S180" s="12" t="s">
        <v>3369</v>
      </c>
      <c r="T180" s="12" t="s">
        <v>3369</v>
      </c>
      <c r="U180" s="12" t="s">
        <v>3369</v>
      </c>
      <c r="V180" s="12" t="s">
        <v>3369</v>
      </c>
      <c r="W180" s="12" t="s">
        <v>3369</v>
      </c>
      <c r="X180" s="12" t="s">
        <v>3369</v>
      </c>
      <c r="Y180" s="12" t="s">
        <v>3369</v>
      </c>
      <c r="Z180" s="12" t="s">
        <v>3369</v>
      </c>
      <c r="AA180" s="12" t="s">
        <v>3369</v>
      </c>
      <c r="AB180" s="12" t="s">
        <v>3369</v>
      </c>
      <c r="AE180" s="32">
        <v>0.33333333333575865</v>
      </c>
      <c r="AF180" s="35"/>
      <c r="AG180" s="33" t="s">
        <v>481</v>
      </c>
      <c r="AH180" s="36" t="s">
        <v>482</v>
      </c>
      <c r="AI180" s="36" t="str">
        <f>HYPERLINK("https://docs.google.com/document/d/1ZNjLR5XjuWTsIS-2tFfq5tQYsgGh-MACWxn2ZoDEOuU/edit?usp=drivesdk","Silas Tanner - 10/23/2018 8:00 AM")</f>
        <v>Silas Tanner - 10/23/2018 8:00 AM</v>
      </c>
      <c r="AJ180" s="33" t="s">
        <v>483</v>
      </c>
    </row>
    <row r="181" spans="1:36" ht="12.75">
      <c r="A181" s="29">
        <v>43402.268219039353</v>
      </c>
      <c r="B181" s="12" t="s">
        <v>3372</v>
      </c>
      <c r="C181" s="12" t="s">
        <v>3373</v>
      </c>
      <c r="D181" s="12" t="s">
        <v>3589</v>
      </c>
      <c r="E181" s="12" t="s">
        <v>3509</v>
      </c>
      <c r="F181" s="30">
        <v>43402</v>
      </c>
      <c r="G181" s="12" t="s">
        <v>3405</v>
      </c>
      <c r="H181" s="32">
        <v>0.54166666666424135</v>
      </c>
      <c r="I181" s="29">
        <v>43402.5625</v>
      </c>
      <c r="J181" s="12" t="s">
        <v>3331</v>
      </c>
      <c r="L181" s="12" t="s">
        <v>3299</v>
      </c>
      <c r="M181" s="12" t="s">
        <v>3379</v>
      </c>
      <c r="N181" s="12" t="s">
        <v>3773</v>
      </c>
      <c r="O181" s="12" t="s">
        <v>3417</v>
      </c>
      <c r="P181" s="12" t="s">
        <v>3369</v>
      </c>
      <c r="Q181" s="12" t="s">
        <v>3369</v>
      </c>
      <c r="R181" s="12" t="s">
        <v>3369</v>
      </c>
      <c r="S181" s="12" t="s">
        <v>3369</v>
      </c>
      <c r="T181" s="12" t="s">
        <v>3369</v>
      </c>
      <c r="U181" s="12" t="s">
        <v>3369</v>
      </c>
      <c r="V181" s="12" t="s">
        <v>3369</v>
      </c>
      <c r="W181" s="12" t="s">
        <v>3369</v>
      </c>
      <c r="X181" s="12" t="s">
        <v>3369</v>
      </c>
      <c r="Y181" s="12" t="s">
        <v>3369</v>
      </c>
      <c r="Z181" s="12" t="s">
        <v>3369</v>
      </c>
      <c r="AA181" s="12" t="s">
        <v>3369</v>
      </c>
      <c r="AB181" s="12" t="s">
        <v>3369</v>
      </c>
      <c r="AE181" s="32">
        <v>0.29166666666424135</v>
      </c>
      <c r="AF181" s="35"/>
      <c r="AG181" s="33" t="s">
        <v>484</v>
      </c>
      <c r="AH181" s="36" t="s">
        <v>485</v>
      </c>
      <c r="AI181" s="36" t="str">
        <f>HYPERLINK("https://docs.google.com/document/d/1KDW4JIx-TDLtUs2oIxpu-004J3DLKclKRdUK1ysIZ4w/edit?usp=drivesdk","Pamela Marcum - 10/29/2018 7:00 AM")</f>
        <v>Pamela Marcum - 10/29/2018 7:00 AM</v>
      </c>
      <c r="AJ181" s="33" t="s">
        <v>486</v>
      </c>
    </row>
    <row r="182" spans="1:36" ht="12.75">
      <c r="A182" s="29">
        <v>43403.26237045139</v>
      </c>
      <c r="B182" s="12" t="s">
        <v>3372</v>
      </c>
      <c r="C182" s="12" t="s">
        <v>3383</v>
      </c>
      <c r="D182" s="12" t="s">
        <v>3589</v>
      </c>
      <c r="E182" s="12" t="s">
        <v>3774</v>
      </c>
      <c r="F182" s="30">
        <v>43403</v>
      </c>
      <c r="G182" s="12" t="s">
        <v>3405</v>
      </c>
      <c r="H182" s="32">
        <v>0.54166666666424135</v>
      </c>
      <c r="I182" s="29">
        <v>43403.5625</v>
      </c>
      <c r="J182" s="12" t="s">
        <v>3331</v>
      </c>
      <c r="L182" s="12" t="s">
        <v>3299</v>
      </c>
      <c r="M182" s="12" t="s">
        <v>3379</v>
      </c>
      <c r="N182" s="12" t="s">
        <v>3775</v>
      </c>
      <c r="O182" s="12" t="s">
        <v>3381</v>
      </c>
      <c r="P182" s="12" t="s">
        <v>3369</v>
      </c>
      <c r="Q182" s="12" t="s">
        <v>3369</v>
      </c>
      <c r="R182" s="12" t="s">
        <v>3369</v>
      </c>
      <c r="S182" s="12" t="s">
        <v>3369</v>
      </c>
      <c r="T182" s="12" t="s">
        <v>3369</v>
      </c>
      <c r="U182" s="12" t="s">
        <v>3369</v>
      </c>
      <c r="V182" s="12" t="s">
        <v>3369</v>
      </c>
      <c r="W182" s="12" t="s">
        <v>3369</v>
      </c>
      <c r="X182" s="12" t="s">
        <v>3369</v>
      </c>
      <c r="Y182" s="12" t="s">
        <v>3369</v>
      </c>
      <c r="Z182" s="12" t="s">
        <v>3369</v>
      </c>
      <c r="AA182" s="12" t="s">
        <v>3369</v>
      </c>
      <c r="AB182" s="12" t="s">
        <v>3369</v>
      </c>
      <c r="AE182" s="32">
        <v>0.29166666666424135</v>
      </c>
      <c r="AF182" s="35"/>
      <c r="AG182" s="33" t="s">
        <v>487</v>
      </c>
      <c r="AH182" s="36" t="s">
        <v>488</v>
      </c>
      <c r="AI182" s="36" t="str">
        <f>HYPERLINK("https://docs.google.com/document/d/1Qu9mmZmTv01KNWghm6u4OGUV88UmBjkTWh1ifHFSkZg/edit?usp=drivesdk","Pamela Marcum - 10/30/2018 7:00 AM")</f>
        <v>Pamela Marcum - 10/30/2018 7:00 AM</v>
      </c>
      <c r="AJ182" s="33" t="s">
        <v>489</v>
      </c>
    </row>
    <row r="183" spans="1:36" ht="12.75">
      <c r="A183" s="29">
        <v>43404.283073842591</v>
      </c>
      <c r="B183" s="12" t="s">
        <v>3372</v>
      </c>
      <c r="C183" s="12" t="s">
        <v>3383</v>
      </c>
      <c r="D183" s="12" t="s">
        <v>3589</v>
      </c>
      <c r="E183" s="12" t="s">
        <v>3774</v>
      </c>
      <c r="F183" s="30">
        <v>43404</v>
      </c>
      <c r="G183" s="12" t="s">
        <v>3776</v>
      </c>
      <c r="H183" s="32">
        <v>0.58333333333575865</v>
      </c>
      <c r="I183" s="29">
        <v>43404.604166666672</v>
      </c>
      <c r="J183" s="12" t="s">
        <v>3331</v>
      </c>
      <c r="L183" s="12" t="s">
        <v>3299</v>
      </c>
      <c r="M183" s="12" t="s">
        <v>3379</v>
      </c>
      <c r="N183" s="12" t="s">
        <v>3343</v>
      </c>
      <c r="O183" s="12" t="s">
        <v>3381</v>
      </c>
      <c r="P183" s="12" t="s">
        <v>3369</v>
      </c>
      <c r="Q183" s="12" t="s">
        <v>3369</v>
      </c>
      <c r="R183" s="12" t="s">
        <v>3369</v>
      </c>
      <c r="S183" s="12" t="s">
        <v>3369</v>
      </c>
      <c r="T183" s="12" t="s">
        <v>3369</v>
      </c>
      <c r="U183" s="12" t="s">
        <v>3369</v>
      </c>
      <c r="V183" s="12" t="s">
        <v>3369</v>
      </c>
      <c r="W183" s="12" t="s">
        <v>3369</v>
      </c>
      <c r="X183" s="12" t="s">
        <v>3369</v>
      </c>
      <c r="Y183" s="12" t="s">
        <v>3369</v>
      </c>
      <c r="Z183" s="12" t="s">
        <v>3369</v>
      </c>
      <c r="AA183" s="12" t="s">
        <v>3369</v>
      </c>
      <c r="AB183" s="12" t="s">
        <v>3369</v>
      </c>
      <c r="AE183" s="32">
        <v>0.3125</v>
      </c>
      <c r="AF183" s="35"/>
      <c r="AG183" s="33" t="s">
        <v>490</v>
      </c>
      <c r="AH183" s="36" t="s">
        <v>491</v>
      </c>
      <c r="AI183" s="36" t="str">
        <f>HYPERLINK("https://docs.google.com/document/d/1Piq9pUUSz179ys6kT1N1gc9p86TbMAxgV-Uv5HnwE5E/edit?usp=drivesdk","Pamela Marcum - 10/31/2018 7:30 AM")</f>
        <v>Pamela Marcum - 10/31/2018 7:30 AM</v>
      </c>
      <c r="AJ183" s="33" t="s">
        <v>492</v>
      </c>
    </row>
    <row r="184" spans="1:36" ht="12.75">
      <c r="A184" s="29">
        <v>43404.284795844906</v>
      </c>
      <c r="B184" s="12" t="s">
        <v>3386</v>
      </c>
      <c r="C184" s="12" t="s">
        <v>3438</v>
      </c>
      <c r="D184" s="12" t="s">
        <v>3589</v>
      </c>
      <c r="E184" s="12" t="s">
        <v>3774</v>
      </c>
      <c r="F184" s="30">
        <v>43404</v>
      </c>
      <c r="G184" s="12" t="s">
        <v>3776</v>
      </c>
      <c r="H184" s="32">
        <v>0.58333333333575865</v>
      </c>
      <c r="I184" s="29">
        <v>43404.604166666672</v>
      </c>
      <c r="J184" s="12" t="s">
        <v>3366</v>
      </c>
      <c r="L184" s="12" t="s">
        <v>3461</v>
      </c>
      <c r="M184" s="12" t="s">
        <v>3497</v>
      </c>
      <c r="N184" s="12" t="s">
        <v>3777</v>
      </c>
      <c r="O184" s="12" t="s">
        <v>3499</v>
      </c>
      <c r="P184" s="12" t="s">
        <v>3369</v>
      </c>
      <c r="Q184" s="12" t="s">
        <v>3369</v>
      </c>
      <c r="R184" s="12" t="s">
        <v>3369</v>
      </c>
      <c r="S184" s="12" t="s">
        <v>3369</v>
      </c>
      <c r="T184" s="12" t="s">
        <v>3369</v>
      </c>
      <c r="U184" s="12" t="s">
        <v>3369</v>
      </c>
      <c r="V184" s="12" t="s">
        <v>3369</v>
      </c>
      <c r="W184" s="12" t="s">
        <v>3369</v>
      </c>
      <c r="X184" s="12" t="s">
        <v>3369</v>
      </c>
      <c r="Y184" s="12" t="s">
        <v>3369</v>
      </c>
      <c r="Z184" s="12" t="s">
        <v>3369</v>
      </c>
      <c r="AA184" s="12" t="s">
        <v>3369</v>
      </c>
      <c r="AB184" s="12" t="s">
        <v>3369</v>
      </c>
      <c r="AE184" s="32">
        <v>0.3125</v>
      </c>
      <c r="AF184" s="35"/>
      <c r="AG184" s="33" t="s">
        <v>493</v>
      </c>
      <c r="AH184" s="36" t="s">
        <v>494</v>
      </c>
      <c r="AI184" s="36" t="str">
        <f>HYPERLINK("https://docs.google.com/document/d/1yRmCu21DibXxTmzuabRnKsTEkg4ImN6YDeiFUo9b1mQ/edit?usp=drivesdk","Ben Mowbray - 10/31/2018 7:30 AM")</f>
        <v>Ben Mowbray - 10/31/2018 7:30 AM</v>
      </c>
      <c r="AJ184" s="33" t="s">
        <v>495</v>
      </c>
    </row>
    <row r="185" spans="1:36" ht="12.75">
      <c r="A185" s="29">
        <v>43404.486344444449</v>
      </c>
      <c r="B185" s="12" t="s">
        <v>3390</v>
      </c>
      <c r="C185" s="12" t="s">
        <v>3391</v>
      </c>
      <c r="D185" s="12" t="s">
        <v>3589</v>
      </c>
      <c r="E185" s="12" t="s">
        <v>3778</v>
      </c>
      <c r="F185" s="30">
        <v>43404</v>
      </c>
      <c r="G185" s="12" t="s">
        <v>3779</v>
      </c>
      <c r="H185" s="32">
        <v>0.6875</v>
      </c>
      <c r="I185" s="29">
        <v>43404.708333333328</v>
      </c>
      <c r="J185" s="12" t="s">
        <v>3298</v>
      </c>
      <c r="L185" s="12" t="s">
        <v>3393</v>
      </c>
      <c r="M185" s="12" t="s">
        <v>3454</v>
      </c>
      <c r="N185" s="12" t="s">
        <v>3780</v>
      </c>
      <c r="O185" s="12" t="s">
        <v>3429</v>
      </c>
      <c r="P185" s="12" t="s">
        <v>3369</v>
      </c>
      <c r="Q185" s="12" t="s">
        <v>3369</v>
      </c>
      <c r="R185" s="12" t="s">
        <v>3369</v>
      </c>
      <c r="S185" s="12" t="s">
        <v>3369</v>
      </c>
      <c r="T185" s="12" t="s">
        <v>3369</v>
      </c>
      <c r="U185" s="12" t="s">
        <v>3369</v>
      </c>
      <c r="V185" s="12" t="s">
        <v>3369</v>
      </c>
      <c r="W185" s="12" t="s">
        <v>3369</v>
      </c>
      <c r="X185" s="12" t="s">
        <v>3369</v>
      </c>
      <c r="Y185" s="12" t="s">
        <v>3369</v>
      </c>
      <c r="Z185" s="12" t="s">
        <v>3369</v>
      </c>
      <c r="AA185" s="12" t="s">
        <v>3369</v>
      </c>
      <c r="AB185" s="12" t="s">
        <v>3369</v>
      </c>
      <c r="AE185" s="32">
        <v>0.51041666666424135</v>
      </c>
      <c r="AF185" s="35"/>
      <c r="AG185" s="33" t="s">
        <v>496</v>
      </c>
      <c r="AH185" s="36" t="s">
        <v>497</v>
      </c>
      <c r="AI185" s="36" t="str">
        <f>HYPERLINK("https://docs.google.com/document/d/1RX_gUfr2Cwzo06Md2uxfQ1lOEGgjQtJf8J9lleJZCOQ/edit?usp=drivesdk","Silas Tanner - 10/31/2018 12:15 PM")</f>
        <v>Silas Tanner - 10/31/2018 12:15 PM</v>
      </c>
      <c r="AJ185" s="33" t="s">
        <v>498</v>
      </c>
    </row>
    <row r="186" spans="1:36" ht="12.75">
      <c r="A186" s="29">
        <v>43405.276968587961</v>
      </c>
      <c r="B186" s="12" t="s">
        <v>3386</v>
      </c>
      <c r="C186" s="12" t="s">
        <v>3481</v>
      </c>
      <c r="D186" s="12" t="s">
        <v>3589</v>
      </c>
      <c r="E186" s="12" t="s">
        <v>3781</v>
      </c>
      <c r="F186" s="30">
        <v>43405</v>
      </c>
      <c r="G186" s="12" t="s">
        <v>3496</v>
      </c>
      <c r="H186" s="32">
        <v>0.60416666666424135</v>
      </c>
      <c r="I186" s="29">
        <v>43405.659722222219</v>
      </c>
      <c r="J186" s="12" t="s">
        <v>3298</v>
      </c>
      <c r="L186" s="12" t="s">
        <v>3393</v>
      </c>
      <c r="M186" s="12" t="s">
        <v>3497</v>
      </c>
      <c r="N186" s="12" t="s">
        <v>3782</v>
      </c>
      <c r="O186" s="12" t="s">
        <v>3499</v>
      </c>
      <c r="P186" s="12" t="s">
        <v>3369</v>
      </c>
      <c r="Q186" s="12" t="s">
        <v>3369</v>
      </c>
      <c r="R186" s="12" t="s">
        <v>3369</v>
      </c>
      <c r="S186" s="12" t="s">
        <v>3369</v>
      </c>
      <c r="T186" s="12" t="s">
        <v>3369</v>
      </c>
      <c r="U186" s="12" t="s">
        <v>3369</v>
      </c>
      <c r="V186" s="12" t="s">
        <v>3369</v>
      </c>
      <c r="W186" s="12" t="s">
        <v>3369</v>
      </c>
      <c r="X186" s="12" t="s">
        <v>3369</v>
      </c>
      <c r="Y186" s="12" t="s">
        <v>3369</v>
      </c>
      <c r="Z186" s="12" t="s">
        <v>3369</v>
      </c>
      <c r="AA186" s="12" t="s">
        <v>3369</v>
      </c>
      <c r="AB186" s="12" t="s">
        <v>3369</v>
      </c>
      <c r="AE186" s="32">
        <v>0.31944444444525288</v>
      </c>
      <c r="AF186" s="35"/>
      <c r="AG186" s="33" t="s">
        <v>500</v>
      </c>
      <c r="AH186" s="36" t="s">
        <v>501</v>
      </c>
      <c r="AI186" s="36" t="str">
        <f>HYPERLINK("https://docs.google.com/document/d/1s3JiwQ-KWulWysULpBhqbwpxDkxCnkakIu_ciCP-aHE/edit?usp=drivesdk","Ben Mowbray - 11/1/2018 7:40 AM")</f>
        <v>Ben Mowbray - 11/1/2018 7:40 AM</v>
      </c>
      <c r="AJ186" s="33" t="s">
        <v>502</v>
      </c>
    </row>
    <row r="187" spans="1:36" ht="12.75">
      <c r="A187" s="29">
        <v>43405.325426481482</v>
      </c>
      <c r="B187" s="12" t="s">
        <v>3372</v>
      </c>
      <c r="C187" s="12" t="s">
        <v>3373</v>
      </c>
      <c r="D187" s="12" t="s">
        <v>3589</v>
      </c>
      <c r="E187" s="12" t="s">
        <v>3296</v>
      </c>
      <c r="F187" s="30">
        <v>43405</v>
      </c>
      <c r="G187" s="12" t="s">
        <v>3783</v>
      </c>
      <c r="H187" s="32">
        <v>0.54166666666424135</v>
      </c>
      <c r="I187" s="29">
        <v>43405.5625</v>
      </c>
      <c r="J187" s="12" t="s">
        <v>3366</v>
      </c>
      <c r="L187" s="12" t="s">
        <v>3461</v>
      </c>
      <c r="M187" s="12" t="s">
        <v>3379</v>
      </c>
      <c r="N187" s="12" t="s">
        <v>3784</v>
      </c>
      <c r="O187" s="12" t="s">
        <v>3381</v>
      </c>
      <c r="P187" s="12" t="s">
        <v>3369</v>
      </c>
      <c r="Q187" s="12" t="s">
        <v>3369</v>
      </c>
      <c r="R187" s="12" t="s">
        <v>3369</v>
      </c>
      <c r="S187" s="12" t="s">
        <v>3369</v>
      </c>
      <c r="T187" s="12" t="s">
        <v>3369</v>
      </c>
      <c r="U187" s="12" t="s">
        <v>3369</v>
      </c>
      <c r="V187" s="12" t="s">
        <v>3369</v>
      </c>
      <c r="W187" s="12" t="s">
        <v>3369</v>
      </c>
      <c r="X187" s="12" t="s">
        <v>3369</v>
      </c>
      <c r="Y187" s="12" t="s">
        <v>3369</v>
      </c>
      <c r="Z187" s="12" t="s">
        <v>3369</v>
      </c>
      <c r="AA187" s="12" t="s">
        <v>3369</v>
      </c>
      <c r="AB187" s="12" t="s">
        <v>3369</v>
      </c>
      <c r="AE187" s="32">
        <v>0.33333333333575865</v>
      </c>
      <c r="AF187" s="35"/>
      <c r="AG187" s="33" t="s">
        <v>504</v>
      </c>
      <c r="AH187" s="36" t="s">
        <v>505</v>
      </c>
      <c r="AI187" s="36" t="str">
        <f>HYPERLINK("https://docs.google.com/document/d/1wHN4Cbsn47rCWCLLPwvhvv0RSpz-ejSy8O1YNICpliM/edit?usp=drivesdk","Pamela Marcum - 11/1/2018 8:00 AM")</f>
        <v>Pamela Marcum - 11/1/2018 8:00 AM</v>
      </c>
      <c r="AJ187" s="33" t="s">
        <v>506</v>
      </c>
    </row>
    <row r="188" spans="1:36" ht="12.75">
      <c r="A188" s="29">
        <v>43405.346573518516</v>
      </c>
      <c r="B188" s="12" t="s">
        <v>3390</v>
      </c>
      <c r="C188" s="12" t="s">
        <v>3785</v>
      </c>
      <c r="D188" s="12" t="s">
        <v>3589</v>
      </c>
      <c r="E188" s="12" t="s">
        <v>3296</v>
      </c>
      <c r="F188" s="30">
        <v>43405</v>
      </c>
      <c r="G188" s="12" t="s">
        <v>3786</v>
      </c>
      <c r="H188" s="32">
        <v>0.60416666666424135</v>
      </c>
      <c r="I188" s="29">
        <v>43405.625</v>
      </c>
      <c r="J188" s="12" t="s">
        <v>3331</v>
      </c>
      <c r="L188" s="12" t="s">
        <v>3299</v>
      </c>
      <c r="M188" s="12" t="s">
        <v>3454</v>
      </c>
      <c r="N188" s="12" t="s">
        <v>3787</v>
      </c>
      <c r="O188" s="12" t="s">
        <v>3390</v>
      </c>
      <c r="P188" s="12" t="s">
        <v>3369</v>
      </c>
      <c r="Q188" s="12" t="s">
        <v>3369</v>
      </c>
      <c r="R188" s="12" t="s">
        <v>3369</v>
      </c>
      <c r="S188" s="12" t="s">
        <v>3369</v>
      </c>
      <c r="T188" s="12" t="s">
        <v>3369</v>
      </c>
      <c r="U188" s="12" t="s">
        <v>3369</v>
      </c>
      <c r="V188" s="12" t="s">
        <v>3369</v>
      </c>
      <c r="W188" s="12" t="s">
        <v>3369</v>
      </c>
      <c r="X188" s="12" t="s">
        <v>3369</v>
      </c>
      <c r="Y188" s="12" t="s">
        <v>3369</v>
      </c>
      <c r="Z188" s="12" t="s">
        <v>3369</v>
      </c>
      <c r="AA188" s="12" t="s">
        <v>3369</v>
      </c>
      <c r="AB188" s="12" t="s">
        <v>3369</v>
      </c>
      <c r="AE188" s="32">
        <v>0.35416666666424135</v>
      </c>
      <c r="AF188" s="35"/>
      <c r="AG188" s="33" t="s">
        <v>508</v>
      </c>
      <c r="AH188" s="36" t="s">
        <v>509</v>
      </c>
      <c r="AI188" s="36" t="str">
        <f>HYPERLINK("https://docs.google.com/document/d/1Rrrw9hXvd2dswIm7DTQzp7Bj3bZQddXoz6ZiVQaAymE/edit?usp=drivesdk","Silas Tanner - 11/1/2018 8:30 AM")</f>
        <v>Silas Tanner - 11/1/2018 8:30 AM</v>
      </c>
      <c r="AJ188" s="33" t="s">
        <v>510</v>
      </c>
    </row>
    <row r="189" spans="1:36" ht="12.75">
      <c r="A189" s="29">
        <v>43406.327230243056</v>
      </c>
      <c r="B189" s="12" t="s">
        <v>3386</v>
      </c>
      <c r="C189" s="12" t="s">
        <v>3481</v>
      </c>
      <c r="D189" s="12" t="s">
        <v>3589</v>
      </c>
      <c r="E189" s="12" t="s">
        <v>3753</v>
      </c>
      <c r="F189" s="30">
        <v>43406</v>
      </c>
      <c r="G189" s="12" t="s">
        <v>3788</v>
      </c>
      <c r="H189" s="32">
        <v>0.58333333333575865</v>
      </c>
      <c r="I189" s="29">
        <v>43406.611111111109</v>
      </c>
      <c r="J189" s="12" t="s">
        <v>3298</v>
      </c>
      <c r="L189" s="12" t="s">
        <v>3393</v>
      </c>
      <c r="M189" s="12" t="s">
        <v>3497</v>
      </c>
      <c r="N189" s="12" t="s">
        <v>3789</v>
      </c>
      <c r="O189" s="12" t="s">
        <v>3499</v>
      </c>
      <c r="P189" s="12" t="s">
        <v>3369</v>
      </c>
      <c r="Q189" s="12" t="s">
        <v>3369</v>
      </c>
      <c r="R189" s="12" t="s">
        <v>3369</v>
      </c>
      <c r="S189" s="12" t="s">
        <v>3369</v>
      </c>
      <c r="T189" s="12" t="s">
        <v>3369</v>
      </c>
      <c r="U189" s="12" t="s">
        <v>3369</v>
      </c>
      <c r="V189" s="12" t="s">
        <v>3369</v>
      </c>
      <c r="W189" s="12" t="s">
        <v>3369</v>
      </c>
      <c r="X189" s="12" t="s">
        <v>3369</v>
      </c>
      <c r="Y189" s="12" t="s">
        <v>3369</v>
      </c>
      <c r="Z189" s="12" t="s">
        <v>3369</v>
      </c>
      <c r="AA189" s="12" t="s">
        <v>3369</v>
      </c>
      <c r="AB189" s="12" t="s">
        <v>3369</v>
      </c>
      <c r="AE189" s="32">
        <v>0.36111111110949423</v>
      </c>
      <c r="AF189" s="35"/>
      <c r="AG189" s="33" t="s">
        <v>511</v>
      </c>
      <c r="AH189" s="36" t="s">
        <v>512</v>
      </c>
      <c r="AI189" s="36" t="str">
        <f>HYPERLINK("https://docs.google.com/document/d/1HISdHTEExN4zHmyd24EnNJE9re7ldowomCTkQ-w64zU/edit?usp=drivesdk","Ben Mowbray - 11/2/2018 8:40 AM")</f>
        <v>Ben Mowbray - 11/2/2018 8:40 AM</v>
      </c>
      <c r="AJ189" s="33" t="s">
        <v>513</v>
      </c>
    </row>
    <row r="190" spans="1:36" ht="12.75">
      <c r="A190" s="29">
        <v>43406.381574039347</v>
      </c>
      <c r="B190" s="12" t="s">
        <v>3372</v>
      </c>
      <c r="C190" s="12" t="s">
        <v>3383</v>
      </c>
      <c r="D190" s="12" t="s">
        <v>3589</v>
      </c>
      <c r="E190" s="12" t="s">
        <v>3296</v>
      </c>
      <c r="F190" s="30">
        <v>43406</v>
      </c>
      <c r="G190" s="12" t="s">
        <v>3776</v>
      </c>
      <c r="H190" s="32">
        <v>0.60416666666424135</v>
      </c>
      <c r="I190" s="29">
        <v>43406.625</v>
      </c>
      <c r="J190" s="12" t="s">
        <v>3331</v>
      </c>
      <c r="L190" s="12" t="s">
        <v>3299</v>
      </c>
      <c r="M190" s="12" t="s">
        <v>3443</v>
      </c>
      <c r="N190" s="12" t="s">
        <v>3790</v>
      </c>
      <c r="O190" s="12" t="s">
        <v>3744</v>
      </c>
      <c r="P190" s="12" t="s">
        <v>3369</v>
      </c>
      <c r="Q190" s="12" t="s">
        <v>3369</v>
      </c>
      <c r="R190" s="12" t="s">
        <v>3369</v>
      </c>
      <c r="S190" s="12" t="s">
        <v>3369</v>
      </c>
      <c r="T190" s="12" t="s">
        <v>3369</v>
      </c>
      <c r="U190" s="12" t="s">
        <v>3369</v>
      </c>
      <c r="V190" s="12" t="s">
        <v>3369</v>
      </c>
      <c r="W190" s="12" t="s">
        <v>3369</v>
      </c>
      <c r="X190" s="12" t="s">
        <v>3369</v>
      </c>
      <c r="Y190" s="12" t="s">
        <v>3369</v>
      </c>
      <c r="Z190" s="12" t="s">
        <v>3369</v>
      </c>
      <c r="AA190" s="12" t="s">
        <v>3369</v>
      </c>
      <c r="AB190" s="12" t="s">
        <v>3369</v>
      </c>
      <c r="AE190" s="32">
        <v>0.39583333333575865</v>
      </c>
      <c r="AF190" s="35"/>
      <c r="AG190" s="33" t="s">
        <v>514</v>
      </c>
      <c r="AH190" s="36" t="s">
        <v>515</v>
      </c>
      <c r="AI190" s="36" t="str">
        <f>HYPERLINK("https://docs.google.com/document/d/1Gx8Cm5JStNGnczb9BENMG9AfAMxlxOh8pLjeAEIKSJ8/edit?usp=drivesdk","Pamela Marcum - 11/2/2018 9:30 AM")</f>
        <v>Pamela Marcum - 11/2/2018 9:30 AM</v>
      </c>
      <c r="AJ190" s="33" t="s">
        <v>516</v>
      </c>
    </row>
    <row r="191" spans="1:36" ht="12.75">
      <c r="A191" s="29">
        <v>43409.307972523151</v>
      </c>
      <c r="B191" s="12" t="s">
        <v>3390</v>
      </c>
      <c r="C191" s="12" t="s">
        <v>3391</v>
      </c>
      <c r="D191" s="12" t="s">
        <v>3589</v>
      </c>
      <c r="E191" s="12" t="s">
        <v>3597</v>
      </c>
      <c r="F191" s="30">
        <v>43410</v>
      </c>
      <c r="G191" s="12" t="s">
        <v>3465</v>
      </c>
      <c r="H191" s="32">
        <v>0.54166666666424135</v>
      </c>
      <c r="I191" s="29">
        <v>43410.5625</v>
      </c>
      <c r="J191" s="12" t="s">
        <v>3366</v>
      </c>
      <c r="L191" s="12" t="s">
        <v>3393</v>
      </c>
      <c r="M191" s="12" t="s">
        <v>3466</v>
      </c>
      <c r="N191" s="12" t="s">
        <v>3791</v>
      </c>
      <c r="O191" s="12" t="s">
        <v>3406</v>
      </c>
      <c r="P191" s="12" t="s">
        <v>3369</v>
      </c>
      <c r="Q191" s="12" t="s">
        <v>3369</v>
      </c>
      <c r="R191" s="12" t="s">
        <v>3369</v>
      </c>
      <c r="S191" s="12" t="s">
        <v>3369</v>
      </c>
      <c r="T191" s="12" t="s">
        <v>3369</v>
      </c>
      <c r="U191" s="12" t="s">
        <v>3369</v>
      </c>
      <c r="V191" s="12" t="s">
        <v>3369</v>
      </c>
      <c r="W191" s="12" t="s">
        <v>3369</v>
      </c>
      <c r="X191" s="12" t="s">
        <v>3369</v>
      </c>
      <c r="Y191" s="12" t="s">
        <v>3369</v>
      </c>
      <c r="Z191" s="12" t="s">
        <v>3369</v>
      </c>
      <c r="AA191" s="12" t="s">
        <v>3369</v>
      </c>
      <c r="AB191" s="12" t="s">
        <v>3369</v>
      </c>
      <c r="AE191" s="32">
        <v>0.34375</v>
      </c>
      <c r="AF191" s="35"/>
      <c r="AG191" s="33" t="s">
        <v>517</v>
      </c>
      <c r="AH191" s="36" t="s">
        <v>518</v>
      </c>
      <c r="AI191" s="36" t="str">
        <f>HYPERLINK("https://docs.google.com/document/d/17M5r-E0k9v_FKlTFq_QQgPbH7eVdZ0U53IGJR24U6D0/edit?usp=drivesdk","Silas Tanner - 11/6/2018 8:15 AM")</f>
        <v>Silas Tanner - 11/6/2018 8:15 AM</v>
      </c>
      <c r="AJ191" s="33" t="s">
        <v>519</v>
      </c>
    </row>
    <row r="192" spans="1:36" ht="12.75">
      <c r="A192" s="29">
        <v>43409.515005081019</v>
      </c>
      <c r="B192" s="12" t="s">
        <v>3343</v>
      </c>
      <c r="C192" s="12" t="s">
        <v>3792</v>
      </c>
      <c r="D192" s="12" t="s">
        <v>3295</v>
      </c>
      <c r="E192" s="12" t="s">
        <v>3296</v>
      </c>
      <c r="F192" s="30">
        <v>43409</v>
      </c>
      <c r="G192" s="12" t="s">
        <v>3793</v>
      </c>
      <c r="H192" s="32">
        <v>0.64583333333575865</v>
      </c>
      <c r="I192" s="29">
        <v>43409.645833333328</v>
      </c>
      <c r="J192" s="12" t="s">
        <v>3331</v>
      </c>
      <c r="L192" s="12" t="s">
        <v>3461</v>
      </c>
      <c r="M192" s="12" t="s">
        <v>3497</v>
      </c>
      <c r="N192" s="12" t="s">
        <v>3343</v>
      </c>
      <c r="O192" s="12" t="s">
        <v>3386</v>
      </c>
      <c r="P192" s="12" t="s">
        <v>3369</v>
      </c>
      <c r="Q192" s="12" t="s">
        <v>3369</v>
      </c>
      <c r="R192" s="12" t="s">
        <v>3369</v>
      </c>
      <c r="S192" s="12" t="s">
        <v>3369</v>
      </c>
      <c r="T192" s="12" t="s">
        <v>3369</v>
      </c>
      <c r="U192" s="12" t="s">
        <v>3369</v>
      </c>
      <c r="V192" s="12" t="s">
        <v>3369</v>
      </c>
      <c r="W192" s="12" t="s">
        <v>3369</v>
      </c>
      <c r="X192" s="12" t="s">
        <v>3369</v>
      </c>
      <c r="Y192" s="12" t="s">
        <v>3369</v>
      </c>
      <c r="Z192" s="12" t="s">
        <v>3369</v>
      </c>
      <c r="AA192" s="12" t="s">
        <v>3369</v>
      </c>
      <c r="AB192" s="12" t="s">
        <v>3369</v>
      </c>
      <c r="AE192" s="32">
        <v>0.52083333333575865</v>
      </c>
      <c r="AF192" s="35"/>
      <c r="AG192" s="33" t="s">
        <v>520</v>
      </c>
      <c r="AH192" s="36" t="s">
        <v>521</v>
      </c>
      <c r="AI192" s="36" t="str">
        <f>HYPERLINK("https://docs.google.com/document/d/1Hfjuh-87HyMgDwCqQ1yxd7fH8nLij__YzoKp6Zt-A88/edit?usp=drivesdk","Emma Hanson - 11/5/2018 12:30 PM")</f>
        <v>Emma Hanson - 11/5/2018 12:30 PM</v>
      </c>
      <c r="AJ192" s="33" t="s">
        <v>522</v>
      </c>
    </row>
    <row r="193" spans="1:36" ht="12.75">
      <c r="A193" s="29">
        <v>43410.517718564814</v>
      </c>
      <c r="B193" s="12" t="s">
        <v>3417</v>
      </c>
      <c r="C193" s="12" t="s">
        <v>3383</v>
      </c>
      <c r="D193" s="12" t="s">
        <v>3589</v>
      </c>
      <c r="E193" s="12" t="s">
        <v>3296</v>
      </c>
      <c r="F193" s="30">
        <v>43410</v>
      </c>
      <c r="G193" s="12" t="s">
        <v>3794</v>
      </c>
      <c r="H193" s="32">
        <v>0.70833333333575865</v>
      </c>
      <c r="I193" s="29">
        <v>43410.729166666672</v>
      </c>
      <c r="J193" s="12" t="s">
        <v>3331</v>
      </c>
      <c r="L193" s="12" t="s">
        <v>3461</v>
      </c>
      <c r="M193" s="12" t="s">
        <v>3795</v>
      </c>
      <c r="N193" s="12" t="s">
        <v>3796</v>
      </c>
      <c r="O193" s="12" t="s">
        <v>3381</v>
      </c>
      <c r="P193" s="12" t="s">
        <v>3369</v>
      </c>
      <c r="Q193" s="12" t="s">
        <v>3369</v>
      </c>
      <c r="R193" s="12" t="s">
        <v>3369</v>
      </c>
      <c r="S193" s="12" t="s">
        <v>3369</v>
      </c>
      <c r="T193" s="12" t="s">
        <v>3369</v>
      </c>
      <c r="U193" s="12" t="s">
        <v>3369</v>
      </c>
      <c r="V193" s="12" t="s">
        <v>3369</v>
      </c>
      <c r="W193" s="12" t="s">
        <v>3369</v>
      </c>
      <c r="X193" s="12" t="s">
        <v>3369</v>
      </c>
      <c r="Y193" s="12" t="s">
        <v>3369</v>
      </c>
      <c r="Z193" s="12" t="s">
        <v>3369</v>
      </c>
      <c r="AA193" s="12" t="s">
        <v>3369</v>
      </c>
      <c r="AB193" s="12" t="s">
        <v>3369</v>
      </c>
      <c r="AE193" s="32">
        <v>0.54166666666424135</v>
      </c>
      <c r="AF193" s="35"/>
      <c r="AG193" s="33" t="s">
        <v>523</v>
      </c>
      <c r="AH193" s="36" t="s">
        <v>524</v>
      </c>
      <c r="AI193" s="36" t="str">
        <f>HYPERLINK("https://docs.google.com/document/d/1OdROVKVnWNppbGnZBe8XQx4EcpL1Z_wheLxqjEAAvaY/edit?usp=drivesdk","Pam Marcum - 11/6/2018 1:00 PM")</f>
        <v>Pam Marcum - 11/6/2018 1:00 PM</v>
      </c>
      <c r="AJ193" s="33" t="s">
        <v>525</v>
      </c>
    </row>
    <row r="194" spans="1:36" ht="12.75">
      <c r="A194" s="29">
        <v>43411.329206481481</v>
      </c>
      <c r="B194" s="12" t="s">
        <v>3399</v>
      </c>
      <c r="C194" s="12" t="s">
        <v>3400</v>
      </c>
      <c r="D194" s="12" t="s">
        <v>3401</v>
      </c>
      <c r="E194" s="12" t="s">
        <v>3356</v>
      </c>
      <c r="F194" s="30">
        <v>43411</v>
      </c>
      <c r="G194" s="12" t="s">
        <v>3657</v>
      </c>
      <c r="H194" s="32">
        <v>0.42708333333575865</v>
      </c>
      <c r="J194" s="12" t="s">
        <v>3403</v>
      </c>
      <c r="L194" s="12" t="s">
        <v>3299</v>
      </c>
      <c r="M194" s="12" t="s">
        <v>3458</v>
      </c>
      <c r="N194" s="12" t="s">
        <v>3454</v>
      </c>
      <c r="O194" s="12" t="s">
        <v>3408</v>
      </c>
      <c r="P194" s="12" t="s">
        <v>3369</v>
      </c>
      <c r="Q194" s="12" t="s">
        <v>3369</v>
      </c>
      <c r="R194" s="12" t="s">
        <v>3369</v>
      </c>
      <c r="S194" s="12" t="s">
        <v>3369</v>
      </c>
      <c r="T194" s="12" t="s">
        <v>3369</v>
      </c>
      <c r="U194" s="12" t="s">
        <v>3369</v>
      </c>
      <c r="V194" s="12" t="s">
        <v>3369</v>
      </c>
      <c r="W194" s="12" t="s">
        <v>3369</v>
      </c>
      <c r="X194" s="12" t="s">
        <v>3369</v>
      </c>
      <c r="Y194" s="12" t="s">
        <v>3369</v>
      </c>
      <c r="Z194" s="12" t="s">
        <v>3369</v>
      </c>
      <c r="AA194" s="12" t="s">
        <v>3369</v>
      </c>
      <c r="AB194" s="12" t="s">
        <v>3369</v>
      </c>
      <c r="AE194" s="32">
        <v>0.35416666666424135</v>
      </c>
      <c r="AF194" s="35"/>
      <c r="AG194" s="33" t="s">
        <v>526</v>
      </c>
      <c r="AH194" s="36" t="s">
        <v>527</v>
      </c>
      <c r="AI194" s="36" t="str">
        <f>HYPERLINK("https://docs.google.com/document/d/19Pl4hL-nT5KCVnZ4JEMGc1icTwYZpi4m7pzITqh2Uto/edit?usp=drivesdk","James Tomazinis - 11/7/2018 8:30 AM")</f>
        <v>James Tomazinis - 11/7/2018 8:30 AM</v>
      </c>
      <c r="AJ194" s="33" t="s">
        <v>528</v>
      </c>
    </row>
    <row r="195" spans="1:36" ht="12.75">
      <c r="A195" s="29">
        <v>43412.719656030094</v>
      </c>
      <c r="B195" s="12" t="s">
        <v>3372</v>
      </c>
      <c r="C195" s="12" t="s">
        <v>3383</v>
      </c>
      <c r="D195" s="12" t="s">
        <v>3589</v>
      </c>
      <c r="E195" s="12" t="s">
        <v>3797</v>
      </c>
      <c r="F195" s="30">
        <v>43413</v>
      </c>
      <c r="G195" s="12" t="s">
        <v>3798</v>
      </c>
      <c r="H195" s="32">
        <v>0.58333333333575865</v>
      </c>
      <c r="I195" s="29">
        <v>43412.625</v>
      </c>
      <c r="J195" s="12" t="s">
        <v>3331</v>
      </c>
      <c r="L195" s="12" t="s">
        <v>3461</v>
      </c>
      <c r="M195" s="12" t="s">
        <v>3379</v>
      </c>
      <c r="N195" s="12" t="s">
        <v>3799</v>
      </c>
      <c r="O195" s="12" t="s">
        <v>3381</v>
      </c>
      <c r="P195" s="12" t="s">
        <v>3369</v>
      </c>
      <c r="Q195" s="12" t="s">
        <v>3369</v>
      </c>
      <c r="R195" s="12" t="s">
        <v>3369</v>
      </c>
      <c r="S195" s="12" t="s">
        <v>3369</v>
      </c>
      <c r="T195" s="12" t="s">
        <v>3369</v>
      </c>
      <c r="U195" s="12" t="s">
        <v>3369</v>
      </c>
      <c r="V195" s="12" t="s">
        <v>3369</v>
      </c>
      <c r="W195" s="12" t="s">
        <v>3369</v>
      </c>
      <c r="X195" s="12" t="s">
        <v>3369</v>
      </c>
      <c r="Y195" s="12" t="s">
        <v>3369</v>
      </c>
      <c r="Z195" s="12" t="s">
        <v>3369</v>
      </c>
      <c r="AA195" s="12" t="s">
        <v>3369</v>
      </c>
      <c r="AB195" s="12" t="s">
        <v>3369</v>
      </c>
      <c r="AE195" s="32">
        <v>0.33333333333575865</v>
      </c>
      <c r="AF195" s="35"/>
      <c r="AG195" s="33" t="s">
        <v>529</v>
      </c>
      <c r="AH195" s="36" t="s">
        <v>530</v>
      </c>
      <c r="AI195" s="36" t="str">
        <f>HYPERLINK("https://docs.google.com/document/d/1i7gzGMRtKsIfqsAqJWP2driUwJ2sHFfr9kkmwR3CAzc/edit?usp=drivesdk","Pamela Marcum - 11/9/2018 8:00 AM")</f>
        <v>Pamela Marcum - 11/9/2018 8:00 AM</v>
      </c>
      <c r="AJ195" s="33" t="s">
        <v>531</v>
      </c>
    </row>
    <row r="196" spans="1:36" ht="12.75">
      <c r="A196" s="29">
        <v>43414.341224641204</v>
      </c>
      <c r="B196" s="12" t="s">
        <v>3386</v>
      </c>
      <c r="C196" s="12" t="s">
        <v>3481</v>
      </c>
      <c r="D196" s="12" t="s">
        <v>3589</v>
      </c>
      <c r="E196" s="12" t="s">
        <v>3710</v>
      </c>
      <c r="F196" s="30">
        <v>43414</v>
      </c>
      <c r="G196" s="12" t="s">
        <v>3800</v>
      </c>
      <c r="H196" s="32">
        <v>0.5</v>
      </c>
      <c r="I196" s="29">
        <v>43414.75</v>
      </c>
      <c r="J196" s="12" t="s">
        <v>3331</v>
      </c>
      <c r="L196" s="12" t="s">
        <v>3461</v>
      </c>
      <c r="M196" s="12" t="s">
        <v>3489</v>
      </c>
      <c r="O196" s="12" t="s">
        <v>3381</v>
      </c>
      <c r="P196" s="12" t="s">
        <v>3369</v>
      </c>
      <c r="Q196" s="12" t="s">
        <v>3369</v>
      </c>
      <c r="R196" s="12" t="s">
        <v>3369</v>
      </c>
      <c r="S196" s="12" t="s">
        <v>3369</v>
      </c>
      <c r="T196" s="12" t="s">
        <v>3369</v>
      </c>
      <c r="U196" s="12" t="s">
        <v>3369</v>
      </c>
      <c r="V196" s="12" t="s">
        <v>3369</v>
      </c>
      <c r="W196" s="12" t="s">
        <v>3369</v>
      </c>
      <c r="X196" s="12" t="s">
        <v>3369</v>
      </c>
      <c r="Y196" s="12" t="s">
        <v>3369</v>
      </c>
      <c r="Z196" s="12" t="s">
        <v>3369</v>
      </c>
      <c r="AA196" s="12" t="s">
        <v>3369</v>
      </c>
      <c r="AB196" s="12" t="s">
        <v>3369</v>
      </c>
      <c r="AE196" s="32">
        <v>0.41666666666424135</v>
      </c>
      <c r="AF196" s="35"/>
      <c r="AG196" s="33" t="s">
        <v>532</v>
      </c>
      <c r="AH196" s="36" t="s">
        <v>533</v>
      </c>
      <c r="AI196" s="36" t="str">
        <f>HYPERLINK("https://docs.google.com/document/d/1633f9rTaCMPyS4IZy7tFzPfoCMpeoOCM4AqFBr6ZdaU/edit?usp=drivesdk","Ben Mowbray - 11/10/2018 10:00 AM")</f>
        <v>Ben Mowbray - 11/10/2018 10:00 AM</v>
      </c>
      <c r="AJ196" s="33" t="s">
        <v>534</v>
      </c>
    </row>
    <row r="197" spans="1:36" ht="12.75">
      <c r="A197" s="29">
        <v>43417.557462129625</v>
      </c>
      <c r="B197" s="12" t="s">
        <v>3372</v>
      </c>
      <c r="C197" s="12" t="s">
        <v>3383</v>
      </c>
      <c r="D197" s="12" t="s">
        <v>3589</v>
      </c>
      <c r="E197" s="12" t="s">
        <v>3296</v>
      </c>
      <c r="F197" s="30">
        <v>43417</v>
      </c>
      <c r="G197" s="12" t="s">
        <v>3801</v>
      </c>
      <c r="H197" s="32">
        <v>0.64583333333575865</v>
      </c>
      <c r="I197" s="29">
        <v>43417.666666666672</v>
      </c>
      <c r="J197" s="12" t="s">
        <v>3331</v>
      </c>
      <c r="L197" s="12" t="s">
        <v>3393</v>
      </c>
      <c r="M197" s="12" t="s">
        <v>3379</v>
      </c>
      <c r="N197" s="12" t="s">
        <v>3802</v>
      </c>
      <c r="O197" s="12" t="s">
        <v>3381</v>
      </c>
      <c r="P197" s="12" t="s">
        <v>3369</v>
      </c>
      <c r="Q197" s="12" t="s">
        <v>3369</v>
      </c>
      <c r="R197" s="12" t="s">
        <v>3369</v>
      </c>
      <c r="S197" s="12" t="s">
        <v>3369</v>
      </c>
      <c r="T197" s="12" t="s">
        <v>3369</v>
      </c>
      <c r="U197" s="12" t="s">
        <v>3369</v>
      </c>
      <c r="V197" s="12" t="s">
        <v>3369</v>
      </c>
      <c r="W197" s="12" t="s">
        <v>3369</v>
      </c>
      <c r="X197" s="12" t="s">
        <v>3369</v>
      </c>
      <c r="Y197" s="12" t="s">
        <v>3369</v>
      </c>
      <c r="Z197" s="12" t="s">
        <v>3369</v>
      </c>
      <c r="AA197" s="12" t="s">
        <v>3369</v>
      </c>
      <c r="AB197" s="12" t="s">
        <v>3369</v>
      </c>
      <c r="AE197" s="32">
        <v>0.58333333333575865</v>
      </c>
      <c r="AF197" s="35"/>
      <c r="AG197" s="33" t="s">
        <v>535</v>
      </c>
      <c r="AH197" s="36" t="s">
        <v>536</v>
      </c>
      <c r="AI197" s="36" t="str">
        <f>HYPERLINK("https://docs.google.com/document/d/1PL271tW_lqAUNom36USh5xQ5-3Fx9KBM5GmY4JnYfd4/edit?usp=drivesdk","Pamela Marcum - 11/13/2018 2:00 PM")</f>
        <v>Pamela Marcum - 11/13/2018 2:00 PM</v>
      </c>
      <c r="AJ197" s="33" t="s">
        <v>537</v>
      </c>
    </row>
    <row r="198" spans="1:36" ht="12.75">
      <c r="A198" s="29">
        <v>43417.630593055554</v>
      </c>
      <c r="B198" s="12" t="s">
        <v>3390</v>
      </c>
      <c r="C198" s="12" t="s">
        <v>3391</v>
      </c>
      <c r="D198" s="12" t="s">
        <v>3589</v>
      </c>
      <c r="E198" s="12" t="s">
        <v>3597</v>
      </c>
      <c r="F198" s="30">
        <v>43418</v>
      </c>
      <c r="G198" s="12" t="s">
        <v>3465</v>
      </c>
      <c r="H198" s="32">
        <v>0.58333333333575865</v>
      </c>
      <c r="I198" s="29">
        <v>43418.59375</v>
      </c>
      <c r="J198" s="12" t="s">
        <v>3331</v>
      </c>
      <c r="L198" s="12" t="s">
        <v>3393</v>
      </c>
      <c r="M198" s="12" t="s">
        <v>3591</v>
      </c>
      <c r="N198" s="12" t="s">
        <v>3803</v>
      </c>
      <c r="O198" s="12" t="s">
        <v>3804</v>
      </c>
      <c r="P198" s="12" t="s">
        <v>3369</v>
      </c>
      <c r="Q198" s="12" t="s">
        <v>3369</v>
      </c>
      <c r="R198" s="12" t="s">
        <v>3369</v>
      </c>
      <c r="S198" s="12" t="s">
        <v>3369</v>
      </c>
      <c r="T198" s="12" t="s">
        <v>3369</v>
      </c>
      <c r="U198" s="12" t="s">
        <v>3369</v>
      </c>
      <c r="V198" s="12" t="s">
        <v>3369</v>
      </c>
      <c r="W198" s="12" t="s">
        <v>3369</v>
      </c>
      <c r="X198" s="12" t="s">
        <v>3369</v>
      </c>
      <c r="Y198" s="12" t="s">
        <v>3369</v>
      </c>
      <c r="Z198" s="12" t="s">
        <v>3369</v>
      </c>
      <c r="AA198" s="12" t="s">
        <v>3369</v>
      </c>
      <c r="AB198" s="12" t="s">
        <v>3369</v>
      </c>
      <c r="AE198" s="32">
        <v>0.4375</v>
      </c>
      <c r="AF198" s="35"/>
      <c r="AG198" s="33" t="s">
        <v>538</v>
      </c>
      <c r="AH198" s="36" t="s">
        <v>539</v>
      </c>
      <c r="AI198" s="36" t="str">
        <f>HYPERLINK("https://docs.google.com/document/d/1kbvT1CsqWVSgIaGJKDYhYIm_4ojgiC2OS4qGLdNc4tI/edit?usp=drivesdk","Silas Tanner - 11/14/2018 10:30 AM")</f>
        <v>Silas Tanner - 11/14/2018 10:30 AM</v>
      </c>
      <c r="AJ198" s="33" t="s">
        <v>540</v>
      </c>
    </row>
    <row r="199" spans="1:36" ht="12.75">
      <c r="A199" s="29">
        <v>43419.43572765046</v>
      </c>
      <c r="B199" s="12" t="s">
        <v>3390</v>
      </c>
      <c r="C199" s="12" t="s">
        <v>3391</v>
      </c>
      <c r="D199" s="12" t="s">
        <v>3589</v>
      </c>
      <c r="E199" s="12" t="s">
        <v>3597</v>
      </c>
      <c r="F199" s="30">
        <v>43419</v>
      </c>
      <c r="G199" s="12" t="s">
        <v>3529</v>
      </c>
      <c r="H199" s="32">
        <v>0.625</v>
      </c>
      <c r="I199" s="29">
        <v>43419.635416666672</v>
      </c>
      <c r="J199" s="12" t="s">
        <v>3331</v>
      </c>
      <c r="L199" s="12" t="s">
        <v>3393</v>
      </c>
      <c r="M199" s="12" t="s">
        <v>3454</v>
      </c>
      <c r="N199" s="12" t="s">
        <v>3805</v>
      </c>
      <c r="O199" s="12" t="s">
        <v>3767</v>
      </c>
      <c r="P199" s="12" t="s">
        <v>3369</v>
      </c>
      <c r="Q199" s="12" t="s">
        <v>3369</v>
      </c>
      <c r="R199" s="12" t="s">
        <v>3369</v>
      </c>
      <c r="S199" s="12" t="s">
        <v>3369</v>
      </c>
      <c r="T199" s="12" t="s">
        <v>3369</v>
      </c>
      <c r="U199" s="12" t="s">
        <v>3369</v>
      </c>
      <c r="V199" s="12" t="s">
        <v>3369</v>
      </c>
      <c r="W199" s="12" t="s">
        <v>3369</v>
      </c>
      <c r="X199" s="12" t="s">
        <v>3369</v>
      </c>
      <c r="Y199" s="12" t="s">
        <v>3369</v>
      </c>
      <c r="Z199" s="12" t="s">
        <v>3369</v>
      </c>
      <c r="AA199" s="12" t="s">
        <v>3369</v>
      </c>
      <c r="AB199" s="12" t="s">
        <v>3369</v>
      </c>
      <c r="AE199" s="32">
        <v>0.45833333333575865</v>
      </c>
      <c r="AF199" s="35"/>
      <c r="AG199" s="33" t="s">
        <v>541</v>
      </c>
      <c r="AH199" s="36" t="s">
        <v>542</v>
      </c>
      <c r="AI199" s="36" t="str">
        <f>HYPERLINK("https://docs.google.com/document/d/1Ro8NJhnFBHEkHT8r9UkoHcGushyxmf7T7UxF2d3EPTo/edit?usp=drivesdk","Silas Tanner - 11/15/2018 11:00 AM")</f>
        <v>Silas Tanner - 11/15/2018 11:00 AM</v>
      </c>
      <c r="AJ199" s="33" t="s">
        <v>543</v>
      </c>
    </row>
    <row r="200" spans="1:36" ht="12.75">
      <c r="A200" s="29">
        <v>43430.614870833335</v>
      </c>
      <c r="B200" s="12" t="s">
        <v>3386</v>
      </c>
      <c r="C200" s="12" t="s">
        <v>3481</v>
      </c>
      <c r="D200" s="12" t="s">
        <v>3295</v>
      </c>
      <c r="E200" s="12" t="s">
        <v>3753</v>
      </c>
      <c r="F200" s="30">
        <v>43431</v>
      </c>
      <c r="G200" s="12" t="s">
        <v>3806</v>
      </c>
      <c r="H200" s="32">
        <v>0.68055555555474712</v>
      </c>
      <c r="I200" s="29">
        <v>43431.708333333328</v>
      </c>
      <c r="J200" s="12" t="s">
        <v>3331</v>
      </c>
      <c r="L200" s="12" t="s">
        <v>3393</v>
      </c>
      <c r="M200" s="12" t="s">
        <v>3497</v>
      </c>
      <c r="N200" s="12" t="s">
        <v>3807</v>
      </c>
      <c r="O200" s="12" t="s">
        <v>3499</v>
      </c>
      <c r="P200" s="12" t="s">
        <v>3369</v>
      </c>
      <c r="Q200" s="12" t="s">
        <v>3369</v>
      </c>
      <c r="R200" s="12" t="s">
        <v>3369</v>
      </c>
      <c r="S200" s="12" t="s">
        <v>3369</v>
      </c>
      <c r="T200" s="12" t="s">
        <v>3369</v>
      </c>
      <c r="U200" s="12" t="s">
        <v>3369</v>
      </c>
      <c r="V200" s="12" t="s">
        <v>3369</v>
      </c>
      <c r="W200" s="12" t="s">
        <v>3369</v>
      </c>
      <c r="X200" s="12" t="s">
        <v>3369</v>
      </c>
      <c r="Y200" s="12" t="s">
        <v>3369</v>
      </c>
      <c r="Z200" s="12" t="s">
        <v>3369</v>
      </c>
      <c r="AA200" s="12" t="s">
        <v>3369</v>
      </c>
      <c r="AB200" s="12" t="s">
        <v>3369</v>
      </c>
      <c r="AE200" s="32">
        <v>0.61111111110949423</v>
      </c>
      <c r="AF200" s="35"/>
      <c r="AG200" s="33" t="s">
        <v>544</v>
      </c>
      <c r="AH200" s="36" t="s">
        <v>545</v>
      </c>
      <c r="AI200" s="36" t="str">
        <f>HYPERLINK("https://docs.google.com/document/d/1oCIbNyJwXRwNMINWHnLOK0AHi7aUYV5hxePSeCyfP2Q/edit?usp=drivesdk","Ben Mowbray - 11/27/2018 2:40 PM")</f>
        <v>Ben Mowbray - 11/27/2018 2:40 PM</v>
      </c>
      <c r="AJ200" s="33" t="s">
        <v>546</v>
      </c>
    </row>
    <row r="201" spans="1:36" ht="12.75">
      <c r="A201" s="29">
        <v>43431.758201574077</v>
      </c>
      <c r="B201" s="12" t="s">
        <v>3386</v>
      </c>
      <c r="C201" s="12" t="s">
        <v>3481</v>
      </c>
      <c r="D201" s="12" t="s">
        <v>3589</v>
      </c>
      <c r="E201" s="12" t="s">
        <v>3808</v>
      </c>
      <c r="F201" s="30">
        <v>43431</v>
      </c>
      <c r="G201" s="12" t="s">
        <v>3809</v>
      </c>
      <c r="H201" s="32">
        <v>0.66666666666424135</v>
      </c>
      <c r="I201" s="29">
        <v>43431.722222222219</v>
      </c>
      <c r="J201" s="12" t="s">
        <v>3331</v>
      </c>
      <c r="L201" s="12" t="s">
        <v>3393</v>
      </c>
      <c r="M201" s="12" t="s">
        <v>3497</v>
      </c>
      <c r="N201" s="12" t="s">
        <v>3810</v>
      </c>
      <c r="O201" s="12" t="s">
        <v>3499</v>
      </c>
      <c r="P201" s="12" t="s">
        <v>3369</v>
      </c>
      <c r="Q201" s="12" t="s">
        <v>3369</v>
      </c>
      <c r="R201" s="12" t="s">
        <v>3369</v>
      </c>
      <c r="S201" s="12" t="s">
        <v>3369</v>
      </c>
      <c r="T201" s="12" t="s">
        <v>3369</v>
      </c>
      <c r="U201" s="12" t="s">
        <v>3369</v>
      </c>
      <c r="V201" s="12" t="s">
        <v>3369</v>
      </c>
      <c r="W201" s="12" t="s">
        <v>3369</v>
      </c>
      <c r="X201" s="12" t="s">
        <v>3369</v>
      </c>
      <c r="Y201" s="12" t="s">
        <v>3369</v>
      </c>
      <c r="Z201" s="12" t="s">
        <v>3369</v>
      </c>
      <c r="AA201" s="12" t="s">
        <v>3369</v>
      </c>
      <c r="AB201" s="12" t="s">
        <v>3369</v>
      </c>
      <c r="AE201" s="32">
        <v>0.40972222221898846</v>
      </c>
      <c r="AF201" s="35"/>
      <c r="AG201" s="33" t="s">
        <v>547</v>
      </c>
      <c r="AH201" s="36" t="s">
        <v>548</v>
      </c>
      <c r="AI201" s="36" t="str">
        <f>HYPERLINK("https://docs.google.com/document/d/1UytU1qoyfwDOxvXCNFzuyxYJSlOMrr0F6BOQspPMTz0/edit?usp=drivesdk","Ben Mowbray - 11/27/2018 9:50 AM")</f>
        <v>Ben Mowbray - 11/27/2018 9:50 AM</v>
      </c>
      <c r="AJ201" s="33" t="s">
        <v>549</v>
      </c>
    </row>
    <row r="202" spans="1:36" ht="12.75">
      <c r="A202" s="29">
        <v>43433.290531574079</v>
      </c>
      <c r="B202" s="12" t="s">
        <v>3386</v>
      </c>
      <c r="C202" s="12" t="s">
        <v>3481</v>
      </c>
      <c r="D202" s="12" t="s">
        <v>3295</v>
      </c>
      <c r="E202" s="12" t="s">
        <v>3736</v>
      </c>
      <c r="F202" s="30">
        <v>43433</v>
      </c>
      <c r="G202" s="12" t="s">
        <v>3811</v>
      </c>
      <c r="H202" s="32">
        <v>0.58333333333575865</v>
      </c>
      <c r="I202" s="29">
        <v>43433.638888888891</v>
      </c>
      <c r="J202" s="12" t="s">
        <v>3331</v>
      </c>
      <c r="L202" s="12" t="s">
        <v>3393</v>
      </c>
      <c r="M202" s="12" t="s">
        <v>3497</v>
      </c>
      <c r="N202" s="12" t="s">
        <v>3812</v>
      </c>
      <c r="O202" s="12" t="s">
        <v>3499</v>
      </c>
      <c r="P202" s="12" t="s">
        <v>3369</v>
      </c>
      <c r="Q202" s="12" t="s">
        <v>3369</v>
      </c>
      <c r="R202" s="12" t="s">
        <v>3369</v>
      </c>
      <c r="S202" s="12" t="s">
        <v>3369</v>
      </c>
      <c r="T202" s="12" t="s">
        <v>3369</v>
      </c>
      <c r="U202" s="12" t="s">
        <v>3369</v>
      </c>
      <c r="V202" s="12" t="s">
        <v>3369</v>
      </c>
      <c r="W202" s="12" t="s">
        <v>3369</v>
      </c>
      <c r="X202" s="12" t="s">
        <v>3369</v>
      </c>
      <c r="Y202" s="12" t="s">
        <v>3369</v>
      </c>
      <c r="Z202" s="12" t="s">
        <v>3369</v>
      </c>
      <c r="AA202" s="12" t="s">
        <v>3369</v>
      </c>
      <c r="AB202" s="12" t="s">
        <v>3369</v>
      </c>
      <c r="AE202" s="32">
        <v>0.34722222221898846</v>
      </c>
      <c r="AF202" s="35"/>
      <c r="AG202" s="33" t="s">
        <v>550</v>
      </c>
      <c r="AH202" s="36" t="s">
        <v>551</v>
      </c>
      <c r="AI202" s="36" t="str">
        <f>HYPERLINK("https://docs.google.com/document/d/1WPXaA7dO7Ju4PLovG3d8P_hfoKL3mzHt2dO7NERh5Nc/edit?usp=drivesdk","Ben Mowbray - 11/29/2018 8:20 AM")</f>
        <v>Ben Mowbray - 11/29/2018 8:20 AM</v>
      </c>
      <c r="AJ202" s="33" t="s">
        <v>552</v>
      </c>
    </row>
    <row r="203" spans="1:36" ht="12.75">
      <c r="A203" s="29">
        <v>43434.28727134259</v>
      </c>
      <c r="B203" s="12" t="s">
        <v>3386</v>
      </c>
      <c r="C203" s="12" t="s">
        <v>3481</v>
      </c>
      <c r="D203" s="12" t="s">
        <v>3589</v>
      </c>
      <c r="E203" s="12" t="s">
        <v>3296</v>
      </c>
      <c r="F203" s="30">
        <v>43434</v>
      </c>
      <c r="G203" s="12" t="s">
        <v>3813</v>
      </c>
      <c r="H203" s="32">
        <v>0.51388888889050577</v>
      </c>
      <c r="I203" s="29">
        <v>43434.541666666672</v>
      </c>
      <c r="J203" s="12" t="s">
        <v>3331</v>
      </c>
      <c r="L203" s="12" t="s">
        <v>3393</v>
      </c>
      <c r="M203" s="12" t="s">
        <v>3497</v>
      </c>
      <c r="N203" s="12" t="s">
        <v>3814</v>
      </c>
      <c r="O203" s="12" t="s">
        <v>3499</v>
      </c>
      <c r="P203" s="12" t="s">
        <v>3369</v>
      </c>
      <c r="Q203" s="12" t="s">
        <v>3369</v>
      </c>
      <c r="R203" s="12" t="s">
        <v>3369</v>
      </c>
      <c r="S203" s="12" t="s">
        <v>3369</v>
      </c>
      <c r="T203" s="12" t="s">
        <v>3369</v>
      </c>
      <c r="U203" s="12" t="s">
        <v>3369</v>
      </c>
      <c r="V203" s="12" t="s">
        <v>3369</v>
      </c>
      <c r="W203" s="12" t="s">
        <v>3369</v>
      </c>
      <c r="X203" s="12" t="s">
        <v>3369</v>
      </c>
      <c r="Y203" s="12" t="s">
        <v>3369</v>
      </c>
      <c r="Z203" s="12" t="s">
        <v>3369</v>
      </c>
      <c r="AA203" s="12" t="s">
        <v>3369</v>
      </c>
      <c r="AB203" s="12" t="s">
        <v>3369</v>
      </c>
      <c r="AE203" s="32">
        <v>0.30555555555474712</v>
      </c>
      <c r="AF203" s="35"/>
      <c r="AG203" s="33" t="s">
        <v>553</v>
      </c>
      <c r="AH203" s="36" t="s">
        <v>554</v>
      </c>
      <c r="AI203" s="36" t="str">
        <f>HYPERLINK("https://docs.google.com/document/d/1-6d6hvJWvO6BYtbO2WWaqb1in49kdbEkIdMZcbPaJuo/edit?usp=drivesdk","Ben Mowbray - 11/30/2018 7:20 AM")</f>
        <v>Ben Mowbray - 11/30/2018 7:20 AM</v>
      </c>
      <c r="AJ203" s="33" t="s">
        <v>555</v>
      </c>
    </row>
    <row r="204" spans="1:36" ht="12.75">
      <c r="A204" s="29">
        <v>43434.296460011574</v>
      </c>
      <c r="B204" s="12" t="s">
        <v>3372</v>
      </c>
      <c r="C204" s="12" t="s">
        <v>3373</v>
      </c>
      <c r="D204" s="12" t="s">
        <v>3589</v>
      </c>
      <c r="E204" s="12" t="s">
        <v>3815</v>
      </c>
      <c r="F204" s="30">
        <v>43434</v>
      </c>
      <c r="G204" s="12" t="s">
        <v>3816</v>
      </c>
      <c r="H204" s="32">
        <v>0.54166666666424135</v>
      </c>
      <c r="I204" s="29">
        <v>43434.5625</v>
      </c>
      <c r="J204" s="12" t="s">
        <v>3298</v>
      </c>
      <c r="L204" s="12" t="s">
        <v>3817</v>
      </c>
      <c r="M204" s="12" t="s">
        <v>3379</v>
      </c>
      <c r="N204" s="12" t="s">
        <v>3818</v>
      </c>
      <c r="O204" s="12" t="s">
        <v>3381</v>
      </c>
      <c r="P204" s="12" t="s">
        <v>3369</v>
      </c>
      <c r="Q204" s="12" t="s">
        <v>3369</v>
      </c>
      <c r="R204" s="12" t="s">
        <v>3369</v>
      </c>
      <c r="S204" s="12" t="s">
        <v>3369</v>
      </c>
      <c r="T204" s="12" t="s">
        <v>3369</v>
      </c>
      <c r="U204" s="12" t="s">
        <v>3369</v>
      </c>
      <c r="V204" s="12" t="s">
        <v>3369</v>
      </c>
      <c r="W204" s="12" t="s">
        <v>3369</v>
      </c>
      <c r="X204" s="12" t="s">
        <v>3369</v>
      </c>
      <c r="Y204" s="12" t="s">
        <v>3369</v>
      </c>
      <c r="Z204" s="12" t="s">
        <v>3369</v>
      </c>
      <c r="AA204" s="12" t="s">
        <v>3369</v>
      </c>
      <c r="AB204" s="12" t="s">
        <v>3369</v>
      </c>
      <c r="AE204" s="32">
        <v>0.33333333333575865</v>
      </c>
      <c r="AF204" s="35"/>
      <c r="AG204" s="33" t="s">
        <v>557</v>
      </c>
      <c r="AH204" s="36" t="s">
        <v>558</v>
      </c>
      <c r="AI204" s="36" t="str">
        <f>HYPERLINK("https://docs.google.com/document/d/1GVAYZH_XWuygN1DJkmLahy2vWDXRXeAZcQd7hsb812o/edit?usp=drivesdk","Pamela Marcum - 11/30/2018 8:00 AM")</f>
        <v>Pamela Marcum - 11/30/2018 8:00 AM</v>
      </c>
      <c r="AJ204" s="33" t="s">
        <v>559</v>
      </c>
    </row>
    <row r="205" spans="1:36" ht="12.75">
      <c r="A205" s="29">
        <v>43437.607076261571</v>
      </c>
      <c r="B205" s="12" t="s">
        <v>3390</v>
      </c>
      <c r="C205" s="12" t="s">
        <v>3391</v>
      </c>
      <c r="D205" s="12" t="s">
        <v>3589</v>
      </c>
      <c r="E205" s="12" t="s">
        <v>3819</v>
      </c>
      <c r="F205" s="30">
        <v>43438</v>
      </c>
      <c r="G205" s="12" t="s">
        <v>3465</v>
      </c>
      <c r="H205" s="32">
        <v>0.5625</v>
      </c>
      <c r="I205" s="29">
        <v>43438.583333333328</v>
      </c>
      <c r="J205" s="12" t="s">
        <v>3366</v>
      </c>
      <c r="L205" s="12" t="s">
        <v>3393</v>
      </c>
      <c r="M205" s="12" t="s">
        <v>3466</v>
      </c>
      <c r="N205" s="12" t="s">
        <v>3452</v>
      </c>
      <c r="O205" s="12" t="s">
        <v>3767</v>
      </c>
      <c r="P205" s="12" t="s">
        <v>3369</v>
      </c>
      <c r="Q205" s="12" t="s">
        <v>3369</v>
      </c>
      <c r="R205" s="12" t="s">
        <v>3369</v>
      </c>
      <c r="S205" s="12" t="s">
        <v>3369</v>
      </c>
      <c r="T205" s="12" t="s">
        <v>3369</v>
      </c>
      <c r="U205" s="12" t="s">
        <v>3369</v>
      </c>
      <c r="V205" s="12" t="s">
        <v>3369</v>
      </c>
      <c r="W205" s="12" t="s">
        <v>3369</v>
      </c>
      <c r="X205" s="12" t="s">
        <v>3369</v>
      </c>
      <c r="Y205" s="12" t="s">
        <v>3369</v>
      </c>
      <c r="Z205" s="12" t="s">
        <v>3369</v>
      </c>
      <c r="AA205" s="12" t="s">
        <v>3369</v>
      </c>
      <c r="AB205" s="12" t="s">
        <v>3369</v>
      </c>
      <c r="AE205" s="32">
        <v>0.3125</v>
      </c>
      <c r="AF205" s="35"/>
      <c r="AG205" s="33"/>
      <c r="AH205" s="33"/>
      <c r="AI205" s="33"/>
      <c r="AJ205" s="33" t="s">
        <v>3820</v>
      </c>
    </row>
    <row r="206" spans="1:36" ht="12.75">
      <c r="A206" s="29">
        <v>43438.368635324077</v>
      </c>
      <c r="B206" s="12" t="s">
        <v>3386</v>
      </c>
      <c r="C206" s="12" t="s">
        <v>3481</v>
      </c>
      <c r="D206" s="12" t="s">
        <v>3589</v>
      </c>
      <c r="E206" s="12" t="s">
        <v>3296</v>
      </c>
      <c r="F206" s="30">
        <v>43438</v>
      </c>
      <c r="G206" s="12" t="s">
        <v>3821</v>
      </c>
      <c r="H206" s="32">
        <v>0.625</v>
      </c>
      <c r="I206" s="29">
        <v>43438.652777777781</v>
      </c>
      <c r="J206" s="12" t="s">
        <v>3331</v>
      </c>
      <c r="L206" s="12" t="s">
        <v>3822</v>
      </c>
      <c r="M206" s="12" t="s">
        <v>3497</v>
      </c>
      <c r="N206" s="12" t="s">
        <v>3812</v>
      </c>
      <c r="O206" s="12" t="s">
        <v>3499</v>
      </c>
      <c r="P206" s="12" t="s">
        <v>3369</v>
      </c>
      <c r="Q206" s="12" t="s">
        <v>3369</v>
      </c>
      <c r="R206" s="12" t="s">
        <v>3369</v>
      </c>
      <c r="S206" s="12" t="s">
        <v>3369</v>
      </c>
      <c r="T206" s="12" t="s">
        <v>3369</v>
      </c>
      <c r="U206" s="12" t="s">
        <v>3369</v>
      </c>
      <c r="V206" s="12" t="s">
        <v>3369</v>
      </c>
      <c r="W206" s="12" t="s">
        <v>3369</v>
      </c>
      <c r="X206" s="12" t="s">
        <v>3369</v>
      </c>
      <c r="Y206" s="12" t="s">
        <v>3369</v>
      </c>
      <c r="Z206" s="12" t="s">
        <v>3369</v>
      </c>
      <c r="AA206" s="12" t="s">
        <v>3369</v>
      </c>
      <c r="AB206" s="12" t="s">
        <v>3369</v>
      </c>
      <c r="AE206" s="32">
        <v>0.43055555555474712</v>
      </c>
      <c r="AF206" s="35"/>
      <c r="AG206" s="33" t="s">
        <v>560</v>
      </c>
      <c r="AH206" s="36" t="s">
        <v>561</v>
      </c>
      <c r="AI206" s="36" t="str">
        <f>HYPERLINK("https://docs.google.com/document/d/1A8RL1csPx-oiXdee1EdEvumxx2HabklDEO-iwGQ4XE4/edit?usp=drivesdk","Ben Mowbray - 12/4/2018 10:20 AM")</f>
        <v>Ben Mowbray - 12/4/2018 10:20 AM</v>
      </c>
      <c r="AJ206" s="33" t="s">
        <v>562</v>
      </c>
    </row>
    <row r="207" spans="1:36" ht="12.75">
      <c r="A207" s="29">
        <v>43438.427408854172</v>
      </c>
      <c r="B207" s="12" t="s">
        <v>3372</v>
      </c>
      <c r="C207" s="12" t="s">
        <v>3383</v>
      </c>
      <c r="D207" s="12" t="s">
        <v>3589</v>
      </c>
      <c r="E207" s="12" t="s">
        <v>3387</v>
      </c>
      <c r="F207" s="30">
        <v>43438</v>
      </c>
      <c r="G207" s="12" t="s">
        <v>3823</v>
      </c>
      <c r="H207" s="32">
        <v>0.58333333333575865</v>
      </c>
      <c r="I207" s="29">
        <v>43438.625</v>
      </c>
      <c r="J207" s="12" t="s">
        <v>3377</v>
      </c>
      <c r="L207" s="12" t="s">
        <v>3461</v>
      </c>
      <c r="M207" s="12" t="s">
        <v>3379</v>
      </c>
      <c r="N207" s="12" t="s">
        <v>3824</v>
      </c>
      <c r="O207" s="12" t="s">
        <v>3381</v>
      </c>
      <c r="P207" s="12" t="s">
        <v>3369</v>
      </c>
      <c r="Q207" s="12" t="s">
        <v>3369</v>
      </c>
      <c r="R207" s="12" t="s">
        <v>3369</v>
      </c>
      <c r="S207" s="12" t="s">
        <v>3369</v>
      </c>
      <c r="T207" s="12" t="s">
        <v>3369</v>
      </c>
      <c r="U207" s="12" t="s">
        <v>3369</v>
      </c>
      <c r="V207" s="12" t="s">
        <v>3369</v>
      </c>
      <c r="W207" s="12" t="s">
        <v>3369</v>
      </c>
      <c r="X207" s="12" t="s">
        <v>3369</v>
      </c>
      <c r="Y207" s="12" t="s">
        <v>3369</v>
      </c>
      <c r="Z207" s="12" t="s">
        <v>3369</v>
      </c>
      <c r="AA207" s="12" t="s">
        <v>3369</v>
      </c>
      <c r="AB207" s="12" t="s">
        <v>3369</v>
      </c>
      <c r="AE207" s="32">
        <v>0.45833333333575865</v>
      </c>
      <c r="AF207" s="35"/>
      <c r="AG207" s="33" t="s">
        <v>563</v>
      </c>
      <c r="AH207" s="36" t="s">
        <v>564</v>
      </c>
      <c r="AI207" s="36" t="str">
        <f>HYPERLINK("https://docs.google.com/document/d/1oTcfsWZOgZYgI5Fy-XeM-Rzu-vTXU288StIZED4uEX8/edit?usp=drivesdk","Pamela Marcum - 12/4/2018 11:00 AM")</f>
        <v>Pamela Marcum - 12/4/2018 11:00 AM</v>
      </c>
      <c r="AJ207" s="33" t="s">
        <v>565</v>
      </c>
    </row>
    <row r="208" spans="1:36" ht="12.75">
      <c r="A208" s="29">
        <v>43438.613262002313</v>
      </c>
      <c r="B208" s="12" t="s">
        <v>3399</v>
      </c>
      <c r="C208" s="12" t="s">
        <v>3400</v>
      </c>
      <c r="D208" s="12" t="s">
        <v>3401</v>
      </c>
      <c r="E208" s="12" t="s">
        <v>3356</v>
      </c>
      <c r="F208" s="30">
        <v>43439</v>
      </c>
      <c r="G208" s="12" t="s">
        <v>3657</v>
      </c>
      <c r="H208" s="32">
        <v>0.38541666666424135</v>
      </c>
      <c r="J208" s="12" t="s">
        <v>3403</v>
      </c>
      <c r="L208" s="12" t="s">
        <v>3299</v>
      </c>
      <c r="M208" s="12" t="s">
        <v>3458</v>
      </c>
      <c r="N208" s="12" t="s">
        <v>3825</v>
      </c>
      <c r="O208" s="12" t="s">
        <v>3408</v>
      </c>
      <c r="P208" s="12" t="s">
        <v>3369</v>
      </c>
      <c r="Q208" s="12" t="s">
        <v>3369</v>
      </c>
      <c r="R208" s="12" t="s">
        <v>3369</v>
      </c>
      <c r="S208" s="12" t="s">
        <v>3369</v>
      </c>
      <c r="T208" s="12" t="s">
        <v>3369</v>
      </c>
      <c r="U208" s="12" t="s">
        <v>3369</v>
      </c>
      <c r="V208" s="12" t="s">
        <v>3369</v>
      </c>
      <c r="W208" s="12" t="s">
        <v>3369</v>
      </c>
      <c r="X208" s="12" t="s">
        <v>3369</v>
      </c>
      <c r="Y208" s="12" t="s">
        <v>3369</v>
      </c>
      <c r="Z208" s="12" t="s">
        <v>3369</v>
      </c>
      <c r="AA208" s="12" t="s">
        <v>3369</v>
      </c>
      <c r="AB208" s="12" t="s">
        <v>3369</v>
      </c>
      <c r="AE208" s="32">
        <v>0.33333333333575865</v>
      </c>
      <c r="AF208" s="35"/>
      <c r="AG208" s="33" t="s">
        <v>566</v>
      </c>
      <c r="AH208" s="36" t="s">
        <v>567</v>
      </c>
      <c r="AI208" s="36" t="str">
        <f>HYPERLINK("https://docs.google.com/document/d/1hauw2vE5xdSX1EdBY3STcNLUeeUqh_H2hN1zo1cocKU/edit?usp=drivesdk","James Tomazinis - 12/5/2018 8:00 AM")</f>
        <v>James Tomazinis - 12/5/2018 8:00 AM</v>
      </c>
      <c r="AJ208" s="33" t="s">
        <v>568</v>
      </c>
    </row>
    <row r="209" spans="1:36" ht="12.75">
      <c r="A209" s="29">
        <v>43439.378914108791</v>
      </c>
      <c r="B209" s="12" t="s">
        <v>3372</v>
      </c>
      <c r="C209" s="12" t="s">
        <v>3383</v>
      </c>
      <c r="D209" s="12" t="s">
        <v>3589</v>
      </c>
      <c r="E209" s="12" t="s">
        <v>3387</v>
      </c>
      <c r="F209" s="30">
        <v>43439</v>
      </c>
      <c r="G209" s="12" t="s">
        <v>3384</v>
      </c>
      <c r="H209" s="32">
        <v>0.58333333333575865</v>
      </c>
      <c r="I209" s="29">
        <v>43439.708333333328</v>
      </c>
      <c r="J209" s="12" t="s">
        <v>3377</v>
      </c>
      <c r="L209" s="12" t="s">
        <v>3461</v>
      </c>
      <c r="M209" s="12" t="s">
        <v>3379</v>
      </c>
      <c r="N209" s="12" t="s">
        <v>3826</v>
      </c>
      <c r="O209" s="12" t="s">
        <v>3381</v>
      </c>
      <c r="P209" s="12" t="s">
        <v>3369</v>
      </c>
      <c r="Q209" s="12" t="s">
        <v>3369</v>
      </c>
      <c r="R209" s="12" t="s">
        <v>3369</v>
      </c>
      <c r="S209" s="12" t="s">
        <v>3369</v>
      </c>
      <c r="T209" s="12" t="s">
        <v>3369</v>
      </c>
      <c r="U209" s="12" t="s">
        <v>3369</v>
      </c>
      <c r="V209" s="12" t="s">
        <v>3369</v>
      </c>
      <c r="W209" s="12" t="s">
        <v>3369</v>
      </c>
      <c r="X209" s="12" t="s">
        <v>3369</v>
      </c>
      <c r="Y209" s="12" t="s">
        <v>3369</v>
      </c>
      <c r="Z209" s="12" t="s">
        <v>3369</v>
      </c>
      <c r="AA209" s="12" t="s">
        <v>3369</v>
      </c>
      <c r="AB209" s="12" t="s">
        <v>3369</v>
      </c>
      <c r="AE209" s="32">
        <v>0.4375</v>
      </c>
      <c r="AF209" s="35"/>
      <c r="AG209" s="33" t="s">
        <v>569</v>
      </c>
      <c r="AH209" s="36" t="s">
        <v>570</v>
      </c>
      <c r="AI209" s="36" t="str">
        <f>HYPERLINK("https://docs.google.com/document/d/1uWbC2LTTPyzZ9D7G8dbN75G0kC0n3ExQXQUhFHsruTY/edit?usp=drivesdk","Pamela Marcum - 12/5/2018 10:30 AM")</f>
        <v>Pamela Marcum - 12/5/2018 10:30 AM</v>
      </c>
      <c r="AJ209" s="33" t="s">
        <v>571</v>
      </c>
    </row>
    <row r="210" spans="1:36" ht="12.75">
      <c r="A210" s="29">
        <v>43444.341389097222</v>
      </c>
      <c r="B210" s="12" t="s">
        <v>3372</v>
      </c>
      <c r="C210" s="12" t="s">
        <v>3383</v>
      </c>
      <c r="D210" s="12" t="s">
        <v>3589</v>
      </c>
      <c r="E210" s="12" t="s">
        <v>3387</v>
      </c>
      <c r="F210" s="30">
        <v>43444</v>
      </c>
      <c r="G210" s="12" t="s">
        <v>3384</v>
      </c>
      <c r="H210" s="32">
        <v>0.625</v>
      </c>
      <c r="I210" s="29">
        <v>43444.666666666672</v>
      </c>
      <c r="J210" s="12" t="s">
        <v>3377</v>
      </c>
      <c r="L210" s="12" t="s">
        <v>3299</v>
      </c>
      <c r="M210" s="12" t="s">
        <v>3379</v>
      </c>
      <c r="N210" s="12" t="s">
        <v>3827</v>
      </c>
      <c r="O210" s="12" t="s">
        <v>3381</v>
      </c>
      <c r="P210" s="12" t="s">
        <v>3369</v>
      </c>
      <c r="Q210" s="12" t="s">
        <v>3369</v>
      </c>
      <c r="R210" s="12" t="s">
        <v>3369</v>
      </c>
      <c r="S210" s="12" t="s">
        <v>3369</v>
      </c>
      <c r="T210" s="12" t="s">
        <v>3369</v>
      </c>
      <c r="U210" s="12" t="s">
        <v>3369</v>
      </c>
      <c r="V210" s="12" t="s">
        <v>3369</v>
      </c>
      <c r="W210" s="12" t="s">
        <v>3369</v>
      </c>
      <c r="X210" s="12" t="s">
        <v>3369</v>
      </c>
      <c r="Y210" s="12" t="s">
        <v>3369</v>
      </c>
      <c r="Z210" s="12" t="s">
        <v>3369</v>
      </c>
      <c r="AA210" s="12" t="s">
        <v>3369</v>
      </c>
      <c r="AB210" s="12" t="s">
        <v>3369</v>
      </c>
      <c r="AE210" s="32">
        <v>0.4375</v>
      </c>
      <c r="AF210" s="35"/>
      <c r="AG210" s="33" t="s">
        <v>572</v>
      </c>
      <c r="AH210" s="36" t="s">
        <v>573</v>
      </c>
      <c r="AI210" s="36" t="str">
        <f>HYPERLINK("https://docs.google.com/document/d/1MdfvTIYnceoqzhRGfam7t0apLcYPKCV83LbdbuAQAkg/edit?usp=drivesdk","Pamela Marcum - 12/10/2018 10:30 AM")</f>
        <v>Pamela Marcum - 12/10/2018 10:30 AM</v>
      </c>
      <c r="AJ210" s="33" t="s">
        <v>574</v>
      </c>
    </row>
    <row r="211" spans="1:36" ht="12.75">
      <c r="A211" s="29">
        <v>43445.349191539353</v>
      </c>
      <c r="B211" s="12" t="s">
        <v>3417</v>
      </c>
      <c r="C211" s="12" t="s">
        <v>3383</v>
      </c>
      <c r="D211" s="12" t="s">
        <v>3401</v>
      </c>
      <c r="E211" s="12" t="s">
        <v>3387</v>
      </c>
      <c r="F211" s="30">
        <v>43445</v>
      </c>
      <c r="G211" s="12" t="s">
        <v>3828</v>
      </c>
      <c r="H211" s="32">
        <v>0.625</v>
      </c>
      <c r="I211" s="29">
        <v>43446.375</v>
      </c>
      <c r="J211" s="12" t="s">
        <v>3377</v>
      </c>
      <c r="L211" s="12" t="s">
        <v>3299</v>
      </c>
      <c r="M211" s="12" t="s">
        <v>3379</v>
      </c>
      <c r="N211" s="12" t="s">
        <v>3829</v>
      </c>
      <c r="O211" s="12" t="s">
        <v>3381</v>
      </c>
      <c r="P211" s="12" t="s">
        <v>3369</v>
      </c>
      <c r="Q211" s="12" t="s">
        <v>3369</v>
      </c>
      <c r="R211" s="12" t="s">
        <v>3369</v>
      </c>
      <c r="S211" s="12" t="s">
        <v>3369</v>
      </c>
      <c r="T211" s="12" t="s">
        <v>3369</v>
      </c>
      <c r="U211" s="12" t="s">
        <v>3369</v>
      </c>
      <c r="V211" s="12" t="s">
        <v>3369</v>
      </c>
      <c r="W211" s="12" t="s">
        <v>3369</v>
      </c>
      <c r="X211" s="12" t="s">
        <v>3369</v>
      </c>
      <c r="Y211" s="12" t="s">
        <v>3369</v>
      </c>
      <c r="Z211" s="12" t="s">
        <v>3369</v>
      </c>
      <c r="AA211" s="12" t="s">
        <v>3369</v>
      </c>
      <c r="AB211" s="12" t="s">
        <v>3369</v>
      </c>
      <c r="AE211" s="32">
        <v>0.39583333333575865</v>
      </c>
      <c r="AF211" s="35"/>
      <c r="AG211" s="33" t="s">
        <v>575</v>
      </c>
      <c r="AH211" s="36" t="s">
        <v>576</v>
      </c>
      <c r="AI211" s="36" t="str">
        <f>HYPERLINK("https://docs.google.com/document/d/1h0R2PZU0rvgtqbs53JDBEKKuDogTM-nMHYHY7C7YB0Q/edit?usp=drivesdk","Pam Marcum - 12/11/2018 9:30 AM")</f>
        <v>Pam Marcum - 12/11/2018 9:30 AM</v>
      </c>
      <c r="AJ211" s="33" t="s">
        <v>577</v>
      </c>
    </row>
    <row r="212" spans="1:36" ht="12.75">
      <c r="A212" s="29">
        <v>43447.365900671299</v>
      </c>
      <c r="B212" s="12" t="s">
        <v>3372</v>
      </c>
      <c r="C212" s="12" t="s">
        <v>3383</v>
      </c>
      <c r="D212" s="12" t="s">
        <v>3401</v>
      </c>
      <c r="E212" s="12" t="s">
        <v>3387</v>
      </c>
      <c r="F212" s="30">
        <v>43447</v>
      </c>
      <c r="G212" s="12" t="s">
        <v>3384</v>
      </c>
      <c r="H212" s="32">
        <v>0.625</v>
      </c>
      <c r="I212" s="29">
        <v>43447.6875</v>
      </c>
      <c r="J212" s="12" t="s">
        <v>3377</v>
      </c>
      <c r="L212" s="12" t="s">
        <v>3299</v>
      </c>
      <c r="M212" s="12" t="s">
        <v>3379</v>
      </c>
      <c r="N212" s="12" t="s">
        <v>3826</v>
      </c>
      <c r="O212" s="12" t="s">
        <v>3381</v>
      </c>
      <c r="P212" s="12" t="s">
        <v>3369</v>
      </c>
      <c r="Q212" s="12" t="s">
        <v>3369</v>
      </c>
      <c r="R212" s="12" t="s">
        <v>3369</v>
      </c>
      <c r="S212" s="12" t="s">
        <v>3369</v>
      </c>
      <c r="T212" s="12" t="s">
        <v>3369</v>
      </c>
      <c r="U212" s="12" t="s">
        <v>3369</v>
      </c>
      <c r="V212" s="12" t="s">
        <v>3369</v>
      </c>
      <c r="W212" s="12" t="s">
        <v>3369</v>
      </c>
      <c r="X212" s="12" t="s">
        <v>3369</v>
      </c>
      <c r="Y212" s="12" t="s">
        <v>3369</v>
      </c>
      <c r="Z212" s="12" t="s">
        <v>3369</v>
      </c>
      <c r="AA212" s="12" t="s">
        <v>3369</v>
      </c>
      <c r="AB212" s="12" t="s">
        <v>3369</v>
      </c>
      <c r="AE212" s="32">
        <v>0.4375</v>
      </c>
      <c r="AF212" s="35"/>
      <c r="AG212" s="33" t="s">
        <v>578</v>
      </c>
      <c r="AH212" s="36" t="s">
        <v>579</v>
      </c>
      <c r="AI212" s="36" t="str">
        <f>HYPERLINK("https://docs.google.com/document/d/1zstXvM6CwDhboX8ljkxSJeWbw2aJlIOMC9rK3xtsd2U/edit?usp=drivesdk","Pamela Marcum - 12/13/2018 10:30 AM")</f>
        <v>Pamela Marcum - 12/13/2018 10:30 AM</v>
      </c>
      <c r="AJ212" s="33" t="s">
        <v>580</v>
      </c>
    </row>
    <row r="213" spans="1:36" ht="12.75">
      <c r="A213" s="29">
        <v>43451.338779282407</v>
      </c>
      <c r="B213" s="12" t="s">
        <v>3830</v>
      </c>
      <c r="C213" s="12" t="s">
        <v>3400</v>
      </c>
      <c r="D213" s="12" t="s">
        <v>3401</v>
      </c>
      <c r="E213" s="12" t="s">
        <v>3831</v>
      </c>
      <c r="F213" s="30">
        <v>43451</v>
      </c>
      <c r="G213" s="12" t="s">
        <v>3832</v>
      </c>
      <c r="H213" s="32">
        <v>0.66666666666424135</v>
      </c>
      <c r="J213" s="12" t="s">
        <v>3366</v>
      </c>
      <c r="L213" s="12" t="s">
        <v>3299</v>
      </c>
      <c r="M213" s="12" t="s">
        <v>3833</v>
      </c>
      <c r="N213" s="12" t="s">
        <v>3679</v>
      </c>
      <c r="O213" s="12" t="s">
        <v>3408</v>
      </c>
      <c r="P213" s="12" t="s">
        <v>3369</v>
      </c>
      <c r="Q213" s="12" t="s">
        <v>3369</v>
      </c>
      <c r="R213" s="12" t="s">
        <v>3369</v>
      </c>
      <c r="S213" s="12" t="s">
        <v>3369</v>
      </c>
      <c r="T213" s="12" t="s">
        <v>3369</v>
      </c>
      <c r="U213" s="12" t="s">
        <v>3369</v>
      </c>
      <c r="V213" s="12" t="s">
        <v>3369</v>
      </c>
      <c r="W213" s="12" t="s">
        <v>3369</v>
      </c>
      <c r="X213" s="12" t="s">
        <v>3369</v>
      </c>
      <c r="Y213" s="12" t="s">
        <v>3369</v>
      </c>
      <c r="Z213" s="12" t="s">
        <v>3369</v>
      </c>
      <c r="AA213" s="12" t="s">
        <v>3369</v>
      </c>
      <c r="AB213" s="12" t="s">
        <v>3369</v>
      </c>
      <c r="AE213" s="32">
        <v>0.40625</v>
      </c>
      <c r="AF213" s="35"/>
      <c r="AG213" s="33" t="s">
        <v>581</v>
      </c>
      <c r="AH213" s="36" t="s">
        <v>582</v>
      </c>
      <c r="AI213" s="36" t="str">
        <f>HYPERLINK("https://docs.google.com/document/d/1YjoS9sKmNES22k8xi23oxX83WayzKLWesHbnmpWte98/edit?usp=drivesdk","james tomazinis - 12/17/2018 9:45 AM")</f>
        <v>james tomazinis - 12/17/2018 9:45 AM</v>
      </c>
      <c r="AJ213" s="33" t="s">
        <v>583</v>
      </c>
    </row>
    <row r="214" spans="1:36" ht="12.75">
      <c r="A214" s="29">
        <v>43453.281995509256</v>
      </c>
      <c r="B214" s="12" t="s">
        <v>3390</v>
      </c>
      <c r="C214" s="12" t="s">
        <v>3391</v>
      </c>
      <c r="D214" s="12" t="s">
        <v>3589</v>
      </c>
      <c r="E214" s="12" t="s">
        <v>3834</v>
      </c>
      <c r="F214" s="30">
        <v>43453</v>
      </c>
      <c r="G214" s="12" t="s">
        <v>3465</v>
      </c>
      <c r="H214" s="32">
        <v>0.53125</v>
      </c>
      <c r="I214" s="29">
        <v>43453.552083333328</v>
      </c>
      <c r="J214" s="12" t="s">
        <v>3331</v>
      </c>
      <c r="L214" s="12" t="s">
        <v>3393</v>
      </c>
      <c r="M214" s="12" t="s">
        <v>3454</v>
      </c>
      <c r="N214" s="12" t="s">
        <v>3679</v>
      </c>
      <c r="O214" s="12" t="s">
        <v>3429</v>
      </c>
      <c r="P214" s="12" t="s">
        <v>3369</v>
      </c>
      <c r="Q214" s="12" t="s">
        <v>3369</v>
      </c>
      <c r="R214" s="12" t="s">
        <v>3369</v>
      </c>
      <c r="S214" s="12" t="s">
        <v>3369</v>
      </c>
      <c r="T214" s="12" t="s">
        <v>3369</v>
      </c>
      <c r="U214" s="12" t="s">
        <v>3369</v>
      </c>
      <c r="V214" s="12" t="s">
        <v>3369</v>
      </c>
      <c r="W214" s="12" t="s">
        <v>3369</v>
      </c>
      <c r="X214" s="12" t="s">
        <v>3369</v>
      </c>
      <c r="Y214" s="12" t="s">
        <v>3369</v>
      </c>
      <c r="Z214" s="12" t="s">
        <v>3369</v>
      </c>
      <c r="AA214" s="12" t="s">
        <v>3369</v>
      </c>
      <c r="AB214" s="12" t="s">
        <v>3369</v>
      </c>
      <c r="AE214" s="32">
        <v>0.29861111110949423</v>
      </c>
      <c r="AF214" s="35"/>
      <c r="AG214" s="33" t="s">
        <v>584</v>
      </c>
      <c r="AH214" s="36" t="s">
        <v>585</v>
      </c>
      <c r="AI214" s="36" t="str">
        <f>HYPERLINK("https://docs.google.com/document/d/1YiWcFq3l08V3qBUS4JCJ18wDAAtAadOsJGTbNWJ7y0o/edit?usp=drivesdk","Silas Tanner - 12/19/2018 7:10 AM")</f>
        <v>Silas Tanner - 12/19/2018 7:10 AM</v>
      </c>
      <c r="AJ214" s="33" t="s">
        <v>586</v>
      </c>
    </row>
    <row r="215" spans="1:36" ht="12.75">
      <c r="A215" s="29">
        <v>43460.407884930552</v>
      </c>
      <c r="B215" s="12" t="s">
        <v>3386</v>
      </c>
      <c r="C215" s="12" t="s">
        <v>3481</v>
      </c>
      <c r="D215" s="12" t="s">
        <v>3295</v>
      </c>
      <c r="E215" s="12" t="s">
        <v>3753</v>
      </c>
      <c r="F215" s="30">
        <v>43460</v>
      </c>
      <c r="G215" s="12" t="s">
        <v>3835</v>
      </c>
      <c r="H215" s="32">
        <v>0.66666666666424135</v>
      </c>
      <c r="I215" s="29">
        <v>43460.694444444445</v>
      </c>
      <c r="J215" s="12" t="s">
        <v>3366</v>
      </c>
      <c r="L215" s="12" t="s">
        <v>3393</v>
      </c>
      <c r="M215" s="12" t="s">
        <v>3497</v>
      </c>
      <c r="N215" s="12" t="s">
        <v>3490</v>
      </c>
      <c r="O215" s="12" t="s">
        <v>3499</v>
      </c>
      <c r="P215" s="12" t="s">
        <v>3369</v>
      </c>
      <c r="Q215" s="12" t="s">
        <v>3369</v>
      </c>
      <c r="R215" s="12" t="s">
        <v>3369</v>
      </c>
      <c r="S215" s="12" t="s">
        <v>3369</v>
      </c>
      <c r="T215" s="12" t="s">
        <v>3369</v>
      </c>
      <c r="U215" s="12" t="s">
        <v>3369</v>
      </c>
      <c r="V215" s="12" t="s">
        <v>3369</v>
      </c>
      <c r="W215" s="12" t="s">
        <v>3369</v>
      </c>
      <c r="X215" s="12" t="s">
        <v>3369</v>
      </c>
      <c r="Y215" s="12" t="s">
        <v>3369</v>
      </c>
      <c r="Z215" s="12" t="s">
        <v>3369</v>
      </c>
      <c r="AA215" s="12" t="s">
        <v>3369</v>
      </c>
      <c r="AB215" s="12" t="s">
        <v>3369</v>
      </c>
      <c r="AE215" s="32">
        <v>0.45833333333575865</v>
      </c>
      <c r="AF215" s="35"/>
      <c r="AG215" s="33" t="s">
        <v>587</v>
      </c>
      <c r="AH215" s="36" t="s">
        <v>588</v>
      </c>
      <c r="AI215" s="36" t="str">
        <f>HYPERLINK("https://docs.google.com/document/d/1urGKS6Hhgz61wxKnJxIwXPH6FT9q0n0PP04qBW5_huw/edit?usp=drivesdk","Ben Mowbray - 12/26/2018 11:00 AM")</f>
        <v>Ben Mowbray - 12/26/2018 11:00 AM</v>
      </c>
      <c r="AJ215" s="33" t="s">
        <v>589</v>
      </c>
    </row>
    <row r="216" spans="1:36" ht="12.75">
      <c r="A216" s="29">
        <v>43467.384645405094</v>
      </c>
      <c r="B216" s="12" t="s">
        <v>3386</v>
      </c>
      <c r="C216" s="12" t="s">
        <v>3481</v>
      </c>
      <c r="D216" s="12" t="s">
        <v>3589</v>
      </c>
      <c r="E216" s="12" t="s">
        <v>3296</v>
      </c>
      <c r="F216" s="30">
        <v>43467</v>
      </c>
      <c r="G216" s="12" t="s">
        <v>3496</v>
      </c>
      <c r="H216" s="32">
        <v>0.625</v>
      </c>
      <c r="I216" s="29">
        <v>43467.652777777781</v>
      </c>
      <c r="J216" s="12" t="s">
        <v>3377</v>
      </c>
      <c r="L216" s="12" t="s">
        <v>3299</v>
      </c>
      <c r="M216" s="12" t="s">
        <v>3497</v>
      </c>
      <c r="N216" s="12" t="s">
        <v>3814</v>
      </c>
      <c r="O216" s="12" t="s">
        <v>3499</v>
      </c>
      <c r="P216" s="12" t="s">
        <v>3369</v>
      </c>
      <c r="Q216" s="12" t="s">
        <v>3369</v>
      </c>
      <c r="R216" s="12" t="s">
        <v>3369</v>
      </c>
      <c r="S216" s="12" t="s">
        <v>3369</v>
      </c>
      <c r="T216" s="12" t="s">
        <v>3369</v>
      </c>
      <c r="U216" s="12" t="s">
        <v>3369</v>
      </c>
      <c r="V216" s="12" t="s">
        <v>3369</v>
      </c>
      <c r="W216" s="12" t="s">
        <v>3369</v>
      </c>
      <c r="X216" s="12" t="s">
        <v>3369</v>
      </c>
      <c r="Y216" s="12" t="s">
        <v>3369</v>
      </c>
      <c r="Z216" s="12" t="s">
        <v>3369</v>
      </c>
      <c r="AA216" s="12" t="s">
        <v>3369</v>
      </c>
      <c r="AB216" s="12" t="s">
        <v>3369</v>
      </c>
      <c r="AE216" s="32">
        <v>0.41666666666424135</v>
      </c>
      <c r="AF216" s="35"/>
      <c r="AG216" s="33" t="s">
        <v>590</v>
      </c>
      <c r="AH216" s="36" t="s">
        <v>591</v>
      </c>
      <c r="AI216" s="36" t="str">
        <f>HYPERLINK("https://docs.google.com/document/d/1Uul-M4yHrQoQPnrQFZYN9DfqLTVHhiUvwWZpw-wNmWI/edit?usp=drivesdk","Ben Mowbray - 1/2/2019 10:00 AM")</f>
        <v>Ben Mowbray - 1/2/2019 10:00 AM</v>
      </c>
      <c r="AJ216" s="33" t="s">
        <v>592</v>
      </c>
    </row>
    <row r="217" spans="1:36" ht="12.75">
      <c r="A217" s="29">
        <v>43467.400953298609</v>
      </c>
      <c r="B217" s="12" t="s">
        <v>3372</v>
      </c>
      <c r="C217" s="12" t="s">
        <v>3383</v>
      </c>
      <c r="D217" s="12" t="s">
        <v>3589</v>
      </c>
      <c r="E217" s="12" t="s">
        <v>3836</v>
      </c>
      <c r="F217" s="30">
        <v>43467</v>
      </c>
      <c r="G217" s="12" t="s">
        <v>3837</v>
      </c>
      <c r="H217" s="32">
        <v>0.70833333333575865</v>
      </c>
      <c r="I217" s="29">
        <v>43467.770833333328</v>
      </c>
      <c r="J217" s="12" t="s">
        <v>3331</v>
      </c>
      <c r="L217" s="12" t="s">
        <v>3461</v>
      </c>
      <c r="M217" s="12" t="s">
        <v>3385</v>
      </c>
      <c r="O217" s="12" t="s">
        <v>3381</v>
      </c>
      <c r="P217" s="12" t="s">
        <v>3369</v>
      </c>
      <c r="Q217" s="12" t="s">
        <v>3369</v>
      </c>
      <c r="R217" s="12" t="s">
        <v>3369</v>
      </c>
      <c r="S217" s="12" t="s">
        <v>3369</v>
      </c>
      <c r="T217" s="12" t="s">
        <v>3369</v>
      </c>
      <c r="U217" s="12" t="s">
        <v>3369</v>
      </c>
      <c r="V217" s="12" t="s">
        <v>3369</v>
      </c>
      <c r="W217" s="12" t="s">
        <v>3369</v>
      </c>
      <c r="X217" s="12" t="s">
        <v>3369</v>
      </c>
      <c r="Y217" s="12" t="s">
        <v>3369</v>
      </c>
      <c r="Z217" s="12" t="s">
        <v>3369</v>
      </c>
      <c r="AA217" s="12" t="s">
        <v>3369</v>
      </c>
      <c r="AB217" s="12" t="s">
        <v>3369</v>
      </c>
      <c r="AE217" s="32">
        <v>0.41666666666424135</v>
      </c>
      <c r="AF217" s="35"/>
      <c r="AG217" s="33" t="s">
        <v>593</v>
      </c>
      <c r="AH217" s="36" t="s">
        <v>594</v>
      </c>
      <c r="AI217" s="36" t="str">
        <f>HYPERLINK("https://docs.google.com/document/d/11wDe1iSta-uPiSj3aBwpM_PUcVB86619YC5CLL_mQ-I/edit?usp=drivesdk","Pamela Marcum - 1/2/2019 10:00 AM")</f>
        <v>Pamela Marcum - 1/2/2019 10:00 AM</v>
      </c>
      <c r="AJ217" s="33" t="s">
        <v>595</v>
      </c>
    </row>
    <row r="218" spans="1:36" ht="12.75">
      <c r="A218" s="29">
        <v>43467.78624292824</v>
      </c>
      <c r="B218" s="12" t="s">
        <v>3372</v>
      </c>
      <c r="C218" s="12" t="s">
        <v>3383</v>
      </c>
      <c r="D218" s="12" t="s">
        <v>3589</v>
      </c>
      <c r="E218" s="12" t="s">
        <v>3838</v>
      </c>
      <c r="F218" s="30">
        <v>43468</v>
      </c>
      <c r="G218" s="12" t="s">
        <v>3839</v>
      </c>
      <c r="H218" s="32">
        <v>0.5625</v>
      </c>
      <c r="I218" s="29">
        <v>43468.583333333328</v>
      </c>
      <c r="J218" s="12" t="s">
        <v>3331</v>
      </c>
      <c r="L218" s="12" t="s">
        <v>3461</v>
      </c>
      <c r="M218" s="12" t="s">
        <v>3379</v>
      </c>
      <c r="N218" s="12" t="s">
        <v>3840</v>
      </c>
      <c r="O218" s="12" t="s">
        <v>3381</v>
      </c>
      <c r="P218" s="12" t="s">
        <v>3369</v>
      </c>
      <c r="Q218" s="12" t="s">
        <v>3369</v>
      </c>
      <c r="R218" s="12" t="s">
        <v>3369</v>
      </c>
      <c r="S218" s="12" t="s">
        <v>3369</v>
      </c>
      <c r="T218" s="12" t="s">
        <v>3369</v>
      </c>
      <c r="U218" s="12" t="s">
        <v>3369</v>
      </c>
      <c r="V218" s="12" t="s">
        <v>3369</v>
      </c>
      <c r="W218" s="12" t="s">
        <v>3369</v>
      </c>
      <c r="X218" s="12" t="s">
        <v>3369</v>
      </c>
      <c r="Y218" s="12" t="s">
        <v>3369</v>
      </c>
      <c r="Z218" s="12" t="s">
        <v>3369</v>
      </c>
      <c r="AA218" s="12" t="s">
        <v>3369</v>
      </c>
      <c r="AB218" s="12" t="s">
        <v>3369</v>
      </c>
      <c r="AE218" s="32">
        <v>0.39583333333575865</v>
      </c>
      <c r="AF218" s="35"/>
      <c r="AG218" s="33" t="s">
        <v>596</v>
      </c>
      <c r="AH218" s="36" t="s">
        <v>597</v>
      </c>
      <c r="AI218" s="36" t="str">
        <f>HYPERLINK("https://docs.google.com/document/d/16OYOj5TIsxB7aLpe8-WmMHmeLPl3WJceZcqhaNcR8ug/edit?usp=drivesdk","Pamela Marcum - 1/3/2019 9:30 AM")</f>
        <v>Pamela Marcum - 1/3/2019 9:30 AM</v>
      </c>
      <c r="AJ218" s="33" t="s">
        <v>598</v>
      </c>
    </row>
    <row r="219" spans="1:36" ht="12.75">
      <c r="A219" s="29">
        <v>43469.34359679398</v>
      </c>
      <c r="B219" s="12" t="s">
        <v>3399</v>
      </c>
      <c r="C219" s="12" t="s">
        <v>3400</v>
      </c>
      <c r="D219" s="12" t="s">
        <v>3401</v>
      </c>
      <c r="E219" s="12" t="s">
        <v>3404</v>
      </c>
      <c r="F219" s="30">
        <v>43469</v>
      </c>
      <c r="G219" s="12" t="s">
        <v>3841</v>
      </c>
      <c r="H219" s="32">
        <v>0.52083333333575865</v>
      </c>
      <c r="J219" s="12" t="s">
        <v>3377</v>
      </c>
      <c r="L219" s="12" t="s">
        <v>3299</v>
      </c>
      <c r="M219" s="12" t="s">
        <v>3842</v>
      </c>
      <c r="N219" s="12" t="s">
        <v>3843</v>
      </c>
      <c r="O219" s="12" t="s">
        <v>3408</v>
      </c>
      <c r="P219" s="12" t="s">
        <v>3369</v>
      </c>
      <c r="Q219" s="12" t="s">
        <v>3369</v>
      </c>
      <c r="R219" s="12" t="s">
        <v>3369</v>
      </c>
      <c r="S219" s="12" t="s">
        <v>3369</v>
      </c>
      <c r="T219" s="12" t="s">
        <v>3369</v>
      </c>
      <c r="U219" s="12" t="s">
        <v>3369</v>
      </c>
      <c r="V219" s="12" t="s">
        <v>3369</v>
      </c>
      <c r="W219" s="12" t="s">
        <v>3369</v>
      </c>
      <c r="X219" s="12" t="s">
        <v>3369</v>
      </c>
      <c r="Y219" s="12" t="s">
        <v>3369</v>
      </c>
      <c r="Z219" s="12" t="s">
        <v>3369</v>
      </c>
      <c r="AA219" s="12" t="s">
        <v>3369</v>
      </c>
      <c r="AB219" s="12" t="s">
        <v>3369</v>
      </c>
      <c r="AE219" s="32">
        <v>0.375</v>
      </c>
      <c r="AF219" s="35"/>
      <c r="AG219" s="33" t="s">
        <v>599</v>
      </c>
      <c r="AH219" s="36" t="s">
        <v>600</v>
      </c>
      <c r="AI219" s="36" t="str">
        <f>HYPERLINK("https://docs.google.com/document/d/16SdYODC-uCZ2zFLn33qfp7Qjty_GYbog-ssGQaMREx8/edit?usp=drivesdk","James Tomazinis - 1/4/2019 9:00 AM")</f>
        <v>James Tomazinis - 1/4/2019 9:00 AM</v>
      </c>
      <c r="AJ219" s="33" t="s">
        <v>601</v>
      </c>
    </row>
    <row r="220" spans="1:36" ht="12.75">
      <c r="A220" s="29">
        <v>43469.414208009257</v>
      </c>
      <c r="B220" s="12" t="s">
        <v>3372</v>
      </c>
      <c r="C220" s="12" t="s">
        <v>3383</v>
      </c>
      <c r="D220" s="12" t="s">
        <v>3589</v>
      </c>
      <c r="E220" s="12" t="s">
        <v>3844</v>
      </c>
      <c r="F220" s="30">
        <v>43469</v>
      </c>
      <c r="G220" s="12" t="s">
        <v>3845</v>
      </c>
      <c r="H220" s="32">
        <v>0.625</v>
      </c>
      <c r="I220" s="29">
        <v>43469.645833333328</v>
      </c>
      <c r="J220" s="12" t="s">
        <v>3331</v>
      </c>
      <c r="L220" s="12" t="s">
        <v>3461</v>
      </c>
      <c r="M220" s="12" t="s">
        <v>3379</v>
      </c>
      <c r="N220" s="12" t="s">
        <v>3846</v>
      </c>
      <c r="O220" s="12" t="s">
        <v>3381</v>
      </c>
      <c r="P220" s="12" t="s">
        <v>3369</v>
      </c>
      <c r="Q220" s="12" t="s">
        <v>3369</v>
      </c>
      <c r="R220" s="12" t="s">
        <v>3369</v>
      </c>
      <c r="S220" s="12" t="s">
        <v>3369</v>
      </c>
      <c r="T220" s="12" t="s">
        <v>3369</v>
      </c>
      <c r="U220" s="12" t="s">
        <v>3369</v>
      </c>
      <c r="V220" s="12" t="s">
        <v>3369</v>
      </c>
      <c r="W220" s="12" t="s">
        <v>3369</v>
      </c>
      <c r="X220" s="12" t="s">
        <v>3369</v>
      </c>
      <c r="Y220" s="12" t="s">
        <v>3369</v>
      </c>
      <c r="Z220" s="12" t="s">
        <v>3369</v>
      </c>
      <c r="AA220" s="12" t="s">
        <v>3369</v>
      </c>
      <c r="AB220" s="12" t="s">
        <v>3369</v>
      </c>
      <c r="AE220" s="32">
        <v>0.41666666666424135</v>
      </c>
      <c r="AF220" s="35"/>
      <c r="AG220" s="33" t="s">
        <v>602</v>
      </c>
      <c r="AH220" s="36" t="s">
        <v>603</v>
      </c>
      <c r="AI220" s="36" t="str">
        <f>HYPERLINK("https://docs.google.com/document/d/1p7s5sR34YXc9wg1z-_VVivHlRGZkuTUZxMHhBUHtCco/edit?usp=drivesdk","Pamela Marcum - 1/4/2019 10:00 AM")</f>
        <v>Pamela Marcum - 1/4/2019 10:00 AM</v>
      </c>
      <c r="AJ220" s="33" t="s">
        <v>604</v>
      </c>
    </row>
    <row r="221" spans="1:36" ht="12.75">
      <c r="A221" s="29">
        <v>43472.659245798612</v>
      </c>
      <c r="B221" s="12" t="s">
        <v>3390</v>
      </c>
      <c r="C221" s="12" t="s">
        <v>3391</v>
      </c>
      <c r="D221" s="12" t="s">
        <v>3589</v>
      </c>
      <c r="E221" s="12" t="s">
        <v>3834</v>
      </c>
      <c r="F221" s="30">
        <v>43473</v>
      </c>
      <c r="G221" s="12" t="s">
        <v>3847</v>
      </c>
      <c r="H221" s="32">
        <v>0.53125</v>
      </c>
      <c r="I221" s="29">
        <v>43473.541666666672</v>
      </c>
      <c r="J221" s="12" t="s">
        <v>3331</v>
      </c>
      <c r="L221" s="12" t="s">
        <v>3393</v>
      </c>
      <c r="M221" s="12" t="s">
        <v>3480</v>
      </c>
      <c r="O221" s="12" t="s">
        <v>3767</v>
      </c>
      <c r="P221" s="12" t="s">
        <v>3369</v>
      </c>
      <c r="Q221" s="12" t="s">
        <v>3369</v>
      </c>
      <c r="R221" s="12" t="s">
        <v>3369</v>
      </c>
      <c r="S221" s="12" t="s">
        <v>3369</v>
      </c>
      <c r="T221" s="12" t="s">
        <v>3369</v>
      </c>
      <c r="U221" s="12" t="s">
        <v>3369</v>
      </c>
      <c r="V221" s="12" t="s">
        <v>3369</v>
      </c>
      <c r="W221" s="12" t="s">
        <v>3369</v>
      </c>
      <c r="X221" s="12" t="s">
        <v>3369</v>
      </c>
      <c r="Y221" s="12" t="s">
        <v>3369</v>
      </c>
      <c r="Z221" s="12" t="s">
        <v>3369</v>
      </c>
      <c r="AA221" s="12" t="s">
        <v>3369</v>
      </c>
      <c r="AB221" s="12" t="s">
        <v>3369</v>
      </c>
      <c r="AE221" s="32">
        <v>0.36458333333575865</v>
      </c>
      <c r="AF221" s="35"/>
      <c r="AG221" s="33" t="s">
        <v>605</v>
      </c>
      <c r="AH221" s="36" t="s">
        <v>606</v>
      </c>
      <c r="AI221" s="36" t="str">
        <f>HYPERLINK("https://docs.google.com/document/d/1w5yvrJDRg-YgyWDyeVMe6dpoKT5A2GMePvS1bvcmC00/edit?usp=drivesdk","Silas Tanner - 1/8/2019 8:45 AM")</f>
        <v>Silas Tanner - 1/8/2019 8:45 AM</v>
      </c>
      <c r="AJ221" s="33" t="s">
        <v>607</v>
      </c>
    </row>
    <row r="222" spans="1:36" ht="12.75">
      <c r="A222" s="29">
        <v>43474.342731423611</v>
      </c>
      <c r="B222" s="12" t="s">
        <v>3399</v>
      </c>
      <c r="C222" s="12" t="s">
        <v>3400</v>
      </c>
      <c r="D222" s="12" t="s">
        <v>3401</v>
      </c>
      <c r="E222" s="12" t="s">
        <v>3482</v>
      </c>
      <c r="F222" s="30">
        <v>43474</v>
      </c>
      <c r="G222" s="12" t="s">
        <v>3848</v>
      </c>
      <c r="H222" s="32">
        <v>0.69791666666424135</v>
      </c>
      <c r="J222" s="12" t="s">
        <v>3377</v>
      </c>
      <c r="L222" s="12" t="s">
        <v>3299</v>
      </c>
      <c r="M222" s="12" t="s">
        <v>3458</v>
      </c>
      <c r="N222" s="12" t="s">
        <v>3849</v>
      </c>
      <c r="O222" s="12" t="s">
        <v>3408</v>
      </c>
      <c r="P222" s="12" t="s">
        <v>3369</v>
      </c>
      <c r="Q222" s="12" t="s">
        <v>3369</v>
      </c>
      <c r="R222" s="12" t="s">
        <v>3369</v>
      </c>
      <c r="S222" s="12" t="s">
        <v>3369</v>
      </c>
      <c r="T222" s="12" t="s">
        <v>3369</v>
      </c>
      <c r="U222" s="12" t="s">
        <v>3369</v>
      </c>
      <c r="V222" s="12" t="s">
        <v>3369</v>
      </c>
      <c r="W222" s="12" t="s">
        <v>3369</v>
      </c>
      <c r="X222" s="12" t="s">
        <v>3369</v>
      </c>
      <c r="Y222" s="12" t="s">
        <v>3369</v>
      </c>
      <c r="Z222" s="12" t="s">
        <v>3369</v>
      </c>
      <c r="AA222" s="12" t="s">
        <v>3369</v>
      </c>
      <c r="AB222" s="12" t="s">
        <v>3369</v>
      </c>
      <c r="AE222" s="32">
        <v>0.375</v>
      </c>
      <c r="AF222" s="35"/>
      <c r="AG222" s="33" t="s">
        <v>608</v>
      </c>
      <c r="AH222" s="36" t="s">
        <v>609</v>
      </c>
      <c r="AI222" s="36" t="str">
        <f>HYPERLINK("https://docs.google.com/document/d/1UTMHhAq_kXygMb9yCTHtxEDXQXCiJxKdNDQMS38t11M/edit?usp=drivesdk","James Tomazinis - 1/9/2019 9:00 AM")</f>
        <v>James Tomazinis - 1/9/2019 9:00 AM</v>
      </c>
      <c r="AJ222" s="33" t="s">
        <v>610</v>
      </c>
    </row>
    <row r="223" spans="1:36" ht="12.75">
      <c r="A223" s="29">
        <v>43475.361644988428</v>
      </c>
      <c r="B223" s="12" t="s">
        <v>3390</v>
      </c>
      <c r="C223" s="12" t="s">
        <v>3391</v>
      </c>
      <c r="D223" s="12" t="s">
        <v>3589</v>
      </c>
      <c r="E223" s="12" t="s">
        <v>3687</v>
      </c>
      <c r="F223" s="30">
        <v>43475</v>
      </c>
      <c r="G223" s="12" t="s">
        <v>3850</v>
      </c>
      <c r="H223" s="32">
        <v>0.54166666666424135</v>
      </c>
      <c r="I223" s="29">
        <v>43475.666666666672</v>
      </c>
      <c r="J223" s="12" t="s">
        <v>3331</v>
      </c>
      <c r="L223" s="12" t="s">
        <v>3461</v>
      </c>
      <c r="M223" s="12" t="s">
        <v>3443</v>
      </c>
      <c r="N223" s="12" t="s">
        <v>3851</v>
      </c>
      <c r="O223" s="12" t="s">
        <v>3429</v>
      </c>
      <c r="P223" s="12" t="s">
        <v>3369</v>
      </c>
      <c r="Q223" s="12" t="s">
        <v>3369</v>
      </c>
      <c r="R223" s="12" t="s">
        <v>3369</v>
      </c>
      <c r="S223" s="12" t="s">
        <v>3369</v>
      </c>
      <c r="T223" s="12" t="s">
        <v>3369</v>
      </c>
      <c r="U223" s="12" t="s">
        <v>3369</v>
      </c>
      <c r="V223" s="12" t="s">
        <v>3369</v>
      </c>
      <c r="W223" s="12" t="s">
        <v>3369</v>
      </c>
      <c r="X223" s="12" t="s">
        <v>3369</v>
      </c>
      <c r="Y223" s="12" t="s">
        <v>3369</v>
      </c>
      <c r="Z223" s="12" t="s">
        <v>3369</v>
      </c>
      <c r="AA223" s="12" t="s">
        <v>3369</v>
      </c>
      <c r="AB223" s="12" t="s">
        <v>3369</v>
      </c>
      <c r="AE223" s="32">
        <v>0.36458333333575865</v>
      </c>
      <c r="AF223" s="35"/>
      <c r="AG223" s="33" t="s">
        <v>611</v>
      </c>
      <c r="AH223" s="36" t="s">
        <v>612</v>
      </c>
      <c r="AI223" s="36" t="str">
        <f>HYPERLINK("https://docs.google.com/document/d/1SXZqdzN-q45bqHiSwks60gp_1yChmg6o0A3CtR_bRFY/edit?usp=drivesdk","Silas Tanner - 1/10/2019 8:45 AM")</f>
        <v>Silas Tanner - 1/10/2019 8:45 AM</v>
      </c>
      <c r="AJ223" s="33" t="s">
        <v>613</v>
      </c>
    </row>
    <row r="224" spans="1:36" ht="12.75">
      <c r="A224" s="29">
        <v>43475.363413055558</v>
      </c>
      <c r="B224" s="12" t="s">
        <v>3386</v>
      </c>
      <c r="C224" s="12" t="s">
        <v>3481</v>
      </c>
      <c r="D224" s="12" t="s">
        <v>3589</v>
      </c>
      <c r="E224" s="12" t="s">
        <v>3296</v>
      </c>
      <c r="F224" s="30">
        <v>43475</v>
      </c>
      <c r="G224" s="12" t="s">
        <v>3344</v>
      </c>
      <c r="H224" s="32">
        <v>0.66666666666424135</v>
      </c>
      <c r="I224" s="29">
        <v>43475.694444444445</v>
      </c>
      <c r="J224" s="12" t="s">
        <v>3366</v>
      </c>
      <c r="L224" s="12" t="s">
        <v>3393</v>
      </c>
      <c r="M224" s="12" t="s">
        <v>3497</v>
      </c>
      <c r="N224" s="12" t="s">
        <v>3459</v>
      </c>
      <c r="O224" s="12" t="s">
        <v>3499</v>
      </c>
      <c r="P224" s="12" t="s">
        <v>3369</v>
      </c>
      <c r="Q224" s="12" t="s">
        <v>3369</v>
      </c>
      <c r="R224" s="12" t="s">
        <v>3369</v>
      </c>
      <c r="S224" s="12" t="s">
        <v>3369</v>
      </c>
      <c r="T224" s="12" t="s">
        <v>3369</v>
      </c>
      <c r="U224" s="12" t="s">
        <v>3369</v>
      </c>
      <c r="V224" s="12" t="s">
        <v>3369</v>
      </c>
      <c r="W224" s="12" t="s">
        <v>3369</v>
      </c>
      <c r="X224" s="12" t="s">
        <v>3369</v>
      </c>
      <c r="Y224" s="12" t="s">
        <v>3369</v>
      </c>
      <c r="Z224" s="12" t="s">
        <v>3369</v>
      </c>
      <c r="AA224" s="12" t="s">
        <v>3369</v>
      </c>
      <c r="AB224" s="12" t="s">
        <v>3369</v>
      </c>
      <c r="AE224" s="32">
        <v>0.39583333333575865</v>
      </c>
      <c r="AF224" s="35"/>
      <c r="AG224" s="33" t="s">
        <v>614</v>
      </c>
      <c r="AH224" s="36" t="s">
        <v>615</v>
      </c>
      <c r="AI224" s="36" t="str">
        <f>HYPERLINK("https://docs.google.com/document/d/1gVI_jfcOWjzZEQMF4gbfgFQynt0Z5DO6MONlYJj8nUU/edit?usp=drivesdk","Ben Mowbray - 1/10/2019 9:30 AM")</f>
        <v>Ben Mowbray - 1/10/2019 9:30 AM</v>
      </c>
      <c r="AJ224" s="33" t="s">
        <v>616</v>
      </c>
    </row>
    <row r="225" spans="1:36" ht="12.75">
      <c r="A225" s="29">
        <v>43476.586862372686</v>
      </c>
      <c r="B225" s="12" t="s">
        <v>3830</v>
      </c>
      <c r="C225" s="12" t="s">
        <v>3400</v>
      </c>
      <c r="D225" s="12" t="s">
        <v>3401</v>
      </c>
      <c r="E225" s="12" t="s">
        <v>3356</v>
      </c>
      <c r="F225" s="30">
        <v>43476</v>
      </c>
      <c r="G225" s="12" t="s">
        <v>3419</v>
      </c>
      <c r="H225" s="32">
        <v>0.64583333333575865</v>
      </c>
      <c r="J225" s="12" t="s">
        <v>3358</v>
      </c>
      <c r="K225" s="12">
        <v>1</v>
      </c>
      <c r="L225" s="12" t="s">
        <v>3299</v>
      </c>
      <c r="M225" s="12" t="s">
        <v>3458</v>
      </c>
      <c r="O225" s="12" t="s">
        <v>3852</v>
      </c>
      <c r="P225" s="12" t="s">
        <v>3369</v>
      </c>
      <c r="Q225" s="12" t="s">
        <v>3369</v>
      </c>
      <c r="R225" s="12" t="s">
        <v>3369</v>
      </c>
      <c r="S225" s="12" t="s">
        <v>3369</v>
      </c>
      <c r="T225" s="12" t="s">
        <v>3369</v>
      </c>
      <c r="U225" s="12" t="s">
        <v>3369</v>
      </c>
      <c r="V225" s="12" t="s">
        <v>3369</v>
      </c>
      <c r="W225" s="12" t="s">
        <v>3369</v>
      </c>
      <c r="X225" s="12" t="s">
        <v>3369</v>
      </c>
      <c r="Y225" s="12" t="s">
        <v>3369</v>
      </c>
      <c r="Z225" s="12" t="s">
        <v>3369</v>
      </c>
      <c r="AA225" s="12" t="s">
        <v>3369</v>
      </c>
      <c r="AB225" s="12" t="s">
        <v>3369</v>
      </c>
      <c r="AE225" s="32">
        <v>0.60416666666424135</v>
      </c>
      <c r="AF225" s="35"/>
      <c r="AG225" s="33" t="s">
        <v>617</v>
      </c>
      <c r="AH225" s="36" t="s">
        <v>618</v>
      </c>
      <c r="AI225" s="36" t="str">
        <f>HYPERLINK("https://docs.google.com/document/d/1IaxkgNOqPzkSPHLaQxOsCa-xiQoIeRtfPOqC3I0c1oI/edit?usp=drivesdk","james tomazinis - 1/11/2019 2:30 PM")</f>
        <v>james tomazinis - 1/11/2019 2:30 PM</v>
      </c>
      <c r="AJ225" s="33" t="s">
        <v>619</v>
      </c>
    </row>
    <row r="226" spans="1:36" ht="12.75">
      <c r="A226" s="29">
        <v>43476.667095243058</v>
      </c>
      <c r="B226" s="12" t="s">
        <v>3386</v>
      </c>
      <c r="C226" s="12" t="s">
        <v>3481</v>
      </c>
      <c r="D226" s="12" t="s">
        <v>3631</v>
      </c>
      <c r="E226" s="12" t="s">
        <v>3753</v>
      </c>
      <c r="F226" s="30">
        <v>43476</v>
      </c>
      <c r="G226" s="12" t="s">
        <v>3835</v>
      </c>
      <c r="H226" s="32">
        <v>0.625</v>
      </c>
      <c r="I226" s="29">
        <v>43476.666666666672</v>
      </c>
      <c r="J226" s="12" t="s">
        <v>3331</v>
      </c>
      <c r="L226" s="12" t="s">
        <v>3393</v>
      </c>
      <c r="M226" s="12" t="s">
        <v>3853</v>
      </c>
      <c r="N226" s="12" t="s">
        <v>3854</v>
      </c>
      <c r="O226" s="12" t="s">
        <v>3499</v>
      </c>
      <c r="P226" s="12" t="s">
        <v>3369</v>
      </c>
      <c r="Q226" s="12" t="s">
        <v>3369</v>
      </c>
      <c r="R226" s="12" t="s">
        <v>3369</v>
      </c>
      <c r="S226" s="12" t="s">
        <v>3369</v>
      </c>
      <c r="T226" s="12" t="s">
        <v>3369</v>
      </c>
      <c r="U226" s="12" t="s">
        <v>3369</v>
      </c>
      <c r="V226" s="12" t="s">
        <v>3369</v>
      </c>
      <c r="W226" s="12" t="s">
        <v>3369</v>
      </c>
      <c r="X226" s="12" t="s">
        <v>3369</v>
      </c>
      <c r="Y226" s="12" t="s">
        <v>3369</v>
      </c>
      <c r="Z226" s="12" t="s">
        <v>3369</v>
      </c>
      <c r="AA226" s="12" t="s">
        <v>3369</v>
      </c>
      <c r="AB226" s="12" t="s">
        <v>3369</v>
      </c>
      <c r="AE226" s="32">
        <v>0.44444444444525288</v>
      </c>
      <c r="AF226" s="35"/>
      <c r="AG226" s="33" t="s">
        <v>621</v>
      </c>
      <c r="AH226" s="36" t="s">
        <v>622</v>
      </c>
      <c r="AI226" s="36" t="str">
        <f>HYPERLINK("https://docs.google.com/document/d/17RQ4Ys5vhUgH_js1ld3jCjcGkUV1G8rZmkNP458_zYM/edit?usp=drivesdk","Ben Mowbray - 1/11/2019 10:40 AM")</f>
        <v>Ben Mowbray - 1/11/2019 10:40 AM</v>
      </c>
      <c r="AJ226" s="33" t="s">
        <v>623</v>
      </c>
    </row>
    <row r="227" spans="1:36" ht="12.75">
      <c r="A227" s="29">
        <v>43479.288023460649</v>
      </c>
      <c r="B227" s="12" t="s">
        <v>3372</v>
      </c>
      <c r="C227" s="12" t="s">
        <v>3383</v>
      </c>
      <c r="D227" s="12" t="s">
        <v>3589</v>
      </c>
      <c r="E227" s="12" t="s">
        <v>3599</v>
      </c>
      <c r="F227" s="30">
        <v>43479</v>
      </c>
      <c r="G227" s="12" t="s">
        <v>3855</v>
      </c>
      <c r="H227" s="32">
        <v>0.5</v>
      </c>
      <c r="I227" s="29">
        <v>43479.541666666672</v>
      </c>
      <c r="J227" s="12" t="s">
        <v>3331</v>
      </c>
      <c r="L227" s="12" t="s">
        <v>3461</v>
      </c>
      <c r="M227" s="12" t="s">
        <v>3443</v>
      </c>
      <c r="N227" s="12" t="s">
        <v>3452</v>
      </c>
      <c r="O227" s="12" t="s">
        <v>3381</v>
      </c>
      <c r="P227" s="12" t="s">
        <v>3369</v>
      </c>
      <c r="Q227" s="12" t="s">
        <v>3369</v>
      </c>
      <c r="R227" s="12" t="s">
        <v>3369</v>
      </c>
      <c r="S227" s="12" t="s">
        <v>3369</v>
      </c>
      <c r="T227" s="12" t="s">
        <v>3369</v>
      </c>
      <c r="U227" s="12" t="s">
        <v>3369</v>
      </c>
      <c r="V227" s="12" t="s">
        <v>3369</v>
      </c>
      <c r="W227" s="12" t="s">
        <v>3369</v>
      </c>
      <c r="X227" s="12" t="s">
        <v>3369</v>
      </c>
      <c r="Y227" s="12" t="s">
        <v>3369</v>
      </c>
      <c r="Z227" s="12" t="s">
        <v>3369</v>
      </c>
      <c r="AA227" s="12" t="s">
        <v>3369</v>
      </c>
      <c r="AB227" s="12" t="s">
        <v>3369</v>
      </c>
      <c r="AE227" s="32">
        <v>0.32291666666424135</v>
      </c>
      <c r="AF227" s="35"/>
      <c r="AG227" s="33" t="s">
        <v>624</v>
      </c>
      <c r="AH227" s="36" t="s">
        <v>625</v>
      </c>
      <c r="AI227" s="36" t="str">
        <f>HYPERLINK("https://docs.google.com/document/d/1sp3x5m3NjyONG81qm62pZZCQIhwJORfCMNu2kAoMkJc/edit?usp=drivesdk","Pamela Marcum - 1/14/2019 7:45 AM")</f>
        <v>Pamela Marcum - 1/14/2019 7:45 AM</v>
      </c>
      <c r="AJ227" s="33" t="s">
        <v>626</v>
      </c>
    </row>
    <row r="228" spans="1:36" ht="12.75">
      <c r="A228" s="29">
        <v>43480.367108703707</v>
      </c>
      <c r="B228" s="12" t="s">
        <v>3372</v>
      </c>
      <c r="C228" s="12" t="s">
        <v>3639</v>
      </c>
      <c r="D228" s="12" t="s">
        <v>3589</v>
      </c>
      <c r="E228" s="12" t="s">
        <v>3856</v>
      </c>
      <c r="F228" s="30">
        <v>43480</v>
      </c>
      <c r="G228" s="12" t="s">
        <v>3857</v>
      </c>
      <c r="H228" s="32">
        <v>0.5</v>
      </c>
      <c r="I228" s="29">
        <v>43480.020833333328</v>
      </c>
      <c r="J228" s="12" t="s">
        <v>3366</v>
      </c>
      <c r="L228" s="12" t="s">
        <v>3299</v>
      </c>
      <c r="M228" s="12" t="s">
        <v>3379</v>
      </c>
      <c r="N228" s="12" t="s">
        <v>3858</v>
      </c>
      <c r="O228" s="12" t="s">
        <v>3381</v>
      </c>
      <c r="P228" s="12" t="s">
        <v>3369</v>
      </c>
      <c r="Q228" s="12" t="s">
        <v>3369</v>
      </c>
      <c r="R228" s="12" t="s">
        <v>3369</v>
      </c>
      <c r="S228" s="12" t="s">
        <v>3369</v>
      </c>
      <c r="T228" s="12" t="s">
        <v>3369</v>
      </c>
      <c r="U228" s="12" t="s">
        <v>3369</v>
      </c>
      <c r="V228" s="12" t="s">
        <v>3369</v>
      </c>
      <c r="W228" s="12" t="s">
        <v>3369</v>
      </c>
      <c r="X228" s="12" t="s">
        <v>3369</v>
      </c>
      <c r="Y228" s="12" t="s">
        <v>3369</v>
      </c>
      <c r="Z228" s="12" t="s">
        <v>3369</v>
      </c>
      <c r="AA228" s="12" t="s">
        <v>3369</v>
      </c>
      <c r="AB228" s="12" t="s">
        <v>3369</v>
      </c>
      <c r="AE228" s="32">
        <v>0.36458333333575865</v>
      </c>
      <c r="AF228" s="35"/>
    </row>
    <row r="229" spans="1:36" ht="12.75">
      <c r="A229" s="29">
        <v>43480.367108703707</v>
      </c>
      <c r="B229" s="12" t="s">
        <v>3390</v>
      </c>
      <c r="C229" s="12" t="s">
        <v>3448</v>
      </c>
      <c r="D229" s="12" t="s">
        <v>3589</v>
      </c>
      <c r="E229" s="12" t="s">
        <v>3856</v>
      </c>
      <c r="F229" s="30">
        <v>43480</v>
      </c>
      <c r="G229" s="12" t="s">
        <v>3857</v>
      </c>
      <c r="H229" s="32">
        <v>0.5</v>
      </c>
      <c r="I229" s="29">
        <v>43480.020833333328</v>
      </c>
      <c r="J229" s="12" t="s">
        <v>3377</v>
      </c>
      <c r="L229" s="12" t="s">
        <v>3393</v>
      </c>
      <c r="M229" s="12" t="s">
        <v>3480</v>
      </c>
      <c r="N229" s="12" t="s">
        <v>3859</v>
      </c>
      <c r="O229" s="12" t="s">
        <v>3744</v>
      </c>
      <c r="P229" s="12" t="s">
        <v>3369</v>
      </c>
      <c r="Q229" s="12" t="s">
        <v>3369</v>
      </c>
      <c r="R229" s="12" t="s">
        <v>3369</v>
      </c>
      <c r="S229" s="12" t="s">
        <v>3369</v>
      </c>
      <c r="T229" s="12" t="s">
        <v>3369</v>
      </c>
      <c r="U229" s="12" t="s">
        <v>3369</v>
      </c>
      <c r="V229" s="12" t="s">
        <v>3369</v>
      </c>
      <c r="W229" s="12" t="s">
        <v>3369</v>
      </c>
      <c r="X229" s="12" t="s">
        <v>3369</v>
      </c>
      <c r="Y229" s="12" t="s">
        <v>3369</v>
      </c>
      <c r="Z229" s="12" t="s">
        <v>3369</v>
      </c>
      <c r="AA229" s="12" t="s">
        <v>3369</v>
      </c>
      <c r="AB229" s="12" t="s">
        <v>3369</v>
      </c>
      <c r="AE229" s="32">
        <v>0.36458333333575865</v>
      </c>
      <c r="AF229" s="35"/>
    </row>
    <row r="230" spans="1:36" ht="12.75">
      <c r="A230" s="29">
        <v>43481.288860300927</v>
      </c>
      <c r="B230" s="12" t="s">
        <v>3372</v>
      </c>
      <c r="C230" s="12" t="s">
        <v>3383</v>
      </c>
      <c r="D230" s="12" t="s">
        <v>3589</v>
      </c>
      <c r="E230" s="12" t="s">
        <v>3296</v>
      </c>
      <c r="F230" s="30">
        <v>43481</v>
      </c>
      <c r="G230" s="12" t="s">
        <v>3860</v>
      </c>
      <c r="H230" s="32">
        <v>0.5</v>
      </c>
      <c r="I230" s="29">
        <v>43481.520833333328</v>
      </c>
      <c r="J230" s="12" t="s">
        <v>3331</v>
      </c>
      <c r="L230" s="12" t="s">
        <v>3461</v>
      </c>
      <c r="M230" s="12" t="s">
        <v>3379</v>
      </c>
      <c r="N230" s="12" t="s">
        <v>3861</v>
      </c>
      <c r="O230" s="12" t="s">
        <v>3381</v>
      </c>
      <c r="P230" s="12" t="s">
        <v>3369</v>
      </c>
      <c r="Q230" s="12" t="s">
        <v>3369</v>
      </c>
      <c r="R230" s="12" t="s">
        <v>3369</v>
      </c>
      <c r="S230" s="12" t="s">
        <v>3369</v>
      </c>
      <c r="T230" s="12" t="s">
        <v>3369</v>
      </c>
      <c r="U230" s="12" t="s">
        <v>3369</v>
      </c>
      <c r="V230" s="12" t="s">
        <v>3369</v>
      </c>
      <c r="W230" s="12" t="s">
        <v>3369</v>
      </c>
      <c r="X230" s="12" t="s">
        <v>3369</v>
      </c>
      <c r="Y230" s="12" t="s">
        <v>3369</v>
      </c>
      <c r="Z230" s="12" t="s">
        <v>3369</v>
      </c>
      <c r="AA230" s="12" t="s">
        <v>3369</v>
      </c>
      <c r="AB230" s="12" t="s">
        <v>3369</v>
      </c>
      <c r="AE230" s="32">
        <v>0.35416666666424135</v>
      </c>
      <c r="AF230" s="35"/>
    </row>
    <row r="231" spans="1:36" ht="12.75">
      <c r="A231" s="29">
        <v>43481.391982534726</v>
      </c>
      <c r="B231" s="12" t="s">
        <v>3381</v>
      </c>
      <c r="C231" s="12" t="s">
        <v>3639</v>
      </c>
      <c r="D231" s="12" t="s">
        <v>3589</v>
      </c>
      <c r="E231" s="12" t="s">
        <v>3862</v>
      </c>
      <c r="F231" s="30">
        <v>43481</v>
      </c>
      <c r="G231" s="12" t="s">
        <v>3857</v>
      </c>
      <c r="H231" s="32">
        <v>0.5</v>
      </c>
      <c r="I231" s="29">
        <v>43481.020833333328</v>
      </c>
      <c r="J231" s="12" t="s">
        <v>3377</v>
      </c>
      <c r="L231" s="12" t="s">
        <v>3461</v>
      </c>
      <c r="M231" s="12" t="s">
        <v>3379</v>
      </c>
      <c r="N231" s="12" t="s">
        <v>3863</v>
      </c>
      <c r="O231" s="12" t="s">
        <v>3381</v>
      </c>
      <c r="P231" s="12" t="s">
        <v>3369</v>
      </c>
      <c r="Q231" s="12" t="s">
        <v>3369</v>
      </c>
      <c r="R231" s="12" t="s">
        <v>3369</v>
      </c>
      <c r="S231" s="12" t="s">
        <v>3369</v>
      </c>
      <c r="T231" s="12" t="s">
        <v>3369</v>
      </c>
      <c r="U231" s="12" t="s">
        <v>3369</v>
      </c>
      <c r="V231" s="12" t="s">
        <v>3369</v>
      </c>
      <c r="W231" s="12" t="s">
        <v>3369</v>
      </c>
      <c r="X231" s="12" t="s">
        <v>3369</v>
      </c>
      <c r="Y231" s="12" t="s">
        <v>3369</v>
      </c>
      <c r="Z231" s="12" t="s">
        <v>3369</v>
      </c>
      <c r="AA231" s="12" t="s">
        <v>3369</v>
      </c>
      <c r="AB231" s="12" t="s">
        <v>3369</v>
      </c>
      <c r="AE231" s="32">
        <v>0.38541666666424135</v>
      </c>
      <c r="AF231" s="35"/>
    </row>
    <row r="232" spans="1:36" ht="12.75">
      <c r="A232" s="37">
        <v>43482.438530092593</v>
      </c>
      <c r="B232" s="12" t="s">
        <v>3381</v>
      </c>
      <c r="C232" s="12" t="s">
        <v>3639</v>
      </c>
      <c r="D232" s="12" t="s">
        <v>3631</v>
      </c>
      <c r="E232" s="12" t="s">
        <v>3862</v>
      </c>
      <c r="F232" s="30">
        <v>43482</v>
      </c>
      <c r="G232" s="12" t="s">
        <v>3857</v>
      </c>
      <c r="H232" s="32">
        <v>0.5</v>
      </c>
      <c r="I232" s="38">
        <v>43482</v>
      </c>
      <c r="J232" s="12" t="s">
        <v>3377</v>
      </c>
      <c r="L232" s="12" t="s">
        <v>3461</v>
      </c>
      <c r="M232" s="12" t="s">
        <v>3379</v>
      </c>
      <c r="N232" s="12" t="s">
        <v>3864</v>
      </c>
      <c r="O232" s="12" t="s">
        <v>3381</v>
      </c>
      <c r="P232" s="12" t="s">
        <v>3369</v>
      </c>
      <c r="Q232" s="12" t="s">
        <v>3369</v>
      </c>
      <c r="R232" s="12" t="s">
        <v>3369</v>
      </c>
      <c r="S232" s="12" t="s">
        <v>3369</v>
      </c>
      <c r="T232" s="12" t="s">
        <v>3369</v>
      </c>
      <c r="U232" s="12" t="s">
        <v>3369</v>
      </c>
      <c r="V232" s="12" t="s">
        <v>3369</v>
      </c>
      <c r="W232" s="12" t="s">
        <v>3369</v>
      </c>
      <c r="X232" s="12" t="s">
        <v>3369</v>
      </c>
      <c r="Y232" s="12" t="s">
        <v>3369</v>
      </c>
      <c r="Z232" s="12" t="s">
        <v>3369</v>
      </c>
      <c r="AA232" s="12" t="s">
        <v>3369</v>
      </c>
      <c r="AB232" s="12" t="s">
        <v>3369</v>
      </c>
      <c r="AE232" s="32">
        <v>0.35416666666424135</v>
      </c>
      <c r="AF232" s="35"/>
    </row>
    <row r="233" spans="1:36" ht="12.75">
      <c r="A233" s="29">
        <v>43483.438675011574</v>
      </c>
      <c r="B233" s="12" t="s">
        <v>3417</v>
      </c>
      <c r="C233" s="12" t="s">
        <v>3383</v>
      </c>
      <c r="D233" s="12" t="s">
        <v>3589</v>
      </c>
      <c r="E233" s="12" t="s">
        <v>3296</v>
      </c>
      <c r="F233" s="30">
        <v>43483</v>
      </c>
      <c r="G233" s="12" t="s">
        <v>3419</v>
      </c>
      <c r="H233" s="32">
        <v>0.54166666666424135</v>
      </c>
      <c r="I233" s="29">
        <v>43483.5625</v>
      </c>
      <c r="J233" s="12" t="s">
        <v>3377</v>
      </c>
      <c r="L233" s="12" t="s">
        <v>3461</v>
      </c>
      <c r="M233" s="12" t="s">
        <v>3379</v>
      </c>
      <c r="N233" s="12" t="s">
        <v>3865</v>
      </c>
      <c r="O233" s="12" t="s">
        <v>3381</v>
      </c>
      <c r="P233" s="12" t="s">
        <v>3369</v>
      </c>
      <c r="Q233" s="12" t="s">
        <v>3369</v>
      </c>
      <c r="R233" s="12" t="s">
        <v>3369</v>
      </c>
      <c r="S233" s="12" t="s">
        <v>3369</v>
      </c>
      <c r="T233" s="12" t="s">
        <v>3369</v>
      </c>
      <c r="U233" s="12" t="s">
        <v>3369</v>
      </c>
      <c r="V233" s="12" t="s">
        <v>3369</v>
      </c>
      <c r="W233" s="12" t="s">
        <v>3369</v>
      </c>
      <c r="X233" s="12" t="s">
        <v>3369</v>
      </c>
      <c r="Y233" s="12" t="s">
        <v>3369</v>
      </c>
      <c r="Z233" s="12" t="s">
        <v>3369</v>
      </c>
      <c r="AA233" s="12" t="s">
        <v>3369</v>
      </c>
      <c r="AB233" s="12" t="s">
        <v>3369</v>
      </c>
      <c r="AE233" s="32">
        <v>0.44791666666424135</v>
      </c>
      <c r="AF233" s="35"/>
    </row>
    <row r="234" spans="1:36" ht="12.75">
      <c r="A234" s="29">
        <v>43483.446238819444</v>
      </c>
      <c r="B234" s="12" t="s">
        <v>3475</v>
      </c>
      <c r="C234" s="12" t="s">
        <v>3719</v>
      </c>
      <c r="D234" s="12" t="s">
        <v>3589</v>
      </c>
      <c r="E234" s="12" t="s">
        <v>3866</v>
      </c>
      <c r="F234" s="30">
        <v>43483</v>
      </c>
      <c r="G234" s="12" t="s">
        <v>3857</v>
      </c>
      <c r="H234" s="32">
        <v>0.58333333333575865</v>
      </c>
      <c r="I234" s="29">
        <v>43483.625</v>
      </c>
      <c r="J234" s="12" t="s">
        <v>3366</v>
      </c>
      <c r="L234" s="12" t="s">
        <v>3393</v>
      </c>
      <c r="M234" s="12" t="s">
        <v>3867</v>
      </c>
      <c r="O234" s="12" t="s">
        <v>3475</v>
      </c>
      <c r="P234" s="12" t="s">
        <v>3369</v>
      </c>
      <c r="Q234" s="12" t="s">
        <v>3369</v>
      </c>
      <c r="R234" s="12" t="s">
        <v>3369</v>
      </c>
      <c r="S234" s="12" t="s">
        <v>3369</v>
      </c>
      <c r="T234" s="12" t="s">
        <v>3369</v>
      </c>
      <c r="U234" s="12" t="s">
        <v>3369</v>
      </c>
      <c r="V234" s="12" t="s">
        <v>3369</v>
      </c>
      <c r="W234" s="12" t="s">
        <v>3369</v>
      </c>
      <c r="X234" s="12" t="s">
        <v>3369</v>
      </c>
      <c r="Y234" s="12" t="s">
        <v>3369</v>
      </c>
      <c r="Z234" s="12" t="s">
        <v>3369</v>
      </c>
      <c r="AA234" s="12" t="s">
        <v>3369</v>
      </c>
      <c r="AB234" s="12" t="s">
        <v>3369</v>
      </c>
      <c r="AE234" s="32">
        <v>0.45833333333575865</v>
      </c>
      <c r="AF234" s="35"/>
    </row>
    <row r="235" spans="1:36" ht="12.75">
      <c r="A235" s="29">
        <v>43483.4528569213</v>
      </c>
      <c r="B235" s="12" t="s">
        <v>3475</v>
      </c>
      <c r="C235" s="12" t="s">
        <v>3719</v>
      </c>
      <c r="D235" s="12" t="s">
        <v>3589</v>
      </c>
      <c r="E235" s="12" t="s">
        <v>3868</v>
      </c>
      <c r="F235" s="30">
        <v>43484</v>
      </c>
      <c r="G235" s="12" t="s">
        <v>3857</v>
      </c>
      <c r="H235" s="32">
        <v>0.5</v>
      </c>
      <c r="I235" s="29">
        <v>43483.500694444447</v>
      </c>
      <c r="J235" s="12" t="s">
        <v>3366</v>
      </c>
      <c r="L235" s="12" t="s">
        <v>3393</v>
      </c>
      <c r="M235" s="12" t="s">
        <v>3867</v>
      </c>
      <c r="O235" s="12" t="s">
        <v>3475</v>
      </c>
      <c r="P235" s="12" t="s">
        <v>3369</v>
      </c>
      <c r="Q235" s="12" t="s">
        <v>3369</v>
      </c>
      <c r="R235" s="12" t="s">
        <v>3369</v>
      </c>
      <c r="S235" s="12" t="s">
        <v>3369</v>
      </c>
      <c r="T235" s="12" t="s">
        <v>3369</v>
      </c>
      <c r="U235" s="12" t="s">
        <v>3369</v>
      </c>
      <c r="V235" s="12" t="s">
        <v>3369</v>
      </c>
      <c r="W235" s="12" t="s">
        <v>3369</v>
      </c>
      <c r="X235" s="12" t="s">
        <v>3369</v>
      </c>
      <c r="Y235" s="12" t="s">
        <v>3369</v>
      </c>
      <c r="Z235" s="12" t="s">
        <v>3369</v>
      </c>
      <c r="AA235" s="12" t="s">
        <v>3369</v>
      </c>
      <c r="AB235" s="12" t="s">
        <v>3369</v>
      </c>
      <c r="AE235" s="32">
        <v>0.45833333333575865</v>
      </c>
      <c r="AF235" s="35"/>
    </row>
    <row r="236" spans="1:36" ht="12.75">
      <c r="A236" s="29">
        <v>43483.510741157406</v>
      </c>
      <c r="B236" s="12" t="s">
        <v>3869</v>
      </c>
      <c r="C236" s="12" t="s">
        <v>3870</v>
      </c>
      <c r="D236" s="12" t="s">
        <v>3589</v>
      </c>
      <c r="E236" s="12" t="s">
        <v>3296</v>
      </c>
      <c r="F236" s="30">
        <v>43483</v>
      </c>
      <c r="G236" s="12" t="s">
        <v>3871</v>
      </c>
      <c r="H236" s="32">
        <v>0.5</v>
      </c>
      <c r="I236" s="29">
        <v>43483.708333333328</v>
      </c>
      <c r="J236" s="12" t="s">
        <v>3366</v>
      </c>
      <c r="K236" s="12">
        <v>2</v>
      </c>
      <c r="L236" s="12" t="s">
        <v>3393</v>
      </c>
      <c r="M236" s="12" t="s">
        <v>3552</v>
      </c>
      <c r="N236" s="12" t="s">
        <v>3872</v>
      </c>
      <c r="O236" s="12" t="s">
        <v>3873</v>
      </c>
      <c r="P236" s="12" t="s">
        <v>3369</v>
      </c>
      <c r="Q236" s="12" t="s">
        <v>3369</v>
      </c>
      <c r="R236" s="12" t="s">
        <v>3369</v>
      </c>
      <c r="S236" s="12" t="s">
        <v>3369</v>
      </c>
      <c r="T236" s="12" t="s">
        <v>3369</v>
      </c>
      <c r="U236" s="12" t="s">
        <v>3369</v>
      </c>
      <c r="V236" s="12" t="s">
        <v>3369</v>
      </c>
      <c r="W236" s="12" t="s">
        <v>3369</v>
      </c>
      <c r="X236" s="12" t="s">
        <v>3369</v>
      </c>
      <c r="Y236" s="12" t="s">
        <v>3369</v>
      </c>
      <c r="Z236" s="12" t="s">
        <v>3369</v>
      </c>
      <c r="AA236" s="12" t="s">
        <v>3369</v>
      </c>
      <c r="AB236" s="12" t="s">
        <v>3369</v>
      </c>
      <c r="AC236" s="12" t="s">
        <v>3874</v>
      </c>
      <c r="AD236" s="12" t="s">
        <v>3875</v>
      </c>
      <c r="AE236" s="32">
        <v>0.35416666666424135</v>
      </c>
      <c r="AF236" s="35"/>
    </row>
    <row r="237" spans="1:36" ht="12.75">
      <c r="A237" s="29">
        <v>43486.641807106484</v>
      </c>
      <c r="B237" s="12" t="s">
        <v>3399</v>
      </c>
      <c r="C237" s="12" t="s">
        <v>3400</v>
      </c>
      <c r="D237" s="12" t="s">
        <v>3401</v>
      </c>
      <c r="E237" s="12" t="s">
        <v>3356</v>
      </c>
      <c r="F237" s="30">
        <v>43487</v>
      </c>
      <c r="G237" s="12" t="s">
        <v>3657</v>
      </c>
      <c r="H237" s="32">
        <v>0.47222222221898846</v>
      </c>
      <c r="J237" s="12" t="s">
        <v>3403</v>
      </c>
      <c r="L237" s="12" t="s">
        <v>3299</v>
      </c>
      <c r="M237" s="12" t="s">
        <v>3458</v>
      </c>
      <c r="N237" s="12" t="s">
        <v>3760</v>
      </c>
      <c r="O237" s="12" t="s">
        <v>3408</v>
      </c>
      <c r="P237" s="12" t="s">
        <v>3369</v>
      </c>
      <c r="Q237" s="12" t="s">
        <v>3369</v>
      </c>
      <c r="R237" s="12" t="s">
        <v>3369</v>
      </c>
      <c r="S237" s="12" t="s">
        <v>3369</v>
      </c>
      <c r="T237" s="12" t="s">
        <v>3369</v>
      </c>
      <c r="U237" s="12" t="s">
        <v>3369</v>
      </c>
      <c r="V237" s="12" t="s">
        <v>3369</v>
      </c>
      <c r="W237" s="12" t="s">
        <v>3369</v>
      </c>
      <c r="X237" s="12" t="s">
        <v>3369</v>
      </c>
      <c r="Y237" s="12" t="s">
        <v>3369</v>
      </c>
      <c r="Z237" s="12" t="s">
        <v>3369</v>
      </c>
      <c r="AA237" s="12" t="s">
        <v>3369</v>
      </c>
      <c r="AB237" s="12" t="s">
        <v>3369</v>
      </c>
      <c r="AE237" s="32">
        <v>0.42708333333575865</v>
      </c>
      <c r="AF237" s="35"/>
    </row>
    <row r="238" spans="1:36" ht="12.75">
      <c r="A238" s="29">
        <v>43487.331023194449</v>
      </c>
      <c r="B238" s="12" t="s">
        <v>3390</v>
      </c>
      <c r="C238" s="12" t="s">
        <v>1444</v>
      </c>
      <c r="D238" s="12" t="s">
        <v>3589</v>
      </c>
      <c r="E238" s="12" t="s">
        <v>3834</v>
      </c>
      <c r="F238" s="30">
        <v>43487</v>
      </c>
      <c r="G238" s="12" t="s">
        <v>3465</v>
      </c>
      <c r="H238" s="32">
        <v>0.54166666666424135</v>
      </c>
      <c r="I238" s="29">
        <v>43487.5625</v>
      </c>
      <c r="J238" s="12" t="s">
        <v>3377</v>
      </c>
      <c r="L238" s="12" t="s">
        <v>3461</v>
      </c>
      <c r="M238" s="12" t="s">
        <v>3876</v>
      </c>
      <c r="O238" s="12" t="s">
        <v>3877</v>
      </c>
      <c r="P238" s="12" t="s">
        <v>3369</v>
      </c>
      <c r="Q238" s="12" t="s">
        <v>3369</v>
      </c>
      <c r="R238" s="12" t="s">
        <v>3369</v>
      </c>
      <c r="S238" s="12" t="s">
        <v>3369</v>
      </c>
      <c r="T238" s="12" t="s">
        <v>3369</v>
      </c>
      <c r="U238" s="12" t="s">
        <v>3369</v>
      </c>
      <c r="V238" s="12" t="s">
        <v>3369</v>
      </c>
      <c r="W238" s="12" t="s">
        <v>3369</v>
      </c>
      <c r="X238" s="12" t="s">
        <v>3369</v>
      </c>
      <c r="Y238" s="12" t="s">
        <v>3369</v>
      </c>
      <c r="Z238" s="12" t="s">
        <v>3369</v>
      </c>
      <c r="AA238" s="12" t="s">
        <v>3369</v>
      </c>
      <c r="AB238" s="12" t="s">
        <v>3369</v>
      </c>
      <c r="AE238" s="32">
        <v>0.34027777778101154</v>
      </c>
      <c r="AF238" s="35"/>
    </row>
    <row r="239" spans="1:36" ht="12.75">
      <c r="A239" s="29">
        <v>43488.361851145833</v>
      </c>
      <c r="B239" s="12" t="s">
        <v>3830</v>
      </c>
      <c r="C239" s="12" t="s">
        <v>3456</v>
      </c>
      <c r="D239" s="12" t="s">
        <v>3401</v>
      </c>
      <c r="E239" s="12" t="s">
        <v>3482</v>
      </c>
      <c r="F239" s="30">
        <v>43488</v>
      </c>
      <c r="G239" s="12" t="s">
        <v>3878</v>
      </c>
      <c r="H239" s="32">
        <v>0.1875</v>
      </c>
      <c r="J239" s="12" t="s">
        <v>3377</v>
      </c>
      <c r="L239" s="12" t="s">
        <v>3461</v>
      </c>
      <c r="M239" s="12" t="s">
        <v>3879</v>
      </c>
      <c r="N239" s="12" t="s">
        <v>3880</v>
      </c>
      <c r="O239" s="12" t="s">
        <v>3408</v>
      </c>
      <c r="P239" s="12" t="s">
        <v>3369</v>
      </c>
      <c r="Q239" s="12" t="s">
        <v>3369</v>
      </c>
      <c r="R239" s="12" t="s">
        <v>3369</v>
      </c>
      <c r="S239" s="12" t="s">
        <v>3369</v>
      </c>
      <c r="T239" s="12" t="s">
        <v>3369</v>
      </c>
      <c r="U239" s="12" t="s">
        <v>3369</v>
      </c>
      <c r="V239" s="12" t="s">
        <v>3369</v>
      </c>
      <c r="W239" s="12" t="s">
        <v>3369</v>
      </c>
      <c r="X239" s="12" t="s">
        <v>3369</v>
      </c>
      <c r="Y239" s="12" t="s">
        <v>3369</v>
      </c>
      <c r="Z239" s="12" t="s">
        <v>3369</v>
      </c>
      <c r="AA239" s="12" t="s">
        <v>3369</v>
      </c>
      <c r="AB239" s="12" t="s">
        <v>3369</v>
      </c>
      <c r="AE239" s="32">
        <v>0.375</v>
      </c>
      <c r="AF239" s="35"/>
    </row>
    <row r="240" spans="1:36" ht="12.75">
      <c r="A240" s="29">
        <v>43489.415861145833</v>
      </c>
      <c r="B240" s="12" t="s">
        <v>3372</v>
      </c>
      <c r="C240" s="12" t="s">
        <v>3639</v>
      </c>
      <c r="D240" s="12" t="s">
        <v>3881</v>
      </c>
      <c r="E240" s="12" t="s">
        <v>3710</v>
      </c>
      <c r="F240" s="30">
        <v>43489</v>
      </c>
      <c r="G240" s="12" t="s">
        <v>3492</v>
      </c>
      <c r="H240" s="32">
        <v>0.52083333333575865</v>
      </c>
      <c r="I240" s="29">
        <v>43489.5625</v>
      </c>
      <c r="J240" s="12" t="s">
        <v>3366</v>
      </c>
      <c r="L240" s="12" t="s">
        <v>3393</v>
      </c>
      <c r="M240" s="12" t="s">
        <v>3882</v>
      </c>
      <c r="O240" s="12" t="s">
        <v>3499</v>
      </c>
      <c r="P240" s="12" t="s">
        <v>3369</v>
      </c>
      <c r="Q240" s="12" t="s">
        <v>3369</v>
      </c>
      <c r="R240" s="12" t="s">
        <v>3369</v>
      </c>
      <c r="S240" s="12" t="s">
        <v>3369</v>
      </c>
      <c r="T240" s="12" t="s">
        <v>3369</v>
      </c>
      <c r="U240" s="12" t="s">
        <v>3369</v>
      </c>
      <c r="V240" s="12" t="s">
        <v>3369</v>
      </c>
      <c r="W240" s="12" t="s">
        <v>3369</v>
      </c>
      <c r="X240" s="12" t="s">
        <v>3369</v>
      </c>
      <c r="Y240" s="12" t="s">
        <v>3369</v>
      </c>
      <c r="Z240" s="12" t="s">
        <v>3369</v>
      </c>
      <c r="AA240" s="12" t="s">
        <v>3369</v>
      </c>
      <c r="AB240" s="12" t="s">
        <v>3369</v>
      </c>
      <c r="AE240" s="32">
        <v>0.42708333333575865</v>
      </c>
      <c r="AF240" s="35"/>
    </row>
    <row r="241" spans="1:32" ht="12.75">
      <c r="A241" s="29">
        <v>43496.293039432872</v>
      </c>
      <c r="B241" s="12" t="s">
        <v>3386</v>
      </c>
      <c r="C241" s="12" t="s">
        <v>3481</v>
      </c>
      <c r="D241" s="12" t="s">
        <v>3631</v>
      </c>
      <c r="E241" s="12" t="s">
        <v>3883</v>
      </c>
      <c r="F241" s="30">
        <v>43486</v>
      </c>
      <c r="G241" s="12" t="s">
        <v>3884</v>
      </c>
      <c r="H241" s="32">
        <v>0.625</v>
      </c>
      <c r="I241" s="29">
        <v>43496.708333333328</v>
      </c>
      <c r="J241" s="12" t="s">
        <v>3377</v>
      </c>
      <c r="L241" s="12" t="s">
        <v>3393</v>
      </c>
      <c r="M241" s="12" t="s">
        <v>3497</v>
      </c>
      <c r="N241" s="12" t="s">
        <v>3885</v>
      </c>
      <c r="O241" s="12" t="s">
        <v>3499</v>
      </c>
      <c r="P241" s="12" t="s">
        <v>3369</v>
      </c>
      <c r="Q241" s="12" t="s">
        <v>3369</v>
      </c>
      <c r="R241" s="12" t="s">
        <v>3369</v>
      </c>
      <c r="S241" s="12" t="s">
        <v>3369</v>
      </c>
      <c r="T241" s="12" t="s">
        <v>3369</v>
      </c>
      <c r="U241" s="12" t="s">
        <v>3369</v>
      </c>
      <c r="V241" s="12" t="s">
        <v>3369</v>
      </c>
      <c r="W241" s="12" t="s">
        <v>3369</v>
      </c>
      <c r="X241" s="12" t="s">
        <v>3369</v>
      </c>
      <c r="Y241" s="12" t="s">
        <v>3369</v>
      </c>
      <c r="Z241" s="12" t="s">
        <v>3369</v>
      </c>
      <c r="AA241" s="12" t="s">
        <v>3369</v>
      </c>
      <c r="AB241" s="12" t="s">
        <v>3369</v>
      </c>
      <c r="AE241" s="32">
        <v>0.41666666666424135</v>
      </c>
      <c r="AF241" s="35"/>
    </row>
    <row r="242" spans="1:32" ht="12.75">
      <c r="A242" s="29">
        <v>43496.342288113425</v>
      </c>
      <c r="B242" s="12" t="s">
        <v>3372</v>
      </c>
      <c r="C242" s="12" t="s">
        <v>3383</v>
      </c>
      <c r="D242" s="12" t="s">
        <v>3589</v>
      </c>
      <c r="E242" s="12" t="s">
        <v>3296</v>
      </c>
      <c r="F242" s="30">
        <v>43496</v>
      </c>
      <c r="G242" s="12" t="s">
        <v>3886</v>
      </c>
      <c r="H242" s="32">
        <v>0.58333333333575865</v>
      </c>
      <c r="I242" s="29">
        <v>43496.604166666672</v>
      </c>
      <c r="J242" s="12" t="s">
        <v>3377</v>
      </c>
      <c r="L242" s="12" t="s">
        <v>3393</v>
      </c>
      <c r="M242" s="12" t="s">
        <v>3379</v>
      </c>
      <c r="N242" s="12" t="s">
        <v>3840</v>
      </c>
      <c r="O242" s="12" t="s">
        <v>3381</v>
      </c>
      <c r="P242" s="12" t="s">
        <v>3369</v>
      </c>
      <c r="Q242" s="12" t="s">
        <v>3369</v>
      </c>
      <c r="R242" s="12" t="s">
        <v>3369</v>
      </c>
      <c r="S242" s="12" t="s">
        <v>3369</v>
      </c>
      <c r="T242" s="12" t="s">
        <v>3369</v>
      </c>
      <c r="U242" s="12" t="s">
        <v>3369</v>
      </c>
      <c r="V242" s="12" t="s">
        <v>3369</v>
      </c>
      <c r="W242" s="12" t="s">
        <v>3369</v>
      </c>
      <c r="X242" s="12" t="s">
        <v>3369</v>
      </c>
      <c r="Y242" s="12" t="s">
        <v>3369</v>
      </c>
      <c r="Z242" s="12" t="s">
        <v>3369</v>
      </c>
      <c r="AA242" s="12" t="s">
        <v>3369</v>
      </c>
      <c r="AB242" s="12" t="s">
        <v>3369</v>
      </c>
      <c r="AE242" s="32">
        <v>0.38541666666424135</v>
      </c>
      <c r="AF242" s="35"/>
    </row>
    <row r="243" spans="1:32" ht="12.75">
      <c r="A243" s="29">
        <v>43500.33126575232</v>
      </c>
      <c r="B243" s="12" t="s">
        <v>3399</v>
      </c>
      <c r="C243" s="12" t="s">
        <v>3887</v>
      </c>
      <c r="D243" s="12" t="s">
        <v>3401</v>
      </c>
      <c r="E243" s="12" t="s">
        <v>3356</v>
      </c>
      <c r="F243" s="30">
        <v>43500</v>
      </c>
      <c r="G243" s="12" t="s">
        <v>3657</v>
      </c>
      <c r="H243" s="32">
        <v>0.45138888889050577</v>
      </c>
      <c r="J243" s="12" t="s">
        <v>3403</v>
      </c>
      <c r="L243" s="12" t="s">
        <v>3299</v>
      </c>
      <c r="M243" s="12" t="s">
        <v>3842</v>
      </c>
      <c r="N243" s="12" t="s">
        <v>3888</v>
      </c>
      <c r="O243" s="12" t="s">
        <v>3408</v>
      </c>
      <c r="P243" s="12" t="s">
        <v>3369</v>
      </c>
      <c r="Q243" s="12" t="s">
        <v>3369</v>
      </c>
      <c r="R243" s="12" t="s">
        <v>3369</v>
      </c>
      <c r="S243" s="12" t="s">
        <v>3369</v>
      </c>
      <c r="T243" s="12" t="s">
        <v>3369</v>
      </c>
      <c r="U243" s="12" t="s">
        <v>3369</v>
      </c>
      <c r="V243" s="12" t="s">
        <v>3369</v>
      </c>
      <c r="W243" s="12" t="s">
        <v>3369</v>
      </c>
      <c r="X243" s="12" t="s">
        <v>3369</v>
      </c>
      <c r="Y243" s="12" t="s">
        <v>3369</v>
      </c>
      <c r="Z243" s="12" t="s">
        <v>3369</v>
      </c>
      <c r="AA243" s="12" t="s">
        <v>3369</v>
      </c>
      <c r="AB243" s="12" t="s">
        <v>3369</v>
      </c>
      <c r="AE243" s="32">
        <v>0.38541666666424135</v>
      </c>
      <c r="AF243" s="35"/>
    </row>
    <row r="244" spans="1:32" ht="12.75">
      <c r="A244" s="29">
        <v>43501.325073692133</v>
      </c>
      <c r="B244" s="12" t="s">
        <v>3390</v>
      </c>
      <c r="C244" s="12" t="s">
        <v>3391</v>
      </c>
      <c r="D244" s="12" t="s">
        <v>3589</v>
      </c>
      <c r="E244" s="12" t="s">
        <v>3834</v>
      </c>
      <c r="F244" s="30">
        <v>43501</v>
      </c>
      <c r="G244" s="12" t="s">
        <v>3529</v>
      </c>
      <c r="H244" s="32">
        <v>0.5625</v>
      </c>
      <c r="I244" s="29">
        <v>43501.572916666672</v>
      </c>
      <c r="J244" s="12" t="s">
        <v>3377</v>
      </c>
      <c r="L244" s="12" t="s">
        <v>3299</v>
      </c>
      <c r="M244" s="12" t="s">
        <v>3742</v>
      </c>
      <c r="N244" s="12" t="s">
        <v>3889</v>
      </c>
      <c r="O244" s="12" t="s">
        <v>3767</v>
      </c>
      <c r="P244" s="12" t="s">
        <v>3369</v>
      </c>
      <c r="Q244" s="12" t="s">
        <v>3369</v>
      </c>
      <c r="R244" s="12" t="s">
        <v>3369</v>
      </c>
      <c r="S244" s="12" t="s">
        <v>3369</v>
      </c>
      <c r="T244" s="12" t="s">
        <v>3369</v>
      </c>
      <c r="U244" s="12" t="s">
        <v>3369</v>
      </c>
      <c r="V244" s="12" t="s">
        <v>3369</v>
      </c>
      <c r="W244" s="12" t="s">
        <v>3369</v>
      </c>
      <c r="X244" s="12" t="s">
        <v>3369</v>
      </c>
      <c r="Y244" s="12" t="s">
        <v>3369</v>
      </c>
      <c r="Z244" s="12" t="s">
        <v>3369</v>
      </c>
      <c r="AA244" s="12" t="s">
        <v>3369</v>
      </c>
      <c r="AB244" s="12" t="s">
        <v>3369</v>
      </c>
      <c r="AE244" s="32">
        <v>0.35416666666424135</v>
      </c>
      <c r="AF244" s="35"/>
    </row>
    <row r="245" spans="1:32" ht="12.75">
      <c r="A245" s="29">
        <v>43507.384052615744</v>
      </c>
      <c r="B245" s="12" t="s">
        <v>3390</v>
      </c>
      <c r="C245" s="12" t="s">
        <v>3391</v>
      </c>
      <c r="D245" s="12" t="s">
        <v>3295</v>
      </c>
      <c r="E245" s="12" t="s">
        <v>3890</v>
      </c>
      <c r="F245" s="30">
        <v>43507</v>
      </c>
      <c r="G245" s="12" t="s">
        <v>3891</v>
      </c>
      <c r="H245" s="32">
        <v>0.55208333333575865</v>
      </c>
      <c r="I245" s="29">
        <v>43507.59375</v>
      </c>
      <c r="J245" s="12" t="s">
        <v>3366</v>
      </c>
      <c r="L245" s="12" t="s">
        <v>3461</v>
      </c>
      <c r="M245" s="12" t="s">
        <v>3742</v>
      </c>
      <c r="O245" s="12" t="s">
        <v>3429</v>
      </c>
      <c r="P245" s="12" t="s">
        <v>3369</v>
      </c>
      <c r="Q245" s="12" t="s">
        <v>3369</v>
      </c>
      <c r="R245" s="12" t="s">
        <v>3369</v>
      </c>
      <c r="S245" s="12" t="s">
        <v>3369</v>
      </c>
      <c r="T245" s="12" t="s">
        <v>3369</v>
      </c>
      <c r="U245" s="12" t="s">
        <v>3369</v>
      </c>
      <c r="V245" s="12" t="s">
        <v>3369</v>
      </c>
      <c r="W245" s="12" t="s">
        <v>3369</v>
      </c>
      <c r="X245" s="12" t="s">
        <v>3369</v>
      </c>
      <c r="Y245" s="12" t="s">
        <v>3369</v>
      </c>
      <c r="Z245" s="12" t="s">
        <v>3369</v>
      </c>
      <c r="AA245" s="12" t="s">
        <v>3369</v>
      </c>
      <c r="AB245" s="12" t="s">
        <v>3369</v>
      </c>
      <c r="AE245" s="32">
        <v>0.42708333333575865</v>
      </c>
      <c r="AF245" s="35"/>
    </row>
    <row r="246" spans="1:32" ht="12.75">
      <c r="A246" s="29">
        <v>43507.502865162038</v>
      </c>
      <c r="B246" s="12" t="s">
        <v>3399</v>
      </c>
      <c r="C246" s="12" t="s">
        <v>3400</v>
      </c>
      <c r="D246" s="12" t="s">
        <v>3401</v>
      </c>
      <c r="E246" s="12" t="s">
        <v>3482</v>
      </c>
      <c r="F246" s="30">
        <v>43508</v>
      </c>
      <c r="G246" s="12" t="s">
        <v>3892</v>
      </c>
      <c r="H246" s="32">
        <v>0.66666666666424135</v>
      </c>
      <c r="J246" s="12" t="s">
        <v>3377</v>
      </c>
      <c r="L246" s="12" t="s">
        <v>3393</v>
      </c>
      <c r="M246" s="12" t="s">
        <v>3458</v>
      </c>
      <c r="N246" s="12" t="s">
        <v>3893</v>
      </c>
      <c r="O246" s="12" t="s">
        <v>3408</v>
      </c>
      <c r="P246" s="12" t="s">
        <v>3369</v>
      </c>
      <c r="Q246" s="12" t="s">
        <v>3369</v>
      </c>
      <c r="R246" s="12" t="s">
        <v>3369</v>
      </c>
      <c r="S246" s="12" t="s">
        <v>3369</v>
      </c>
      <c r="T246" s="12" t="s">
        <v>3369</v>
      </c>
      <c r="U246" s="12" t="s">
        <v>3369</v>
      </c>
      <c r="V246" s="12" t="s">
        <v>3369</v>
      </c>
      <c r="W246" s="12" t="s">
        <v>3369</v>
      </c>
      <c r="X246" s="12" t="s">
        <v>3369</v>
      </c>
      <c r="Y246" s="12" t="s">
        <v>3369</v>
      </c>
      <c r="Z246" s="12" t="s">
        <v>3369</v>
      </c>
      <c r="AA246" s="12" t="s">
        <v>3369</v>
      </c>
      <c r="AB246" s="12" t="s">
        <v>3369</v>
      </c>
      <c r="AE246" s="32">
        <v>0.38541666666424135</v>
      </c>
      <c r="AF246" s="35"/>
    </row>
    <row r="247" spans="1:32" ht="12.75">
      <c r="A247" s="29">
        <v>43507.624370902777</v>
      </c>
      <c r="B247" s="12" t="s">
        <v>3894</v>
      </c>
      <c r="C247" s="12" t="s">
        <v>259</v>
      </c>
      <c r="D247" s="12" t="s">
        <v>3589</v>
      </c>
      <c r="E247" s="12" t="s">
        <v>3524</v>
      </c>
      <c r="F247" s="30">
        <v>43507</v>
      </c>
      <c r="G247" s="12" t="s">
        <v>3436</v>
      </c>
      <c r="H247" s="32">
        <v>0.6875</v>
      </c>
      <c r="I247" s="29">
        <v>43507.729166666672</v>
      </c>
      <c r="J247" s="12" t="s">
        <v>3377</v>
      </c>
      <c r="L247" s="12" t="s">
        <v>3393</v>
      </c>
      <c r="M247" s="12" t="s">
        <v>3379</v>
      </c>
      <c r="N247" s="12" t="s">
        <v>3343</v>
      </c>
      <c r="O247" s="12" t="s">
        <v>3381</v>
      </c>
      <c r="P247" s="12" t="s">
        <v>3369</v>
      </c>
      <c r="Q247" s="12" t="s">
        <v>3369</v>
      </c>
      <c r="R247" s="12" t="s">
        <v>3369</v>
      </c>
      <c r="S247" s="12" t="s">
        <v>3369</v>
      </c>
      <c r="T247" s="12" t="s">
        <v>3369</v>
      </c>
      <c r="U247" s="12" t="s">
        <v>3369</v>
      </c>
      <c r="V247" s="12" t="s">
        <v>3369</v>
      </c>
      <c r="W247" s="12" t="s">
        <v>3369</v>
      </c>
      <c r="X247" s="12" t="s">
        <v>3369</v>
      </c>
      <c r="Y247" s="12" t="s">
        <v>3369</v>
      </c>
      <c r="Z247" s="12" t="s">
        <v>3369</v>
      </c>
      <c r="AA247" s="12" t="s">
        <v>3369</v>
      </c>
      <c r="AB247" s="12" t="s">
        <v>3369</v>
      </c>
      <c r="AE247" s="32">
        <v>0.625</v>
      </c>
      <c r="AF247" s="35"/>
    </row>
    <row r="248" spans="1:32" ht="12.75">
      <c r="A248" s="29">
        <v>43508.30534337963</v>
      </c>
      <c r="B248" s="12" t="s">
        <v>3386</v>
      </c>
      <c r="C248" s="12" t="s">
        <v>3481</v>
      </c>
      <c r="D248" s="12" t="s">
        <v>3295</v>
      </c>
      <c r="E248" s="12" t="s">
        <v>3753</v>
      </c>
      <c r="F248" s="30">
        <v>43508</v>
      </c>
      <c r="G248" s="12" t="s">
        <v>3895</v>
      </c>
      <c r="H248" s="32">
        <v>0.5</v>
      </c>
      <c r="I248" s="29">
        <v>43508.541666666672</v>
      </c>
      <c r="J248" s="12" t="s">
        <v>3298</v>
      </c>
      <c r="L248" s="12" t="s">
        <v>3461</v>
      </c>
      <c r="M248" s="12" t="s">
        <v>3742</v>
      </c>
      <c r="O248" s="12" t="s">
        <v>3744</v>
      </c>
      <c r="P248" s="12" t="s">
        <v>3369</v>
      </c>
      <c r="Q248" s="12" t="s">
        <v>3369</v>
      </c>
      <c r="R248" s="12" t="s">
        <v>3369</v>
      </c>
      <c r="S248" s="12" t="s">
        <v>3369</v>
      </c>
      <c r="T248" s="12" t="s">
        <v>3369</v>
      </c>
      <c r="U248" s="12" t="s">
        <v>3369</v>
      </c>
      <c r="V248" s="12" t="s">
        <v>3369</v>
      </c>
      <c r="W248" s="12" t="s">
        <v>3369</v>
      </c>
      <c r="X248" s="12" t="s">
        <v>3369</v>
      </c>
      <c r="Y248" s="12" t="s">
        <v>3369</v>
      </c>
      <c r="Z248" s="12" t="s">
        <v>3369</v>
      </c>
      <c r="AA248" s="12" t="s">
        <v>3369</v>
      </c>
      <c r="AB248" s="12" t="s">
        <v>3369</v>
      </c>
      <c r="AE248" s="32">
        <v>0.32291666666424135</v>
      </c>
      <c r="AF248" s="35"/>
    </row>
    <row r="249" spans="1:32" ht="12.75">
      <c r="A249" s="29">
        <v>43509.367112430555</v>
      </c>
      <c r="B249" s="12" t="s">
        <v>3390</v>
      </c>
      <c r="C249" s="12" t="s">
        <v>3391</v>
      </c>
      <c r="D249" s="12" t="s">
        <v>3589</v>
      </c>
      <c r="E249" s="12" t="s">
        <v>3896</v>
      </c>
      <c r="F249" s="30">
        <v>43509</v>
      </c>
      <c r="G249" s="12" t="s">
        <v>3897</v>
      </c>
      <c r="H249" s="32">
        <v>0.625</v>
      </c>
      <c r="I249" s="29">
        <v>43509.65625</v>
      </c>
      <c r="J249" s="12" t="s">
        <v>3366</v>
      </c>
      <c r="L249" s="12" t="s">
        <v>3461</v>
      </c>
      <c r="M249" s="12" t="s">
        <v>3742</v>
      </c>
      <c r="O249" s="12" t="s">
        <v>3767</v>
      </c>
      <c r="P249" s="12" t="s">
        <v>3369</v>
      </c>
      <c r="Q249" s="12" t="s">
        <v>3369</v>
      </c>
      <c r="R249" s="12" t="s">
        <v>3369</v>
      </c>
      <c r="S249" s="12" t="s">
        <v>3369</v>
      </c>
      <c r="T249" s="12" t="s">
        <v>3369</v>
      </c>
      <c r="U249" s="12" t="s">
        <v>3369</v>
      </c>
      <c r="V249" s="12" t="s">
        <v>3369</v>
      </c>
      <c r="W249" s="12" t="s">
        <v>3369</v>
      </c>
      <c r="X249" s="12" t="s">
        <v>3369</v>
      </c>
      <c r="Y249" s="12" t="s">
        <v>3369</v>
      </c>
      <c r="Z249" s="12" t="s">
        <v>3369</v>
      </c>
      <c r="AA249" s="12" t="s">
        <v>3369</v>
      </c>
      <c r="AB249" s="12" t="s">
        <v>3369</v>
      </c>
      <c r="AE249" s="32">
        <v>0.40625</v>
      </c>
      <c r="AF249" s="35"/>
    </row>
    <row r="250" spans="1:32" ht="12.75">
      <c r="A250" s="29">
        <v>43510.369321874998</v>
      </c>
      <c r="B250" s="12" t="s">
        <v>3390</v>
      </c>
      <c r="C250" s="12" t="s">
        <v>3391</v>
      </c>
      <c r="D250" s="12" t="s">
        <v>3589</v>
      </c>
      <c r="E250" s="12" t="s">
        <v>3509</v>
      </c>
      <c r="F250" s="30">
        <v>43510</v>
      </c>
      <c r="G250" s="12" t="s">
        <v>3898</v>
      </c>
      <c r="H250" s="32">
        <v>0.625</v>
      </c>
      <c r="I250" s="29">
        <v>43510.635416666672</v>
      </c>
      <c r="J250" s="12" t="s">
        <v>3366</v>
      </c>
      <c r="L250" s="12" t="s">
        <v>3393</v>
      </c>
      <c r="M250" s="12" t="s">
        <v>3742</v>
      </c>
      <c r="O250" s="12" t="s">
        <v>3429</v>
      </c>
      <c r="P250" s="12" t="s">
        <v>3369</v>
      </c>
      <c r="Q250" s="12" t="s">
        <v>3369</v>
      </c>
      <c r="R250" s="12" t="s">
        <v>3369</v>
      </c>
      <c r="S250" s="12" t="s">
        <v>3369</v>
      </c>
      <c r="T250" s="12" t="s">
        <v>3369</v>
      </c>
      <c r="U250" s="12" t="s">
        <v>3369</v>
      </c>
      <c r="V250" s="12" t="s">
        <v>3369</v>
      </c>
      <c r="W250" s="12" t="s">
        <v>3369</v>
      </c>
      <c r="X250" s="12" t="s">
        <v>3369</v>
      </c>
      <c r="Y250" s="12" t="s">
        <v>3369</v>
      </c>
      <c r="Z250" s="12" t="s">
        <v>3369</v>
      </c>
      <c r="AA250" s="12" t="s">
        <v>3369</v>
      </c>
      <c r="AB250" s="12" t="s">
        <v>3369</v>
      </c>
      <c r="AE250" s="32">
        <v>0.38541666666424135</v>
      </c>
      <c r="AF250" s="35"/>
    </row>
    <row r="251" spans="1:32" ht="12.75">
      <c r="A251" s="29">
        <v>43511.430281018518</v>
      </c>
      <c r="B251" s="12" t="s">
        <v>3390</v>
      </c>
      <c r="C251" s="12" t="s">
        <v>3391</v>
      </c>
      <c r="D251" s="12" t="s">
        <v>3631</v>
      </c>
      <c r="E251" s="12" t="s">
        <v>3296</v>
      </c>
      <c r="F251" s="30">
        <v>43511</v>
      </c>
      <c r="G251" s="12" t="s">
        <v>3899</v>
      </c>
      <c r="H251" s="32">
        <v>0.64583333333575865</v>
      </c>
      <c r="I251" s="29">
        <v>43511.65625</v>
      </c>
      <c r="J251" s="12" t="s">
        <v>3377</v>
      </c>
      <c r="L251" s="12" t="s">
        <v>3461</v>
      </c>
      <c r="M251" s="12" t="s">
        <v>3742</v>
      </c>
      <c r="N251" s="12" t="s">
        <v>3760</v>
      </c>
      <c r="O251" s="12" t="s">
        <v>3767</v>
      </c>
      <c r="P251" s="12" t="s">
        <v>3369</v>
      </c>
      <c r="Q251" s="12" t="s">
        <v>3369</v>
      </c>
      <c r="R251" s="12" t="s">
        <v>3369</v>
      </c>
      <c r="S251" s="12" t="s">
        <v>3369</v>
      </c>
      <c r="T251" s="12" t="s">
        <v>3369</v>
      </c>
      <c r="U251" s="12" t="s">
        <v>3369</v>
      </c>
      <c r="V251" s="12" t="s">
        <v>3369</v>
      </c>
      <c r="W251" s="12" t="s">
        <v>3369</v>
      </c>
      <c r="X251" s="12" t="s">
        <v>3369</v>
      </c>
      <c r="Y251" s="12" t="s">
        <v>3369</v>
      </c>
      <c r="Z251" s="12" t="s">
        <v>3369</v>
      </c>
      <c r="AA251" s="12" t="s">
        <v>3369</v>
      </c>
      <c r="AB251" s="12" t="s">
        <v>3369</v>
      </c>
      <c r="AE251" s="32">
        <v>0.44791666666424135</v>
      </c>
      <c r="AF251" s="35"/>
    </row>
    <row r="252" spans="1:32" ht="12.75">
      <c r="A252" s="29">
        <v>43514.428104305553</v>
      </c>
      <c r="B252" s="12" t="s">
        <v>3372</v>
      </c>
      <c r="C252" s="12" t="s">
        <v>3383</v>
      </c>
      <c r="D252" s="12" t="s">
        <v>3589</v>
      </c>
      <c r="E252" s="12" t="s">
        <v>3296</v>
      </c>
      <c r="F252" s="30">
        <v>43514</v>
      </c>
      <c r="G252" s="12" t="s">
        <v>3900</v>
      </c>
      <c r="H252" s="32">
        <v>0.70833333333575865</v>
      </c>
      <c r="I252" s="29">
        <v>43514.729166666672</v>
      </c>
      <c r="J252" s="12" t="s">
        <v>3377</v>
      </c>
      <c r="L252" s="12" t="s">
        <v>3461</v>
      </c>
      <c r="M252" s="12" t="s">
        <v>3379</v>
      </c>
      <c r="N252" s="12" t="s">
        <v>3901</v>
      </c>
      <c r="O252" s="12" t="s">
        <v>3381</v>
      </c>
      <c r="P252" s="12" t="s">
        <v>3369</v>
      </c>
      <c r="Q252" s="12" t="s">
        <v>3369</v>
      </c>
      <c r="R252" s="12" t="s">
        <v>3369</v>
      </c>
      <c r="S252" s="12" t="s">
        <v>3369</v>
      </c>
      <c r="T252" s="12" t="s">
        <v>3369</v>
      </c>
      <c r="U252" s="12" t="s">
        <v>3369</v>
      </c>
      <c r="V252" s="12" t="s">
        <v>3369</v>
      </c>
      <c r="W252" s="12" t="s">
        <v>3369</v>
      </c>
      <c r="X252" s="12" t="s">
        <v>3369</v>
      </c>
      <c r="Y252" s="12" t="s">
        <v>3369</v>
      </c>
      <c r="Z252" s="12" t="s">
        <v>3369</v>
      </c>
      <c r="AA252" s="12" t="s">
        <v>3369</v>
      </c>
      <c r="AB252" s="12" t="s">
        <v>3369</v>
      </c>
      <c r="AE252" s="32">
        <v>0.4375</v>
      </c>
      <c r="AF252" s="35"/>
    </row>
    <row r="253" spans="1:32" ht="12.75">
      <c r="A253" s="29">
        <v>43516.401357349532</v>
      </c>
      <c r="B253" s="12" t="s">
        <v>3390</v>
      </c>
      <c r="C253" s="12" t="s">
        <v>3391</v>
      </c>
      <c r="D253" s="12" t="s">
        <v>3589</v>
      </c>
      <c r="E253" s="12" t="s">
        <v>3834</v>
      </c>
      <c r="F253" s="30">
        <v>43516</v>
      </c>
      <c r="G253" s="12" t="s">
        <v>3465</v>
      </c>
      <c r="H253" s="32">
        <v>0.625</v>
      </c>
      <c r="I253" s="29">
        <v>43516.635416666672</v>
      </c>
      <c r="J253" s="12" t="s">
        <v>3377</v>
      </c>
      <c r="L253" s="12" t="s">
        <v>3393</v>
      </c>
      <c r="M253" s="12" t="s">
        <v>3591</v>
      </c>
      <c r="O253" s="12" t="s">
        <v>3804</v>
      </c>
      <c r="P253" s="12" t="s">
        <v>3369</v>
      </c>
      <c r="Q253" s="12" t="s">
        <v>3369</v>
      </c>
      <c r="R253" s="12" t="s">
        <v>3369</v>
      </c>
      <c r="S253" s="12" t="s">
        <v>3369</v>
      </c>
      <c r="T253" s="12" t="s">
        <v>3369</v>
      </c>
      <c r="U253" s="12" t="s">
        <v>3369</v>
      </c>
      <c r="V253" s="12" t="s">
        <v>3369</v>
      </c>
      <c r="W253" s="12" t="s">
        <v>3369</v>
      </c>
      <c r="X253" s="12" t="s">
        <v>3369</v>
      </c>
      <c r="Y253" s="12" t="s">
        <v>3369</v>
      </c>
      <c r="Z253" s="12" t="s">
        <v>3369</v>
      </c>
      <c r="AA253" s="12" t="s">
        <v>3369</v>
      </c>
      <c r="AB253" s="12" t="s">
        <v>3369</v>
      </c>
      <c r="AE253" s="32">
        <v>0.44791666666424135</v>
      </c>
      <c r="AF253" s="35"/>
    </row>
    <row r="254" spans="1:32" ht="12.75">
      <c r="A254" s="29">
        <v>43516.536198622685</v>
      </c>
      <c r="B254" s="12" t="s">
        <v>3372</v>
      </c>
      <c r="C254" s="12" t="s">
        <v>3902</v>
      </c>
      <c r="D254" s="12" t="s">
        <v>3589</v>
      </c>
      <c r="E254" s="12" t="s">
        <v>3903</v>
      </c>
      <c r="F254" s="30">
        <v>43516</v>
      </c>
      <c r="G254" s="12" t="s">
        <v>3904</v>
      </c>
      <c r="H254" s="32">
        <v>0.66666666666424135</v>
      </c>
      <c r="I254" s="29">
        <v>43516.6875</v>
      </c>
      <c r="J254" s="12" t="s">
        <v>3366</v>
      </c>
      <c r="L254" s="12" t="s">
        <v>3461</v>
      </c>
      <c r="M254" s="12" t="s">
        <v>3489</v>
      </c>
      <c r="N254" s="12" t="s">
        <v>3905</v>
      </c>
      <c r="O254" s="12" t="s">
        <v>3499</v>
      </c>
      <c r="P254" s="12" t="s">
        <v>3369</v>
      </c>
      <c r="Q254" s="12" t="s">
        <v>3369</v>
      </c>
      <c r="R254" s="12" t="s">
        <v>3369</v>
      </c>
      <c r="S254" s="12" t="s">
        <v>3369</v>
      </c>
      <c r="T254" s="12" t="s">
        <v>3369</v>
      </c>
      <c r="U254" s="12" t="s">
        <v>3369</v>
      </c>
      <c r="V254" s="12" t="s">
        <v>3369</v>
      </c>
      <c r="W254" s="12" t="s">
        <v>3369</v>
      </c>
      <c r="X254" s="12" t="s">
        <v>3369</v>
      </c>
      <c r="Y254" s="12" t="s">
        <v>3369</v>
      </c>
      <c r="Z254" s="12" t="s">
        <v>3369</v>
      </c>
      <c r="AA254" s="12" t="s">
        <v>3369</v>
      </c>
      <c r="AB254" s="12" t="s">
        <v>3369</v>
      </c>
      <c r="AE254" s="32">
        <v>0.52083333333575865</v>
      </c>
      <c r="AF254" s="35"/>
    </row>
    <row r="255" spans="1:32" ht="12.75">
      <c r="A255" s="29">
        <v>43516.577832627314</v>
      </c>
      <c r="B255" s="12" t="s">
        <v>3830</v>
      </c>
      <c r="C255" s="12" t="s">
        <v>3400</v>
      </c>
      <c r="D255" s="12" t="s">
        <v>3401</v>
      </c>
      <c r="E255" s="12" t="s">
        <v>3482</v>
      </c>
      <c r="F255" s="30">
        <v>43517</v>
      </c>
      <c r="G255" s="12" t="s">
        <v>3906</v>
      </c>
      <c r="H255" s="32">
        <v>0.54166666666424135</v>
      </c>
      <c r="J255" s="12" t="s">
        <v>3377</v>
      </c>
      <c r="L255" s="12" t="s">
        <v>3393</v>
      </c>
      <c r="M255" s="12" t="s">
        <v>3458</v>
      </c>
      <c r="N255" s="12" t="s">
        <v>3907</v>
      </c>
      <c r="O255" s="12" t="s">
        <v>3408</v>
      </c>
      <c r="P255" s="12" t="s">
        <v>3369</v>
      </c>
      <c r="Q255" s="12" t="s">
        <v>3369</v>
      </c>
      <c r="R255" s="12" t="s">
        <v>3369</v>
      </c>
      <c r="S255" s="12" t="s">
        <v>3369</v>
      </c>
      <c r="T255" s="12" t="s">
        <v>3369</v>
      </c>
      <c r="U255" s="12" t="s">
        <v>3369</v>
      </c>
      <c r="V255" s="12" t="s">
        <v>3369</v>
      </c>
      <c r="W255" s="12" t="s">
        <v>3369</v>
      </c>
      <c r="X255" s="12" t="s">
        <v>3369</v>
      </c>
      <c r="Y255" s="12" t="s">
        <v>3369</v>
      </c>
      <c r="Z255" s="12" t="s">
        <v>3369</v>
      </c>
      <c r="AA255" s="12" t="s">
        <v>3369</v>
      </c>
      <c r="AB255" s="12" t="s">
        <v>3369</v>
      </c>
      <c r="AE255" s="32">
        <v>0.35416666666424135</v>
      </c>
      <c r="AF255" s="35"/>
    </row>
    <row r="256" spans="1:32" ht="12.75">
      <c r="A256" s="29">
        <v>43518.520709108794</v>
      </c>
      <c r="B256" s="12" t="s">
        <v>3372</v>
      </c>
      <c r="C256" s="12" t="s">
        <v>259</v>
      </c>
      <c r="D256" s="12" t="s">
        <v>3589</v>
      </c>
      <c r="E256" s="12" t="s">
        <v>3908</v>
      </c>
      <c r="F256" s="30">
        <v>43518</v>
      </c>
      <c r="G256" s="12" t="s">
        <v>3909</v>
      </c>
      <c r="H256" s="32">
        <v>0.66666666666424135</v>
      </c>
      <c r="I256" s="29">
        <v>43518.6875</v>
      </c>
      <c r="J256" s="12" t="s">
        <v>3366</v>
      </c>
      <c r="L256" s="12" t="s">
        <v>3461</v>
      </c>
      <c r="M256" s="12" t="s">
        <v>3379</v>
      </c>
      <c r="N256" s="12" t="s">
        <v>3910</v>
      </c>
      <c r="O256" s="12" t="s">
        <v>3381</v>
      </c>
      <c r="P256" s="12" t="s">
        <v>3369</v>
      </c>
      <c r="Q256" s="12" t="s">
        <v>3369</v>
      </c>
      <c r="R256" s="12" t="s">
        <v>3369</v>
      </c>
      <c r="S256" s="12" t="s">
        <v>3369</v>
      </c>
      <c r="T256" s="12" t="s">
        <v>3369</v>
      </c>
      <c r="U256" s="12" t="s">
        <v>3369</v>
      </c>
      <c r="V256" s="12" t="s">
        <v>3369</v>
      </c>
      <c r="W256" s="12" t="s">
        <v>3369</v>
      </c>
      <c r="X256" s="12" t="s">
        <v>3369</v>
      </c>
      <c r="Y256" s="12" t="s">
        <v>3369</v>
      </c>
      <c r="Z256" s="12" t="s">
        <v>3369</v>
      </c>
      <c r="AA256" s="12" t="s">
        <v>3369</v>
      </c>
      <c r="AB256" s="12" t="s">
        <v>3369</v>
      </c>
      <c r="AE256" s="32">
        <v>0.54166666666424135</v>
      </c>
      <c r="AF256" s="35"/>
    </row>
    <row r="257" spans="1:32" ht="12.75">
      <c r="A257" s="29">
        <v>43523.300971724537</v>
      </c>
      <c r="B257" s="12" t="s">
        <v>3372</v>
      </c>
      <c r="C257" s="12" t="s">
        <v>3383</v>
      </c>
      <c r="D257" s="12" t="s">
        <v>3589</v>
      </c>
      <c r="E257" s="12" t="s">
        <v>3911</v>
      </c>
      <c r="F257" s="30">
        <v>43523</v>
      </c>
      <c r="G257" s="12" t="s">
        <v>3912</v>
      </c>
      <c r="H257" s="32">
        <v>0.47916666666424135</v>
      </c>
      <c r="I257" s="29">
        <v>43523.5</v>
      </c>
      <c r="J257" s="12" t="s">
        <v>3331</v>
      </c>
      <c r="L257" s="12" t="s">
        <v>3299</v>
      </c>
      <c r="M257" s="12" t="s">
        <v>3379</v>
      </c>
      <c r="N257" s="12" t="s">
        <v>3913</v>
      </c>
      <c r="O257" s="12" t="s">
        <v>3381</v>
      </c>
      <c r="P257" s="12" t="s">
        <v>3369</v>
      </c>
      <c r="Q257" s="12" t="s">
        <v>3369</v>
      </c>
      <c r="R257" s="12" t="s">
        <v>3369</v>
      </c>
      <c r="S257" s="12" t="s">
        <v>3369</v>
      </c>
      <c r="T257" s="12" t="s">
        <v>3369</v>
      </c>
      <c r="U257" s="12" t="s">
        <v>3369</v>
      </c>
      <c r="V257" s="12" t="s">
        <v>3369</v>
      </c>
      <c r="W257" s="12" t="s">
        <v>3369</v>
      </c>
      <c r="X257" s="12" t="s">
        <v>3369</v>
      </c>
      <c r="Y257" s="12" t="s">
        <v>3369</v>
      </c>
      <c r="Z257" s="12" t="s">
        <v>3369</v>
      </c>
      <c r="AA257" s="12" t="s">
        <v>3369</v>
      </c>
      <c r="AB257" s="12" t="s">
        <v>3369</v>
      </c>
      <c r="AE257" s="32">
        <v>0.35416666666424135</v>
      </c>
      <c r="AF257" s="35"/>
    </row>
    <row r="258" spans="1:32" ht="12.75">
      <c r="A258" s="29">
        <v>43523.665582118054</v>
      </c>
      <c r="B258" s="12" t="s">
        <v>3399</v>
      </c>
      <c r="C258" s="12" t="s">
        <v>3400</v>
      </c>
      <c r="D258" s="12" t="s">
        <v>3401</v>
      </c>
      <c r="E258" s="12" t="s">
        <v>3482</v>
      </c>
      <c r="F258" s="30">
        <v>43524</v>
      </c>
      <c r="G258" s="12" t="s">
        <v>3914</v>
      </c>
      <c r="H258" s="32">
        <v>0.5625</v>
      </c>
      <c r="J258" s="12" t="s">
        <v>3377</v>
      </c>
      <c r="L258" s="12" t="s">
        <v>3393</v>
      </c>
      <c r="M258" s="12" t="s">
        <v>3458</v>
      </c>
      <c r="N258" s="12" t="s">
        <v>3915</v>
      </c>
      <c r="O258" s="12" t="s">
        <v>3408</v>
      </c>
      <c r="P258" s="12" t="s">
        <v>3369</v>
      </c>
      <c r="Q258" s="12" t="s">
        <v>3369</v>
      </c>
      <c r="R258" s="12" t="s">
        <v>3369</v>
      </c>
      <c r="S258" s="12" t="s">
        <v>3369</v>
      </c>
      <c r="T258" s="12" t="s">
        <v>3369</v>
      </c>
      <c r="U258" s="12" t="s">
        <v>3369</v>
      </c>
      <c r="V258" s="12" t="s">
        <v>3369</v>
      </c>
      <c r="W258" s="12" t="s">
        <v>3369</v>
      </c>
      <c r="X258" s="12" t="s">
        <v>3369</v>
      </c>
      <c r="Y258" s="12" t="s">
        <v>3369</v>
      </c>
      <c r="Z258" s="12" t="s">
        <v>3369</v>
      </c>
      <c r="AA258" s="12" t="s">
        <v>3369</v>
      </c>
      <c r="AB258" s="12" t="s">
        <v>3369</v>
      </c>
      <c r="AE258" s="32">
        <v>0.35416666666424135</v>
      </c>
      <c r="AF258" s="35"/>
    </row>
    <row r="259" spans="1:32" ht="12.75">
      <c r="A259" s="29">
        <v>43524.361130231482</v>
      </c>
      <c r="B259" s="12" t="s">
        <v>3372</v>
      </c>
      <c r="C259" s="12" t="s">
        <v>259</v>
      </c>
      <c r="D259" s="12" t="s">
        <v>3589</v>
      </c>
      <c r="E259" s="12" t="s">
        <v>3916</v>
      </c>
      <c r="F259" s="30">
        <v>43524</v>
      </c>
      <c r="G259" s="12" t="s">
        <v>3917</v>
      </c>
      <c r="H259" s="32">
        <v>0.5625</v>
      </c>
      <c r="I259" s="29">
        <v>43524.604166666672</v>
      </c>
      <c r="J259" s="12" t="s">
        <v>3331</v>
      </c>
      <c r="L259" s="12" t="s">
        <v>3299</v>
      </c>
      <c r="M259" s="12" t="s">
        <v>3379</v>
      </c>
      <c r="N259" s="12" t="s">
        <v>3918</v>
      </c>
      <c r="O259" s="12" t="s">
        <v>3381</v>
      </c>
      <c r="P259" s="12" t="s">
        <v>3369</v>
      </c>
      <c r="Q259" s="12" t="s">
        <v>3369</v>
      </c>
      <c r="R259" s="12" t="s">
        <v>3369</v>
      </c>
      <c r="S259" s="12" t="s">
        <v>3369</v>
      </c>
      <c r="T259" s="12" t="s">
        <v>3369</v>
      </c>
      <c r="U259" s="12" t="s">
        <v>3369</v>
      </c>
      <c r="V259" s="12" t="s">
        <v>3369</v>
      </c>
      <c r="W259" s="12" t="s">
        <v>3369</v>
      </c>
      <c r="X259" s="12" t="s">
        <v>3369</v>
      </c>
      <c r="Y259" s="12" t="s">
        <v>3369</v>
      </c>
      <c r="Z259" s="12" t="s">
        <v>3369</v>
      </c>
      <c r="AA259" s="12" t="s">
        <v>3369</v>
      </c>
      <c r="AB259" s="12" t="s">
        <v>3369</v>
      </c>
      <c r="AE259" s="32">
        <v>0.375</v>
      </c>
      <c r="AF259" s="35"/>
    </row>
    <row r="260" spans="1:32" ht="12.75">
      <c r="A260" s="29">
        <v>43525.352190115736</v>
      </c>
      <c r="B260" s="12" t="s">
        <v>3372</v>
      </c>
      <c r="C260" s="12" t="s">
        <v>259</v>
      </c>
      <c r="D260" s="12" t="s">
        <v>3589</v>
      </c>
      <c r="E260" s="12" t="s">
        <v>3296</v>
      </c>
      <c r="F260" s="30">
        <v>43525</v>
      </c>
      <c r="G260" s="12" t="s">
        <v>3919</v>
      </c>
      <c r="H260" s="32">
        <v>0.66666666666424135</v>
      </c>
      <c r="I260" s="29">
        <v>43525.6875</v>
      </c>
      <c r="J260" s="12" t="s">
        <v>3331</v>
      </c>
      <c r="L260" s="12" t="s">
        <v>3299</v>
      </c>
      <c r="M260" s="12" t="s">
        <v>3379</v>
      </c>
      <c r="N260" s="12" t="s">
        <v>3840</v>
      </c>
      <c r="O260" s="12" t="s">
        <v>3381</v>
      </c>
      <c r="P260" s="12" t="s">
        <v>3369</v>
      </c>
      <c r="Q260" s="12" t="s">
        <v>3369</v>
      </c>
      <c r="R260" s="12" t="s">
        <v>3369</v>
      </c>
      <c r="S260" s="12" t="s">
        <v>3369</v>
      </c>
      <c r="T260" s="12" t="s">
        <v>3369</v>
      </c>
      <c r="U260" s="12" t="s">
        <v>3369</v>
      </c>
      <c r="V260" s="12" t="s">
        <v>3369</v>
      </c>
      <c r="W260" s="12" t="s">
        <v>3369</v>
      </c>
      <c r="X260" s="12" t="s">
        <v>3369</v>
      </c>
      <c r="Y260" s="12" t="s">
        <v>3369</v>
      </c>
      <c r="Z260" s="12" t="s">
        <v>3369</v>
      </c>
      <c r="AA260" s="12" t="s">
        <v>3369</v>
      </c>
      <c r="AB260" s="12" t="s">
        <v>3369</v>
      </c>
      <c r="AE260" s="32">
        <v>0.39583333333575865</v>
      </c>
      <c r="AF260" s="35"/>
    </row>
    <row r="261" spans="1:32" ht="12.75">
      <c r="A261" s="29">
        <v>43525.601432083335</v>
      </c>
      <c r="B261" s="12" t="s">
        <v>3417</v>
      </c>
      <c r="C261" s="12" t="s">
        <v>259</v>
      </c>
      <c r="D261" s="12" t="s">
        <v>3589</v>
      </c>
      <c r="E261" s="12" t="s">
        <v>3920</v>
      </c>
      <c r="F261" s="30">
        <v>43525</v>
      </c>
      <c r="G261" s="12" t="s">
        <v>3921</v>
      </c>
      <c r="H261" s="32">
        <v>0.70833333333575865</v>
      </c>
      <c r="I261" s="29">
        <v>43525.729166666672</v>
      </c>
      <c r="J261" s="12" t="s">
        <v>3331</v>
      </c>
      <c r="L261" s="12" t="s">
        <v>3299</v>
      </c>
      <c r="M261" s="12" t="s">
        <v>3379</v>
      </c>
      <c r="N261" s="12" t="s">
        <v>3922</v>
      </c>
      <c r="O261" s="12" t="s">
        <v>3381</v>
      </c>
      <c r="P261" s="12" t="s">
        <v>3369</v>
      </c>
      <c r="Q261" s="12" t="s">
        <v>3369</v>
      </c>
      <c r="R261" s="12" t="s">
        <v>3369</v>
      </c>
      <c r="S261" s="12" t="s">
        <v>3369</v>
      </c>
      <c r="T261" s="12" t="s">
        <v>3369</v>
      </c>
      <c r="U261" s="12" t="s">
        <v>3369</v>
      </c>
      <c r="V261" s="12" t="s">
        <v>3369</v>
      </c>
      <c r="W261" s="12" t="s">
        <v>3369</v>
      </c>
      <c r="X261" s="12" t="s">
        <v>3369</v>
      </c>
      <c r="Y261" s="12" t="s">
        <v>3369</v>
      </c>
      <c r="Z261" s="12" t="s">
        <v>3369</v>
      </c>
      <c r="AA261" s="12" t="s">
        <v>3369</v>
      </c>
      <c r="AB261" s="12" t="s">
        <v>3369</v>
      </c>
      <c r="AE261" s="32">
        <v>0.64583333333575865</v>
      </c>
      <c r="AF261" s="35"/>
    </row>
    <row r="262" spans="1:32" ht="12.75">
      <c r="A262" s="29">
        <v>43528.323434108795</v>
      </c>
      <c r="B262" s="12" t="s">
        <v>3408</v>
      </c>
      <c r="C262" s="12" t="s">
        <v>3456</v>
      </c>
      <c r="D262" s="12" t="s">
        <v>3401</v>
      </c>
      <c r="E262" s="12" t="s">
        <v>3356</v>
      </c>
      <c r="F262" s="30">
        <v>43528</v>
      </c>
      <c r="G262" s="12" t="s">
        <v>3657</v>
      </c>
      <c r="H262" s="32">
        <v>0.40625</v>
      </c>
      <c r="J262" s="12" t="s">
        <v>3403</v>
      </c>
      <c r="L262" s="12" t="s">
        <v>3299</v>
      </c>
      <c r="M262" s="12" t="s">
        <v>3458</v>
      </c>
      <c r="N262" s="12" t="s">
        <v>3680</v>
      </c>
      <c r="O262" s="12" t="s">
        <v>3408</v>
      </c>
      <c r="P262" s="12" t="s">
        <v>3369</v>
      </c>
      <c r="Q262" s="12" t="s">
        <v>3369</v>
      </c>
      <c r="R262" s="12" t="s">
        <v>3369</v>
      </c>
      <c r="S262" s="12" t="s">
        <v>3369</v>
      </c>
      <c r="T262" s="12" t="s">
        <v>3369</v>
      </c>
      <c r="U262" s="12" t="s">
        <v>3369</v>
      </c>
      <c r="V262" s="12" t="s">
        <v>3369</v>
      </c>
      <c r="W262" s="12" t="s">
        <v>3369</v>
      </c>
      <c r="X262" s="12" t="s">
        <v>3369</v>
      </c>
      <c r="Y262" s="12" t="s">
        <v>3369</v>
      </c>
      <c r="Z262" s="12" t="s">
        <v>3369</v>
      </c>
      <c r="AA262" s="12" t="s">
        <v>3369</v>
      </c>
      <c r="AB262" s="12" t="s">
        <v>3369</v>
      </c>
      <c r="AE262" s="32">
        <v>0.34375</v>
      </c>
      <c r="AF262" s="35"/>
    </row>
    <row r="263" spans="1:32" ht="12.75">
      <c r="A263" s="29">
        <v>43528.659959641205</v>
      </c>
      <c r="B263" s="12" t="s">
        <v>3390</v>
      </c>
      <c r="C263" s="12" t="s">
        <v>3391</v>
      </c>
      <c r="D263" s="12" t="s">
        <v>3589</v>
      </c>
      <c r="E263" s="12" t="s">
        <v>3834</v>
      </c>
      <c r="F263" s="30">
        <v>43528</v>
      </c>
      <c r="G263" s="12" t="s">
        <v>3520</v>
      </c>
      <c r="H263" s="32">
        <v>0.57291666666424135</v>
      </c>
      <c r="I263" s="29">
        <v>43528.583333333328</v>
      </c>
      <c r="J263" s="12" t="s">
        <v>3377</v>
      </c>
      <c r="L263" s="12" t="s">
        <v>3393</v>
      </c>
      <c r="M263" s="12" t="s">
        <v>3466</v>
      </c>
      <c r="N263" s="12" t="s">
        <v>3923</v>
      </c>
      <c r="O263" s="12" t="s">
        <v>3767</v>
      </c>
      <c r="P263" s="12" t="s">
        <v>3369</v>
      </c>
      <c r="Q263" s="12" t="s">
        <v>3369</v>
      </c>
      <c r="R263" s="12" t="s">
        <v>3369</v>
      </c>
      <c r="S263" s="12" t="s">
        <v>3369</v>
      </c>
      <c r="T263" s="12" t="s">
        <v>3369</v>
      </c>
      <c r="U263" s="12" t="s">
        <v>3369</v>
      </c>
      <c r="V263" s="12" t="s">
        <v>3369</v>
      </c>
      <c r="W263" s="12" t="s">
        <v>3369</v>
      </c>
      <c r="X263" s="12" t="s">
        <v>3369</v>
      </c>
      <c r="Y263" s="12" t="s">
        <v>3369</v>
      </c>
      <c r="Z263" s="12" t="s">
        <v>3369</v>
      </c>
      <c r="AA263" s="12" t="s">
        <v>3369</v>
      </c>
      <c r="AB263" s="12" t="s">
        <v>3369</v>
      </c>
      <c r="AE263" s="32">
        <v>0.32291666666424135</v>
      </c>
      <c r="AF263" s="35"/>
    </row>
    <row r="264" spans="1:32" ht="12.75">
      <c r="A264" s="29">
        <v>43535.441569884264</v>
      </c>
      <c r="B264" s="12" t="s">
        <v>3399</v>
      </c>
      <c r="C264" s="12" t="s">
        <v>3400</v>
      </c>
      <c r="D264" s="12" t="s">
        <v>3401</v>
      </c>
      <c r="E264" s="12" t="s">
        <v>3482</v>
      </c>
      <c r="F264" s="30">
        <v>43536</v>
      </c>
      <c r="G264" s="12" t="s">
        <v>3892</v>
      </c>
      <c r="H264" s="32">
        <v>0.6875</v>
      </c>
      <c r="J264" s="12" t="s">
        <v>3377</v>
      </c>
      <c r="L264" s="12" t="s">
        <v>3299</v>
      </c>
      <c r="M264" s="12" t="s">
        <v>3458</v>
      </c>
      <c r="N264" s="12" t="s">
        <v>3924</v>
      </c>
      <c r="O264" s="12" t="s">
        <v>3408</v>
      </c>
      <c r="P264" s="12" t="s">
        <v>3369</v>
      </c>
      <c r="Q264" s="12" t="s">
        <v>3369</v>
      </c>
      <c r="R264" s="12" t="s">
        <v>3369</v>
      </c>
      <c r="S264" s="12" t="s">
        <v>3369</v>
      </c>
      <c r="T264" s="12" t="s">
        <v>3369</v>
      </c>
      <c r="U264" s="12" t="s">
        <v>3369</v>
      </c>
      <c r="V264" s="12" t="s">
        <v>3369</v>
      </c>
      <c r="W264" s="12" t="s">
        <v>3369</v>
      </c>
      <c r="X264" s="12" t="s">
        <v>3369</v>
      </c>
      <c r="Y264" s="12" t="s">
        <v>3369</v>
      </c>
      <c r="Z264" s="12" t="s">
        <v>3369</v>
      </c>
      <c r="AA264" s="12" t="s">
        <v>3369</v>
      </c>
      <c r="AB264" s="12" t="s">
        <v>3369</v>
      </c>
      <c r="AE264" s="32">
        <v>0.38541666666424135</v>
      </c>
      <c r="AF264" s="35"/>
    </row>
    <row r="265" spans="1:32" ht="12.75">
      <c r="A265" s="29">
        <v>43536.71336869213</v>
      </c>
      <c r="B265" s="12" t="s">
        <v>3399</v>
      </c>
      <c r="C265" s="12" t="s">
        <v>3400</v>
      </c>
      <c r="D265" s="12" t="s">
        <v>3401</v>
      </c>
      <c r="E265" s="12" t="s">
        <v>3482</v>
      </c>
      <c r="F265" s="30">
        <v>43537</v>
      </c>
      <c r="G265" s="12" t="s">
        <v>3925</v>
      </c>
      <c r="H265" s="32">
        <v>0.6875</v>
      </c>
      <c r="J265" s="12" t="s">
        <v>3377</v>
      </c>
      <c r="L265" s="12" t="s">
        <v>3299</v>
      </c>
      <c r="M265" s="12" t="s">
        <v>3458</v>
      </c>
      <c r="N265" s="12" t="s">
        <v>3926</v>
      </c>
      <c r="O265" s="12" t="s">
        <v>3408</v>
      </c>
      <c r="P265" s="12" t="s">
        <v>3369</v>
      </c>
      <c r="Q265" s="12" t="s">
        <v>3369</v>
      </c>
      <c r="R265" s="12" t="s">
        <v>3369</v>
      </c>
      <c r="S265" s="12" t="s">
        <v>3369</v>
      </c>
      <c r="T265" s="12" t="s">
        <v>3369</v>
      </c>
      <c r="U265" s="12" t="s">
        <v>3369</v>
      </c>
      <c r="V265" s="12" t="s">
        <v>3369</v>
      </c>
      <c r="W265" s="12" t="s">
        <v>3369</v>
      </c>
      <c r="X265" s="12" t="s">
        <v>3369</v>
      </c>
      <c r="Y265" s="12" t="s">
        <v>3369</v>
      </c>
      <c r="Z265" s="12" t="s">
        <v>3369</v>
      </c>
      <c r="AA265" s="12" t="s">
        <v>3369</v>
      </c>
      <c r="AB265" s="12" t="s">
        <v>3369</v>
      </c>
      <c r="AE265" s="32">
        <v>0.38541666666424135</v>
      </c>
      <c r="AF265" s="35"/>
    </row>
    <row r="266" spans="1:32" ht="12.75">
      <c r="A266" s="29">
        <v>43537.742384652782</v>
      </c>
      <c r="B266" s="12" t="s">
        <v>3399</v>
      </c>
      <c r="C266" s="12" t="s">
        <v>3400</v>
      </c>
      <c r="D266" s="12" t="s">
        <v>3401</v>
      </c>
      <c r="E266" s="12" t="s">
        <v>3687</v>
      </c>
      <c r="F266" s="30">
        <v>43538</v>
      </c>
      <c r="G266" s="12" t="s">
        <v>3927</v>
      </c>
      <c r="H266" s="32">
        <v>0.5</v>
      </c>
      <c r="J266" s="12" t="s">
        <v>3377</v>
      </c>
      <c r="L266" s="12" t="s">
        <v>3299</v>
      </c>
      <c r="M266" s="12" t="s">
        <v>3458</v>
      </c>
      <c r="N266" s="12" t="s">
        <v>3928</v>
      </c>
      <c r="O266" s="12" t="s">
        <v>3408</v>
      </c>
      <c r="P266" s="12" t="s">
        <v>3369</v>
      </c>
      <c r="Q266" s="12" t="s">
        <v>3369</v>
      </c>
      <c r="R266" s="12" t="s">
        <v>3369</v>
      </c>
      <c r="S266" s="12" t="s">
        <v>3369</v>
      </c>
      <c r="T266" s="12" t="s">
        <v>3369</v>
      </c>
      <c r="U266" s="12" t="s">
        <v>3369</v>
      </c>
      <c r="V266" s="12" t="s">
        <v>3369</v>
      </c>
      <c r="W266" s="12" t="s">
        <v>3369</v>
      </c>
      <c r="X266" s="12" t="s">
        <v>3369</v>
      </c>
      <c r="Y266" s="12" t="s">
        <v>3369</v>
      </c>
      <c r="Z266" s="12" t="s">
        <v>3369</v>
      </c>
      <c r="AA266" s="12" t="s">
        <v>3369</v>
      </c>
      <c r="AB266" s="12" t="s">
        <v>3369</v>
      </c>
      <c r="AE266" s="32">
        <v>0.42708333333575865</v>
      </c>
      <c r="AF266" s="35"/>
    </row>
    <row r="267" spans="1:32" ht="12.75">
      <c r="A267" s="29">
        <v>43539.330928124997</v>
      </c>
      <c r="B267" s="12" t="s">
        <v>3417</v>
      </c>
      <c r="C267" s="12" t="s">
        <v>3383</v>
      </c>
      <c r="D267" s="12" t="s">
        <v>3589</v>
      </c>
      <c r="E267" s="12" t="s">
        <v>3509</v>
      </c>
      <c r="F267" s="30">
        <v>43539</v>
      </c>
      <c r="G267" s="12" t="s">
        <v>3929</v>
      </c>
      <c r="H267" s="32">
        <v>0.625</v>
      </c>
      <c r="I267" s="29">
        <v>43539.645833333328</v>
      </c>
      <c r="J267" s="12" t="s">
        <v>3377</v>
      </c>
      <c r="L267" s="12" t="s">
        <v>3299</v>
      </c>
      <c r="M267" s="12" t="s">
        <v>3379</v>
      </c>
      <c r="N267" s="12" t="s">
        <v>3930</v>
      </c>
      <c r="O267" s="12" t="s">
        <v>3381</v>
      </c>
      <c r="P267" s="12" t="s">
        <v>3369</v>
      </c>
      <c r="Q267" s="12" t="s">
        <v>3369</v>
      </c>
      <c r="R267" s="12" t="s">
        <v>3369</v>
      </c>
      <c r="S267" s="12" t="s">
        <v>3369</v>
      </c>
      <c r="T267" s="12" t="s">
        <v>3369</v>
      </c>
      <c r="U267" s="12" t="s">
        <v>3369</v>
      </c>
      <c r="V267" s="12" t="s">
        <v>3369</v>
      </c>
      <c r="W267" s="12" t="s">
        <v>3369</v>
      </c>
      <c r="X267" s="12" t="s">
        <v>3369</v>
      </c>
      <c r="Y267" s="12" t="s">
        <v>3369</v>
      </c>
      <c r="Z267" s="12" t="s">
        <v>3369</v>
      </c>
      <c r="AA267" s="12" t="s">
        <v>3369</v>
      </c>
      <c r="AB267" s="12" t="s">
        <v>3369</v>
      </c>
      <c r="AE267" s="32">
        <v>0.35416666666424135</v>
      </c>
      <c r="AF267" s="35"/>
    </row>
    <row r="268" spans="1:32" ht="12.75">
      <c r="A268" s="29">
        <v>43543.308734548613</v>
      </c>
      <c r="B268" s="12" t="s">
        <v>3390</v>
      </c>
      <c r="C268" s="12" t="s">
        <v>3391</v>
      </c>
      <c r="D268" s="12" t="s">
        <v>3631</v>
      </c>
      <c r="E268" s="12" t="s">
        <v>3834</v>
      </c>
      <c r="F268" s="30">
        <v>43543</v>
      </c>
      <c r="G268" s="12" t="s">
        <v>3465</v>
      </c>
      <c r="H268" s="32">
        <v>0.54166666666424135</v>
      </c>
      <c r="I268" s="29">
        <v>43543.552083333328</v>
      </c>
      <c r="J268" s="12" t="s">
        <v>3331</v>
      </c>
      <c r="L268" s="12" t="s">
        <v>3393</v>
      </c>
      <c r="M268" s="12" t="s">
        <v>3454</v>
      </c>
      <c r="N268" s="12" t="s">
        <v>3931</v>
      </c>
      <c r="O268" s="12" t="s">
        <v>3767</v>
      </c>
      <c r="P268" s="12" t="s">
        <v>3369</v>
      </c>
      <c r="Q268" s="12" t="s">
        <v>3369</v>
      </c>
      <c r="R268" s="12" t="s">
        <v>3369</v>
      </c>
      <c r="S268" s="12" t="s">
        <v>3369</v>
      </c>
      <c r="T268" s="12" t="s">
        <v>3369</v>
      </c>
      <c r="U268" s="12" t="s">
        <v>3369</v>
      </c>
      <c r="V268" s="12" t="s">
        <v>3369</v>
      </c>
      <c r="W268" s="12" t="s">
        <v>3369</v>
      </c>
      <c r="X268" s="12" t="s">
        <v>3369</v>
      </c>
      <c r="Y268" s="12" t="s">
        <v>3369</v>
      </c>
      <c r="Z268" s="12" t="s">
        <v>3369</v>
      </c>
      <c r="AA268" s="12" t="s">
        <v>3369</v>
      </c>
      <c r="AB268" s="12" t="s">
        <v>3369</v>
      </c>
      <c r="AE268" s="32">
        <v>0.32291666666424135</v>
      </c>
      <c r="AF268" s="35"/>
    </row>
    <row r="269" spans="1:32" ht="12.75">
      <c r="A269" s="29">
        <v>43553.375526840275</v>
      </c>
      <c r="B269" s="12" t="s">
        <v>3417</v>
      </c>
      <c r="C269" s="12" t="s">
        <v>3383</v>
      </c>
      <c r="D269" s="12" t="s">
        <v>3589</v>
      </c>
      <c r="E269" s="12" t="s">
        <v>3599</v>
      </c>
      <c r="F269" s="30">
        <v>43553</v>
      </c>
      <c r="G269" s="12" t="s">
        <v>3932</v>
      </c>
      <c r="H269" s="32">
        <v>0.66666666666424135</v>
      </c>
      <c r="I269" s="29">
        <v>43553.697916666672</v>
      </c>
      <c r="J269" s="12" t="s">
        <v>3377</v>
      </c>
      <c r="L269" s="12" t="s">
        <v>3461</v>
      </c>
      <c r="M269" s="12" t="s">
        <v>3379</v>
      </c>
      <c r="N269" s="12" t="s">
        <v>3760</v>
      </c>
      <c r="O269" s="12" t="s">
        <v>3381</v>
      </c>
      <c r="P269" s="12" t="s">
        <v>3369</v>
      </c>
      <c r="Q269" s="12" t="s">
        <v>3369</v>
      </c>
      <c r="R269" s="12" t="s">
        <v>3369</v>
      </c>
      <c r="S269" s="12" t="s">
        <v>3369</v>
      </c>
      <c r="T269" s="12" t="s">
        <v>3369</v>
      </c>
      <c r="U269" s="12" t="s">
        <v>3369</v>
      </c>
      <c r="V269" s="12" t="s">
        <v>3369</v>
      </c>
      <c r="W269" s="12" t="s">
        <v>3369</v>
      </c>
      <c r="X269" s="12" t="s">
        <v>3369</v>
      </c>
      <c r="Y269" s="12" t="s">
        <v>3369</v>
      </c>
      <c r="Z269" s="12" t="s">
        <v>3369</v>
      </c>
      <c r="AA269" s="12" t="s">
        <v>3369</v>
      </c>
      <c r="AB269" s="12" t="s">
        <v>3369</v>
      </c>
      <c r="AE269" s="32">
        <v>0.41666666666424135</v>
      </c>
      <c r="AF269" s="35"/>
    </row>
    <row r="270" spans="1:32" ht="12.75">
      <c r="A270" s="29">
        <v>43555.429014004629</v>
      </c>
      <c r="B270" s="12" t="s">
        <v>3417</v>
      </c>
      <c r="C270" s="12" t="s">
        <v>259</v>
      </c>
      <c r="D270" s="12" t="s">
        <v>3589</v>
      </c>
      <c r="E270" s="12" t="s">
        <v>3933</v>
      </c>
      <c r="F270" s="30">
        <v>43555</v>
      </c>
      <c r="G270" s="12" t="s">
        <v>3934</v>
      </c>
      <c r="H270" s="32">
        <v>0.70833333333575865</v>
      </c>
      <c r="I270" s="29">
        <v>43555.71875</v>
      </c>
      <c r="J270" s="12" t="s">
        <v>3331</v>
      </c>
      <c r="L270" s="12" t="s">
        <v>3461</v>
      </c>
      <c r="M270" s="12" t="s">
        <v>3935</v>
      </c>
      <c r="N270" s="12" t="s">
        <v>3936</v>
      </c>
      <c r="O270" s="12" t="s">
        <v>3381</v>
      </c>
      <c r="P270" s="12" t="s">
        <v>3369</v>
      </c>
      <c r="Q270" s="12" t="s">
        <v>3369</v>
      </c>
      <c r="R270" s="12" t="s">
        <v>3369</v>
      </c>
      <c r="S270" s="12" t="s">
        <v>3369</v>
      </c>
      <c r="T270" s="12" t="s">
        <v>3369</v>
      </c>
      <c r="U270" s="12" t="s">
        <v>3369</v>
      </c>
      <c r="V270" s="12" t="s">
        <v>3369</v>
      </c>
      <c r="W270" s="12" t="s">
        <v>3369</v>
      </c>
      <c r="X270" s="12" t="s">
        <v>3369</v>
      </c>
      <c r="Y270" s="12" t="s">
        <v>3369</v>
      </c>
      <c r="Z270" s="12" t="s">
        <v>3369</v>
      </c>
      <c r="AA270" s="12" t="s">
        <v>3369</v>
      </c>
      <c r="AB270" s="12" t="s">
        <v>3369</v>
      </c>
      <c r="AE270" s="32">
        <v>0.42708333333575865</v>
      </c>
      <c r="AF270" s="35"/>
    </row>
    <row r="271" spans="1:32" ht="12.75">
      <c r="A271" s="29">
        <v>43556.410989340278</v>
      </c>
      <c r="B271" s="12" t="s">
        <v>3372</v>
      </c>
      <c r="C271" s="12" t="s">
        <v>3383</v>
      </c>
      <c r="D271" s="12" t="s">
        <v>3589</v>
      </c>
      <c r="E271" s="12" t="s">
        <v>3404</v>
      </c>
      <c r="F271" s="30">
        <v>43556</v>
      </c>
      <c r="G271" s="12" t="s">
        <v>3937</v>
      </c>
      <c r="H271" s="32">
        <v>0.66666666666424135</v>
      </c>
      <c r="I271" s="29">
        <v>43556.6875</v>
      </c>
      <c r="J271" s="12" t="s">
        <v>3331</v>
      </c>
      <c r="L271" s="12" t="s">
        <v>3461</v>
      </c>
      <c r="M271" s="12" t="s">
        <v>3379</v>
      </c>
      <c r="N271" s="12" t="s">
        <v>3938</v>
      </c>
      <c r="O271" s="12" t="s">
        <v>3381</v>
      </c>
      <c r="P271" s="12" t="s">
        <v>3369</v>
      </c>
      <c r="Q271" s="12" t="s">
        <v>3369</v>
      </c>
      <c r="R271" s="12" t="s">
        <v>3369</v>
      </c>
      <c r="S271" s="12" t="s">
        <v>3369</v>
      </c>
      <c r="T271" s="12" t="s">
        <v>3369</v>
      </c>
      <c r="U271" s="12" t="s">
        <v>3369</v>
      </c>
      <c r="V271" s="12" t="s">
        <v>3369</v>
      </c>
      <c r="W271" s="12" t="s">
        <v>3369</v>
      </c>
      <c r="X271" s="12" t="s">
        <v>3369</v>
      </c>
      <c r="Y271" s="12" t="s">
        <v>3369</v>
      </c>
      <c r="Z271" s="12" t="s">
        <v>3369</v>
      </c>
      <c r="AA271" s="12" t="s">
        <v>3369</v>
      </c>
      <c r="AB271" s="12" t="s">
        <v>3369</v>
      </c>
      <c r="AE271" s="32">
        <v>0.5</v>
      </c>
      <c r="AF271" s="35"/>
    </row>
    <row r="272" spans="1:32" ht="12.75">
      <c r="A272" s="29">
        <v>43556.747371898149</v>
      </c>
      <c r="B272" s="12" t="s">
        <v>3399</v>
      </c>
      <c r="C272" s="12" t="s">
        <v>3400</v>
      </c>
      <c r="D272" s="12" t="s">
        <v>3401</v>
      </c>
      <c r="E272" s="12" t="s">
        <v>3356</v>
      </c>
      <c r="F272" s="30">
        <v>43557</v>
      </c>
      <c r="G272" s="12" t="s">
        <v>3657</v>
      </c>
      <c r="H272" s="32">
        <v>0.4375</v>
      </c>
      <c r="J272" s="12" t="s">
        <v>3403</v>
      </c>
      <c r="L272" s="12" t="s">
        <v>3299</v>
      </c>
      <c r="M272" s="12" t="s">
        <v>3458</v>
      </c>
      <c r="N272" s="12" t="s">
        <v>3680</v>
      </c>
      <c r="O272" s="12" t="s">
        <v>3408</v>
      </c>
      <c r="P272" s="12" t="s">
        <v>3369</v>
      </c>
      <c r="Q272" s="12" t="s">
        <v>3369</v>
      </c>
      <c r="R272" s="12" t="s">
        <v>3369</v>
      </c>
      <c r="S272" s="12" t="s">
        <v>3369</v>
      </c>
      <c r="T272" s="12" t="s">
        <v>3369</v>
      </c>
      <c r="U272" s="12" t="s">
        <v>3369</v>
      </c>
      <c r="V272" s="12" t="s">
        <v>3369</v>
      </c>
      <c r="W272" s="12" t="s">
        <v>3369</v>
      </c>
      <c r="X272" s="12" t="s">
        <v>3369</v>
      </c>
      <c r="Y272" s="12" t="s">
        <v>3369</v>
      </c>
      <c r="Z272" s="12" t="s">
        <v>3369</v>
      </c>
      <c r="AA272" s="12" t="s">
        <v>3369</v>
      </c>
      <c r="AB272" s="12" t="s">
        <v>3369</v>
      </c>
      <c r="AE272" s="32">
        <v>0.375</v>
      </c>
      <c r="AF272" s="35"/>
    </row>
    <row r="273" spans="1:32" ht="12.75">
      <c r="A273" s="29">
        <v>43558.30487688657</v>
      </c>
      <c r="B273" s="12" t="s">
        <v>3390</v>
      </c>
      <c r="C273" s="12" t="s">
        <v>3391</v>
      </c>
      <c r="D273" s="12" t="s">
        <v>3589</v>
      </c>
      <c r="E273" s="12" t="s">
        <v>3834</v>
      </c>
      <c r="F273" s="30">
        <v>43558</v>
      </c>
      <c r="G273" s="12" t="s">
        <v>3465</v>
      </c>
      <c r="H273" s="32">
        <v>0.52083333333575865</v>
      </c>
      <c r="I273" s="29">
        <v>43558.541666666672</v>
      </c>
      <c r="J273" s="12" t="s">
        <v>3331</v>
      </c>
      <c r="L273" s="12" t="s">
        <v>3299</v>
      </c>
      <c r="M273" s="12" t="s">
        <v>3466</v>
      </c>
      <c r="N273" s="12" t="s">
        <v>3452</v>
      </c>
      <c r="O273" s="12" t="s">
        <v>3767</v>
      </c>
      <c r="P273" s="12" t="s">
        <v>3369</v>
      </c>
      <c r="Q273" s="12" t="s">
        <v>3369</v>
      </c>
      <c r="R273" s="12" t="s">
        <v>3369</v>
      </c>
      <c r="S273" s="12" t="s">
        <v>3369</v>
      </c>
      <c r="T273" s="12" t="s">
        <v>3369</v>
      </c>
      <c r="U273" s="12" t="s">
        <v>3369</v>
      </c>
      <c r="V273" s="12" t="s">
        <v>3369</v>
      </c>
      <c r="W273" s="12" t="s">
        <v>3369</v>
      </c>
      <c r="X273" s="12" t="s">
        <v>3369</v>
      </c>
      <c r="Y273" s="12" t="s">
        <v>3369</v>
      </c>
      <c r="Z273" s="12" t="s">
        <v>3369</v>
      </c>
      <c r="AA273" s="12" t="s">
        <v>3369</v>
      </c>
      <c r="AB273" s="12" t="s">
        <v>3369</v>
      </c>
      <c r="AE273" s="32">
        <v>0.3125</v>
      </c>
      <c r="AF273" s="35"/>
    </row>
    <row r="274" spans="1:32" ht="12.75">
      <c r="A274" s="29">
        <v>43563.276933784728</v>
      </c>
      <c r="B274" s="12" t="s">
        <v>3390</v>
      </c>
      <c r="C274" s="12" t="s">
        <v>3391</v>
      </c>
      <c r="D274" s="12" t="s">
        <v>3589</v>
      </c>
      <c r="E274" s="12" t="s">
        <v>3467</v>
      </c>
      <c r="F274" s="30">
        <v>43563</v>
      </c>
      <c r="G274" s="12" t="s">
        <v>3939</v>
      </c>
      <c r="H274" s="32">
        <v>0.5625</v>
      </c>
      <c r="I274" s="29">
        <v>43563.604166666672</v>
      </c>
      <c r="J274" s="12" t="s">
        <v>3469</v>
      </c>
      <c r="K274" s="12">
        <v>2</v>
      </c>
      <c r="L274" s="12" t="s">
        <v>3393</v>
      </c>
      <c r="M274" s="12" t="s">
        <v>3940</v>
      </c>
      <c r="O274" s="12" t="s">
        <v>3767</v>
      </c>
      <c r="P274" s="12" t="s">
        <v>3369</v>
      </c>
      <c r="Q274" s="12" t="s">
        <v>3369</v>
      </c>
      <c r="R274" s="12" t="s">
        <v>3369</v>
      </c>
      <c r="S274" s="12" t="s">
        <v>3369</v>
      </c>
      <c r="T274" s="12" t="s">
        <v>3369</v>
      </c>
      <c r="U274" s="12" t="s">
        <v>3369</v>
      </c>
      <c r="V274" s="12" t="s">
        <v>3369</v>
      </c>
      <c r="W274" s="12" t="s">
        <v>3369</v>
      </c>
      <c r="X274" s="12" t="s">
        <v>3369</v>
      </c>
      <c r="Y274" s="12" t="s">
        <v>3369</v>
      </c>
      <c r="Z274" s="12" t="s">
        <v>3369</v>
      </c>
      <c r="AA274" s="12" t="s">
        <v>3369</v>
      </c>
      <c r="AB274" s="12" t="s">
        <v>3369</v>
      </c>
      <c r="AE274" s="32">
        <v>0.35416666666424135</v>
      </c>
      <c r="AF274" s="35"/>
    </row>
    <row r="275" spans="1:32" ht="12.75">
      <c r="A275" s="29">
        <v>43563.679062847223</v>
      </c>
      <c r="B275" s="12" t="s">
        <v>3372</v>
      </c>
      <c r="C275" s="12" t="s">
        <v>3383</v>
      </c>
      <c r="D275" s="12" t="s">
        <v>3589</v>
      </c>
      <c r="E275" s="12" t="s">
        <v>3296</v>
      </c>
      <c r="F275" s="30">
        <v>43563</v>
      </c>
      <c r="G275" s="12" t="s">
        <v>3941</v>
      </c>
      <c r="H275" s="32">
        <v>0.85416666666424135</v>
      </c>
      <c r="I275" s="29">
        <v>43563.864583333328</v>
      </c>
      <c r="J275" s="12" t="s">
        <v>3331</v>
      </c>
      <c r="L275" s="12" t="s">
        <v>3393</v>
      </c>
      <c r="M275" s="12" t="s">
        <v>3379</v>
      </c>
      <c r="N275" s="12" t="s">
        <v>3840</v>
      </c>
      <c r="O275" s="12" t="s">
        <v>3381</v>
      </c>
      <c r="P275" s="12" t="s">
        <v>3369</v>
      </c>
      <c r="Q275" s="12" t="s">
        <v>3369</v>
      </c>
      <c r="R275" s="12" t="s">
        <v>3369</v>
      </c>
      <c r="S275" s="12" t="s">
        <v>3369</v>
      </c>
      <c r="T275" s="12" t="s">
        <v>3369</v>
      </c>
      <c r="U275" s="12" t="s">
        <v>3369</v>
      </c>
      <c r="V275" s="12" t="s">
        <v>3369</v>
      </c>
      <c r="W275" s="12" t="s">
        <v>3369</v>
      </c>
      <c r="X275" s="12" t="s">
        <v>3369</v>
      </c>
      <c r="Y275" s="12" t="s">
        <v>3369</v>
      </c>
      <c r="Z275" s="12" t="s">
        <v>3369</v>
      </c>
      <c r="AA275" s="12" t="s">
        <v>3369</v>
      </c>
      <c r="AB275" s="12" t="s">
        <v>3369</v>
      </c>
      <c r="AE275" s="32">
        <v>0.72916666666424135</v>
      </c>
      <c r="AF275" s="35"/>
    </row>
    <row r="276" spans="1:32" ht="12.75">
      <c r="A276" s="29">
        <v>43564.364159537035</v>
      </c>
      <c r="B276" s="12" t="s">
        <v>3830</v>
      </c>
      <c r="C276" s="12" t="s">
        <v>3400</v>
      </c>
      <c r="D276" s="12" t="s">
        <v>3401</v>
      </c>
      <c r="E276" s="12" t="s">
        <v>3509</v>
      </c>
      <c r="F276" s="30">
        <v>43564</v>
      </c>
      <c r="G276" s="12" t="s">
        <v>3892</v>
      </c>
      <c r="H276" s="32">
        <v>0.66666666666424135</v>
      </c>
      <c r="J276" s="12" t="s">
        <v>3377</v>
      </c>
      <c r="L276" s="12" t="s">
        <v>3299</v>
      </c>
      <c r="M276" s="12" t="s">
        <v>3458</v>
      </c>
      <c r="N276" s="12" t="s">
        <v>3942</v>
      </c>
      <c r="O276" s="12" t="s">
        <v>3408</v>
      </c>
      <c r="P276" s="12" t="s">
        <v>3369</v>
      </c>
      <c r="Q276" s="12" t="s">
        <v>3369</v>
      </c>
      <c r="R276" s="12" t="s">
        <v>3369</v>
      </c>
      <c r="S276" s="12" t="s">
        <v>3369</v>
      </c>
      <c r="T276" s="12" t="s">
        <v>3369</v>
      </c>
      <c r="U276" s="12" t="s">
        <v>3369</v>
      </c>
      <c r="V276" s="12" t="s">
        <v>3369</v>
      </c>
      <c r="W276" s="12" t="s">
        <v>3369</v>
      </c>
      <c r="X276" s="12" t="s">
        <v>3369</v>
      </c>
      <c r="Y276" s="12" t="s">
        <v>3369</v>
      </c>
      <c r="Z276" s="12" t="s">
        <v>3369</v>
      </c>
      <c r="AA276" s="12" t="s">
        <v>3369</v>
      </c>
      <c r="AB276" s="12" t="s">
        <v>3369</v>
      </c>
      <c r="AE276" s="32">
        <v>0.38888888889050577</v>
      </c>
      <c r="AF276" s="35"/>
    </row>
    <row r="277" spans="1:32" ht="12.75">
      <c r="A277" s="29">
        <v>43564.668178182867</v>
      </c>
      <c r="B277" s="12" t="s">
        <v>3408</v>
      </c>
      <c r="C277" s="12" t="s">
        <v>3400</v>
      </c>
      <c r="D277" s="12" t="s">
        <v>3401</v>
      </c>
      <c r="E277" s="12" t="s">
        <v>3482</v>
      </c>
      <c r="F277" s="30">
        <v>43565</v>
      </c>
      <c r="G277" s="12" t="s">
        <v>3943</v>
      </c>
      <c r="H277" s="32">
        <v>0.66666666666424135</v>
      </c>
      <c r="J277" s="12" t="s">
        <v>3377</v>
      </c>
      <c r="L277" s="12" t="s">
        <v>3299</v>
      </c>
      <c r="M277" s="12" t="s">
        <v>3458</v>
      </c>
      <c r="N277" s="12" t="s">
        <v>3944</v>
      </c>
      <c r="O277" s="12" t="s">
        <v>3408</v>
      </c>
      <c r="P277" s="12" t="s">
        <v>3369</v>
      </c>
      <c r="Q277" s="12" t="s">
        <v>3369</v>
      </c>
      <c r="R277" s="12" t="s">
        <v>3369</v>
      </c>
      <c r="S277" s="12" t="s">
        <v>3369</v>
      </c>
      <c r="T277" s="12" t="s">
        <v>3369</v>
      </c>
      <c r="U277" s="12" t="s">
        <v>3369</v>
      </c>
      <c r="V277" s="12" t="s">
        <v>3369</v>
      </c>
      <c r="W277" s="12" t="s">
        <v>3369</v>
      </c>
      <c r="X277" s="12" t="s">
        <v>3369</v>
      </c>
      <c r="Y277" s="12" t="s">
        <v>3369</v>
      </c>
      <c r="Z277" s="12" t="s">
        <v>3369</v>
      </c>
      <c r="AA277" s="12" t="s">
        <v>3369</v>
      </c>
      <c r="AB277" s="12" t="s">
        <v>3369</v>
      </c>
      <c r="AE277" s="32">
        <v>0.38888888889050577</v>
      </c>
      <c r="AF277" s="35"/>
    </row>
    <row r="278" spans="1:32" ht="12.75">
      <c r="A278" s="29">
        <v>43565.306595717593</v>
      </c>
      <c r="B278" s="12" t="s">
        <v>3390</v>
      </c>
      <c r="C278" s="12" t="s">
        <v>3391</v>
      </c>
      <c r="D278" s="12" t="s">
        <v>3589</v>
      </c>
      <c r="E278" s="12" t="s">
        <v>3430</v>
      </c>
      <c r="F278" s="30">
        <v>43565</v>
      </c>
      <c r="G278" s="12" t="s">
        <v>3945</v>
      </c>
      <c r="H278" s="32">
        <v>0.5625</v>
      </c>
      <c r="I278" s="29">
        <v>43565.625</v>
      </c>
      <c r="J278" s="12" t="s">
        <v>3331</v>
      </c>
      <c r="L278" s="12" t="s">
        <v>3393</v>
      </c>
      <c r="M278" s="12" t="s">
        <v>3591</v>
      </c>
      <c r="O278" s="12" t="s">
        <v>3946</v>
      </c>
      <c r="P278" s="12" t="s">
        <v>3369</v>
      </c>
      <c r="Q278" s="12" t="s">
        <v>3369</v>
      </c>
      <c r="R278" s="12" t="s">
        <v>3369</v>
      </c>
      <c r="S278" s="12" t="s">
        <v>3369</v>
      </c>
      <c r="T278" s="12" t="s">
        <v>3369</v>
      </c>
      <c r="U278" s="12" t="s">
        <v>3369</v>
      </c>
      <c r="V278" s="12" t="s">
        <v>3369</v>
      </c>
      <c r="W278" s="12" t="s">
        <v>3369</v>
      </c>
      <c r="X278" s="12" t="s">
        <v>3369</v>
      </c>
      <c r="Y278" s="12" t="s">
        <v>3369</v>
      </c>
      <c r="Z278" s="12" t="s">
        <v>3369</v>
      </c>
      <c r="AA278" s="12" t="s">
        <v>3369</v>
      </c>
      <c r="AB278" s="12" t="s">
        <v>3369</v>
      </c>
      <c r="AE278" s="32">
        <v>0.35416666666424135</v>
      </c>
      <c r="AF278" s="35"/>
    </row>
    <row r="279" spans="1:32" ht="12.75">
      <c r="A279" s="29">
        <v>43565.721065335645</v>
      </c>
      <c r="B279" s="12" t="s">
        <v>3408</v>
      </c>
      <c r="C279" s="12" t="s">
        <v>3400</v>
      </c>
      <c r="D279" s="12" t="s">
        <v>3401</v>
      </c>
      <c r="E279" s="12" t="s">
        <v>3687</v>
      </c>
      <c r="F279" s="30">
        <v>43566</v>
      </c>
      <c r="G279" s="12" t="s">
        <v>3947</v>
      </c>
      <c r="H279" s="32">
        <v>0.625</v>
      </c>
      <c r="J279" s="12" t="s">
        <v>3377</v>
      </c>
      <c r="L279" s="12" t="s">
        <v>3299</v>
      </c>
      <c r="M279" s="12" t="s">
        <v>3458</v>
      </c>
      <c r="N279" s="12" t="s">
        <v>3948</v>
      </c>
      <c r="O279" s="12" t="s">
        <v>3408</v>
      </c>
      <c r="P279" s="12" t="s">
        <v>3369</v>
      </c>
      <c r="Q279" s="12" t="s">
        <v>3369</v>
      </c>
      <c r="R279" s="12" t="s">
        <v>3369</v>
      </c>
      <c r="S279" s="12" t="s">
        <v>3369</v>
      </c>
      <c r="T279" s="12" t="s">
        <v>3369</v>
      </c>
      <c r="U279" s="12" t="s">
        <v>3369</v>
      </c>
      <c r="V279" s="12" t="s">
        <v>3369</v>
      </c>
      <c r="W279" s="12" t="s">
        <v>3369</v>
      </c>
      <c r="X279" s="12" t="s">
        <v>3369</v>
      </c>
      <c r="Y279" s="12" t="s">
        <v>3369</v>
      </c>
      <c r="Z279" s="12" t="s">
        <v>3369</v>
      </c>
      <c r="AA279" s="12" t="s">
        <v>3369</v>
      </c>
      <c r="AB279" s="12" t="s">
        <v>3369</v>
      </c>
      <c r="AE279" s="32">
        <v>0.41666666666424135</v>
      </c>
      <c r="AF279" s="35"/>
    </row>
    <row r="280" spans="1:32" ht="12.75">
      <c r="A280" s="29">
        <v>43565.729905150467</v>
      </c>
      <c r="B280" s="12" t="s">
        <v>3372</v>
      </c>
      <c r="C280" s="12" t="s">
        <v>3373</v>
      </c>
      <c r="D280" s="12" t="s">
        <v>3589</v>
      </c>
      <c r="E280" s="12" t="s">
        <v>3296</v>
      </c>
      <c r="F280" s="30">
        <v>43565</v>
      </c>
      <c r="G280" s="12" t="s">
        <v>3949</v>
      </c>
      <c r="H280" s="32">
        <v>0.875</v>
      </c>
      <c r="I280" s="29">
        <v>43565.895833333328</v>
      </c>
      <c r="J280" s="12" t="s">
        <v>3366</v>
      </c>
      <c r="L280" s="12" t="s">
        <v>3461</v>
      </c>
      <c r="M280" s="12" t="s">
        <v>3379</v>
      </c>
      <c r="N280" s="12" t="s">
        <v>3950</v>
      </c>
      <c r="O280" s="12" t="s">
        <v>3381</v>
      </c>
      <c r="P280" s="12" t="s">
        <v>3369</v>
      </c>
      <c r="Q280" s="12" t="s">
        <v>3369</v>
      </c>
      <c r="R280" s="12" t="s">
        <v>3369</v>
      </c>
      <c r="S280" s="12" t="s">
        <v>3369</v>
      </c>
      <c r="T280" s="12" t="s">
        <v>3369</v>
      </c>
      <c r="U280" s="12" t="s">
        <v>3369</v>
      </c>
      <c r="V280" s="12" t="s">
        <v>3369</v>
      </c>
      <c r="W280" s="12" t="s">
        <v>3369</v>
      </c>
      <c r="X280" s="12" t="s">
        <v>3369</v>
      </c>
      <c r="Y280" s="12" t="s">
        <v>3369</v>
      </c>
      <c r="Z280" s="12" t="s">
        <v>3369</v>
      </c>
      <c r="AA280" s="12" t="s">
        <v>3369</v>
      </c>
      <c r="AB280" s="12" t="s">
        <v>3369</v>
      </c>
      <c r="AE280" s="32">
        <v>0.75</v>
      </c>
      <c r="AF280" s="35"/>
    </row>
    <row r="281" spans="1:32" ht="12.75">
      <c r="A281" s="29">
        <v>43566.300490138892</v>
      </c>
      <c r="B281" s="12" t="s">
        <v>3767</v>
      </c>
      <c r="C281" s="12" t="s">
        <v>3391</v>
      </c>
      <c r="D281" s="12" t="s">
        <v>3589</v>
      </c>
      <c r="E281" s="12" t="s">
        <v>3951</v>
      </c>
      <c r="F281" s="30">
        <v>43566</v>
      </c>
      <c r="G281" s="12" t="s">
        <v>3952</v>
      </c>
      <c r="H281" s="32">
        <v>0.60416666666424135</v>
      </c>
      <c r="I281" s="29">
        <v>43566.618055555555</v>
      </c>
      <c r="J281" s="12" t="s">
        <v>3331</v>
      </c>
      <c r="L281" s="12" t="s">
        <v>3393</v>
      </c>
      <c r="M281" s="12" t="s">
        <v>3591</v>
      </c>
      <c r="N281" s="12" t="s">
        <v>3953</v>
      </c>
      <c r="O281" s="12" t="s">
        <v>3946</v>
      </c>
      <c r="P281" s="12" t="s">
        <v>3369</v>
      </c>
      <c r="Q281" s="12" t="s">
        <v>3369</v>
      </c>
      <c r="R281" s="12" t="s">
        <v>3369</v>
      </c>
      <c r="S281" s="12" t="s">
        <v>3369</v>
      </c>
      <c r="T281" s="12" t="s">
        <v>3369</v>
      </c>
      <c r="U281" s="12" t="s">
        <v>3369</v>
      </c>
      <c r="V281" s="12" t="s">
        <v>3369</v>
      </c>
      <c r="W281" s="12" t="s">
        <v>3369</v>
      </c>
      <c r="X281" s="12" t="s">
        <v>3369</v>
      </c>
      <c r="Y281" s="12" t="s">
        <v>3369</v>
      </c>
      <c r="Z281" s="12" t="s">
        <v>3369</v>
      </c>
      <c r="AA281" s="12" t="s">
        <v>3369</v>
      </c>
      <c r="AB281" s="12" t="s">
        <v>3369</v>
      </c>
      <c r="AE281" s="32">
        <v>0.33333333333575865</v>
      </c>
      <c r="AF281" s="35"/>
    </row>
    <row r="282" spans="1:32" ht="12.75">
      <c r="A282" s="29">
        <v>43566.315818472227</v>
      </c>
      <c r="B282" s="12" t="s">
        <v>3372</v>
      </c>
      <c r="C282" s="12" t="s">
        <v>3383</v>
      </c>
      <c r="D282" s="12" t="s">
        <v>3589</v>
      </c>
      <c r="E282" s="12" t="s">
        <v>3296</v>
      </c>
      <c r="F282" s="30">
        <v>43566</v>
      </c>
      <c r="G282" s="12" t="s">
        <v>3419</v>
      </c>
      <c r="H282" s="32">
        <v>0.39583333333575865</v>
      </c>
      <c r="I282" s="29">
        <v>43566.416666666672</v>
      </c>
      <c r="J282" s="12" t="s">
        <v>3366</v>
      </c>
      <c r="L282" s="12" t="s">
        <v>3461</v>
      </c>
      <c r="M282" s="12" t="s">
        <v>3379</v>
      </c>
      <c r="N282" s="12" t="s">
        <v>3840</v>
      </c>
      <c r="O282" s="12" t="s">
        <v>3381</v>
      </c>
      <c r="P282" s="12" t="s">
        <v>3369</v>
      </c>
      <c r="Q282" s="12" t="s">
        <v>3369</v>
      </c>
      <c r="R282" s="12" t="s">
        <v>3369</v>
      </c>
      <c r="S282" s="12" t="s">
        <v>3369</v>
      </c>
      <c r="T282" s="12" t="s">
        <v>3369</v>
      </c>
      <c r="U282" s="12" t="s">
        <v>3369</v>
      </c>
      <c r="V282" s="12" t="s">
        <v>3369</v>
      </c>
      <c r="W282" s="12" t="s">
        <v>3369</v>
      </c>
      <c r="X282" s="12" t="s">
        <v>3369</v>
      </c>
      <c r="Y282" s="12" t="s">
        <v>3369</v>
      </c>
      <c r="Z282" s="12" t="s">
        <v>3369</v>
      </c>
      <c r="AA282" s="12" t="s">
        <v>3369</v>
      </c>
      <c r="AB282" s="12" t="s">
        <v>3369</v>
      </c>
      <c r="AE282" s="32">
        <v>0.33333333333575865</v>
      </c>
      <c r="AF282" s="35"/>
    </row>
    <row r="283" spans="1:32" ht="12.75">
      <c r="A283" s="29">
        <v>43567.283217222226</v>
      </c>
      <c r="B283" s="12" t="s">
        <v>3390</v>
      </c>
      <c r="C283" s="12" t="s">
        <v>3391</v>
      </c>
      <c r="D283" s="12" t="s">
        <v>3589</v>
      </c>
      <c r="E283" s="12" t="s">
        <v>3954</v>
      </c>
      <c r="F283" s="30">
        <v>43567</v>
      </c>
      <c r="G283" s="12" t="s">
        <v>3955</v>
      </c>
      <c r="H283" s="32">
        <v>0.60416666666424135</v>
      </c>
      <c r="I283" s="29">
        <v>43567.625</v>
      </c>
      <c r="J283" s="12" t="s">
        <v>3331</v>
      </c>
      <c r="L283" s="12" t="s">
        <v>3393</v>
      </c>
      <c r="M283" s="12" t="s">
        <v>3591</v>
      </c>
      <c r="N283" s="12" t="s">
        <v>3956</v>
      </c>
      <c r="O283" s="12" t="s">
        <v>3946</v>
      </c>
      <c r="P283" s="12" t="s">
        <v>3369</v>
      </c>
      <c r="Q283" s="12" t="s">
        <v>3369</v>
      </c>
      <c r="R283" s="12" t="s">
        <v>3369</v>
      </c>
      <c r="S283" s="12" t="s">
        <v>3369</v>
      </c>
      <c r="T283" s="12" t="s">
        <v>3369</v>
      </c>
      <c r="U283" s="12" t="s">
        <v>3369</v>
      </c>
      <c r="V283" s="12" t="s">
        <v>3369</v>
      </c>
      <c r="W283" s="12" t="s">
        <v>3369</v>
      </c>
      <c r="X283" s="12" t="s">
        <v>3369</v>
      </c>
      <c r="Y283" s="12" t="s">
        <v>3369</v>
      </c>
      <c r="Z283" s="12" t="s">
        <v>3369</v>
      </c>
      <c r="AA283" s="12" t="s">
        <v>3369</v>
      </c>
      <c r="AB283" s="12" t="s">
        <v>3369</v>
      </c>
      <c r="AE283" s="32">
        <v>0.3125</v>
      </c>
      <c r="AF283" s="35"/>
    </row>
    <row r="284" spans="1:32" ht="12.75">
      <c r="A284" s="29">
        <v>43570.333977685186</v>
      </c>
      <c r="B284" s="12" t="s">
        <v>3767</v>
      </c>
      <c r="C284" s="12" t="s">
        <v>3391</v>
      </c>
      <c r="D284" s="12" t="s">
        <v>3295</v>
      </c>
      <c r="E284" s="12" t="s">
        <v>3957</v>
      </c>
      <c r="F284" s="30">
        <v>43570</v>
      </c>
      <c r="G284" s="12" t="s">
        <v>3958</v>
      </c>
      <c r="H284" s="32">
        <v>0.5625</v>
      </c>
      <c r="I284" s="29">
        <v>43570.583333333328</v>
      </c>
      <c r="J284" s="12" t="s">
        <v>3331</v>
      </c>
      <c r="L284" s="12" t="s">
        <v>3393</v>
      </c>
      <c r="M284" s="12" t="s">
        <v>3591</v>
      </c>
      <c r="N284" s="12" t="s">
        <v>3452</v>
      </c>
      <c r="O284" s="12" t="s">
        <v>3946</v>
      </c>
      <c r="P284" s="12" t="s">
        <v>3369</v>
      </c>
      <c r="Q284" s="12" t="s">
        <v>3369</v>
      </c>
      <c r="R284" s="12" t="s">
        <v>3369</v>
      </c>
      <c r="S284" s="12" t="s">
        <v>3369</v>
      </c>
      <c r="T284" s="12" t="s">
        <v>3369</v>
      </c>
      <c r="U284" s="12" t="s">
        <v>3369</v>
      </c>
      <c r="V284" s="12" t="s">
        <v>3369</v>
      </c>
      <c r="W284" s="12" t="s">
        <v>3369</v>
      </c>
      <c r="X284" s="12" t="s">
        <v>3369</v>
      </c>
      <c r="Y284" s="12" t="s">
        <v>3369</v>
      </c>
      <c r="Z284" s="12" t="s">
        <v>3369</v>
      </c>
      <c r="AA284" s="12" t="s">
        <v>3369</v>
      </c>
      <c r="AB284" s="12" t="s">
        <v>3369</v>
      </c>
      <c r="AE284" s="32">
        <v>0.35416666666424135</v>
      </c>
      <c r="AF284" s="35"/>
    </row>
    <row r="285" spans="1:32" ht="12.75">
      <c r="A285" s="29">
        <v>43572.606552743055</v>
      </c>
      <c r="B285" s="12" t="s">
        <v>3390</v>
      </c>
      <c r="C285" s="12" t="s">
        <v>3391</v>
      </c>
      <c r="D285" s="12" t="s">
        <v>3589</v>
      </c>
      <c r="E285" s="12" t="s">
        <v>3834</v>
      </c>
      <c r="F285" s="30">
        <v>43573</v>
      </c>
      <c r="G285" s="12" t="s">
        <v>3529</v>
      </c>
      <c r="H285" s="32">
        <v>0.55208333333575865</v>
      </c>
      <c r="I285" s="29">
        <v>43573.5625</v>
      </c>
      <c r="J285" s="12" t="s">
        <v>3331</v>
      </c>
      <c r="L285" s="12" t="s">
        <v>3299</v>
      </c>
      <c r="M285" s="12" t="s">
        <v>3454</v>
      </c>
      <c r="N285" s="12" t="s">
        <v>3452</v>
      </c>
      <c r="O285" s="12" t="s">
        <v>3429</v>
      </c>
      <c r="P285" s="12" t="s">
        <v>3369</v>
      </c>
      <c r="Q285" s="12" t="s">
        <v>3369</v>
      </c>
      <c r="R285" s="12" t="s">
        <v>3369</v>
      </c>
      <c r="S285" s="12" t="s">
        <v>3369</v>
      </c>
      <c r="T285" s="12" t="s">
        <v>3369</v>
      </c>
      <c r="U285" s="12" t="s">
        <v>3369</v>
      </c>
      <c r="V285" s="12" t="s">
        <v>3369</v>
      </c>
      <c r="W285" s="12" t="s">
        <v>3369</v>
      </c>
      <c r="X285" s="12" t="s">
        <v>3369</v>
      </c>
      <c r="Y285" s="12" t="s">
        <v>3369</v>
      </c>
      <c r="Z285" s="12" t="s">
        <v>3369</v>
      </c>
      <c r="AA285" s="12" t="s">
        <v>3369</v>
      </c>
      <c r="AB285" s="12" t="s">
        <v>3369</v>
      </c>
      <c r="AE285" s="32">
        <v>0.34375</v>
      </c>
      <c r="AF285" s="35"/>
    </row>
    <row r="286" spans="1:32" ht="12.75">
      <c r="A286" s="29">
        <v>43581.549160925926</v>
      </c>
      <c r="B286" s="12" t="s">
        <v>3372</v>
      </c>
      <c r="C286" s="12" t="s">
        <v>3383</v>
      </c>
      <c r="D286" s="12" t="s">
        <v>3589</v>
      </c>
      <c r="E286" s="12" t="s">
        <v>3920</v>
      </c>
      <c r="F286" s="30">
        <v>43581</v>
      </c>
      <c r="G286" s="12" t="s">
        <v>3959</v>
      </c>
      <c r="H286" s="32">
        <v>0.72916666666424135</v>
      </c>
      <c r="I286" s="29">
        <v>43581.75</v>
      </c>
      <c r="J286" s="12" t="s">
        <v>3331</v>
      </c>
      <c r="L286" s="12" t="s">
        <v>3461</v>
      </c>
      <c r="M286" s="12" t="s">
        <v>3379</v>
      </c>
      <c r="N286" s="12" t="s">
        <v>3490</v>
      </c>
      <c r="O286" s="12" t="s">
        <v>3381</v>
      </c>
      <c r="P286" s="12" t="s">
        <v>3369</v>
      </c>
      <c r="Q286" s="12" t="s">
        <v>3369</v>
      </c>
      <c r="R286" s="12" t="s">
        <v>3369</v>
      </c>
      <c r="S286" s="12" t="s">
        <v>3369</v>
      </c>
      <c r="T286" s="12" t="s">
        <v>3369</v>
      </c>
      <c r="U286" s="12" t="s">
        <v>3369</v>
      </c>
      <c r="V286" s="12" t="s">
        <v>3369</v>
      </c>
      <c r="W286" s="12" t="s">
        <v>3369</v>
      </c>
      <c r="X286" s="12" t="s">
        <v>3369</v>
      </c>
      <c r="Y286" s="12" t="s">
        <v>3369</v>
      </c>
      <c r="Z286" s="12" t="s">
        <v>3369</v>
      </c>
      <c r="AA286" s="12" t="s">
        <v>3369</v>
      </c>
      <c r="AB286" s="12" t="s">
        <v>3369</v>
      </c>
      <c r="AE286" s="32">
        <v>0.58333333333575865</v>
      </c>
      <c r="AF286" s="35"/>
    </row>
    <row r="287" spans="1:32" ht="12.75">
      <c r="A287" s="29">
        <v>43585.373135798611</v>
      </c>
      <c r="B287" s="12" t="s">
        <v>3390</v>
      </c>
      <c r="D287" s="12" t="s">
        <v>3589</v>
      </c>
      <c r="E287" s="12" t="s">
        <v>3834</v>
      </c>
      <c r="F287" s="30">
        <v>43586</v>
      </c>
      <c r="G287" s="12" t="s">
        <v>3465</v>
      </c>
      <c r="H287" s="32">
        <v>0.51041666666424135</v>
      </c>
      <c r="I287" s="29">
        <v>43586.520833333328</v>
      </c>
      <c r="J287" s="12" t="s">
        <v>3366</v>
      </c>
      <c r="L287" s="12" t="s">
        <v>3393</v>
      </c>
      <c r="M287" s="12" t="s">
        <v>3466</v>
      </c>
      <c r="N287" s="12" t="s">
        <v>3960</v>
      </c>
      <c r="O287" s="12" t="s">
        <v>3961</v>
      </c>
      <c r="P287" s="12" t="s">
        <v>3369</v>
      </c>
      <c r="Q287" s="12" t="s">
        <v>3369</v>
      </c>
      <c r="R287" s="12" t="s">
        <v>3369</v>
      </c>
      <c r="S287" s="12" t="s">
        <v>3369</v>
      </c>
      <c r="T287" s="12" t="s">
        <v>3369</v>
      </c>
      <c r="U287" s="12" t="s">
        <v>3369</v>
      </c>
      <c r="V287" s="12" t="s">
        <v>3369</v>
      </c>
      <c r="W287" s="12" t="s">
        <v>3369</v>
      </c>
      <c r="X287" s="12" t="s">
        <v>3369</v>
      </c>
      <c r="Y287" s="12" t="s">
        <v>3369</v>
      </c>
      <c r="Z287" s="12" t="s">
        <v>3369</v>
      </c>
      <c r="AA287" s="12" t="s">
        <v>3369</v>
      </c>
      <c r="AB287" s="12" t="s">
        <v>3369</v>
      </c>
      <c r="AE287" s="32">
        <v>0.30208333333575865</v>
      </c>
      <c r="AF287" s="35"/>
    </row>
    <row r="288" spans="1:32" ht="12.75">
      <c r="A288" s="29">
        <v>43586.367689409723</v>
      </c>
      <c r="B288" s="12" t="s">
        <v>3372</v>
      </c>
      <c r="C288" s="12" t="s">
        <v>3383</v>
      </c>
      <c r="D288" s="12" t="s">
        <v>3589</v>
      </c>
      <c r="E288" s="12" t="s">
        <v>3482</v>
      </c>
      <c r="F288" s="30">
        <v>43586</v>
      </c>
      <c r="G288" s="12" t="s">
        <v>3962</v>
      </c>
      <c r="H288" s="32">
        <v>0.6875</v>
      </c>
      <c r="I288" s="29">
        <v>43586.708333333328</v>
      </c>
      <c r="J288" s="12" t="s">
        <v>3331</v>
      </c>
      <c r="L288" s="12" t="s">
        <v>3461</v>
      </c>
      <c r="M288" s="12" t="s">
        <v>3379</v>
      </c>
      <c r="N288" s="12" t="s">
        <v>3963</v>
      </c>
      <c r="O288" s="12" t="s">
        <v>3381</v>
      </c>
      <c r="P288" s="12" t="s">
        <v>3369</v>
      </c>
      <c r="Q288" s="12" t="s">
        <v>3369</v>
      </c>
      <c r="R288" s="12" t="s">
        <v>3369</v>
      </c>
      <c r="S288" s="12" t="s">
        <v>3369</v>
      </c>
      <c r="T288" s="12" t="s">
        <v>3369</v>
      </c>
      <c r="U288" s="12" t="s">
        <v>3369</v>
      </c>
      <c r="V288" s="12" t="s">
        <v>3369</v>
      </c>
      <c r="W288" s="12" t="s">
        <v>3369</v>
      </c>
      <c r="X288" s="12" t="s">
        <v>3369</v>
      </c>
      <c r="Y288" s="12" t="s">
        <v>3369</v>
      </c>
      <c r="Z288" s="12" t="s">
        <v>3369</v>
      </c>
      <c r="AA288" s="12" t="s">
        <v>3369</v>
      </c>
      <c r="AB288" s="12" t="s">
        <v>3369</v>
      </c>
      <c r="AE288" s="32">
        <v>0.45833333333575865</v>
      </c>
      <c r="AF288" s="35"/>
    </row>
    <row r="289" spans="1:32" ht="12.75">
      <c r="A289" s="29">
        <v>43586.679285868056</v>
      </c>
      <c r="B289" s="12" t="s">
        <v>3399</v>
      </c>
      <c r="C289" s="12" t="s">
        <v>3400</v>
      </c>
      <c r="D289" s="12" t="s">
        <v>3401</v>
      </c>
      <c r="E289" s="12" t="s">
        <v>3356</v>
      </c>
      <c r="F289" s="30">
        <v>43587</v>
      </c>
      <c r="G289" s="12" t="s">
        <v>3657</v>
      </c>
      <c r="H289" s="32">
        <v>0.4375</v>
      </c>
      <c r="J289" s="12" t="s">
        <v>3403</v>
      </c>
      <c r="L289" s="12" t="s">
        <v>3299</v>
      </c>
      <c r="M289" s="12" t="s">
        <v>3458</v>
      </c>
      <c r="N289" s="12" t="s">
        <v>3760</v>
      </c>
      <c r="O289" s="12" t="s">
        <v>3408</v>
      </c>
      <c r="P289" s="12" t="s">
        <v>3369</v>
      </c>
      <c r="Q289" s="12" t="s">
        <v>3369</v>
      </c>
      <c r="R289" s="12" t="s">
        <v>3369</v>
      </c>
      <c r="S289" s="12" t="s">
        <v>3369</v>
      </c>
      <c r="T289" s="12" t="s">
        <v>3369</v>
      </c>
      <c r="U289" s="12" t="s">
        <v>3369</v>
      </c>
      <c r="V289" s="12" t="s">
        <v>3369</v>
      </c>
      <c r="W289" s="12" t="s">
        <v>3369</v>
      </c>
      <c r="X289" s="12" t="s">
        <v>3369</v>
      </c>
      <c r="Y289" s="12" t="s">
        <v>3369</v>
      </c>
      <c r="Z289" s="12" t="s">
        <v>3369</v>
      </c>
      <c r="AA289" s="12" t="s">
        <v>3369</v>
      </c>
      <c r="AB289" s="12" t="s">
        <v>3369</v>
      </c>
      <c r="AE289" s="32">
        <v>0.35416666666424135</v>
      </c>
      <c r="AF289" s="35"/>
    </row>
    <row r="290" spans="1:32" ht="12.75">
      <c r="A290" s="29">
        <v>43587.398181886572</v>
      </c>
      <c r="B290" s="12" t="s">
        <v>3372</v>
      </c>
      <c r="C290" s="12" t="s">
        <v>3383</v>
      </c>
      <c r="D290" s="12" t="s">
        <v>3589</v>
      </c>
      <c r="E290" s="12" t="s">
        <v>3296</v>
      </c>
      <c r="F290" s="30">
        <v>43587</v>
      </c>
      <c r="G290" s="12" t="s">
        <v>3964</v>
      </c>
      <c r="H290" s="32">
        <v>0.66666666666424135</v>
      </c>
      <c r="I290" s="29">
        <v>43587.6875</v>
      </c>
      <c r="J290" s="12" t="s">
        <v>3331</v>
      </c>
      <c r="L290" s="12" t="s">
        <v>3461</v>
      </c>
      <c r="M290" s="12" t="s">
        <v>3379</v>
      </c>
      <c r="N290" s="12" t="s">
        <v>3840</v>
      </c>
      <c r="O290" s="12" t="s">
        <v>3381</v>
      </c>
      <c r="P290" s="12" t="s">
        <v>3369</v>
      </c>
      <c r="Q290" s="12" t="s">
        <v>3369</v>
      </c>
      <c r="R290" s="12" t="s">
        <v>3369</v>
      </c>
      <c r="S290" s="12" t="s">
        <v>3369</v>
      </c>
      <c r="T290" s="12" t="s">
        <v>3369</v>
      </c>
      <c r="U290" s="12" t="s">
        <v>3369</v>
      </c>
      <c r="V290" s="12" t="s">
        <v>3369</v>
      </c>
      <c r="W290" s="12" t="s">
        <v>3369</v>
      </c>
      <c r="X290" s="12" t="s">
        <v>3369</v>
      </c>
      <c r="Y290" s="12" t="s">
        <v>3369</v>
      </c>
      <c r="Z290" s="12" t="s">
        <v>3369</v>
      </c>
      <c r="AA290" s="12" t="s">
        <v>3369</v>
      </c>
      <c r="AB290" s="12" t="s">
        <v>3369</v>
      </c>
      <c r="AE290" s="32">
        <v>0.47916666666424135</v>
      </c>
      <c r="AF290" s="35"/>
    </row>
    <row r="291" spans="1:32" ht="12.75">
      <c r="A291" s="29">
        <v>43591.59816425926</v>
      </c>
      <c r="B291" s="12" t="s">
        <v>3372</v>
      </c>
      <c r="C291" s="12" t="s">
        <v>3383</v>
      </c>
      <c r="D291" s="12" t="s">
        <v>3589</v>
      </c>
      <c r="E291" s="12" t="s">
        <v>3404</v>
      </c>
      <c r="F291" s="30">
        <v>43591</v>
      </c>
      <c r="G291" s="12" t="s">
        <v>3900</v>
      </c>
      <c r="H291" s="32">
        <v>0.8125</v>
      </c>
      <c r="I291" s="29">
        <v>43591.833333333328</v>
      </c>
      <c r="J291" s="12" t="s">
        <v>3331</v>
      </c>
      <c r="L291" s="12" t="s">
        <v>3299</v>
      </c>
      <c r="M291" s="12" t="s">
        <v>3379</v>
      </c>
      <c r="N291" s="12" t="s">
        <v>3938</v>
      </c>
      <c r="O291" s="12" t="s">
        <v>3381</v>
      </c>
      <c r="P291" s="12" t="s">
        <v>3369</v>
      </c>
      <c r="Q291" s="12" t="s">
        <v>3369</v>
      </c>
      <c r="R291" s="12" t="s">
        <v>3369</v>
      </c>
      <c r="S291" s="12" t="s">
        <v>3369</v>
      </c>
      <c r="T291" s="12" t="s">
        <v>3369</v>
      </c>
      <c r="U291" s="12" t="s">
        <v>3369</v>
      </c>
      <c r="V291" s="12" t="s">
        <v>3369</v>
      </c>
      <c r="W291" s="12" t="s">
        <v>3369</v>
      </c>
      <c r="X291" s="12" t="s">
        <v>3369</v>
      </c>
      <c r="Y291" s="12" t="s">
        <v>3369</v>
      </c>
      <c r="Z291" s="12" t="s">
        <v>3369</v>
      </c>
      <c r="AA291" s="12" t="s">
        <v>3369</v>
      </c>
      <c r="AB291" s="12" t="s">
        <v>3369</v>
      </c>
      <c r="AE291" s="32">
        <v>0.61458333333575865</v>
      </c>
      <c r="AF291" s="35"/>
    </row>
    <row r="292" spans="1:32" ht="12.75">
      <c r="A292" s="29">
        <v>43592.262210439818</v>
      </c>
      <c r="B292" s="12" t="s">
        <v>3372</v>
      </c>
      <c r="C292" s="12" t="s">
        <v>3383</v>
      </c>
      <c r="D292" s="12" t="s">
        <v>3589</v>
      </c>
      <c r="E292" s="12" t="s">
        <v>3965</v>
      </c>
      <c r="F292" s="30">
        <v>43592</v>
      </c>
      <c r="G292" s="12" t="s">
        <v>3776</v>
      </c>
      <c r="H292" s="32">
        <v>0.375</v>
      </c>
      <c r="I292" s="29">
        <v>43592.395833333328</v>
      </c>
      <c r="J292" s="12" t="s">
        <v>3331</v>
      </c>
      <c r="L292" s="12" t="s">
        <v>3299</v>
      </c>
      <c r="M292" s="12" t="s">
        <v>3379</v>
      </c>
      <c r="N292" s="12" t="s">
        <v>3840</v>
      </c>
      <c r="O292" s="12" t="s">
        <v>3381</v>
      </c>
      <c r="P292" s="12" t="s">
        <v>3369</v>
      </c>
      <c r="Q292" s="12" t="s">
        <v>3369</v>
      </c>
      <c r="R292" s="12" t="s">
        <v>3369</v>
      </c>
      <c r="S292" s="12" t="s">
        <v>3369</v>
      </c>
      <c r="T292" s="12" t="s">
        <v>3369</v>
      </c>
      <c r="U292" s="12" t="s">
        <v>3369</v>
      </c>
      <c r="V292" s="12" t="s">
        <v>3369</v>
      </c>
      <c r="W292" s="12" t="s">
        <v>3369</v>
      </c>
      <c r="X292" s="12" t="s">
        <v>3369</v>
      </c>
      <c r="Y292" s="12" t="s">
        <v>3369</v>
      </c>
      <c r="Z292" s="12" t="s">
        <v>3369</v>
      </c>
      <c r="AA292" s="12" t="s">
        <v>3369</v>
      </c>
      <c r="AB292" s="12" t="s">
        <v>3369</v>
      </c>
      <c r="AE292" s="32">
        <v>0.28125</v>
      </c>
      <c r="AF292" s="35"/>
    </row>
    <row r="293" spans="1:32" ht="12.75">
      <c r="A293" s="29">
        <v>43592.330896689818</v>
      </c>
      <c r="B293" s="12" t="s">
        <v>3390</v>
      </c>
      <c r="C293" s="12" t="s">
        <v>3391</v>
      </c>
      <c r="D293" s="12" t="s">
        <v>3589</v>
      </c>
      <c r="E293" s="12" t="s">
        <v>3966</v>
      </c>
      <c r="F293" s="30">
        <v>43592</v>
      </c>
      <c r="G293" s="12" t="s">
        <v>3419</v>
      </c>
      <c r="H293" s="32">
        <v>0.5625</v>
      </c>
      <c r="I293" s="29">
        <v>43592.565972222219</v>
      </c>
      <c r="J293" s="12" t="s">
        <v>3403</v>
      </c>
      <c r="L293" s="12" t="s">
        <v>3393</v>
      </c>
      <c r="M293" s="12" t="s">
        <v>3454</v>
      </c>
      <c r="N293" s="12" t="s">
        <v>3760</v>
      </c>
      <c r="O293" s="12" t="s">
        <v>3767</v>
      </c>
      <c r="P293" s="12" t="s">
        <v>3369</v>
      </c>
      <c r="Q293" s="12" t="s">
        <v>3369</v>
      </c>
      <c r="R293" s="12" t="s">
        <v>3369</v>
      </c>
      <c r="S293" s="12" t="s">
        <v>3369</v>
      </c>
      <c r="T293" s="12" t="s">
        <v>3369</v>
      </c>
      <c r="U293" s="12" t="s">
        <v>3369</v>
      </c>
      <c r="V293" s="12" t="s">
        <v>3369</v>
      </c>
      <c r="W293" s="12" t="s">
        <v>3369</v>
      </c>
      <c r="X293" s="12" t="s">
        <v>3369</v>
      </c>
      <c r="Y293" s="12" t="s">
        <v>3369</v>
      </c>
      <c r="Z293" s="12" t="s">
        <v>3369</v>
      </c>
      <c r="AA293" s="12" t="s">
        <v>3369</v>
      </c>
      <c r="AB293" s="12" t="s">
        <v>3369</v>
      </c>
      <c r="AE293" s="32">
        <v>0.39583333333575865</v>
      </c>
      <c r="AF293" s="35"/>
    </row>
    <row r="294" spans="1:32" ht="12.75">
      <c r="A294" s="29">
        <v>43592.611121747686</v>
      </c>
      <c r="B294" s="12" t="s">
        <v>3372</v>
      </c>
      <c r="C294" s="12" t="s">
        <v>3383</v>
      </c>
      <c r="D294" s="12" t="s">
        <v>3589</v>
      </c>
      <c r="E294" s="12" t="s">
        <v>3296</v>
      </c>
      <c r="F294" s="30">
        <v>43592</v>
      </c>
      <c r="G294" s="12" t="s">
        <v>3419</v>
      </c>
      <c r="H294" s="32">
        <v>0.79166666666424135</v>
      </c>
      <c r="I294" s="29">
        <v>43592.8125</v>
      </c>
      <c r="J294" s="12" t="s">
        <v>3331</v>
      </c>
      <c r="L294" s="12" t="s">
        <v>3299</v>
      </c>
      <c r="M294" s="12" t="s">
        <v>3379</v>
      </c>
      <c r="N294" s="12" t="s">
        <v>3840</v>
      </c>
      <c r="O294" s="12" t="s">
        <v>3381</v>
      </c>
      <c r="P294" s="12" t="s">
        <v>3369</v>
      </c>
      <c r="Q294" s="12" t="s">
        <v>3369</v>
      </c>
      <c r="R294" s="12" t="s">
        <v>3369</v>
      </c>
      <c r="S294" s="12" t="s">
        <v>3369</v>
      </c>
      <c r="T294" s="12" t="s">
        <v>3369</v>
      </c>
      <c r="U294" s="12" t="s">
        <v>3369</v>
      </c>
      <c r="V294" s="12" t="s">
        <v>3369</v>
      </c>
      <c r="W294" s="12" t="s">
        <v>3369</v>
      </c>
      <c r="X294" s="12" t="s">
        <v>3369</v>
      </c>
      <c r="Y294" s="12" t="s">
        <v>3369</v>
      </c>
      <c r="Z294" s="12" t="s">
        <v>3369</v>
      </c>
      <c r="AA294" s="12" t="s">
        <v>3369</v>
      </c>
      <c r="AB294" s="12" t="s">
        <v>3369</v>
      </c>
      <c r="AE294" s="32">
        <v>0.63541666666424135</v>
      </c>
      <c r="AF294" s="35"/>
    </row>
    <row r="295" spans="1:32" ht="12.75">
      <c r="A295" s="29">
        <v>43593.255137986111</v>
      </c>
      <c r="B295" s="12" t="s">
        <v>3372</v>
      </c>
      <c r="C295" s="12" t="s">
        <v>3383</v>
      </c>
      <c r="D295" s="12" t="s">
        <v>3589</v>
      </c>
      <c r="E295" s="12" t="s">
        <v>3296</v>
      </c>
      <c r="F295" s="30">
        <v>43593</v>
      </c>
      <c r="G295" s="12" t="s">
        <v>3967</v>
      </c>
      <c r="H295" s="32">
        <v>0.4375</v>
      </c>
      <c r="I295" s="29">
        <v>43593.458333333328</v>
      </c>
      <c r="J295" s="12" t="s">
        <v>3331</v>
      </c>
      <c r="L295" s="12" t="s">
        <v>3299</v>
      </c>
      <c r="M295" s="12" t="s">
        <v>3379</v>
      </c>
      <c r="N295" s="12" t="s">
        <v>3968</v>
      </c>
      <c r="O295" s="12" t="s">
        <v>3381</v>
      </c>
      <c r="P295" s="12" t="s">
        <v>3369</v>
      </c>
      <c r="Q295" s="12" t="s">
        <v>3369</v>
      </c>
      <c r="R295" s="12" t="s">
        <v>3369</v>
      </c>
      <c r="S295" s="12" t="s">
        <v>3369</v>
      </c>
      <c r="T295" s="12" t="s">
        <v>3369</v>
      </c>
      <c r="U295" s="12" t="s">
        <v>3369</v>
      </c>
      <c r="V295" s="12" t="s">
        <v>3369</v>
      </c>
      <c r="W295" s="12" t="s">
        <v>3369</v>
      </c>
      <c r="X295" s="12" t="s">
        <v>3369</v>
      </c>
      <c r="Y295" s="12" t="s">
        <v>3369</v>
      </c>
      <c r="Z295" s="12" t="s">
        <v>3369</v>
      </c>
      <c r="AA295" s="12" t="s">
        <v>3369</v>
      </c>
      <c r="AB295" s="12" t="s">
        <v>3369</v>
      </c>
      <c r="AE295" s="32">
        <v>0.27083333333575865</v>
      </c>
      <c r="AF295" s="35"/>
    </row>
    <row r="296" spans="1:32" ht="12.75">
      <c r="A296" s="29">
        <v>43594.266465729168</v>
      </c>
      <c r="B296" s="12" t="s">
        <v>3372</v>
      </c>
      <c r="C296" s="12" t="s">
        <v>3383</v>
      </c>
      <c r="D296" s="12" t="s">
        <v>3589</v>
      </c>
      <c r="E296" s="12" t="s">
        <v>3296</v>
      </c>
      <c r="F296" s="30">
        <v>43594</v>
      </c>
      <c r="G296" s="12" t="s">
        <v>3969</v>
      </c>
      <c r="H296" s="32">
        <v>0.41666666666424135</v>
      </c>
      <c r="I296" s="29">
        <v>43594.4375</v>
      </c>
      <c r="J296" s="12" t="s">
        <v>3331</v>
      </c>
      <c r="L296" s="12" t="s">
        <v>3299</v>
      </c>
      <c r="M296" s="12" t="s">
        <v>3379</v>
      </c>
      <c r="N296" s="12" t="s">
        <v>3970</v>
      </c>
      <c r="O296" s="12" t="s">
        <v>3381</v>
      </c>
      <c r="P296" s="12" t="s">
        <v>3369</v>
      </c>
      <c r="Q296" s="12" t="s">
        <v>3369</v>
      </c>
      <c r="R296" s="12" t="s">
        <v>3369</v>
      </c>
      <c r="S296" s="12" t="s">
        <v>3369</v>
      </c>
      <c r="T296" s="12" t="s">
        <v>3369</v>
      </c>
      <c r="U296" s="12" t="s">
        <v>3369</v>
      </c>
      <c r="V296" s="12" t="s">
        <v>3369</v>
      </c>
      <c r="W296" s="12" t="s">
        <v>3369</v>
      </c>
      <c r="X296" s="12" t="s">
        <v>3369</v>
      </c>
      <c r="Y296" s="12" t="s">
        <v>3369</v>
      </c>
      <c r="Z296" s="12" t="s">
        <v>3369</v>
      </c>
      <c r="AA296" s="12" t="s">
        <v>3369</v>
      </c>
      <c r="AB296" s="12" t="s">
        <v>3369</v>
      </c>
      <c r="AE296" s="32">
        <v>0.28125</v>
      </c>
      <c r="AF296" s="35"/>
    </row>
    <row r="297" spans="1:32" ht="12.75">
      <c r="A297" s="29">
        <v>43595.265058159726</v>
      </c>
      <c r="B297" s="12" t="s">
        <v>3971</v>
      </c>
      <c r="C297" s="12" t="s">
        <v>3383</v>
      </c>
      <c r="D297" s="12" t="s">
        <v>3589</v>
      </c>
      <c r="E297" s="12" t="s">
        <v>3296</v>
      </c>
      <c r="F297" s="30">
        <v>43595</v>
      </c>
      <c r="G297" s="12" t="s">
        <v>3419</v>
      </c>
      <c r="H297" s="32">
        <v>0.45833333333575865</v>
      </c>
      <c r="I297" s="29">
        <v>43595.479166666672</v>
      </c>
      <c r="J297" s="12" t="s">
        <v>3331</v>
      </c>
      <c r="L297" s="12" t="s">
        <v>3299</v>
      </c>
      <c r="M297" s="12" t="s">
        <v>3379</v>
      </c>
      <c r="N297" s="12" t="s">
        <v>3968</v>
      </c>
      <c r="O297" s="12" t="s">
        <v>3381</v>
      </c>
      <c r="P297" s="12" t="s">
        <v>3369</v>
      </c>
      <c r="Q297" s="12" t="s">
        <v>3369</v>
      </c>
      <c r="R297" s="12" t="s">
        <v>3369</v>
      </c>
      <c r="S297" s="12" t="s">
        <v>3369</v>
      </c>
      <c r="T297" s="12" t="s">
        <v>3369</v>
      </c>
      <c r="U297" s="12" t="s">
        <v>3369</v>
      </c>
      <c r="V297" s="12" t="s">
        <v>3369</v>
      </c>
      <c r="W297" s="12" t="s">
        <v>3369</v>
      </c>
      <c r="X297" s="12" t="s">
        <v>3369</v>
      </c>
      <c r="Y297" s="12" t="s">
        <v>3369</v>
      </c>
      <c r="Z297" s="12" t="s">
        <v>3369</v>
      </c>
      <c r="AA297" s="12" t="s">
        <v>3369</v>
      </c>
      <c r="AB297" s="12" t="s">
        <v>3369</v>
      </c>
      <c r="AE297" s="32">
        <v>0.27083333333575865</v>
      </c>
      <c r="AF297" s="35"/>
    </row>
    <row r="298" spans="1:32" ht="12.75">
      <c r="A298" s="29">
        <v>43599.343363796295</v>
      </c>
      <c r="B298" s="12" t="s">
        <v>3399</v>
      </c>
      <c r="C298" s="12" t="s">
        <v>3400</v>
      </c>
      <c r="D298" s="12" t="s">
        <v>3401</v>
      </c>
      <c r="E298" s="12" t="s">
        <v>3482</v>
      </c>
      <c r="F298" s="30">
        <v>43599</v>
      </c>
      <c r="G298" s="12" t="s">
        <v>3972</v>
      </c>
      <c r="H298" s="32">
        <v>0.6875</v>
      </c>
      <c r="J298" s="12" t="s">
        <v>3377</v>
      </c>
      <c r="L298" s="12" t="s">
        <v>3299</v>
      </c>
      <c r="M298" s="12" t="s">
        <v>3458</v>
      </c>
      <c r="N298" s="12" t="s">
        <v>3973</v>
      </c>
      <c r="O298" s="12" t="s">
        <v>3408</v>
      </c>
      <c r="P298" s="12" t="s">
        <v>3369</v>
      </c>
      <c r="Q298" s="12" t="s">
        <v>3369</v>
      </c>
      <c r="R298" s="12" t="s">
        <v>3369</v>
      </c>
      <c r="S298" s="12" t="s">
        <v>3369</v>
      </c>
      <c r="T298" s="12" t="s">
        <v>3369</v>
      </c>
      <c r="U298" s="12" t="s">
        <v>3369</v>
      </c>
      <c r="V298" s="12" t="s">
        <v>3369</v>
      </c>
      <c r="W298" s="12" t="s">
        <v>3369</v>
      </c>
      <c r="X298" s="12" t="s">
        <v>3369</v>
      </c>
      <c r="Y298" s="12" t="s">
        <v>3369</v>
      </c>
      <c r="Z298" s="12" t="s">
        <v>3369</v>
      </c>
      <c r="AA298" s="12" t="s">
        <v>3369</v>
      </c>
      <c r="AB298" s="12" t="s">
        <v>3369</v>
      </c>
      <c r="AE298" s="32">
        <v>0.38541666666424135</v>
      </c>
      <c r="AF298" s="35"/>
    </row>
    <row r="299" spans="1:32" ht="12.75">
      <c r="A299" s="29">
        <v>43599.428668344903</v>
      </c>
      <c r="B299" s="12" t="s">
        <v>3372</v>
      </c>
      <c r="C299" s="12" t="s">
        <v>3639</v>
      </c>
      <c r="D299" s="12" t="s">
        <v>3589</v>
      </c>
      <c r="E299" s="12" t="s">
        <v>3599</v>
      </c>
      <c r="F299" s="30">
        <v>43599</v>
      </c>
      <c r="G299" s="12" t="s">
        <v>3855</v>
      </c>
      <c r="H299" s="32">
        <v>0.66666666666424135</v>
      </c>
      <c r="I299" s="29">
        <v>43599.6875</v>
      </c>
      <c r="J299" s="12" t="s">
        <v>3298</v>
      </c>
      <c r="L299" s="12" t="s">
        <v>3461</v>
      </c>
      <c r="M299" s="12" t="s">
        <v>3379</v>
      </c>
      <c r="N299" s="12" t="s">
        <v>3840</v>
      </c>
      <c r="O299" s="12" t="s">
        <v>3381</v>
      </c>
      <c r="P299" s="12" t="s">
        <v>3369</v>
      </c>
      <c r="Q299" s="12" t="s">
        <v>3369</v>
      </c>
      <c r="R299" s="12" t="s">
        <v>3369</v>
      </c>
      <c r="S299" s="12" t="s">
        <v>3369</v>
      </c>
      <c r="T299" s="12" t="s">
        <v>3369</v>
      </c>
      <c r="U299" s="12" t="s">
        <v>3369</v>
      </c>
      <c r="V299" s="12" t="s">
        <v>3369</v>
      </c>
      <c r="W299" s="12" t="s">
        <v>3369</v>
      </c>
      <c r="X299" s="12" t="s">
        <v>3369</v>
      </c>
      <c r="Y299" s="12" t="s">
        <v>3369</v>
      </c>
      <c r="Z299" s="12" t="s">
        <v>3369</v>
      </c>
      <c r="AA299" s="12" t="s">
        <v>3369</v>
      </c>
      <c r="AB299" s="12" t="s">
        <v>3369</v>
      </c>
      <c r="AE299" s="32">
        <v>0.4375</v>
      </c>
      <c r="AF299" s="35"/>
    </row>
    <row r="300" spans="1:32" ht="12.75">
      <c r="A300" s="29">
        <v>43600.358316099533</v>
      </c>
      <c r="B300" s="12" t="s">
        <v>3399</v>
      </c>
      <c r="C300" s="12" t="s">
        <v>3400</v>
      </c>
      <c r="D300" s="12" t="s">
        <v>3401</v>
      </c>
      <c r="E300" s="12" t="s">
        <v>3482</v>
      </c>
      <c r="F300" s="30">
        <v>43600</v>
      </c>
      <c r="G300" s="12" t="s">
        <v>3947</v>
      </c>
      <c r="H300" s="32">
        <v>0.6875</v>
      </c>
      <c r="J300" s="12" t="s">
        <v>3377</v>
      </c>
      <c r="L300" s="12" t="s">
        <v>3299</v>
      </c>
      <c r="M300" s="12" t="s">
        <v>3458</v>
      </c>
      <c r="N300" s="12" t="s">
        <v>3974</v>
      </c>
      <c r="O300" s="12" t="s">
        <v>3408</v>
      </c>
      <c r="P300" s="12" t="s">
        <v>3369</v>
      </c>
      <c r="Q300" s="12" t="s">
        <v>3369</v>
      </c>
      <c r="R300" s="12" t="s">
        <v>3369</v>
      </c>
      <c r="S300" s="12" t="s">
        <v>3369</v>
      </c>
      <c r="T300" s="12" t="s">
        <v>3369</v>
      </c>
      <c r="U300" s="12" t="s">
        <v>3369</v>
      </c>
      <c r="V300" s="12" t="s">
        <v>3369</v>
      </c>
      <c r="W300" s="12" t="s">
        <v>3369</v>
      </c>
      <c r="X300" s="12" t="s">
        <v>3369</v>
      </c>
      <c r="Y300" s="12" t="s">
        <v>3369</v>
      </c>
      <c r="Z300" s="12" t="s">
        <v>3369</v>
      </c>
      <c r="AA300" s="12" t="s">
        <v>3369</v>
      </c>
      <c r="AB300" s="12" t="s">
        <v>3369</v>
      </c>
      <c r="AE300" s="32">
        <v>0.38541666666424135</v>
      </c>
      <c r="AF300" s="35"/>
    </row>
    <row r="301" spans="1:32" ht="12.75">
      <c r="A301" s="29">
        <v>43600.498494525462</v>
      </c>
      <c r="B301" s="12" t="s">
        <v>3390</v>
      </c>
      <c r="C301" s="12" t="s">
        <v>3391</v>
      </c>
      <c r="D301" s="12" t="s">
        <v>3589</v>
      </c>
      <c r="E301" s="12" t="s">
        <v>3834</v>
      </c>
      <c r="F301" s="30">
        <v>43601</v>
      </c>
      <c r="G301" s="12" t="s">
        <v>3465</v>
      </c>
      <c r="H301" s="32">
        <v>0.53125</v>
      </c>
      <c r="I301" s="29">
        <v>43601.541666666672</v>
      </c>
      <c r="J301" s="12" t="s">
        <v>3331</v>
      </c>
      <c r="L301" s="12" t="s">
        <v>3393</v>
      </c>
      <c r="M301" s="12" t="s">
        <v>3454</v>
      </c>
      <c r="N301" s="12" t="s">
        <v>3975</v>
      </c>
      <c r="O301" s="12" t="s">
        <v>3767</v>
      </c>
      <c r="P301" s="12" t="s">
        <v>3369</v>
      </c>
      <c r="Q301" s="12" t="s">
        <v>3369</v>
      </c>
      <c r="R301" s="12" t="s">
        <v>3369</v>
      </c>
      <c r="S301" s="12" t="s">
        <v>3369</v>
      </c>
      <c r="T301" s="12" t="s">
        <v>3369</v>
      </c>
      <c r="U301" s="12" t="s">
        <v>3369</v>
      </c>
      <c r="V301" s="12" t="s">
        <v>3369</v>
      </c>
      <c r="W301" s="12" t="s">
        <v>3369</v>
      </c>
      <c r="X301" s="12" t="s">
        <v>3369</v>
      </c>
      <c r="Y301" s="12" t="s">
        <v>3369</v>
      </c>
      <c r="Z301" s="12" t="s">
        <v>3369</v>
      </c>
      <c r="AA301" s="12" t="s">
        <v>3369</v>
      </c>
      <c r="AB301" s="12" t="s">
        <v>3369</v>
      </c>
      <c r="AE301" s="32">
        <v>0.32291666666424135</v>
      </c>
      <c r="AF301" s="35"/>
    </row>
    <row r="302" spans="1:32" ht="12.75">
      <c r="A302" s="29">
        <v>43600.728390381948</v>
      </c>
      <c r="B302" s="12" t="s">
        <v>3399</v>
      </c>
      <c r="C302" s="12" t="s">
        <v>3400</v>
      </c>
      <c r="D302" s="12" t="s">
        <v>3401</v>
      </c>
      <c r="E302" s="12" t="s">
        <v>3687</v>
      </c>
      <c r="F302" s="30">
        <v>43601</v>
      </c>
      <c r="G302" s="12" t="s">
        <v>3976</v>
      </c>
      <c r="H302" s="32">
        <v>0.58333333333575865</v>
      </c>
      <c r="J302" s="12" t="s">
        <v>3377</v>
      </c>
      <c r="L302" s="12" t="s">
        <v>3299</v>
      </c>
      <c r="M302" s="12" t="s">
        <v>3977</v>
      </c>
      <c r="N302" s="12" t="s">
        <v>3978</v>
      </c>
      <c r="O302" s="12" t="s">
        <v>3408</v>
      </c>
      <c r="P302" s="12" t="s">
        <v>3369</v>
      </c>
      <c r="Q302" s="12" t="s">
        <v>3369</v>
      </c>
      <c r="R302" s="12" t="s">
        <v>3369</v>
      </c>
      <c r="S302" s="12" t="s">
        <v>3369</v>
      </c>
      <c r="T302" s="12" t="s">
        <v>3369</v>
      </c>
      <c r="U302" s="12" t="s">
        <v>3369</v>
      </c>
      <c r="V302" s="12" t="s">
        <v>3369</v>
      </c>
      <c r="W302" s="12" t="s">
        <v>3369</v>
      </c>
      <c r="X302" s="12" t="s">
        <v>3369</v>
      </c>
      <c r="Y302" s="12" t="s">
        <v>3369</v>
      </c>
      <c r="Z302" s="12" t="s">
        <v>3369</v>
      </c>
      <c r="AA302" s="12" t="s">
        <v>3369</v>
      </c>
      <c r="AB302" s="12" t="s">
        <v>3369</v>
      </c>
      <c r="AE302" s="32">
        <v>0.41666666666424135</v>
      </c>
      <c r="AF302" s="35"/>
    </row>
    <row r="303" spans="1:32" ht="12.75">
      <c r="A303" s="29">
        <v>43601.525548240737</v>
      </c>
      <c r="B303" s="12" t="s">
        <v>3372</v>
      </c>
      <c r="C303" s="12" t="s">
        <v>3383</v>
      </c>
      <c r="D303" s="12" t="s">
        <v>3589</v>
      </c>
      <c r="E303" s="12" t="s">
        <v>3599</v>
      </c>
      <c r="F303" s="30">
        <v>43601</v>
      </c>
      <c r="G303" s="12" t="s">
        <v>3979</v>
      </c>
      <c r="H303" s="32">
        <v>0.77083333333575865</v>
      </c>
      <c r="I303" s="29">
        <v>43601.791666666672</v>
      </c>
      <c r="J303" s="12" t="s">
        <v>3298</v>
      </c>
      <c r="L303" s="12" t="s">
        <v>3461</v>
      </c>
      <c r="M303" s="12" t="s">
        <v>3379</v>
      </c>
      <c r="N303" s="12" t="s">
        <v>3840</v>
      </c>
      <c r="O303" s="12" t="s">
        <v>3381</v>
      </c>
      <c r="P303" s="12" t="s">
        <v>3369</v>
      </c>
      <c r="Q303" s="12" t="s">
        <v>3369</v>
      </c>
      <c r="R303" s="12" t="s">
        <v>3369</v>
      </c>
      <c r="S303" s="12" t="s">
        <v>3369</v>
      </c>
      <c r="T303" s="12" t="s">
        <v>3369</v>
      </c>
      <c r="U303" s="12" t="s">
        <v>3369</v>
      </c>
      <c r="V303" s="12" t="s">
        <v>3369</v>
      </c>
      <c r="W303" s="12" t="s">
        <v>3369</v>
      </c>
      <c r="X303" s="12" t="s">
        <v>3369</v>
      </c>
      <c r="Y303" s="12" t="s">
        <v>3369</v>
      </c>
      <c r="Z303" s="12" t="s">
        <v>3369</v>
      </c>
      <c r="AA303" s="12" t="s">
        <v>3369</v>
      </c>
      <c r="AB303" s="12" t="s">
        <v>3369</v>
      </c>
      <c r="AE303" s="32">
        <v>0.59375</v>
      </c>
      <c r="AF303" s="35"/>
    </row>
    <row r="304" spans="1:32" ht="12.75">
      <c r="A304" s="29">
        <v>43602.58879569445</v>
      </c>
      <c r="B304" s="12" t="s">
        <v>3417</v>
      </c>
      <c r="C304" s="12" t="s">
        <v>3383</v>
      </c>
      <c r="D304" s="12" t="s">
        <v>3589</v>
      </c>
      <c r="E304" s="12" t="s">
        <v>3599</v>
      </c>
      <c r="F304" s="30">
        <v>43602</v>
      </c>
      <c r="G304" s="12" t="s">
        <v>3980</v>
      </c>
      <c r="H304" s="32">
        <v>0.70833333333575865</v>
      </c>
      <c r="I304" s="29">
        <v>43602.729166666672</v>
      </c>
      <c r="J304" s="12" t="s">
        <v>3298</v>
      </c>
      <c r="L304" s="12" t="s">
        <v>3981</v>
      </c>
      <c r="M304" s="12" t="s">
        <v>3379</v>
      </c>
      <c r="N304" s="12" t="s">
        <v>3840</v>
      </c>
      <c r="O304" s="12" t="s">
        <v>3381</v>
      </c>
      <c r="P304" s="12" t="s">
        <v>3369</v>
      </c>
      <c r="Q304" s="12" t="s">
        <v>3369</v>
      </c>
      <c r="R304" s="12" t="s">
        <v>3369</v>
      </c>
      <c r="S304" s="12" t="s">
        <v>3369</v>
      </c>
      <c r="T304" s="12" t="s">
        <v>3369</v>
      </c>
      <c r="U304" s="12" t="s">
        <v>3369</v>
      </c>
      <c r="V304" s="12" t="s">
        <v>3369</v>
      </c>
      <c r="W304" s="12" t="s">
        <v>3369</v>
      </c>
      <c r="X304" s="12" t="s">
        <v>3369</v>
      </c>
      <c r="Y304" s="12" t="s">
        <v>3369</v>
      </c>
      <c r="Z304" s="12" t="s">
        <v>3369</v>
      </c>
      <c r="AA304" s="12" t="s">
        <v>3369</v>
      </c>
      <c r="AB304" s="12" t="s">
        <v>3369</v>
      </c>
      <c r="AE304" s="32">
        <v>0.58333333333575865</v>
      </c>
      <c r="AF304" s="35"/>
    </row>
    <row r="305" spans="1:32" ht="12.75">
      <c r="A305" s="29">
        <v>43602.705312557868</v>
      </c>
      <c r="B305" s="12" t="s">
        <v>3399</v>
      </c>
      <c r="C305" s="12" t="s">
        <v>3400</v>
      </c>
      <c r="D305" s="12" t="s">
        <v>3401</v>
      </c>
      <c r="E305" s="12" t="s">
        <v>3404</v>
      </c>
      <c r="F305" s="30">
        <v>43603</v>
      </c>
      <c r="G305" s="12" t="s">
        <v>3982</v>
      </c>
      <c r="H305" s="32">
        <v>0.58333333333575865</v>
      </c>
      <c r="J305" s="12" t="s">
        <v>3377</v>
      </c>
      <c r="L305" s="12" t="s">
        <v>3299</v>
      </c>
      <c r="M305" s="12" t="s">
        <v>3458</v>
      </c>
      <c r="N305" s="12" t="s">
        <v>3983</v>
      </c>
      <c r="O305" s="12" t="s">
        <v>3408</v>
      </c>
      <c r="P305" s="12" t="s">
        <v>3369</v>
      </c>
      <c r="Q305" s="12" t="s">
        <v>3369</v>
      </c>
      <c r="R305" s="12" t="s">
        <v>3369</v>
      </c>
      <c r="S305" s="12" t="s">
        <v>3369</v>
      </c>
      <c r="T305" s="12" t="s">
        <v>3369</v>
      </c>
      <c r="U305" s="12" t="s">
        <v>3369</v>
      </c>
      <c r="V305" s="12" t="s">
        <v>3369</v>
      </c>
      <c r="W305" s="12" t="s">
        <v>3369</v>
      </c>
      <c r="X305" s="12" t="s">
        <v>3369</v>
      </c>
      <c r="Y305" s="12" t="s">
        <v>3369</v>
      </c>
      <c r="Z305" s="12" t="s">
        <v>3369</v>
      </c>
      <c r="AA305" s="12" t="s">
        <v>3369</v>
      </c>
      <c r="AB305" s="12" t="s">
        <v>3369</v>
      </c>
      <c r="AE305" s="32">
        <v>0.38541666666424135</v>
      </c>
      <c r="AF305" s="35"/>
    </row>
    <row r="306" spans="1:32" ht="12.75">
      <c r="A306" s="29">
        <v>43605.327006307867</v>
      </c>
      <c r="B306" s="12" t="s">
        <v>3390</v>
      </c>
      <c r="C306" s="12" t="s">
        <v>3984</v>
      </c>
      <c r="D306" s="12" t="s">
        <v>3589</v>
      </c>
      <c r="E306" s="12" t="s">
        <v>3834</v>
      </c>
      <c r="F306" s="30">
        <v>43605</v>
      </c>
      <c r="G306" s="12" t="s">
        <v>3985</v>
      </c>
      <c r="H306" s="32">
        <v>0.52083333333575865</v>
      </c>
      <c r="I306" s="29">
        <v>43605.53125</v>
      </c>
      <c r="J306" s="12" t="s">
        <v>3377</v>
      </c>
      <c r="L306" s="12" t="s">
        <v>3299</v>
      </c>
      <c r="M306" s="12" t="s">
        <v>3591</v>
      </c>
      <c r="N306" s="12" t="s">
        <v>3986</v>
      </c>
      <c r="O306" s="12" t="s">
        <v>3946</v>
      </c>
      <c r="P306" s="12" t="s">
        <v>3369</v>
      </c>
      <c r="Q306" s="12" t="s">
        <v>3369</v>
      </c>
      <c r="R306" s="12" t="s">
        <v>3369</v>
      </c>
      <c r="S306" s="12" t="s">
        <v>3369</v>
      </c>
      <c r="T306" s="12" t="s">
        <v>3369</v>
      </c>
      <c r="U306" s="12" t="s">
        <v>3369</v>
      </c>
      <c r="V306" s="12" t="s">
        <v>3369</v>
      </c>
      <c r="W306" s="12" t="s">
        <v>3369</v>
      </c>
      <c r="X306" s="12" t="s">
        <v>3369</v>
      </c>
      <c r="Y306" s="12" t="s">
        <v>3369</v>
      </c>
      <c r="Z306" s="12" t="s">
        <v>3369</v>
      </c>
      <c r="AA306" s="12" t="s">
        <v>3369</v>
      </c>
      <c r="AB306" s="12" t="s">
        <v>3369</v>
      </c>
      <c r="AE306" s="32">
        <v>0.41666666666424135</v>
      </c>
      <c r="AF306" s="35"/>
    </row>
    <row r="307" spans="1:32" ht="12.75">
      <c r="A307" s="29">
        <v>43605.361720416666</v>
      </c>
      <c r="B307" s="12" t="s">
        <v>3406</v>
      </c>
      <c r="C307" s="12" t="s">
        <v>3400</v>
      </c>
      <c r="D307" s="12" t="s">
        <v>3401</v>
      </c>
      <c r="E307" s="12" t="s">
        <v>3987</v>
      </c>
      <c r="F307" s="30">
        <v>43605</v>
      </c>
      <c r="G307" s="12" t="s">
        <v>3988</v>
      </c>
      <c r="H307" s="32">
        <v>0.70833333333575865</v>
      </c>
      <c r="J307" s="12" t="s">
        <v>3298</v>
      </c>
      <c r="L307" s="12" t="s">
        <v>3461</v>
      </c>
      <c r="M307" s="12" t="s">
        <v>3989</v>
      </c>
      <c r="O307" s="12" t="s">
        <v>3408</v>
      </c>
      <c r="P307" s="12" t="s">
        <v>3369</v>
      </c>
      <c r="Q307" s="12" t="s">
        <v>3369</v>
      </c>
      <c r="R307" s="12" t="s">
        <v>3369</v>
      </c>
      <c r="S307" s="12" t="s">
        <v>3369</v>
      </c>
      <c r="T307" s="12" t="s">
        <v>3369</v>
      </c>
      <c r="U307" s="12" t="s">
        <v>3369</v>
      </c>
      <c r="V307" s="12" t="s">
        <v>3369</v>
      </c>
      <c r="W307" s="12" t="s">
        <v>3369</v>
      </c>
      <c r="X307" s="12" t="s">
        <v>3369</v>
      </c>
      <c r="Y307" s="12" t="s">
        <v>3369</v>
      </c>
      <c r="Z307" s="12" t="s">
        <v>3369</v>
      </c>
      <c r="AA307" s="12" t="s">
        <v>3369</v>
      </c>
      <c r="AB307" s="12" t="s">
        <v>3369</v>
      </c>
      <c r="AE307" s="32">
        <v>0.4375</v>
      </c>
      <c r="AF307" s="35"/>
    </row>
    <row r="308" spans="1:32" ht="12.75">
      <c r="A308" s="29">
        <v>43606.344595625</v>
      </c>
      <c r="B308" s="12" t="s">
        <v>3417</v>
      </c>
      <c r="C308" s="12" t="s">
        <v>3639</v>
      </c>
      <c r="D308" s="12" t="s">
        <v>3589</v>
      </c>
      <c r="E308" s="12" t="s">
        <v>3990</v>
      </c>
      <c r="F308" s="30">
        <v>43606</v>
      </c>
      <c r="G308" s="12" t="s">
        <v>3640</v>
      </c>
      <c r="H308" s="32">
        <v>0.70833333333575865</v>
      </c>
      <c r="I308" s="29">
        <v>43606.75</v>
      </c>
      <c r="J308" s="12" t="s">
        <v>3331</v>
      </c>
      <c r="L308" s="12" t="s">
        <v>3461</v>
      </c>
      <c r="M308" s="12" t="s">
        <v>3991</v>
      </c>
      <c r="N308" s="12" t="s">
        <v>3992</v>
      </c>
      <c r="O308" s="12" t="s">
        <v>3381</v>
      </c>
      <c r="P308" s="12" t="s">
        <v>3369</v>
      </c>
      <c r="Q308" s="12" t="s">
        <v>3369</v>
      </c>
      <c r="R308" s="12" t="s">
        <v>3369</v>
      </c>
      <c r="S308" s="12" t="s">
        <v>3369</v>
      </c>
      <c r="T308" s="12" t="s">
        <v>3369</v>
      </c>
      <c r="U308" s="12" t="s">
        <v>3369</v>
      </c>
      <c r="V308" s="12" t="s">
        <v>3369</v>
      </c>
      <c r="W308" s="12" t="s">
        <v>3369</v>
      </c>
      <c r="X308" s="12" t="s">
        <v>3369</v>
      </c>
      <c r="Y308" s="12" t="s">
        <v>3369</v>
      </c>
      <c r="Z308" s="12" t="s">
        <v>3369</v>
      </c>
      <c r="AA308" s="12" t="s">
        <v>3369</v>
      </c>
      <c r="AB308" s="12" t="s">
        <v>3369</v>
      </c>
      <c r="AE308" s="32">
        <v>0.34375</v>
      </c>
      <c r="AF308" s="35"/>
    </row>
    <row r="309" spans="1:32" ht="12.75">
      <c r="A309" s="29">
        <v>43606.347828287035</v>
      </c>
      <c r="B309" s="12" t="s">
        <v>3993</v>
      </c>
      <c r="C309" s="12" t="s">
        <v>3994</v>
      </c>
      <c r="D309" s="12" t="s">
        <v>3589</v>
      </c>
      <c r="E309" s="12" t="s">
        <v>3990</v>
      </c>
      <c r="F309" s="30">
        <v>43606</v>
      </c>
      <c r="G309" s="12" t="s">
        <v>3640</v>
      </c>
      <c r="H309" s="32">
        <v>0.70833333333575865</v>
      </c>
      <c r="I309" s="29">
        <v>43606.75</v>
      </c>
      <c r="J309" s="12" t="s">
        <v>3377</v>
      </c>
      <c r="L309" s="12" t="s">
        <v>3299</v>
      </c>
      <c r="M309" s="12" t="s">
        <v>3995</v>
      </c>
      <c r="N309" s="12" t="s">
        <v>3996</v>
      </c>
      <c r="O309" s="12" t="s">
        <v>3997</v>
      </c>
      <c r="P309" s="12" t="s">
        <v>3369</v>
      </c>
      <c r="Q309" s="12" t="s">
        <v>3369</v>
      </c>
      <c r="R309" s="12" t="s">
        <v>3369</v>
      </c>
      <c r="S309" s="12" t="s">
        <v>3369</v>
      </c>
      <c r="T309" s="12" t="s">
        <v>3369</v>
      </c>
      <c r="U309" s="12" t="s">
        <v>3369</v>
      </c>
      <c r="V309" s="12" t="s">
        <v>3369</v>
      </c>
      <c r="W309" s="12" t="s">
        <v>3369</v>
      </c>
      <c r="X309" s="12" t="s">
        <v>3369</v>
      </c>
      <c r="Y309" s="12" t="s">
        <v>3369</v>
      </c>
      <c r="Z309" s="12" t="s">
        <v>3369</v>
      </c>
      <c r="AA309" s="12" t="s">
        <v>3369</v>
      </c>
      <c r="AB309" s="12" t="s">
        <v>3369</v>
      </c>
      <c r="AE309" s="32">
        <v>0.36458333333575865</v>
      </c>
      <c r="AF309" s="35"/>
    </row>
    <row r="310" spans="1:32" ht="12.75">
      <c r="A310" s="29">
        <v>43608.300555381946</v>
      </c>
      <c r="B310" s="12" t="s">
        <v>3564</v>
      </c>
      <c r="C310" s="12" t="s">
        <v>3565</v>
      </c>
      <c r="D310" s="12" t="s">
        <v>3589</v>
      </c>
      <c r="E310" s="12" t="s">
        <v>3730</v>
      </c>
      <c r="F310" s="30">
        <v>43608</v>
      </c>
      <c r="G310" s="12" t="s">
        <v>3998</v>
      </c>
      <c r="H310" s="32">
        <v>0.60416666666424135</v>
      </c>
      <c r="I310" s="29">
        <v>43608.635416666672</v>
      </c>
      <c r="J310" s="12" t="s">
        <v>3377</v>
      </c>
      <c r="L310" s="12" t="s">
        <v>3299</v>
      </c>
      <c r="M310" s="12" t="s">
        <v>3999</v>
      </c>
      <c r="N310" s="12" t="s">
        <v>3490</v>
      </c>
      <c r="O310" s="12" t="s">
        <v>3999</v>
      </c>
      <c r="P310" s="12" t="s">
        <v>3369</v>
      </c>
      <c r="Q310" s="12" t="s">
        <v>3369</v>
      </c>
      <c r="R310" s="12" t="s">
        <v>3369</v>
      </c>
      <c r="S310" s="12" t="s">
        <v>3369</v>
      </c>
      <c r="T310" s="12" t="s">
        <v>3369</v>
      </c>
      <c r="U310" s="12" t="s">
        <v>3369</v>
      </c>
      <c r="V310" s="12" t="s">
        <v>3369</v>
      </c>
      <c r="W310" s="12" t="s">
        <v>3369</v>
      </c>
      <c r="X310" s="12" t="s">
        <v>3369</v>
      </c>
      <c r="Y310" s="12" t="s">
        <v>3369</v>
      </c>
      <c r="Z310" s="12" t="s">
        <v>3369</v>
      </c>
      <c r="AA310" s="12" t="s">
        <v>3369</v>
      </c>
      <c r="AB310" s="12" t="s">
        <v>3369</v>
      </c>
      <c r="AC310" s="12" t="s">
        <v>4000</v>
      </c>
      <c r="AD310" s="12" t="s">
        <v>3369</v>
      </c>
      <c r="AE310" s="32">
        <v>0.3125</v>
      </c>
      <c r="AF310" s="35"/>
    </row>
    <row r="311" spans="1:32" ht="12.75">
      <c r="A311" s="29">
        <v>43615.697524988427</v>
      </c>
      <c r="B311" s="12" t="s">
        <v>3408</v>
      </c>
      <c r="C311" s="12" t="s">
        <v>3400</v>
      </c>
      <c r="D311" s="12" t="s">
        <v>3401</v>
      </c>
      <c r="E311" s="12" t="s">
        <v>4001</v>
      </c>
      <c r="F311" s="30">
        <v>43616</v>
      </c>
      <c r="G311" s="12" t="s">
        <v>4002</v>
      </c>
      <c r="H311" s="32">
        <v>0.75</v>
      </c>
      <c r="J311" s="12" t="s">
        <v>3377</v>
      </c>
      <c r="L311" s="12" t="s">
        <v>3393</v>
      </c>
      <c r="M311" s="12" t="s">
        <v>3458</v>
      </c>
      <c r="N311" s="12" t="s">
        <v>4003</v>
      </c>
      <c r="O311" s="12" t="s">
        <v>3408</v>
      </c>
      <c r="P311" s="12" t="s">
        <v>3369</v>
      </c>
      <c r="Q311" s="12" t="s">
        <v>3369</v>
      </c>
      <c r="R311" s="12" t="s">
        <v>3369</v>
      </c>
      <c r="S311" s="12" t="s">
        <v>3369</v>
      </c>
      <c r="T311" s="12" t="s">
        <v>3369</v>
      </c>
      <c r="U311" s="12" t="s">
        <v>3369</v>
      </c>
      <c r="V311" s="12" t="s">
        <v>3369</v>
      </c>
      <c r="W311" s="12" t="s">
        <v>3369</v>
      </c>
      <c r="X311" s="12" t="s">
        <v>3369</v>
      </c>
      <c r="Y311" s="12" t="s">
        <v>3369</v>
      </c>
      <c r="Z311" s="12" t="s">
        <v>3369</v>
      </c>
      <c r="AA311" s="12" t="s">
        <v>3369</v>
      </c>
      <c r="AB311" s="12" t="s">
        <v>3369</v>
      </c>
      <c r="AE311" s="32">
        <v>0.5625</v>
      </c>
      <c r="AF311" s="35"/>
    </row>
    <row r="312" spans="1:32" ht="12.75">
      <c r="A312" s="29">
        <v>43616.378163692134</v>
      </c>
      <c r="B312" s="12" t="s">
        <v>3372</v>
      </c>
      <c r="C312" s="12" t="s">
        <v>3383</v>
      </c>
      <c r="D312" s="12" t="s">
        <v>3589</v>
      </c>
      <c r="E312" s="12" t="s">
        <v>4004</v>
      </c>
      <c r="F312" s="30">
        <v>43616</v>
      </c>
      <c r="G312" s="12" t="s">
        <v>4005</v>
      </c>
      <c r="H312" s="32">
        <v>0.54166666666424135</v>
      </c>
      <c r="I312" s="29">
        <v>43616.708333333328</v>
      </c>
      <c r="J312" s="12" t="s">
        <v>3331</v>
      </c>
      <c r="L312" s="12" t="s">
        <v>3461</v>
      </c>
      <c r="M312" s="12" t="s">
        <v>3379</v>
      </c>
      <c r="N312" s="12" t="s">
        <v>4006</v>
      </c>
      <c r="O312" s="12" t="s">
        <v>3381</v>
      </c>
      <c r="P312" s="12" t="s">
        <v>3369</v>
      </c>
      <c r="Q312" s="12" t="s">
        <v>3369</v>
      </c>
      <c r="R312" s="12" t="s">
        <v>3369</v>
      </c>
      <c r="S312" s="12" t="s">
        <v>3369</v>
      </c>
      <c r="T312" s="12" t="s">
        <v>3369</v>
      </c>
      <c r="U312" s="12" t="s">
        <v>3369</v>
      </c>
      <c r="V312" s="12" t="s">
        <v>3369</v>
      </c>
      <c r="W312" s="12" t="s">
        <v>3369</v>
      </c>
      <c r="X312" s="12" t="s">
        <v>3369</v>
      </c>
      <c r="Y312" s="12" t="s">
        <v>3369</v>
      </c>
      <c r="Z312" s="12" t="s">
        <v>3369</v>
      </c>
      <c r="AA312" s="12" t="s">
        <v>3369</v>
      </c>
      <c r="AB312" s="12" t="s">
        <v>3369</v>
      </c>
      <c r="AE312" s="32">
        <v>0.41666666666424135</v>
      </c>
      <c r="AF312" s="35"/>
    </row>
    <row r="313" spans="1:32" ht="12.75">
      <c r="A313" s="29">
        <v>43616.379449490742</v>
      </c>
      <c r="B313" s="12" t="s">
        <v>3372</v>
      </c>
      <c r="C313" s="12" t="s">
        <v>3383</v>
      </c>
      <c r="D313" s="12" t="s">
        <v>3589</v>
      </c>
      <c r="E313" s="12" t="s">
        <v>3296</v>
      </c>
      <c r="F313" s="30">
        <v>43616</v>
      </c>
      <c r="G313" s="12" t="s">
        <v>4007</v>
      </c>
      <c r="H313" s="32">
        <v>0.70833333333575865</v>
      </c>
      <c r="I313" s="29">
        <v>43616.729166666672</v>
      </c>
      <c r="J313" s="12" t="s">
        <v>3331</v>
      </c>
      <c r="L313" s="12" t="s">
        <v>3461</v>
      </c>
      <c r="M313" s="12" t="s">
        <v>3379</v>
      </c>
      <c r="N313" s="12" t="s">
        <v>4008</v>
      </c>
      <c r="O313" s="12" t="s">
        <v>3381</v>
      </c>
      <c r="P313" s="12" t="s">
        <v>3369</v>
      </c>
      <c r="Q313" s="12" t="s">
        <v>3369</v>
      </c>
      <c r="R313" s="12" t="s">
        <v>3369</v>
      </c>
      <c r="S313" s="12" t="s">
        <v>3369</v>
      </c>
      <c r="T313" s="12" t="s">
        <v>3369</v>
      </c>
      <c r="U313" s="12" t="s">
        <v>3369</v>
      </c>
      <c r="V313" s="12" t="s">
        <v>3369</v>
      </c>
      <c r="W313" s="12" t="s">
        <v>3369</v>
      </c>
      <c r="X313" s="12" t="s">
        <v>3369</v>
      </c>
      <c r="Y313" s="12" t="s">
        <v>3369</v>
      </c>
      <c r="Z313" s="12" t="s">
        <v>3369</v>
      </c>
      <c r="AA313" s="12" t="s">
        <v>3369</v>
      </c>
      <c r="AB313" s="12" t="s">
        <v>3369</v>
      </c>
      <c r="AE313" s="32">
        <v>0.58333333333575865</v>
      </c>
      <c r="AF313" s="35"/>
    </row>
    <row r="314" spans="1:32" ht="12.75">
      <c r="A314" s="29">
        <v>43619.378599282412</v>
      </c>
      <c r="B314" s="12" t="s">
        <v>3408</v>
      </c>
      <c r="C314" s="12" t="s">
        <v>3400</v>
      </c>
      <c r="D314" s="12" t="s">
        <v>3401</v>
      </c>
      <c r="E314" s="12" t="s">
        <v>3356</v>
      </c>
      <c r="F314" s="30">
        <v>43619</v>
      </c>
      <c r="G314" s="12" t="s">
        <v>3657</v>
      </c>
      <c r="H314" s="32">
        <v>0.47916666666424135</v>
      </c>
      <c r="J314" s="12" t="s">
        <v>3403</v>
      </c>
      <c r="L314" s="12" t="s">
        <v>3299</v>
      </c>
      <c r="M314" s="12" t="s">
        <v>3458</v>
      </c>
      <c r="N314" s="12" t="s">
        <v>4009</v>
      </c>
      <c r="O314" s="12" t="s">
        <v>3408</v>
      </c>
      <c r="P314" s="12" t="s">
        <v>3369</v>
      </c>
      <c r="Q314" s="12" t="s">
        <v>3369</v>
      </c>
      <c r="R314" s="12" t="s">
        <v>3369</v>
      </c>
      <c r="S314" s="12" t="s">
        <v>3369</v>
      </c>
      <c r="T314" s="12" t="s">
        <v>3369</v>
      </c>
      <c r="U314" s="12" t="s">
        <v>3369</v>
      </c>
      <c r="V314" s="12" t="s">
        <v>3369</v>
      </c>
      <c r="W314" s="12" t="s">
        <v>3369</v>
      </c>
      <c r="X314" s="12" t="s">
        <v>3369</v>
      </c>
      <c r="Y314" s="12" t="s">
        <v>3369</v>
      </c>
      <c r="Z314" s="12" t="s">
        <v>3369</v>
      </c>
      <c r="AA314" s="12" t="s">
        <v>3369</v>
      </c>
      <c r="AB314" s="12" t="s">
        <v>3369</v>
      </c>
      <c r="AE314" s="32">
        <v>0.42708333333575865</v>
      </c>
      <c r="AF314" s="35"/>
    </row>
    <row r="315" spans="1:32" ht="12.75">
      <c r="A315" s="29">
        <v>43620.374690381941</v>
      </c>
      <c r="B315" s="12" t="s">
        <v>3390</v>
      </c>
      <c r="C315" s="12" t="s">
        <v>3391</v>
      </c>
      <c r="D315" s="12" t="s">
        <v>3589</v>
      </c>
      <c r="E315" s="12" t="s">
        <v>3834</v>
      </c>
      <c r="F315" s="30">
        <v>43620</v>
      </c>
      <c r="G315" s="12" t="s">
        <v>3465</v>
      </c>
      <c r="H315" s="32">
        <v>0.60416666666424135</v>
      </c>
      <c r="I315" s="29">
        <v>43620.114583333328</v>
      </c>
      <c r="J315" s="12" t="s">
        <v>3377</v>
      </c>
      <c r="L315" s="12" t="s">
        <v>3299</v>
      </c>
      <c r="M315" s="12" t="s">
        <v>3454</v>
      </c>
      <c r="N315" s="12" t="s">
        <v>4010</v>
      </c>
      <c r="O315" s="12" t="s">
        <v>3767</v>
      </c>
      <c r="P315" s="12" t="s">
        <v>3369</v>
      </c>
      <c r="Q315" s="12" t="s">
        <v>3369</v>
      </c>
      <c r="R315" s="12" t="s">
        <v>3369</v>
      </c>
      <c r="S315" s="12" t="s">
        <v>3369</v>
      </c>
      <c r="T315" s="12" t="s">
        <v>3369</v>
      </c>
      <c r="U315" s="12" t="s">
        <v>3369</v>
      </c>
      <c r="V315" s="12" t="s">
        <v>3369</v>
      </c>
      <c r="W315" s="12" t="s">
        <v>3369</v>
      </c>
      <c r="X315" s="12" t="s">
        <v>3369</v>
      </c>
      <c r="Y315" s="12" t="s">
        <v>3369</v>
      </c>
      <c r="Z315" s="12" t="s">
        <v>3369</v>
      </c>
      <c r="AA315" s="12" t="s">
        <v>3369</v>
      </c>
      <c r="AB315" s="12" t="s">
        <v>3369</v>
      </c>
      <c r="AE315" s="32">
        <v>0.39583333333575865</v>
      </c>
      <c r="AF315" s="35"/>
    </row>
    <row r="316" spans="1:32" ht="12.75">
      <c r="A316" s="29">
        <v>43621.603935185187</v>
      </c>
      <c r="B316" s="12" t="s">
        <v>3417</v>
      </c>
      <c r="C316" s="12" t="s">
        <v>3373</v>
      </c>
      <c r="D316" s="12" t="s">
        <v>3589</v>
      </c>
      <c r="E316" s="12" t="s">
        <v>3296</v>
      </c>
      <c r="F316" s="30">
        <v>43621</v>
      </c>
      <c r="G316" s="12" t="s">
        <v>4011</v>
      </c>
      <c r="H316" s="32">
        <v>0.79166666666424135</v>
      </c>
      <c r="I316" s="29">
        <v>43621.8125</v>
      </c>
      <c r="J316" s="12" t="s">
        <v>3331</v>
      </c>
      <c r="L316" s="12" t="s">
        <v>3461</v>
      </c>
      <c r="M316" s="12" t="s">
        <v>3379</v>
      </c>
      <c r="N316" s="12" t="s">
        <v>4012</v>
      </c>
      <c r="O316" s="12" t="s">
        <v>3381</v>
      </c>
      <c r="P316" s="12" t="s">
        <v>3369</v>
      </c>
      <c r="Q316" s="12" t="s">
        <v>3369</v>
      </c>
      <c r="R316" s="12" t="s">
        <v>3369</v>
      </c>
      <c r="S316" s="12" t="s">
        <v>3369</v>
      </c>
      <c r="T316" s="12" t="s">
        <v>3369</v>
      </c>
      <c r="U316" s="12" t="s">
        <v>3369</v>
      </c>
      <c r="V316" s="12" t="s">
        <v>3369</v>
      </c>
      <c r="W316" s="12" t="s">
        <v>3369</v>
      </c>
      <c r="X316" s="12" t="s">
        <v>3369</v>
      </c>
      <c r="Y316" s="12" t="s">
        <v>3369</v>
      </c>
      <c r="Z316" s="12" t="s">
        <v>3369</v>
      </c>
      <c r="AA316" s="12" t="s">
        <v>3369</v>
      </c>
      <c r="AB316" s="12" t="s">
        <v>3369</v>
      </c>
      <c r="AE316" s="32">
        <v>0.625</v>
      </c>
      <c r="AF316" s="35"/>
    </row>
    <row r="317" spans="1:32" ht="12.75">
      <c r="A317" s="29">
        <v>43626.279491030087</v>
      </c>
      <c r="B317" s="12" t="s">
        <v>3417</v>
      </c>
      <c r="C317" s="12" t="s">
        <v>3383</v>
      </c>
      <c r="D317" s="12" t="s">
        <v>3589</v>
      </c>
      <c r="E317" s="12" t="s">
        <v>3296</v>
      </c>
      <c r="F317" s="30">
        <v>43626</v>
      </c>
      <c r="G317" s="12" t="s">
        <v>3776</v>
      </c>
      <c r="H317" s="32">
        <v>0.58333333333575865</v>
      </c>
      <c r="I317" s="29">
        <v>43626.604166666672</v>
      </c>
      <c r="J317" s="12" t="s">
        <v>3366</v>
      </c>
      <c r="L317" s="12" t="s">
        <v>3393</v>
      </c>
      <c r="M317" s="12" t="s">
        <v>4013</v>
      </c>
      <c r="N317" s="12" t="s">
        <v>4014</v>
      </c>
      <c r="O317" s="12" t="s">
        <v>3381</v>
      </c>
      <c r="P317" s="12" t="s">
        <v>3369</v>
      </c>
      <c r="Q317" s="12" t="s">
        <v>3369</v>
      </c>
      <c r="R317" s="12" t="s">
        <v>3369</v>
      </c>
      <c r="S317" s="12" t="s">
        <v>3369</v>
      </c>
      <c r="T317" s="12" t="s">
        <v>3369</v>
      </c>
      <c r="U317" s="12" t="s">
        <v>3369</v>
      </c>
      <c r="V317" s="12" t="s">
        <v>3369</v>
      </c>
      <c r="W317" s="12" t="s">
        <v>3369</v>
      </c>
      <c r="X317" s="12" t="s">
        <v>3369</v>
      </c>
      <c r="Y317" s="12" t="s">
        <v>3369</v>
      </c>
      <c r="Z317" s="12" t="s">
        <v>3369</v>
      </c>
      <c r="AA317" s="12" t="s">
        <v>3369</v>
      </c>
      <c r="AB317" s="12" t="s">
        <v>3369</v>
      </c>
      <c r="AE317" s="32">
        <v>0.29166666666424135</v>
      </c>
      <c r="AF317" s="35"/>
    </row>
    <row r="318" spans="1:32" ht="12.75">
      <c r="A318" s="29">
        <v>43627.28334494213</v>
      </c>
      <c r="B318" s="12" t="s">
        <v>3372</v>
      </c>
      <c r="C318" s="12" t="s">
        <v>3383</v>
      </c>
      <c r="D318" s="12" t="s">
        <v>3589</v>
      </c>
      <c r="E318" s="12" t="s">
        <v>3509</v>
      </c>
      <c r="F318" s="30">
        <v>43627</v>
      </c>
      <c r="G318" s="12" t="s">
        <v>3776</v>
      </c>
      <c r="H318" s="32">
        <v>0.58333333333575865</v>
      </c>
      <c r="I318" s="29">
        <v>43627.604166666672</v>
      </c>
      <c r="J318" s="12" t="s">
        <v>3366</v>
      </c>
      <c r="L318" s="12" t="s">
        <v>3393</v>
      </c>
      <c r="M318" s="12" t="s">
        <v>4013</v>
      </c>
      <c r="N318" s="12" t="s">
        <v>4015</v>
      </c>
      <c r="O318" s="12" t="s">
        <v>3381</v>
      </c>
      <c r="P318" s="12" t="s">
        <v>3369</v>
      </c>
      <c r="Q318" s="12" t="s">
        <v>3369</v>
      </c>
      <c r="R318" s="12" t="s">
        <v>3369</v>
      </c>
      <c r="S318" s="12" t="s">
        <v>3369</v>
      </c>
      <c r="T318" s="12" t="s">
        <v>3369</v>
      </c>
      <c r="U318" s="12" t="s">
        <v>3369</v>
      </c>
      <c r="V318" s="12" t="s">
        <v>3369</v>
      </c>
      <c r="W318" s="12" t="s">
        <v>3369</v>
      </c>
      <c r="X318" s="12" t="s">
        <v>3369</v>
      </c>
      <c r="Y318" s="12" t="s">
        <v>3369</v>
      </c>
      <c r="Z318" s="12" t="s">
        <v>3369</v>
      </c>
      <c r="AA318" s="12" t="s">
        <v>3369</v>
      </c>
      <c r="AB318" s="12" t="s">
        <v>3369</v>
      </c>
      <c r="AE318" s="32">
        <v>0.32291666666424135</v>
      </c>
      <c r="AF318" s="35"/>
    </row>
    <row r="319" spans="1:32" ht="12.75">
      <c r="A319" s="29">
        <v>43628.35302855324</v>
      </c>
      <c r="B319" s="12" t="s">
        <v>3408</v>
      </c>
      <c r="C319" s="12" t="s">
        <v>3400</v>
      </c>
      <c r="D319" s="12" t="s">
        <v>3401</v>
      </c>
      <c r="E319" s="12" t="s">
        <v>3482</v>
      </c>
      <c r="F319" s="30">
        <v>43628</v>
      </c>
      <c r="G319" s="12" t="s">
        <v>3892</v>
      </c>
      <c r="H319" s="32">
        <v>0.66666666666424135</v>
      </c>
      <c r="J319" s="12" t="s">
        <v>3377</v>
      </c>
      <c r="L319" s="12" t="s">
        <v>3299</v>
      </c>
      <c r="M319" s="12" t="s">
        <v>3458</v>
      </c>
      <c r="N319" s="12" t="s">
        <v>4016</v>
      </c>
      <c r="O319" s="12" t="s">
        <v>3408</v>
      </c>
      <c r="P319" s="12" t="s">
        <v>3369</v>
      </c>
      <c r="Q319" s="12" t="s">
        <v>3369</v>
      </c>
      <c r="R319" s="12" t="s">
        <v>3369</v>
      </c>
      <c r="S319" s="12" t="s">
        <v>3369</v>
      </c>
      <c r="T319" s="12" t="s">
        <v>3369</v>
      </c>
      <c r="U319" s="12" t="s">
        <v>3369</v>
      </c>
      <c r="V319" s="12" t="s">
        <v>3369</v>
      </c>
      <c r="W319" s="12" t="s">
        <v>3369</v>
      </c>
      <c r="X319" s="12" t="s">
        <v>3369</v>
      </c>
      <c r="Y319" s="12" t="s">
        <v>3369</v>
      </c>
      <c r="Z319" s="12" t="s">
        <v>3369</v>
      </c>
      <c r="AA319" s="12" t="s">
        <v>3369</v>
      </c>
      <c r="AB319" s="12" t="s">
        <v>3369</v>
      </c>
      <c r="AE319" s="32">
        <v>0.38541666666424135</v>
      </c>
      <c r="AF319" s="35"/>
    </row>
    <row r="320" spans="1:32" ht="12.75">
      <c r="A320" s="29">
        <v>43629.41591462963</v>
      </c>
      <c r="B320" s="12" t="s">
        <v>3408</v>
      </c>
      <c r="C320" s="12" t="s">
        <v>3400</v>
      </c>
      <c r="D320" s="12" t="s">
        <v>3401</v>
      </c>
      <c r="E320" s="12" t="s">
        <v>3482</v>
      </c>
      <c r="F320" s="30">
        <v>43629</v>
      </c>
      <c r="G320" s="12" t="s">
        <v>3892</v>
      </c>
      <c r="H320" s="32">
        <v>0.6875</v>
      </c>
      <c r="J320" s="12" t="s">
        <v>3377</v>
      </c>
      <c r="L320" s="12" t="s">
        <v>3299</v>
      </c>
      <c r="M320" s="12" t="s">
        <v>3458</v>
      </c>
      <c r="N320" s="12" t="s">
        <v>4017</v>
      </c>
      <c r="O320" s="12" t="s">
        <v>3408</v>
      </c>
      <c r="P320" s="12" t="s">
        <v>3369</v>
      </c>
      <c r="Q320" s="12" t="s">
        <v>3369</v>
      </c>
      <c r="R320" s="12" t="s">
        <v>3369</v>
      </c>
      <c r="T320" s="12" t="s">
        <v>3369</v>
      </c>
      <c r="U320" s="12" t="s">
        <v>3369</v>
      </c>
      <c r="V320" s="12" t="s">
        <v>3369</v>
      </c>
      <c r="W320" s="12" t="s">
        <v>3369</v>
      </c>
      <c r="X320" s="12" t="s">
        <v>3369</v>
      </c>
      <c r="Y320" s="12" t="s">
        <v>3369</v>
      </c>
      <c r="Z320" s="12" t="s">
        <v>3369</v>
      </c>
      <c r="AA320" s="12" t="s">
        <v>3369</v>
      </c>
      <c r="AB320" s="12" t="s">
        <v>3369</v>
      </c>
      <c r="AE320" s="32">
        <v>0.4375</v>
      </c>
      <c r="AF320" s="35"/>
    </row>
    <row r="321" spans="1:32" ht="12.75">
      <c r="A321" s="29">
        <v>43630.358919791666</v>
      </c>
      <c r="B321" s="12" t="s">
        <v>3408</v>
      </c>
      <c r="C321" s="12" t="s">
        <v>3400</v>
      </c>
      <c r="D321" s="12" t="s">
        <v>3401</v>
      </c>
      <c r="E321" s="12" t="s">
        <v>3482</v>
      </c>
      <c r="F321" s="30">
        <v>43630</v>
      </c>
      <c r="G321" s="12" t="s">
        <v>3947</v>
      </c>
      <c r="H321" s="32">
        <v>0.6875</v>
      </c>
      <c r="J321" s="12" t="s">
        <v>3377</v>
      </c>
      <c r="L321" s="12" t="s">
        <v>3299</v>
      </c>
      <c r="M321" s="12" t="s">
        <v>3458</v>
      </c>
      <c r="N321" s="12" t="s">
        <v>4018</v>
      </c>
      <c r="O321" s="12" t="s">
        <v>3408</v>
      </c>
      <c r="P321" s="12" t="s">
        <v>3369</v>
      </c>
      <c r="Q321" s="12" t="s">
        <v>3369</v>
      </c>
      <c r="R321" s="12" t="s">
        <v>3369</v>
      </c>
      <c r="S321" s="12" t="s">
        <v>3369</v>
      </c>
      <c r="T321" s="12" t="s">
        <v>3369</v>
      </c>
      <c r="U321" s="12" t="s">
        <v>3369</v>
      </c>
      <c r="V321" s="12" t="s">
        <v>3369</v>
      </c>
      <c r="W321" s="12" t="s">
        <v>3369</v>
      </c>
      <c r="X321" s="12" t="s">
        <v>3369</v>
      </c>
      <c r="Y321" s="12" t="s">
        <v>3369</v>
      </c>
      <c r="Z321" s="12" t="s">
        <v>3369</v>
      </c>
      <c r="AA321" s="12" t="s">
        <v>3369</v>
      </c>
      <c r="AB321" s="12" t="s">
        <v>3369</v>
      </c>
      <c r="AE321" s="32">
        <v>0.38541666666424135</v>
      </c>
      <c r="AF321" s="35"/>
    </row>
    <row r="322" spans="1:32" ht="12.75">
      <c r="A322" s="29">
        <v>43633.729534432874</v>
      </c>
      <c r="B322" s="12" t="s">
        <v>3390</v>
      </c>
      <c r="C322" s="12" t="s">
        <v>3391</v>
      </c>
      <c r="D322" s="12" t="s">
        <v>3589</v>
      </c>
      <c r="E322" s="12" t="s">
        <v>4019</v>
      </c>
      <c r="F322" s="30">
        <v>43634</v>
      </c>
      <c r="G322" s="12" t="s">
        <v>3465</v>
      </c>
      <c r="H322" s="32">
        <v>0.58333333333575865</v>
      </c>
      <c r="I322" s="29">
        <v>43633.604166666672</v>
      </c>
      <c r="J322" s="12" t="s">
        <v>3377</v>
      </c>
      <c r="L322" s="12" t="s">
        <v>3393</v>
      </c>
      <c r="M322" s="12" t="s">
        <v>3454</v>
      </c>
      <c r="N322" s="12" t="s">
        <v>4020</v>
      </c>
      <c r="O322" s="12" t="s">
        <v>3390</v>
      </c>
      <c r="P322" s="12" t="s">
        <v>3369</v>
      </c>
      <c r="Q322" s="12" t="s">
        <v>3369</v>
      </c>
      <c r="R322" s="12" t="s">
        <v>3369</v>
      </c>
      <c r="S322" s="12" t="s">
        <v>3369</v>
      </c>
      <c r="T322" s="12" t="s">
        <v>3369</v>
      </c>
      <c r="U322" s="12" t="s">
        <v>3369</v>
      </c>
      <c r="V322" s="12" t="s">
        <v>3369</v>
      </c>
      <c r="W322" s="12" t="s">
        <v>3369</v>
      </c>
      <c r="X322" s="12" t="s">
        <v>3369</v>
      </c>
      <c r="Y322" s="12" t="s">
        <v>3369</v>
      </c>
      <c r="Z322" s="12" t="s">
        <v>3369</v>
      </c>
      <c r="AA322" s="12" t="s">
        <v>3369</v>
      </c>
      <c r="AB322" s="12" t="s">
        <v>3369</v>
      </c>
      <c r="AE322" s="32">
        <v>0.35416666666424135</v>
      </c>
      <c r="AF322" s="35"/>
    </row>
    <row r="323" spans="1:32" ht="12.75">
      <c r="A323" s="29">
        <v>43634.36699412037</v>
      </c>
      <c r="B323" s="12" t="s">
        <v>3408</v>
      </c>
      <c r="C323" s="12" t="s">
        <v>3400</v>
      </c>
      <c r="D323" s="12" t="s">
        <v>3401</v>
      </c>
      <c r="E323" s="12" t="s">
        <v>3736</v>
      </c>
      <c r="F323" s="30">
        <v>43634</v>
      </c>
      <c r="G323" s="12" t="s">
        <v>3473</v>
      </c>
      <c r="H323" s="32">
        <v>0.5625</v>
      </c>
      <c r="J323" s="12" t="s">
        <v>4021</v>
      </c>
      <c r="K323" s="12">
        <v>4</v>
      </c>
      <c r="L323" s="12" t="s">
        <v>3299</v>
      </c>
      <c r="M323" s="12" t="s">
        <v>3458</v>
      </c>
      <c r="N323" s="12" t="s">
        <v>4022</v>
      </c>
      <c r="O323" s="12" t="s">
        <v>3408</v>
      </c>
      <c r="P323" s="12" t="s">
        <v>3369</v>
      </c>
      <c r="Q323" s="12" t="s">
        <v>3369</v>
      </c>
      <c r="R323" s="12" t="s">
        <v>3369</v>
      </c>
      <c r="S323" s="12" t="s">
        <v>3369</v>
      </c>
      <c r="T323" s="12" t="s">
        <v>3369</v>
      </c>
      <c r="U323" s="12" t="s">
        <v>3369</v>
      </c>
      <c r="V323" s="12" t="s">
        <v>3369</v>
      </c>
      <c r="W323" s="12" t="s">
        <v>3369</v>
      </c>
      <c r="X323" s="12" t="s">
        <v>3369</v>
      </c>
      <c r="Y323" s="12" t="s">
        <v>3369</v>
      </c>
      <c r="Z323" s="12" t="s">
        <v>3369</v>
      </c>
      <c r="AA323" s="12" t="s">
        <v>3369</v>
      </c>
      <c r="AB323" s="12" t="s">
        <v>3369</v>
      </c>
      <c r="AE323" s="32">
        <v>0.41666666666424135</v>
      </c>
      <c r="AF323" s="35"/>
    </row>
    <row r="324" spans="1:32" ht="12.75">
      <c r="A324" s="29">
        <v>43634.684939918981</v>
      </c>
      <c r="B324" s="12" t="s">
        <v>3408</v>
      </c>
      <c r="C324" s="12" t="s">
        <v>3400</v>
      </c>
      <c r="D324" s="12" t="s">
        <v>3401</v>
      </c>
      <c r="E324" s="12" t="s">
        <v>3736</v>
      </c>
      <c r="F324" s="30">
        <v>43635</v>
      </c>
      <c r="G324" s="12" t="s">
        <v>3473</v>
      </c>
      <c r="H324" s="32">
        <v>0.51041666666424135</v>
      </c>
      <c r="J324" s="12" t="s">
        <v>3358</v>
      </c>
      <c r="K324" s="12">
        <v>2</v>
      </c>
      <c r="L324" s="12" t="s">
        <v>3299</v>
      </c>
      <c r="M324" s="12" t="s">
        <v>3458</v>
      </c>
      <c r="N324" s="12" t="s">
        <v>4023</v>
      </c>
      <c r="O324" s="12" t="s">
        <v>3408</v>
      </c>
      <c r="P324" s="12" t="s">
        <v>3369</v>
      </c>
      <c r="Q324" s="12" t="s">
        <v>3369</v>
      </c>
      <c r="R324" s="12" t="s">
        <v>3369</v>
      </c>
      <c r="S324" s="12" t="s">
        <v>3369</v>
      </c>
      <c r="T324" s="12" t="s">
        <v>3369</v>
      </c>
      <c r="U324" s="12" t="s">
        <v>3369</v>
      </c>
      <c r="V324" s="12" t="s">
        <v>3369</v>
      </c>
      <c r="W324" s="12" t="s">
        <v>3369</v>
      </c>
      <c r="X324" s="12" t="s">
        <v>3369</v>
      </c>
      <c r="Y324" s="12" t="s">
        <v>3369</v>
      </c>
      <c r="Z324" s="12" t="s">
        <v>3369</v>
      </c>
      <c r="AA324" s="12" t="s">
        <v>3369</v>
      </c>
      <c r="AB324" s="12" t="s">
        <v>3369</v>
      </c>
      <c r="AE324" s="32">
        <v>0.38541666666424135</v>
      </c>
      <c r="AF324" s="35"/>
    </row>
    <row r="325" spans="1:32" ht="12.75">
      <c r="A325" s="29">
        <v>43635.731990231478</v>
      </c>
      <c r="B325" s="12" t="s">
        <v>3408</v>
      </c>
      <c r="C325" s="12" t="s">
        <v>3400</v>
      </c>
      <c r="D325" s="12" t="s">
        <v>3401</v>
      </c>
      <c r="E325" s="12" t="s">
        <v>4024</v>
      </c>
      <c r="F325" s="30">
        <v>43636</v>
      </c>
      <c r="G325" s="12" t="s">
        <v>4025</v>
      </c>
      <c r="H325" s="32">
        <v>0.70833333333575865</v>
      </c>
      <c r="M325" s="12" t="s">
        <v>3458</v>
      </c>
      <c r="N325" s="12" t="s">
        <v>4023</v>
      </c>
      <c r="O325" s="12" t="s">
        <v>3408</v>
      </c>
      <c r="P325" s="12" t="s">
        <v>3369</v>
      </c>
      <c r="Q325" s="12" t="s">
        <v>3369</v>
      </c>
      <c r="R325" s="12" t="s">
        <v>3369</v>
      </c>
      <c r="S325" s="12" t="s">
        <v>3369</v>
      </c>
      <c r="T325" s="12" t="s">
        <v>3369</v>
      </c>
      <c r="U325" s="12" t="s">
        <v>3369</v>
      </c>
      <c r="V325" s="12" t="s">
        <v>3369</v>
      </c>
      <c r="W325" s="12" t="s">
        <v>3369</v>
      </c>
      <c r="X325" s="12" t="s">
        <v>3369</v>
      </c>
      <c r="Y325" s="12" t="s">
        <v>3369</v>
      </c>
      <c r="Z325" s="12" t="s">
        <v>3369</v>
      </c>
      <c r="AA325" s="12" t="s">
        <v>3369</v>
      </c>
      <c r="AB325" s="12" t="s">
        <v>3369</v>
      </c>
      <c r="AE325" s="32">
        <v>0.41666666666424135</v>
      </c>
      <c r="AF325" s="35"/>
    </row>
    <row r="326" spans="1:32" ht="12.75">
      <c r="A326" s="29">
        <v>43642.353918865745</v>
      </c>
      <c r="B326" s="12" t="s">
        <v>3390</v>
      </c>
      <c r="C326" s="12" t="s">
        <v>3391</v>
      </c>
      <c r="D326" s="12" t="s">
        <v>3589</v>
      </c>
      <c r="E326" s="12" t="s">
        <v>4026</v>
      </c>
      <c r="F326" s="30">
        <v>43642</v>
      </c>
      <c r="G326" s="12" t="s">
        <v>4027</v>
      </c>
      <c r="H326" s="32">
        <v>0.5</v>
      </c>
      <c r="I326" s="29">
        <v>43642.520833333328</v>
      </c>
      <c r="J326" s="12" t="s">
        <v>3331</v>
      </c>
      <c r="L326" s="12" t="s">
        <v>3393</v>
      </c>
      <c r="M326" s="12" t="s">
        <v>3454</v>
      </c>
      <c r="N326" s="12" t="s">
        <v>4028</v>
      </c>
      <c r="O326" s="12" t="s">
        <v>3767</v>
      </c>
      <c r="P326" s="12" t="s">
        <v>3369</v>
      </c>
      <c r="Q326" s="12" t="s">
        <v>3369</v>
      </c>
      <c r="R326" s="12" t="s">
        <v>3369</v>
      </c>
      <c r="S326" s="12" t="s">
        <v>3369</v>
      </c>
      <c r="T326" s="12" t="s">
        <v>3369</v>
      </c>
      <c r="U326" s="12" t="s">
        <v>3369</v>
      </c>
      <c r="V326" s="12" t="s">
        <v>3369</v>
      </c>
      <c r="W326" s="12" t="s">
        <v>3369</v>
      </c>
      <c r="X326" s="12" t="s">
        <v>3369</v>
      </c>
      <c r="Y326" s="12" t="s">
        <v>3369</v>
      </c>
      <c r="Z326" s="12" t="s">
        <v>3369</v>
      </c>
      <c r="AA326" s="12" t="s">
        <v>3369</v>
      </c>
      <c r="AB326" s="12" t="s">
        <v>3369</v>
      </c>
      <c r="AE326" s="32">
        <v>0.39583333333575865</v>
      </c>
      <c r="AF326" s="35"/>
    </row>
    <row r="327" spans="1:32" ht="12.75">
      <c r="A327" s="29">
        <v>43644.396928252318</v>
      </c>
      <c r="B327" s="12" t="s">
        <v>4029</v>
      </c>
      <c r="C327" s="12" t="s">
        <v>3639</v>
      </c>
      <c r="D327" s="12" t="s">
        <v>3589</v>
      </c>
      <c r="E327" s="12" t="s">
        <v>3903</v>
      </c>
      <c r="F327" s="30">
        <v>43644</v>
      </c>
      <c r="G327" s="12" t="s">
        <v>3798</v>
      </c>
      <c r="H327" s="32">
        <v>0.58333333333575865</v>
      </c>
      <c r="I327" s="29">
        <v>43644.625</v>
      </c>
      <c r="J327" s="12" t="s">
        <v>3331</v>
      </c>
      <c r="L327" s="12" t="s">
        <v>3299</v>
      </c>
      <c r="M327" s="12" t="s">
        <v>3379</v>
      </c>
      <c r="N327" s="12" t="s">
        <v>4030</v>
      </c>
      <c r="O327" s="12" t="s">
        <v>4031</v>
      </c>
      <c r="P327" s="12" t="s">
        <v>3369</v>
      </c>
      <c r="Q327" s="12" t="s">
        <v>3369</v>
      </c>
      <c r="R327" s="12" t="s">
        <v>3369</v>
      </c>
      <c r="S327" s="12" t="s">
        <v>3369</v>
      </c>
      <c r="T327" s="12" t="s">
        <v>3369</v>
      </c>
      <c r="U327" s="12" t="s">
        <v>3369</v>
      </c>
      <c r="V327" s="12" t="s">
        <v>3369</v>
      </c>
      <c r="W327" s="12" t="s">
        <v>3369</v>
      </c>
      <c r="X327" s="12" t="s">
        <v>3369</v>
      </c>
      <c r="Y327" s="12" t="s">
        <v>3369</v>
      </c>
      <c r="Z327" s="12" t="s">
        <v>3369</v>
      </c>
      <c r="AA327" s="12" t="s">
        <v>3369</v>
      </c>
      <c r="AB327" s="12" t="s">
        <v>3369</v>
      </c>
      <c r="AE327" s="32">
        <v>0.375</v>
      </c>
      <c r="AF327" s="35"/>
    </row>
    <row r="328" spans="1:32" ht="12.75">
      <c r="A328" s="29">
        <v>43647.515463958334</v>
      </c>
      <c r="B328" s="12" t="s">
        <v>3372</v>
      </c>
      <c r="C328" s="12" t="s">
        <v>3383</v>
      </c>
      <c r="D328" s="12" t="s">
        <v>3589</v>
      </c>
      <c r="E328" s="12" t="s">
        <v>3296</v>
      </c>
      <c r="F328" s="30">
        <v>43647</v>
      </c>
      <c r="G328" s="12" t="s">
        <v>3941</v>
      </c>
      <c r="H328" s="32">
        <v>0.75</v>
      </c>
      <c r="I328" s="29">
        <v>43647.770833333328</v>
      </c>
      <c r="J328" s="12" t="s">
        <v>3331</v>
      </c>
      <c r="L328" s="12" t="s">
        <v>3299</v>
      </c>
      <c r="M328" s="12" t="s">
        <v>3379</v>
      </c>
      <c r="N328" s="12" t="s">
        <v>3840</v>
      </c>
      <c r="O328" s="12" t="s">
        <v>3381</v>
      </c>
      <c r="P328" s="12" t="s">
        <v>3369</v>
      </c>
      <c r="Q328" s="12" t="s">
        <v>3369</v>
      </c>
      <c r="R328" s="12" t="s">
        <v>3369</v>
      </c>
      <c r="S328" s="12" t="s">
        <v>3369</v>
      </c>
      <c r="T328" s="12" t="s">
        <v>3369</v>
      </c>
      <c r="U328" s="12" t="s">
        <v>3369</v>
      </c>
      <c r="V328" s="12" t="s">
        <v>3369</v>
      </c>
      <c r="W328" s="12" t="s">
        <v>3369</v>
      </c>
      <c r="X328" s="12" t="s">
        <v>3369</v>
      </c>
      <c r="Y328" s="12" t="s">
        <v>3369</v>
      </c>
      <c r="Z328" s="12" t="s">
        <v>3369</v>
      </c>
      <c r="AA328" s="12" t="s">
        <v>3369</v>
      </c>
      <c r="AB328" s="12" t="s">
        <v>3369</v>
      </c>
      <c r="AE328" s="32">
        <v>0.54166666666424135</v>
      </c>
      <c r="AF328" s="35"/>
    </row>
    <row r="329" spans="1:32" ht="12.75">
      <c r="A329" s="29">
        <v>43647.663403472223</v>
      </c>
      <c r="B329" s="12" t="s">
        <v>3767</v>
      </c>
      <c r="C329" s="12" t="s">
        <v>3391</v>
      </c>
      <c r="D329" s="12" t="s">
        <v>3631</v>
      </c>
      <c r="E329" s="12" t="s">
        <v>3834</v>
      </c>
      <c r="F329" s="30">
        <v>43648</v>
      </c>
      <c r="G329" s="12" t="s">
        <v>3529</v>
      </c>
      <c r="H329" s="32">
        <v>0.52083333333575865</v>
      </c>
      <c r="I329" s="29">
        <v>43648.541666666672</v>
      </c>
      <c r="J329" s="12" t="s">
        <v>3331</v>
      </c>
      <c r="L329" s="12" t="s">
        <v>3299</v>
      </c>
      <c r="M329" s="12" t="s">
        <v>4032</v>
      </c>
      <c r="N329" s="12" t="s">
        <v>4033</v>
      </c>
      <c r="O329" s="12" t="s">
        <v>3767</v>
      </c>
      <c r="P329" s="12" t="s">
        <v>3369</v>
      </c>
      <c r="Q329" s="12" t="s">
        <v>3369</v>
      </c>
      <c r="R329" s="12" t="s">
        <v>3369</v>
      </c>
      <c r="S329" s="12" t="s">
        <v>3369</v>
      </c>
      <c r="T329" s="12" t="s">
        <v>3369</v>
      </c>
      <c r="U329" s="12" t="s">
        <v>3369</v>
      </c>
      <c r="V329" s="12" t="s">
        <v>3369</v>
      </c>
      <c r="W329" s="12" t="s">
        <v>3369</v>
      </c>
      <c r="X329" s="12" t="s">
        <v>3369</v>
      </c>
      <c r="Y329" s="12" t="s">
        <v>3369</v>
      </c>
      <c r="Z329" s="12" t="s">
        <v>3369</v>
      </c>
      <c r="AA329" s="12" t="s">
        <v>3369</v>
      </c>
      <c r="AB329" s="12" t="s">
        <v>3369</v>
      </c>
      <c r="AE329" s="32">
        <v>0.35416666666424135</v>
      </c>
      <c r="AF329" s="35"/>
    </row>
    <row r="330" spans="1:32" ht="12.75">
      <c r="A330" s="29">
        <v>43648.684225196761</v>
      </c>
      <c r="B330" s="12" t="s">
        <v>4034</v>
      </c>
      <c r="C330" s="12" t="s">
        <v>4035</v>
      </c>
      <c r="D330" s="12" t="s">
        <v>3295</v>
      </c>
      <c r="E330" s="12" t="s">
        <v>4036</v>
      </c>
      <c r="F330" s="30">
        <v>43649</v>
      </c>
      <c r="G330" s="12" t="s">
        <v>4037</v>
      </c>
      <c r="H330" s="32">
        <v>0.47916666666424135</v>
      </c>
      <c r="I330" s="29">
        <v>43649.5</v>
      </c>
      <c r="J330" s="12" t="s">
        <v>3331</v>
      </c>
      <c r="L330" s="12" t="s">
        <v>3299</v>
      </c>
      <c r="M330" s="12" t="s">
        <v>4038</v>
      </c>
      <c r="N330" s="12" t="s">
        <v>4006</v>
      </c>
      <c r="O330" s="12" t="s">
        <v>4034</v>
      </c>
      <c r="P330" s="12" t="s">
        <v>3369</v>
      </c>
      <c r="Q330" s="12" t="s">
        <v>3369</v>
      </c>
      <c r="R330" s="12" t="s">
        <v>3369</v>
      </c>
      <c r="S330" s="12" t="s">
        <v>3369</v>
      </c>
      <c r="T330" s="12" t="s">
        <v>3369</v>
      </c>
      <c r="U330" s="12" t="s">
        <v>3369</v>
      </c>
      <c r="V330" s="12" t="s">
        <v>3369</v>
      </c>
      <c r="W330" s="12" t="s">
        <v>3369</v>
      </c>
      <c r="X330" s="12" t="s">
        <v>3369</v>
      </c>
      <c r="Y330" s="12" t="s">
        <v>3369</v>
      </c>
      <c r="Z330" s="12" t="s">
        <v>3369</v>
      </c>
      <c r="AA330" s="12" t="s">
        <v>3369</v>
      </c>
      <c r="AB330" s="12" t="s">
        <v>3369</v>
      </c>
      <c r="AC330" s="12" t="s">
        <v>4039</v>
      </c>
      <c r="AD330" s="12" t="s">
        <v>4039</v>
      </c>
      <c r="AE330" s="32">
        <v>0.35416666666424135</v>
      </c>
      <c r="AF330" s="35"/>
    </row>
    <row r="331" spans="1:32" ht="12.75">
      <c r="A331" s="29">
        <v>43649.596777893516</v>
      </c>
      <c r="B331" s="12" t="s">
        <v>4040</v>
      </c>
      <c r="C331" s="12" t="s">
        <v>4041</v>
      </c>
      <c r="D331" s="12" t="s">
        <v>3303</v>
      </c>
      <c r="E331" s="12" t="s">
        <v>4040</v>
      </c>
      <c r="F331" s="30">
        <v>43649</v>
      </c>
      <c r="G331" s="12" t="s">
        <v>4040</v>
      </c>
      <c r="H331" s="32">
        <v>0.64583333333575865</v>
      </c>
      <c r="I331" s="29">
        <v>43649.75</v>
      </c>
      <c r="J331" s="12" t="s">
        <v>3469</v>
      </c>
      <c r="K331" s="12">
        <v>1</v>
      </c>
      <c r="L331" s="12" t="s">
        <v>3461</v>
      </c>
      <c r="M331" s="12" t="s">
        <v>4040</v>
      </c>
      <c r="N331" s="12" t="s">
        <v>4042</v>
      </c>
      <c r="O331" s="12" t="s">
        <v>4040</v>
      </c>
      <c r="P331" s="12" t="s">
        <v>3369</v>
      </c>
      <c r="Q331" s="12" t="s">
        <v>3369</v>
      </c>
      <c r="R331" s="12" t="s">
        <v>3369</v>
      </c>
      <c r="S331" s="12" t="s">
        <v>3369</v>
      </c>
      <c r="T331" s="12" t="s">
        <v>3369</v>
      </c>
      <c r="U331" s="12" t="s">
        <v>3369</v>
      </c>
      <c r="V331" s="12" t="s">
        <v>3369</v>
      </c>
      <c r="W331" s="12" t="s">
        <v>3369</v>
      </c>
      <c r="X331" s="12" t="s">
        <v>3369</v>
      </c>
      <c r="Y331" s="12" t="s">
        <v>3369</v>
      </c>
      <c r="Z331" s="12" t="s">
        <v>3369</v>
      </c>
      <c r="AA331" s="12" t="s">
        <v>3369</v>
      </c>
      <c r="AB331" s="12" t="s">
        <v>3369</v>
      </c>
      <c r="AE331" s="32">
        <v>0.625</v>
      </c>
      <c r="AF331" s="35"/>
    </row>
    <row r="332" spans="1:32" ht="12.75">
      <c r="A332" s="29">
        <v>43654.284482685187</v>
      </c>
      <c r="B332" s="12" t="s">
        <v>3390</v>
      </c>
      <c r="C332" s="12" t="s">
        <v>3984</v>
      </c>
      <c r="D332" s="12" t="s">
        <v>3589</v>
      </c>
      <c r="E332" s="12" t="s">
        <v>3418</v>
      </c>
      <c r="F332" s="30">
        <v>43654</v>
      </c>
      <c r="G332" s="12" t="s">
        <v>4043</v>
      </c>
      <c r="H332" s="32">
        <v>0.625</v>
      </c>
      <c r="I332" s="29">
        <v>43654.635416666672</v>
      </c>
      <c r="J332" s="12" t="s">
        <v>3331</v>
      </c>
      <c r="L332" s="12" t="s">
        <v>3299</v>
      </c>
      <c r="M332" s="12" t="s">
        <v>3454</v>
      </c>
      <c r="N332" s="12" t="s">
        <v>4044</v>
      </c>
      <c r="O332" s="12" t="s">
        <v>3767</v>
      </c>
      <c r="P332" s="12" t="s">
        <v>3369</v>
      </c>
      <c r="Q332" s="12" t="s">
        <v>3369</v>
      </c>
      <c r="R332" s="12" t="s">
        <v>3369</v>
      </c>
      <c r="S332" s="12" t="s">
        <v>3369</v>
      </c>
      <c r="T332" s="12" t="s">
        <v>3369</v>
      </c>
      <c r="U332" s="12" t="s">
        <v>3369</v>
      </c>
      <c r="V332" s="12" t="s">
        <v>3369</v>
      </c>
      <c r="W332" s="12" t="s">
        <v>3369</v>
      </c>
      <c r="X332" s="12" t="s">
        <v>3369</v>
      </c>
      <c r="Y332" s="12" t="s">
        <v>3369</v>
      </c>
      <c r="Z332" s="12" t="s">
        <v>3369</v>
      </c>
      <c r="AA332" s="12" t="s">
        <v>3369</v>
      </c>
      <c r="AB332" s="12" t="s">
        <v>3369</v>
      </c>
      <c r="AE332" s="32">
        <v>0.29166666666424135</v>
      </c>
      <c r="AF332" s="35"/>
    </row>
    <row r="333" spans="1:32" ht="12.75">
      <c r="A333" s="29">
        <v>43655.461362118054</v>
      </c>
      <c r="B333" s="12" t="s">
        <v>3390</v>
      </c>
      <c r="C333" s="12" t="s">
        <v>3984</v>
      </c>
      <c r="D333" s="12" t="s">
        <v>3589</v>
      </c>
      <c r="E333" s="12" t="s">
        <v>4045</v>
      </c>
      <c r="F333" s="30">
        <v>43655</v>
      </c>
      <c r="G333" s="12" t="s">
        <v>4046</v>
      </c>
      <c r="H333" s="32">
        <v>0.5625</v>
      </c>
      <c r="I333" s="29">
        <v>43655.604166666672</v>
      </c>
      <c r="J333" s="12" t="s">
        <v>3331</v>
      </c>
      <c r="L333" s="12" t="s">
        <v>3299</v>
      </c>
      <c r="M333" s="12" t="s">
        <v>3591</v>
      </c>
      <c r="N333" s="12" t="s">
        <v>3760</v>
      </c>
      <c r="O333" s="12" t="s">
        <v>3946</v>
      </c>
      <c r="P333" s="12" t="s">
        <v>3369</v>
      </c>
      <c r="Q333" s="12" t="s">
        <v>3369</v>
      </c>
      <c r="R333" s="12" t="s">
        <v>3369</v>
      </c>
      <c r="S333" s="12" t="s">
        <v>3369</v>
      </c>
      <c r="T333" s="12" t="s">
        <v>3369</v>
      </c>
      <c r="U333" s="12" t="s">
        <v>3369</v>
      </c>
      <c r="V333" s="12" t="s">
        <v>3369</v>
      </c>
      <c r="W333" s="12" t="s">
        <v>3369</v>
      </c>
      <c r="X333" s="12" t="s">
        <v>3369</v>
      </c>
      <c r="Y333" s="12" t="s">
        <v>3369</v>
      </c>
      <c r="Z333" s="12" t="s">
        <v>3369</v>
      </c>
      <c r="AA333" s="12" t="s">
        <v>3369</v>
      </c>
      <c r="AB333" s="12" t="s">
        <v>3369</v>
      </c>
      <c r="AE333" s="32">
        <v>0.46527777778101154</v>
      </c>
      <c r="AF333" s="35"/>
    </row>
    <row r="334" spans="1:32" ht="12.75">
      <c r="A334" s="29">
        <v>43657.346283391205</v>
      </c>
      <c r="B334" s="12" t="s">
        <v>3408</v>
      </c>
      <c r="C334" s="12" t="s">
        <v>3400</v>
      </c>
      <c r="D334" s="12" t="s">
        <v>3401</v>
      </c>
      <c r="E334" s="12" t="s">
        <v>3482</v>
      </c>
      <c r="F334" s="30">
        <v>43657</v>
      </c>
      <c r="G334" s="12" t="s">
        <v>3972</v>
      </c>
      <c r="H334" s="32">
        <v>0.6875</v>
      </c>
      <c r="J334" s="12" t="s">
        <v>3377</v>
      </c>
      <c r="L334" s="12" t="s">
        <v>3299</v>
      </c>
      <c r="M334" s="12" t="s">
        <v>3458</v>
      </c>
      <c r="N334" s="12" t="s">
        <v>4047</v>
      </c>
      <c r="O334" s="12" t="s">
        <v>3408</v>
      </c>
      <c r="P334" s="12" t="s">
        <v>3369</v>
      </c>
      <c r="Q334" s="12" t="s">
        <v>3369</v>
      </c>
      <c r="R334" s="12" t="s">
        <v>3369</v>
      </c>
      <c r="S334" s="12" t="s">
        <v>3369</v>
      </c>
      <c r="T334" s="12" t="s">
        <v>3369</v>
      </c>
      <c r="U334" s="12" t="s">
        <v>3369</v>
      </c>
      <c r="V334" s="12" t="s">
        <v>3369</v>
      </c>
      <c r="W334" s="12" t="s">
        <v>3369</v>
      </c>
      <c r="X334" s="12" t="s">
        <v>3369</v>
      </c>
      <c r="Y334" s="12" t="s">
        <v>3369</v>
      </c>
      <c r="Z334" s="12" t="s">
        <v>3369</v>
      </c>
      <c r="AA334" s="12" t="s">
        <v>3369</v>
      </c>
      <c r="AB334" s="12" t="s">
        <v>3369</v>
      </c>
      <c r="AE334" s="32">
        <v>0.38541666666424135</v>
      </c>
      <c r="AF334" s="35"/>
    </row>
    <row r="335" spans="1:32" ht="12.75">
      <c r="A335" s="29">
        <v>43657.418944791665</v>
      </c>
      <c r="B335" s="12" t="s">
        <v>3417</v>
      </c>
      <c r="C335" s="12" t="s">
        <v>3383</v>
      </c>
      <c r="D335" s="12" t="s">
        <v>3589</v>
      </c>
      <c r="E335" s="12" t="s">
        <v>3599</v>
      </c>
      <c r="F335" s="30">
        <v>43657</v>
      </c>
      <c r="G335" s="12" t="s">
        <v>3715</v>
      </c>
      <c r="H335" s="32">
        <v>0.58333333333575865</v>
      </c>
      <c r="I335" s="29">
        <v>43657.604166666672</v>
      </c>
      <c r="J335" s="12" t="s">
        <v>3298</v>
      </c>
      <c r="L335" s="12" t="s">
        <v>4048</v>
      </c>
      <c r="M335" s="12" t="s">
        <v>3379</v>
      </c>
      <c r="N335" s="12" t="s">
        <v>4049</v>
      </c>
      <c r="O335" s="12" t="s">
        <v>3381</v>
      </c>
      <c r="P335" s="12" t="s">
        <v>3369</v>
      </c>
      <c r="Q335" s="12" t="s">
        <v>3369</v>
      </c>
      <c r="R335" s="12" t="s">
        <v>3369</v>
      </c>
      <c r="S335" s="12" t="s">
        <v>3369</v>
      </c>
      <c r="T335" s="12" t="s">
        <v>3369</v>
      </c>
      <c r="U335" s="12" t="s">
        <v>3369</v>
      </c>
      <c r="V335" s="12" t="s">
        <v>3369</v>
      </c>
      <c r="W335" s="12" t="s">
        <v>3369</v>
      </c>
      <c r="X335" s="12" t="s">
        <v>3369</v>
      </c>
      <c r="Y335" s="12" t="s">
        <v>3369</v>
      </c>
      <c r="Z335" s="12" t="s">
        <v>3369</v>
      </c>
      <c r="AA335" s="12" t="s">
        <v>3369</v>
      </c>
      <c r="AB335" s="12" t="s">
        <v>3369</v>
      </c>
      <c r="AE335" s="32">
        <v>0.41666666666424135</v>
      </c>
      <c r="AF335" s="35"/>
    </row>
    <row r="336" spans="1:32" ht="12.75">
      <c r="A336" s="29">
        <v>43658.419788981482</v>
      </c>
      <c r="B336" s="12" t="s">
        <v>3372</v>
      </c>
      <c r="C336" s="12" t="s">
        <v>4050</v>
      </c>
      <c r="D336" s="12" t="s">
        <v>3589</v>
      </c>
      <c r="E336" s="12" t="s">
        <v>4051</v>
      </c>
      <c r="F336" s="30">
        <v>43658</v>
      </c>
      <c r="G336" s="12" t="s">
        <v>4052</v>
      </c>
      <c r="H336" s="32">
        <v>0.66666666666424135</v>
      </c>
      <c r="I336" s="29">
        <v>43658.6875</v>
      </c>
      <c r="J336" s="12" t="s">
        <v>3298</v>
      </c>
      <c r="L336" s="12" t="s">
        <v>4053</v>
      </c>
      <c r="M336" s="12" t="s">
        <v>3379</v>
      </c>
      <c r="N336" s="12" t="s">
        <v>4054</v>
      </c>
      <c r="O336" s="12" t="s">
        <v>3381</v>
      </c>
      <c r="P336" s="12" t="s">
        <v>3369</v>
      </c>
      <c r="Q336" s="12" t="s">
        <v>3369</v>
      </c>
      <c r="R336" s="12" t="s">
        <v>3369</v>
      </c>
      <c r="S336" s="12" t="s">
        <v>3369</v>
      </c>
      <c r="T336" s="12" t="s">
        <v>3369</v>
      </c>
      <c r="U336" s="12" t="s">
        <v>3369</v>
      </c>
      <c r="V336" s="12" t="s">
        <v>3369</v>
      </c>
      <c r="W336" s="12" t="s">
        <v>3369</v>
      </c>
      <c r="X336" s="12" t="s">
        <v>3369</v>
      </c>
      <c r="Y336" s="12" t="s">
        <v>3369</v>
      </c>
      <c r="Z336" s="12" t="s">
        <v>3369</v>
      </c>
      <c r="AA336" s="12" t="s">
        <v>3369</v>
      </c>
      <c r="AB336" s="12" t="s">
        <v>3369</v>
      </c>
      <c r="AE336" s="32">
        <v>0.41666666666424135</v>
      </c>
      <c r="AF336" s="35"/>
    </row>
    <row r="337" spans="1:32" ht="12.75">
      <c r="A337" s="29">
        <v>43661.310494375</v>
      </c>
      <c r="B337" s="12" t="s">
        <v>3767</v>
      </c>
      <c r="C337" s="12" t="s">
        <v>3391</v>
      </c>
      <c r="D337" s="12" t="s">
        <v>3589</v>
      </c>
      <c r="E337" s="12" t="s">
        <v>4045</v>
      </c>
      <c r="F337" s="30">
        <v>43661</v>
      </c>
      <c r="G337" s="12" t="s">
        <v>3465</v>
      </c>
      <c r="H337" s="32">
        <v>0.54166666666424135</v>
      </c>
      <c r="I337" s="29">
        <v>43661.5625</v>
      </c>
      <c r="J337" s="12" t="s">
        <v>3377</v>
      </c>
      <c r="L337" s="12" t="s">
        <v>3299</v>
      </c>
      <c r="M337" s="12" t="s">
        <v>3454</v>
      </c>
      <c r="N337" s="12" t="s">
        <v>4055</v>
      </c>
      <c r="O337" s="12" t="s">
        <v>3767</v>
      </c>
      <c r="P337" s="12" t="s">
        <v>3369</v>
      </c>
      <c r="Q337" s="12" t="s">
        <v>3369</v>
      </c>
      <c r="R337" s="12" t="s">
        <v>3369</v>
      </c>
      <c r="S337" s="12" t="s">
        <v>3369</v>
      </c>
      <c r="T337" s="12" t="s">
        <v>3369</v>
      </c>
      <c r="U337" s="12" t="s">
        <v>3369</v>
      </c>
      <c r="V337" s="12" t="s">
        <v>3369</v>
      </c>
      <c r="W337" s="12" t="s">
        <v>3369</v>
      </c>
      <c r="X337" s="12" t="s">
        <v>3369</v>
      </c>
      <c r="Y337" s="12" t="s">
        <v>3369</v>
      </c>
      <c r="Z337" s="12" t="s">
        <v>3369</v>
      </c>
      <c r="AA337" s="12" t="s">
        <v>3369</v>
      </c>
      <c r="AB337" s="12" t="s">
        <v>3369</v>
      </c>
      <c r="AE337" s="32">
        <v>0.32986111110949423</v>
      </c>
      <c r="AF337" s="35"/>
    </row>
    <row r="338" spans="1:32" ht="12.75">
      <c r="A338" s="29">
        <v>43662.612860833338</v>
      </c>
      <c r="B338" s="12" t="s">
        <v>3408</v>
      </c>
      <c r="C338" s="12" t="s">
        <v>3400</v>
      </c>
      <c r="D338" s="12" t="s">
        <v>3401</v>
      </c>
      <c r="E338" s="12" t="s">
        <v>4056</v>
      </c>
      <c r="F338" s="30">
        <v>43662</v>
      </c>
      <c r="G338" s="12" t="s">
        <v>4057</v>
      </c>
      <c r="H338" s="32">
        <v>0.66666666666424135</v>
      </c>
      <c r="J338" s="12" t="s">
        <v>3377</v>
      </c>
      <c r="L338" s="12" t="s">
        <v>3299</v>
      </c>
      <c r="M338" s="12" t="s">
        <v>3458</v>
      </c>
      <c r="N338" s="12" t="s">
        <v>3680</v>
      </c>
      <c r="O338" s="12" t="s">
        <v>3408</v>
      </c>
      <c r="P338" s="12" t="s">
        <v>3369</v>
      </c>
      <c r="Q338" s="12" t="s">
        <v>3369</v>
      </c>
      <c r="R338" s="12" t="s">
        <v>3369</v>
      </c>
      <c r="S338" s="12" t="s">
        <v>3369</v>
      </c>
      <c r="T338" s="12" t="s">
        <v>3369</v>
      </c>
      <c r="U338" s="12" t="s">
        <v>3369</v>
      </c>
      <c r="V338" s="12" t="s">
        <v>3369</v>
      </c>
      <c r="W338" s="12" t="s">
        <v>3369</v>
      </c>
      <c r="X338" s="12" t="s">
        <v>3369</v>
      </c>
      <c r="Y338" s="12" t="s">
        <v>3369</v>
      </c>
      <c r="Z338" s="12" t="s">
        <v>3369</v>
      </c>
      <c r="AA338" s="12" t="s">
        <v>3369</v>
      </c>
      <c r="AB338" s="12" t="s">
        <v>3369</v>
      </c>
      <c r="AE338" s="32">
        <v>0.40625</v>
      </c>
      <c r="AF338" s="35"/>
    </row>
    <row r="339" spans="1:32" ht="12.75">
      <c r="A339" s="29">
        <v>43662.617034016206</v>
      </c>
      <c r="B339" s="12" t="s">
        <v>3408</v>
      </c>
      <c r="C339" s="12" t="s">
        <v>3400</v>
      </c>
      <c r="D339" s="12" t="s">
        <v>3401</v>
      </c>
      <c r="E339" s="12" t="s">
        <v>4056</v>
      </c>
      <c r="F339" s="30">
        <v>43663</v>
      </c>
      <c r="G339" s="12" t="s">
        <v>4057</v>
      </c>
      <c r="H339" s="32">
        <v>0.66666666666424135</v>
      </c>
      <c r="J339" s="12" t="s">
        <v>3377</v>
      </c>
      <c r="L339" s="12" t="s">
        <v>3299</v>
      </c>
      <c r="M339" s="12" t="s">
        <v>3458</v>
      </c>
      <c r="N339" s="12" t="s">
        <v>3680</v>
      </c>
      <c r="O339" s="12" t="s">
        <v>3408</v>
      </c>
      <c r="P339" s="12" t="s">
        <v>3369</v>
      </c>
      <c r="Q339" s="12" t="s">
        <v>3369</v>
      </c>
      <c r="R339" s="12" t="s">
        <v>3369</v>
      </c>
      <c r="S339" s="12" t="s">
        <v>3369</v>
      </c>
      <c r="T339" s="12" t="s">
        <v>3369</v>
      </c>
      <c r="U339" s="12" t="s">
        <v>3369</v>
      </c>
      <c r="V339" s="12" t="s">
        <v>3369</v>
      </c>
      <c r="W339" s="12" t="s">
        <v>3369</v>
      </c>
      <c r="X339" s="12" t="s">
        <v>3369</v>
      </c>
      <c r="Y339" s="12" t="s">
        <v>3369</v>
      </c>
      <c r="Z339" s="12" t="s">
        <v>3369</v>
      </c>
      <c r="AA339" s="12" t="s">
        <v>3369</v>
      </c>
      <c r="AB339" s="12" t="s">
        <v>3369</v>
      </c>
      <c r="AE339" s="32">
        <v>0.40625</v>
      </c>
      <c r="AF339" s="35"/>
    </row>
    <row r="340" spans="1:32" ht="12.75">
      <c r="A340" s="29">
        <v>43668.730862627315</v>
      </c>
      <c r="B340" s="12" t="s">
        <v>3408</v>
      </c>
      <c r="C340" s="12" t="s">
        <v>3400</v>
      </c>
      <c r="D340" s="12" t="s">
        <v>3401</v>
      </c>
      <c r="E340" s="12" t="s">
        <v>4058</v>
      </c>
      <c r="F340" s="30">
        <v>43668</v>
      </c>
      <c r="G340" s="12" t="s">
        <v>4059</v>
      </c>
      <c r="H340" s="32">
        <v>0.47916666666424135</v>
      </c>
      <c r="J340" s="12" t="s">
        <v>3403</v>
      </c>
      <c r="L340" s="12" t="s">
        <v>3299</v>
      </c>
      <c r="M340" s="12" t="s">
        <v>3458</v>
      </c>
      <c r="N340" s="12" t="s">
        <v>4060</v>
      </c>
      <c r="O340" s="12" t="s">
        <v>3408</v>
      </c>
      <c r="P340" s="12" t="s">
        <v>3369</v>
      </c>
      <c r="Q340" s="12" t="s">
        <v>3369</v>
      </c>
      <c r="R340" s="12" t="s">
        <v>3369</v>
      </c>
      <c r="S340" s="12" t="s">
        <v>3369</v>
      </c>
      <c r="T340" s="12" t="s">
        <v>3369</v>
      </c>
      <c r="U340" s="12" t="s">
        <v>3369</v>
      </c>
      <c r="V340" s="12" t="s">
        <v>3369</v>
      </c>
      <c r="W340" s="12" t="s">
        <v>3369</v>
      </c>
      <c r="X340" s="12" t="s">
        <v>3369</v>
      </c>
      <c r="Y340" s="12" t="s">
        <v>3369</v>
      </c>
      <c r="Z340" s="12" t="s">
        <v>3369</v>
      </c>
      <c r="AA340" s="12" t="s">
        <v>3369</v>
      </c>
      <c r="AB340" s="12" t="s">
        <v>3369</v>
      </c>
      <c r="AE340" s="32">
        <v>0.375</v>
      </c>
      <c r="AF340" s="35"/>
    </row>
    <row r="341" spans="1:32" ht="12.75">
      <c r="A341" s="29">
        <v>43670.281751261573</v>
      </c>
      <c r="B341" s="12" t="s">
        <v>3372</v>
      </c>
      <c r="C341" s="12" t="s">
        <v>4061</v>
      </c>
      <c r="D341" s="12" t="s">
        <v>3589</v>
      </c>
      <c r="E341" s="12" t="s">
        <v>3296</v>
      </c>
      <c r="F341" s="30">
        <v>43670</v>
      </c>
      <c r="G341" s="12" t="s">
        <v>3964</v>
      </c>
      <c r="H341" s="32">
        <v>0.58333333333575865</v>
      </c>
      <c r="I341" s="29">
        <v>43670.604166666672</v>
      </c>
      <c r="J341" s="12" t="s">
        <v>3298</v>
      </c>
      <c r="L341" s="12" t="s">
        <v>3393</v>
      </c>
      <c r="M341" s="12" t="s">
        <v>3379</v>
      </c>
      <c r="N341" s="12" t="s">
        <v>4062</v>
      </c>
      <c r="O341" s="12" t="s">
        <v>3381</v>
      </c>
      <c r="P341" s="12" t="s">
        <v>3369</v>
      </c>
      <c r="Q341" s="12" t="s">
        <v>3369</v>
      </c>
      <c r="R341" s="12" t="s">
        <v>3369</v>
      </c>
      <c r="S341" s="12" t="s">
        <v>3369</v>
      </c>
      <c r="T341" s="12" t="s">
        <v>3369</v>
      </c>
      <c r="U341" s="12" t="s">
        <v>3369</v>
      </c>
      <c r="V341" s="12" t="s">
        <v>3369</v>
      </c>
      <c r="W341" s="12" t="s">
        <v>3369</v>
      </c>
      <c r="X341" s="12" t="s">
        <v>3369</v>
      </c>
      <c r="Y341" s="12" t="s">
        <v>3369</v>
      </c>
      <c r="Z341" s="12" t="s">
        <v>3369</v>
      </c>
      <c r="AA341" s="12" t="s">
        <v>3369</v>
      </c>
      <c r="AB341" s="12" t="s">
        <v>3369</v>
      </c>
      <c r="AE341" s="32">
        <v>0.29166666666424135</v>
      </c>
      <c r="AF341" s="35"/>
    </row>
    <row r="342" spans="1:32" ht="12.75">
      <c r="A342" s="29">
        <v>43671.320203923606</v>
      </c>
      <c r="B342" s="12" t="s">
        <v>3372</v>
      </c>
      <c r="C342" s="12" t="s">
        <v>4061</v>
      </c>
      <c r="D342" s="12" t="s">
        <v>3589</v>
      </c>
      <c r="E342" s="12" t="s">
        <v>3296</v>
      </c>
      <c r="F342" s="30">
        <v>43671</v>
      </c>
      <c r="G342" s="12" t="s">
        <v>3419</v>
      </c>
      <c r="H342" s="32">
        <v>0.54166666666424135</v>
      </c>
      <c r="I342" s="29">
        <v>43671.5625</v>
      </c>
      <c r="J342" s="12" t="s">
        <v>3298</v>
      </c>
      <c r="L342" s="12" t="s">
        <v>3393</v>
      </c>
      <c r="M342" s="12" t="s">
        <v>3379</v>
      </c>
      <c r="N342" s="12" t="s">
        <v>4063</v>
      </c>
      <c r="O342" s="12" t="s">
        <v>3381</v>
      </c>
      <c r="P342" s="12" t="s">
        <v>3369</v>
      </c>
      <c r="Q342" s="12" t="s">
        <v>3369</v>
      </c>
      <c r="R342" s="12" t="s">
        <v>3369</v>
      </c>
      <c r="S342" s="12" t="s">
        <v>3369</v>
      </c>
      <c r="T342" s="12" t="s">
        <v>3369</v>
      </c>
      <c r="U342" s="12" t="s">
        <v>3369</v>
      </c>
      <c r="V342" s="12" t="s">
        <v>3369</v>
      </c>
      <c r="W342" s="12" t="s">
        <v>3369</v>
      </c>
      <c r="X342" s="12" t="s">
        <v>3369</v>
      </c>
      <c r="Y342" s="12" t="s">
        <v>3369</v>
      </c>
      <c r="Z342" s="12" t="s">
        <v>3369</v>
      </c>
      <c r="AA342" s="12" t="s">
        <v>3369</v>
      </c>
      <c r="AB342" s="12" t="s">
        <v>3369</v>
      </c>
      <c r="AE342" s="32">
        <v>0.33333333333575865</v>
      </c>
      <c r="AF342" s="35"/>
    </row>
    <row r="343" spans="1:32" ht="12.75">
      <c r="A343" s="29">
        <v>43672.437477291664</v>
      </c>
      <c r="B343" s="12" t="s">
        <v>3564</v>
      </c>
      <c r="C343" s="12" t="s">
        <v>4064</v>
      </c>
      <c r="D343" s="12" t="s">
        <v>3589</v>
      </c>
      <c r="E343" s="12" t="s">
        <v>3730</v>
      </c>
      <c r="F343" s="30">
        <v>43672</v>
      </c>
      <c r="G343" s="12" t="s">
        <v>4065</v>
      </c>
      <c r="H343" s="32">
        <v>0.58333333333575865</v>
      </c>
      <c r="I343" s="29">
        <v>43672.125</v>
      </c>
      <c r="J343" s="12" t="s">
        <v>3298</v>
      </c>
      <c r="L343" s="12" t="s">
        <v>3393</v>
      </c>
      <c r="M343" s="12" t="s">
        <v>3379</v>
      </c>
      <c r="N343" s="12" t="s">
        <v>4066</v>
      </c>
      <c r="O343" s="12" t="s">
        <v>4067</v>
      </c>
      <c r="P343" s="12" t="s">
        <v>3369</v>
      </c>
      <c r="Q343" s="12" t="s">
        <v>3369</v>
      </c>
      <c r="R343" s="12" t="s">
        <v>3369</v>
      </c>
      <c r="S343" s="12" t="s">
        <v>3369</v>
      </c>
      <c r="T343" s="12" t="s">
        <v>3369</v>
      </c>
      <c r="U343" s="12" t="s">
        <v>3369</v>
      </c>
      <c r="V343" s="12" t="s">
        <v>3369</v>
      </c>
      <c r="W343" s="12" t="s">
        <v>3369</v>
      </c>
      <c r="X343" s="12" t="s">
        <v>3369</v>
      </c>
      <c r="Y343" s="12" t="s">
        <v>3369</v>
      </c>
      <c r="Z343" s="12" t="s">
        <v>3369</v>
      </c>
      <c r="AA343" s="12" t="s">
        <v>3369</v>
      </c>
      <c r="AB343" s="12" t="s">
        <v>3369</v>
      </c>
      <c r="AC343" s="12" t="s">
        <v>4068</v>
      </c>
      <c r="AD343" s="12" t="s">
        <v>4069</v>
      </c>
      <c r="AE343" s="32">
        <v>0.4375</v>
      </c>
      <c r="AF343" s="35"/>
    </row>
    <row r="344" spans="1:32" ht="12.75">
      <c r="A344" s="29">
        <v>43675.724482592588</v>
      </c>
      <c r="B344" s="12" t="s">
        <v>3390</v>
      </c>
      <c r="C344" s="12" t="s">
        <v>3391</v>
      </c>
      <c r="D344" s="12" t="s">
        <v>3589</v>
      </c>
      <c r="E344" s="12" t="s">
        <v>4045</v>
      </c>
      <c r="F344" s="30">
        <v>43676</v>
      </c>
      <c r="G344" s="12" t="s">
        <v>4070</v>
      </c>
      <c r="H344" s="32">
        <v>0.69791666666424135</v>
      </c>
      <c r="I344" s="29">
        <v>43676.708333333328</v>
      </c>
      <c r="J344" s="12" t="s">
        <v>3377</v>
      </c>
      <c r="L344" s="12" t="s">
        <v>3393</v>
      </c>
      <c r="M344" s="12" t="s">
        <v>3454</v>
      </c>
      <c r="N344" s="12" t="s">
        <v>4071</v>
      </c>
      <c r="O344" s="12" t="s">
        <v>3767</v>
      </c>
      <c r="P344" s="12" t="s">
        <v>3369</v>
      </c>
      <c r="Q344" s="12" t="s">
        <v>3369</v>
      </c>
      <c r="R344" s="12" t="s">
        <v>3369</v>
      </c>
      <c r="S344" s="12" t="s">
        <v>3369</v>
      </c>
      <c r="T344" s="12" t="s">
        <v>3369</v>
      </c>
      <c r="U344" s="12" t="s">
        <v>3369</v>
      </c>
      <c r="V344" s="12" t="s">
        <v>3369</v>
      </c>
      <c r="W344" s="12" t="s">
        <v>3369</v>
      </c>
      <c r="X344" s="12" t="s">
        <v>3369</v>
      </c>
      <c r="Y344" s="12" t="s">
        <v>3369</v>
      </c>
      <c r="Z344" s="12" t="s">
        <v>3369</v>
      </c>
      <c r="AA344" s="12" t="s">
        <v>3369</v>
      </c>
      <c r="AB344" s="12" t="s">
        <v>3369</v>
      </c>
      <c r="AE344" s="32">
        <v>0.32291666666424135</v>
      </c>
      <c r="AF344" s="35"/>
    </row>
    <row r="345" spans="1:32" ht="12.75">
      <c r="A345" s="29">
        <v>43676.461673865742</v>
      </c>
      <c r="B345" s="12" t="s">
        <v>3372</v>
      </c>
      <c r="C345" s="12" t="s">
        <v>3902</v>
      </c>
      <c r="D345" s="12" t="s">
        <v>3881</v>
      </c>
      <c r="E345" s="12" t="s">
        <v>3356</v>
      </c>
      <c r="F345" s="30">
        <v>43676</v>
      </c>
      <c r="G345" s="12" t="s">
        <v>4072</v>
      </c>
      <c r="H345" s="32">
        <v>0.58333333333575865</v>
      </c>
      <c r="I345" s="29">
        <v>43676.583333333328</v>
      </c>
      <c r="J345" s="12" t="s">
        <v>3403</v>
      </c>
      <c r="L345" s="12" t="s">
        <v>3461</v>
      </c>
      <c r="M345" s="12" t="s">
        <v>3300</v>
      </c>
      <c r="O345" s="12" t="s">
        <v>3381</v>
      </c>
      <c r="P345" s="12" t="s">
        <v>3369</v>
      </c>
      <c r="Q345" s="12" t="s">
        <v>3369</v>
      </c>
      <c r="R345" s="12" t="s">
        <v>3369</v>
      </c>
      <c r="S345" s="12" t="s">
        <v>3369</v>
      </c>
      <c r="T345" s="12" t="s">
        <v>3369</v>
      </c>
      <c r="U345" s="12" t="s">
        <v>3369</v>
      </c>
      <c r="V345" s="12" t="s">
        <v>3369</v>
      </c>
      <c r="W345" s="12" t="s">
        <v>3369</v>
      </c>
      <c r="X345" s="12" t="s">
        <v>3369</v>
      </c>
      <c r="Y345" s="12" t="s">
        <v>3369</v>
      </c>
      <c r="Z345" s="12" t="s">
        <v>3369</v>
      </c>
      <c r="AA345" s="12" t="s">
        <v>3369</v>
      </c>
      <c r="AB345" s="12" t="s">
        <v>3369</v>
      </c>
      <c r="AE345" s="32">
        <v>0.45833333333575865</v>
      </c>
      <c r="AF345" s="35"/>
    </row>
    <row r="346" spans="1:32" ht="12.75">
      <c r="A346" s="29">
        <v>43677.35346140046</v>
      </c>
      <c r="B346" s="12" t="s">
        <v>3399</v>
      </c>
      <c r="C346" s="12" t="s">
        <v>3400</v>
      </c>
      <c r="D346" s="12" t="s">
        <v>3401</v>
      </c>
      <c r="E346" s="12" t="s">
        <v>3482</v>
      </c>
      <c r="F346" s="30">
        <v>43677</v>
      </c>
      <c r="G346" s="12" t="s">
        <v>4073</v>
      </c>
      <c r="H346" s="32">
        <v>0.70833333333575865</v>
      </c>
      <c r="J346" s="12" t="s">
        <v>3377</v>
      </c>
      <c r="L346" s="12" t="s">
        <v>3393</v>
      </c>
      <c r="M346" s="12" t="s">
        <v>3458</v>
      </c>
      <c r="N346" s="12" t="s">
        <v>4074</v>
      </c>
      <c r="O346" s="12" t="s">
        <v>3408</v>
      </c>
      <c r="P346" s="12" t="s">
        <v>3369</v>
      </c>
      <c r="Q346" s="12" t="s">
        <v>3369</v>
      </c>
      <c r="R346" s="12" t="s">
        <v>3369</v>
      </c>
      <c r="S346" s="12" t="s">
        <v>3369</v>
      </c>
      <c r="T346" s="12" t="s">
        <v>3369</v>
      </c>
      <c r="U346" s="12" t="s">
        <v>3369</v>
      </c>
      <c r="V346" s="12" t="s">
        <v>3369</v>
      </c>
      <c r="W346" s="12" t="s">
        <v>3369</v>
      </c>
      <c r="X346" s="12" t="s">
        <v>3369</v>
      </c>
      <c r="Y346" s="12" t="s">
        <v>3369</v>
      </c>
      <c r="Z346" s="12" t="s">
        <v>3369</v>
      </c>
      <c r="AA346" s="12" t="s">
        <v>3369</v>
      </c>
      <c r="AB346" s="12" t="s">
        <v>3369</v>
      </c>
      <c r="AE346" s="32">
        <v>0.38541666666424135</v>
      </c>
      <c r="AF346" s="35"/>
    </row>
    <row r="347" spans="1:32" ht="12.75">
      <c r="A347" s="29">
        <v>43678.598216192127</v>
      </c>
      <c r="B347" s="12" t="s">
        <v>3417</v>
      </c>
      <c r="C347" s="12" t="s">
        <v>259</v>
      </c>
      <c r="D347" s="12" t="s">
        <v>3589</v>
      </c>
      <c r="E347" s="12" t="s">
        <v>3296</v>
      </c>
      <c r="F347" s="30">
        <v>43678</v>
      </c>
      <c r="G347" s="12" t="s">
        <v>4075</v>
      </c>
      <c r="H347" s="32">
        <v>0.79166666666424135</v>
      </c>
      <c r="I347" s="29">
        <v>43678.8125</v>
      </c>
      <c r="J347" s="12" t="s">
        <v>3377</v>
      </c>
      <c r="L347" s="12" t="s">
        <v>3393</v>
      </c>
      <c r="M347" s="12" t="s">
        <v>3379</v>
      </c>
      <c r="N347" s="12" t="s">
        <v>4076</v>
      </c>
      <c r="O347" s="12" t="s">
        <v>3381</v>
      </c>
      <c r="P347" s="12" t="s">
        <v>3369</v>
      </c>
      <c r="Q347" s="12" t="s">
        <v>3369</v>
      </c>
      <c r="R347" s="12" t="s">
        <v>3369</v>
      </c>
      <c r="S347" s="12" t="s">
        <v>3369</v>
      </c>
      <c r="T347" s="12" t="s">
        <v>3369</v>
      </c>
      <c r="U347" s="12" t="s">
        <v>3369</v>
      </c>
      <c r="V347" s="12" t="s">
        <v>3369</v>
      </c>
      <c r="W347" s="12" t="s">
        <v>3369</v>
      </c>
      <c r="X347" s="12" t="s">
        <v>3369</v>
      </c>
      <c r="Y347" s="12" t="s">
        <v>3369</v>
      </c>
      <c r="Z347" s="12" t="s">
        <v>3369</v>
      </c>
      <c r="AA347" s="12" t="s">
        <v>3369</v>
      </c>
      <c r="AB347" s="12" t="s">
        <v>3369</v>
      </c>
      <c r="AE347" s="32">
        <v>0.625</v>
      </c>
      <c r="AF347" s="35"/>
    </row>
    <row r="348" spans="1:32" ht="12.75">
      <c r="A348" s="29">
        <v>43682.594893298607</v>
      </c>
      <c r="B348" s="12" t="s">
        <v>3408</v>
      </c>
      <c r="C348" s="12" t="s">
        <v>3400</v>
      </c>
      <c r="D348" s="12" t="s">
        <v>3401</v>
      </c>
      <c r="E348" s="12" t="s">
        <v>3482</v>
      </c>
      <c r="F348" s="30">
        <v>43683</v>
      </c>
      <c r="G348" s="12" t="s">
        <v>3892</v>
      </c>
      <c r="H348" s="32">
        <v>0.66666666666424135</v>
      </c>
      <c r="J348" s="12" t="s">
        <v>3377</v>
      </c>
      <c r="L348" s="12" t="s">
        <v>3299</v>
      </c>
      <c r="M348" s="12" t="s">
        <v>3458</v>
      </c>
      <c r="N348" s="12" t="s">
        <v>4077</v>
      </c>
      <c r="O348" s="12" t="s">
        <v>3408</v>
      </c>
      <c r="P348" s="12" t="s">
        <v>3369</v>
      </c>
      <c r="Q348" s="12" t="s">
        <v>3369</v>
      </c>
      <c r="R348" s="12" t="s">
        <v>3369</v>
      </c>
      <c r="S348" s="12" t="s">
        <v>3369</v>
      </c>
      <c r="T348" s="12" t="s">
        <v>3369</v>
      </c>
      <c r="U348" s="12" t="s">
        <v>3369</v>
      </c>
      <c r="V348" s="12" t="s">
        <v>3369</v>
      </c>
      <c r="W348" s="12" t="s">
        <v>3369</v>
      </c>
      <c r="X348" s="12" t="s">
        <v>3369</v>
      </c>
      <c r="Y348" s="12" t="s">
        <v>3369</v>
      </c>
      <c r="Z348" s="12" t="s">
        <v>3369</v>
      </c>
      <c r="AA348" s="12" t="s">
        <v>3369</v>
      </c>
      <c r="AB348" s="12" t="s">
        <v>3369</v>
      </c>
      <c r="AE348" s="32">
        <v>0.375</v>
      </c>
      <c r="AF348" s="35"/>
    </row>
    <row r="349" spans="1:32" ht="12.75">
      <c r="A349" s="29">
        <v>43683.285293148147</v>
      </c>
      <c r="B349" s="12" t="s">
        <v>3417</v>
      </c>
      <c r="C349" s="12" t="s">
        <v>259</v>
      </c>
      <c r="D349" s="12" t="s">
        <v>3589</v>
      </c>
      <c r="E349" s="12" t="s">
        <v>3920</v>
      </c>
      <c r="F349" s="30">
        <v>43683</v>
      </c>
      <c r="G349" s="12" t="s">
        <v>4078</v>
      </c>
      <c r="H349" s="32">
        <v>0.58333333333575865</v>
      </c>
      <c r="I349" s="29">
        <v>43683.625</v>
      </c>
      <c r="J349" s="12" t="s">
        <v>3298</v>
      </c>
      <c r="L349" s="12" t="s">
        <v>3393</v>
      </c>
      <c r="M349" s="12" t="s">
        <v>3379</v>
      </c>
      <c r="N349" s="12" t="s">
        <v>4079</v>
      </c>
      <c r="O349" s="12" t="s">
        <v>3381</v>
      </c>
      <c r="P349" s="12" t="s">
        <v>3369</v>
      </c>
      <c r="Q349" s="12" t="s">
        <v>3369</v>
      </c>
      <c r="R349" s="12" t="s">
        <v>3369</v>
      </c>
      <c r="S349" s="12" t="s">
        <v>3369</v>
      </c>
      <c r="T349" s="12" t="s">
        <v>3369</v>
      </c>
      <c r="U349" s="12" t="s">
        <v>3369</v>
      </c>
      <c r="V349" s="12" t="s">
        <v>3369</v>
      </c>
      <c r="W349" s="12" t="s">
        <v>3369</v>
      </c>
      <c r="X349" s="12" t="s">
        <v>3369</v>
      </c>
      <c r="Y349" s="12" t="s">
        <v>3369</v>
      </c>
      <c r="Z349" s="12" t="s">
        <v>3369</v>
      </c>
      <c r="AA349" s="12" t="s">
        <v>3369</v>
      </c>
      <c r="AB349" s="12" t="s">
        <v>3369</v>
      </c>
      <c r="AE349" s="32">
        <v>0.29166666666424135</v>
      </c>
      <c r="AF349" s="35"/>
    </row>
    <row r="350" spans="1:32" ht="12.75">
      <c r="A350" s="29">
        <v>43683.702105960649</v>
      </c>
      <c r="B350" s="12" t="s">
        <v>3408</v>
      </c>
      <c r="C350" s="12" t="s">
        <v>3400</v>
      </c>
      <c r="D350" s="12" t="s">
        <v>3401</v>
      </c>
      <c r="E350" s="12" t="s">
        <v>3482</v>
      </c>
      <c r="F350" s="30">
        <v>43684</v>
      </c>
      <c r="G350" s="12" t="s">
        <v>4080</v>
      </c>
      <c r="H350" s="32">
        <v>0.66666666666424135</v>
      </c>
      <c r="J350" s="12" t="s">
        <v>3377</v>
      </c>
      <c r="L350" s="12" t="s">
        <v>3299</v>
      </c>
      <c r="M350" s="12" t="s">
        <v>3458</v>
      </c>
      <c r="N350" s="12" t="s">
        <v>4081</v>
      </c>
      <c r="O350" s="12" t="s">
        <v>3408</v>
      </c>
      <c r="P350" s="12" t="s">
        <v>3369</v>
      </c>
      <c r="Q350" s="12" t="s">
        <v>3369</v>
      </c>
      <c r="R350" s="12" t="s">
        <v>3369</v>
      </c>
      <c r="S350" s="12" t="s">
        <v>3369</v>
      </c>
      <c r="T350" s="12" t="s">
        <v>3369</v>
      </c>
      <c r="U350" s="12" t="s">
        <v>3369</v>
      </c>
      <c r="V350" s="12" t="s">
        <v>3369</v>
      </c>
      <c r="W350" s="12" t="s">
        <v>3369</v>
      </c>
      <c r="X350" s="12" t="s">
        <v>3369</v>
      </c>
      <c r="Y350" s="12" t="s">
        <v>3369</v>
      </c>
      <c r="Z350" s="12" t="s">
        <v>3369</v>
      </c>
      <c r="AA350" s="12" t="s">
        <v>3369</v>
      </c>
      <c r="AB350" s="12" t="s">
        <v>3369</v>
      </c>
      <c r="AE350" s="32">
        <v>0.38541666666424135</v>
      </c>
      <c r="AF350" s="35"/>
    </row>
    <row r="351" spans="1:32" ht="12.75">
      <c r="A351" s="29">
        <v>43684.689387280094</v>
      </c>
      <c r="B351" s="12" t="s">
        <v>3408</v>
      </c>
      <c r="C351" s="12" t="s">
        <v>3400</v>
      </c>
      <c r="D351" s="12" t="s">
        <v>3401</v>
      </c>
      <c r="E351" s="12" t="s">
        <v>3687</v>
      </c>
      <c r="F351" s="30">
        <v>43685</v>
      </c>
      <c r="G351" s="12" t="s">
        <v>3947</v>
      </c>
      <c r="H351" s="32">
        <v>0.66666666666424135</v>
      </c>
      <c r="J351" s="12" t="s">
        <v>3377</v>
      </c>
      <c r="L351" s="12" t="s">
        <v>3299</v>
      </c>
      <c r="M351" s="12" t="s">
        <v>3458</v>
      </c>
      <c r="N351" s="12" t="s">
        <v>4082</v>
      </c>
      <c r="O351" s="12" t="s">
        <v>3408</v>
      </c>
      <c r="P351" s="12" t="s">
        <v>3369</v>
      </c>
      <c r="Q351" s="12" t="s">
        <v>3369</v>
      </c>
      <c r="R351" s="12" t="s">
        <v>3369</v>
      </c>
      <c r="S351" s="12" t="s">
        <v>3369</v>
      </c>
      <c r="T351" s="12" t="s">
        <v>3369</v>
      </c>
      <c r="U351" s="12" t="s">
        <v>3369</v>
      </c>
      <c r="V351" s="12" t="s">
        <v>3369</v>
      </c>
      <c r="W351" s="12" t="s">
        <v>3369</v>
      </c>
      <c r="X351" s="12" t="s">
        <v>3369</v>
      </c>
      <c r="Y351" s="12" t="s">
        <v>3369</v>
      </c>
      <c r="Z351" s="12" t="s">
        <v>3369</v>
      </c>
      <c r="AA351" s="12" t="s">
        <v>3369</v>
      </c>
      <c r="AB351" s="12" t="s">
        <v>3369</v>
      </c>
      <c r="AE351" s="32">
        <v>0.41666666666424135</v>
      </c>
      <c r="AF351" s="35"/>
    </row>
    <row r="352" spans="1:32" ht="12.75">
      <c r="A352" s="29">
        <v>43685.291886273146</v>
      </c>
      <c r="B352" s="12" t="s">
        <v>3372</v>
      </c>
      <c r="C352" s="12" t="s">
        <v>3902</v>
      </c>
      <c r="D352" s="12" t="s">
        <v>3589</v>
      </c>
      <c r="E352" s="12" t="s">
        <v>4083</v>
      </c>
      <c r="F352" s="30">
        <v>43685</v>
      </c>
      <c r="G352" s="12" t="s">
        <v>4084</v>
      </c>
      <c r="H352" s="32">
        <v>0.58333333333575865</v>
      </c>
      <c r="I352" s="29">
        <v>43685.604166666672</v>
      </c>
      <c r="J352" s="12" t="s">
        <v>3298</v>
      </c>
      <c r="L352" s="12" t="s">
        <v>3393</v>
      </c>
      <c r="M352" s="12" t="s">
        <v>3379</v>
      </c>
      <c r="O352" s="12" t="s">
        <v>3381</v>
      </c>
      <c r="P352" s="12" t="s">
        <v>3369</v>
      </c>
      <c r="Q352" s="12" t="s">
        <v>3369</v>
      </c>
      <c r="R352" s="12" t="s">
        <v>3369</v>
      </c>
      <c r="S352" s="12" t="s">
        <v>3369</v>
      </c>
      <c r="T352" s="12" t="s">
        <v>3369</v>
      </c>
      <c r="U352" s="12" t="s">
        <v>3369</v>
      </c>
      <c r="V352" s="12" t="s">
        <v>3369</v>
      </c>
      <c r="W352" s="12" t="s">
        <v>3369</v>
      </c>
      <c r="X352" s="12" t="s">
        <v>3369</v>
      </c>
      <c r="Y352" s="12" t="s">
        <v>3369</v>
      </c>
      <c r="Z352" s="12" t="s">
        <v>3369</v>
      </c>
      <c r="AA352" s="12" t="s">
        <v>3369</v>
      </c>
      <c r="AB352" s="12" t="s">
        <v>3369</v>
      </c>
      <c r="AE352" s="32">
        <v>0.29166666666424135</v>
      </c>
      <c r="AF352" s="35"/>
    </row>
    <row r="353" spans="1:32" ht="12.75">
      <c r="A353" s="29">
        <v>43686.46241310185</v>
      </c>
      <c r="B353" s="12" t="s">
        <v>3417</v>
      </c>
      <c r="C353" s="12" t="s">
        <v>4061</v>
      </c>
      <c r="D353" s="12" t="s">
        <v>3589</v>
      </c>
      <c r="E353" s="12" t="s">
        <v>4085</v>
      </c>
      <c r="F353" s="30">
        <v>43686</v>
      </c>
      <c r="G353" s="12" t="s">
        <v>3446</v>
      </c>
      <c r="H353" s="32">
        <v>0.70833333333575865</v>
      </c>
      <c r="I353" s="29">
        <v>43686.729166666672</v>
      </c>
      <c r="J353" s="12" t="s">
        <v>3298</v>
      </c>
      <c r="L353" s="12" t="s">
        <v>3393</v>
      </c>
      <c r="M353" s="12" t="s">
        <v>4086</v>
      </c>
      <c r="O353" s="12" t="s">
        <v>3381</v>
      </c>
      <c r="P353" s="12" t="s">
        <v>3369</v>
      </c>
      <c r="Q353" s="12" t="s">
        <v>3369</v>
      </c>
      <c r="R353" s="12" t="s">
        <v>3369</v>
      </c>
      <c r="S353" s="12" t="s">
        <v>3369</v>
      </c>
      <c r="T353" s="12" t="s">
        <v>3369</v>
      </c>
      <c r="U353" s="12" t="s">
        <v>3369</v>
      </c>
      <c r="V353" s="12" t="s">
        <v>3369</v>
      </c>
      <c r="W353" s="12" t="s">
        <v>3369</v>
      </c>
      <c r="X353" s="12" t="s">
        <v>3369</v>
      </c>
      <c r="Y353" s="12" t="s">
        <v>3369</v>
      </c>
      <c r="Z353" s="12" t="s">
        <v>3369</v>
      </c>
      <c r="AA353" s="12" t="s">
        <v>3369</v>
      </c>
      <c r="AB353" s="12" t="s">
        <v>3369</v>
      </c>
      <c r="AE353" s="32">
        <v>0.47916666666424135</v>
      </c>
      <c r="AF353" s="35"/>
    </row>
    <row r="354" spans="1:32" ht="12.75">
      <c r="A354" s="29">
        <v>43689.329892824069</v>
      </c>
      <c r="B354" s="12" t="s">
        <v>3408</v>
      </c>
      <c r="C354" s="12" t="s">
        <v>3400</v>
      </c>
      <c r="D354" s="12" t="s">
        <v>3401</v>
      </c>
      <c r="E354" s="12" t="s">
        <v>3356</v>
      </c>
      <c r="F354" s="30">
        <v>43689</v>
      </c>
      <c r="G354" s="12" t="s">
        <v>3657</v>
      </c>
      <c r="H354" s="32">
        <v>0.95833333333575865</v>
      </c>
      <c r="J354" s="12" t="s">
        <v>3403</v>
      </c>
      <c r="L354" s="12" t="s">
        <v>3299</v>
      </c>
      <c r="M354" s="12" t="s">
        <v>3458</v>
      </c>
      <c r="N354" s="12" t="s">
        <v>3760</v>
      </c>
      <c r="O354" s="12" t="s">
        <v>3408</v>
      </c>
      <c r="P354" s="12" t="s">
        <v>3369</v>
      </c>
      <c r="Q354" s="12" t="s">
        <v>3369</v>
      </c>
      <c r="R354" s="12" t="s">
        <v>3369</v>
      </c>
      <c r="S354" s="12" t="s">
        <v>3369</v>
      </c>
      <c r="T354" s="12" t="s">
        <v>3369</v>
      </c>
      <c r="U354" s="12" t="s">
        <v>3369</v>
      </c>
      <c r="V354" s="12" t="s">
        <v>3369</v>
      </c>
      <c r="W354" s="12" t="s">
        <v>3369</v>
      </c>
      <c r="X354" s="12" t="s">
        <v>3369</v>
      </c>
      <c r="Y354" s="12" t="s">
        <v>3369</v>
      </c>
      <c r="Z354" s="12" t="s">
        <v>3369</v>
      </c>
      <c r="AA354" s="12" t="s">
        <v>3369</v>
      </c>
      <c r="AB354" s="12" t="s">
        <v>3369</v>
      </c>
      <c r="AE354" s="32">
        <v>0.35416666666424135</v>
      </c>
      <c r="AF354" s="35"/>
    </row>
    <row r="355" spans="1:32" ht="12.75">
      <c r="A355" s="29">
        <v>43689.697580034721</v>
      </c>
      <c r="B355" s="12" t="s">
        <v>3408</v>
      </c>
      <c r="C355" s="12" t="s">
        <v>3400</v>
      </c>
      <c r="D355" s="12" t="s">
        <v>3401</v>
      </c>
      <c r="E355" s="12" t="s">
        <v>4087</v>
      </c>
      <c r="F355" s="30">
        <v>43690</v>
      </c>
      <c r="G355" s="12" t="s">
        <v>4057</v>
      </c>
      <c r="H355" s="32">
        <v>0.5</v>
      </c>
      <c r="J355" s="12" t="s">
        <v>3298</v>
      </c>
      <c r="L355" s="12" t="s">
        <v>3461</v>
      </c>
      <c r="M355" s="12" t="s">
        <v>3458</v>
      </c>
      <c r="N355" s="12" t="s">
        <v>4024</v>
      </c>
      <c r="O355" s="12" t="s">
        <v>3408</v>
      </c>
      <c r="P355" s="12" t="s">
        <v>3369</v>
      </c>
      <c r="Q355" s="12" t="s">
        <v>3369</v>
      </c>
      <c r="R355" s="12" t="s">
        <v>3369</v>
      </c>
      <c r="S355" s="12" t="s">
        <v>3369</v>
      </c>
      <c r="T355" s="12" t="s">
        <v>3369</v>
      </c>
      <c r="U355" s="12" t="s">
        <v>3369</v>
      </c>
      <c r="V355" s="12" t="s">
        <v>3369</v>
      </c>
      <c r="W355" s="12" t="s">
        <v>3369</v>
      </c>
      <c r="X355" s="12" t="s">
        <v>3369</v>
      </c>
      <c r="Y355" s="12" t="s">
        <v>3369</v>
      </c>
      <c r="Z355" s="12" t="s">
        <v>3369</v>
      </c>
      <c r="AA355" s="12" t="s">
        <v>3369</v>
      </c>
      <c r="AB355" s="12" t="s">
        <v>3369</v>
      </c>
      <c r="AE355" s="32">
        <v>0.29166666666424135</v>
      </c>
      <c r="AF355" s="35"/>
    </row>
    <row r="356" spans="1:32" ht="12.75">
      <c r="A356" s="29">
        <v>43689.748122280093</v>
      </c>
      <c r="B356" s="12" t="s">
        <v>3390</v>
      </c>
      <c r="C356" s="12" t="s">
        <v>3391</v>
      </c>
      <c r="D356" s="12" t="s">
        <v>3589</v>
      </c>
      <c r="E356" s="12" t="s">
        <v>3834</v>
      </c>
      <c r="F356" s="30">
        <v>43690</v>
      </c>
      <c r="G356" s="12" t="s">
        <v>3465</v>
      </c>
      <c r="H356" s="32">
        <v>0.55208333333575865</v>
      </c>
      <c r="I356" s="29">
        <v>43690.572916666672</v>
      </c>
      <c r="J356" s="12" t="s">
        <v>3377</v>
      </c>
      <c r="L356" s="12" t="s">
        <v>3393</v>
      </c>
      <c r="M356" s="12" t="s">
        <v>3454</v>
      </c>
      <c r="N356" s="12" t="s">
        <v>4088</v>
      </c>
      <c r="O356" s="12" t="s">
        <v>3767</v>
      </c>
      <c r="P356" s="12" t="s">
        <v>3369</v>
      </c>
      <c r="Q356" s="12" t="s">
        <v>3369</v>
      </c>
      <c r="R356" s="12" t="s">
        <v>3369</v>
      </c>
      <c r="S356" s="12" t="s">
        <v>3369</v>
      </c>
      <c r="T356" s="12" t="s">
        <v>3369</v>
      </c>
      <c r="U356" s="12" t="s">
        <v>3369</v>
      </c>
      <c r="V356" s="12" t="s">
        <v>3369</v>
      </c>
      <c r="W356" s="12" t="s">
        <v>3369</v>
      </c>
      <c r="X356" s="12" t="s">
        <v>3369</v>
      </c>
      <c r="Y356" s="12" t="s">
        <v>3369</v>
      </c>
      <c r="Z356" s="12" t="s">
        <v>3369</v>
      </c>
      <c r="AA356" s="12" t="s">
        <v>3369</v>
      </c>
      <c r="AB356" s="12" t="s">
        <v>3369</v>
      </c>
      <c r="AE356" s="32">
        <v>0.30208333333575865</v>
      </c>
      <c r="AF356" s="35"/>
    </row>
    <row r="357" spans="1:32" ht="12.75">
      <c r="A357" s="29">
        <v>43697.275023553244</v>
      </c>
      <c r="B357" s="12" t="s">
        <v>3417</v>
      </c>
      <c r="C357" s="12" t="s">
        <v>3902</v>
      </c>
      <c r="D357" s="12" t="s">
        <v>3589</v>
      </c>
      <c r="E357" s="12" t="s">
        <v>3990</v>
      </c>
      <c r="F357" s="30">
        <v>43697</v>
      </c>
      <c r="G357" s="12" t="s">
        <v>4089</v>
      </c>
      <c r="H357" s="32">
        <v>0.33333333333575865</v>
      </c>
      <c r="I357" s="29">
        <v>43697.333333333328</v>
      </c>
      <c r="J357" s="12" t="s">
        <v>3298</v>
      </c>
      <c r="L357" s="12" t="s">
        <v>3393</v>
      </c>
      <c r="M357" s="12" t="s">
        <v>3385</v>
      </c>
      <c r="O357" s="12" t="s">
        <v>3381</v>
      </c>
      <c r="P357" s="12" t="s">
        <v>3369</v>
      </c>
      <c r="Q357" s="12" t="s">
        <v>3369</v>
      </c>
      <c r="R357" s="12" t="s">
        <v>3369</v>
      </c>
      <c r="S357" s="12" t="s">
        <v>3369</v>
      </c>
      <c r="T357" s="12" t="s">
        <v>3369</v>
      </c>
      <c r="U357" s="12" t="s">
        <v>3369</v>
      </c>
      <c r="V357" s="12" t="s">
        <v>3369</v>
      </c>
      <c r="W357" s="12" t="s">
        <v>3369</v>
      </c>
      <c r="X357" s="12" t="s">
        <v>3369</v>
      </c>
      <c r="Y357" s="12" t="s">
        <v>3369</v>
      </c>
      <c r="Z357" s="12" t="s">
        <v>3369</v>
      </c>
      <c r="AA357" s="12" t="s">
        <v>3369</v>
      </c>
      <c r="AB357" s="12" t="s">
        <v>3369</v>
      </c>
      <c r="AE357" s="32">
        <v>0.27083333333575865</v>
      </c>
      <c r="AF357" s="35"/>
    </row>
    <row r="358" spans="1:32" ht="12.75">
      <c r="A358" s="29">
        <v>43697.628050706015</v>
      </c>
      <c r="B358" s="12" t="s">
        <v>3417</v>
      </c>
      <c r="C358" s="12" t="s">
        <v>3902</v>
      </c>
      <c r="D358" s="12" t="s">
        <v>3589</v>
      </c>
      <c r="E358" s="12" t="s">
        <v>3990</v>
      </c>
      <c r="F358" s="30">
        <v>43697</v>
      </c>
      <c r="G358" s="12" t="s">
        <v>4089</v>
      </c>
      <c r="H358" s="32">
        <v>0.70833333333575865</v>
      </c>
      <c r="I358" s="29">
        <v>43697.75</v>
      </c>
      <c r="J358" s="12" t="s">
        <v>3298</v>
      </c>
      <c r="L358" s="12" t="s">
        <v>3393</v>
      </c>
      <c r="M358" s="12" t="s">
        <v>3385</v>
      </c>
      <c r="O358" s="12" t="s">
        <v>3381</v>
      </c>
      <c r="P358" s="12" t="s">
        <v>3369</v>
      </c>
      <c r="Q358" s="12" t="s">
        <v>3369</v>
      </c>
      <c r="R358" s="12" t="s">
        <v>3369</v>
      </c>
      <c r="S358" s="12" t="s">
        <v>3369</v>
      </c>
      <c r="T358" s="12" t="s">
        <v>3369</v>
      </c>
      <c r="U358" s="12" t="s">
        <v>3369</v>
      </c>
      <c r="V358" s="12" t="s">
        <v>3369</v>
      </c>
      <c r="W358" s="12" t="s">
        <v>3369</v>
      </c>
      <c r="X358" s="12" t="s">
        <v>3369</v>
      </c>
      <c r="Y358" s="12" t="s">
        <v>3369</v>
      </c>
      <c r="Z358" s="12" t="s">
        <v>3369</v>
      </c>
      <c r="AA358" s="12" t="s">
        <v>3369</v>
      </c>
      <c r="AB358" s="12" t="s">
        <v>3369</v>
      </c>
      <c r="AE358" s="32">
        <v>0.63541666666424135</v>
      </c>
      <c r="AF358" s="35"/>
    </row>
    <row r="359" spans="1:32" ht="12.75">
      <c r="A359" s="29">
        <v>43699.245796967589</v>
      </c>
      <c r="B359" s="12" t="s">
        <v>3417</v>
      </c>
      <c r="C359" s="12" t="s">
        <v>259</v>
      </c>
      <c r="D359" s="12" t="s">
        <v>3589</v>
      </c>
      <c r="E359" s="12" t="s">
        <v>3599</v>
      </c>
      <c r="F359" s="30">
        <v>43699</v>
      </c>
      <c r="G359" s="12" t="s">
        <v>3310</v>
      </c>
      <c r="H359" s="32">
        <v>0.58333333333575865</v>
      </c>
      <c r="I359" s="29">
        <v>43699.625</v>
      </c>
      <c r="J359" s="12" t="s">
        <v>3366</v>
      </c>
      <c r="L359" s="12" t="s">
        <v>3393</v>
      </c>
      <c r="M359" s="12" t="s">
        <v>3379</v>
      </c>
      <c r="N359" s="12" t="s">
        <v>4006</v>
      </c>
      <c r="O359" s="12" t="s">
        <v>3381</v>
      </c>
      <c r="P359" s="12" t="s">
        <v>3369</v>
      </c>
      <c r="Q359" s="12" t="s">
        <v>3369</v>
      </c>
      <c r="R359" s="12" t="s">
        <v>3369</v>
      </c>
      <c r="S359" s="12" t="s">
        <v>3369</v>
      </c>
      <c r="T359" s="12" t="s">
        <v>3369</v>
      </c>
      <c r="U359" s="12" t="s">
        <v>3369</v>
      </c>
      <c r="V359" s="12" t="s">
        <v>3369</v>
      </c>
      <c r="W359" s="12" t="s">
        <v>3369</v>
      </c>
      <c r="X359" s="12" t="s">
        <v>3369</v>
      </c>
      <c r="Y359" s="12" t="s">
        <v>3369</v>
      </c>
      <c r="Z359" s="12" t="s">
        <v>3369</v>
      </c>
      <c r="AA359" s="12" t="s">
        <v>3369</v>
      </c>
      <c r="AB359" s="12" t="s">
        <v>3369</v>
      </c>
      <c r="AE359" s="32">
        <v>0.30208333333575865</v>
      </c>
      <c r="AF359" s="35"/>
    </row>
    <row r="360" spans="1:32" ht="12.75">
      <c r="A360" s="29">
        <v>43700.325290717592</v>
      </c>
      <c r="B360" s="12" t="s">
        <v>3372</v>
      </c>
      <c r="C360" s="12" t="s">
        <v>3902</v>
      </c>
      <c r="D360" s="12" t="s">
        <v>3589</v>
      </c>
      <c r="E360" s="12" t="s">
        <v>4051</v>
      </c>
      <c r="F360" s="30">
        <v>43700</v>
      </c>
      <c r="G360" s="12" t="s">
        <v>4090</v>
      </c>
      <c r="H360" s="32">
        <v>0.625</v>
      </c>
      <c r="I360" s="29">
        <v>43700.666666666672</v>
      </c>
      <c r="J360" s="12" t="s">
        <v>3366</v>
      </c>
      <c r="L360" s="12" t="s">
        <v>3393</v>
      </c>
      <c r="M360" s="12" t="s">
        <v>3940</v>
      </c>
      <c r="N360" s="12" t="s">
        <v>4006</v>
      </c>
      <c r="O360" s="12" t="s">
        <v>3381</v>
      </c>
      <c r="P360" s="12" t="s">
        <v>3369</v>
      </c>
      <c r="Q360" s="12" t="s">
        <v>3369</v>
      </c>
      <c r="R360" s="12" t="s">
        <v>3369</v>
      </c>
      <c r="S360" s="12" t="s">
        <v>3369</v>
      </c>
      <c r="T360" s="12" t="s">
        <v>3369</v>
      </c>
      <c r="U360" s="12" t="s">
        <v>3369</v>
      </c>
      <c r="V360" s="12" t="s">
        <v>3369</v>
      </c>
      <c r="W360" s="12" t="s">
        <v>3369</v>
      </c>
      <c r="X360" s="12" t="s">
        <v>3369</v>
      </c>
      <c r="Y360" s="12" t="s">
        <v>3369</v>
      </c>
      <c r="Z360" s="12" t="s">
        <v>3369</v>
      </c>
      <c r="AA360" s="12" t="s">
        <v>3369</v>
      </c>
      <c r="AB360" s="12" t="s">
        <v>3369</v>
      </c>
      <c r="AE360" s="32">
        <v>0.32291666666424135</v>
      </c>
      <c r="AF360" s="35"/>
    </row>
    <row r="361" spans="1:32" ht="12.75">
      <c r="A361" s="29">
        <v>43704.359769189818</v>
      </c>
      <c r="B361" s="12" t="s">
        <v>3372</v>
      </c>
      <c r="C361" s="12" t="s">
        <v>259</v>
      </c>
      <c r="D361" s="12" t="s">
        <v>3589</v>
      </c>
      <c r="E361" s="12" t="s">
        <v>3599</v>
      </c>
      <c r="F361" s="30">
        <v>43704</v>
      </c>
      <c r="G361" s="12" t="s">
        <v>3310</v>
      </c>
      <c r="H361" s="32">
        <v>0.625</v>
      </c>
      <c r="I361" s="29">
        <v>43704.666666666672</v>
      </c>
      <c r="J361" s="12" t="s">
        <v>3298</v>
      </c>
      <c r="L361" s="12" t="s">
        <v>3461</v>
      </c>
      <c r="M361" s="12" t="s">
        <v>3379</v>
      </c>
      <c r="N361" s="12" t="s">
        <v>4006</v>
      </c>
      <c r="O361" s="12" t="s">
        <v>3381</v>
      </c>
      <c r="P361" s="12" t="s">
        <v>3369</v>
      </c>
      <c r="Q361" s="12" t="s">
        <v>3369</v>
      </c>
      <c r="R361" s="12" t="s">
        <v>3369</v>
      </c>
      <c r="S361" s="12" t="s">
        <v>3369</v>
      </c>
      <c r="T361" s="12" t="s">
        <v>3369</v>
      </c>
      <c r="U361" s="12" t="s">
        <v>3369</v>
      </c>
      <c r="V361" s="12" t="s">
        <v>3369</v>
      </c>
      <c r="W361" s="12" t="s">
        <v>3369</v>
      </c>
      <c r="X361" s="12" t="s">
        <v>3369</v>
      </c>
      <c r="Y361" s="12" t="s">
        <v>3369</v>
      </c>
      <c r="Z361" s="12" t="s">
        <v>3369</v>
      </c>
      <c r="AA361" s="12" t="s">
        <v>3369</v>
      </c>
      <c r="AB361" s="12" t="s">
        <v>3369</v>
      </c>
      <c r="AE361" s="32">
        <v>0.39583333333575865</v>
      </c>
      <c r="AF361" s="35"/>
    </row>
    <row r="362" spans="1:32" ht="12.75">
      <c r="A362" s="29">
        <v>43705.271061944441</v>
      </c>
      <c r="B362" s="12" t="s">
        <v>3390</v>
      </c>
      <c r="C362" s="12" t="s">
        <v>3391</v>
      </c>
      <c r="D362" s="12" t="s">
        <v>3589</v>
      </c>
      <c r="E362" s="12" t="s">
        <v>4045</v>
      </c>
      <c r="F362" s="30">
        <v>43705</v>
      </c>
      <c r="G362" s="12" t="s">
        <v>3465</v>
      </c>
      <c r="H362" s="32">
        <v>0.58333333333333337</v>
      </c>
      <c r="I362" s="29">
        <v>43705.53125</v>
      </c>
      <c r="J362" s="12" t="s">
        <v>3377</v>
      </c>
      <c r="L362" s="12" t="s">
        <v>3393</v>
      </c>
      <c r="M362" s="12" t="s">
        <v>4032</v>
      </c>
      <c r="O362" s="12" t="s">
        <v>3767</v>
      </c>
      <c r="P362" s="12" t="s">
        <v>3369</v>
      </c>
      <c r="Q362" s="12" t="s">
        <v>3369</v>
      </c>
      <c r="R362" s="12" t="s">
        <v>3369</v>
      </c>
      <c r="S362" s="12" t="s">
        <v>3369</v>
      </c>
      <c r="T362" s="12" t="s">
        <v>3369</v>
      </c>
      <c r="U362" s="12" t="s">
        <v>3369</v>
      </c>
      <c r="V362" s="12" t="s">
        <v>3369</v>
      </c>
      <c r="W362" s="12" t="s">
        <v>3369</v>
      </c>
      <c r="X362" s="12" t="s">
        <v>3369</v>
      </c>
      <c r="Y362" s="12" t="s">
        <v>3369</v>
      </c>
      <c r="Z362" s="12" t="s">
        <v>3369</v>
      </c>
      <c r="AA362" s="12" t="s">
        <v>3369</v>
      </c>
      <c r="AB362" s="12" t="s">
        <v>3369</v>
      </c>
      <c r="AE362" s="32">
        <v>0.30208333333575865</v>
      </c>
      <c r="AF362" s="35"/>
    </row>
    <row r="363" spans="1:32" ht="12.75">
      <c r="A363" s="29">
        <v>43705.466903958339</v>
      </c>
      <c r="B363" s="12" t="s">
        <v>4091</v>
      </c>
      <c r="C363" s="12" t="s">
        <v>4092</v>
      </c>
      <c r="D363" s="12" t="s">
        <v>3295</v>
      </c>
      <c r="E363" s="12" t="s">
        <v>3482</v>
      </c>
      <c r="F363" s="30">
        <v>43705</v>
      </c>
      <c r="G363" s="12" t="s">
        <v>3934</v>
      </c>
      <c r="H363" s="32">
        <v>0.625</v>
      </c>
      <c r="I363" s="29">
        <v>43705.729166666672</v>
      </c>
      <c r="J363" s="12" t="s">
        <v>3298</v>
      </c>
      <c r="L363" s="12" t="s">
        <v>3461</v>
      </c>
      <c r="M363" s="12" t="s">
        <v>3379</v>
      </c>
      <c r="N363" s="12" t="s">
        <v>4006</v>
      </c>
      <c r="O363" s="12" t="s">
        <v>3417</v>
      </c>
      <c r="P363" s="12" t="s">
        <v>3369</v>
      </c>
      <c r="Q363" s="12" t="s">
        <v>3369</v>
      </c>
      <c r="R363" s="12" t="s">
        <v>3369</v>
      </c>
      <c r="S363" s="12" t="s">
        <v>3369</v>
      </c>
      <c r="T363" s="12" t="s">
        <v>3369</v>
      </c>
      <c r="U363" s="12" t="s">
        <v>3369</v>
      </c>
      <c r="V363" s="12" t="s">
        <v>3369</v>
      </c>
      <c r="W363" s="12" t="s">
        <v>3369</v>
      </c>
      <c r="X363" s="12" t="s">
        <v>3369</v>
      </c>
      <c r="Y363" s="12" t="s">
        <v>3369</v>
      </c>
      <c r="Z363" s="12" t="s">
        <v>3369</v>
      </c>
      <c r="AA363" s="12" t="s">
        <v>3369</v>
      </c>
      <c r="AB363" s="12" t="s">
        <v>3369</v>
      </c>
      <c r="AE363" s="32">
        <v>0.47916666666424135</v>
      </c>
      <c r="AF363" s="35"/>
    </row>
    <row r="364" spans="1:32" ht="12.75">
      <c r="A364" s="29">
        <v>43717.709076562503</v>
      </c>
      <c r="B364" s="12" t="s">
        <v>3406</v>
      </c>
      <c r="C364" s="12" t="s">
        <v>3400</v>
      </c>
      <c r="D364" s="12" t="s">
        <v>3401</v>
      </c>
      <c r="E364" s="12" t="s">
        <v>3356</v>
      </c>
      <c r="F364" s="30">
        <v>33126</v>
      </c>
      <c r="G364" s="12" t="s">
        <v>3657</v>
      </c>
      <c r="H364" s="32">
        <v>0.41666666666424135</v>
      </c>
      <c r="J364" s="12" t="s">
        <v>3403</v>
      </c>
      <c r="L364" s="12" t="s">
        <v>3299</v>
      </c>
      <c r="M364" s="12" t="s">
        <v>3458</v>
      </c>
      <c r="N364" s="12" t="s">
        <v>3760</v>
      </c>
      <c r="O364" s="12" t="s">
        <v>3408</v>
      </c>
      <c r="P364" s="12" t="s">
        <v>3369</v>
      </c>
      <c r="Q364" s="12" t="s">
        <v>3369</v>
      </c>
      <c r="R364" s="12" t="s">
        <v>3369</v>
      </c>
      <c r="S364" s="12" t="s">
        <v>3369</v>
      </c>
      <c r="T364" s="12" t="s">
        <v>3369</v>
      </c>
      <c r="U364" s="12" t="s">
        <v>3369</v>
      </c>
      <c r="V364" s="12" t="s">
        <v>3369</v>
      </c>
      <c r="W364" s="12" t="s">
        <v>3369</v>
      </c>
      <c r="X364" s="12" t="s">
        <v>3369</v>
      </c>
      <c r="Y364" s="12" t="s">
        <v>3369</v>
      </c>
      <c r="Z364" s="12" t="s">
        <v>3369</v>
      </c>
      <c r="AA364" s="12" t="s">
        <v>3369</v>
      </c>
      <c r="AB364" s="12" t="s">
        <v>3369</v>
      </c>
      <c r="AE364" s="32">
        <v>0.33333333333575865</v>
      </c>
      <c r="AF364" s="35"/>
    </row>
    <row r="365" spans="1:32" ht="12.75">
      <c r="A365" s="29">
        <v>43718.728991446755</v>
      </c>
      <c r="B365" s="12" t="s">
        <v>3406</v>
      </c>
      <c r="C365" s="12" t="s">
        <v>3400</v>
      </c>
      <c r="D365" s="12" t="s">
        <v>3401</v>
      </c>
      <c r="E365" s="12" t="s">
        <v>4087</v>
      </c>
      <c r="F365" s="30">
        <v>43719</v>
      </c>
      <c r="G365" s="12" t="s">
        <v>4093</v>
      </c>
      <c r="H365" s="32">
        <v>0.54166666666424135</v>
      </c>
      <c r="J365" s="12" t="s">
        <v>3298</v>
      </c>
      <c r="L365" s="12" t="s">
        <v>3461</v>
      </c>
      <c r="M365" s="12" t="s">
        <v>3458</v>
      </c>
      <c r="N365" s="12" t="s">
        <v>3679</v>
      </c>
      <c r="O365" s="12" t="s">
        <v>3408</v>
      </c>
      <c r="P365" s="12" t="s">
        <v>3369</v>
      </c>
      <c r="Q365" s="12" t="s">
        <v>3369</v>
      </c>
      <c r="R365" s="12" t="s">
        <v>3369</v>
      </c>
      <c r="S365" s="12" t="s">
        <v>3369</v>
      </c>
      <c r="T365" s="12" t="s">
        <v>3369</v>
      </c>
      <c r="U365" s="12" t="s">
        <v>3369</v>
      </c>
      <c r="V365" s="12" t="s">
        <v>3369</v>
      </c>
      <c r="W365" s="12" t="s">
        <v>3369</v>
      </c>
      <c r="X365" s="12" t="s">
        <v>3369</v>
      </c>
      <c r="Y365" s="12" t="s">
        <v>3369</v>
      </c>
      <c r="Z365" s="12" t="s">
        <v>3369</v>
      </c>
      <c r="AA365" s="12" t="s">
        <v>3369</v>
      </c>
      <c r="AB365" s="12" t="s">
        <v>3369</v>
      </c>
      <c r="AE365" s="32">
        <v>0.3125</v>
      </c>
      <c r="AF365" s="35"/>
    </row>
    <row r="366" spans="1:32" ht="12.75">
      <c r="A366" s="29">
        <v>43719.278933090274</v>
      </c>
      <c r="B366" s="12" t="s">
        <v>3390</v>
      </c>
      <c r="C366" s="12" t="s">
        <v>4094</v>
      </c>
      <c r="D366" s="12" t="s">
        <v>3589</v>
      </c>
      <c r="E366" s="12" t="s">
        <v>3482</v>
      </c>
      <c r="F366" s="30">
        <v>43719</v>
      </c>
      <c r="G366" s="12" t="s">
        <v>4095</v>
      </c>
      <c r="H366" s="32">
        <v>2.0833333335758653E-2</v>
      </c>
      <c r="I366" s="29">
        <v>43719.041666666672</v>
      </c>
      <c r="J366" s="12" t="s">
        <v>3377</v>
      </c>
      <c r="L366" s="12" t="s">
        <v>3393</v>
      </c>
      <c r="M366" s="12" t="s">
        <v>3454</v>
      </c>
      <c r="N366" s="12" t="s">
        <v>4096</v>
      </c>
      <c r="O366" s="12" t="s">
        <v>4097</v>
      </c>
      <c r="P366" s="12" t="s">
        <v>3369</v>
      </c>
      <c r="Q366" s="12" t="s">
        <v>3369</v>
      </c>
      <c r="R366" s="12" t="s">
        <v>3369</v>
      </c>
      <c r="S366" s="12" t="s">
        <v>3369</v>
      </c>
      <c r="T366" s="12" t="s">
        <v>3369</v>
      </c>
      <c r="U366" s="12" t="s">
        <v>3369</v>
      </c>
      <c r="V366" s="12" t="s">
        <v>3369</v>
      </c>
      <c r="W366" s="12" t="s">
        <v>3369</v>
      </c>
      <c r="X366" s="12" t="s">
        <v>3369</v>
      </c>
      <c r="Y366" s="12" t="s">
        <v>3369</v>
      </c>
      <c r="Z366" s="12" t="s">
        <v>3369</v>
      </c>
      <c r="AA366" s="12" t="s">
        <v>3369</v>
      </c>
      <c r="AB366" s="12" t="s">
        <v>3369</v>
      </c>
      <c r="AE366" s="32">
        <v>0.29166666666424135</v>
      </c>
      <c r="AF366" s="35"/>
    </row>
    <row r="367" spans="1:32" ht="12.75">
      <c r="A367" s="29">
        <v>43724.268309965279</v>
      </c>
      <c r="B367" s="12" t="s">
        <v>3372</v>
      </c>
      <c r="C367" s="12" t="s">
        <v>259</v>
      </c>
      <c r="D367" s="12" t="s">
        <v>3589</v>
      </c>
      <c r="E367" s="12" t="s">
        <v>3387</v>
      </c>
      <c r="F367" s="30">
        <v>43724</v>
      </c>
      <c r="G367" s="12" t="s">
        <v>3492</v>
      </c>
      <c r="H367" s="32">
        <v>0.58333333333575865</v>
      </c>
      <c r="I367" s="29">
        <v>43724.625</v>
      </c>
      <c r="J367" s="12" t="s">
        <v>3298</v>
      </c>
      <c r="L367" s="12" t="s">
        <v>3461</v>
      </c>
      <c r="M367" s="12" t="s">
        <v>3379</v>
      </c>
      <c r="N367" s="12" t="s">
        <v>4098</v>
      </c>
      <c r="O367" s="12" t="s">
        <v>3381</v>
      </c>
      <c r="P367" s="12" t="s">
        <v>3369</v>
      </c>
      <c r="Q367" s="12" t="s">
        <v>3369</v>
      </c>
      <c r="R367" s="12" t="s">
        <v>3369</v>
      </c>
      <c r="S367" s="12" t="s">
        <v>3369</v>
      </c>
      <c r="T367" s="12" t="s">
        <v>3369</v>
      </c>
      <c r="U367" s="12" t="s">
        <v>3369</v>
      </c>
      <c r="V367" s="12" t="s">
        <v>3369</v>
      </c>
      <c r="W367" s="12" t="s">
        <v>3369</v>
      </c>
      <c r="X367" s="12" t="s">
        <v>3369</v>
      </c>
      <c r="Y367" s="12" t="s">
        <v>3369</v>
      </c>
      <c r="Z367" s="12" t="s">
        <v>3369</v>
      </c>
      <c r="AA367" s="12" t="s">
        <v>3369</v>
      </c>
      <c r="AB367" s="12" t="s">
        <v>3369</v>
      </c>
      <c r="AE367" s="32">
        <v>0.3125</v>
      </c>
      <c r="AF367" s="35"/>
    </row>
    <row r="368" spans="1:32" ht="12.75">
      <c r="A368" s="29">
        <v>43724.687475196755</v>
      </c>
      <c r="B368" s="12" t="s">
        <v>3406</v>
      </c>
      <c r="C368" s="12" t="s">
        <v>3400</v>
      </c>
      <c r="D368" s="12" t="s">
        <v>3401</v>
      </c>
      <c r="E368" s="12" t="s">
        <v>3482</v>
      </c>
      <c r="F368" s="30">
        <v>33133</v>
      </c>
      <c r="G368" s="12" t="s">
        <v>3892</v>
      </c>
      <c r="H368" s="32">
        <v>0.66666666666424135</v>
      </c>
      <c r="J368" s="12" t="s">
        <v>3377</v>
      </c>
      <c r="L368" s="12" t="s">
        <v>3299</v>
      </c>
      <c r="M368" s="12" t="s">
        <v>3458</v>
      </c>
      <c r="N368" s="12" t="s">
        <v>4099</v>
      </c>
      <c r="O368" s="12" t="s">
        <v>3408</v>
      </c>
      <c r="P368" s="12" t="s">
        <v>3369</v>
      </c>
      <c r="Q368" s="12" t="s">
        <v>3369</v>
      </c>
      <c r="R368" s="12" t="s">
        <v>3369</v>
      </c>
      <c r="S368" s="12" t="s">
        <v>3369</v>
      </c>
      <c r="T368" s="12" t="s">
        <v>3369</v>
      </c>
      <c r="U368" s="12" t="s">
        <v>3369</v>
      </c>
      <c r="V368" s="12" t="s">
        <v>3369</v>
      </c>
      <c r="W368" s="12" t="s">
        <v>3369</v>
      </c>
      <c r="X368" s="12" t="s">
        <v>3369</v>
      </c>
      <c r="Y368" s="12" t="s">
        <v>3369</v>
      </c>
      <c r="Z368" s="12" t="s">
        <v>3369</v>
      </c>
      <c r="AA368" s="12" t="s">
        <v>3369</v>
      </c>
      <c r="AB368" s="12" t="s">
        <v>3369</v>
      </c>
      <c r="AE368" s="32">
        <v>0.38541666666424135</v>
      </c>
      <c r="AF368" s="35"/>
    </row>
    <row r="369" spans="1:32" ht="12.75">
      <c r="A369" s="29">
        <v>43725.310827511574</v>
      </c>
      <c r="B369" s="12" t="s">
        <v>3372</v>
      </c>
      <c r="C369" s="12" t="s">
        <v>259</v>
      </c>
      <c r="D369" s="12" t="s">
        <v>3589</v>
      </c>
      <c r="E369" s="12" t="s">
        <v>4100</v>
      </c>
      <c r="F369" s="30">
        <v>43725</v>
      </c>
      <c r="G369" s="12" t="s">
        <v>3492</v>
      </c>
      <c r="H369" s="32">
        <v>0.54166666666424135</v>
      </c>
      <c r="I369" s="29">
        <v>43725.604166666672</v>
      </c>
      <c r="J369" s="12" t="s">
        <v>3298</v>
      </c>
      <c r="L369" s="12" t="s">
        <v>3461</v>
      </c>
      <c r="M369" s="12" t="s">
        <v>3385</v>
      </c>
      <c r="O369" s="12" t="s">
        <v>3381</v>
      </c>
      <c r="P369" s="12" t="s">
        <v>3369</v>
      </c>
      <c r="Q369" s="12" t="s">
        <v>3369</v>
      </c>
      <c r="R369" s="12" t="s">
        <v>3369</v>
      </c>
      <c r="S369" s="12" t="s">
        <v>3369</v>
      </c>
      <c r="T369" s="12" t="s">
        <v>3369</v>
      </c>
      <c r="U369" s="12" t="s">
        <v>3369</v>
      </c>
      <c r="V369" s="12" t="s">
        <v>3369</v>
      </c>
      <c r="W369" s="12" t="s">
        <v>3369</v>
      </c>
      <c r="X369" s="12" t="s">
        <v>3369</v>
      </c>
      <c r="Y369" s="12" t="s">
        <v>3369</v>
      </c>
      <c r="Z369" s="12" t="s">
        <v>3369</v>
      </c>
      <c r="AA369" s="12" t="s">
        <v>3369</v>
      </c>
      <c r="AB369" s="12" t="s">
        <v>3369</v>
      </c>
      <c r="AE369" s="32">
        <v>0.30208333333575865</v>
      </c>
      <c r="AF369" s="35"/>
    </row>
    <row r="370" spans="1:32" ht="12.75">
      <c r="A370" s="29">
        <v>43725.415514502311</v>
      </c>
      <c r="B370" s="12" t="s">
        <v>3470</v>
      </c>
      <c r="C370" s="12" t="s">
        <v>3683</v>
      </c>
      <c r="D370" s="12" t="s">
        <v>3589</v>
      </c>
      <c r="E370" s="12" t="s">
        <v>3387</v>
      </c>
      <c r="F370" s="30">
        <v>43725</v>
      </c>
      <c r="G370" s="12" t="s">
        <v>4101</v>
      </c>
      <c r="H370" s="32">
        <v>0.54166666666424135</v>
      </c>
      <c r="I370" s="29">
        <v>43725.625</v>
      </c>
      <c r="J370" s="12" t="s">
        <v>3331</v>
      </c>
      <c r="L370" s="12" t="s">
        <v>3393</v>
      </c>
      <c r="M370" s="12" t="s">
        <v>3591</v>
      </c>
      <c r="N370" s="12" t="s">
        <v>3923</v>
      </c>
      <c r="O370" s="12" t="s">
        <v>3475</v>
      </c>
      <c r="P370" s="12" t="s">
        <v>3369</v>
      </c>
      <c r="Q370" s="12" t="s">
        <v>3369</v>
      </c>
      <c r="R370" s="12" t="s">
        <v>3369</v>
      </c>
      <c r="S370" s="12" t="s">
        <v>3369</v>
      </c>
      <c r="T370" s="12" t="s">
        <v>3369</v>
      </c>
      <c r="U370" s="12" t="s">
        <v>3369</v>
      </c>
      <c r="V370" s="12" t="s">
        <v>3369</v>
      </c>
      <c r="W370" s="12" t="s">
        <v>3369</v>
      </c>
      <c r="X370" s="12" t="s">
        <v>3369</v>
      </c>
      <c r="Y370" s="12" t="s">
        <v>3369</v>
      </c>
      <c r="Z370" s="12" t="s">
        <v>3369</v>
      </c>
      <c r="AA370" s="12" t="s">
        <v>3369</v>
      </c>
      <c r="AB370" s="12" t="s">
        <v>3369</v>
      </c>
      <c r="AE370" s="32">
        <v>0.42708333333575865</v>
      </c>
      <c r="AF370" s="35"/>
    </row>
    <row r="371" spans="1:32" ht="12.75">
      <c r="A371" s="29">
        <v>43726.268008067127</v>
      </c>
      <c r="B371" s="12" t="s">
        <v>3417</v>
      </c>
      <c r="C371" s="12" t="s">
        <v>259</v>
      </c>
      <c r="D371" s="12" t="s">
        <v>3589</v>
      </c>
      <c r="E371" s="12" t="s">
        <v>3387</v>
      </c>
      <c r="F371" s="30">
        <v>43726</v>
      </c>
      <c r="G371" s="12" t="s">
        <v>3492</v>
      </c>
      <c r="H371" s="32">
        <v>0.54166666666424135</v>
      </c>
      <c r="I371" s="29">
        <v>43726.604166666672</v>
      </c>
      <c r="J371" s="12" t="s">
        <v>3298</v>
      </c>
      <c r="L371" s="12" t="s">
        <v>3461</v>
      </c>
      <c r="M371" s="12" t="s">
        <v>3379</v>
      </c>
      <c r="N371" s="12" t="s">
        <v>4098</v>
      </c>
      <c r="O371" s="12" t="s">
        <v>3381</v>
      </c>
      <c r="P371" s="12" t="s">
        <v>3369</v>
      </c>
      <c r="Q371" s="12" t="s">
        <v>3369</v>
      </c>
      <c r="R371" s="12" t="s">
        <v>3369</v>
      </c>
      <c r="S371" s="12" t="s">
        <v>3369</v>
      </c>
      <c r="T371" s="12" t="s">
        <v>3369</v>
      </c>
      <c r="U371" s="12" t="s">
        <v>3369</v>
      </c>
      <c r="V371" s="12" t="s">
        <v>3369</v>
      </c>
      <c r="W371" s="12" t="s">
        <v>3369</v>
      </c>
      <c r="X371" s="12" t="s">
        <v>3369</v>
      </c>
      <c r="Y371" s="12" t="s">
        <v>3369</v>
      </c>
      <c r="Z371" s="12" t="s">
        <v>3369</v>
      </c>
      <c r="AA371" s="12" t="s">
        <v>3369</v>
      </c>
      <c r="AB371" s="12" t="s">
        <v>3369</v>
      </c>
      <c r="AE371" s="32">
        <v>0.3125</v>
      </c>
      <c r="AF371" s="35"/>
    </row>
    <row r="372" spans="1:32" ht="12.75">
      <c r="A372" s="29">
        <v>43726.375181365744</v>
      </c>
      <c r="B372" s="12" t="s">
        <v>3408</v>
      </c>
      <c r="C372" s="12" t="s">
        <v>3400</v>
      </c>
      <c r="D372" s="12" t="s">
        <v>3401</v>
      </c>
      <c r="E372" s="12" t="s">
        <v>3482</v>
      </c>
      <c r="F372" s="30">
        <v>43726</v>
      </c>
      <c r="G372" s="12" t="s">
        <v>4102</v>
      </c>
      <c r="H372" s="32">
        <v>0.66666666666424135</v>
      </c>
      <c r="J372" s="12" t="s">
        <v>3377</v>
      </c>
      <c r="L372" s="12" t="s">
        <v>3299</v>
      </c>
      <c r="M372" s="12" t="s">
        <v>3458</v>
      </c>
      <c r="N372" s="12" t="s">
        <v>4103</v>
      </c>
      <c r="O372" s="12" t="s">
        <v>4104</v>
      </c>
      <c r="P372" s="12" t="s">
        <v>3369</v>
      </c>
      <c r="Q372" s="12" t="s">
        <v>3369</v>
      </c>
      <c r="R372" s="12" t="s">
        <v>3369</v>
      </c>
      <c r="S372" s="12" t="s">
        <v>3369</v>
      </c>
      <c r="T372" s="12" t="s">
        <v>3369</v>
      </c>
      <c r="U372" s="12" t="s">
        <v>3369</v>
      </c>
      <c r="V372" s="12" t="s">
        <v>3369</v>
      </c>
      <c r="W372" s="12" t="s">
        <v>3369</v>
      </c>
      <c r="X372" s="12" t="s">
        <v>3369</v>
      </c>
      <c r="Y372" s="12" t="s">
        <v>3369</v>
      </c>
      <c r="Z372" s="12" t="s">
        <v>3369</v>
      </c>
      <c r="AA372" s="12" t="s">
        <v>3369</v>
      </c>
      <c r="AB372" s="12" t="s">
        <v>3369</v>
      </c>
      <c r="AE372" s="32">
        <v>0.38541666666424135</v>
      </c>
      <c r="AF372" s="35"/>
    </row>
    <row r="373" spans="1:32" ht="12.75">
      <c r="A373" s="29">
        <v>43727.334443101849</v>
      </c>
      <c r="B373" s="12" t="s">
        <v>3372</v>
      </c>
      <c r="C373" s="12" t="s">
        <v>259</v>
      </c>
      <c r="D373" s="12" t="s">
        <v>3589</v>
      </c>
      <c r="E373" s="12" t="s">
        <v>3387</v>
      </c>
      <c r="F373" s="30">
        <v>43727</v>
      </c>
      <c r="G373" s="12" t="s">
        <v>3492</v>
      </c>
      <c r="H373" s="32">
        <v>0.54166666666424135</v>
      </c>
      <c r="I373" s="29">
        <v>43727.604166666672</v>
      </c>
      <c r="J373" s="12" t="s">
        <v>3298</v>
      </c>
      <c r="L373" s="12" t="s">
        <v>3461</v>
      </c>
      <c r="M373" s="12" t="s">
        <v>3385</v>
      </c>
      <c r="O373" s="12" t="s">
        <v>3381</v>
      </c>
      <c r="P373" s="12" t="s">
        <v>3369</v>
      </c>
      <c r="Q373" s="12" t="s">
        <v>3369</v>
      </c>
      <c r="R373" s="12" t="s">
        <v>3369</v>
      </c>
      <c r="S373" s="12" t="s">
        <v>3369</v>
      </c>
      <c r="T373" s="12" t="s">
        <v>3369</v>
      </c>
      <c r="U373" s="12" t="s">
        <v>3369</v>
      </c>
      <c r="V373" s="12" t="s">
        <v>3369</v>
      </c>
      <c r="W373" s="12" t="s">
        <v>3369</v>
      </c>
      <c r="X373" s="12" t="s">
        <v>3369</v>
      </c>
      <c r="Y373" s="12" t="s">
        <v>3369</v>
      </c>
      <c r="Z373" s="12" t="s">
        <v>3369</v>
      </c>
      <c r="AA373" s="12" t="s">
        <v>3369</v>
      </c>
      <c r="AB373" s="12" t="s">
        <v>3369</v>
      </c>
      <c r="AE373" s="32">
        <v>0.32291666666424135</v>
      </c>
      <c r="AF373" s="35"/>
    </row>
    <row r="374" spans="1:32" ht="12.75">
      <c r="A374" s="29">
        <v>43727.349199976852</v>
      </c>
      <c r="B374" s="12" t="s">
        <v>3406</v>
      </c>
      <c r="C374" s="12" t="s">
        <v>3400</v>
      </c>
      <c r="D374" s="12" t="s">
        <v>3401</v>
      </c>
      <c r="E374" s="12" t="s">
        <v>3687</v>
      </c>
      <c r="F374" s="30">
        <v>43727</v>
      </c>
      <c r="G374" s="12" t="s">
        <v>4105</v>
      </c>
      <c r="H374" s="32">
        <v>0.66666666666424135</v>
      </c>
      <c r="J374" s="12" t="s">
        <v>3377</v>
      </c>
      <c r="L374" s="12" t="s">
        <v>3299</v>
      </c>
      <c r="M374" s="12" t="s">
        <v>3458</v>
      </c>
      <c r="N374" s="12" t="s">
        <v>4106</v>
      </c>
      <c r="O374" s="12" t="s">
        <v>3408</v>
      </c>
      <c r="P374" s="12" t="s">
        <v>3369</v>
      </c>
      <c r="Q374" s="12" t="s">
        <v>3369</v>
      </c>
      <c r="R374" s="12" t="s">
        <v>3369</v>
      </c>
      <c r="S374" s="12" t="s">
        <v>3369</v>
      </c>
      <c r="T374" s="12" t="s">
        <v>3369</v>
      </c>
      <c r="U374" s="12" t="s">
        <v>3369</v>
      </c>
      <c r="V374" s="12" t="s">
        <v>3369</v>
      </c>
      <c r="W374" s="12" t="s">
        <v>3369</v>
      </c>
      <c r="X374" s="12" t="s">
        <v>3369</v>
      </c>
      <c r="Y374" s="12" t="s">
        <v>3369</v>
      </c>
      <c r="Z374" s="12" t="s">
        <v>3369</v>
      </c>
      <c r="AA374" s="12" t="s">
        <v>3369</v>
      </c>
      <c r="AB374" s="12" t="s">
        <v>3369</v>
      </c>
      <c r="AE374" s="32">
        <v>0.41666666666424135</v>
      </c>
      <c r="AF374" s="35"/>
    </row>
    <row r="375" spans="1:32" ht="12.75">
      <c r="A375" s="29">
        <v>43727.409417951392</v>
      </c>
      <c r="B375" s="12" t="s">
        <v>3390</v>
      </c>
      <c r="C375" s="12" t="s">
        <v>3391</v>
      </c>
      <c r="D375" s="12" t="s">
        <v>3589</v>
      </c>
      <c r="E375" s="12" t="s">
        <v>4107</v>
      </c>
      <c r="F375" s="30">
        <v>43727</v>
      </c>
      <c r="G375" s="12" t="s">
        <v>4108</v>
      </c>
      <c r="H375" s="32">
        <v>0.5625</v>
      </c>
      <c r="I375" s="29">
        <v>43727.604166666672</v>
      </c>
      <c r="J375" s="12" t="s">
        <v>3331</v>
      </c>
      <c r="L375" s="12" t="s">
        <v>3393</v>
      </c>
      <c r="M375" s="12" t="s">
        <v>3591</v>
      </c>
      <c r="N375" s="12" t="s">
        <v>3923</v>
      </c>
      <c r="O375" s="12" t="s">
        <v>3946</v>
      </c>
      <c r="P375" s="12" t="s">
        <v>3369</v>
      </c>
      <c r="Q375" s="12" t="s">
        <v>3369</v>
      </c>
      <c r="R375" s="12" t="s">
        <v>3369</v>
      </c>
      <c r="S375" s="12" t="s">
        <v>3369</v>
      </c>
      <c r="T375" s="12" t="s">
        <v>3369</v>
      </c>
      <c r="U375" s="12" t="s">
        <v>3369</v>
      </c>
      <c r="V375" s="12" t="s">
        <v>3369</v>
      </c>
      <c r="W375" s="12" t="s">
        <v>3369</v>
      </c>
      <c r="X375" s="12" t="s">
        <v>3369</v>
      </c>
      <c r="Y375" s="12" t="s">
        <v>3369</v>
      </c>
      <c r="Z375" s="12" t="s">
        <v>3369</v>
      </c>
      <c r="AA375" s="12" t="s">
        <v>3369</v>
      </c>
      <c r="AB375" s="12" t="s">
        <v>3369</v>
      </c>
      <c r="AE375" s="32">
        <v>0.40972222221898846</v>
      </c>
      <c r="AF375" s="35"/>
    </row>
    <row r="376" spans="1:32" ht="12.75">
      <c r="A376" s="29">
        <v>43728.308867962958</v>
      </c>
      <c r="B376" s="12" t="s">
        <v>4109</v>
      </c>
      <c r="C376" s="12" t="s">
        <v>4092</v>
      </c>
      <c r="D376" s="12" t="s">
        <v>3589</v>
      </c>
      <c r="E376" s="12" t="s">
        <v>3482</v>
      </c>
      <c r="F376" s="30">
        <v>43728</v>
      </c>
      <c r="G376" s="12" t="s">
        <v>4110</v>
      </c>
      <c r="H376" s="32">
        <v>0.5</v>
      </c>
      <c r="I376" s="29">
        <v>43728.541666666672</v>
      </c>
      <c r="J376" s="12" t="s">
        <v>3331</v>
      </c>
      <c r="L376" s="12" t="s">
        <v>3393</v>
      </c>
      <c r="M376" s="12" t="s">
        <v>4111</v>
      </c>
      <c r="N376" s="12" t="s">
        <v>4006</v>
      </c>
      <c r="O376" s="12" t="s">
        <v>4111</v>
      </c>
      <c r="P376" s="12" t="s">
        <v>3369</v>
      </c>
      <c r="Q376" s="12" t="s">
        <v>3369</v>
      </c>
      <c r="R376" s="12" t="s">
        <v>3369</v>
      </c>
      <c r="S376" s="12" t="s">
        <v>3369</v>
      </c>
      <c r="T376" s="12" t="s">
        <v>3369</v>
      </c>
      <c r="U376" s="12" t="s">
        <v>3369</v>
      </c>
      <c r="V376" s="12" t="s">
        <v>3369</v>
      </c>
      <c r="W376" s="12" t="s">
        <v>3369</v>
      </c>
      <c r="X376" s="12" t="s">
        <v>3369</v>
      </c>
      <c r="Y376" s="12" t="s">
        <v>3369</v>
      </c>
      <c r="Z376" s="12" t="s">
        <v>3369</v>
      </c>
      <c r="AA376" s="12" t="s">
        <v>3369</v>
      </c>
      <c r="AB376" s="12" t="s">
        <v>3369</v>
      </c>
      <c r="AE376" s="32">
        <v>0.3125</v>
      </c>
      <c r="AF376" s="35"/>
    </row>
    <row r="377" spans="1:32" ht="12.75">
      <c r="A377" s="29">
        <v>43731.36523236111</v>
      </c>
      <c r="B377" s="12" t="s">
        <v>3390</v>
      </c>
      <c r="C377" s="12" t="s">
        <v>3391</v>
      </c>
      <c r="D377" s="12" t="s">
        <v>3589</v>
      </c>
      <c r="E377" s="12" t="s">
        <v>3509</v>
      </c>
      <c r="F377" s="30">
        <v>43731</v>
      </c>
      <c r="G377" s="12" t="s">
        <v>4112</v>
      </c>
      <c r="H377" s="32">
        <v>0.57291666666424135</v>
      </c>
      <c r="I377" s="29">
        <v>43731.583333333328</v>
      </c>
      <c r="J377" s="12" t="s">
        <v>3331</v>
      </c>
      <c r="L377" s="12" t="s">
        <v>3393</v>
      </c>
      <c r="M377" s="12" t="s">
        <v>3591</v>
      </c>
      <c r="N377" s="12" t="s">
        <v>4113</v>
      </c>
      <c r="O377" s="12" t="s">
        <v>3946</v>
      </c>
      <c r="P377" s="12" t="s">
        <v>3369</v>
      </c>
      <c r="Q377" s="12" t="s">
        <v>3369</v>
      </c>
      <c r="R377" s="12" t="s">
        <v>3369</v>
      </c>
      <c r="S377" s="12" t="s">
        <v>3369</v>
      </c>
      <c r="T377" s="12" t="s">
        <v>3369</v>
      </c>
      <c r="U377" s="12" t="s">
        <v>3369</v>
      </c>
      <c r="V377" s="12" t="s">
        <v>3369</v>
      </c>
      <c r="W377" s="12" t="s">
        <v>3369</v>
      </c>
      <c r="X377" s="12" t="s">
        <v>3369</v>
      </c>
      <c r="Y377" s="12" t="s">
        <v>3369</v>
      </c>
      <c r="Z377" s="12" t="s">
        <v>3369</v>
      </c>
      <c r="AA377" s="12" t="s">
        <v>3369</v>
      </c>
      <c r="AB377" s="12" t="s">
        <v>3369</v>
      </c>
      <c r="AE377" s="32">
        <v>0.36597222222189885</v>
      </c>
      <c r="AF377" s="35"/>
    </row>
    <row r="378" spans="1:32" ht="12.75">
      <c r="A378" s="29">
        <v>43734.32605019676</v>
      </c>
      <c r="B378" s="12" t="s">
        <v>3390</v>
      </c>
      <c r="C378" s="12" t="s">
        <v>4114</v>
      </c>
      <c r="D378" s="12" t="s">
        <v>3589</v>
      </c>
      <c r="E378" s="12" t="s">
        <v>4115</v>
      </c>
      <c r="F378" s="30">
        <v>43734</v>
      </c>
      <c r="G378" s="12" t="s">
        <v>4116</v>
      </c>
      <c r="H378" s="32">
        <v>0.5625</v>
      </c>
      <c r="I378" s="29">
        <v>43734.645833333328</v>
      </c>
      <c r="J378" s="12" t="s">
        <v>3377</v>
      </c>
      <c r="L378" s="12" t="s">
        <v>3393</v>
      </c>
      <c r="M378" s="12" t="s">
        <v>4032</v>
      </c>
      <c r="O378" s="12" t="s">
        <v>3767</v>
      </c>
      <c r="P378" s="12" t="s">
        <v>3369</v>
      </c>
      <c r="Q378" s="12" t="s">
        <v>3369</v>
      </c>
      <c r="R378" s="12" t="s">
        <v>3369</v>
      </c>
      <c r="S378" s="12" t="s">
        <v>3369</v>
      </c>
      <c r="T378" s="12" t="s">
        <v>3369</v>
      </c>
      <c r="U378" s="12" t="s">
        <v>3369</v>
      </c>
      <c r="V378" s="12" t="s">
        <v>3369</v>
      </c>
      <c r="W378" s="12" t="s">
        <v>3369</v>
      </c>
      <c r="X378" s="12" t="s">
        <v>3369</v>
      </c>
      <c r="Y378" s="12" t="s">
        <v>3369</v>
      </c>
      <c r="Z378" s="12" t="s">
        <v>3369</v>
      </c>
      <c r="AA378" s="12" t="s">
        <v>3369</v>
      </c>
      <c r="AB378" s="12" t="s">
        <v>3369</v>
      </c>
      <c r="AE378" s="32">
        <v>0.32638888889050577</v>
      </c>
      <c r="AF378" s="35"/>
    </row>
    <row r="379" spans="1:32" ht="12.75">
      <c r="A379" s="29">
        <v>43734.455283912037</v>
      </c>
      <c r="B379" s="12" t="s">
        <v>3564</v>
      </c>
      <c r="C379" s="12" t="s">
        <v>4117</v>
      </c>
      <c r="D379" s="12" t="s">
        <v>3589</v>
      </c>
      <c r="E379" s="12" t="s">
        <v>3730</v>
      </c>
      <c r="F379" s="30">
        <v>43734</v>
      </c>
      <c r="G379" s="12" t="s">
        <v>3998</v>
      </c>
      <c r="H379" s="32">
        <v>0.16666666666424135</v>
      </c>
      <c r="I379" s="29">
        <v>43734.1875</v>
      </c>
      <c r="J379" s="12" t="s">
        <v>3331</v>
      </c>
      <c r="L379" s="12" t="s">
        <v>4118</v>
      </c>
      <c r="M379" s="12" t="s">
        <v>3379</v>
      </c>
      <c r="N379" s="12" t="s">
        <v>4119</v>
      </c>
      <c r="O379" s="12" t="s">
        <v>3381</v>
      </c>
      <c r="P379" s="12" t="s">
        <v>3369</v>
      </c>
      <c r="Q379" s="12" t="s">
        <v>3369</v>
      </c>
      <c r="R379" s="12" t="s">
        <v>3369</v>
      </c>
      <c r="S379" s="12" t="s">
        <v>3369</v>
      </c>
      <c r="T379" s="12" t="s">
        <v>3369</v>
      </c>
      <c r="U379" s="12" t="s">
        <v>3369</v>
      </c>
      <c r="V379" s="12" t="s">
        <v>3369</v>
      </c>
      <c r="W379" s="12" t="s">
        <v>3369</v>
      </c>
      <c r="X379" s="12" t="s">
        <v>3369</v>
      </c>
      <c r="Y379" s="12" t="s">
        <v>3369</v>
      </c>
      <c r="Z379" s="12" t="s">
        <v>3369</v>
      </c>
      <c r="AA379" s="12" t="s">
        <v>3369</v>
      </c>
      <c r="AB379" s="12" t="s">
        <v>3369</v>
      </c>
      <c r="AE379" s="32">
        <v>0.45833333333575865</v>
      </c>
      <c r="AF379" s="35"/>
    </row>
    <row r="380" spans="1:32" ht="12.75">
      <c r="A380" s="29">
        <v>43738.627397824079</v>
      </c>
      <c r="B380" s="12" t="s">
        <v>3390</v>
      </c>
      <c r="C380" s="12" t="s">
        <v>3391</v>
      </c>
      <c r="D380" s="12" t="s">
        <v>3589</v>
      </c>
      <c r="E380" s="12" t="s">
        <v>3890</v>
      </c>
      <c r="F380" s="30">
        <v>43739</v>
      </c>
      <c r="G380" s="12" t="s">
        <v>4108</v>
      </c>
      <c r="H380" s="32">
        <v>0.52083333333575865</v>
      </c>
      <c r="I380" s="29">
        <v>43739.572916666672</v>
      </c>
      <c r="J380" s="12" t="s">
        <v>3331</v>
      </c>
      <c r="L380" s="12" t="s">
        <v>3393</v>
      </c>
      <c r="M380" s="12" t="s">
        <v>3591</v>
      </c>
      <c r="N380" s="12" t="s">
        <v>4120</v>
      </c>
      <c r="O380" s="12" t="s">
        <v>3946</v>
      </c>
      <c r="P380" s="12" t="s">
        <v>3369</v>
      </c>
      <c r="Q380" s="12" t="s">
        <v>3369</v>
      </c>
      <c r="R380" s="12" t="s">
        <v>3369</v>
      </c>
      <c r="S380" s="12" t="s">
        <v>3369</v>
      </c>
      <c r="T380" s="12" t="s">
        <v>3369</v>
      </c>
      <c r="U380" s="12" t="s">
        <v>3369</v>
      </c>
      <c r="V380" s="12" t="s">
        <v>3369</v>
      </c>
      <c r="W380" s="12" t="s">
        <v>3369</v>
      </c>
      <c r="X380" s="12" t="s">
        <v>3369</v>
      </c>
      <c r="Y380" s="12" t="s">
        <v>3369</v>
      </c>
      <c r="Z380" s="12" t="s">
        <v>3369</v>
      </c>
      <c r="AA380" s="12" t="s">
        <v>3369</v>
      </c>
      <c r="AB380" s="12" t="s">
        <v>3369</v>
      </c>
      <c r="AE380" s="32">
        <v>0.30208333333575865</v>
      </c>
      <c r="AF380" s="35"/>
    </row>
    <row r="381" spans="1:32" ht="12.75">
      <c r="A381" s="29">
        <v>43739.534279618056</v>
      </c>
      <c r="B381" s="12" t="s">
        <v>3417</v>
      </c>
      <c r="C381" s="12" t="s">
        <v>4061</v>
      </c>
      <c r="D381" s="12" t="s">
        <v>3589</v>
      </c>
      <c r="E381" s="12" t="s">
        <v>3296</v>
      </c>
      <c r="F381" s="30">
        <v>43739</v>
      </c>
      <c r="G381" s="12" t="s">
        <v>3941</v>
      </c>
      <c r="H381" s="32">
        <v>0.79166666666424135</v>
      </c>
      <c r="I381" s="29">
        <v>43739.8125</v>
      </c>
      <c r="J381" s="12" t="s">
        <v>3377</v>
      </c>
      <c r="L381" s="12" t="s">
        <v>4121</v>
      </c>
      <c r="M381" s="12" t="s">
        <v>3379</v>
      </c>
      <c r="N381" s="12" t="s">
        <v>4122</v>
      </c>
      <c r="O381" s="12" t="s">
        <v>3381</v>
      </c>
      <c r="P381" s="12" t="s">
        <v>3369</v>
      </c>
      <c r="Q381" s="12" t="s">
        <v>3369</v>
      </c>
      <c r="R381" s="12" t="s">
        <v>3369</v>
      </c>
      <c r="S381" s="12" t="s">
        <v>3369</v>
      </c>
      <c r="T381" s="12" t="s">
        <v>3369</v>
      </c>
      <c r="U381" s="12" t="s">
        <v>3369</v>
      </c>
      <c r="V381" s="12" t="s">
        <v>3369</v>
      </c>
      <c r="W381" s="12" t="s">
        <v>3369</v>
      </c>
      <c r="X381" s="12" t="s">
        <v>3369</v>
      </c>
      <c r="Y381" s="12" t="s">
        <v>3369</v>
      </c>
      <c r="Z381" s="12" t="s">
        <v>3369</v>
      </c>
      <c r="AA381" s="12" t="s">
        <v>3369</v>
      </c>
      <c r="AB381" s="12" t="s">
        <v>3369</v>
      </c>
      <c r="AE381" s="32">
        <v>0.625</v>
      </c>
      <c r="AF381" s="35"/>
    </row>
    <row r="382" spans="1:32" ht="12.75">
      <c r="A382" s="29">
        <v>43739.542672581018</v>
      </c>
      <c r="B382" s="12" t="s">
        <v>4109</v>
      </c>
      <c r="C382" s="12" t="s">
        <v>4092</v>
      </c>
      <c r="D382" s="12" t="s">
        <v>3295</v>
      </c>
      <c r="E382" s="12" t="s">
        <v>3516</v>
      </c>
      <c r="F382" s="30">
        <v>43740</v>
      </c>
      <c r="G382" s="12" t="s">
        <v>3436</v>
      </c>
      <c r="H382" s="32">
        <v>0.75</v>
      </c>
      <c r="I382" s="29">
        <v>43740.770833333328</v>
      </c>
      <c r="J382" s="12" t="s">
        <v>4123</v>
      </c>
      <c r="L382" s="12" t="s">
        <v>3299</v>
      </c>
      <c r="M382" s="12" t="s">
        <v>3931</v>
      </c>
      <c r="N382" s="12" t="s">
        <v>4124</v>
      </c>
      <c r="O382" s="12" t="s">
        <v>3931</v>
      </c>
      <c r="P382" s="12" t="s">
        <v>4125</v>
      </c>
      <c r="AE382" s="32">
        <v>0.58333333333575865</v>
      </c>
      <c r="AF382" s="35"/>
    </row>
    <row r="383" spans="1:32" ht="12.75">
      <c r="A383" s="29">
        <v>43740.31267363426</v>
      </c>
      <c r="B383" s="12" t="s">
        <v>3470</v>
      </c>
      <c r="C383" s="12" t="s">
        <v>3719</v>
      </c>
      <c r="D383" s="12" t="s">
        <v>3589</v>
      </c>
      <c r="E383" s="12" t="s">
        <v>3472</v>
      </c>
      <c r="F383" s="30">
        <v>43740</v>
      </c>
      <c r="G383" s="12" t="s">
        <v>4126</v>
      </c>
      <c r="H383" s="32">
        <v>0.54166666666424135</v>
      </c>
      <c r="I383" s="29">
        <v>43740.645833333328</v>
      </c>
      <c r="J383" s="12" t="s">
        <v>3331</v>
      </c>
      <c r="L383" s="12" t="s">
        <v>3393</v>
      </c>
      <c r="M383" s="12" t="s">
        <v>3591</v>
      </c>
      <c r="N383" s="12" t="s">
        <v>4127</v>
      </c>
      <c r="O383" s="12" t="s">
        <v>3475</v>
      </c>
      <c r="P383" s="12" t="s">
        <v>4125</v>
      </c>
      <c r="AE383" s="32">
        <v>0.31944444444525288</v>
      </c>
      <c r="AF383" s="35"/>
    </row>
    <row r="384" spans="1:32" ht="12.75">
      <c r="A384" s="29">
        <v>43740.34041193287</v>
      </c>
      <c r="B384" s="12" t="s">
        <v>3372</v>
      </c>
      <c r="C384" s="12" t="s">
        <v>259</v>
      </c>
      <c r="D384" s="12" t="s">
        <v>3589</v>
      </c>
      <c r="E384" s="12" t="s">
        <v>4100</v>
      </c>
      <c r="F384" s="30">
        <v>43740</v>
      </c>
      <c r="G384" s="12" t="s">
        <v>4128</v>
      </c>
      <c r="H384" s="32">
        <v>0.54166666666424135</v>
      </c>
      <c r="I384" s="29">
        <v>43740.604166666672</v>
      </c>
      <c r="J384" s="12" t="s">
        <v>4123</v>
      </c>
      <c r="L384" s="12" t="s">
        <v>3299</v>
      </c>
      <c r="M384" s="12" t="s">
        <v>3379</v>
      </c>
      <c r="N384" s="12" t="s">
        <v>4129</v>
      </c>
      <c r="O384" s="12" t="s">
        <v>3381</v>
      </c>
      <c r="P384" s="12" t="s">
        <v>4125</v>
      </c>
      <c r="AE384" s="32">
        <v>0.33333333333575865</v>
      </c>
      <c r="AF384" s="35"/>
    </row>
    <row r="385" spans="1:32" ht="12.75">
      <c r="A385" s="29">
        <v>43741.296664884256</v>
      </c>
      <c r="B385" s="12" t="s">
        <v>4109</v>
      </c>
      <c r="C385" s="12" t="s">
        <v>4092</v>
      </c>
      <c r="D385" s="12" t="s">
        <v>3295</v>
      </c>
      <c r="E385" s="12" t="s">
        <v>3908</v>
      </c>
      <c r="F385" s="30">
        <v>43741</v>
      </c>
      <c r="G385" s="12" t="s">
        <v>4130</v>
      </c>
      <c r="H385" s="32">
        <v>0.41666666666424135</v>
      </c>
      <c r="I385" s="29">
        <v>43740.416666666672</v>
      </c>
      <c r="J385" s="12" t="s">
        <v>4123</v>
      </c>
      <c r="L385" s="12" t="s">
        <v>3299</v>
      </c>
      <c r="M385" s="12" t="s">
        <v>3379</v>
      </c>
      <c r="N385" s="12" t="s">
        <v>4124</v>
      </c>
      <c r="O385" s="12" t="s">
        <v>3417</v>
      </c>
      <c r="P385" s="12" t="s">
        <v>4125</v>
      </c>
      <c r="AE385" s="32">
        <v>0.3125</v>
      </c>
      <c r="AF385" s="35"/>
    </row>
    <row r="386" spans="1:32" ht="12.75">
      <c r="A386" s="29">
        <v>43741.361155844905</v>
      </c>
      <c r="B386" s="12" t="s">
        <v>4109</v>
      </c>
      <c r="C386" s="12" t="s">
        <v>4092</v>
      </c>
      <c r="D386" s="12" t="s">
        <v>3589</v>
      </c>
      <c r="E386" s="12" t="s">
        <v>4131</v>
      </c>
      <c r="F386" s="30">
        <v>43741</v>
      </c>
      <c r="G386" s="12" t="s">
        <v>4132</v>
      </c>
      <c r="H386" s="32">
        <v>0.41666666666424135</v>
      </c>
      <c r="I386" s="29">
        <v>43741.666666666672</v>
      </c>
      <c r="J386" s="12" t="s">
        <v>4123</v>
      </c>
      <c r="L386" s="12" t="s">
        <v>3299</v>
      </c>
      <c r="M386" s="12" t="s">
        <v>3379</v>
      </c>
      <c r="N386" s="12" t="s">
        <v>4124</v>
      </c>
      <c r="O386" s="12" t="s">
        <v>4067</v>
      </c>
      <c r="P386" s="12" t="s">
        <v>4125</v>
      </c>
      <c r="AE386" s="32">
        <v>0.375</v>
      </c>
      <c r="AF386" s="35"/>
    </row>
    <row r="387" spans="1:32" ht="12.75">
      <c r="A387" s="29">
        <v>43741.444447685186</v>
      </c>
      <c r="B387" s="12" t="s">
        <v>4109</v>
      </c>
      <c r="C387" s="12" t="s">
        <v>4092</v>
      </c>
      <c r="D387" s="12" t="s">
        <v>3589</v>
      </c>
      <c r="E387" s="12" t="s">
        <v>4100</v>
      </c>
      <c r="F387" s="30">
        <v>43741</v>
      </c>
      <c r="G387" s="12" t="s">
        <v>4133</v>
      </c>
      <c r="H387" s="32">
        <v>0.66666666666424135</v>
      </c>
      <c r="I387" s="29">
        <v>43741.708333333328</v>
      </c>
      <c r="J387" s="12" t="s">
        <v>4123</v>
      </c>
      <c r="L387" s="12" t="s">
        <v>3299</v>
      </c>
      <c r="M387" s="12" t="s">
        <v>3379</v>
      </c>
      <c r="N387" s="12" t="s">
        <v>4124</v>
      </c>
      <c r="O387" s="12" t="s">
        <v>4067</v>
      </c>
      <c r="P387" s="12" t="s">
        <v>4125</v>
      </c>
      <c r="AE387" s="32">
        <v>0.95833333333575865</v>
      </c>
      <c r="AF387" s="35"/>
    </row>
    <row r="388" spans="1:32" ht="12.75">
      <c r="A388" s="29">
        <v>43741.464774398148</v>
      </c>
      <c r="B388" s="12" t="s">
        <v>3417</v>
      </c>
      <c r="C388" s="12" t="s">
        <v>3902</v>
      </c>
      <c r="D388" s="12" t="s">
        <v>3589</v>
      </c>
      <c r="E388" s="12" t="s">
        <v>3710</v>
      </c>
      <c r="F388" s="30">
        <v>43741</v>
      </c>
      <c r="G388" s="12" t="s">
        <v>3492</v>
      </c>
      <c r="H388" s="32">
        <v>0.625</v>
      </c>
      <c r="I388" s="29">
        <v>43741.6875</v>
      </c>
      <c r="J388" s="12" t="s">
        <v>4123</v>
      </c>
      <c r="L388" s="12" t="s">
        <v>3299</v>
      </c>
      <c r="M388" s="12" t="s">
        <v>3379</v>
      </c>
      <c r="N388" s="12" t="s">
        <v>4124</v>
      </c>
      <c r="O388" s="12" t="s">
        <v>3381</v>
      </c>
      <c r="P388" s="12" t="s">
        <v>4125</v>
      </c>
      <c r="AE388" s="32">
        <v>0.46875</v>
      </c>
      <c r="AF388" s="35"/>
    </row>
    <row r="389" spans="1:32" ht="12.75">
      <c r="A389" s="29">
        <v>43741.485164953701</v>
      </c>
      <c r="B389" s="12" t="s">
        <v>3390</v>
      </c>
      <c r="C389" s="12" t="s">
        <v>3391</v>
      </c>
      <c r="D389" s="12" t="s">
        <v>3589</v>
      </c>
      <c r="E389" s="12" t="s">
        <v>4134</v>
      </c>
      <c r="F389" s="30">
        <v>43741</v>
      </c>
      <c r="G389" s="12" t="s">
        <v>4135</v>
      </c>
      <c r="H389" s="32">
        <v>0.50069444444670808</v>
      </c>
      <c r="I389" s="29">
        <v>43741.520833333328</v>
      </c>
      <c r="J389" s="12" t="s">
        <v>3331</v>
      </c>
      <c r="L389" s="12" t="s">
        <v>3393</v>
      </c>
      <c r="M389" s="12" t="s">
        <v>3591</v>
      </c>
      <c r="N389" s="12" t="s">
        <v>3818</v>
      </c>
      <c r="O389" s="12" t="s">
        <v>4136</v>
      </c>
      <c r="P389" s="12" t="s">
        <v>4125</v>
      </c>
      <c r="AE389" s="32">
        <v>0.32291666666424135</v>
      </c>
      <c r="AF389" s="35"/>
    </row>
    <row r="390" spans="1:32" ht="12.75">
      <c r="A390" s="29">
        <v>43741.71352362269</v>
      </c>
      <c r="B390" s="12" t="s">
        <v>3372</v>
      </c>
      <c r="C390" s="12" t="s">
        <v>259</v>
      </c>
      <c r="D390" s="12" t="s">
        <v>3589</v>
      </c>
      <c r="E390" s="12" t="s">
        <v>4137</v>
      </c>
      <c r="F390" s="30">
        <v>43742</v>
      </c>
      <c r="G390" s="12" t="s">
        <v>3310</v>
      </c>
      <c r="H390" s="32">
        <v>0.58333333333575865</v>
      </c>
      <c r="I390" s="29">
        <v>43742.625</v>
      </c>
      <c r="J390" s="12" t="s">
        <v>4138</v>
      </c>
      <c r="K390" s="12">
        <v>3</v>
      </c>
      <c r="L390" s="12" t="s">
        <v>3393</v>
      </c>
      <c r="M390" s="12" t="s">
        <v>4139</v>
      </c>
      <c r="O390" s="12" t="s">
        <v>3744</v>
      </c>
      <c r="P390" s="12" t="s">
        <v>4125</v>
      </c>
      <c r="AE390" s="32">
        <v>0.33333333333575865</v>
      </c>
      <c r="AF390" s="35"/>
    </row>
    <row r="391" spans="1:32" ht="12.75">
      <c r="A391" s="29">
        <v>43742.26729585648</v>
      </c>
      <c r="B391" s="12" t="s">
        <v>3390</v>
      </c>
      <c r="C391" s="12" t="s">
        <v>3391</v>
      </c>
      <c r="D391" s="12" t="s">
        <v>3589</v>
      </c>
      <c r="E391" s="12" t="s">
        <v>3467</v>
      </c>
      <c r="F391" s="30">
        <v>43742</v>
      </c>
      <c r="G391" s="12" t="s">
        <v>3939</v>
      </c>
      <c r="H391" s="32">
        <v>0.5625</v>
      </c>
      <c r="I391" s="29">
        <v>43742.604166666672</v>
      </c>
      <c r="J391" s="12" t="s">
        <v>4140</v>
      </c>
      <c r="K391" s="12">
        <v>3</v>
      </c>
      <c r="L391" s="12" t="s">
        <v>3393</v>
      </c>
      <c r="M391" s="12" t="s">
        <v>3940</v>
      </c>
      <c r="N391" s="12" t="s">
        <v>4127</v>
      </c>
      <c r="O391" s="12" t="s">
        <v>3946</v>
      </c>
      <c r="P391" s="12" t="s">
        <v>4125</v>
      </c>
      <c r="AE391" s="32">
        <v>0.33333333333575865</v>
      </c>
      <c r="AF391" s="35"/>
    </row>
    <row r="392" spans="1:32" ht="12.75">
      <c r="A392" s="29">
        <v>43746.367207662042</v>
      </c>
      <c r="B392" s="12" t="s">
        <v>3390</v>
      </c>
      <c r="C392" s="12" t="s">
        <v>3391</v>
      </c>
      <c r="D392" s="12" t="s">
        <v>3589</v>
      </c>
      <c r="E392" s="12" t="s">
        <v>4141</v>
      </c>
      <c r="F392" s="30">
        <v>43746</v>
      </c>
      <c r="G392" s="12" t="s">
        <v>4142</v>
      </c>
      <c r="H392" s="32">
        <v>0.61458333333575865</v>
      </c>
      <c r="I392" s="29">
        <v>43746.625</v>
      </c>
      <c r="J392" s="12" t="s">
        <v>3331</v>
      </c>
      <c r="L392" s="12" t="s">
        <v>3393</v>
      </c>
      <c r="M392" s="12" t="s">
        <v>3591</v>
      </c>
      <c r="N392" s="12" t="s">
        <v>3923</v>
      </c>
      <c r="O392" s="12" t="s">
        <v>3946</v>
      </c>
      <c r="P392" s="12" t="s">
        <v>4125</v>
      </c>
      <c r="AC392" s="12" t="s">
        <v>4143</v>
      </c>
      <c r="AE392" s="32">
        <v>0.38541666666424135</v>
      </c>
      <c r="AF392" s="35"/>
    </row>
    <row r="393" spans="1:32" ht="12.75">
      <c r="A393" s="29">
        <v>43747.420042743055</v>
      </c>
      <c r="B393" s="12" t="s">
        <v>3470</v>
      </c>
      <c r="C393" s="12" t="s">
        <v>3719</v>
      </c>
      <c r="D393" s="12" t="s">
        <v>3589</v>
      </c>
      <c r="E393" s="12" t="s">
        <v>3866</v>
      </c>
      <c r="F393" s="30">
        <v>43747</v>
      </c>
      <c r="G393" s="12" t="s">
        <v>4144</v>
      </c>
      <c r="H393" s="32">
        <v>0.625</v>
      </c>
      <c r="I393" s="29">
        <v>43747.666666666672</v>
      </c>
      <c r="J393" s="12" t="s">
        <v>3331</v>
      </c>
      <c r="L393" s="12" t="s">
        <v>3393</v>
      </c>
      <c r="M393" s="12" t="s">
        <v>3591</v>
      </c>
      <c r="O393" s="12" t="s">
        <v>4145</v>
      </c>
      <c r="P393" s="12" t="s">
        <v>4146</v>
      </c>
      <c r="AE393" s="32">
        <v>0.4375</v>
      </c>
      <c r="AF393" s="35"/>
    </row>
    <row r="394" spans="1:32" ht="12.75">
      <c r="A394" s="29">
        <v>43748.287808703702</v>
      </c>
      <c r="B394" s="12" t="s">
        <v>3417</v>
      </c>
      <c r="C394" s="12" t="s">
        <v>3383</v>
      </c>
      <c r="D394" s="12" t="s">
        <v>3589</v>
      </c>
      <c r="E394" s="12" t="s">
        <v>3491</v>
      </c>
      <c r="F394" s="30">
        <v>43748</v>
      </c>
      <c r="G394" s="12" t="s">
        <v>4147</v>
      </c>
      <c r="H394" s="32">
        <v>0.54166666666424135</v>
      </c>
      <c r="I394" s="29">
        <v>43748.583333333328</v>
      </c>
      <c r="J394" s="12" t="s">
        <v>4123</v>
      </c>
      <c r="L394" s="12" t="s">
        <v>4121</v>
      </c>
      <c r="M394" s="12" t="s">
        <v>3379</v>
      </c>
      <c r="N394" s="12" t="s">
        <v>4148</v>
      </c>
      <c r="O394" s="12" t="s">
        <v>3381</v>
      </c>
      <c r="P394" s="12" t="s">
        <v>4146</v>
      </c>
      <c r="AE394" s="32">
        <v>0.34375</v>
      </c>
      <c r="AF394" s="35"/>
    </row>
    <row r="395" spans="1:32" ht="12.75">
      <c r="A395" s="29">
        <v>43748.638523344911</v>
      </c>
      <c r="B395" s="12" t="s">
        <v>3390</v>
      </c>
      <c r="C395" s="12" t="s">
        <v>3391</v>
      </c>
      <c r="D395" s="12" t="s">
        <v>3589</v>
      </c>
      <c r="E395" s="12" t="s">
        <v>4149</v>
      </c>
      <c r="F395" s="30">
        <v>43748</v>
      </c>
      <c r="G395" s="12" t="s">
        <v>4150</v>
      </c>
      <c r="H395" s="32">
        <v>0.69791666666424135</v>
      </c>
      <c r="I395" s="29">
        <v>43748.739583333328</v>
      </c>
      <c r="J395" s="12" t="s">
        <v>3331</v>
      </c>
      <c r="L395" s="12" t="s">
        <v>3393</v>
      </c>
      <c r="M395" s="12" t="s">
        <v>3591</v>
      </c>
      <c r="O395" s="12" t="s">
        <v>3804</v>
      </c>
      <c r="P395" s="12" t="s">
        <v>4146</v>
      </c>
      <c r="AE395" s="32">
        <v>0.63888888889050577</v>
      </c>
      <c r="AF395" s="35"/>
    </row>
    <row r="396" spans="1:32" ht="12.75">
      <c r="A396" s="29">
        <v>43752.375165254634</v>
      </c>
      <c r="B396" s="12" t="s">
        <v>3406</v>
      </c>
      <c r="C396" s="12" t="s">
        <v>3400</v>
      </c>
      <c r="D396" s="12" t="s">
        <v>3401</v>
      </c>
      <c r="E396" s="12" t="s">
        <v>4087</v>
      </c>
      <c r="F396" s="30">
        <v>43752</v>
      </c>
      <c r="G396" s="12" t="s">
        <v>4057</v>
      </c>
      <c r="H396" s="32">
        <v>0.625</v>
      </c>
      <c r="J396" s="12" t="s">
        <v>4123</v>
      </c>
      <c r="L396" s="12" t="s">
        <v>4151</v>
      </c>
      <c r="M396" s="12" t="s">
        <v>3458</v>
      </c>
      <c r="N396" s="12" t="s">
        <v>4152</v>
      </c>
      <c r="O396" s="12" t="s">
        <v>3408</v>
      </c>
      <c r="P396" s="12" t="s">
        <v>4146</v>
      </c>
      <c r="AE396" s="32">
        <v>0.41666666666424135</v>
      </c>
      <c r="AF396" s="35"/>
    </row>
    <row r="397" spans="1:32" ht="12.75">
      <c r="A397" s="29">
        <v>43752.376375138891</v>
      </c>
      <c r="B397" s="12" t="s">
        <v>4153</v>
      </c>
      <c r="C397" s="12" t="s">
        <v>4154</v>
      </c>
      <c r="D397" s="12" t="s">
        <v>3401</v>
      </c>
      <c r="E397" s="12" t="s">
        <v>3356</v>
      </c>
      <c r="F397" s="30">
        <v>43752</v>
      </c>
      <c r="G397" s="12" t="s">
        <v>3657</v>
      </c>
      <c r="H397" s="32">
        <v>0.5</v>
      </c>
      <c r="J397" s="12" t="s">
        <v>3403</v>
      </c>
      <c r="L397" s="12" t="s">
        <v>3299</v>
      </c>
      <c r="M397" s="12" t="s">
        <v>3735</v>
      </c>
      <c r="N397" s="12" t="s">
        <v>3760</v>
      </c>
      <c r="O397" s="12" t="s">
        <v>4155</v>
      </c>
      <c r="P397" s="12" t="s">
        <v>4146</v>
      </c>
      <c r="AE397" s="32">
        <v>0.4375</v>
      </c>
      <c r="AF397" s="35"/>
    </row>
    <row r="398" spans="1:32" ht="12.75">
      <c r="A398" s="29">
        <v>43753.365808541668</v>
      </c>
      <c r="B398" s="12" t="s">
        <v>3390</v>
      </c>
      <c r="C398" s="12" t="s">
        <v>3391</v>
      </c>
      <c r="D398" s="12" t="s">
        <v>3589</v>
      </c>
      <c r="E398" s="12" t="s">
        <v>3834</v>
      </c>
      <c r="F398" s="30">
        <v>43753</v>
      </c>
      <c r="G398" s="12" t="s">
        <v>3465</v>
      </c>
      <c r="H398" s="32">
        <v>0.60416666666424135</v>
      </c>
      <c r="I398" s="29">
        <v>43753.625</v>
      </c>
      <c r="J398" s="12" t="s">
        <v>3377</v>
      </c>
      <c r="L398" s="12" t="s">
        <v>3299</v>
      </c>
      <c r="M398" s="12" t="s">
        <v>3454</v>
      </c>
      <c r="N398" s="12" t="s">
        <v>4156</v>
      </c>
      <c r="O398" s="12" t="s">
        <v>3390</v>
      </c>
      <c r="P398" s="12" t="s">
        <v>4146</v>
      </c>
      <c r="AE398" s="32">
        <v>0.39583333333575865</v>
      </c>
      <c r="AF398" s="35"/>
    </row>
    <row r="399" spans="1:32" ht="12.75">
      <c r="A399" s="29">
        <v>43753.575940162038</v>
      </c>
      <c r="B399" s="12" t="s">
        <v>3760</v>
      </c>
      <c r="C399" s="12" t="s">
        <v>4157</v>
      </c>
      <c r="D399" s="12" t="s">
        <v>3631</v>
      </c>
      <c r="E399" s="12" t="s">
        <v>4158</v>
      </c>
      <c r="F399" s="30">
        <v>43754</v>
      </c>
      <c r="G399" s="12" t="s">
        <v>3419</v>
      </c>
      <c r="H399" s="32">
        <v>0.5625</v>
      </c>
      <c r="I399" s="29">
        <v>43754.572916666672</v>
      </c>
      <c r="J399" s="12" t="s">
        <v>3403</v>
      </c>
      <c r="L399" s="12" t="s">
        <v>3299</v>
      </c>
      <c r="M399" s="12" t="s">
        <v>3307</v>
      </c>
      <c r="O399" s="12" t="s">
        <v>4159</v>
      </c>
      <c r="P399" s="12" t="s">
        <v>4146</v>
      </c>
      <c r="AE399" s="32">
        <v>0.5</v>
      </c>
      <c r="AF399" s="35"/>
    </row>
    <row r="400" spans="1:32" ht="12.75">
      <c r="A400" s="29">
        <v>43755.285205497683</v>
      </c>
      <c r="B400" s="12" t="s">
        <v>3417</v>
      </c>
      <c r="C400" s="12" t="s">
        <v>3383</v>
      </c>
      <c r="D400" s="12" t="s">
        <v>3589</v>
      </c>
      <c r="E400" s="12" t="s">
        <v>3890</v>
      </c>
      <c r="F400" s="30">
        <v>43755</v>
      </c>
      <c r="G400" s="12" t="s">
        <v>4160</v>
      </c>
      <c r="H400" s="32">
        <v>0.58333333333575865</v>
      </c>
      <c r="I400" s="29">
        <v>43755.645833333328</v>
      </c>
      <c r="J400" s="12" t="s">
        <v>4123</v>
      </c>
      <c r="L400" s="12" t="s">
        <v>4151</v>
      </c>
      <c r="M400" s="12" t="s">
        <v>3379</v>
      </c>
      <c r="N400" s="12" t="s">
        <v>4124</v>
      </c>
      <c r="O400" s="12" t="s">
        <v>3381</v>
      </c>
      <c r="P400" s="12" t="s">
        <v>4146</v>
      </c>
      <c r="AE400" s="32">
        <v>0.34375</v>
      </c>
      <c r="AF400" s="35"/>
    </row>
    <row r="401" spans="1:32" ht="12.75">
      <c r="A401" s="29">
        <v>43759.344396307875</v>
      </c>
      <c r="B401" s="12" t="s">
        <v>3390</v>
      </c>
      <c r="C401" s="12" t="s">
        <v>3391</v>
      </c>
      <c r="D401" s="12" t="s">
        <v>3589</v>
      </c>
      <c r="E401" s="12" t="s">
        <v>3890</v>
      </c>
      <c r="F401" s="30">
        <v>43759</v>
      </c>
      <c r="G401" s="12" t="s">
        <v>4108</v>
      </c>
      <c r="H401" s="32">
        <v>0.58333333333575865</v>
      </c>
      <c r="I401" s="29">
        <v>43759.645833333328</v>
      </c>
      <c r="J401" s="12" t="s">
        <v>3331</v>
      </c>
      <c r="L401" s="12" t="s">
        <v>3393</v>
      </c>
      <c r="M401" s="12" t="s">
        <v>3591</v>
      </c>
      <c r="N401" s="12" t="s">
        <v>3923</v>
      </c>
      <c r="O401" s="12" t="s">
        <v>3946</v>
      </c>
      <c r="P401" s="12" t="s">
        <v>4146</v>
      </c>
      <c r="AE401" s="32">
        <v>0.45833333333575865</v>
      </c>
      <c r="AF401" s="35"/>
    </row>
    <row r="402" spans="1:32" ht="12.75">
      <c r="A402" s="29">
        <v>43760.405569386574</v>
      </c>
      <c r="B402" s="12" t="s">
        <v>3417</v>
      </c>
      <c r="C402" s="12" t="s">
        <v>4061</v>
      </c>
      <c r="D402" s="12" t="s">
        <v>3589</v>
      </c>
      <c r="E402" s="12" t="s">
        <v>3387</v>
      </c>
      <c r="F402" s="30">
        <v>43760</v>
      </c>
      <c r="G402" s="12" t="s">
        <v>4161</v>
      </c>
      <c r="H402" s="32">
        <v>0.625</v>
      </c>
      <c r="I402" s="29">
        <v>43760.6875</v>
      </c>
      <c r="J402" s="12" t="s">
        <v>4123</v>
      </c>
      <c r="L402" s="12" t="s">
        <v>4151</v>
      </c>
      <c r="M402" s="12" t="s">
        <v>3379</v>
      </c>
      <c r="N402" s="12" t="s">
        <v>4162</v>
      </c>
      <c r="O402" s="12" t="s">
        <v>3381</v>
      </c>
      <c r="P402" s="12" t="s">
        <v>4146</v>
      </c>
      <c r="AE402" s="32">
        <v>0.47916666666424135</v>
      </c>
      <c r="AF402" s="35"/>
    </row>
    <row r="403" spans="1:32" ht="12.75">
      <c r="A403" s="29">
        <v>43761.51098082176</v>
      </c>
      <c r="B403" s="12" t="s">
        <v>3417</v>
      </c>
      <c r="C403" s="12" t="s">
        <v>3902</v>
      </c>
      <c r="D403" s="12" t="s">
        <v>3589</v>
      </c>
      <c r="E403" s="12" t="s">
        <v>4100</v>
      </c>
      <c r="F403" s="30">
        <v>43761</v>
      </c>
      <c r="G403" s="12" t="s">
        <v>4128</v>
      </c>
      <c r="H403" s="32">
        <v>0.625</v>
      </c>
      <c r="I403" s="29">
        <v>43761.666666666672</v>
      </c>
      <c r="J403" s="12" t="s">
        <v>4123</v>
      </c>
      <c r="L403" s="12" t="s">
        <v>4151</v>
      </c>
      <c r="M403" s="12" t="s">
        <v>3379</v>
      </c>
      <c r="N403" s="12" t="s">
        <v>4163</v>
      </c>
      <c r="O403" s="12" t="s">
        <v>3381</v>
      </c>
      <c r="P403" s="12" t="s">
        <v>4146</v>
      </c>
      <c r="AE403" s="32">
        <v>0.52083333333575865</v>
      </c>
      <c r="AF403" s="35"/>
    </row>
    <row r="404" spans="1:32" ht="12.75">
      <c r="A404" s="29">
        <v>43762.365408518519</v>
      </c>
      <c r="B404" s="12" t="s">
        <v>3406</v>
      </c>
      <c r="C404" s="12" t="s">
        <v>3400</v>
      </c>
      <c r="D404" s="12" t="s">
        <v>3401</v>
      </c>
      <c r="E404" s="12" t="s">
        <v>3482</v>
      </c>
      <c r="F404" s="30">
        <v>43762</v>
      </c>
      <c r="G404" s="12" t="s">
        <v>4164</v>
      </c>
      <c r="H404" s="32">
        <v>0.66666666666424135</v>
      </c>
      <c r="J404" s="12" t="s">
        <v>3377</v>
      </c>
      <c r="L404" s="12" t="s">
        <v>3299</v>
      </c>
      <c r="M404" s="12" t="s">
        <v>3458</v>
      </c>
      <c r="N404" s="12" t="s">
        <v>4165</v>
      </c>
      <c r="O404" s="12" t="s">
        <v>3408</v>
      </c>
      <c r="P404" s="12" t="s">
        <v>4146</v>
      </c>
      <c r="AE404" s="32">
        <v>0.38541666666424135</v>
      </c>
      <c r="AF404" s="35"/>
    </row>
    <row r="405" spans="1:32" ht="12.75">
      <c r="A405" s="29">
        <v>43762.626019687501</v>
      </c>
      <c r="B405" s="12" t="s">
        <v>3417</v>
      </c>
      <c r="C405" s="12" t="s">
        <v>3902</v>
      </c>
      <c r="D405" s="12" t="s">
        <v>3589</v>
      </c>
      <c r="E405" s="12" t="s">
        <v>4100</v>
      </c>
      <c r="F405" s="30">
        <v>43762</v>
      </c>
      <c r="G405" s="12" t="s">
        <v>4166</v>
      </c>
      <c r="H405" s="32">
        <v>0.70833333333575865</v>
      </c>
      <c r="I405" s="29">
        <v>43762.75</v>
      </c>
      <c r="J405" s="12" t="s">
        <v>4123</v>
      </c>
      <c r="L405" s="12" t="s">
        <v>4151</v>
      </c>
      <c r="M405" s="12" t="s">
        <v>3379</v>
      </c>
      <c r="N405" s="12" t="s">
        <v>4167</v>
      </c>
      <c r="O405" s="12" t="s">
        <v>3381</v>
      </c>
      <c r="P405" s="12" t="s">
        <v>4146</v>
      </c>
      <c r="AE405" s="32">
        <v>0.60416666666424135</v>
      </c>
      <c r="AF405" s="35"/>
    </row>
    <row r="406" spans="1:32" ht="12.75">
      <c r="A406" s="29">
        <v>43767.325806076391</v>
      </c>
      <c r="B406" s="12" t="s">
        <v>3417</v>
      </c>
      <c r="C406" s="12" t="s">
        <v>3902</v>
      </c>
      <c r="D406" s="12" t="s">
        <v>3589</v>
      </c>
      <c r="E406" s="12" t="s">
        <v>4168</v>
      </c>
      <c r="F406" s="30">
        <v>43767</v>
      </c>
      <c r="G406" s="12" t="s">
        <v>4147</v>
      </c>
      <c r="H406" s="32">
        <v>0.5</v>
      </c>
      <c r="I406" s="29">
        <v>43767.541666666672</v>
      </c>
      <c r="J406" s="12" t="s">
        <v>4123</v>
      </c>
      <c r="L406" s="12" t="s">
        <v>3299</v>
      </c>
      <c r="M406" s="12" t="s">
        <v>3379</v>
      </c>
      <c r="N406" s="12" t="s">
        <v>3452</v>
      </c>
      <c r="O406" s="12" t="s">
        <v>3381</v>
      </c>
      <c r="P406" s="12" t="s">
        <v>4146</v>
      </c>
      <c r="AE406" s="32">
        <v>0.32291666666424135</v>
      </c>
      <c r="AF406" s="35"/>
    </row>
    <row r="407" spans="1:32" ht="12.75">
      <c r="A407" s="29">
        <v>43767.339283356487</v>
      </c>
      <c r="B407" s="12" t="s">
        <v>3390</v>
      </c>
      <c r="C407" s="12" t="s">
        <v>4169</v>
      </c>
      <c r="D407" s="12" t="s">
        <v>3589</v>
      </c>
      <c r="E407" s="12" t="s">
        <v>4026</v>
      </c>
      <c r="F407" s="30">
        <v>43767</v>
      </c>
      <c r="G407" s="12" t="s">
        <v>4170</v>
      </c>
      <c r="H407" s="32">
        <v>0.5625</v>
      </c>
      <c r="I407" s="29">
        <v>43767.583333333328</v>
      </c>
      <c r="J407" s="12" t="s">
        <v>3377</v>
      </c>
      <c r="L407" s="12" t="s">
        <v>3393</v>
      </c>
      <c r="M407" s="12" t="s">
        <v>4032</v>
      </c>
      <c r="O407" s="12" t="s">
        <v>3767</v>
      </c>
      <c r="P407" s="12" t="s">
        <v>4146</v>
      </c>
      <c r="AE407" s="32">
        <v>0.35416666666424135</v>
      </c>
      <c r="AF407" s="35"/>
    </row>
    <row r="408" spans="1:32" ht="12.75">
      <c r="A408" s="29">
        <v>43768.344808425929</v>
      </c>
      <c r="B408" s="12" t="s">
        <v>4109</v>
      </c>
      <c r="C408" s="12" t="s">
        <v>4092</v>
      </c>
      <c r="D408" s="12" t="s">
        <v>3589</v>
      </c>
      <c r="E408" s="12" t="s">
        <v>4171</v>
      </c>
      <c r="F408" s="30">
        <v>43768</v>
      </c>
      <c r="G408" s="12" t="s">
        <v>4171</v>
      </c>
      <c r="H408" s="32">
        <v>0.5625</v>
      </c>
      <c r="I408" s="29">
        <v>43768.625</v>
      </c>
      <c r="J408" s="12" t="s">
        <v>3366</v>
      </c>
      <c r="L408" s="12" t="s">
        <v>3299</v>
      </c>
      <c r="M408" s="12" t="s">
        <v>3379</v>
      </c>
      <c r="N408" s="12" t="s">
        <v>4172</v>
      </c>
      <c r="O408" s="12" t="s">
        <v>3417</v>
      </c>
      <c r="P408" s="12" t="s">
        <v>4146</v>
      </c>
      <c r="AE408" s="32">
        <v>0.34375</v>
      </c>
      <c r="AF408" s="35"/>
    </row>
    <row r="409" spans="1:32" ht="12.75">
      <c r="A409" s="29">
        <v>43768.374171898147</v>
      </c>
      <c r="B409" s="12" t="s">
        <v>3406</v>
      </c>
      <c r="C409" s="12" t="s">
        <v>3400</v>
      </c>
      <c r="D409" s="12" t="s">
        <v>3401</v>
      </c>
      <c r="E409" s="12" t="s">
        <v>3482</v>
      </c>
      <c r="F409" s="30">
        <v>43768</v>
      </c>
      <c r="G409" s="12" t="s">
        <v>3947</v>
      </c>
      <c r="H409" s="32">
        <v>0.66666666666424135</v>
      </c>
      <c r="J409" s="12" t="s">
        <v>3377</v>
      </c>
      <c r="L409" s="12" t="s">
        <v>3393</v>
      </c>
      <c r="M409" s="12" t="s">
        <v>4173</v>
      </c>
      <c r="N409" s="12" t="s">
        <v>4174</v>
      </c>
      <c r="O409" s="12" t="s">
        <v>3408</v>
      </c>
      <c r="P409" s="12" t="s">
        <v>4146</v>
      </c>
      <c r="AE409" s="32">
        <v>0.38541666666424135</v>
      </c>
      <c r="AF409" s="35"/>
    </row>
    <row r="410" spans="1:32" ht="12.75">
      <c r="A410" s="29">
        <v>43768.694968425931</v>
      </c>
      <c r="B410" s="12" t="s">
        <v>3406</v>
      </c>
      <c r="C410" s="12" t="s">
        <v>3400</v>
      </c>
      <c r="D410" s="12" t="s">
        <v>3401</v>
      </c>
      <c r="E410" s="12" t="s">
        <v>3687</v>
      </c>
      <c r="F410" s="30">
        <v>43769</v>
      </c>
      <c r="G410" s="12" t="s">
        <v>4073</v>
      </c>
      <c r="H410" s="32">
        <v>0.54166666666424135</v>
      </c>
      <c r="J410" s="12" t="s">
        <v>3377</v>
      </c>
      <c r="L410" s="12" t="s">
        <v>3393</v>
      </c>
      <c r="M410" s="12" t="s">
        <v>3458</v>
      </c>
      <c r="N410" s="12" t="s">
        <v>4175</v>
      </c>
      <c r="O410" s="12" t="s">
        <v>3408</v>
      </c>
      <c r="P410" s="12" t="s">
        <v>4146</v>
      </c>
      <c r="AE410" s="32">
        <v>0.41666666666424135</v>
      </c>
      <c r="AF410" s="35"/>
    </row>
    <row r="411" spans="1:32" ht="12.75">
      <c r="A411" s="29">
        <v>43769.402241342592</v>
      </c>
      <c r="B411" s="12" t="s">
        <v>3417</v>
      </c>
      <c r="C411" s="12" t="s">
        <v>3902</v>
      </c>
      <c r="D411" s="12" t="s">
        <v>3589</v>
      </c>
      <c r="E411" s="12" t="s">
        <v>4100</v>
      </c>
      <c r="F411" s="30">
        <v>43769</v>
      </c>
      <c r="G411" s="12" t="s">
        <v>4176</v>
      </c>
      <c r="H411" s="32">
        <v>0.58333333333575865</v>
      </c>
      <c r="I411" s="29">
        <v>43769.645833333328</v>
      </c>
      <c r="J411" s="12" t="s">
        <v>3366</v>
      </c>
      <c r="L411" s="12" t="s">
        <v>3299</v>
      </c>
      <c r="M411" s="12" t="s">
        <v>3379</v>
      </c>
      <c r="N411" s="12" t="s">
        <v>4177</v>
      </c>
      <c r="O411" s="12" t="s">
        <v>3381</v>
      </c>
      <c r="P411" s="12" t="s">
        <v>4146</v>
      </c>
      <c r="AE411" s="32">
        <v>0.39583333333575865</v>
      </c>
      <c r="AF411" s="35"/>
    </row>
    <row r="412" spans="1:32" ht="12.75">
      <c r="A412" s="29">
        <v>43770.357981747686</v>
      </c>
      <c r="B412" s="12" t="s">
        <v>3564</v>
      </c>
      <c r="C412" s="12" t="s">
        <v>4117</v>
      </c>
      <c r="D412" s="12" t="s">
        <v>3589</v>
      </c>
      <c r="E412" s="12" t="s">
        <v>3730</v>
      </c>
      <c r="F412" s="30">
        <v>43770</v>
      </c>
      <c r="G412" s="12" t="s">
        <v>4178</v>
      </c>
      <c r="H412" s="32">
        <v>0.625</v>
      </c>
      <c r="I412" s="29">
        <v>43770.666666666672</v>
      </c>
      <c r="J412" s="12" t="s">
        <v>3377</v>
      </c>
      <c r="L412" s="12" t="s">
        <v>3393</v>
      </c>
      <c r="M412" s="12" t="s">
        <v>3379</v>
      </c>
      <c r="N412" s="12" t="s">
        <v>3490</v>
      </c>
      <c r="O412" s="12" t="s">
        <v>3381</v>
      </c>
      <c r="P412" s="12" t="s">
        <v>4146</v>
      </c>
      <c r="AE412" s="32">
        <v>0.375</v>
      </c>
      <c r="AF412" s="35"/>
    </row>
    <row r="413" spans="1:32" ht="12.75">
      <c r="A413" s="29">
        <v>43772.294793506946</v>
      </c>
      <c r="B413" s="12" t="s">
        <v>4034</v>
      </c>
      <c r="C413" s="12" t="s">
        <v>4179</v>
      </c>
      <c r="D413" s="12" t="s">
        <v>3881</v>
      </c>
      <c r="E413" s="12" t="s">
        <v>3482</v>
      </c>
      <c r="F413" s="30">
        <v>43773</v>
      </c>
      <c r="G413" s="12" t="s">
        <v>3496</v>
      </c>
      <c r="H413" s="32">
        <v>0.625</v>
      </c>
      <c r="I413" s="29">
        <v>43773.645833333328</v>
      </c>
      <c r="J413" s="12" t="s">
        <v>3366</v>
      </c>
      <c r="L413" s="12" t="s">
        <v>3299</v>
      </c>
      <c r="M413" s="12" t="s">
        <v>4034</v>
      </c>
      <c r="N413" s="12" t="s">
        <v>4124</v>
      </c>
      <c r="O413" s="12" t="s">
        <v>4034</v>
      </c>
      <c r="P413" s="12" t="s">
        <v>4146</v>
      </c>
      <c r="AC413" s="12" t="s">
        <v>4180</v>
      </c>
      <c r="AD413" s="12" t="s">
        <v>4181</v>
      </c>
      <c r="AE413" s="32">
        <v>0.3125</v>
      </c>
      <c r="AF413" s="35"/>
    </row>
    <row r="414" spans="1:32" ht="12.75">
      <c r="A414" s="29">
        <v>43773.309285370371</v>
      </c>
      <c r="B414" s="12" t="s">
        <v>3417</v>
      </c>
      <c r="C414" s="12" t="s">
        <v>3902</v>
      </c>
      <c r="D414" s="12" t="s">
        <v>3881</v>
      </c>
      <c r="E414" s="12" t="s">
        <v>3296</v>
      </c>
      <c r="F414" s="30">
        <v>43773</v>
      </c>
      <c r="G414" s="12" t="s">
        <v>3673</v>
      </c>
      <c r="H414" s="32">
        <v>0.58333333333575865</v>
      </c>
      <c r="I414" s="29">
        <v>43773.604166666672</v>
      </c>
      <c r="J414" s="12" t="s">
        <v>3377</v>
      </c>
      <c r="L414" s="12" t="s">
        <v>3393</v>
      </c>
      <c r="M414" s="12" t="s">
        <v>3379</v>
      </c>
      <c r="N414" s="12" t="s">
        <v>4182</v>
      </c>
      <c r="O414" s="12" t="s">
        <v>3381</v>
      </c>
      <c r="P414" s="12" t="s">
        <v>4146</v>
      </c>
      <c r="AE414" s="32">
        <v>0.30555555555474712</v>
      </c>
      <c r="AF414" s="35"/>
    </row>
    <row r="415" spans="1:32" ht="12.75">
      <c r="A415" s="29">
        <v>43773.704393703709</v>
      </c>
      <c r="B415" s="12" t="s">
        <v>3406</v>
      </c>
      <c r="C415" s="12" t="s">
        <v>3400</v>
      </c>
      <c r="D415" s="12" t="s">
        <v>3401</v>
      </c>
      <c r="E415" s="12" t="s">
        <v>3482</v>
      </c>
      <c r="F415" s="30">
        <v>43774</v>
      </c>
      <c r="G415" s="12" t="s">
        <v>4183</v>
      </c>
      <c r="H415" s="32">
        <v>0.66666666666424135</v>
      </c>
      <c r="J415" s="12" t="s">
        <v>3377</v>
      </c>
      <c r="L415" s="12" t="s">
        <v>3299</v>
      </c>
      <c r="M415" s="12" t="s">
        <v>3458</v>
      </c>
      <c r="N415" s="12" t="s">
        <v>4184</v>
      </c>
      <c r="O415" s="12" t="s">
        <v>3408</v>
      </c>
      <c r="P415" s="12" t="s">
        <v>4146</v>
      </c>
      <c r="AE415" s="32">
        <v>0.38541666666424135</v>
      </c>
      <c r="AF415" s="35"/>
    </row>
    <row r="416" spans="1:32" ht="12.75">
      <c r="A416" s="29">
        <v>43774.345101620369</v>
      </c>
      <c r="B416" s="12" t="s">
        <v>3417</v>
      </c>
      <c r="C416" s="12" t="s">
        <v>4061</v>
      </c>
      <c r="D416" s="12" t="s">
        <v>3881</v>
      </c>
      <c r="E416" s="12" t="s">
        <v>3637</v>
      </c>
      <c r="F416" s="30">
        <v>43774</v>
      </c>
      <c r="G416" s="12" t="s">
        <v>4185</v>
      </c>
      <c r="H416" s="32">
        <v>0.39583333333575865</v>
      </c>
      <c r="I416" s="29">
        <v>43774.416666666672</v>
      </c>
      <c r="J416" s="12" t="s">
        <v>4186</v>
      </c>
      <c r="L416" s="12" t="s">
        <v>4151</v>
      </c>
      <c r="M416" s="12" t="s">
        <v>3379</v>
      </c>
      <c r="N416" s="12" t="s">
        <v>4124</v>
      </c>
      <c r="O416" s="12" t="s">
        <v>3381</v>
      </c>
      <c r="P416" s="12" t="s">
        <v>4146</v>
      </c>
      <c r="AE416" s="32">
        <v>0.375</v>
      </c>
      <c r="AF416" s="35"/>
    </row>
    <row r="417" spans="1:32" ht="12.75">
      <c r="A417" s="29">
        <v>43775.398638819446</v>
      </c>
      <c r="B417" s="12" t="s">
        <v>3406</v>
      </c>
      <c r="C417" s="12" t="s">
        <v>3400</v>
      </c>
      <c r="D417" s="12" t="s">
        <v>3401</v>
      </c>
      <c r="E417" s="12" t="s">
        <v>3482</v>
      </c>
      <c r="F417" s="30">
        <v>43775</v>
      </c>
      <c r="G417" s="12" t="s">
        <v>4187</v>
      </c>
      <c r="H417" s="32">
        <v>0.66666666666424135</v>
      </c>
      <c r="J417" s="12" t="s">
        <v>3377</v>
      </c>
      <c r="L417" s="12" t="s">
        <v>3299</v>
      </c>
      <c r="M417" s="12" t="s">
        <v>3458</v>
      </c>
      <c r="N417" s="12" t="s">
        <v>4188</v>
      </c>
      <c r="O417" s="12" t="s">
        <v>3408</v>
      </c>
      <c r="P417" s="12" t="s">
        <v>4146</v>
      </c>
      <c r="AE417" s="32">
        <v>0.39583333333575865</v>
      </c>
      <c r="AF417" s="35"/>
    </row>
    <row r="418" spans="1:32" ht="12.75">
      <c r="A418" s="29">
        <v>43776.355157233796</v>
      </c>
      <c r="B418" s="12" t="s">
        <v>3406</v>
      </c>
      <c r="C418" s="12" t="s">
        <v>3400</v>
      </c>
      <c r="D418" s="12" t="s">
        <v>3401</v>
      </c>
      <c r="E418" s="12" t="s">
        <v>3687</v>
      </c>
      <c r="F418" s="30">
        <v>43776</v>
      </c>
      <c r="G418" s="12" t="s">
        <v>4189</v>
      </c>
      <c r="H418" s="32">
        <v>0.625</v>
      </c>
      <c r="J418" s="12" t="s">
        <v>3377</v>
      </c>
      <c r="L418" s="12" t="s">
        <v>3299</v>
      </c>
      <c r="M418" s="12" t="s">
        <v>4190</v>
      </c>
      <c r="N418" s="12" t="s">
        <v>4191</v>
      </c>
      <c r="O418" s="12" t="s">
        <v>3408</v>
      </c>
      <c r="P418" s="12" t="s">
        <v>4146</v>
      </c>
      <c r="AE418" s="32">
        <v>0.42708333333575865</v>
      </c>
      <c r="AF418" s="35"/>
    </row>
    <row r="419" spans="1:32" ht="12.75">
      <c r="A419" s="29">
        <v>43781.307208680555</v>
      </c>
      <c r="B419" s="12" t="s">
        <v>3390</v>
      </c>
      <c r="C419" s="12" t="s">
        <v>3391</v>
      </c>
      <c r="D419" s="12" t="s">
        <v>3589</v>
      </c>
      <c r="E419" s="12" t="s">
        <v>3834</v>
      </c>
      <c r="F419" s="30">
        <v>43781</v>
      </c>
      <c r="G419" s="12" t="s">
        <v>3465</v>
      </c>
      <c r="H419" s="32">
        <v>0.5625</v>
      </c>
      <c r="I419" s="29">
        <v>43781.583333333328</v>
      </c>
      <c r="J419" s="12" t="s">
        <v>3377</v>
      </c>
      <c r="L419" s="12" t="s">
        <v>3299</v>
      </c>
      <c r="M419" s="12" t="s">
        <v>3454</v>
      </c>
      <c r="N419" s="12" t="s">
        <v>4192</v>
      </c>
      <c r="O419" s="12" t="s">
        <v>3390</v>
      </c>
      <c r="P419" s="12" t="s">
        <v>4146</v>
      </c>
      <c r="AE419" s="32">
        <v>0.34375</v>
      </c>
      <c r="AF419" s="35"/>
    </row>
    <row r="420" spans="1:32" ht="12.75">
      <c r="A420" s="29">
        <v>43781.344720046298</v>
      </c>
      <c r="B420" s="12" t="s">
        <v>3406</v>
      </c>
      <c r="C420" s="12" t="s">
        <v>3400</v>
      </c>
      <c r="D420" s="12" t="s">
        <v>3401</v>
      </c>
      <c r="E420" s="12" t="s">
        <v>3618</v>
      </c>
      <c r="F420" s="30">
        <v>43781</v>
      </c>
      <c r="G420" s="12" t="s">
        <v>3548</v>
      </c>
      <c r="H420" s="32">
        <v>0.4375</v>
      </c>
      <c r="J420" s="12" t="s">
        <v>3403</v>
      </c>
      <c r="L420" s="12" t="s">
        <v>4024</v>
      </c>
      <c r="M420" s="12" t="s">
        <v>3458</v>
      </c>
      <c r="N420" s="12" t="s">
        <v>3760</v>
      </c>
      <c r="O420" s="12" t="s">
        <v>3408</v>
      </c>
      <c r="P420" s="12" t="s">
        <v>4146</v>
      </c>
      <c r="AE420" s="32">
        <v>0.36458333333575865</v>
      </c>
      <c r="AF420" s="35"/>
    </row>
    <row r="421" spans="1:32" ht="12.75">
      <c r="A421" s="29">
        <v>43781.712181608797</v>
      </c>
      <c r="B421" s="12" t="s">
        <v>3406</v>
      </c>
      <c r="C421" s="12" t="s">
        <v>3400</v>
      </c>
      <c r="D421" s="12" t="s">
        <v>3401</v>
      </c>
      <c r="E421" s="12" t="s">
        <v>4193</v>
      </c>
      <c r="F421" s="30">
        <v>43782</v>
      </c>
      <c r="G421" s="12" t="s">
        <v>4057</v>
      </c>
      <c r="H421" s="32">
        <v>0.625</v>
      </c>
      <c r="J421" s="12" t="s">
        <v>4123</v>
      </c>
      <c r="L421" s="12" t="s">
        <v>3299</v>
      </c>
      <c r="M421" s="12" t="s">
        <v>3580</v>
      </c>
      <c r="O421" s="12" t="s">
        <v>3408</v>
      </c>
      <c r="P421" s="12" t="s">
        <v>4146</v>
      </c>
      <c r="AE421" s="32">
        <v>0.39583333333575865</v>
      </c>
      <c r="AF421" s="35"/>
    </row>
    <row r="422" spans="1:32" ht="12.75">
      <c r="A422" s="29">
        <v>43788.587120509255</v>
      </c>
      <c r="B422" s="12" t="s">
        <v>3760</v>
      </c>
      <c r="C422" s="12" t="s">
        <v>4194</v>
      </c>
      <c r="D422" s="12" t="s">
        <v>3589</v>
      </c>
      <c r="E422" s="12" t="s">
        <v>3419</v>
      </c>
      <c r="F422" s="30">
        <v>43788</v>
      </c>
      <c r="G422" s="12" t="s">
        <v>3419</v>
      </c>
      <c r="H422" s="32">
        <v>0.65277777778101154</v>
      </c>
      <c r="I422" s="29">
        <v>43788.697916666672</v>
      </c>
      <c r="J422" s="12" t="s">
        <v>3403</v>
      </c>
      <c r="L422" s="12" t="s">
        <v>4151</v>
      </c>
      <c r="M422" s="12" t="s">
        <v>3379</v>
      </c>
      <c r="O422" s="12" t="s">
        <v>3381</v>
      </c>
      <c r="P422" s="12" t="s">
        <v>4146</v>
      </c>
      <c r="AE422" s="32">
        <v>0.60416666666424135</v>
      </c>
      <c r="AF422" s="35"/>
    </row>
    <row r="423" spans="1:32" ht="12.75">
      <c r="A423" s="29">
        <v>43790.574718981487</v>
      </c>
      <c r="B423" s="12" t="s">
        <v>3760</v>
      </c>
      <c r="C423" s="12" t="s">
        <v>4194</v>
      </c>
      <c r="D423" s="12" t="s">
        <v>3295</v>
      </c>
      <c r="E423" s="12" t="s">
        <v>4195</v>
      </c>
      <c r="F423" s="30">
        <v>43791</v>
      </c>
      <c r="G423" s="12" t="s">
        <v>4196</v>
      </c>
      <c r="H423" s="32">
        <v>0.625</v>
      </c>
      <c r="I423" s="29">
        <v>43791.645833333328</v>
      </c>
      <c r="J423" s="12" t="s">
        <v>3358</v>
      </c>
      <c r="L423" s="12" t="s">
        <v>4151</v>
      </c>
      <c r="M423" s="12" t="s">
        <v>3760</v>
      </c>
      <c r="N423" s="12" t="s">
        <v>4197</v>
      </c>
      <c r="O423" s="12" t="s">
        <v>3760</v>
      </c>
      <c r="P423" s="12" t="s">
        <v>4146</v>
      </c>
      <c r="AE423" s="32">
        <v>0.35416666666424135</v>
      </c>
      <c r="AF423" s="35"/>
    </row>
    <row r="424" spans="1:32" ht="12.75">
      <c r="A424" s="29">
        <v>43791.542149363428</v>
      </c>
      <c r="B424" s="12" t="s">
        <v>3564</v>
      </c>
      <c r="C424" s="12" t="s">
        <v>4117</v>
      </c>
      <c r="D424" s="12" t="s">
        <v>3589</v>
      </c>
      <c r="E424" s="12" t="s">
        <v>3730</v>
      </c>
      <c r="F424" s="30">
        <v>43791</v>
      </c>
      <c r="G424" s="12" t="s">
        <v>4178</v>
      </c>
      <c r="H424" s="32">
        <v>0.6875</v>
      </c>
      <c r="I424" s="29">
        <v>43791.208333333328</v>
      </c>
      <c r="J424" s="12" t="s">
        <v>3331</v>
      </c>
      <c r="L424" s="12" t="s">
        <v>3299</v>
      </c>
      <c r="M424" s="12" t="s">
        <v>3379</v>
      </c>
      <c r="N424" s="12" t="s">
        <v>3490</v>
      </c>
      <c r="O424" s="12" t="s">
        <v>3381</v>
      </c>
      <c r="P424" s="12" t="s">
        <v>4146</v>
      </c>
      <c r="AE424" s="32">
        <v>0.5625</v>
      </c>
      <c r="AF424" s="35"/>
    </row>
    <row r="425" spans="1:32" ht="12.75">
      <c r="A425" s="29">
        <v>43791.578067685186</v>
      </c>
      <c r="B425" s="12" t="s">
        <v>3564</v>
      </c>
      <c r="C425" s="12" t="s">
        <v>4117</v>
      </c>
      <c r="D425" s="12" t="s">
        <v>3589</v>
      </c>
      <c r="E425" s="12" t="s">
        <v>3730</v>
      </c>
      <c r="F425" s="30">
        <v>43791</v>
      </c>
      <c r="G425" s="12" t="s">
        <v>4198</v>
      </c>
      <c r="H425" s="32">
        <v>0.6875</v>
      </c>
      <c r="I425" s="29">
        <v>43791.71875</v>
      </c>
      <c r="J425" s="12" t="s">
        <v>3331</v>
      </c>
      <c r="L425" s="12" t="s">
        <v>3299</v>
      </c>
      <c r="M425" s="12" t="s">
        <v>3379</v>
      </c>
      <c r="N425" s="12" t="s">
        <v>3490</v>
      </c>
      <c r="O425" s="12" t="s">
        <v>3381</v>
      </c>
      <c r="P425" s="12" t="s">
        <v>4146</v>
      </c>
      <c r="AE425" s="32">
        <v>0.57291666666424135</v>
      </c>
      <c r="AF425" s="35"/>
    </row>
    <row r="426" spans="1:32" ht="12.75">
      <c r="A426" s="29">
        <v>43794.660332210653</v>
      </c>
      <c r="B426" s="12" t="s">
        <v>3406</v>
      </c>
      <c r="C426" s="12" t="s">
        <v>3400</v>
      </c>
      <c r="D426" s="12" t="s">
        <v>3401</v>
      </c>
      <c r="E426" s="12" t="s">
        <v>4199</v>
      </c>
      <c r="F426" s="30">
        <v>43795</v>
      </c>
      <c r="G426" s="12" t="s">
        <v>4200</v>
      </c>
      <c r="H426" s="32">
        <v>0.625</v>
      </c>
      <c r="J426" s="12" t="s">
        <v>4123</v>
      </c>
      <c r="L426" s="12" t="s">
        <v>3299</v>
      </c>
      <c r="M426" s="12" t="s">
        <v>3458</v>
      </c>
      <c r="N426" s="12" t="s">
        <v>4201</v>
      </c>
      <c r="O426" s="12" t="s">
        <v>3408</v>
      </c>
      <c r="P426" s="12" t="s">
        <v>4146</v>
      </c>
      <c r="AE426" s="32">
        <v>0.375</v>
      </c>
      <c r="AF426" s="35"/>
    </row>
    <row r="427" spans="1:32" ht="12.75">
      <c r="A427" s="29">
        <v>43795.395896261572</v>
      </c>
      <c r="B427" s="12" t="s">
        <v>3390</v>
      </c>
      <c r="C427" s="12" t="s">
        <v>3391</v>
      </c>
      <c r="D427" s="12" t="s">
        <v>3589</v>
      </c>
      <c r="E427" s="12" t="s">
        <v>4115</v>
      </c>
      <c r="F427" s="30">
        <v>43795</v>
      </c>
      <c r="G427" s="12" t="s">
        <v>3465</v>
      </c>
      <c r="H427" s="32">
        <v>0.60416666666424135</v>
      </c>
      <c r="I427" s="29">
        <v>43795.6875</v>
      </c>
      <c r="J427" s="12" t="s">
        <v>3377</v>
      </c>
      <c r="L427" s="12" t="s">
        <v>3393</v>
      </c>
      <c r="M427" s="12" t="s">
        <v>4032</v>
      </c>
      <c r="O427" s="12" t="s">
        <v>3390</v>
      </c>
      <c r="P427" s="12" t="s">
        <v>4146</v>
      </c>
      <c r="AE427" s="32">
        <v>0.40625</v>
      </c>
      <c r="AF427" s="35"/>
    </row>
    <row r="428" spans="1:32" ht="12.75">
      <c r="A428" s="29">
        <v>43795.838383449074</v>
      </c>
      <c r="B428" s="12" t="s">
        <v>4202</v>
      </c>
      <c r="C428" s="12" t="s">
        <v>4203</v>
      </c>
      <c r="D428" s="12" t="s">
        <v>3295</v>
      </c>
      <c r="E428" s="12" t="s">
        <v>4202</v>
      </c>
      <c r="F428" s="30">
        <v>43796</v>
      </c>
      <c r="G428" s="12" t="s">
        <v>4202</v>
      </c>
      <c r="H428" s="32">
        <v>0</v>
      </c>
      <c r="I428" s="29">
        <v>43796</v>
      </c>
      <c r="J428" s="12" t="s">
        <v>4202</v>
      </c>
      <c r="L428" s="12" t="s">
        <v>4202</v>
      </c>
      <c r="P428" s="12" t="s">
        <v>4146</v>
      </c>
      <c r="AE428" s="32">
        <v>0</v>
      </c>
      <c r="AF428" s="35"/>
    </row>
    <row r="429" spans="1:32" ht="12.75">
      <c r="A429" s="29">
        <v>43801.68857849537</v>
      </c>
      <c r="B429" s="12" t="s">
        <v>3406</v>
      </c>
      <c r="C429" s="12" t="s">
        <v>3400</v>
      </c>
      <c r="D429" s="12" t="s">
        <v>3401</v>
      </c>
      <c r="E429" s="12" t="s">
        <v>3482</v>
      </c>
      <c r="F429" s="30">
        <v>43802</v>
      </c>
      <c r="G429" s="12" t="s">
        <v>4164</v>
      </c>
      <c r="H429" s="32">
        <v>0.66666666666424135</v>
      </c>
      <c r="J429" s="12" t="s">
        <v>3377</v>
      </c>
      <c r="L429" s="12" t="s">
        <v>3299</v>
      </c>
      <c r="M429" s="12" t="s">
        <v>3458</v>
      </c>
      <c r="N429" s="12" t="s">
        <v>4204</v>
      </c>
      <c r="O429" s="12" t="s">
        <v>3408</v>
      </c>
      <c r="P429" s="12" t="s">
        <v>4146</v>
      </c>
      <c r="AE429" s="32">
        <v>0.38541666666424135</v>
      </c>
      <c r="AF429" s="35"/>
    </row>
    <row r="430" spans="1:32" ht="12.75">
      <c r="A430" s="29">
        <v>43803.362104050924</v>
      </c>
      <c r="B430" s="12" t="s">
        <v>3406</v>
      </c>
      <c r="C430" s="12" t="s">
        <v>3400</v>
      </c>
      <c r="D430" s="12" t="s">
        <v>3401</v>
      </c>
      <c r="E430" s="12" t="s">
        <v>3482</v>
      </c>
      <c r="F430" s="30">
        <v>43803</v>
      </c>
      <c r="G430" s="12" t="s">
        <v>4205</v>
      </c>
      <c r="H430" s="32">
        <v>0.66666666666424135</v>
      </c>
      <c r="J430" s="12" t="s">
        <v>3377</v>
      </c>
      <c r="L430" s="12" t="s">
        <v>3299</v>
      </c>
      <c r="M430" s="12" t="s">
        <v>4206</v>
      </c>
      <c r="N430" s="12" t="s">
        <v>4207</v>
      </c>
      <c r="O430" s="12" t="s">
        <v>3408</v>
      </c>
      <c r="P430" s="12" t="s">
        <v>4146</v>
      </c>
      <c r="AE430" s="32">
        <v>0.38541666666424135</v>
      </c>
      <c r="AF430" s="35"/>
    </row>
    <row r="431" spans="1:32" ht="12.75">
      <c r="A431" s="29">
        <v>43804.325158217587</v>
      </c>
      <c r="B431" s="12" t="s">
        <v>4109</v>
      </c>
      <c r="C431" s="12" t="s">
        <v>4092</v>
      </c>
      <c r="D431" s="12" t="s">
        <v>3589</v>
      </c>
      <c r="E431" s="12" t="s">
        <v>4208</v>
      </c>
      <c r="F431" s="30">
        <v>43804</v>
      </c>
      <c r="G431" s="12" t="s">
        <v>3934</v>
      </c>
      <c r="H431" s="32">
        <v>0.58333333333575865</v>
      </c>
      <c r="I431" s="29">
        <v>43804.645833333328</v>
      </c>
      <c r="J431" s="12" t="s">
        <v>3331</v>
      </c>
      <c r="L431" s="12" t="s">
        <v>4151</v>
      </c>
      <c r="M431" s="12" t="s">
        <v>3379</v>
      </c>
      <c r="N431" s="12" t="s">
        <v>4124</v>
      </c>
      <c r="O431" s="12" t="s">
        <v>4067</v>
      </c>
      <c r="P431" s="12" t="s">
        <v>4146</v>
      </c>
      <c r="AE431" s="32">
        <v>0.32291666666424135</v>
      </c>
      <c r="AF431" s="35"/>
    </row>
    <row r="432" spans="1:32" ht="12.75">
      <c r="A432" s="29">
        <v>43804.357534594907</v>
      </c>
      <c r="B432" s="12" t="s">
        <v>3406</v>
      </c>
      <c r="C432" s="12" t="s">
        <v>3400</v>
      </c>
      <c r="D432" s="12" t="s">
        <v>3401</v>
      </c>
      <c r="E432" s="12" t="s">
        <v>3687</v>
      </c>
      <c r="F432" s="30">
        <v>43804</v>
      </c>
      <c r="G432" s="12" t="s">
        <v>3947</v>
      </c>
      <c r="H432" s="32">
        <v>0.58333333333575865</v>
      </c>
      <c r="J432" s="12" t="s">
        <v>3377</v>
      </c>
      <c r="L432" s="12" t="s">
        <v>3299</v>
      </c>
      <c r="M432" s="12" t="s">
        <v>4173</v>
      </c>
      <c r="N432" s="12" t="s">
        <v>4209</v>
      </c>
      <c r="O432" s="12" t="s">
        <v>3408</v>
      </c>
      <c r="P432" s="12" t="s">
        <v>4146</v>
      </c>
      <c r="AE432" s="32">
        <v>0.41666666666424135</v>
      </c>
      <c r="AF432" s="35"/>
    </row>
    <row r="433" spans="1:32" ht="12.75">
      <c r="A433" s="29">
        <v>43808.556866203704</v>
      </c>
      <c r="B433" s="12" t="s">
        <v>4210</v>
      </c>
      <c r="C433" s="12" t="s">
        <v>3391</v>
      </c>
      <c r="D433" s="12" t="s">
        <v>3631</v>
      </c>
      <c r="E433" s="12" t="s">
        <v>3834</v>
      </c>
      <c r="F433" s="30">
        <v>43809</v>
      </c>
      <c r="G433" s="12" t="s">
        <v>3520</v>
      </c>
      <c r="H433" s="32">
        <v>0.52083333333575865</v>
      </c>
      <c r="I433" s="29">
        <v>43809.541666666672</v>
      </c>
      <c r="J433" s="12" t="s">
        <v>3377</v>
      </c>
      <c r="L433" s="12" t="s">
        <v>3393</v>
      </c>
      <c r="M433" s="12" t="s">
        <v>3454</v>
      </c>
      <c r="N433" s="12" t="s">
        <v>3923</v>
      </c>
      <c r="O433" s="12" t="s">
        <v>3767</v>
      </c>
      <c r="P433" s="12" t="s">
        <v>4146</v>
      </c>
      <c r="AE433" s="32">
        <v>0.30208333333575865</v>
      </c>
      <c r="AF433" s="35"/>
    </row>
    <row r="434" spans="1:32" ht="12.75">
      <c r="A434" s="29">
        <v>43810.305058229162</v>
      </c>
      <c r="B434" s="12" t="s">
        <v>3406</v>
      </c>
      <c r="C434" s="12" t="s">
        <v>3400</v>
      </c>
      <c r="D434" s="12" t="s">
        <v>3401</v>
      </c>
      <c r="E434" s="12" t="s">
        <v>4211</v>
      </c>
      <c r="F434" s="30">
        <v>43810</v>
      </c>
      <c r="G434" s="12" t="s">
        <v>4057</v>
      </c>
      <c r="H434" s="32">
        <v>0.58333333333575865</v>
      </c>
      <c r="J434" s="12" t="s">
        <v>4123</v>
      </c>
      <c r="L434" s="12" t="s">
        <v>4151</v>
      </c>
      <c r="M434" s="12" t="s">
        <v>3458</v>
      </c>
      <c r="N434" s="12" t="s">
        <v>4212</v>
      </c>
      <c r="O434" s="12" t="s">
        <v>3408</v>
      </c>
      <c r="P434" s="12" t="s">
        <v>4146</v>
      </c>
      <c r="AE434" s="32">
        <v>0.375</v>
      </c>
      <c r="AF434" s="35"/>
    </row>
    <row r="435" spans="1:32" ht="12.75">
      <c r="A435" s="29">
        <v>43815.37188416667</v>
      </c>
      <c r="B435" s="12" t="s">
        <v>3470</v>
      </c>
      <c r="C435" s="12" t="s">
        <v>3719</v>
      </c>
      <c r="D435" s="12" t="s">
        <v>3589</v>
      </c>
      <c r="E435" s="12" t="s">
        <v>4213</v>
      </c>
      <c r="F435" s="30">
        <v>43815</v>
      </c>
      <c r="G435" s="12" t="s">
        <v>4214</v>
      </c>
      <c r="H435" s="32">
        <v>0.46875</v>
      </c>
      <c r="I435" s="29">
        <v>43815.541666666672</v>
      </c>
      <c r="J435" s="12" t="s">
        <v>3358</v>
      </c>
      <c r="K435" s="12">
        <v>1</v>
      </c>
      <c r="L435" s="12" t="s">
        <v>3393</v>
      </c>
      <c r="M435" s="12" t="s">
        <v>3591</v>
      </c>
      <c r="O435" s="12" t="s">
        <v>3475</v>
      </c>
      <c r="P435" s="12" t="s">
        <v>4146</v>
      </c>
      <c r="AE435" s="32">
        <v>0.38541666666424135</v>
      </c>
      <c r="AF435" s="35"/>
    </row>
    <row r="436" spans="1:32" ht="12.75">
      <c r="A436" s="29">
        <v>43815.506977905097</v>
      </c>
      <c r="B436" s="12" t="s">
        <v>3406</v>
      </c>
      <c r="C436" s="12" t="s">
        <v>3400</v>
      </c>
      <c r="D436" s="12" t="s">
        <v>3401</v>
      </c>
      <c r="E436" s="12" t="s">
        <v>3356</v>
      </c>
      <c r="F436" s="30">
        <v>43815</v>
      </c>
      <c r="G436" s="12" t="s">
        <v>3548</v>
      </c>
      <c r="H436" s="32">
        <v>0.61458333333575865</v>
      </c>
      <c r="J436" s="12" t="s">
        <v>3403</v>
      </c>
      <c r="L436" s="12" t="s">
        <v>3299</v>
      </c>
      <c r="M436" s="12" t="s">
        <v>3458</v>
      </c>
      <c r="N436" s="12" t="s">
        <v>4215</v>
      </c>
      <c r="O436" s="12" t="s">
        <v>3408</v>
      </c>
      <c r="P436" s="12" t="s">
        <v>4146</v>
      </c>
      <c r="AE436" s="32">
        <v>0.53125</v>
      </c>
      <c r="AF436" s="35"/>
    </row>
    <row r="437" spans="1:32" ht="12.75">
      <c r="A437" s="29">
        <v>43817.407601574072</v>
      </c>
      <c r="B437" s="12" t="s">
        <v>3390</v>
      </c>
      <c r="C437" s="12" t="s">
        <v>3391</v>
      </c>
      <c r="D437" s="12" t="s">
        <v>3589</v>
      </c>
      <c r="E437" s="12" t="s">
        <v>4216</v>
      </c>
      <c r="F437" s="30">
        <v>43817</v>
      </c>
      <c r="G437" s="12" t="s">
        <v>3465</v>
      </c>
      <c r="H437" s="32">
        <v>0.625</v>
      </c>
      <c r="I437" s="29">
        <v>43817.635416666672</v>
      </c>
      <c r="J437" s="12" t="s">
        <v>3331</v>
      </c>
      <c r="L437" s="12" t="s">
        <v>3393</v>
      </c>
      <c r="M437" s="12" t="s">
        <v>3591</v>
      </c>
      <c r="O437" s="12" t="s">
        <v>3946</v>
      </c>
      <c r="P437" s="12" t="s">
        <v>4146</v>
      </c>
      <c r="AE437" s="32">
        <v>0.45833333333575865</v>
      </c>
      <c r="AF437" s="35"/>
    </row>
    <row r="438" spans="1:32" ht="12.75">
      <c r="A438" s="29">
        <v>43818.407351851856</v>
      </c>
      <c r="B438" s="12" t="s">
        <v>4210</v>
      </c>
      <c r="C438" s="12" t="s">
        <v>3391</v>
      </c>
      <c r="D438" s="12" t="s">
        <v>3589</v>
      </c>
      <c r="E438" s="12" t="s">
        <v>3509</v>
      </c>
      <c r="F438" s="30">
        <v>43818</v>
      </c>
      <c r="G438" s="12" t="s">
        <v>4217</v>
      </c>
      <c r="H438" s="32">
        <v>0.48958333333575865</v>
      </c>
      <c r="I438" s="29">
        <v>43818.500694444447</v>
      </c>
      <c r="J438" s="12" t="s">
        <v>3331</v>
      </c>
      <c r="L438" s="12" t="s">
        <v>3393</v>
      </c>
      <c r="M438" s="12" t="s">
        <v>3454</v>
      </c>
      <c r="N438" s="12" t="s">
        <v>4124</v>
      </c>
      <c r="O438" s="12" t="s">
        <v>3429</v>
      </c>
      <c r="P438" s="12" t="s">
        <v>4146</v>
      </c>
      <c r="AE438" s="32">
        <v>0.42708333333575865</v>
      </c>
      <c r="AF438" s="35"/>
    </row>
    <row r="439" spans="1:32" ht="12.75">
      <c r="A439" s="29">
        <v>43818.426369803245</v>
      </c>
      <c r="B439" s="12" t="s">
        <v>3564</v>
      </c>
      <c r="C439" s="12" t="s">
        <v>4117</v>
      </c>
      <c r="D439" s="12" t="s">
        <v>3589</v>
      </c>
      <c r="E439" s="12" t="s">
        <v>3730</v>
      </c>
      <c r="F439" s="30">
        <v>43818</v>
      </c>
      <c r="G439" s="12" t="s">
        <v>4178</v>
      </c>
      <c r="H439" s="32">
        <v>0.58333333333575865</v>
      </c>
      <c r="I439" s="29">
        <v>43818.614583333328</v>
      </c>
      <c r="J439" s="12" t="s">
        <v>4123</v>
      </c>
      <c r="L439" s="12" t="s">
        <v>4151</v>
      </c>
      <c r="M439" s="12" t="s">
        <v>3379</v>
      </c>
      <c r="N439" s="12" t="s">
        <v>3490</v>
      </c>
      <c r="O439" s="12" t="s">
        <v>3381</v>
      </c>
      <c r="P439" s="12" t="s">
        <v>4146</v>
      </c>
      <c r="AE439" s="32">
        <v>0.45833333333575865</v>
      </c>
      <c r="AF439" s="35"/>
    </row>
    <row r="440" spans="1:32" ht="12.75">
      <c r="A440" s="29">
        <v>43819.586192766204</v>
      </c>
      <c r="B440" s="12" t="s">
        <v>3760</v>
      </c>
      <c r="C440" s="12" t="s">
        <v>4218</v>
      </c>
      <c r="D440" s="12" t="s">
        <v>3589</v>
      </c>
      <c r="E440" s="12" t="s">
        <v>4219</v>
      </c>
      <c r="F440" s="30">
        <v>43822</v>
      </c>
      <c r="G440" s="12" t="s">
        <v>3419</v>
      </c>
      <c r="H440" s="32">
        <v>0.35416666666424135</v>
      </c>
      <c r="I440" s="29">
        <v>43822.375</v>
      </c>
      <c r="J440" s="12" t="s">
        <v>3403</v>
      </c>
      <c r="L440" s="12" t="s">
        <v>3299</v>
      </c>
      <c r="M440" s="12" t="s">
        <v>3458</v>
      </c>
      <c r="N440" s="12" t="s">
        <v>3760</v>
      </c>
      <c r="O440" s="12" t="s">
        <v>3760</v>
      </c>
      <c r="P440" s="12" t="s">
        <v>4146</v>
      </c>
      <c r="AE440" s="32">
        <v>0.29166666666424135</v>
      </c>
      <c r="AF440" s="35"/>
    </row>
    <row r="441" spans="1:32" ht="12.75">
      <c r="A441" s="29">
        <v>43829.469452546298</v>
      </c>
      <c r="B441" s="12" t="s">
        <v>3760</v>
      </c>
      <c r="C441" s="12" t="s">
        <v>4218</v>
      </c>
      <c r="D441" s="12" t="s">
        <v>3589</v>
      </c>
      <c r="E441" s="12" t="s">
        <v>3419</v>
      </c>
      <c r="F441" s="30">
        <v>43829</v>
      </c>
      <c r="G441" s="12" t="s">
        <v>3419</v>
      </c>
      <c r="H441" s="32">
        <v>0.54166666666424135</v>
      </c>
      <c r="I441" s="29">
        <v>43829.552083333328</v>
      </c>
      <c r="J441" s="12" t="s">
        <v>3403</v>
      </c>
      <c r="L441" s="12" t="s">
        <v>3299</v>
      </c>
      <c r="M441" s="12" t="s">
        <v>3458</v>
      </c>
      <c r="O441" s="12" t="s">
        <v>3760</v>
      </c>
      <c r="P441" s="12" t="s">
        <v>4146</v>
      </c>
      <c r="AE441" s="32">
        <v>0.5</v>
      </c>
      <c r="AF441" s="35"/>
    </row>
    <row r="442" spans="1:32" ht="12.75">
      <c r="A442" s="29">
        <v>43835.622948981487</v>
      </c>
      <c r="B442" s="12" t="s">
        <v>4034</v>
      </c>
      <c r="C442" s="12" t="s">
        <v>4179</v>
      </c>
      <c r="D442" s="12" t="s">
        <v>3295</v>
      </c>
      <c r="E442" s="12" t="s">
        <v>3482</v>
      </c>
      <c r="F442" s="30">
        <v>43836</v>
      </c>
      <c r="G442" s="12" t="s">
        <v>3884</v>
      </c>
      <c r="H442" s="32">
        <v>0.66666666666424135</v>
      </c>
      <c r="I442" s="29">
        <v>43836.6875</v>
      </c>
      <c r="J442" s="12" t="s">
        <v>3366</v>
      </c>
      <c r="L442" s="12" t="s">
        <v>3299</v>
      </c>
      <c r="N442" s="12" t="s">
        <v>4124</v>
      </c>
      <c r="O442" s="12" t="s">
        <v>4034</v>
      </c>
      <c r="P442" s="12" t="s">
        <v>4146</v>
      </c>
      <c r="AC442" s="12" t="s">
        <v>4039</v>
      </c>
      <c r="AD442" s="12" t="s">
        <v>4039</v>
      </c>
    </row>
    <row r="443" spans="1:32" ht="12.75">
      <c r="A443" s="29">
        <v>43836.39580564815</v>
      </c>
      <c r="B443" s="12" t="s">
        <v>3372</v>
      </c>
      <c r="C443" s="12" t="s">
        <v>3383</v>
      </c>
      <c r="D443" s="12" t="s">
        <v>3589</v>
      </c>
      <c r="E443" s="12" t="s">
        <v>3911</v>
      </c>
      <c r="F443" s="30">
        <v>43836</v>
      </c>
      <c r="G443" s="12" t="s">
        <v>3941</v>
      </c>
      <c r="H443" s="32">
        <v>0.5625</v>
      </c>
      <c r="I443" s="29">
        <v>43836.583333333328</v>
      </c>
      <c r="J443" s="12" t="s">
        <v>4123</v>
      </c>
      <c r="L443" s="12" t="s">
        <v>3393</v>
      </c>
      <c r="M443" s="12" t="s">
        <v>3379</v>
      </c>
      <c r="N443" s="12" t="s">
        <v>4220</v>
      </c>
      <c r="O443" s="12" t="s">
        <v>3381</v>
      </c>
      <c r="P443" s="12" t="s">
        <v>4146</v>
      </c>
      <c r="AE443" s="32">
        <v>0.4375</v>
      </c>
      <c r="AF443" s="35"/>
    </row>
    <row r="444" spans="1:32" ht="12.75">
      <c r="A444" s="29">
        <v>43837.278942743054</v>
      </c>
      <c r="B444" s="12" t="s">
        <v>3760</v>
      </c>
      <c r="C444" s="12" t="s">
        <v>4218</v>
      </c>
      <c r="D444" s="12" t="s">
        <v>3589</v>
      </c>
      <c r="E444" s="12" t="s">
        <v>3419</v>
      </c>
      <c r="F444" s="30">
        <v>43837</v>
      </c>
      <c r="G444" s="12" t="s">
        <v>3419</v>
      </c>
      <c r="H444" s="32">
        <v>0.34375</v>
      </c>
      <c r="I444" s="29">
        <v>43837.354166666672</v>
      </c>
      <c r="J444" s="12" t="s">
        <v>3403</v>
      </c>
      <c r="L444" s="12" t="s">
        <v>3299</v>
      </c>
      <c r="M444" s="12" t="s">
        <v>3454</v>
      </c>
      <c r="O444" s="12" t="s">
        <v>3760</v>
      </c>
      <c r="P444" s="12" t="s">
        <v>4146</v>
      </c>
      <c r="AE444" s="32">
        <v>0.29166666666424135</v>
      </c>
      <c r="AF444" s="35"/>
    </row>
    <row r="445" spans="1:32" ht="12.75">
      <c r="A445" s="29">
        <v>43838.407041770828</v>
      </c>
      <c r="B445" s="12" t="s">
        <v>3470</v>
      </c>
      <c r="C445" s="12" t="s">
        <v>3683</v>
      </c>
      <c r="D445" s="12" t="s">
        <v>3589</v>
      </c>
      <c r="E445" s="12" t="s">
        <v>3637</v>
      </c>
      <c r="F445" s="30">
        <v>43838</v>
      </c>
      <c r="G445" s="12" t="s">
        <v>4089</v>
      </c>
      <c r="H445" s="32">
        <v>0.54166666666424135</v>
      </c>
      <c r="I445" s="29">
        <v>43838.583333333328</v>
      </c>
      <c r="J445" s="12" t="s">
        <v>3331</v>
      </c>
      <c r="L445" s="12" t="s">
        <v>3393</v>
      </c>
      <c r="M445" s="12" t="s">
        <v>3591</v>
      </c>
      <c r="O445" s="12" t="s">
        <v>3475</v>
      </c>
      <c r="P445" s="12" t="s">
        <v>4146</v>
      </c>
      <c r="AE445" s="32">
        <v>0.40625</v>
      </c>
      <c r="AF445" s="35"/>
    </row>
    <row r="446" spans="1:32" ht="12.75">
      <c r="A446" s="29">
        <v>43839.576384143518</v>
      </c>
      <c r="B446" s="12" t="s">
        <v>3760</v>
      </c>
      <c r="C446" s="12" t="s">
        <v>4218</v>
      </c>
      <c r="D446" s="12" t="s">
        <v>3589</v>
      </c>
      <c r="E446" s="12" t="s">
        <v>3419</v>
      </c>
      <c r="F446" s="30">
        <v>43840</v>
      </c>
      <c r="G446" s="12" t="s">
        <v>3419</v>
      </c>
      <c r="H446" s="32">
        <v>0.94791666666424135</v>
      </c>
      <c r="I446" s="29">
        <v>43840.583333333328</v>
      </c>
      <c r="J446" s="12" t="s">
        <v>3403</v>
      </c>
      <c r="L446" s="12" t="s">
        <v>3299</v>
      </c>
      <c r="M446" s="12" t="s">
        <v>3458</v>
      </c>
      <c r="O446" s="12" t="s">
        <v>3760</v>
      </c>
      <c r="P446" s="12" t="s">
        <v>4146</v>
      </c>
      <c r="AE446" s="32">
        <v>0.39583333333575865</v>
      </c>
      <c r="AF446" s="35"/>
    </row>
    <row r="447" spans="1:32" ht="12.75">
      <c r="A447" s="29">
        <v>43842.903670706015</v>
      </c>
      <c r="B447" s="12" t="s">
        <v>3399</v>
      </c>
      <c r="C447" s="12" t="s">
        <v>3400</v>
      </c>
      <c r="D447" s="12" t="s">
        <v>3401</v>
      </c>
      <c r="E447" s="12" t="s">
        <v>4087</v>
      </c>
      <c r="F447" s="30">
        <v>43843</v>
      </c>
      <c r="G447" s="12" t="s">
        <v>4057</v>
      </c>
      <c r="H447" s="32">
        <v>0.625</v>
      </c>
      <c r="J447" s="12" t="s">
        <v>4123</v>
      </c>
      <c r="L447" s="12" t="s">
        <v>4221</v>
      </c>
      <c r="M447" s="12" t="s">
        <v>3580</v>
      </c>
      <c r="N447" s="12" t="s">
        <v>4152</v>
      </c>
      <c r="O447" s="12" t="s">
        <v>3408</v>
      </c>
      <c r="P447" s="12" t="s">
        <v>4146</v>
      </c>
      <c r="AE447" s="32">
        <v>0.4375</v>
      </c>
      <c r="AF447" s="35"/>
    </row>
    <row r="448" spans="1:32" ht="12.75">
      <c r="A448" s="29">
        <v>43843.394854999999</v>
      </c>
      <c r="B448" s="12" t="s">
        <v>3390</v>
      </c>
      <c r="C448" s="12" t="s">
        <v>3391</v>
      </c>
      <c r="D448" s="12" t="s">
        <v>3589</v>
      </c>
      <c r="E448" s="12" t="s">
        <v>3834</v>
      </c>
      <c r="F448" s="30">
        <v>43843</v>
      </c>
      <c r="G448" s="12" t="s">
        <v>3465</v>
      </c>
      <c r="H448" s="32">
        <v>0.61458333333575865</v>
      </c>
      <c r="I448" s="29">
        <v>43843.635416666672</v>
      </c>
      <c r="J448" s="12" t="s">
        <v>3377</v>
      </c>
      <c r="L448" s="12" t="s">
        <v>3299</v>
      </c>
      <c r="M448" s="12" t="s">
        <v>3454</v>
      </c>
      <c r="N448" s="12" t="s">
        <v>4222</v>
      </c>
      <c r="O448" s="12" t="s">
        <v>3429</v>
      </c>
      <c r="P448" s="12" t="s">
        <v>4146</v>
      </c>
      <c r="AE448" s="32">
        <v>0.39930555555474712</v>
      </c>
      <c r="AF448" s="35"/>
    </row>
    <row r="449" spans="1:32" ht="12.75">
      <c r="A449" s="29">
        <v>43843.415392407405</v>
      </c>
      <c r="B449" s="12" t="s">
        <v>3564</v>
      </c>
      <c r="C449" s="12" t="s">
        <v>4117</v>
      </c>
      <c r="D449" s="12" t="s">
        <v>3589</v>
      </c>
      <c r="E449" s="12" t="s">
        <v>3730</v>
      </c>
      <c r="F449" s="30">
        <v>43843</v>
      </c>
      <c r="G449" s="12" t="s">
        <v>4223</v>
      </c>
      <c r="H449" s="32">
        <v>4.1666666664241347E-2</v>
      </c>
      <c r="I449" s="29">
        <v>43843.25</v>
      </c>
      <c r="J449" s="12" t="s">
        <v>3331</v>
      </c>
      <c r="L449" s="12" t="s">
        <v>4121</v>
      </c>
      <c r="M449" s="12" t="s">
        <v>3379</v>
      </c>
      <c r="N449" s="12" t="s">
        <v>4224</v>
      </c>
      <c r="O449" s="12" t="s">
        <v>4067</v>
      </c>
      <c r="P449" s="12" t="s">
        <v>4146</v>
      </c>
      <c r="AE449" s="32">
        <v>0.3125</v>
      </c>
      <c r="AF449" s="35"/>
    </row>
    <row r="450" spans="1:32" ht="12.75">
      <c r="A450" s="29">
        <v>43844.302604293982</v>
      </c>
      <c r="B450" s="12" t="s">
        <v>3417</v>
      </c>
      <c r="C450" s="12" t="s">
        <v>3639</v>
      </c>
      <c r="D450" s="12" t="s">
        <v>3589</v>
      </c>
      <c r="E450" s="12" t="s">
        <v>4225</v>
      </c>
      <c r="F450" s="30">
        <v>43844</v>
      </c>
      <c r="G450" s="12" t="s">
        <v>4226</v>
      </c>
      <c r="H450" s="32">
        <v>0.625</v>
      </c>
      <c r="I450" s="29">
        <v>43844.666666666672</v>
      </c>
      <c r="J450" s="12" t="s">
        <v>3331</v>
      </c>
      <c r="L450" s="12" t="s">
        <v>4121</v>
      </c>
      <c r="M450" s="12" t="s">
        <v>3379</v>
      </c>
      <c r="N450" s="12" t="s">
        <v>4227</v>
      </c>
      <c r="O450" s="12" t="s">
        <v>3381</v>
      </c>
      <c r="P450" s="12" t="s">
        <v>4146</v>
      </c>
      <c r="AE450" s="32">
        <v>0.29166666666424135</v>
      </c>
      <c r="AF450" s="35"/>
    </row>
    <row r="451" spans="1:32" ht="12.75">
      <c r="A451" s="29">
        <v>43845.421577083333</v>
      </c>
      <c r="B451" s="12" t="s">
        <v>4109</v>
      </c>
      <c r="C451" s="12" t="s">
        <v>4092</v>
      </c>
      <c r="D451" s="12" t="s">
        <v>3589</v>
      </c>
      <c r="E451" s="12" t="s">
        <v>4100</v>
      </c>
      <c r="F451" s="30">
        <v>43845</v>
      </c>
      <c r="G451" s="12" t="s">
        <v>4228</v>
      </c>
      <c r="H451" s="32">
        <v>0.5</v>
      </c>
      <c r="I451" s="29">
        <v>43845.583333333328</v>
      </c>
      <c r="J451" s="12" t="s">
        <v>3377</v>
      </c>
      <c r="L451" s="12" t="s">
        <v>3299</v>
      </c>
      <c r="M451" s="12" t="s">
        <v>3379</v>
      </c>
      <c r="N451" s="12" t="s">
        <v>4229</v>
      </c>
      <c r="O451" s="12" t="s">
        <v>4067</v>
      </c>
      <c r="P451" s="12" t="s">
        <v>4146</v>
      </c>
      <c r="AE451" s="32">
        <v>0.41666666666424135</v>
      </c>
      <c r="AF451" s="35"/>
    </row>
    <row r="452" spans="1:32" ht="12.75">
      <c r="A452" s="29">
        <v>43846.399611701388</v>
      </c>
      <c r="B452" s="12" t="s">
        <v>4210</v>
      </c>
      <c r="C452" s="12" t="s">
        <v>3391</v>
      </c>
      <c r="D452" s="12" t="s">
        <v>3589</v>
      </c>
      <c r="E452" s="12" t="s">
        <v>4115</v>
      </c>
      <c r="F452" s="30">
        <v>43846</v>
      </c>
      <c r="G452" s="12" t="s">
        <v>4230</v>
      </c>
      <c r="H452" s="32">
        <v>0.66666666666424135</v>
      </c>
      <c r="I452" s="29">
        <v>43846.6875</v>
      </c>
      <c r="J452" s="12" t="s">
        <v>3331</v>
      </c>
      <c r="L452" s="12" t="s">
        <v>3393</v>
      </c>
      <c r="M452" s="12" t="s">
        <v>3454</v>
      </c>
      <c r="N452" s="12" t="s">
        <v>4231</v>
      </c>
      <c r="O452" s="12" t="s">
        <v>3429</v>
      </c>
      <c r="P452" s="12" t="s">
        <v>4146</v>
      </c>
      <c r="AE452" s="32">
        <v>0.45833333333575865</v>
      </c>
      <c r="AF452" s="35"/>
    </row>
    <row r="453" spans="1:32" ht="12.75">
      <c r="A453" s="29">
        <v>43847.289271388887</v>
      </c>
      <c r="B453" s="12" t="s">
        <v>3406</v>
      </c>
      <c r="C453" s="12" t="s">
        <v>3400</v>
      </c>
      <c r="D453" s="12" t="s">
        <v>3401</v>
      </c>
      <c r="E453" s="12" t="s">
        <v>4001</v>
      </c>
      <c r="F453" s="30">
        <v>43847</v>
      </c>
      <c r="G453" s="12" t="s">
        <v>4232</v>
      </c>
      <c r="H453" s="32">
        <v>0.58333333333575865</v>
      </c>
      <c r="J453" s="12" t="s">
        <v>3377</v>
      </c>
      <c r="L453" s="12" t="s">
        <v>4221</v>
      </c>
      <c r="M453" s="12" t="s">
        <v>3580</v>
      </c>
      <c r="N453" s="12" t="s">
        <v>4233</v>
      </c>
      <c r="O453" s="12" t="s">
        <v>3408</v>
      </c>
      <c r="P453" s="12" t="s">
        <v>4146</v>
      </c>
      <c r="AE453" s="32">
        <v>0.375</v>
      </c>
      <c r="AF453" s="35"/>
    </row>
    <row r="454" spans="1:32" ht="12.75">
      <c r="A454" s="29">
        <v>43853.487166585648</v>
      </c>
      <c r="B454" s="12" t="s">
        <v>3417</v>
      </c>
      <c r="C454" s="12" t="s">
        <v>4061</v>
      </c>
      <c r="D454" s="12" t="s">
        <v>3589</v>
      </c>
      <c r="E454" s="12" t="s">
        <v>3599</v>
      </c>
      <c r="F454" s="30">
        <v>43853</v>
      </c>
      <c r="G454" s="12" t="s">
        <v>4052</v>
      </c>
      <c r="H454" s="32">
        <v>0.6875</v>
      </c>
      <c r="I454" s="29">
        <v>43853.729166666672</v>
      </c>
      <c r="J454" s="12" t="s">
        <v>3331</v>
      </c>
      <c r="L454" s="12" t="s">
        <v>3393</v>
      </c>
      <c r="M454" s="12" t="s">
        <v>3379</v>
      </c>
      <c r="N454" s="12" t="s">
        <v>4234</v>
      </c>
      <c r="O454" s="12" t="s">
        <v>3381</v>
      </c>
      <c r="P454" s="12" t="s">
        <v>4146</v>
      </c>
      <c r="AE454" s="32">
        <v>0.54166666666424135</v>
      </c>
      <c r="AF454" s="35"/>
    </row>
    <row r="455" spans="1:32" ht="12.75">
      <c r="A455" s="29">
        <v>43854.464147673614</v>
      </c>
      <c r="B455" s="12" t="s">
        <v>3417</v>
      </c>
      <c r="C455" s="12" t="s">
        <v>4061</v>
      </c>
      <c r="D455" s="12" t="s">
        <v>3589</v>
      </c>
      <c r="E455" s="12" t="s">
        <v>3482</v>
      </c>
      <c r="F455" s="30">
        <v>43854</v>
      </c>
      <c r="G455" s="12" t="s">
        <v>4235</v>
      </c>
      <c r="H455" s="32">
        <v>0.6875</v>
      </c>
      <c r="I455" s="29">
        <v>43854.708333333328</v>
      </c>
      <c r="J455" s="12" t="s">
        <v>3331</v>
      </c>
      <c r="L455" s="12" t="s">
        <v>3393</v>
      </c>
      <c r="M455" s="12" t="s">
        <v>3379</v>
      </c>
      <c r="N455" s="12" t="s">
        <v>4236</v>
      </c>
      <c r="O455" s="12" t="s">
        <v>3381</v>
      </c>
      <c r="P455" s="12" t="s">
        <v>4146</v>
      </c>
      <c r="AE455" s="32">
        <v>0.5625</v>
      </c>
      <c r="AF455" s="35"/>
    </row>
    <row r="456" spans="1:32" ht="12.75">
      <c r="A456" s="29">
        <v>43858.341828611112</v>
      </c>
      <c r="B456" s="12" t="s">
        <v>3390</v>
      </c>
      <c r="C456" s="12" t="s">
        <v>3391</v>
      </c>
      <c r="D456" s="12" t="s">
        <v>3589</v>
      </c>
      <c r="E456" s="12" t="s">
        <v>3834</v>
      </c>
      <c r="F456" s="30">
        <v>43858</v>
      </c>
      <c r="G456" s="12" t="s">
        <v>3465</v>
      </c>
      <c r="H456" s="32">
        <v>0.60416666666424135</v>
      </c>
      <c r="I456" s="29">
        <v>43858.645833333328</v>
      </c>
      <c r="J456" s="12" t="s">
        <v>3331</v>
      </c>
      <c r="L456" s="12" t="s">
        <v>3393</v>
      </c>
      <c r="M456" s="12" t="s">
        <v>4032</v>
      </c>
      <c r="O456" s="12" t="s">
        <v>3390</v>
      </c>
      <c r="P456" s="12" t="s">
        <v>4146</v>
      </c>
      <c r="AE456" s="32">
        <v>0.39583333333575865</v>
      </c>
      <c r="AF456" s="35"/>
    </row>
    <row r="457" spans="1:32" ht="12.75">
      <c r="A457" s="29">
        <v>43858.362899456013</v>
      </c>
      <c r="B457" s="12" t="s">
        <v>3406</v>
      </c>
      <c r="C457" s="12" t="s">
        <v>3400</v>
      </c>
      <c r="D457" s="12" t="s">
        <v>3401</v>
      </c>
      <c r="E457" s="12" t="s">
        <v>3356</v>
      </c>
      <c r="F457" s="30">
        <v>43858</v>
      </c>
      <c r="G457" s="12" t="s">
        <v>4237</v>
      </c>
      <c r="H457" s="32">
        <v>0.625</v>
      </c>
      <c r="J457" s="12" t="s">
        <v>4238</v>
      </c>
      <c r="L457" s="12" t="s">
        <v>4221</v>
      </c>
      <c r="M457" s="12" t="s">
        <v>3458</v>
      </c>
      <c r="N457" s="12" t="s">
        <v>3760</v>
      </c>
      <c r="O457" s="12" t="s">
        <v>3408</v>
      </c>
      <c r="P457" s="12" t="s">
        <v>4146</v>
      </c>
      <c r="AE457" s="32">
        <v>0.39583333333575865</v>
      </c>
      <c r="AF457" s="35"/>
    </row>
    <row r="458" spans="1:32" ht="12.75">
      <c r="A458" s="29">
        <v>43861.261216990737</v>
      </c>
      <c r="B458" s="12" t="s">
        <v>3417</v>
      </c>
      <c r="C458" s="12" t="s">
        <v>4061</v>
      </c>
      <c r="D458" s="12" t="s">
        <v>3589</v>
      </c>
      <c r="E458" s="12" t="s">
        <v>4239</v>
      </c>
      <c r="F458" s="30">
        <v>43861</v>
      </c>
      <c r="G458" s="12" t="s">
        <v>4240</v>
      </c>
      <c r="H458" s="32">
        <v>0.45833333333575865</v>
      </c>
      <c r="I458" s="29">
        <v>43861.625</v>
      </c>
      <c r="J458" s="12" t="s">
        <v>3331</v>
      </c>
      <c r="L458" s="12" t="s">
        <v>3393</v>
      </c>
      <c r="M458" s="12" t="s">
        <v>3379</v>
      </c>
      <c r="N458" s="12" t="s">
        <v>4241</v>
      </c>
      <c r="O458" s="12" t="s">
        <v>3381</v>
      </c>
      <c r="P458" s="12" t="s">
        <v>4146</v>
      </c>
      <c r="AE458" s="32">
        <v>0.29166666666424135</v>
      </c>
      <c r="AF458" s="35"/>
    </row>
    <row r="459" spans="1:32" ht="12.75">
      <c r="A459" s="29">
        <v>43863.646960520833</v>
      </c>
      <c r="B459" s="12" t="s">
        <v>4034</v>
      </c>
      <c r="C459" s="12" t="s">
        <v>4179</v>
      </c>
      <c r="D459" s="12" t="s">
        <v>3295</v>
      </c>
      <c r="E459" s="12" t="s">
        <v>3482</v>
      </c>
      <c r="F459" s="30">
        <v>43864</v>
      </c>
      <c r="G459" s="12" t="s">
        <v>4242</v>
      </c>
      <c r="H459" s="32">
        <v>0.66666666666424135</v>
      </c>
      <c r="I459" s="29">
        <v>43864.1875</v>
      </c>
      <c r="J459" s="12" t="s">
        <v>3331</v>
      </c>
      <c r="L459" s="12" t="s">
        <v>3299</v>
      </c>
      <c r="M459" s="12" t="s">
        <v>4034</v>
      </c>
      <c r="N459" s="12" t="s">
        <v>4243</v>
      </c>
      <c r="O459" s="12" t="s">
        <v>4034</v>
      </c>
      <c r="P459" s="12" t="s">
        <v>4146</v>
      </c>
      <c r="AC459" s="12" t="s">
        <v>4244</v>
      </c>
      <c r="AD459" s="12" t="s">
        <v>4244</v>
      </c>
      <c r="AE459" s="32">
        <v>0.32291666666424135</v>
      </c>
      <c r="AF459" s="35"/>
    </row>
    <row r="460" spans="1:32" ht="12.75">
      <c r="A460" s="29">
        <v>43863.809528495374</v>
      </c>
      <c r="B460" s="12" t="s">
        <v>3399</v>
      </c>
      <c r="C460" s="12" t="s">
        <v>3400</v>
      </c>
      <c r="D460" s="12" t="s">
        <v>3401</v>
      </c>
      <c r="E460" s="12" t="s">
        <v>4245</v>
      </c>
      <c r="F460" s="30">
        <v>43864</v>
      </c>
      <c r="G460" s="12" t="s">
        <v>4246</v>
      </c>
      <c r="H460" s="32">
        <v>0.625</v>
      </c>
      <c r="J460" s="12" t="s">
        <v>3377</v>
      </c>
      <c r="L460" s="12" t="s">
        <v>4221</v>
      </c>
      <c r="M460" s="12" t="s">
        <v>3458</v>
      </c>
      <c r="N460" s="12" t="s">
        <v>3680</v>
      </c>
      <c r="O460" s="12" t="s">
        <v>3408</v>
      </c>
      <c r="P460" s="12" t="s">
        <v>4146</v>
      </c>
      <c r="AE460" s="32">
        <v>0.4375</v>
      </c>
      <c r="AF460" s="35"/>
    </row>
    <row r="461" spans="1:32" ht="12.75">
      <c r="A461" s="29">
        <v>43864.330857615743</v>
      </c>
      <c r="B461" s="12" t="s">
        <v>3417</v>
      </c>
      <c r="C461" s="12" t="s">
        <v>4061</v>
      </c>
      <c r="D461" s="12" t="s">
        <v>3589</v>
      </c>
      <c r="E461" s="12" t="s">
        <v>3911</v>
      </c>
      <c r="F461" s="30">
        <v>43864</v>
      </c>
      <c r="G461" s="12" t="s">
        <v>4247</v>
      </c>
      <c r="H461" s="32">
        <v>0.47916666666424135</v>
      </c>
      <c r="I461" s="29">
        <v>43864.5</v>
      </c>
      <c r="J461" s="12" t="s">
        <v>3331</v>
      </c>
      <c r="L461" s="12" t="s">
        <v>3393</v>
      </c>
      <c r="M461" s="12" t="s">
        <v>3379</v>
      </c>
      <c r="N461" s="12" t="s">
        <v>4248</v>
      </c>
      <c r="O461" s="12" t="s">
        <v>3381</v>
      </c>
      <c r="P461" s="12" t="s">
        <v>4146</v>
      </c>
      <c r="AE461" s="32">
        <v>0.35416666666424135</v>
      </c>
      <c r="AF461" s="35"/>
    </row>
    <row r="462" spans="1:32" ht="12.75">
      <c r="A462" s="29">
        <v>43865.370487812499</v>
      </c>
      <c r="B462" s="12" t="s">
        <v>3417</v>
      </c>
      <c r="C462" s="12" t="s">
        <v>259</v>
      </c>
      <c r="D462" s="12" t="s">
        <v>3589</v>
      </c>
      <c r="E462" s="12" t="s">
        <v>3911</v>
      </c>
      <c r="F462" s="30">
        <v>43865</v>
      </c>
      <c r="G462" s="12" t="s">
        <v>3964</v>
      </c>
      <c r="H462" s="32">
        <v>0.52083333333575865</v>
      </c>
      <c r="I462" s="29">
        <v>43865.541666666672</v>
      </c>
      <c r="J462" s="12" t="s">
        <v>3331</v>
      </c>
      <c r="L462" s="12" t="s">
        <v>3393</v>
      </c>
      <c r="M462" s="12" t="s">
        <v>3379</v>
      </c>
      <c r="N462" s="12" t="s">
        <v>4249</v>
      </c>
      <c r="O462" s="12" t="s">
        <v>3381</v>
      </c>
      <c r="P462" s="12" t="s">
        <v>4146</v>
      </c>
      <c r="AE462" s="32">
        <v>0.39583333333575865</v>
      </c>
      <c r="AF462" s="35"/>
    </row>
    <row r="463" spans="1:32" ht="12.75">
      <c r="A463" s="29">
        <v>43867.463524675928</v>
      </c>
      <c r="B463" s="12" t="s">
        <v>3417</v>
      </c>
      <c r="C463" s="12" t="s">
        <v>259</v>
      </c>
      <c r="D463" s="12" t="s">
        <v>3589</v>
      </c>
      <c r="E463" s="12" t="s">
        <v>4250</v>
      </c>
      <c r="F463" s="30">
        <v>43867</v>
      </c>
      <c r="G463" s="12" t="s">
        <v>4251</v>
      </c>
      <c r="H463" s="32">
        <v>0.625</v>
      </c>
      <c r="I463" s="29">
        <v>43867.645833333328</v>
      </c>
      <c r="J463" s="12" t="s">
        <v>3331</v>
      </c>
      <c r="L463" s="12" t="s">
        <v>3393</v>
      </c>
      <c r="M463" s="12" t="s">
        <v>3379</v>
      </c>
      <c r="N463" s="12" t="s">
        <v>4252</v>
      </c>
      <c r="O463" s="12" t="s">
        <v>3381</v>
      </c>
      <c r="P463" s="12" t="s">
        <v>4146</v>
      </c>
      <c r="AE463" s="32">
        <v>0.47916666666424135</v>
      </c>
      <c r="AF463" s="35"/>
    </row>
    <row r="464" spans="1:32" ht="12.75">
      <c r="A464" s="29">
        <v>43868.480519293982</v>
      </c>
      <c r="B464" s="12" t="s">
        <v>3372</v>
      </c>
      <c r="C464" s="12" t="s">
        <v>4061</v>
      </c>
      <c r="D464" s="12" t="s">
        <v>3589</v>
      </c>
      <c r="E464" s="12" t="s">
        <v>3920</v>
      </c>
      <c r="F464" s="30">
        <v>43868</v>
      </c>
      <c r="G464" s="12" t="s">
        <v>4235</v>
      </c>
      <c r="H464" s="32">
        <v>0.64583333333575865</v>
      </c>
      <c r="I464" s="29">
        <v>43868.666666666672</v>
      </c>
      <c r="J464" s="12" t="s">
        <v>3331</v>
      </c>
      <c r="L464" s="12" t="s">
        <v>3393</v>
      </c>
      <c r="M464" s="12" t="s">
        <v>3379</v>
      </c>
      <c r="N464" s="12" t="s">
        <v>4253</v>
      </c>
      <c r="O464" s="12" t="s">
        <v>3381</v>
      </c>
      <c r="P464" s="12" t="s">
        <v>4146</v>
      </c>
      <c r="AE464" s="32">
        <v>0.51041666666424135</v>
      </c>
      <c r="AF464" s="35"/>
    </row>
    <row r="465" spans="1:32" ht="12.75">
      <c r="A465" s="29">
        <v>43871.28128048611</v>
      </c>
      <c r="B465" s="12" t="s">
        <v>3399</v>
      </c>
      <c r="C465" s="12" t="s">
        <v>3400</v>
      </c>
      <c r="D465" s="12" t="s">
        <v>3401</v>
      </c>
      <c r="E465" s="12" t="s">
        <v>4254</v>
      </c>
      <c r="F465" s="30">
        <v>43871</v>
      </c>
      <c r="G465" s="12" t="s">
        <v>4057</v>
      </c>
      <c r="H465" s="32">
        <v>0.625</v>
      </c>
      <c r="J465" s="12" t="s">
        <v>4123</v>
      </c>
      <c r="L465" s="12" t="s">
        <v>4221</v>
      </c>
      <c r="M465" s="12" t="s">
        <v>3580</v>
      </c>
      <c r="N465" s="12" t="s">
        <v>4255</v>
      </c>
      <c r="O465" s="12" t="s">
        <v>3408</v>
      </c>
      <c r="P465" s="12" t="s">
        <v>4146</v>
      </c>
      <c r="AE465" s="32">
        <v>0.41666666666424135</v>
      </c>
      <c r="AF465" s="35"/>
    </row>
    <row r="466" spans="1:32" ht="12.75">
      <c r="A466" s="29">
        <v>43871.37630462963</v>
      </c>
      <c r="B466" s="12" t="s">
        <v>3760</v>
      </c>
      <c r="C466" s="12" t="s">
        <v>4218</v>
      </c>
      <c r="D466" s="12" t="s">
        <v>3631</v>
      </c>
      <c r="E466" s="12" t="s">
        <v>4219</v>
      </c>
      <c r="F466" s="30">
        <v>43871</v>
      </c>
      <c r="G466" s="12" t="s">
        <v>3419</v>
      </c>
      <c r="H466" s="32">
        <v>0.5</v>
      </c>
      <c r="I466" s="29">
        <v>43871.520833333328</v>
      </c>
      <c r="J466" s="12" t="s">
        <v>3403</v>
      </c>
      <c r="L466" s="12" t="s">
        <v>4151</v>
      </c>
      <c r="M466" s="12" t="s">
        <v>3307</v>
      </c>
      <c r="N466" s="12" t="s">
        <v>4256</v>
      </c>
      <c r="O466" s="12" t="s">
        <v>4257</v>
      </c>
      <c r="P466" s="12" t="s">
        <v>4146</v>
      </c>
      <c r="AE466" s="32">
        <v>0.41666666666424135</v>
      </c>
      <c r="AF466" s="35"/>
    </row>
    <row r="467" spans="1:32" ht="12.75">
      <c r="A467" s="29">
        <v>43871.565910486112</v>
      </c>
      <c r="B467" s="12" t="s">
        <v>4210</v>
      </c>
      <c r="C467" s="12" t="s">
        <v>3391</v>
      </c>
      <c r="D467" s="12" t="s">
        <v>3589</v>
      </c>
      <c r="E467" s="12" t="s">
        <v>3834</v>
      </c>
      <c r="F467" s="30">
        <v>43872</v>
      </c>
      <c r="G467" s="12" t="s">
        <v>3465</v>
      </c>
      <c r="H467" s="32">
        <v>0.60416666666424135</v>
      </c>
      <c r="I467" s="29">
        <v>43872.625</v>
      </c>
      <c r="J467" s="12" t="s">
        <v>3377</v>
      </c>
      <c r="L467" s="12" t="s">
        <v>3299</v>
      </c>
      <c r="M467" s="12" t="s">
        <v>3454</v>
      </c>
      <c r="N467" s="12" t="s">
        <v>4258</v>
      </c>
      <c r="O467" s="12" t="s">
        <v>3767</v>
      </c>
      <c r="P467" s="12" t="s">
        <v>4146</v>
      </c>
      <c r="AE467" s="32">
        <v>0.39583333333575865</v>
      </c>
      <c r="AF467" s="35"/>
    </row>
    <row r="468" spans="1:32" ht="12.75">
      <c r="A468" s="29">
        <v>43874.46721422454</v>
      </c>
      <c r="B468" s="12" t="s">
        <v>4210</v>
      </c>
      <c r="C468" s="12" t="s">
        <v>3391</v>
      </c>
      <c r="D468" s="12" t="s">
        <v>3295</v>
      </c>
      <c r="E468" s="12" t="s">
        <v>4026</v>
      </c>
      <c r="F468" s="30">
        <v>43874</v>
      </c>
      <c r="G468" s="12" t="s">
        <v>4259</v>
      </c>
      <c r="H468" s="32">
        <v>0.66666666666424135</v>
      </c>
      <c r="I468" s="29">
        <v>43874.6875</v>
      </c>
      <c r="J468" s="12" t="s">
        <v>3331</v>
      </c>
      <c r="L468" s="12" t="s">
        <v>3393</v>
      </c>
      <c r="M468" s="12" t="s">
        <v>3591</v>
      </c>
      <c r="N468" s="12" t="s">
        <v>4260</v>
      </c>
      <c r="O468" s="12" t="s">
        <v>3767</v>
      </c>
      <c r="P468" s="12" t="s">
        <v>4146</v>
      </c>
      <c r="AE468" s="32">
        <v>0.50069444444670808</v>
      </c>
      <c r="AF468" s="35"/>
    </row>
    <row r="469" spans="1:32" ht="12.75">
      <c r="A469" s="29">
        <v>43875.305054895834</v>
      </c>
      <c r="B469" s="12" t="s">
        <v>3417</v>
      </c>
      <c r="C469" s="12" t="s">
        <v>4261</v>
      </c>
      <c r="D469" s="12" t="s">
        <v>3881</v>
      </c>
      <c r="E469" s="12" t="s">
        <v>4239</v>
      </c>
      <c r="F469" s="30">
        <v>43875</v>
      </c>
      <c r="G469" s="12" t="s">
        <v>4262</v>
      </c>
      <c r="H469" s="32">
        <v>0.45833333333575865</v>
      </c>
      <c r="I469" s="29">
        <v>43875.5</v>
      </c>
      <c r="J469" s="12" t="s">
        <v>4123</v>
      </c>
      <c r="L469" s="12" t="s">
        <v>3299</v>
      </c>
      <c r="M469" s="12" t="s">
        <v>3379</v>
      </c>
      <c r="N469" s="12" t="s">
        <v>4263</v>
      </c>
      <c r="O469" s="12" t="s">
        <v>3381</v>
      </c>
      <c r="P469" s="12" t="s">
        <v>4146</v>
      </c>
      <c r="AE469" s="32">
        <v>0.3125</v>
      </c>
      <c r="AF469" s="35"/>
    </row>
    <row r="470" spans="1:32" ht="12.75">
      <c r="A470" s="29">
        <v>43878.328013159728</v>
      </c>
      <c r="B470" s="12" t="s">
        <v>3372</v>
      </c>
      <c r="C470" s="12" t="s">
        <v>259</v>
      </c>
      <c r="D470" s="12" t="s">
        <v>3631</v>
      </c>
      <c r="E470" s="12" t="s">
        <v>3296</v>
      </c>
      <c r="F470" s="30">
        <v>43878</v>
      </c>
      <c r="G470" s="12" t="s">
        <v>4251</v>
      </c>
      <c r="H470" s="32">
        <v>0.52083333333575865</v>
      </c>
      <c r="I470" s="29">
        <v>43878.541666666672</v>
      </c>
      <c r="J470" s="12" t="s">
        <v>3331</v>
      </c>
      <c r="L470" s="12" t="s">
        <v>3393</v>
      </c>
      <c r="M470" s="12" t="s">
        <v>3379</v>
      </c>
      <c r="N470" s="12" t="s">
        <v>4264</v>
      </c>
      <c r="O470" s="12" t="s">
        <v>3381</v>
      </c>
      <c r="P470" s="12" t="s">
        <v>4146</v>
      </c>
      <c r="AE470" s="32">
        <v>0.35416666666424135</v>
      </c>
      <c r="AF470" s="35"/>
    </row>
    <row r="471" spans="1:32" ht="12.75">
      <c r="A471" s="29">
        <v>43878.383327187505</v>
      </c>
      <c r="B471" s="12" t="s">
        <v>3399</v>
      </c>
      <c r="C471" s="12" t="s">
        <v>3400</v>
      </c>
      <c r="D471" s="12" t="s">
        <v>3401</v>
      </c>
      <c r="E471" s="12" t="s">
        <v>4265</v>
      </c>
      <c r="F471" s="30">
        <v>43878</v>
      </c>
      <c r="G471" s="12" t="s">
        <v>4266</v>
      </c>
      <c r="H471" s="32">
        <v>0.66666666666424135</v>
      </c>
      <c r="J471" s="12" t="s">
        <v>3377</v>
      </c>
      <c r="L471" s="12" t="s">
        <v>4221</v>
      </c>
      <c r="M471" s="12" t="s">
        <v>3458</v>
      </c>
      <c r="N471" s="12" t="s">
        <v>4267</v>
      </c>
      <c r="O471" s="12" t="s">
        <v>3408</v>
      </c>
      <c r="P471" s="12" t="s">
        <v>4146</v>
      </c>
      <c r="AE471" s="32">
        <v>0.5</v>
      </c>
      <c r="AF471" s="35"/>
    </row>
    <row r="472" spans="1:32" ht="12.75">
      <c r="A472" s="29">
        <v>43879.378926134261</v>
      </c>
      <c r="B472" s="12" t="s">
        <v>3417</v>
      </c>
      <c r="C472" s="12" t="s">
        <v>259</v>
      </c>
      <c r="D472" s="12" t="s">
        <v>3589</v>
      </c>
      <c r="E472" s="12" t="s">
        <v>3296</v>
      </c>
      <c r="F472" s="30">
        <v>43879</v>
      </c>
      <c r="G472" s="12" t="s">
        <v>4268</v>
      </c>
      <c r="H472" s="32">
        <v>0.54166666666424135</v>
      </c>
      <c r="I472" s="29">
        <v>43879.5625</v>
      </c>
      <c r="J472" s="12" t="s">
        <v>3331</v>
      </c>
      <c r="L472" s="12" t="s">
        <v>3393</v>
      </c>
      <c r="M472" s="12" t="s">
        <v>3379</v>
      </c>
      <c r="N472" s="12" t="s">
        <v>4269</v>
      </c>
      <c r="O472" s="12" t="s">
        <v>3381</v>
      </c>
      <c r="P472" s="12" t="s">
        <v>4146</v>
      </c>
      <c r="AE472" s="32">
        <v>0.39583333333575865</v>
      </c>
      <c r="AF472" s="35"/>
    </row>
    <row r="473" spans="1:32" ht="12.75">
      <c r="A473" s="29">
        <v>43880.417460810189</v>
      </c>
      <c r="B473" s="12" t="s">
        <v>3372</v>
      </c>
      <c r="C473" s="12" t="s">
        <v>4061</v>
      </c>
      <c r="D473" s="12" t="s">
        <v>3589</v>
      </c>
      <c r="E473" s="12" t="s">
        <v>3296</v>
      </c>
      <c r="F473" s="30">
        <v>43880</v>
      </c>
      <c r="G473" s="12" t="s">
        <v>4270</v>
      </c>
      <c r="H473" s="32">
        <v>0.52083333333575865</v>
      </c>
      <c r="I473" s="29">
        <v>43880.541666666672</v>
      </c>
      <c r="J473" s="12" t="s">
        <v>3331</v>
      </c>
      <c r="L473" s="12" t="s">
        <v>3393</v>
      </c>
      <c r="M473" s="12" t="s">
        <v>3379</v>
      </c>
      <c r="N473" s="12" t="s">
        <v>4271</v>
      </c>
      <c r="O473" s="12" t="s">
        <v>3381</v>
      </c>
      <c r="P473" s="12" t="s">
        <v>4146</v>
      </c>
      <c r="AE473" s="32">
        <v>0.4375</v>
      </c>
      <c r="AF473" s="35"/>
    </row>
    <row r="474" spans="1:32" ht="12.75">
      <c r="A474" s="29">
        <v>43881.463268865744</v>
      </c>
      <c r="B474" s="12" t="s">
        <v>3417</v>
      </c>
      <c r="C474" s="12" t="s">
        <v>3383</v>
      </c>
      <c r="D474" s="12" t="s">
        <v>3881</v>
      </c>
      <c r="E474" s="12" t="s">
        <v>3296</v>
      </c>
      <c r="F474" s="30">
        <v>43881</v>
      </c>
      <c r="G474" s="12" t="s">
        <v>3419</v>
      </c>
      <c r="H474" s="32">
        <v>0.58333333333575865</v>
      </c>
      <c r="I474" s="29">
        <v>43881.604166666672</v>
      </c>
      <c r="J474" s="12" t="s">
        <v>3331</v>
      </c>
      <c r="L474" s="12" t="s">
        <v>3393</v>
      </c>
      <c r="M474" s="12" t="s">
        <v>4272</v>
      </c>
      <c r="N474" s="12" t="s">
        <v>4124</v>
      </c>
      <c r="O474" s="12" t="s">
        <v>3381</v>
      </c>
      <c r="P474" s="12" t="s">
        <v>4146</v>
      </c>
      <c r="AE474" s="32">
        <v>0.47916666666424135</v>
      </c>
      <c r="AF474" s="35"/>
    </row>
    <row r="475" spans="1:32" ht="12.75">
      <c r="A475" s="29">
        <v>43886.313399375002</v>
      </c>
      <c r="B475" s="12" t="s">
        <v>4210</v>
      </c>
      <c r="C475" s="12" t="s">
        <v>3391</v>
      </c>
      <c r="D475" s="12" t="s">
        <v>3589</v>
      </c>
      <c r="E475" s="12" t="s">
        <v>4273</v>
      </c>
      <c r="F475" s="30">
        <v>43886</v>
      </c>
      <c r="G475" s="12" t="s">
        <v>4274</v>
      </c>
      <c r="H475" s="32">
        <v>0.625</v>
      </c>
      <c r="I475" s="29">
        <v>43886.666666666672</v>
      </c>
      <c r="J475" s="12" t="s">
        <v>3331</v>
      </c>
      <c r="L475" s="12" t="s">
        <v>3393</v>
      </c>
      <c r="M475" s="12" t="s">
        <v>3454</v>
      </c>
      <c r="N475" s="12" t="s">
        <v>4275</v>
      </c>
      <c r="O475" s="12" t="s">
        <v>3767</v>
      </c>
      <c r="P475" s="12" t="s">
        <v>4146</v>
      </c>
      <c r="AE475" s="32">
        <v>0.38541666666424135</v>
      </c>
      <c r="AF475" s="35"/>
    </row>
    <row r="476" spans="1:32" ht="12.75">
      <c r="A476" s="29">
        <v>43887.309945844907</v>
      </c>
      <c r="B476" s="12" t="s">
        <v>3390</v>
      </c>
      <c r="C476" s="12" t="s">
        <v>3391</v>
      </c>
      <c r="D476" s="12" t="s">
        <v>3589</v>
      </c>
      <c r="E476" s="12" t="s">
        <v>4276</v>
      </c>
      <c r="F476" s="30">
        <v>43887</v>
      </c>
      <c r="G476" s="12" t="s">
        <v>4277</v>
      </c>
      <c r="H476" s="32">
        <v>0.375</v>
      </c>
      <c r="I476" s="29">
        <v>43887.385416666672</v>
      </c>
      <c r="J476" s="12" t="s">
        <v>3331</v>
      </c>
      <c r="L476" s="12" t="s">
        <v>3393</v>
      </c>
      <c r="M476" s="12" t="s">
        <v>3454</v>
      </c>
      <c r="N476" s="12" t="s">
        <v>4275</v>
      </c>
      <c r="O476" s="12" t="s">
        <v>3767</v>
      </c>
      <c r="P476" s="12" t="s">
        <v>4146</v>
      </c>
      <c r="AE476" s="32">
        <v>0.32291666666424135</v>
      </c>
      <c r="AF476" s="35"/>
    </row>
    <row r="477" spans="1:32" ht="12.75">
      <c r="A477" s="29">
        <v>43893.297057986114</v>
      </c>
      <c r="B477" s="12" t="s">
        <v>3417</v>
      </c>
      <c r="C477" s="12" t="s">
        <v>3902</v>
      </c>
      <c r="D477" s="12" t="s">
        <v>3589</v>
      </c>
      <c r="E477" s="12" t="s">
        <v>3482</v>
      </c>
      <c r="F477" s="30">
        <v>43893</v>
      </c>
      <c r="G477" s="12" t="s">
        <v>4278</v>
      </c>
      <c r="H477" s="32">
        <v>0.66666666666424135</v>
      </c>
      <c r="I477" s="29">
        <v>43893.677083333328</v>
      </c>
      <c r="J477" s="12" t="s">
        <v>3331</v>
      </c>
      <c r="L477" s="12" t="s">
        <v>3393</v>
      </c>
      <c r="M477" s="12" t="s">
        <v>3379</v>
      </c>
      <c r="N477" s="12" t="s">
        <v>4279</v>
      </c>
      <c r="O477" s="12" t="s">
        <v>3381</v>
      </c>
      <c r="P477" s="12" t="s">
        <v>4146</v>
      </c>
      <c r="AE477" s="32">
        <v>0.29166666666424135</v>
      </c>
      <c r="AF477" s="35"/>
    </row>
    <row r="478" spans="1:32" ht="12.75">
      <c r="A478" s="29">
        <v>43894.478259837968</v>
      </c>
      <c r="B478" s="12" t="s">
        <v>3470</v>
      </c>
      <c r="C478" s="12" t="s">
        <v>3683</v>
      </c>
      <c r="D478" s="12" t="s">
        <v>3589</v>
      </c>
      <c r="E478" s="12" t="s">
        <v>4115</v>
      </c>
      <c r="F478" s="30">
        <v>43894</v>
      </c>
      <c r="G478" s="12" t="s">
        <v>4280</v>
      </c>
      <c r="H478" s="32">
        <v>0.70833333333575865</v>
      </c>
      <c r="I478" s="29">
        <v>43894.75</v>
      </c>
      <c r="J478" s="12" t="s">
        <v>3331</v>
      </c>
      <c r="L478" s="12" t="s">
        <v>3393</v>
      </c>
      <c r="M478" s="12" t="s">
        <v>3474</v>
      </c>
      <c r="N478" s="12" t="s">
        <v>4281</v>
      </c>
      <c r="O478" s="12" t="s">
        <v>3475</v>
      </c>
      <c r="P478" s="12" t="s">
        <v>4146</v>
      </c>
      <c r="AE478" s="32">
        <v>0.51041666666424135</v>
      </c>
      <c r="AF478" s="35"/>
    </row>
    <row r="479" spans="1:32" ht="12.75">
      <c r="A479" s="29">
        <v>43896.33656585648</v>
      </c>
      <c r="B479" s="12" t="s">
        <v>4109</v>
      </c>
      <c r="C479" s="12" t="s">
        <v>4092</v>
      </c>
      <c r="D479" s="12" t="s">
        <v>3589</v>
      </c>
      <c r="E479" s="12" t="s">
        <v>4115</v>
      </c>
      <c r="F479" s="30">
        <v>43896</v>
      </c>
      <c r="G479" s="12" t="s">
        <v>4282</v>
      </c>
      <c r="H479" s="32">
        <v>0.66666666666424135</v>
      </c>
      <c r="I479" s="29">
        <v>43957.6875</v>
      </c>
      <c r="J479" s="12" t="s">
        <v>3331</v>
      </c>
      <c r="L479" s="12" t="s">
        <v>3393</v>
      </c>
      <c r="M479" s="12" t="s">
        <v>3993</v>
      </c>
      <c r="N479" s="12" t="s">
        <v>4283</v>
      </c>
      <c r="O479" s="12" t="s">
        <v>3993</v>
      </c>
      <c r="P479" s="12" t="s">
        <v>4146</v>
      </c>
      <c r="AE479" s="32">
        <v>0.35416666666424135</v>
      </c>
      <c r="AF479" s="35"/>
    </row>
    <row r="480" spans="1:32" ht="12.75">
      <c r="A480" s="29">
        <v>43899.32906851852</v>
      </c>
      <c r="B480" s="12" t="s">
        <v>3399</v>
      </c>
      <c r="C480" s="12" t="s">
        <v>3400</v>
      </c>
      <c r="D480" s="12" t="s">
        <v>3401</v>
      </c>
      <c r="E480" s="12" t="s">
        <v>4284</v>
      </c>
      <c r="F480" s="30">
        <v>43899</v>
      </c>
      <c r="G480" s="12" t="s">
        <v>4285</v>
      </c>
      <c r="H480" s="32">
        <v>0.625</v>
      </c>
      <c r="J480" s="12" t="s">
        <v>4123</v>
      </c>
      <c r="L480" s="12" t="s">
        <v>4121</v>
      </c>
      <c r="M480" s="12" t="s">
        <v>3458</v>
      </c>
      <c r="N480" s="12" t="s">
        <v>4152</v>
      </c>
      <c r="O480" s="12" t="s">
        <v>3408</v>
      </c>
      <c r="P480" s="12" t="s">
        <v>4146</v>
      </c>
      <c r="AE480" s="32">
        <v>0.41666666666424135</v>
      </c>
      <c r="AF480" s="35"/>
    </row>
    <row r="481" spans="1:32" ht="12.75">
      <c r="A481" s="29">
        <v>43899.369910335648</v>
      </c>
      <c r="B481" s="12" t="s">
        <v>3760</v>
      </c>
      <c r="C481" s="12" t="s">
        <v>4218</v>
      </c>
      <c r="D481" s="12" t="s">
        <v>3589</v>
      </c>
      <c r="E481" s="12" t="s">
        <v>3419</v>
      </c>
      <c r="F481" s="30">
        <v>43899</v>
      </c>
      <c r="G481" s="12" t="s">
        <v>3419</v>
      </c>
      <c r="H481" s="32">
        <v>0.47916666666424135</v>
      </c>
      <c r="I481" s="29">
        <v>43899.5</v>
      </c>
      <c r="J481" s="12" t="s">
        <v>3403</v>
      </c>
      <c r="L481" s="12" t="s">
        <v>3393</v>
      </c>
      <c r="M481" s="12" t="s">
        <v>3379</v>
      </c>
      <c r="O481" s="12" t="s">
        <v>3381</v>
      </c>
      <c r="P481" s="12" t="s">
        <v>4146</v>
      </c>
      <c r="AE481" s="32">
        <v>0.40625</v>
      </c>
      <c r="AF481" s="35"/>
    </row>
    <row r="482" spans="1:32" ht="12.75">
      <c r="A482" s="29">
        <v>43900.407843449073</v>
      </c>
      <c r="B482" s="12" t="s">
        <v>4109</v>
      </c>
      <c r="C482" s="12" t="s">
        <v>4092</v>
      </c>
      <c r="D482" s="12" t="s">
        <v>3295</v>
      </c>
      <c r="E482" s="12" t="s">
        <v>3482</v>
      </c>
      <c r="F482" s="30">
        <v>43900</v>
      </c>
      <c r="G482" s="12" t="s">
        <v>4286</v>
      </c>
      <c r="H482" s="32">
        <v>0.625</v>
      </c>
      <c r="I482" s="29">
        <v>43900.645833333328</v>
      </c>
      <c r="J482" s="12" t="s">
        <v>3377</v>
      </c>
      <c r="L482" s="12" t="s">
        <v>3393</v>
      </c>
      <c r="M482" s="12" t="s">
        <v>3454</v>
      </c>
      <c r="N482" s="12" t="s">
        <v>4287</v>
      </c>
      <c r="O482" s="12" t="s">
        <v>4288</v>
      </c>
      <c r="P482" s="12" t="s">
        <v>4146</v>
      </c>
      <c r="AE482" s="32">
        <v>0.41666666666424135</v>
      </c>
      <c r="AF482" s="35"/>
    </row>
    <row r="483" spans="1:32" ht="12.75">
      <c r="A483" s="29">
        <v>43901.410883310185</v>
      </c>
      <c r="B483" s="12" t="s">
        <v>3760</v>
      </c>
      <c r="C483" s="12" t="s">
        <v>4218</v>
      </c>
      <c r="D483" s="12" t="s">
        <v>3589</v>
      </c>
      <c r="E483" s="12" t="s">
        <v>3419</v>
      </c>
      <c r="F483" s="30">
        <v>43901</v>
      </c>
      <c r="G483" s="12" t="s">
        <v>3419</v>
      </c>
      <c r="H483" s="32">
        <v>0.55208333333575865</v>
      </c>
      <c r="I483" s="29">
        <v>43901.5625</v>
      </c>
      <c r="J483" s="12" t="s">
        <v>3403</v>
      </c>
      <c r="L483" s="12" t="s">
        <v>4151</v>
      </c>
      <c r="M483" s="12" t="s">
        <v>3379</v>
      </c>
      <c r="O483" s="12" t="s">
        <v>4289</v>
      </c>
      <c r="P483" s="12" t="s">
        <v>4146</v>
      </c>
      <c r="AE483" s="32">
        <v>0.48958333333575865</v>
      </c>
      <c r="AF483" s="35"/>
    </row>
    <row r="484" spans="1:32" ht="12.75">
      <c r="A484" s="29">
        <v>43906.741598726847</v>
      </c>
      <c r="B484" s="12" t="s">
        <v>3417</v>
      </c>
      <c r="C484" s="12" t="s">
        <v>3639</v>
      </c>
      <c r="D484" s="12" t="s">
        <v>3881</v>
      </c>
      <c r="E484" s="12" t="s">
        <v>3687</v>
      </c>
      <c r="F484" s="30">
        <v>43906</v>
      </c>
      <c r="G484" s="12" t="s">
        <v>4290</v>
      </c>
      <c r="H484" s="32">
        <v>0.79166666666424135</v>
      </c>
      <c r="I484" s="29">
        <v>43906.833333333328</v>
      </c>
      <c r="J484" s="12" t="s">
        <v>3331</v>
      </c>
      <c r="L484" s="12" t="s">
        <v>4151</v>
      </c>
      <c r="M484" s="12" t="s">
        <v>3379</v>
      </c>
      <c r="N484" s="12" t="s">
        <v>4124</v>
      </c>
      <c r="O484" s="12" t="s">
        <v>3381</v>
      </c>
      <c r="P484" s="12" t="s">
        <v>4146</v>
      </c>
      <c r="AE484" s="32">
        <v>0.73958333333575865</v>
      </c>
      <c r="AF484" s="35"/>
    </row>
    <row r="485" spans="1:32" ht="12.75">
      <c r="A485" s="29">
        <v>43907.316854351855</v>
      </c>
      <c r="B485" s="12" t="s">
        <v>3417</v>
      </c>
      <c r="C485" s="12" t="s">
        <v>3902</v>
      </c>
      <c r="D485" s="12" t="s">
        <v>3589</v>
      </c>
      <c r="E485" s="12" t="s">
        <v>3687</v>
      </c>
      <c r="F485" s="30">
        <v>43907</v>
      </c>
      <c r="G485" s="12" t="s">
        <v>4291</v>
      </c>
      <c r="H485" s="32">
        <v>0.375</v>
      </c>
      <c r="I485" s="29">
        <v>43907.4375</v>
      </c>
      <c r="J485" s="12" t="s">
        <v>3331</v>
      </c>
      <c r="L485" s="12" t="s">
        <v>4151</v>
      </c>
      <c r="M485" s="12" t="s">
        <v>3379</v>
      </c>
      <c r="N485" s="12" t="s">
        <v>4124</v>
      </c>
      <c r="O485" s="12" t="s">
        <v>3381</v>
      </c>
      <c r="P485" s="12" t="s">
        <v>4146</v>
      </c>
      <c r="AE485" s="32">
        <v>0.3125</v>
      </c>
      <c r="AF485" s="35"/>
    </row>
    <row r="486" spans="1:32" ht="12.75">
      <c r="A486" s="29">
        <v>43908.36985476852</v>
      </c>
      <c r="B486" s="12" t="s">
        <v>3417</v>
      </c>
      <c r="C486" s="12" t="s">
        <v>4061</v>
      </c>
      <c r="D486" s="12" t="s">
        <v>3589</v>
      </c>
      <c r="E486" s="12" t="s">
        <v>3296</v>
      </c>
      <c r="F486" s="30">
        <v>43908</v>
      </c>
      <c r="G486" s="12" t="s">
        <v>4292</v>
      </c>
      <c r="H486" s="32">
        <v>0.45833333333575865</v>
      </c>
      <c r="I486" s="29">
        <v>43908.479166666672</v>
      </c>
      <c r="J486" s="12" t="s">
        <v>3331</v>
      </c>
      <c r="L486" s="12" t="s">
        <v>4151</v>
      </c>
      <c r="M486" s="12" t="s">
        <v>3379</v>
      </c>
      <c r="N486" s="12" t="s">
        <v>4124</v>
      </c>
      <c r="O486" s="12" t="s">
        <v>3381</v>
      </c>
      <c r="P486" s="12" t="s">
        <v>4146</v>
      </c>
      <c r="AE486" s="32">
        <v>0.39583333333575865</v>
      </c>
      <c r="AF486" s="35"/>
    </row>
    <row r="487" spans="1:32" ht="12.75">
      <c r="A487" s="29">
        <v>43908.620351747682</v>
      </c>
      <c r="B487" s="12" t="s">
        <v>3417</v>
      </c>
      <c r="C487" s="12" t="s">
        <v>4061</v>
      </c>
      <c r="D487" s="12" t="s">
        <v>3881</v>
      </c>
      <c r="E487" s="12" t="s">
        <v>3296</v>
      </c>
      <c r="F487" s="30">
        <v>43908</v>
      </c>
      <c r="G487" s="12" t="s">
        <v>4293</v>
      </c>
      <c r="H487" s="32">
        <v>0.70833333333575865</v>
      </c>
      <c r="I487" s="29">
        <v>43908.71875</v>
      </c>
      <c r="J487" s="12" t="s">
        <v>3331</v>
      </c>
      <c r="L487" s="12" t="s">
        <v>4151</v>
      </c>
      <c r="M487" s="12" t="s">
        <v>3379</v>
      </c>
      <c r="N487" s="12" t="s">
        <v>4124</v>
      </c>
      <c r="O487" s="12" t="s">
        <v>3381</v>
      </c>
      <c r="P487" s="12" t="s">
        <v>4146</v>
      </c>
      <c r="AE487" s="32">
        <v>0.63541666666424135</v>
      </c>
      <c r="AF487" s="35"/>
    </row>
    <row r="488" spans="1:32" ht="12.75">
      <c r="A488" s="29">
        <v>43910.494226990741</v>
      </c>
      <c r="B488" s="12" t="s">
        <v>4109</v>
      </c>
      <c r="C488" s="12" t="s">
        <v>4092</v>
      </c>
      <c r="D488" s="12" t="s">
        <v>3401</v>
      </c>
      <c r="E488" s="12" t="s">
        <v>3404</v>
      </c>
      <c r="F488" s="30">
        <v>43910</v>
      </c>
      <c r="G488" s="12" t="s">
        <v>4294</v>
      </c>
      <c r="H488" s="32">
        <v>0.625</v>
      </c>
      <c r="I488" s="29">
        <v>43910.666666666672</v>
      </c>
      <c r="J488" s="12" t="s">
        <v>3331</v>
      </c>
      <c r="L488" s="12" t="s">
        <v>4151</v>
      </c>
      <c r="M488" s="12" t="s">
        <v>3379</v>
      </c>
      <c r="N488" s="12" t="s">
        <v>4124</v>
      </c>
      <c r="O488" s="12" t="s">
        <v>4067</v>
      </c>
      <c r="P488" s="12" t="s">
        <v>4146</v>
      </c>
      <c r="AE488" s="32">
        <v>0.51041666666424135</v>
      </c>
      <c r="AF488" s="35"/>
    </row>
    <row r="489" spans="1:32" ht="12.75">
      <c r="A489" s="29">
        <v>43910.672004895838</v>
      </c>
      <c r="B489" s="12" t="s">
        <v>4109</v>
      </c>
      <c r="C489" s="12" t="s">
        <v>4092</v>
      </c>
      <c r="D489" s="12" t="s">
        <v>3589</v>
      </c>
      <c r="E489" s="12" t="s">
        <v>3862</v>
      </c>
      <c r="F489" s="30">
        <v>43910</v>
      </c>
      <c r="G489" s="12" t="s">
        <v>4295</v>
      </c>
      <c r="H489" s="32">
        <v>0.75</v>
      </c>
      <c r="I489" s="29">
        <v>43910.770833333328</v>
      </c>
      <c r="J489" s="12" t="s">
        <v>3331</v>
      </c>
      <c r="L489" s="12" t="s">
        <v>4151</v>
      </c>
      <c r="M489" s="12" t="s">
        <v>3379</v>
      </c>
      <c r="N489" s="12" t="s">
        <v>4124</v>
      </c>
      <c r="O489" s="12" t="s">
        <v>4067</v>
      </c>
      <c r="P489" s="12" t="s">
        <v>4146</v>
      </c>
      <c r="AE489" s="32">
        <v>0.66666666666424135</v>
      </c>
      <c r="AF489" s="35"/>
    </row>
    <row r="490" spans="1:32" ht="12.75">
      <c r="A490" s="29">
        <v>43913.441198356479</v>
      </c>
      <c r="B490" s="12" t="s">
        <v>3417</v>
      </c>
      <c r="C490" s="12" t="s">
        <v>3902</v>
      </c>
      <c r="D490" s="12" t="s">
        <v>3589</v>
      </c>
      <c r="E490" s="12" t="s">
        <v>3687</v>
      </c>
      <c r="F490" s="30">
        <v>43913</v>
      </c>
      <c r="G490" s="12" t="s">
        <v>4291</v>
      </c>
      <c r="H490" s="32">
        <v>0.54166666666424135</v>
      </c>
      <c r="I490" s="29">
        <v>43913.5625</v>
      </c>
      <c r="J490" s="12" t="s">
        <v>3331</v>
      </c>
      <c r="L490" s="12" t="s">
        <v>3299</v>
      </c>
      <c r="M490" s="12" t="s">
        <v>3379</v>
      </c>
      <c r="N490" s="12" t="s">
        <v>4124</v>
      </c>
      <c r="O490" s="12" t="s">
        <v>3381</v>
      </c>
      <c r="P490" s="12" t="s">
        <v>4146</v>
      </c>
      <c r="AE490" s="32">
        <v>0.4375</v>
      </c>
      <c r="AF490" s="35"/>
    </row>
    <row r="491" spans="1:32" ht="12.75">
      <c r="A491" s="29">
        <v>43913.626542523147</v>
      </c>
      <c r="B491" s="12" t="s">
        <v>3372</v>
      </c>
      <c r="C491" s="12" t="s">
        <v>259</v>
      </c>
      <c r="D491" s="12" t="s">
        <v>3589</v>
      </c>
      <c r="E491" s="12" t="s">
        <v>3687</v>
      </c>
      <c r="F491" s="30">
        <v>43913</v>
      </c>
      <c r="G491" s="12" t="s">
        <v>4291</v>
      </c>
      <c r="H491" s="32">
        <v>0.6875</v>
      </c>
      <c r="I491" s="29">
        <v>43913.729166666672</v>
      </c>
      <c r="J491" s="12" t="s">
        <v>3331</v>
      </c>
      <c r="L491" s="12" t="s">
        <v>3299</v>
      </c>
      <c r="M491" s="12" t="s">
        <v>3379</v>
      </c>
      <c r="N491" s="12" t="s">
        <v>4124</v>
      </c>
      <c r="O491" s="12" t="s">
        <v>3381</v>
      </c>
      <c r="P491" s="12" t="s">
        <v>4146</v>
      </c>
      <c r="AE491" s="32">
        <v>0.625</v>
      </c>
      <c r="AF491" s="35"/>
    </row>
    <row r="492" spans="1:32" ht="12.75">
      <c r="A492" s="29">
        <v>43914.425001643518</v>
      </c>
      <c r="B492" s="12" t="s">
        <v>3417</v>
      </c>
      <c r="C492" s="12" t="s">
        <v>259</v>
      </c>
      <c r="D492" s="12" t="s">
        <v>3589</v>
      </c>
      <c r="E492" s="12" t="s">
        <v>3920</v>
      </c>
      <c r="F492" s="30">
        <v>43914</v>
      </c>
      <c r="G492" s="12" t="s">
        <v>4089</v>
      </c>
      <c r="H492" s="32">
        <v>0.54166666666424135</v>
      </c>
      <c r="I492" s="29">
        <v>43914.5625</v>
      </c>
      <c r="J492" s="12" t="s">
        <v>3331</v>
      </c>
      <c r="L492" s="12" t="s">
        <v>3299</v>
      </c>
      <c r="M492" s="12" t="s">
        <v>3379</v>
      </c>
      <c r="N492" s="12" t="s">
        <v>4124</v>
      </c>
      <c r="O492" s="12" t="s">
        <v>3381</v>
      </c>
      <c r="P492" s="12" t="s">
        <v>4146</v>
      </c>
      <c r="AE492" s="32">
        <v>0.42708333333575865</v>
      </c>
      <c r="AF492" s="35"/>
    </row>
    <row r="493" spans="1:32" ht="12.75">
      <c r="A493" s="29">
        <v>43914.655065856481</v>
      </c>
      <c r="B493" s="12" t="s">
        <v>3417</v>
      </c>
      <c r="C493" s="12" t="s">
        <v>3902</v>
      </c>
      <c r="D493" s="12" t="s">
        <v>3589</v>
      </c>
      <c r="E493" s="12" t="s">
        <v>4296</v>
      </c>
      <c r="F493" s="30">
        <v>43914</v>
      </c>
      <c r="G493" s="12" t="s">
        <v>4089</v>
      </c>
      <c r="H493" s="32">
        <v>0.72916666666424135</v>
      </c>
      <c r="I493" s="29">
        <v>43914.75</v>
      </c>
      <c r="J493" s="12" t="s">
        <v>3331</v>
      </c>
      <c r="L493" s="12" t="s">
        <v>3299</v>
      </c>
      <c r="M493" s="12" t="s">
        <v>3379</v>
      </c>
      <c r="N493" s="12" t="s">
        <v>4124</v>
      </c>
      <c r="O493" s="12" t="s">
        <v>3381</v>
      </c>
      <c r="P493" s="12" t="s">
        <v>4146</v>
      </c>
      <c r="AE493" s="32">
        <v>0.15277777778101154</v>
      </c>
      <c r="AF493" s="35"/>
    </row>
    <row r="494" spans="1:32" ht="12.75">
      <c r="A494" s="29">
        <v>43915.320939097219</v>
      </c>
      <c r="B494" s="12" t="s">
        <v>3372</v>
      </c>
      <c r="C494" s="12" t="s">
        <v>3383</v>
      </c>
      <c r="D494" s="12" t="s">
        <v>3589</v>
      </c>
      <c r="E494" s="12" t="s">
        <v>3296</v>
      </c>
      <c r="F494" s="30">
        <v>43915</v>
      </c>
      <c r="G494" s="12" t="s">
        <v>4297</v>
      </c>
      <c r="H494" s="32">
        <v>0.5</v>
      </c>
      <c r="I494" s="29">
        <v>43915.520833333328</v>
      </c>
      <c r="J494" s="12" t="s">
        <v>3331</v>
      </c>
      <c r="L494" s="12" t="s">
        <v>3299</v>
      </c>
      <c r="M494" s="12" t="s">
        <v>3379</v>
      </c>
      <c r="N494" s="12" t="s">
        <v>4124</v>
      </c>
      <c r="O494" s="12" t="s">
        <v>3381</v>
      </c>
      <c r="P494" s="12" t="s">
        <v>4146</v>
      </c>
      <c r="AE494" s="32">
        <v>0.33333333333575865</v>
      </c>
      <c r="AF494" s="35"/>
    </row>
    <row r="495" spans="1:32" ht="12.75">
      <c r="A495" s="29">
        <v>43915.356152083332</v>
      </c>
      <c r="B495" s="12" t="s">
        <v>3470</v>
      </c>
      <c r="C495" s="12" t="s">
        <v>3719</v>
      </c>
      <c r="D495" s="12" t="s">
        <v>3589</v>
      </c>
      <c r="E495" s="12" t="s">
        <v>3482</v>
      </c>
      <c r="F495" s="30">
        <v>43915</v>
      </c>
      <c r="G495" s="12" t="s">
        <v>3465</v>
      </c>
      <c r="H495" s="32">
        <v>0.625</v>
      </c>
      <c r="I495" s="29">
        <v>43915.708333333328</v>
      </c>
      <c r="J495" s="12" t="s">
        <v>3377</v>
      </c>
      <c r="L495" s="12" t="s">
        <v>3393</v>
      </c>
      <c r="M495" s="12" t="s">
        <v>3591</v>
      </c>
      <c r="N495" s="12" t="s">
        <v>4124</v>
      </c>
      <c r="O495" s="12" t="s">
        <v>3390</v>
      </c>
      <c r="P495" s="12" t="s">
        <v>4146</v>
      </c>
      <c r="AE495" s="32">
        <v>0.36458333333575865</v>
      </c>
      <c r="AF495" s="35"/>
    </row>
    <row r="496" spans="1:32" ht="12.75">
      <c r="A496" s="29">
        <v>43916.338505578708</v>
      </c>
      <c r="B496" s="12" t="s">
        <v>3417</v>
      </c>
      <c r="C496" s="12" t="s">
        <v>259</v>
      </c>
      <c r="D496" s="12" t="s">
        <v>3589</v>
      </c>
      <c r="E496" s="12" t="s">
        <v>4239</v>
      </c>
      <c r="F496" s="30">
        <v>43916</v>
      </c>
      <c r="G496" s="12" t="s">
        <v>3310</v>
      </c>
      <c r="H496" s="32">
        <v>0.64583333333575865</v>
      </c>
      <c r="I496" s="29">
        <v>43916.666666666672</v>
      </c>
      <c r="J496" s="12" t="s">
        <v>3331</v>
      </c>
      <c r="L496" s="12" t="s">
        <v>3299</v>
      </c>
      <c r="M496" s="12" t="s">
        <v>3379</v>
      </c>
      <c r="N496" s="12" t="s">
        <v>4124</v>
      </c>
      <c r="O496" s="12" t="s">
        <v>3381</v>
      </c>
      <c r="P496" s="12" t="s">
        <v>4146</v>
      </c>
      <c r="AE496" s="32">
        <v>0.375</v>
      </c>
      <c r="AF496" s="35"/>
    </row>
    <row r="497" spans="1:32" ht="12.75">
      <c r="A497" s="29">
        <v>43922.279999456019</v>
      </c>
      <c r="B497" s="12" t="s">
        <v>3372</v>
      </c>
      <c r="C497" s="12" t="s">
        <v>4061</v>
      </c>
      <c r="D497" s="12" t="s">
        <v>3589</v>
      </c>
      <c r="E497" s="12" t="s">
        <v>3296</v>
      </c>
      <c r="F497" s="30">
        <v>43922</v>
      </c>
      <c r="G497" s="12" t="s">
        <v>3496</v>
      </c>
      <c r="H497" s="32">
        <v>0.66666666666424135</v>
      </c>
      <c r="I497" s="29">
        <v>43922.6875</v>
      </c>
      <c r="J497" s="12" t="s">
        <v>3331</v>
      </c>
      <c r="L497" s="12" t="s">
        <v>3299</v>
      </c>
      <c r="M497" s="12" t="s">
        <v>3379</v>
      </c>
      <c r="N497" s="12" t="s">
        <v>4298</v>
      </c>
      <c r="O497" s="12" t="s">
        <v>3381</v>
      </c>
      <c r="P497" s="12" t="s">
        <v>4146</v>
      </c>
      <c r="AE497" s="32">
        <v>0.29166666666424135</v>
      </c>
      <c r="AF497" s="35"/>
    </row>
    <row r="498" spans="1:32" ht="12.75">
      <c r="A498" s="29">
        <v>43923.456093587964</v>
      </c>
      <c r="B498" s="12" t="s">
        <v>3417</v>
      </c>
      <c r="C498" s="12" t="s">
        <v>259</v>
      </c>
      <c r="D498" s="12" t="s">
        <v>4299</v>
      </c>
      <c r="E498" s="12" t="s">
        <v>3920</v>
      </c>
      <c r="F498" s="30">
        <v>43923</v>
      </c>
      <c r="G498" s="12" t="s">
        <v>3640</v>
      </c>
      <c r="H498" s="32">
        <v>0.66666666666424135</v>
      </c>
      <c r="I498" s="29">
        <v>43923.6875</v>
      </c>
      <c r="J498" s="12" t="s">
        <v>3377</v>
      </c>
      <c r="L498" s="12" t="s">
        <v>3299</v>
      </c>
      <c r="M498" s="12" t="s">
        <v>3379</v>
      </c>
      <c r="N498" s="12" t="s">
        <v>3490</v>
      </c>
      <c r="O498" s="12" t="s">
        <v>3381</v>
      </c>
      <c r="P498" s="12" t="s">
        <v>4146</v>
      </c>
      <c r="AE498" s="32">
        <v>0.45833333333575865</v>
      </c>
      <c r="AF498" s="35"/>
    </row>
    <row r="499" spans="1:32" ht="12.75">
      <c r="A499" s="29">
        <v>43928.397219421298</v>
      </c>
      <c r="B499" s="12" t="s">
        <v>3470</v>
      </c>
      <c r="C499" s="12" t="s">
        <v>3683</v>
      </c>
      <c r="D499" s="12" t="s">
        <v>3589</v>
      </c>
      <c r="E499" s="12" t="s">
        <v>3482</v>
      </c>
      <c r="F499" s="30">
        <v>43928</v>
      </c>
      <c r="G499" s="12" t="s">
        <v>4300</v>
      </c>
      <c r="H499" s="32">
        <v>0.5625</v>
      </c>
      <c r="I499" s="29">
        <v>43928.59375</v>
      </c>
      <c r="J499" s="12" t="s">
        <v>3331</v>
      </c>
      <c r="L499" s="12" t="s">
        <v>3393</v>
      </c>
      <c r="M499" s="12" t="s">
        <v>3591</v>
      </c>
      <c r="O499" s="12" t="s">
        <v>3475</v>
      </c>
      <c r="P499" s="12" t="s">
        <v>4146</v>
      </c>
      <c r="AE499" s="32">
        <v>0.39583333333575865</v>
      </c>
      <c r="AF499" s="35"/>
    </row>
    <row r="500" spans="1:32" ht="12.75">
      <c r="A500" s="29">
        <v>43931.282241226851</v>
      </c>
      <c r="B500" s="12" t="s">
        <v>3390</v>
      </c>
      <c r="C500" s="12" t="s">
        <v>3391</v>
      </c>
      <c r="D500" s="12" t="s">
        <v>3589</v>
      </c>
      <c r="E500" s="12" t="s">
        <v>4107</v>
      </c>
      <c r="F500" s="30">
        <v>43931</v>
      </c>
      <c r="G500" s="12" t="s">
        <v>4108</v>
      </c>
      <c r="H500" s="32">
        <v>0.5625</v>
      </c>
      <c r="I500" s="29">
        <v>43931.614583333328</v>
      </c>
      <c r="J500" s="12" t="s">
        <v>3331</v>
      </c>
      <c r="L500" s="12" t="s">
        <v>3393</v>
      </c>
      <c r="M500" s="12" t="s">
        <v>3591</v>
      </c>
      <c r="O500" s="12" t="s">
        <v>3767</v>
      </c>
      <c r="P500" s="12" t="s">
        <v>4146</v>
      </c>
      <c r="AE500" s="32">
        <v>0.34375</v>
      </c>
      <c r="AF500" s="35"/>
    </row>
    <row r="501" spans="1:32" ht="12.75">
      <c r="A501" s="29">
        <v>43934.376948819445</v>
      </c>
      <c r="B501" s="12" t="s">
        <v>3470</v>
      </c>
      <c r="C501" s="12" t="s">
        <v>3683</v>
      </c>
      <c r="D501" s="12" t="s">
        <v>3589</v>
      </c>
      <c r="E501" s="12" t="s">
        <v>3687</v>
      </c>
      <c r="F501" s="30">
        <v>43934</v>
      </c>
      <c r="G501" s="12" t="s">
        <v>4301</v>
      </c>
      <c r="H501" s="32">
        <v>0.58333333333575865</v>
      </c>
      <c r="I501" s="29">
        <v>43934.666666666672</v>
      </c>
      <c r="J501" s="12" t="s">
        <v>3331</v>
      </c>
      <c r="L501" s="12" t="s">
        <v>3393</v>
      </c>
      <c r="M501" s="12" t="s">
        <v>3591</v>
      </c>
      <c r="O501" s="12" t="s">
        <v>3744</v>
      </c>
      <c r="P501" s="12" t="s">
        <v>4146</v>
      </c>
      <c r="AE501" s="32">
        <v>0.375</v>
      </c>
      <c r="AF501" s="35"/>
    </row>
    <row r="502" spans="1:32" ht="12.75">
      <c r="A502" s="29">
        <v>43937.39392268518</v>
      </c>
      <c r="B502" s="12" t="s">
        <v>3470</v>
      </c>
      <c r="C502" s="12" t="s">
        <v>3683</v>
      </c>
      <c r="D502" s="12" t="s">
        <v>3589</v>
      </c>
      <c r="E502" s="12" t="s">
        <v>3418</v>
      </c>
      <c r="F502" s="30">
        <v>43937</v>
      </c>
      <c r="G502" s="12" t="s">
        <v>4292</v>
      </c>
      <c r="H502" s="32">
        <v>0.58333333333575865</v>
      </c>
      <c r="I502" s="29">
        <v>43937.645833333328</v>
      </c>
      <c r="J502" s="12" t="s">
        <v>3331</v>
      </c>
      <c r="L502" s="12" t="s">
        <v>3393</v>
      </c>
      <c r="M502" s="12" t="s">
        <v>3591</v>
      </c>
      <c r="O502" s="12" t="s">
        <v>3744</v>
      </c>
      <c r="P502" s="12" t="s">
        <v>4146</v>
      </c>
      <c r="AE502" s="32">
        <v>0.39583333333575865</v>
      </c>
      <c r="AF502" s="35"/>
    </row>
    <row r="503" spans="1:32" ht="12.75">
      <c r="A503" s="29">
        <v>43938.44964288194</v>
      </c>
      <c r="B503" s="12" t="s">
        <v>3390</v>
      </c>
      <c r="C503" s="12" t="s">
        <v>3984</v>
      </c>
      <c r="D503" s="12" t="s">
        <v>3589</v>
      </c>
      <c r="E503" s="12" t="s">
        <v>4115</v>
      </c>
      <c r="F503" s="30">
        <v>43938</v>
      </c>
      <c r="G503" s="12" t="s">
        <v>4302</v>
      </c>
      <c r="H503" s="32">
        <v>0.65625</v>
      </c>
      <c r="I503" s="29">
        <v>43938.677083333328</v>
      </c>
      <c r="J503" s="12" t="s">
        <v>3331</v>
      </c>
      <c r="L503" s="12" t="s">
        <v>3393</v>
      </c>
      <c r="M503" s="12" t="s">
        <v>3591</v>
      </c>
      <c r="O503" s="12" t="s">
        <v>3946</v>
      </c>
      <c r="P503" s="12" t="s">
        <v>4146</v>
      </c>
      <c r="AE503" s="32">
        <v>0.44791666666424135</v>
      </c>
      <c r="AF503" s="35"/>
    </row>
    <row r="504" spans="1:32" ht="12.75">
      <c r="A504" s="29">
        <v>43943.345471689812</v>
      </c>
      <c r="B504" s="12" t="s">
        <v>3390</v>
      </c>
      <c r="C504" s="12" t="s">
        <v>3391</v>
      </c>
      <c r="D504" s="12" t="s">
        <v>3589</v>
      </c>
      <c r="E504" s="12" t="s">
        <v>3834</v>
      </c>
      <c r="F504" s="30">
        <v>43943</v>
      </c>
      <c r="G504" s="12" t="s">
        <v>4303</v>
      </c>
      <c r="H504" s="32">
        <v>0.58472222222189885</v>
      </c>
      <c r="I504" s="29">
        <v>43943.604166666672</v>
      </c>
      <c r="J504" s="12" t="s">
        <v>3377</v>
      </c>
      <c r="L504" s="12" t="s">
        <v>3393</v>
      </c>
      <c r="M504" s="12" t="s">
        <v>3454</v>
      </c>
      <c r="N504" s="12" t="s">
        <v>4124</v>
      </c>
      <c r="O504" s="12" t="s">
        <v>3767</v>
      </c>
      <c r="P504" s="12" t="s">
        <v>4146</v>
      </c>
      <c r="AE504" s="32">
        <v>0.37986111111240461</v>
      </c>
      <c r="AF504" s="35"/>
    </row>
    <row r="505" spans="1:32" ht="12.75">
      <c r="A505" s="29">
        <v>43950.3863384375</v>
      </c>
      <c r="B505" s="12" t="s">
        <v>3470</v>
      </c>
      <c r="C505" s="12" t="s">
        <v>3683</v>
      </c>
      <c r="D505" s="12" t="s">
        <v>3295</v>
      </c>
      <c r="E505" s="12" t="s">
        <v>4304</v>
      </c>
      <c r="F505" s="30">
        <v>43950</v>
      </c>
      <c r="G505" s="12" t="s">
        <v>4214</v>
      </c>
      <c r="H505" s="32">
        <v>0.625</v>
      </c>
      <c r="I505" s="29">
        <v>43950.6875</v>
      </c>
      <c r="J505" s="12" t="s">
        <v>3331</v>
      </c>
      <c r="L505" s="12" t="s">
        <v>3393</v>
      </c>
      <c r="M505" s="12" t="s">
        <v>3591</v>
      </c>
      <c r="O505" s="12" t="s">
        <v>3744</v>
      </c>
      <c r="P505" s="12" t="s">
        <v>4146</v>
      </c>
      <c r="AE505" s="32">
        <v>0.29166666666424135</v>
      </c>
      <c r="AF505" s="35"/>
    </row>
    <row r="506" spans="1:32" ht="12.75">
      <c r="A506" s="29">
        <v>43950.548799201388</v>
      </c>
      <c r="B506" s="12" t="s">
        <v>3470</v>
      </c>
      <c r="C506" s="12" t="s">
        <v>3683</v>
      </c>
      <c r="D506" s="12" t="s">
        <v>3295</v>
      </c>
      <c r="E506" s="12" t="s">
        <v>4304</v>
      </c>
      <c r="F506" s="30">
        <v>43950</v>
      </c>
      <c r="G506" s="12" t="s">
        <v>4214</v>
      </c>
      <c r="H506" s="32">
        <v>0.625</v>
      </c>
      <c r="I506" s="29">
        <v>43950.6875</v>
      </c>
      <c r="J506" s="12" t="s">
        <v>3331</v>
      </c>
      <c r="L506" s="12" t="s">
        <v>3393</v>
      </c>
      <c r="M506" s="12" t="s">
        <v>3591</v>
      </c>
      <c r="O506" s="12" t="s">
        <v>3744</v>
      </c>
      <c r="P506" s="12" t="s">
        <v>4146</v>
      </c>
      <c r="AE506" s="32">
        <v>0.29166666666424135</v>
      </c>
      <c r="AF506" s="35"/>
    </row>
    <row r="507" spans="1:32" ht="12.75">
      <c r="A507" s="29">
        <v>43952.339007743052</v>
      </c>
      <c r="B507" s="12" t="s">
        <v>3372</v>
      </c>
      <c r="C507" s="12" t="s">
        <v>3902</v>
      </c>
      <c r="D507" s="12" t="s">
        <v>3589</v>
      </c>
      <c r="E507" s="12" t="s">
        <v>3404</v>
      </c>
      <c r="F507" s="30">
        <v>43952</v>
      </c>
      <c r="G507" s="12" t="s">
        <v>3934</v>
      </c>
      <c r="H507" s="32">
        <v>0.66666666666424135</v>
      </c>
      <c r="I507" s="29">
        <v>43952.6875</v>
      </c>
      <c r="J507" s="12" t="s">
        <v>3331</v>
      </c>
      <c r="L507" s="12" t="s">
        <v>3299</v>
      </c>
      <c r="M507" s="12" t="s">
        <v>3379</v>
      </c>
      <c r="N507" s="12" t="s">
        <v>4243</v>
      </c>
      <c r="O507" s="12" t="s">
        <v>3381</v>
      </c>
      <c r="P507" s="12" t="s">
        <v>4146</v>
      </c>
      <c r="AE507" s="32">
        <v>0.29166666666424135</v>
      </c>
      <c r="AF507" s="35"/>
    </row>
    <row r="508" spans="1:32" ht="12.75">
      <c r="A508" s="29">
        <v>43956.314693020831</v>
      </c>
      <c r="B508" s="12" t="s">
        <v>3390</v>
      </c>
      <c r="C508" s="12" t="s">
        <v>3448</v>
      </c>
      <c r="D508" s="12" t="s">
        <v>3589</v>
      </c>
      <c r="E508" s="12" t="s">
        <v>3834</v>
      </c>
      <c r="F508" s="30">
        <v>43956</v>
      </c>
      <c r="G508" s="12" t="s">
        <v>3465</v>
      </c>
      <c r="H508" s="32">
        <v>0.58333333333575865</v>
      </c>
      <c r="I508" s="29">
        <v>43956.604166666672</v>
      </c>
      <c r="J508" s="12" t="s">
        <v>3377</v>
      </c>
      <c r="L508" s="12" t="s">
        <v>3393</v>
      </c>
      <c r="M508" s="12" t="s">
        <v>3454</v>
      </c>
      <c r="N508" s="12" t="s">
        <v>4124</v>
      </c>
      <c r="O508" s="12" t="s">
        <v>3767</v>
      </c>
      <c r="P508" s="12" t="s">
        <v>4146</v>
      </c>
      <c r="AE508" s="32">
        <v>0.32638888889050577</v>
      </c>
      <c r="AF508" s="35"/>
    </row>
    <row r="509" spans="1:32" ht="12.75">
      <c r="A509" s="29">
        <v>43965.479034629629</v>
      </c>
      <c r="B509" s="12" t="s">
        <v>4109</v>
      </c>
      <c r="C509" s="12" t="s">
        <v>4092</v>
      </c>
      <c r="D509" s="12" t="s">
        <v>3589</v>
      </c>
      <c r="E509" s="12" t="s">
        <v>4305</v>
      </c>
      <c r="F509" s="30">
        <v>43965</v>
      </c>
      <c r="G509" s="12" t="s">
        <v>4089</v>
      </c>
      <c r="H509" s="32">
        <v>0.64583333333575865</v>
      </c>
      <c r="I509" s="29">
        <v>43965.6875</v>
      </c>
      <c r="J509" s="12" t="s">
        <v>3377</v>
      </c>
      <c r="L509" s="12" t="s">
        <v>3299</v>
      </c>
      <c r="M509" s="12" t="s">
        <v>3379</v>
      </c>
      <c r="N509" s="12" t="s">
        <v>4124</v>
      </c>
      <c r="O509" s="12" t="s">
        <v>3381</v>
      </c>
      <c r="P509" s="12" t="s">
        <v>4146</v>
      </c>
      <c r="AE509" s="32">
        <v>0.47916666666424135</v>
      </c>
      <c r="AF509" s="35"/>
    </row>
    <row r="510" spans="1:32" ht="12.75">
      <c r="A510" s="29">
        <v>43966.424358645832</v>
      </c>
      <c r="B510" s="12" t="s">
        <v>3372</v>
      </c>
      <c r="C510" s="12" t="s">
        <v>3902</v>
      </c>
      <c r="D510" s="12" t="s">
        <v>3589</v>
      </c>
      <c r="E510" s="12" t="s">
        <v>3637</v>
      </c>
      <c r="F510" s="30">
        <v>43966</v>
      </c>
      <c r="G510" s="12" t="s">
        <v>4306</v>
      </c>
      <c r="H510" s="32">
        <v>0.66666666666424135</v>
      </c>
      <c r="I510" s="29">
        <v>43966.708333333328</v>
      </c>
      <c r="J510" s="12" t="s">
        <v>3377</v>
      </c>
      <c r="L510" s="12" t="s">
        <v>3299</v>
      </c>
      <c r="M510" s="12" t="s">
        <v>3379</v>
      </c>
      <c r="N510" s="12" t="s">
        <v>3993</v>
      </c>
      <c r="O510" s="12" t="s">
        <v>3381</v>
      </c>
      <c r="P510" s="12" t="s">
        <v>4146</v>
      </c>
      <c r="AE510" s="32">
        <v>0.39583333333575865</v>
      </c>
      <c r="AF510" s="35"/>
    </row>
    <row r="511" spans="1:32" ht="12.75">
      <c r="A511" s="29">
        <v>43969.310789398151</v>
      </c>
      <c r="B511" s="12" t="s">
        <v>3470</v>
      </c>
      <c r="C511" s="12" t="s">
        <v>3719</v>
      </c>
      <c r="D511" s="12" t="s">
        <v>3589</v>
      </c>
      <c r="E511" s="12" t="s">
        <v>4307</v>
      </c>
      <c r="F511" s="30">
        <v>43969</v>
      </c>
      <c r="G511" s="12" t="s">
        <v>4308</v>
      </c>
      <c r="H511" s="32">
        <v>0.375</v>
      </c>
      <c r="I511" s="29">
        <v>43969.40625</v>
      </c>
      <c r="J511" s="12" t="s">
        <v>4309</v>
      </c>
      <c r="L511" s="12" t="s">
        <v>3393</v>
      </c>
      <c r="M511" s="12" t="s">
        <v>3474</v>
      </c>
      <c r="N511" s="12" t="s">
        <v>4310</v>
      </c>
      <c r="O511" s="12" t="s">
        <v>3475</v>
      </c>
      <c r="P511" s="12" t="s">
        <v>4146</v>
      </c>
      <c r="AE511" s="32">
        <v>0.30555555555474712</v>
      </c>
      <c r="AF511" s="35"/>
    </row>
    <row r="512" spans="1:32" ht="12.75">
      <c r="A512" s="29">
        <v>43970.341321921296</v>
      </c>
      <c r="B512" s="12" t="s">
        <v>3470</v>
      </c>
      <c r="C512" s="12" t="s">
        <v>3719</v>
      </c>
      <c r="D512" s="12" t="s">
        <v>3589</v>
      </c>
      <c r="E512" s="12" t="s">
        <v>3482</v>
      </c>
      <c r="F512" s="30">
        <v>43970</v>
      </c>
      <c r="G512" s="12" t="s">
        <v>4311</v>
      </c>
      <c r="H512" s="32">
        <v>0.54166666666424135</v>
      </c>
      <c r="I512" s="29">
        <v>43970.583333333328</v>
      </c>
      <c r="J512" s="12" t="s">
        <v>3366</v>
      </c>
      <c r="L512" s="12" t="s">
        <v>3393</v>
      </c>
      <c r="M512" s="12" t="s">
        <v>3591</v>
      </c>
      <c r="O512" s="12" t="s">
        <v>3744</v>
      </c>
      <c r="P512" s="12" t="s">
        <v>4146</v>
      </c>
      <c r="AE512" s="32">
        <v>0.34375</v>
      </c>
      <c r="AF512" s="35"/>
    </row>
    <row r="513" spans="1:32" ht="12.75">
      <c r="A513" s="29">
        <v>43970.419555532411</v>
      </c>
      <c r="B513" s="12" t="s">
        <v>3372</v>
      </c>
      <c r="C513" s="12" t="s">
        <v>3383</v>
      </c>
      <c r="D513" s="12" t="s">
        <v>3589</v>
      </c>
      <c r="E513" s="12" t="s">
        <v>3296</v>
      </c>
      <c r="F513" s="30">
        <v>43970</v>
      </c>
      <c r="G513" s="12" t="s">
        <v>4135</v>
      </c>
      <c r="H513" s="32">
        <v>0.70833333333575865</v>
      </c>
      <c r="I513" s="29">
        <v>43970.729166666672</v>
      </c>
      <c r="J513" s="12" t="s">
        <v>3377</v>
      </c>
      <c r="L513" s="12" t="s">
        <v>3299</v>
      </c>
      <c r="M513" s="12" t="s">
        <v>3379</v>
      </c>
      <c r="N513" s="12" t="s">
        <v>4124</v>
      </c>
      <c r="O513" s="12" t="s">
        <v>3381</v>
      </c>
      <c r="P513" s="12" t="s">
        <v>4146</v>
      </c>
      <c r="AE513" s="32">
        <v>0.45833333333575865</v>
      </c>
      <c r="AF513" s="35"/>
    </row>
    <row r="514" spans="1:32" ht="12.75">
      <c r="A514" s="29">
        <v>43971.352610347225</v>
      </c>
      <c r="B514" s="12" t="s">
        <v>3390</v>
      </c>
      <c r="C514" s="12" t="s">
        <v>3463</v>
      </c>
      <c r="D514" s="12" t="s">
        <v>3589</v>
      </c>
      <c r="E514" s="12" t="s">
        <v>4312</v>
      </c>
      <c r="F514" s="30">
        <v>43971</v>
      </c>
      <c r="G514" s="12" t="s">
        <v>3419</v>
      </c>
      <c r="H514" s="32">
        <v>0.42708333333575865</v>
      </c>
      <c r="I514" s="29">
        <v>43971.4375</v>
      </c>
      <c r="J514" s="12" t="s">
        <v>3403</v>
      </c>
      <c r="L514" s="12" t="s">
        <v>3393</v>
      </c>
      <c r="M514" s="12" t="s">
        <v>3454</v>
      </c>
      <c r="N514" s="12" t="s">
        <v>3760</v>
      </c>
      <c r="O514" s="12" t="s">
        <v>3767</v>
      </c>
      <c r="P514" s="12" t="s">
        <v>4146</v>
      </c>
      <c r="AE514" s="32">
        <v>0.36111111110949423</v>
      </c>
      <c r="AF514" s="35"/>
    </row>
    <row r="515" spans="1:32" ht="12.75">
      <c r="A515" s="29">
        <v>43979.303783958334</v>
      </c>
      <c r="B515" s="12" t="s">
        <v>3372</v>
      </c>
      <c r="C515" s="12" t="s">
        <v>3902</v>
      </c>
      <c r="D515" s="12" t="s">
        <v>3589</v>
      </c>
      <c r="E515" s="12" t="s">
        <v>3296</v>
      </c>
      <c r="F515" s="30">
        <v>43979</v>
      </c>
      <c r="G515" s="12" t="s">
        <v>4292</v>
      </c>
      <c r="H515" s="32">
        <v>0.58333333333575865</v>
      </c>
      <c r="I515" s="29">
        <v>43979.604166666672</v>
      </c>
      <c r="J515" s="12" t="s">
        <v>3377</v>
      </c>
      <c r="L515" s="12" t="s">
        <v>3299</v>
      </c>
      <c r="M515" s="12" t="s">
        <v>3379</v>
      </c>
      <c r="N515" s="12" t="s">
        <v>4124</v>
      </c>
      <c r="O515" s="12" t="s">
        <v>3381</v>
      </c>
      <c r="P515" s="12" t="s">
        <v>4146</v>
      </c>
      <c r="AE515" s="32">
        <v>0.30208333333575865</v>
      </c>
      <c r="AF515" s="35"/>
    </row>
    <row r="516" spans="1:32" ht="12.75">
      <c r="A516" s="29">
        <v>43983.283414224541</v>
      </c>
      <c r="B516" s="12" t="s">
        <v>3417</v>
      </c>
      <c r="C516" s="12" t="s">
        <v>4061</v>
      </c>
      <c r="D516" s="12" t="s">
        <v>3589</v>
      </c>
      <c r="E516" s="12" t="s">
        <v>3482</v>
      </c>
      <c r="F516" s="30">
        <v>43983</v>
      </c>
      <c r="G516" s="12" t="s">
        <v>4005</v>
      </c>
      <c r="H516" s="32">
        <v>0.5625</v>
      </c>
      <c r="I516" s="29">
        <v>43983.583333333328</v>
      </c>
      <c r="J516" s="12" t="s">
        <v>3331</v>
      </c>
      <c r="L516" s="12" t="s">
        <v>3299</v>
      </c>
      <c r="M516" s="12" t="s">
        <v>3379</v>
      </c>
      <c r="N516" s="12" t="s">
        <v>4124</v>
      </c>
      <c r="O516" s="12" t="s">
        <v>3381</v>
      </c>
      <c r="P516" s="12" t="s">
        <v>4146</v>
      </c>
      <c r="AE516" s="32">
        <v>0.3125</v>
      </c>
      <c r="AF516" s="35"/>
    </row>
    <row r="517" spans="1:32" ht="12.75">
      <c r="A517" s="29">
        <v>43985.336184930551</v>
      </c>
      <c r="B517" s="12" t="s">
        <v>3390</v>
      </c>
      <c r="C517" s="12" t="s">
        <v>3391</v>
      </c>
      <c r="D517" s="12" t="s">
        <v>3589</v>
      </c>
      <c r="E517" s="12" t="s">
        <v>3834</v>
      </c>
      <c r="F517" s="30">
        <v>43984</v>
      </c>
      <c r="G517" s="12" t="s">
        <v>3465</v>
      </c>
      <c r="H517" s="32">
        <v>0.53125</v>
      </c>
      <c r="I517" s="29">
        <v>43984.541666666672</v>
      </c>
      <c r="J517" s="12" t="s">
        <v>3377</v>
      </c>
      <c r="L517" s="12" t="s">
        <v>3393</v>
      </c>
      <c r="M517" s="12" t="s">
        <v>3454</v>
      </c>
      <c r="N517" s="12" t="s">
        <v>4124</v>
      </c>
      <c r="O517" s="12" t="s">
        <v>3429</v>
      </c>
      <c r="P517" s="12" t="s">
        <v>4146</v>
      </c>
      <c r="AE517" s="32">
        <v>0.29861111110949423</v>
      </c>
      <c r="AF517" s="35"/>
    </row>
    <row r="518" spans="1:32" ht="12.75">
      <c r="A518" s="29">
        <v>43985.348587199071</v>
      </c>
      <c r="B518" s="12" t="s">
        <v>3470</v>
      </c>
      <c r="C518" s="12" t="s">
        <v>3719</v>
      </c>
      <c r="D518" s="12" t="s">
        <v>3589</v>
      </c>
      <c r="E518" s="12" t="s">
        <v>4219</v>
      </c>
      <c r="F518" s="30">
        <v>43985</v>
      </c>
      <c r="G518" s="12" t="s">
        <v>4313</v>
      </c>
      <c r="H518" s="32">
        <v>0.4375</v>
      </c>
      <c r="I518" s="29">
        <v>43985.458333333328</v>
      </c>
      <c r="J518" s="12" t="s">
        <v>4314</v>
      </c>
      <c r="L518" s="12" t="s">
        <v>3393</v>
      </c>
      <c r="M518" s="12" t="s">
        <v>3474</v>
      </c>
      <c r="N518" s="12" t="s">
        <v>3760</v>
      </c>
      <c r="O518" s="12" t="s">
        <v>3475</v>
      </c>
      <c r="P518" s="12" t="s">
        <v>4146</v>
      </c>
      <c r="AE518" s="32">
        <v>0.34722222221898846</v>
      </c>
      <c r="AF518" s="35"/>
    </row>
    <row r="519" spans="1:32" ht="12.75">
      <c r="A519" s="29">
        <v>43985.376770046292</v>
      </c>
      <c r="B519" s="12" t="s">
        <v>3372</v>
      </c>
      <c r="C519" s="12" t="s">
        <v>4061</v>
      </c>
      <c r="D519" s="12" t="s">
        <v>3589</v>
      </c>
      <c r="E519" s="12" t="s">
        <v>4315</v>
      </c>
      <c r="F519" s="30">
        <v>43985</v>
      </c>
      <c r="G519" s="12" t="s">
        <v>4316</v>
      </c>
      <c r="H519" s="32">
        <v>0.70833333333575865</v>
      </c>
      <c r="I519" s="29">
        <v>43985.729166666672</v>
      </c>
      <c r="J519" s="12" t="s">
        <v>3331</v>
      </c>
      <c r="L519" s="12" t="s">
        <v>3299</v>
      </c>
      <c r="M519" s="12" t="s">
        <v>3379</v>
      </c>
      <c r="N519" s="12" t="s">
        <v>4124</v>
      </c>
      <c r="O519" s="12" t="s">
        <v>3381</v>
      </c>
      <c r="P519" s="12" t="s">
        <v>4146</v>
      </c>
      <c r="AE519" s="32">
        <v>0.41666666666424135</v>
      </c>
      <c r="AF519" s="35"/>
    </row>
    <row r="520" spans="1:32" ht="12.75">
      <c r="A520" s="29">
        <v>43994.369997800924</v>
      </c>
      <c r="B520" s="12" t="s">
        <v>3564</v>
      </c>
      <c r="C520" s="12" t="s">
        <v>4117</v>
      </c>
      <c r="D520" s="12" t="s">
        <v>3589</v>
      </c>
      <c r="E520" s="12" t="s">
        <v>3730</v>
      </c>
      <c r="F520" s="30">
        <v>43994</v>
      </c>
      <c r="G520" s="12" t="s">
        <v>4317</v>
      </c>
      <c r="H520" s="32">
        <v>0.60416666666424135</v>
      </c>
      <c r="I520" s="29">
        <v>43994.166666666672</v>
      </c>
      <c r="J520" s="12" t="s">
        <v>3331</v>
      </c>
      <c r="L520" s="12" t="s">
        <v>3299</v>
      </c>
      <c r="M520" s="12" t="s">
        <v>3379</v>
      </c>
      <c r="N520" s="12" t="s">
        <v>3490</v>
      </c>
      <c r="O520" s="12" t="s">
        <v>3381</v>
      </c>
      <c r="P520" s="12" t="s">
        <v>4146</v>
      </c>
      <c r="AE520" s="32">
        <v>0.35416666666424135</v>
      </c>
      <c r="AF520" s="35"/>
    </row>
    <row r="521" spans="1:32" ht="12.75">
      <c r="A521" s="29">
        <v>43995.280985717589</v>
      </c>
      <c r="B521" s="12" t="s">
        <v>3564</v>
      </c>
      <c r="C521" s="12" t="s">
        <v>4117</v>
      </c>
      <c r="D521" s="12" t="s">
        <v>3589</v>
      </c>
      <c r="E521" s="12" t="s">
        <v>3730</v>
      </c>
      <c r="F521" s="30">
        <v>43994</v>
      </c>
      <c r="G521" s="12" t="s">
        <v>4317</v>
      </c>
      <c r="H521" s="32">
        <v>0.60416666666424135</v>
      </c>
      <c r="I521" s="29">
        <v>43994.166666666672</v>
      </c>
      <c r="J521" s="12" t="s">
        <v>3331</v>
      </c>
      <c r="L521" s="12" t="s">
        <v>3299</v>
      </c>
      <c r="M521" s="12" t="s">
        <v>3379</v>
      </c>
      <c r="N521" s="12" t="s">
        <v>3490</v>
      </c>
      <c r="O521" s="12" t="s">
        <v>3381</v>
      </c>
      <c r="P521" s="12" t="s">
        <v>4146</v>
      </c>
      <c r="AE521" s="32">
        <v>0.35416666666424135</v>
      </c>
      <c r="AF521" s="35"/>
    </row>
    <row r="522" spans="1:32" ht="12.75">
      <c r="A522" s="29">
        <v>43998.489916122686</v>
      </c>
      <c r="B522" s="12" t="s">
        <v>3417</v>
      </c>
      <c r="C522" s="12" t="s">
        <v>3902</v>
      </c>
      <c r="D522" s="12" t="s">
        <v>3589</v>
      </c>
      <c r="E522" s="12" t="s">
        <v>3387</v>
      </c>
      <c r="F522" s="30">
        <v>43998</v>
      </c>
      <c r="G522" s="12" t="s">
        <v>4318</v>
      </c>
      <c r="H522" s="32">
        <v>0.58333333333575865</v>
      </c>
      <c r="I522" s="29">
        <v>43998.625</v>
      </c>
      <c r="J522" s="12" t="s">
        <v>3331</v>
      </c>
      <c r="L522" s="12" t="s">
        <v>3299</v>
      </c>
      <c r="M522" s="12" t="s">
        <v>3379</v>
      </c>
      <c r="N522" s="12" t="s">
        <v>4124</v>
      </c>
      <c r="O522" s="12" t="s">
        <v>3381</v>
      </c>
      <c r="P522" s="12" t="s">
        <v>4146</v>
      </c>
      <c r="AE522" s="32">
        <v>0.47916666666424135</v>
      </c>
      <c r="AF522" s="35"/>
    </row>
    <row r="523" spans="1:32" ht="12.75">
      <c r="A523" s="29">
        <v>43999.298031770828</v>
      </c>
      <c r="B523" s="12" t="s">
        <v>3390</v>
      </c>
      <c r="C523" s="12" t="s">
        <v>3391</v>
      </c>
      <c r="D523" s="12" t="s">
        <v>3589</v>
      </c>
      <c r="E523" s="12" t="s">
        <v>3834</v>
      </c>
      <c r="F523" s="30">
        <v>43999</v>
      </c>
      <c r="G523" s="12" t="s">
        <v>3465</v>
      </c>
      <c r="H523" s="32">
        <v>0.60416666666424135</v>
      </c>
      <c r="I523" s="29">
        <v>43999.704861111109</v>
      </c>
      <c r="J523" s="12" t="s">
        <v>3366</v>
      </c>
      <c r="L523" s="12" t="s">
        <v>3393</v>
      </c>
      <c r="M523" s="12" t="s">
        <v>3591</v>
      </c>
      <c r="O523" s="12" t="s">
        <v>3767</v>
      </c>
      <c r="P523" s="12" t="s">
        <v>4146</v>
      </c>
      <c r="AE523" s="32">
        <v>0.32291666666424135</v>
      </c>
      <c r="AF523" s="35"/>
    </row>
    <row r="524" spans="1:32" ht="12.75">
      <c r="A524" s="29">
        <v>43999.302523831022</v>
      </c>
      <c r="B524" s="12" t="s">
        <v>3760</v>
      </c>
      <c r="C524" s="12" t="s">
        <v>4319</v>
      </c>
      <c r="D524" s="12" t="s">
        <v>3631</v>
      </c>
      <c r="E524" s="12" t="s">
        <v>4219</v>
      </c>
      <c r="F524" s="30">
        <v>43999</v>
      </c>
      <c r="G524" s="12" t="s">
        <v>3419</v>
      </c>
      <c r="H524" s="32">
        <v>0.375</v>
      </c>
      <c r="I524" s="29">
        <v>43999.385416666672</v>
      </c>
      <c r="J524" s="12" t="s">
        <v>3403</v>
      </c>
      <c r="L524" s="12" t="s">
        <v>4320</v>
      </c>
      <c r="M524" s="12" t="s">
        <v>3307</v>
      </c>
      <c r="O524" s="12" t="s">
        <v>4159</v>
      </c>
      <c r="P524" s="12" t="s">
        <v>4146</v>
      </c>
      <c r="AE524" s="32">
        <v>0.30208333333575865</v>
      </c>
      <c r="AF524" s="35"/>
    </row>
    <row r="525" spans="1:32" ht="12.75">
      <c r="A525" s="29">
        <v>43999.433113888888</v>
      </c>
      <c r="B525" s="12" t="s">
        <v>3417</v>
      </c>
      <c r="C525" s="12" t="s">
        <v>3902</v>
      </c>
      <c r="D525" s="12" t="s">
        <v>3589</v>
      </c>
      <c r="E525" s="12" t="s">
        <v>4321</v>
      </c>
      <c r="F525" s="30">
        <v>43999</v>
      </c>
      <c r="G525" s="12" t="s">
        <v>4322</v>
      </c>
      <c r="H525" s="32">
        <v>0.54166666666424135</v>
      </c>
      <c r="I525" s="29">
        <v>43999.541666666672</v>
      </c>
      <c r="J525" s="12" t="s">
        <v>3331</v>
      </c>
      <c r="L525" s="12" t="s">
        <v>3299</v>
      </c>
      <c r="M525" s="12" t="s">
        <v>3379</v>
      </c>
      <c r="N525" s="12" t="s">
        <v>4323</v>
      </c>
      <c r="O525" s="12" t="s">
        <v>3381</v>
      </c>
      <c r="P525" s="12" t="s">
        <v>4146</v>
      </c>
      <c r="AE525" s="32">
        <v>0.42708333333575865</v>
      </c>
      <c r="AF525" s="35"/>
    </row>
    <row r="526" spans="1:32" ht="12.75">
      <c r="A526" s="29">
        <v>43999.636287326386</v>
      </c>
      <c r="B526" s="12" t="s">
        <v>3417</v>
      </c>
      <c r="C526" s="12" t="s">
        <v>3902</v>
      </c>
      <c r="D526" s="12" t="s">
        <v>3589</v>
      </c>
      <c r="E526" s="12" t="s">
        <v>4100</v>
      </c>
      <c r="F526" s="30">
        <v>43999</v>
      </c>
      <c r="G526" s="12" t="s">
        <v>4324</v>
      </c>
      <c r="H526" s="32">
        <v>0.79166666666424135</v>
      </c>
      <c r="I526" s="29">
        <v>43999.833333333328</v>
      </c>
      <c r="J526" s="12" t="s">
        <v>3331</v>
      </c>
      <c r="L526" s="12" t="s">
        <v>3299</v>
      </c>
      <c r="M526" s="12" t="s">
        <v>3379</v>
      </c>
      <c r="N526" s="12" t="s">
        <v>4124</v>
      </c>
      <c r="O526" s="12" t="s">
        <v>3381</v>
      </c>
      <c r="P526" s="12" t="s">
        <v>4146</v>
      </c>
      <c r="AE526" s="32">
        <v>0.63541666666424135</v>
      </c>
      <c r="AF526" s="35"/>
    </row>
    <row r="527" spans="1:32" ht="12.75">
      <c r="A527" s="29">
        <v>43999.871182604169</v>
      </c>
      <c r="B527" s="12" t="s">
        <v>3760</v>
      </c>
      <c r="C527" s="12" t="s">
        <v>4319</v>
      </c>
      <c r="D527" s="12" t="s">
        <v>3631</v>
      </c>
      <c r="E527" s="12" t="s">
        <v>4219</v>
      </c>
      <c r="F527" s="30">
        <v>43999</v>
      </c>
      <c r="G527" s="12" t="s">
        <v>3419</v>
      </c>
      <c r="H527" s="32">
        <v>0.375</v>
      </c>
      <c r="I527" s="29">
        <v>43999.385416666672</v>
      </c>
      <c r="J527" s="12" t="s">
        <v>3403</v>
      </c>
      <c r="L527" s="12" t="s">
        <v>4320</v>
      </c>
      <c r="M527" s="12" t="s">
        <v>3307</v>
      </c>
      <c r="O527" s="12" t="s">
        <v>4159</v>
      </c>
      <c r="P527" s="12" t="s">
        <v>4146</v>
      </c>
      <c r="AE527" s="32">
        <v>0.30208333333575865</v>
      </c>
      <c r="AF527" s="35"/>
    </row>
    <row r="528" spans="1:32" ht="12.75">
      <c r="A528" s="29">
        <v>44000.403581724539</v>
      </c>
      <c r="B528" s="12" t="s">
        <v>3417</v>
      </c>
      <c r="C528" s="12" t="s">
        <v>4325</v>
      </c>
      <c r="D528" s="12" t="s">
        <v>3589</v>
      </c>
      <c r="E528" s="12" t="s">
        <v>3387</v>
      </c>
      <c r="F528" s="30">
        <v>44000</v>
      </c>
      <c r="G528" s="12" t="s">
        <v>4326</v>
      </c>
      <c r="H528" s="32">
        <v>0.70833333333575865</v>
      </c>
      <c r="I528" s="29">
        <v>44000.75</v>
      </c>
      <c r="J528" s="12" t="s">
        <v>3331</v>
      </c>
      <c r="L528" s="12" t="s">
        <v>3299</v>
      </c>
      <c r="M528" s="12" t="s">
        <v>3379</v>
      </c>
      <c r="N528" s="12" t="s">
        <v>4124</v>
      </c>
      <c r="O528" s="12" t="s">
        <v>3381</v>
      </c>
      <c r="P528" s="12" t="s">
        <v>4146</v>
      </c>
      <c r="AE528" s="32">
        <v>0.40277777778101154</v>
      </c>
      <c r="AF528" s="35"/>
    </row>
    <row r="529" spans="1:32" ht="12.75">
      <c r="A529" s="29">
        <v>44007.331953194443</v>
      </c>
      <c r="B529" s="12" t="s">
        <v>3417</v>
      </c>
      <c r="C529" s="12" t="s">
        <v>3902</v>
      </c>
      <c r="D529" s="12" t="s">
        <v>3589</v>
      </c>
      <c r="E529" s="12" t="s">
        <v>3430</v>
      </c>
      <c r="F529" s="30">
        <v>44007</v>
      </c>
      <c r="G529" s="12" t="s">
        <v>4327</v>
      </c>
      <c r="H529" s="32">
        <v>0.54166666666424135</v>
      </c>
      <c r="I529" s="29">
        <v>44007.583333333328</v>
      </c>
      <c r="J529" s="12" t="s">
        <v>3331</v>
      </c>
      <c r="L529" s="12" t="s">
        <v>3299</v>
      </c>
      <c r="M529" s="12" t="s">
        <v>3379</v>
      </c>
      <c r="N529" s="12" t="s">
        <v>3931</v>
      </c>
      <c r="O529" s="12" t="s">
        <v>3381</v>
      </c>
      <c r="P529" s="12" t="s">
        <v>4146</v>
      </c>
      <c r="AE529" s="32">
        <v>0.33333333333575865</v>
      </c>
      <c r="AF529" s="35"/>
    </row>
    <row r="530" spans="1:32" ht="12.75">
      <c r="A530" s="29">
        <v>44012.372097106483</v>
      </c>
      <c r="B530" s="12" t="s">
        <v>3417</v>
      </c>
      <c r="C530" s="12" t="s">
        <v>3902</v>
      </c>
      <c r="D530" s="12" t="s">
        <v>3589</v>
      </c>
      <c r="E530" s="12" t="s">
        <v>3862</v>
      </c>
      <c r="F530" s="30">
        <v>44012</v>
      </c>
      <c r="G530" s="12" t="s">
        <v>4328</v>
      </c>
      <c r="H530" s="32">
        <v>0.5</v>
      </c>
      <c r="I530" s="29">
        <v>44012.520833333328</v>
      </c>
      <c r="J530" s="12" t="s">
        <v>3331</v>
      </c>
      <c r="L530" s="12" t="s">
        <v>3299</v>
      </c>
      <c r="M530" s="12" t="s">
        <v>3379</v>
      </c>
      <c r="N530" s="12" t="s">
        <v>4124</v>
      </c>
      <c r="O530" s="12" t="s">
        <v>3381</v>
      </c>
      <c r="P530" s="12" t="s">
        <v>4146</v>
      </c>
      <c r="AE530" s="32">
        <v>0.375</v>
      </c>
      <c r="AF530" s="35"/>
    </row>
    <row r="531" spans="1:32" ht="12.75">
      <c r="A531" s="29">
        <v>44013.382159236113</v>
      </c>
      <c r="B531" s="12" t="s">
        <v>3417</v>
      </c>
      <c r="C531" s="12" t="s">
        <v>3902</v>
      </c>
      <c r="D531" s="12" t="s">
        <v>3589</v>
      </c>
      <c r="E531" s="12" t="s">
        <v>3862</v>
      </c>
      <c r="F531" s="30">
        <v>44013</v>
      </c>
      <c r="G531" s="12" t="s">
        <v>4329</v>
      </c>
      <c r="H531" s="32">
        <v>0.66666666666424135</v>
      </c>
      <c r="I531" s="29">
        <v>44013.6875</v>
      </c>
      <c r="J531" s="12" t="s">
        <v>3331</v>
      </c>
      <c r="L531" s="12" t="s">
        <v>3299</v>
      </c>
      <c r="M531" s="12" t="s">
        <v>3379</v>
      </c>
      <c r="N531" s="12" t="s">
        <v>4124</v>
      </c>
      <c r="O531" s="12" t="s">
        <v>3381</v>
      </c>
      <c r="P531" s="12" t="s">
        <v>4146</v>
      </c>
      <c r="AE531" s="32">
        <v>0.38541666666424135</v>
      </c>
      <c r="AF531" s="35"/>
    </row>
    <row r="532" spans="1:32" ht="12.75">
      <c r="A532" s="29">
        <v>44014.327094039356</v>
      </c>
      <c r="B532" s="12" t="s">
        <v>3417</v>
      </c>
      <c r="C532" s="12" t="s">
        <v>3902</v>
      </c>
      <c r="D532" s="12" t="s">
        <v>3589</v>
      </c>
      <c r="E532" s="12" t="s">
        <v>3687</v>
      </c>
      <c r="F532" s="30">
        <v>44014</v>
      </c>
      <c r="G532" s="12" t="s">
        <v>4291</v>
      </c>
      <c r="H532" s="32">
        <v>0.5</v>
      </c>
      <c r="I532" s="29">
        <v>44014.583333333328</v>
      </c>
      <c r="J532" s="12" t="s">
        <v>3331</v>
      </c>
      <c r="L532" s="12" t="s">
        <v>3299</v>
      </c>
      <c r="M532" s="12" t="s">
        <v>3379</v>
      </c>
      <c r="N532" s="12" t="s">
        <v>4124</v>
      </c>
      <c r="O532" s="12" t="s">
        <v>3381</v>
      </c>
      <c r="P532" s="12" t="s">
        <v>4146</v>
      </c>
      <c r="AE532" s="32">
        <v>0.3125</v>
      </c>
      <c r="AF532" s="35"/>
    </row>
    <row r="533" spans="1:32" ht="12.75">
      <c r="A533" s="29">
        <v>44019.354679131946</v>
      </c>
      <c r="B533" s="12" t="s">
        <v>3390</v>
      </c>
      <c r="C533" s="12" t="s">
        <v>3391</v>
      </c>
      <c r="D533" s="12" t="s">
        <v>3589</v>
      </c>
      <c r="E533" s="12" t="s">
        <v>3834</v>
      </c>
      <c r="F533" s="30">
        <v>44019</v>
      </c>
      <c r="G533" s="12" t="s">
        <v>3520</v>
      </c>
      <c r="H533" s="32">
        <v>0.60416666666424135</v>
      </c>
      <c r="I533" s="29">
        <v>44019.625</v>
      </c>
      <c r="J533" s="12" t="s">
        <v>3331</v>
      </c>
      <c r="L533" s="12" t="s">
        <v>3393</v>
      </c>
      <c r="M533" s="12" t="s">
        <v>3454</v>
      </c>
      <c r="N533" s="12" t="s">
        <v>4124</v>
      </c>
      <c r="O533" s="12" t="s">
        <v>3429</v>
      </c>
      <c r="P533" s="12" t="s">
        <v>4146</v>
      </c>
      <c r="AE533" s="32">
        <v>0.39583333333575865</v>
      </c>
      <c r="AF533" s="35"/>
    </row>
    <row r="534" spans="1:32" ht="12.75">
      <c r="A534" s="29">
        <v>44026.336446886577</v>
      </c>
      <c r="B534" s="12" t="s">
        <v>3417</v>
      </c>
      <c r="C534" s="12" t="s">
        <v>3902</v>
      </c>
      <c r="D534" s="12" t="s">
        <v>3589</v>
      </c>
      <c r="E534" s="12" t="s">
        <v>4239</v>
      </c>
      <c r="F534" s="30">
        <v>44026</v>
      </c>
      <c r="G534" s="12" t="s">
        <v>3310</v>
      </c>
      <c r="H534" s="32">
        <v>0.58333333333575865</v>
      </c>
      <c r="I534" s="29">
        <v>44026.625</v>
      </c>
      <c r="J534" s="12" t="s">
        <v>3331</v>
      </c>
      <c r="L534" s="12" t="s">
        <v>3299</v>
      </c>
      <c r="M534" s="12" t="s">
        <v>3379</v>
      </c>
      <c r="N534" s="12" t="s">
        <v>4124</v>
      </c>
      <c r="O534" s="12" t="s">
        <v>3381</v>
      </c>
      <c r="P534" s="12" t="s">
        <v>4146</v>
      </c>
      <c r="AE534" s="32">
        <v>0.3125</v>
      </c>
      <c r="AF534" s="35"/>
    </row>
    <row r="535" spans="1:32" ht="12.75">
      <c r="A535" s="29">
        <v>44027.268019131945</v>
      </c>
      <c r="B535" s="12" t="s">
        <v>3760</v>
      </c>
      <c r="C535" s="12" t="s">
        <v>4330</v>
      </c>
      <c r="D535" s="12" t="s">
        <v>3589</v>
      </c>
      <c r="E535" s="12" t="s">
        <v>3419</v>
      </c>
      <c r="F535" s="30">
        <v>44027</v>
      </c>
      <c r="G535" s="12" t="s">
        <v>3419</v>
      </c>
      <c r="H535" s="32">
        <v>0.33333333333575865</v>
      </c>
      <c r="I535" s="29">
        <v>44027.34375</v>
      </c>
      <c r="J535" s="12" t="s">
        <v>4331</v>
      </c>
      <c r="L535" s="12" t="s">
        <v>3393</v>
      </c>
      <c r="M535" s="12" t="s">
        <v>3474</v>
      </c>
      <c r="O535" s="12" t="s">
        <v>4289</v>
      </c>
      <c r="P535" s="12" t="s">
        <v>4146</v>
      </c>
      <c r="AE535" s="32">
        <v>0.27083333333575865</v>
      </c>
      <c r="AF535" s="35"/>
    </row>
    <row r="536" spans="1:32" ht="12.75">
      <c r="A536" s="29">
        <v>44027.277418819445</v>
      </c>
      <c r="B536" s="12" t="s">
        <v>3417</v>
      </c>
      <c r="C536" s="12" t="s">
        <v>3902</v>
      </c>
      <c r="D536" s="12" t="s">
        <v>3589</v>
      </c>
      <c r="E536" s="12" t="s">
        <v>4239</v>
      </c>
      <c r="F536" s="30">
        <v>44027</v>
      </c>
      <c r="G536" s="12" t="s">
        <v>4090</v>
      </c>
      <c r="H536" s="32">
        <v>0.58333333333575865</v>
      </c>
      <c r="I536" s="29">
        <v>44027.625</v>
      </c>
      <c r="J536" s="12" t="s">
        <v>3331</v>
      </c>
      <c r="L536" s="12" t="s">
        <v>3299</v>
      </c>
      <c r="M536" s="12" t="s">
        <v>3379</v>
      </c>
      <c r="N536" s="12" t="s">
        <v>4124</v>
      </c>
      <c r="O536" s="12" t="s">
        <v>3381</v>
      </c>
      <c r="P536" s="12" t="s">
        <v>4146</v>
      </c>
      <c r="AE536" s="32">
        <v>0.27083333333575865</v>
      </c>
      <c r="AF536" s="35"/>
    </row>
    <row r="537" spans="1:32" ht="12.75">
      <c r="A537" s="29">
        <v>44027.778075902781</v>
      </c>
      <c r="B537" s="12" t="s">
        <v>3760</v>
      </c>
      <c r="C537" s="12" t="s">
        <v>4330</v>
      </c>
      <c r="D537" s="12" t="s">
        <v>3589</v>
      </c>
      <c r="E537" s="12" t="s">
        <v>3419</v>
      </c>
      <c r="F537" s="30">
        <v>44027</v>
      </c>
      <c r="G537" s="12" t="s">
        <v>3419</v>
      </c>
      <c r="H537" s="32">
        <v>0.33333333333575865</v>
      </c>
      <c r="I537" s="29">
        <v>44027.34375</v>
      </c>
      <c r="J537" s="12" t="s">
        <v>4331</v>
      </c>
      <c r="L537" s="12" t="s">
        <v>3393</v>
      </c>
      <c r="M537" s="12" t="s">
        <v>3474</v>
      </c>
      <c r="O537" s="12" t="s">
        <v>4289</v>
      </c>
      <c r="P537" s="12" t="s">
        <v>4146</v>
      </c>
      <c r="AE537" s="32">
        <v>0.27083333333575865</v>
      </c>
      <c r="AF537" s="35"/>
    </row>
    <row r="538" spans="1:32" ht="12.75">
      <c r="A538" s="29">
        <v>44033.399242430554</v>
      </c>
      <c r="B538" s="12" t="s">
        <v>3390</v>
      </c>
      <c r="C538" s="12" t="s">
        <v>3448</v>
      </c>
      <c r="D538" s="12" t="s">
        <v>3295</v>
      </c>
      <c r="E538" s="12" t="s">
        <v>3834</v>
      </c>
      <c r="F538" s="30">
        <v>44033</v>
      </c>
      <c r="G538" s="12" t="s">
        <v>3465</v>
      </c>
      <c r="H538" s="32">
        <v>0.58333333333575865</v>
      </c>
      <c r="I538" s="29">
        <v>44033.6875</v>
      </c>
      <c r="J538" s="12" t="s">
        <v>3377</v>
      </c>
      <c r="L538" s="12" t="s">
        <v>3393</v>
      </c>
      <c r="M538" s="12" t="s">
        <v>3591</v>
      </c>
      <c r="O538" s="12" t="s">
        <v>3390</v>
      </c>
      <c r="P538" s="12" t="s">
        <v>4146</v>
      </c>
      <c r="AE538" s="32">
        <v>0.41319444444525288</v>
      </c>
      <c r="AF538" s="35"/>
    </row>
    <row r="539" spans="1:32" ht="12.75">
      <c r="A539" s="29">
        <v>44034.533486469911</v>
      </c>
      <c r="B539" s="12" t="s">
        <v>3372</v>
      </c>
      <c r="C539" s="12" t="s">
        <v>3902</v>
      </c>
      <c r="D539" s="12" t="s">
        <v>4299</v>
      </c>
      <c r="E539" s="12" t="s">
        <v>3418</v>
      </c>
      <c r="F539" s="30">
        <v>44034</v>
      </c>
      <c r="G539" s="12" t="s">
        <v>4332</v>
      </c>
      <c r="H539" s="32">
        <v>0.54166666666424135</v>
      </c>
      <c r="I539" s="29">
        <v>44034.5625</v>
      </c>
      <c r="J539" s="12" t="s">
        <v>3331</v>
      </c>
      <c r="L539" s="12" t="s">
        <v>3299</v>
      </c>
      <c r="M539" s="12" t="s">
        <v>3379</v>
      </c>
      <c r="N539" s="12" t="s">
        <v>4124</v>
      </c>
      <c r="O539" s="12" t="s">
        <v>3381</v>
      </c>
      <c r="P539" s="12" t="s">
        <v>4146</v>
      </c>
      <c r="AE539" s="32">
        <v>0.52083333333575865</v>
      </c>
      <c r="AF539" s="35"/>
    </row>
    <row r="540" spans="1:32" ht="12.75">
      <c r="A540" s="29">
        <v>44039.455661111111</v>
      </c>
      <c r="B540" s="12" t="s">
        <v>4202</v>
      </c>
      <c r="C540" s="12" t="s">
        <v>3902</v>
      </c>
      <c r="D540" s="12" t="s">
        <v>3417</v>
      </c>
      <c r="E540" s="12" t="s">
        <v>4202</v>
      </c>
      <c r="F540" s="30">
        <v>44039</v>
      </c>
      <c r="G540" s="12" t="s">
        <v>4202</v>
      </c>
      <c r="H540" s="32">
        <v>4.1666666664241347E-2</v>
      </c>
      <c r="I540" s="29">
        <v>44039.041666666672</v>
      </c>
      <c r="J540" s="12" t="s">
        <v>4202</v>
      </c>
      <c r="L540" s="12" t="s">
        <v>4202</v>
      </c>
      <c r="M540" s="12" t="s">
        <v>4202</v>
      </c>
      <c r="N540" s="12" t="s">
        <v>4202</v>
      </c>
      <c r="O540" s="12" t="s">
        <v>4202</v>
      </c>
      <c r="P540" s="12" t="s">
        <v>4146</v>
      </c>
      <c r="AE540" s="32">
        <v>4.1666666664241347E-2</v>
      </c>
      <c r="AF540" s="35"/>
    </row>
    <row r="541" spans="1:32" ht="12.75">
      <c r="A541" s="29">
        <v>44040.409575995371</v>
      </c>
      <c r="B541" s="12" t="s">
        <v>4109</v>
      </c>
      <c r="C541" s="12" t="s">
        <v>4092</v>
      </c>
      <c r="D541" s="12" t="s">
        <v>3470</v>
      </c>
      <c r="E541" s="12" t="s">
        <v>4239</v>
      </c>
      <c r="F541" s="30">
        <v>44040</v>
      </c>
      <c r="G541" s="12" t="s">
        <v>4333</v>
      </c>
      <c r="H541" s="32">
        <v>0.58333333333575865</v>
      </c>
      <c r="I541" s="29">
        <v>44010.625</v>
      </c>
      <c r="J541" s="12" t="s">
        <v>3331</v>
      </c>
      <c r="L541" s="12" t="s">
        <v>3299</v>
      </c>
      <c r="M541" s="12" t="s">
        <v>3379</v>
      </c>
      <c r="N541" s="12" t="s">
        <v>4124</v>
      </c>
      <c r="O541" s="12" t="s">
        <v>3381</v>
      </c>
      <c r="P541" s="12" t="s">
        <v>4146</v>
      </c>
      <c r="AE541" s="32">
        <v>0.3125</v>
      </c>
      <c r="AF541" s="35"/>
    </row>
    <row r="542" spans="1:32" ht="12.75">
      <c r="A542" s="29">
        <v>44040.906757916666</v>
      </c>
      <c r="B542" s="12" t="s">
        <v>4109</v>
      </c>
      <c r="C542" s="12" t="s">
        <v>4092</v>
      </c>
      <c r="D542" s="12" t="s">
        <v>3470</v>
      </c>
      <c r="E542" s="12" t="s">
        <v>4239</v>
      </c>
      <c r="F542" s="30">
        <v>44040</v>
      </c>
      <c r="G542" s="12" t="s">
        <v>4333</v>
      </c>
      <c r="H542" s="32">
        <v>0.58333333333575865</v>
      </c>
      <c r="I542" s="29">
        <v>44010.625</v>
      </c>
      <c r="J542" s="12" t="s">
        <v>3331</v>
      </c>
      <c r="L542" s="12" t="s">
        <v>3299</v>
      </c>
      <c r="M542" s="12" t="s">
        <v>3379</v>
      </c>
      <c r="N542" s="12" t="s">
        <v>4124</v>
      </c>
      <c r="O542" s="12" t="s">
        <v>3381</v>
      </c>
      <c r="P542" s="12" t="s">
        <v>4146</v>
      </c>
      <c r="AE542" s="32">
        <v>0.3125</v>
      </c>
      <c r="AF542" s="35"/>
    </row>
    <row r="543" spans="1:32" ht="12.75">
      <c r="A543" s="29">
        <v>44041.536181990741</v>
      </c>
      <c r="B543" s="12" t="s">
        <v>3564</v>
      </c>
      <c r="C543" s="12" t="s">
        <v>4117</v>
      </c>
      <c r="D543" s="12" t="s">
        <v>3470</v>
      </c>
      <c r="E543" s="12" t="s">
        <v>3730</v>
      </c>
      <c r="F543" s="30" t="s">
        <v>4334</v>
      </c>
      <c r="G543" s="12" t="s">
        <v>4335</v>
      </c>
      <c r="H543" s="32">
        <v>0.66666666666424135</v>
      </c>
      <c r="I543" s="29">
        <v>44041.708333333328</v>
      </c>
      <c r="J543" s="12" t="s">
        <v>3331</v>
      </c>
      <c r="L543" s="12" t="s">
        <v>3299</v>
      </c>
      <c r="M543" s="12" t="s">
        <v>3379</v>
      </c>
      <c r="N543" s="12" t="s">
        <v>3490</v>
      </c>
      <c r="O543" s="12" t="s">
        <v>3381</v>
      </c>
      <c r="P543" s="12" t="s">
        <v>4146</v>
      </c>
      <c r="AE543" s="32">
        <v>0.54166666666424135</v>
      </c>
      <c r="AF543" s="35"/>
    </row>
    <row r="544" spans="1:32" ht="12.75">
      <c r="A544" s="29">
        <v>44042.499942407405</v>
      </c>
      <c r="B544" s="12" t="s">
        <v>3417</v>
      </c>
      <c r="C544" s="12" t="s">
        <v>3902</v>
      </c>
      <c r="D544" s="12" t="s">
        <v>3470</v>
      </c>
      <c r="E544" s="12" t="s">
        <v>3387</v>
      </c>
      <c r="F544" s="30">
        <v>44042</v>
      </c>
      <c r="G544" s="12" t="s">
        <v>4336</v>
      </c>
      <c r="H544" s="32">
        <v>0.625</v>
      </c>
      <c r="I544" s="29">
        <v>44042.666666666672</v>
      </c>
      <c r="J544" s="12" t="s">
        <v>3331</v>
      </c>
      <c r="L544" s="12" t="s">
        <v>3299</v>
      </c>
      <c r="M544" s="12" t="s">
        <v>3379</v>
      </c>
      <c r="N544" s="12" t="s">
        <v>4124</v>
      </c>
      <c r="O544" s="12" t="s">
        <v>3381</v>
      </c>
      <c r="P544" s="12" t="s">
        <v>4146</v>
      </c>
      <c r="AE544" s="32">
        <v>0.40625</v>
      </c>
      <c r="AF544" s="35"/>
    </row>
    <row r="545" spans="1:32" ht="12.75">
      <c r="A545" s="29">
        <v>44043.409430069441</v>
      </c>
      <c r="B545" s="12" t="s">
        <v>3417</v>
      </c>
      <c r="C545" s="12" t="s">
        <v>3902</v>
      </c>
      <c r="D545" s="12" t="s">
        <v>4153</v>
      </c>
      <c r="E545" s="12" t="s">
        <v>3862</v>
      </c>
      <c r="F545" s="30">
        <v>44043</v>
      </c>
      <c r="G545" s="12" t="s">
        <v>4110</v>
      </c>
      <c r="H545" s="32">
        <v>0.42708333333575865</v>
      </c>
      <c r="I545" s="29">
        <v>44043.4375</v>
      </c>
      <c r="J545" s="12" t="s">
        <v>3331</v>
      </c>
      <c r="L545" s="12" t="s">
        <v>3299</v>
      </c>
      <c r="M545" s="12" t="s">
        <v>3379</v>
      </c>
      <c r="N545" s="12" t="s">
        <v>3931</v>
      </c>
      <c r="O545" s="12" t="s">
        <v>3381</v>
      </c>
      <c r="P545" s="12" t="s">
        <v>4146</v>
      </c>
      <c r="AE545" s="32">
        <v>0.35416666666424135</v>
      </c>
      <c r="AF545" s="35"/>
    </row>
    <row r="546" spans="1:32" ht="12.75">
      <c r="A546" s="29">
        <v>44043.449948194444</v>
      </c>
      <c r="B546" s="12" t="s">
        <v>3417</v>
      </c>
      <c r="C546" s="12" t="s">
        <v>3902</v>
      </c>
      <c r="D546" s="12" t="s">
        <v>3417</v>
      </c>
      <c r="E546" s="12" t="s">
        <v>3404</v>
      </c>
      <c r="F546" s="30">
        <v>44043</v>
      </c>
      <c r="G546" s="12" t="s">
        <v>4337</v>
      </c>
      <c r="H546" s="32">
        <v>0.64583333333575865</v>
      </c>
      <c r="I546" s="29">
        <v>44043.666666666672</v>
      </c>
      <c r="J546" s="12" t="s">
        <v>3331</v>
      </c>
      <c r="L546" s="12" t="s">
        <v>3299</v>
      </c>
      <c r="M546" s="12" t="s">
        <v>3931</v>
      </c>
      <c r="N546" s="12" t="s">
        <v>4124</v>
      </c>
      <c r="O546" s="12" t="s">
        <v>3510</v>
      </c>
      <c r="P546" s="12" t="s">
        <v>4146</v>
      </c>
      <c r="AE546" s="32">
        <v>0.43055555555474712</v>
      </c>
      <c r="AF546" s="35"/>
    </row>
    <row r="547" spans="1:32" ht="12.75">
      <c r="A547" s="29">
        <v>44047.382843923609</v>
      </c>
      <c r="B547" s="12" t="s">
        <v>3372</v>
      </c>
      <c r="C547" s="12" t="s">
        <v>3902</v>
      </c>
      <c r="D547" s="12" t="s">
        <v>4257</v>
      </c>
      <c r="E547" s="12" t="s">
        <v>4305</v>
      </c>
      <c r="F547" s="30">
        <v>44047</v>
      </c>
      <c r="G547" s="12" t="s">
        <v>4282</v>
      </c>
      <c r="H547" s="32">
        <v>0.47916666666424135</v>
      </c>
      <c r="I547" s="29">
        <v>44047.5</v>
      </c>
      <c r="J547" s="12" t="s">
        <v>4338</v>
      </c>
      <c r="L547" s="12" t="s">
        <v>3299</v>
      </c>
      <c r="M547" s="12" t="s">
        <v>3379</v>
      </c>
      <c r="N547" s="12" t="s">
        <v>4124</v>
      </c>
      <c r="O547" s="12" t="s">
        <v>3381</v>
      </c>
      <c r="P547" s="12" t="s">
        <v>4146</v>
      </c>
      <c r="AE547" s="32">
        <v>0.38541666666424135</v>
      </c>
      <c r="AF547" s="35"/>
    </row>
    <row r="548" spans="1:32" ht="12.75">
      <c r="A548" s="29">
        <v>44048.284768726851</v>
      </c>
      <c r="B548" s="12" t="s">
        <v>3390</v>
      </c>
      <c r="C548" s="12" t="s">
        <v>3391</v>
      </c>
      <c r="D548" s="12" t="s">
        <v>4257</v>
      </c>
      <c r="E548" s="12" t="s">
        <v>4339</v>
      </c>
      <c r="F548" s="30">
        <v>44048</v>
      </c>
      <c r="G548" s="12" t="s">
        <v>3465</v>
      </c>
      <c r="H548" s="32">
        <v>0.52083333333575865</v>
      </c>
      <c r="I548" s="29">
        <v>44048.53125</v>
      </c>
      <c r="J548" s="12" t="s">
        <v>3331</v>
      </c>
      <c r="L548" s="12" t="s">
        <v>3393</v>
      </c>
      <c r="M548" s="12" t="s">
        <v>3591</v>
      </c>
      <c r="N548" s="12" t="s">
        <v>4340</v>
      </c>
      <c r="O548" s="12" t="s">
        <v>3390</v>
      </c>
      <c r="P548" s="12" t="s">
        <v>4146</v>
      </c>
      <c r="AE548" s="32">
        <v>0.33333333333575865</v>
      </c>
      <c r="AF548" s="35"/>
    </row>
    <row r="549" spans="1:32" ht="12.75">
      <c r="A549" s="29">
        <v>44050.353044976851</v>
      </c>
      <c r="B549" s="12" t="s">
        <v>3372</v>
      </c>
      <c r="C549" s="12" t="s">
        <v>3902</v>
      </c>
      <c r="D549" s="12" t="s">
        <v>4257</v>
      </c>
      <c r="E549" s="12" t="s">
        <v>3387</v>
      </c>
      <c r="F549" s="30">
        <v>44050</v>
      </c>
      <c r="G549" s="12" t="s">
        <v>3384</v>
      </c>
      <c r="H549" s="32">
        <v>0.5</v>
      </c>
      <c r="I549" s="29">
        <v>44050.541666666672</v>
      </c>
      <c r="J549" s="12" t="s">
        <v>3377</v>
      </c>
      <c r="L549" s="12" t="s">
        <v>3299</v>
      </c>
      <c r="M549" s="12" t="s">
        <v>3379</v>
      </c>
      <c r="N549" s="12" t="s">
        <v>4124</v>
      </c>
      <c r="O549" s="12" t="s">
        <v>3381</v>
      </c>
      <c r="P549" s="12" t="s">
        <v>4146</v>
      </c>
      <c r="AE549" s="32">
        <v>0.35416666666424135</v>
      </c>
      <c r="AF549" s="35"/>
    </row>
    <row r="550" spans="1:32" ht="12.75">
      <c r="A550" s="29">
        <v>44053.400094826386</v>
      </c>
      <c r="B550" s="12" t="s">
        <v>3564</v>
      </c>
      <c r="C550" s="12" t="s">
        <v>4117</v>
      </c>
      <c r="D550" s="12" t="s">
        <v>3470</v>
      </c>
      <c r="E550" s="12" t="s">
        <v>3730</v>
      </c>
      <c r="F550" s="30" t="s">
        <v>4334</v>
      </c>
      <c r="G550" s="12" t="s">
        <v>4335</v>
      </c>
      <c r="H550" s="32">
        <v>0.66666666666424135</v>
      </c>
      <c r="I550" s="29">
        <v>44041.708333333328</v>
      </c>
      <c r="J550" s="12" t="s">
        <v>3331</v>
      </c>
      <c r="L550" s="12" t="s">
        <v>3299</v>
      </c>
      <c r="M550" s="12" t="s">
        <v>3379</v>
      </c>
      <c r="N550" s="12" t="s">
        <v>3490</v>
      </c>
      <c r="O550" s="12" t="s">
        <v>3381</v>
      </c>
      <c r="P550" s="12" t="s">
        <v>4146</v>
      </c>
      <c r="AE550" s="32">
        <v>0.54166666666424135</v>
      </c>
      <c r="AF550" s="35"/>
    </row>
    <row r="551" spans="1:32" ht="12.75">
      <c r="A551" s="29">
        <v>44055.298425196757</v>
      </c>
      <c r="B551" s="12" t="s">
        <v>3417</v>
      </c>
      <c r="C551" s="12" t="s">
        <v>3902</v>
      </c>
      <c r="D551" s="12" t="s">
        <v>3470</v>
      </c>
      <c r="E551" s="12" t="s">
        <v>3920</v>
      </c>
      <c r="F551" s="30">
        <v>44055</v>
      </c>
      <c r="G551" s="12" t="s">
        <v>3648</v>
      </c>
      <c r="H551" s="32">
        <v>0.58333333333575865</v>
      </c>
      <c r="I551" s="29">
        <v>44055.604166666672</v>
      </c>
      <c r="J551" s="12" t="s">
        <v>3377</v>
      </c>
      <c r="L551" s="12" t="s">
        <v>3299</v>
      </c>
      <c r="M551" s="12" t="s">
        <v>3379</v>
      </c>
      <c r="N551" s="12" t="s">
        <v>4341</v>
      </c>
      <c r="O551" s="12" t="s">
        <v>3381</v>
      </c>
      <c r="P551" s="12" t="s">
        <v>4146</v>
      </c>
      <c r="AE551" s="32">
        <v>0.30208333333575865</v>
      </c>
      <c r="AF551" s="35"/>
    </row>
    <row r="552" spans="1:32" ht="12.75">
      <c r="A552" s="29">
        <v>44056.359949062498</v>
      </c>
      <c r="B552" s="12" t="s">
        <v>3417</v>
      </c>
      <c r="C552" s="12" t="s">
        <v>3902</v>
      </c>
      <c r="D552" s="12" t="s">
        <v>3470</v>
      </c>
      <c r="E552" s="12" t="s">
        <v>3920</v>
      </c>
      <c r="F552" s="30">
        <v>44056</v>
      </c>
      <c r="G552" s="12" t="s">
        <v>3640</v>
      </c>
      <c r="H552" s="32">
        <v>0.66666666666424135</v>
      </c>
      <c r="I552" s="29">
        <v>44056.6875</v>
      </c>
      <c r="J552" s="12" t="s">
        <v>4338</v>
      </c>
      <c r="L552" s="12" t="s">
        <v>4151</v>
      </c>
      <c r="M552" s="12" t="s">
        <v>3379</v>
      </c>
      <c r="N552" s="12" t="s">
        <v>4342</v>
      </c>
      <c r="O552" s="12" t="s">
        <v>3381</v>
      </c>
      <c r="P552" s="12" t="s">
        <v>4146</v>
      </c>
      <c r="AE552" s="32">
        <v>0.30208333333575865</v>
      </c>
      <c r="AF552" s="35"/>
    </row>
    <row r="553" spans="1:32" ht="12.75">
      <c r="A553" s="29">
        <v>44056.361348182865</v>
      </c>
      <c r="B553" s="12" t="s">
        <v>3417</v>
      </c>
      <c r="C553" s="12" t="s">
        <v>3902</v>
      </c>
      <c r="D553" s="12" t="s">
        <v>3470</v>
      </c>
      <c r="E553" s="12" t="s">
        <v>3920</v>
      </c>
      <c r="F553" s="30">
        <v>44056</v>
      </c>
      <c r="G553" s="12" t="s">
        <v>3640</v>
      </c>
      <c r="H553" s="32">
        <v>0.66666666666424135</v>
      </c>
      <c r="I553" s="29">
        <v>44056.6875</v>
      </c>
      <c r="J553" s="12" t="s">
        <v>3377</v>
      </c>
      <c r="L553" s="12" t="s">
        <v>3299</v>
      </c>
      <c r="M553" s="12" t="s">
        <v>3931</v>
      </c>
      <c r="N553" s="12" t="s">
        <v>4343</v>
      </c>
      <c r="O553" s="12" t="s">
        <v>3510</v>
      </c>
      <c r="P553" s="12" t="s">
        <v>4146</v>
      </c>
      <c r="AE553" s="32">
        <v>0.30208333333575865</v>
      </c>
      <c r="AF553" s="35"/>
    </row>
    <row r="554" spans="1:32" ht="12.75">
      <c r="A554" s="29">
        <v>44060.337482557872</v>
      </c>
      <c r="B554" s="12" t="s">
        <v>3417</v>
      </c>
      <c r="C554" s="12" t="s">
        <v>3902</v>
      </c>
      <c r="D554" s="12" t="s">
        <v>4257</v>
      </c>
      <c r="E554" s="12" t="s">
        <v>3920</v>
      </c>
      <c r="F554" s="30">
        <v>44060</v>
      </c>
      <c r="G554" s="12" t="s">
        <v>4282</v>
      </c>
      <c r="H554" s="32">
        <v>0.58333333333575865</v>
      </c>
      <c r="I554" s="29">
        <v>44060.625</v>
      </c>
      <c r="J554" s="12" t="s">
        <v>3377</v>
      </c>
      <c r="L554" s="12" t="s">
        <v>3299</v>
      </c>
      <c r="M554" s="12" t="s">
        <v>3379</v>
      </c>
      <c r="N554" s="12" t="s">
        <v>4344</v>
      </c>
      <c r="O554" s="12" t="s">
        <v>3381</v>
      </c>
      <c r="P554" s="12" t="s">
        <v>4146</v>
      </c>
      <c r="AE554" s="32">
        <v>0.3125</v>
      </c>
      <c r="AF554" s="35"/>
    </row>
    <row r="555" spans="1:32" ht="12.75">
      <c r="A555" s="29">
        <v>44060.338595208334</v>
      </c>
      <c r="B555" s="12" t="s">
        <v>3993</v>
      </c>
      <c r="C555" s="12" t="s">
        <v>4345</v>
      </c>
      <c r="D555" s="12" t="s">
        <v>4257</v>
      </c>
      <c r="E555" s="12" t="s">
        <v>3920</v>
      </c>
      <c r="F555" s="30">
        <v>44060</v>
      </c>
      <c r="G555" s="12" t="s">
        <v>4282</v>
      </c>
      <c r="H555" s="32">
        <v>0.58333333333575865</v>
      </c>
      <c r="I555" s="29">
        <v>44060.625</v>
      </c>
      <c r="J555" s="12" t="s">
        <v>3331</v>
      </c>
      <c r="L555" s="12" t="s">
        <v>3393</v>
      </c>
      <c r="M555" s="12" t="s">
        <v>3993</v>
      </c>
      <c r="N555" s="12" t="s">
        <v>4346</v>
      </c>
      <c r="O555" s="12" t="s">
        <v>3807</v>
      </c>
      <c r="P555" s="12" t="s">
        <v>4146</v>
      </c>
      <c r="AE555" s="32">
        <v>0.3125</v>
      </c>
      <c r="AF555" s="35"/>
    </row>
    <row r="556" spans="1:32" ht="12.75">
      <c r="A556" s="29">
        <v>44060.365302280094</v>
      </c>
      <c r="B556" s="12" t="s">
        <v>3760</v>
      </c>
      <c r="C556" s="12" t="s">
        <v>4330</v>
      </c>
      <c r="D556" s="12" t="s">
        <v>4257</v>
      </c>
      <c r="E556" s="12" t="s">
        <v>4219</v>
      </c>
      <c r="F556" s="30">
        <v>44060</v>
      </c>
      <c r="G556" s="12" t="s">
        <v>3419</v>
      </c>
      <c r="H556" s="32">
        <v>0.4375</v>
      </c>
      <c r="I556" s="29">
        <v>44060.451388888891</v>
      </c>
      <c r="J556" s="12" t="s">
        <v>4347</v>
      </c>
      <c r="L556" s="12" t="s">
        <v>4151</v>
      </c>
      <c r="M556" s="12" t="s">
        <v>3458</v>
      </c>
      <c r="N556" s="12" t="s">
        <v>4289</v>
      </c>
      <c r="O556" s="12" t="s">
        <v>4289</v>
      </c>
      <c r="P556" s="12" t="s">
        <v>4146</v>
      </c>
      <c r="AE556" s="32">
        <v>0.40972222221898846</v>
      </c>
      <c r="AF556" s="35"/>
    </row>
    <row r="557" spans="1:32" ht="12.75">
      <c r="A557" s="29">
        <v>44061.344852002316</v>
      </c>
      <c r="B557" s="12" t="s">
        <v>3417</v>
      </c>
      <c r="C557" s="12" t="s">
        <v>3902</v>
      </c>
      <c r="D557" s="12" t="s">
        <v>3390</v>
      </c>
      <c r="E557" s="12" t="s">
        <v>3482</v>
      </c>
      <c r="F557" s="30">
        <v>44061</v>
      </c>
      <c r="G557" s="12" t="s">
        <v>4348</v>
      </c>
      <c r="H557" s="32">
        <v>0.54166666666424135</v>
      </c>
      <c r="I557" s="29">
        <v>44061.5625</v>
      </c>
      <c r="J557" s="12" t="s">
        <v>3377</v>
      </c>
      <c r="L557" s="12" t="s">
        <v>3299</v>
      </c>
      <c r="M557" s="12" t="s">
        <v>3379</v>
      </c>
      <c r="N557" s="12" t="s">
        <v>4124</v>
      </c>
      <c r="O557" s="12" t="s">
        <v>3381</v>
      </c>
      <c r="P557" s="12" t="s">
        <v>4146</v>
      </c>
      <c r="AE557" s="32">
        <v>0.34375</v>
      </c>
      <c r="AF557" s="35"/>
    </row>
    <row r="558" spans="1:32" ht="12.75">
      <c r="A558" s="29">
        <v>44062.423690127311</v>
      </c>
      <c r="B558" s="12" t="s">
        <v>3760</v>
      </c>
      <c r="C558" s="12" t="s">
        <v>4330</v>
      </c>
      <c r="D558" s="12" t="s">
        <v>4257</v>
      </c>
      <c r="E558" s="12" t="s">
        <v>4219</v>
      </c>
      <c r="F558" s="30">
        <v>44060</v>
      </c>
      <c r="G558" s="12" t="s">
        <v>3419</v>
      </c>
      <c r="H558" s="32">
        <v>0.4375</v>
      </c>
      <c r="I558" s="29">
        <v>44060.451388888891</v>
      </c>
      <c r="J558" s="12" t="s">
        <v>4347</v>
      </c>
      <c r="L558" s="12" t="s">
        <v>4151</v>
      </c>
      <c r="M558" s="12" t="s">
        <v>3458</v>
      </c>
      <c r="N558" s="12" t="s">
        <v>4289</v>
      </c>
      <c r="O558" s="12" t="s">
        <v>4289</v>
      </c>
      <c r="P558" s="12" t="s">
        <v>4146</v>
      </c>
      <c r="AE558" s="32">
        <v>0.40972222221898846</v>
      </c>
      <c r="AF558" s="35"/>
    </row>
    <row r="559" spans="1:32" ht="12.75">
      <c r="A559" s="29">
        <v>44062.425287025464</v>
      </c>
      <c r="B559" s="12" t="s">
        <v>3760</v>
      </c>
      <c r="C559" s="12" t="s">
        <v>4330</v>
      </c>
      <c r="D559" s="12" t="s">
        <v>4257</v>
      </c>
      <c r="E559" s="12" t="s">
        <v>3419</v>
      </c>
      <c r="F559" s="30">
        <v>44060</v>
      </c>
      <c r="G559" s="12" t="s">
        <v>3419</v>
      </c>
      <c r="H559" s="32">
        <v>0.47916666666424135</v>
      </c>
      <c r="I559" s="29">
        <v>44060.489583333328</v>
      </c>
      <c r="J559" s="12" t="s">
        <v>4347</v>
      </c>
      <c r="L559" s="12" t="s">
        <v>4151</v>
      </c>
      <c r="M559" s="12" t="s">
        <v>3458</v>
      </c>
      <c r="N559" s="12" t="s">
        <v>4349</v>
      </c>
      <c r="O559" s="12" t="s">
        <v>4289</v>
      </c>
      <c r="P559" s="12" t="s">
        <v>4146</v>
      </c>
      <c r="AE559" s="32">
        <v>0.4375</v>
      </c>
      <c r="AF559" s="35"/>
    </row>
    <row r="560" spans="1:32" ht="12.75">
      <c r="A560" s="29">
        <v>44063.371759363421</v>
      </c>
      <c r="B560" s="12" t="s">
        <v>3760</v>
      </c>
      <c r="C560" s="12" t="s">
        <v>4330</v>
      </c>
      <c r="D560" s="12" t="s">
        <v>4257</v>
      </c>
      <c r="E560" s="12" t="s">
        <v>3419</v>
      </c>
      <c r="F560" s="30">
        <v>44060</v>
      </c>
      <c r="G560" s="12" t="s">
        <v>3419</v>
      </c>
      <c r="H560" s="32">
        <v>0.47916666666424135</v>
      </c>
      <c r="I560" s="29">
        <v>44060.489583333328</v>
      </c>
      <c r="J560" s="12" t="s">
        <v>4347</v>
      </c>
      <c r="L560" s="12" t="s">
        <v>4151</v>
      </c>
      <c r="M560" s="12" t="s">
        <v>3458</v>
      </c>
      <c r="N560" s="12" t="s">
        <v>4349</v>
      </c>
      <c r="O560" s="12" t="s">
        <v>4289</v>
      </c>
      <c r="P560" s="12" t="s">
        <v>4146</v>
      </c>
      <c r="AE560" s="32">
        <v>0.4375</v>
      </c>
      <c r="AF560" s="35"/>
    </row>
    <row r="561" spans="1:32" ht="12.75">
      <c r="A561" s="29">
        <v>44067.445559016203</v>
      </c>
      <c r="B561" s="12" t="s">
        <v>3470</v>
      </c>
      <c r="C561" s="12" t="s">
        <v>3719</v>
      </c>
      <c r="D561" s="12" t="s">
        <v>4257</v>
      </c>
      <c r="E561" s="12" t="s">
        <v>3404</v>
      </c>
      <c r="F561" s="30">
        <v>44067</v>
      </c>
      <c r="G561" s="12" t="s">
        <v>4350</v>
      </c>
      <c r="H561" s="32">
        <v>0.625</v>
      </c>
      <c r="I561" s="29">
        <v>44067.666666666672</v>
      </c>
      <c r="J561" s="12" t="s">
        <v>3331</v>
      </c>
      <c r="L561" s="12" t="s">
        <v>3393</v>
      </c>
      <c r="M561" s="12" t="s">
        <v>3591</v>
      </c>
      <c r="N561" s="12" t="s">
        <v>4351</v>
      </c>
      <c r="O561" s="12" t="s">
        <v>3744</v>
      </c>
      <c r="P561" s="12" t="s">
        <v>4146</v>
      </c>
      <c r="AE561" s="32">
        <v>0.44791666666424135</v>
      </c>
      <c r="AF561" s="35"/>
    </row>
    <row r="562" spans="1:32" ht="12.75">
      <c r="A562" s="29">
        <v>44069.419695879631</v>
      </c>
      <c r="B562" s="12" t="s">
        <v>3390</v>
      </c>
      <c r="C562" s="12" t="s">
        <v>3391</v>
      </c>
      <c r="D562" s="12" t="s">
        <v>4257</v>
      </c>
      <c r="E562" s="12" t="s">
        <v>3834</v>
      </c>
      <c r="F562" s="30">
        <v>44069</v>
      </c>
      <c r="G562" s="12" t="s">
        <v>3520</v>
      </c>
      <c r="H562" s="32">
        <v>0.6875</v>
      </c>
      <c r="I562" s="29">
        <v>44069.697916666672</v>
      </c>
      <c r="J562" s="12" t="s">
        <v>3331</v>
      </c>
      <c r="L562" s="12" t="s">
        <v>3393</v>
      </c>
      <c r="M562" s="12" t="s">
        <v>3591</v>
      </c>
      <c r="N562" s="12" t="s">
        <v>4352</v>
      </c>
      <c r="O562" s="12" t="s">
        <v>3390</v>
      </c>
      <c r="P562" s="12" t="s">
        <v>4146</v>
      </c>
      <c r="AE562" s="32">
        <v>0.44791666666424135</v>
      </c>
      <c r="AF562" s="35"/>
    </row>
    <row r="563" spans="1:32" ht="12.75">
      <c r="A563" s="29">
        <v>44070.384048182867</v>
      </c>
      <c r="B563" s="12" t="s">
        <v>3390</v>
      </c>
      <c r="C563" s="12" t="s">
        <v>3391</v>
      </c>
      <c r="D563" s="12" t="s">
        <v>4257</v>
      </c>
      <c r="E563" s="12" t="s">
        <v>4107</v>
      </c>
      <c r="F563" s="30">
        <v>44070</v>
      </c>
      <c r="G563" s="12" t="s">
        <v>4353</v>
      </c>
      <c r="H563" s="32">
        <v>0.53125</v>
      </c>
      <c r="I563" s="29">
        <v>44070.604166666672</v>
      </c>
      <c r="J563" s="12" t="s">
        <v>3331</v>
      </c>
      <c r="L563" s="12" t="s">
        <v>3393</v>
      </c>
      <c r="M563" s="12" t="s">
        <v>3591</v>
      </c>
      <c r="N563" s="12" t="s">
        <v>4352</v>
      </c>
      <c r="O563" s="12" t="s">
        <v>3390</v>
      </c>
      <c r="P563" s="12" t="s">
        <v>4146</v>
      </c>
      <c r="AE563" s="32">
        <v>0.42708333333575865</v>
      </c>
      <c r="AF563" s="35"/>
    </row>
    <row r="564" spans="1:32" ht="12.75">
      <c r="A564" s="29">
        <v>44071.360878680556</v>
      </c>
      <c r="B564" s="12" t="s">
        <v>3470</v>
      </c>
      <c r="C564" s="12" t="s">
        <v>3719</v>
      </c>
      <c r="D564" s="12" t="s">
        <v>4257</v>
      </c>
      <c r="E564" s="12" t="s">
        <v>3472</v>
      </c>
      <c r="F564" s="30">
        <v>44071</v>
      </c>
      <c r="G564" s="12" t="s">
        <v>4354</v>
      </c>
      <c r="H564" s="32">
        <v>0.58333333333575865</v>
      </c>
      <c r="I564" s="29">
        <v>44071.666666666672</v>
      </c>
      <c r="J564" s="12" t="s">
        <v>3331</v>
      </c>
      <c r="L564" s="12" t="s">
        <v>3393</v>
      </c>
      <c r="M564" s="12" t="s">
        <v>3591</v>
      </c>
      <c r="N564" s="12" t="s">
        <v>4340</v>
      </c>
      <c r="O564" s="12" t="s">
        <v>3475</v>
      </c>
      <c r="P564" s="12" t="s">
        <v>4146</v>
      </c>
      <c r="AE564" s="32">
        <v>0.36458333333575865</v>
      </c>
      <c r="AF564" s="35"/>
    </row>
    <row r="565" spans="1:32" ht="12.75">
      <c r="A565" s="29">
        <v>44075.384305266205</v>
      </c>
      <c r="B565" s="12" t="s">
        <v>3390</v>
      </c>
      <c r="C565" s="12" t="s">
        <v>3391</v>
      </c>
      <c r="D565" s="12" t="s">
        <v>4257</v>
      </c>
      <c r="E565" s="12" t="s">
        <v>3834</v>
      </c>
      <c r="F565" s="30">
        <v>44075</v>
      </c>
      <c r="G565" s="12" t="s">
        <v>4355</v>
      </c>
      <c r="H565" s="32">
        <v>0.625</v>
      </c>
      <c r="I565" s="29">
        <v>44075.645833333328</v>
      </c>
      <c r="J565" s="12" t="s">
        <v>3331</v>
      </c>
      <c r="L565" s="12" t="s">
        <v>3393</v>
      </c>
      <c r="M565" s="12" t="s">
        <v>3454</v>
      </c>
      <c r="N565" s="12" t="s">
        <v>4124</v>
      </c>
      <c r="O565" s="12" t="s">
        <v>3390</v>
      </c>
      <c r="P565" s="12" t="s">
        <v>4146</v>
      </c>
      <c r="AE565" s="32">
        <v>0.41666666666424135</v>
      </c>
      <c r="AF565" s="35"/>
    </row>
    <row r="566" spans="1:32" ht="12.75">
      <c r="A566" s="29">
        <v>44075.447785127311</v>
      </c>
      <c r="B566" s="12" t="s">
        <v>3372</v>
      </c>
      <c r="C566" s="12" t="s">
        <v>3902</v>
      </c>
      <c r="D566" s="12" t="s">
        <v>3470</v>
      </c>
      <c r="E566" s="12" t="s">
        <v>3920</v>
      </c>
      <c r="F566" s="30">
        <v>44075</v>
      </c>
      <c r="G566" s="12" t="s">
        <v>3436</v>
      </c>
      <c r="H566" s="32">
        <v>0.58333333333575865</v>
      </c>
      <c r="I566" s="29">
        <v>44075.708333333328</v>
      </c>
      <c r="J566" s="12" t="s">
        <v>3377</v>
      </c>
      <c r="L566" s="12" t="s">
        <v>3299</v>
      </c>
      <c r="M566" s="12" t="s">
        <v>3379</v>
      </c>
      <c r="N566" s="12" t="s">
        <v>4220</v>
      </c>
      <c r="O566" s="12" t="s">
        <v>3381</v>
      </c>
      <c r="P566" s="12" t="s">
        <v>4146</v>
      </c>
      <c r="AE566" s="32">
        <v>0.45833333333575865</v>
      </c>
      <c r="AF566" s="35"/>
    </row>
    <row r="567" spans="1:32" ht="12.75">
      <c r="A567" s="29">
        <v>44083.286962349535</v>
      </c>
      <c r="B567" s="12" t="s">
        <v>3390</v>
      </c>
      <c r="C567" s="12" t="s">
        <v>3391</v>
      </c>
      <c r="D567" s="12" t="s">
        <v>4257</v>
      </c>
      <c r="E567" s="12" t="s">
        <v>3834</v>
      </c>
      <c r="F567" s="30">
        <v>44083</v>
      </c>
      <c r="G567" s="12" t="s">
        <v>3465</v>
      </c>
      <c r="H567" s="32">
        <v>0.5625</v>
      </c>
      <c r="I567" s="29">
        <v>44083.666666666672</v>
      </c>
      <c r="J567" s="12" t="s">
        <v>3377</v>
      </c>
      <c r="L567" s="12" t="s">
        <v>3393</v>
      </c>
      <c r="M567" s="12" t="s">
        <v>3480</v>
      </c>
      <c r="N567" s="12" t="s">
        <v>4352</v>
      </c>
      <c r="O567" s="12" t="s">
        <v>3390</v>
      </c>
      <c r="P567" s="12" t="s">
        <v>4146</v>
      </c>
      <c r="AE567" s="32">
        <v>0.3125</v>
      </c>
      <c r="AF567" s="35"/>
    </row>
    <row r="568" spans="1:32" ht="12.75">
      <c r="A568" s="29">
        <v>44084.580816793983</v>
      </c>
      <c r="B568" s="12" t="s">
        <v>3760</v>
      </c>
      <c r="C568" s="12" t="s">
        <v>4330</v>
      </c>
      <c r="D568" s="12" t="s">
        <v>4257</v>
      </c>
      <c r="E568" s="12" t="s">
        <v>3419</v>
      </c>
      <c r="F568" s="30">
        <v>44084</v>
      </c>
      <c r="G568" s="12" t="s">
        <v>3419</v>
      </c>
      <c r="H568" s="32">
        <v>0.70833333333575865</v>
      </c>
      <c r="I568" s="29">
        <v>44084.729166666672</v>
      </c>
      <c r="J568" s="12" t="s">
        <v>4338</v>
      </c>
      <c r="L568" s="12" t="s">
        <v>3393</v>
      </c>
      <c r="M568" s="12" t="s">
        <v>3474</v>
      </c>
      <c r="N568" s="12" t="s">
        <v>3760</v>
      </c>
      <c r="O568" s="12" t="s">
        <v>3760</v>
      </c>
      <c r="P568" s="12" t="s">
        <v>4146</v>
      </c>
      <c r="AE568" s="32">
        <v>0.66666666666424135</v>
      </c>
      <c r="AF568" s="35"/>
    </row>
    <row r="569" spans="1:32" ht="12.75">
      <c r="A569" s="29">
        <v>44086.7940231713</v>
      </c>
      <c r="B569" s="12" t="s">
        <v>3760</v>
      </c>
      <c r="C569" s="12" t="s">
        <v>4330</v>
      </c>
      <c r="D569" s="12" t="s">
        <v>4257</v>
      </c>
      <c r="E569" s="12" t="s">
        <v>3419</v>
      </c>
      <c r="F569" s="30">
        <v>44084</v>
      </c>
      <c r="G569" s="12" t="s">
        <v>3419</v>
      </c>
      <c r="H569" s="32">
        <v>0.70833333333575865</v>
      </c>
      <c r="I569" s="29">
        <v>44084.729166666672</v>
      </c>
      <c r="J569" s="12" t="s">
        <v>4338</v>
      </c>
      <c r="L569" s="12" t="s">
        <v>3393</v>
      </c>
      <c r="M569" s="12" t="s">
        <v>3474</v>
      </c>
      <c r="N569" s="12" t="s">
        <v>3760</v>
      </c>
      <c r="O569" s="12" t="s">
        <v>3760</v>
      </c>
      <c r="P569" s="12" t="s">
        <v>4146</v>
      </c>
      <c r="AE569" s="32">
        <v>0.66666666666424135</v>
      </c>
      <c r="AF569" s="35"/>
    </row>
    <row r="570" spans="1:32" ht="12.75">
      <c r="A570" s="29">
        <v>44088.296550335654</v>
      </c>
      <c r="B570" s="12" t="s">
        <v>3760</v>
      </c>
      <c r="C570" s="12" t="s">
        <v>4330</v>
      </c>
      <c r="D570" s="12" t="s">
        <v>4257</v>
      </c>
      <c r="E570" s="12" t="s">
        <v>3419</v>
      </c>
      <c r="F570" s="30">
        <v>44088</v>
      </c>
      <c r="G570" s="12" t="s">
        <v>3419</v>
      </c>
      <c r="H570" s="32">
        <v>0.39583333333575865</v>
      </c>
      <c r="I570" s="29">
        <v>44088.416666666672</v>
      </c>
      <c r="J570" s="12" t="s">
        <v>4338</v>
      </c>
      <c r="L570" s="12" t="s">
        <v>3393</v>
      </c>
      <c r="M570" s="12" t="s">
        <v>3454</v>
      </c>
      <c r="N570" s="12" t="s">
        <v>3760</v>
      </c>
      <c r="O570" s="12" t="s">
        <v>3760</v>
      </c>
      <c r="P570" s="12" t="s">
        <v>4146</v>
      </c>
      <c r="AE570" s="32">
        <v>0.3125</v>
      </c>
      <c r="AF570" s="35"/>
    </row>
    <row r="571" spans="1:32" ht="12.75">
      <c r="A571" s="29">
        <v>44089.309727800923</v>
      </c>
      <c r="B571" s="12" t="s">
        <v>3417</v>
      </c>
      <c r="C571" s="12" t="s">
        <v>3902</v>
      </c>
      <c r="D571" s="12" t="s">
        <v>4257</v>
      </c>
      <c r="E571" s="12" t="s">
        <v>3482</v>
      </c>
      <c r="F571" s="30">
        <v>44089</v>
      </c>
      <c r="G571" s="12" t="s">
        <v>4356</v>
      </c>
      <c r="H571" s="32">
        <v>0.54166666666424135</v>
      </c>
      <c r="I571" s="29">
        <v>44089.5625</v>
      </c>
      <c r="J571" s="12" t="s">
        <v>3377</v>
      </c>
      <c r="L571" s="12" t="s">
        <v>3299</v>
      </c>
      <c r="M571" s="12" t="s">
        <v>3379</v>
      </c>
      <c r="N571" s="12" t="s">
        <v>4357</v>
      </c>
      <c r="O571" s="12" t="s">
        <v>3381</v>
      </c>
      <c r="P571" s="12" t="s">
        <v>4146</v>
      </c>
      <c r="AE571" s="32">
        <v>0.26041666666424135</v>
      </c>
      <c r="AF571" s="35"/>
    </row>
    <row r="572" spans="1:32" ht="12.75">
      <c r="A572" s="29">
        <v>44090.266283900462</v>
      </c>
      <c r="B572" s="12" t="s">
        <v>3417</v>
      </c>
      <c r="C572" s="12" t="s">
        <v>259</v>
      </c>
      <c r="D572" s="12" t="s">
        <v>4257</v>
      </c>
      <c r="E572" s="12" t="s">
        <v>4239</v>
      </c>
      <c r="F572" s="30">
        <v>44090</v>
      </c>
      <c r="G572" s="12" t="s">
        <v>3310</v>
      </c>
      <c r="H572" s="32">
        <v>0.54166666666424135</v>
      </c>
      <c r="I572" s="29">
        <v>44090.583333333328</v>
      </c>
      <c r="J572" s="12" t="s">
        <v>3377</v>
      </c>
      <c r="L572" s="12" t="s">
        <v>3299</v>
      </c>
      <c r="M572" s="12" t="s">
        <v>3379</v>
      </c>
      <c r="N572" s="12" t="s">
        <v>4124</v>
      </c>
      <c r="O572" s="12" t="s">
        <v>3381</v>
      </c>
      <c r="P572" s="12" t="s">
        <v>4146</v>
      </c>
      <c r="AE572" s="32">
        <v>0.30208333333575865</v>
      </c>
      <c r="AF572" s="35"/>
    </row>
    <row r="573" spans="1:32" ht="12.75">
      <c r="A573" s="29">
        <v>44090.277797337963</v>
      </c>
      <c r="B573" s="12" t="s">
        <v>4202</v>
      </c>
      <c r="C573" s="12" t="s">
        <v>3902</v>
      </c>
      <c r="D573" s="12" t="s">
        <v>3417</v>
      </c>
      <c r="E573" s="12" t="s">
        <v>4202</v>
      </c>
      <c r="F573" s="30">
        <v>44090</v>
      </c>
      <c r="G573" s="12" t="s">
        <v>4202</v>
      </c>
      <c r="H573" s="32">
        <v>0</v>
      </c>
      <c r="I573" s="29">
        <v>44090</v>
      </c>
      <c r="J573" s="12" t="s">
        <v>3366</v>
      </c>
      <c r="L573" s="12" t="s">
        <v>3393</v>
      </c>
      <c r="M573" s="12" t="s">
        <v>3379</v>
      </c>
      <c r="N573" s="12" t="s">
        <v>4202</v>
      </c>
      <c r="O573" s="12" t="s">
        <v>4202</v>
      </c>
      <c r="P573" s="12" t="s">
        <v>4146</v>
      </c>
      <c r="AE573" s="32">
        <v>0</v>
      </c>
      <c r="AF573" s="35"/>
    </row>
    <row r="574" spans="1:32" ht="12.75">
      <c r="A574" s="29">
        <v>44090.526628263891</v>
      </c>
      <c r="B574" s="12" t="s">
        <v>3470</v>
      </c>
      <c r="C574" s="12" t="s">
        <v>3719</v>
      </c>
      <c r="D574" s="12" t="s">
        <v>4257</v>
      </c>
      <c r="E574" s="12" t="s">
        <v>3808</v>
      </c>
      <c r="F574" s="30">
        <v>44090</v>
      </c>
      <c r="G574" s="12" t="s">
        <v>4358</v>
      </c>
      <c r="H574" s="32">
        <v>0.60416666666424135</v>
      </c>
      <c r="I574" s="29">
        <v>44090.65625</v>
      </c>
      <c r="J574" s="12" t="s">
        <v>3331</v>
      </c>
      <c r="L574" s="12" t="s">
        <v>3393</v>
      </c>
      <c r="M574" s="12" t="s">
        <v>3591</v>
      </c>
      <c r="N574" s="12" t="s">
        <v>4359</v>
      </c>
      <c r="O574" s="12" t="s">
        <v>3744</v>
      </c>
      <c r="P574" s="12" t="s">
        <v>4146</v>
      </c>
      <c r="AE574" s="32">
        <v>0.53125</v>
      </c>
      <c r="AF574" s="35"/>
    </row>
    <row r="575" spans="1:32" ht="12.75">
      <c r="A575" s="29">
        <v>44091.526555347227</v>
      </c>
      <c r="B575" s="12" t="s">
        <v>3470</v>
      </c>
      <c r="C575" s="12" t="s">
        <v>3719</v>
      </c>
      <c r="D575" s="12" t="s">
        <v>4257</v>
      </c>
      <c r="E575" s="12" t="s">
        <v>4115</v>
      </c>
      <c r="F575" s="30">
        <v>44091</v>
      </c>
      <c r="G575" s="12" t="s">
        <v>4360</v>
      </c>
      <c r="H575" s="32">
        <v>0.6875</v>
      </c>
      <c r="I575" s="29">
        <v>44091.729166666672</v>
      </c>
      <c r="J575" s="12" t="s">
        <v>3331</v>
      </c>
      <c r="L575" s="12" t="s">
        <v>3393</v>
      </c>
      <c r="M575" s="12" t="s">
        <v>3591</v>
      </c>
      <c r="N575" s="12" t="s">
        <v>4351</v>
      </c>
      <c r="O575" s="12" t="s">
        <v>3475</v>
      </c>
      <c r="P575" s="12" t="s">
        <v>4146</v>
      </c>
      <c r="AE575" s="32">
        <v>0.53125</v>
      </c>
      <c r="AF575" s="35"/>
    </row>
    <row r="576" spans="1:32" ht="12.75">
      <c r="A576" s="29">
        <v>44092.347239965282</v>
      </c>
      <c r="B576" s="12" t="s">
        <v>3390</v>
      </c>
      <c r="C576" s="12" t="s">
        <v>3391</v>
      </c>
      <c r="D576" s="12" t="s">
        <v>4257</v>
      </c>
      <c r="E576" s="12" t="s">
        <v>3808</v>
      </c>
      <c r="F576" s="30">
        <v>44092</v>
      </c>
      <c r="G576" s="12" t="s">
        <v>4361</v>
      </c>
      <c r="H576" s="32">
        <v>0.625</v>
      </c>
      <c r="I576" s="29">
        <v>44092.666666666672</v>
      </c>
      <c r="J576" s="12" t="s">
        <v>3331</v>
      </c>
      <c r="L576" s="12" t="s">
        <v>3393</v>
      </c>
      <c r="M576" s="12" t="s">
        <v>3591</v>
      </c>
      <c r="N576" s="12" t="s">
        <v>4340</v>
      </c>
      <c r="O576" s="12" t="s">
        <v>3804</v>
      </c>
      <c r="P576" s="12" t="s">
        <v>4146</v>
      </c>
      <c r="AE576" s="32">
        <v>0.375</v>
      </c>
      <c r="AF576" s="35"/>
    </row>
    <row r="577" spans="1:32" ht="12.75">
      <c r="A577" s="29">
        <v>44092.631818043985</v>
      </c>
      <c r="B577" s="12" t="s">
        <v>4362</v>
      </c>
      <c r="C577" s="12" t="s">
        <v>4363</v>
      </c>
      <c r="D577" s="12" t="s">
        <v>3417</v>
      </c>
      <c r="E577" s="12" t="s">
        <v>4362</v>
      </c>
      <c r="F577" s="30">
        <v>36161</v>
      </c>
      <c r="G577" s="12" t="s">
        <v>4362</v>
      </c>
      <c r="H577" s="32">
        <v>0</v>
      </c>
      <c r="I577" s="29">
        <v>36161</v>
      </c>
      <c r="J577" s="12" t="s">
        <v>3366</v>
      </c>
      <c r="L577" s="12" t="s">
        <v>3393</v>
      </c>
      <c r="M577" s="12" t="s">
        <v>3379</v>
      </c>
      <c r="N577" s="12" t="s">
        <v>4362</v>
      </c>
      <c r="O577" s="12" t="s">
        <v>4362</v>
      </c>
      <c r="P577" s="12" t="s">
        <v>4146</v>
      </c>
      <c r="AE577" s="32">
        <v>0</v>
      </c>
      <c r="AF577" s="35"/>
    </row>
    <row r="578" spans="1:32" ht="12.75">
      <c r="A578" s="29">
        <v>44092.802232569447</v>
      </c>
      <c r="B578" s="12" t="s">
        <v>4202</v>
      </c>
      <c r="C578" s="12" t="s">
        <v>3902</v>
      </c>
      <c r="D578" s="12" t="s">
        <v>3417</v>
      </c>
      <c r="E578" s="12" t="s">
        <v>4362</v>
      </c>
      <c r="F578" s="30">
        <v>44092</v>
      </c>
      <c r="G578" s="12" t="s">
        <v>4362</v>
      </c>
      <c r="H578" s="32">
        <v>0</v>
      </c>
      <c r="I578" s="29">
        <v>44092</v>
      </c>
      <c r="J578" s="12" t="s">
        <v>4202</v>
      </c>
      <c r="L578" s="12" t="s">
        <v>4202</v>
      </c>
      <c r="M578" s="12" t="s">
        <v>4202</v>
      </c>
      <c r="N578" s="12" t="s">
        <v>4202</v>
      </c>
      <c r="O578" s="12" t="s">
        <v>4202</v>
      </c>
      <c r="P578" s="12" t="s">
        <v>4146</v>
      </c>
      <c r="AE578" s="32">
        <v>0</v>
      </c>
      <c r="AF578" s="35"/>
    </row>
    <row r="579" spans="1:32" ht="12.75">
      <c r="A579" s="29">
        <v>44096.049273182871</v>
      </c>
      <c r="B579" s="12" t="s">
        <v>3760</v>
      </c>
      <c r="C579" s="12" t="s">
        <v>4330</v>
      </c>
      <c r="D579" s="12" t="s">
        <v>4257</v>
      </c>
      <c r="E579" s="12" t="s">
        <v>3419</v>
      </c>
      <c r="F579" s="30">
        <v>44088</v>
      </c>
      <c r="G579" s="12" t="s">
        <v>3419</v>
      </c>
      <c r="H579" s="32">
        <v>0.39583333333575865</v>
      </c>
      <c r="I579" s="29">
        <v>44088.416666666672</v>
      </c>
      <c r="J579" s="12" t="s">
        <v>4338</v>
      </c>
      <c r="L579" s="12" t="s">
        <v>3393</v>
      </c>
      <c r="M579" s="12" t="s">
        <v>3454</v>
      </c>
      <c r="N579" s="12" t="s">
        <v>3760</v>
      </c>
      <c r="O579" s="12" t="s">
        <v>3760</v>
      </c>
      <c r="P579" s="12" t="s">
        <v>4146</v>
      </c>
      <c r="AE579" s="32">
        <v>0.3125</v>
      </c>
      <c r="AF579" s="35"/>
    </row>
    <row r="580" spans="1:32" ht="12.75">
      <c r="A580" s="29">
        <v>44099.518548067128</v>
      </c>
      <c r="B580" s="12" t="s">
        <v>3372</v>
      </c>
      <c r="C580" s="12" t="s">
        <v>4364</v>
      </c>
      <c r="D580" s="12" t="s">
        <v>4257</v>
      </c>
      <c r="E580" s="12" t="s">
        <v>3599</v>
      </c>
      <c r="F580" s="30">
        <v>44099</v>
      </c>
      <c r="G580" s="12" t="s">
        <v>4365</v>
      </c>
      <c r="H580" s="32">
        <v>0.4375</v>
      </c>
      <c r="I580" s="29">
        <v>44099.583333333328</v>
      </c>
      <c r="J580" s="12" t="s">
        <v>4338</v>
      </c>
      <c r="L580" s="12" t="s">
        <v>3299</v>
      </c>
      <c r="M580" s="12" t="s">
        <v>3379</v>
      </c>
      <c r="N580" s="12" t="s">
        <v>4220</v>
      </c>
      <c r="O580" s="12" t="s">
        <v>3381</v>
      </c>
      <c r="P580" s="12" t="s">
        <v>4146</v>
      </c>
      <c r="AE580" s="32">
        <v>0.40625</v>
      </c>
      <c r="AF580" s="35"/>
    </row>
    <row r="581" spans="1:32" ht="12.75">
      <c r="A581" s="29">
        <v>44099.524178055552</v>
      </c>
      <c r="B581" s="12" t="s">
        <v>3417</v>
      </c>
      <c r="C581" s="12" t="s">
        <v>3902</v>
      </c>
      <c r="D581" s="12" t="s">
        <v>4257</v>
      </c>
      <c r="E581" s="12" t="s">
        <v>3710</v>
      </c>
      <c r="F581" s="30">
        <v>44099</v>
      </c>
      <c r="G581" s="12" t="s">
        <v>3708</v>
      </c>
      <c r="H581" s="32">
        <v>0.54166666666424135</v>
      </c>
      <c r="I581" s="29">
        <v>44099.583333333328</v>
      </c>
      <c r="J581" s="12" t="s">
        <v>4338</v>
      </c>
      <c r="L581" s="12" t="s">
        <v>3299</v>
      </c>
      <c r="M581" s="12" t="s">
        <v>3379</v>
      </c>
      <c r="N581" s="12" t="s">
        <v>4220</v>
      </c>
      <c r="O581" s="12" t="s">
        <v>3381</v>
      </c>
      <c r="P581" s="12" t="s">
        <v>4146</v>
      </c>
      <c r="AE581" s="32">
        <v>0.46875</v>
      </c>
      <c r="AF581" s="35"/>
    </row>
    <row r="582" spans="1:32" ht="12.75">
      <c r="A582" s="29">
        <v>44104.308927361111</v>
      </c>
      <c r="B582" s="12" t="s">
        <v>3390</v>
      </c>
      <c r="C582" s="12" t="s">
        <v>3391</v>
      </c>
      <c r="D582" s="12" t="s">
        <v>4257</v>
      </c>
      <c r="E582" s="12" t="s">
        <v>4026</v>
      </c>
      <c r="F582" s="30">
        <v>44104</v>
      </c>
      <c r="G582" s="12" t="s">
        <v>4286</v>
      </c>
      <c r="H582" s="32">
        <v>0.54166666666424135</v>
      </c>
      <c r="I582" s="29">
        <v>44104.645833333328</v>
      </c>
      <c r="J582" s="12" t="s">
        <v>3377</v>
      </c>
      <c r="L582" s="12" t="s">
        <v>3393</v>
      </c>
      <c r="M582" s="12" t="s">
        <v>4366</v>
      </c>
      <c r="N582" s="12" t="s">
        <v>4340</v>
      </c>
      <c r="O582" s="12" t="s">
        <v>3429</v>
      </c>
      <c r="P582" s="12" t="s">
        <v>4146</v>
      </c>
      <c r="AE582" s="32">
        <v>0.32291666666424135</v>
      </c>
      <c r="AF582" s="35"/>
    </row>
    <row r="583" spans="1:32" ht="12.75">
      <c r="A583" s="29">
        <v>44104.368545277779</v>
      </c>
      <c r="B583" s="12" t="s">
        <v>3417</v>
      </c>
      <c r="C583" s="12" t="s">
        <v>3902</v>
      </c>
      <c r="D583" s="12" t="s">
        <v>4257</v>
      </c>
      <c r="E583" s="12" t="s">
        <v>3920</v>
      </c>
      <c r="F583" s="30">
        <v>44104</v>
      </c>
      <c r="G583" s="12" t="s">
        <v>3648</v>
      </c>
      <c r="H583" s="32">
        <v>0.54166666666424135</v>
      </c>
      <c r="I583" s="29">
        <v>44104.541666666672</v>
      </c>
      <c r="J583" s="12" t="s">
        <v>3331</v>
      </c>
      <c r="L583" s="12" t="s">
        <v>3299</v>
      </c>
      <c r="M583" s="12" t="s">
        <v>3379</v>
      </c>
      <c r="N583" s="12" t="s">
        <v>3490</v>
      </c>
      <c r="O583" s="12" t="s">
        <v>3381</v>
      </c>
      <c r="P583" s="12" t="s">
        <v>4146</v>
      </c>
      <c r="AE583" s="32">
        <v>0.36805555555474712</v>
      </c>
      <c r="AF583" s="35"/>
    </row>
    <row r="584" spans="1:32" ht="12.75">
      <c r="A584" s="29">
        <v>44106.347862326387</v>
      </c>
      <c r="B584" s="12" t="s">
        <v>3390</v>
      </c>
      <c r="C584" s="12" t="s">
        <v>4367</v>
      </c>
      <c r="D584" s="12" t="s">
        <v>4257</v>
      </c>
      <c r="E584" s="12" t="s">
        <v>3509</v>
      </c>
      <c r="F584" s="30">
        <v>44106</v>
      </c>
      <c r="G584" s="12" t="s">
        <v>4368</v>
      </c>
      <c r="H584" s="32">
        <v>0.58333333333575865</v>
      </c>
      <c r="I584" s="29">
        <v>44106.604166666672</v>
      </c>
      <c r="J584" s="12" t="s">
        <v>3331</v>
      </c>
      <c r="L584" s="12" t="s">
        <v>3299</v>
      </c>
      <c r="M584" s="12" t="s">
        <v>3591</v>
      </c>
      <c r="N584" s="12" t="s">
        <v>4340</v>
      </c>
      <c r="O584" s="12" t="s">
        <v>3804</v>
      </c>
      <c r="P584" s="12" t="s">
        <v>4146</v>
      </c>
      <c r="AE584" s="32">
        <v>0.34375</v>
      </c>
      <c r="AF584" s="35"/>
    </row>
    <row r="585" spans="1:32" ht="12.75">
      <c r="A585" s="29">
        <v>44109.321856643517</v>
      </c>
      <c r="B585" s="12" t="s">
        <v>3390</v>
      </c>
      <c r="C585" s="12" t="s">
        <v>3391</v>
      </c>
      <c r="D585" s="12" t="s">
        <v>4257</v>
      </c>
      <c r="E585" s="12" t="s">
        <v>4369</v>
      </c>
      <c r="F585" s="30">
        <v>44109</v>
      </c>
      <c r="G585" s="12" t="s">
        <v>4370</v>
      </c>
      <c r="H585" s="32">
        <v>0.64583333333575865</v>
      </c>
      <c r="I585" s="29">
        <v>44109.6875</v>
      </c>
      <c r="J585" s="12" t="s">
        <v>3331</v>
      </c>
      <c r="L585" s="12" t="s">
        <v>3393</v>
      </c>
      <c r="M585" s="12" t="s">
        <v>3591</v>
      </c>
      <c r="N585" s="12" t="s">
        <v>4340</v>
      </c>
      <c r="O585" s="12" t="s">
        <v>3804</v>
      </c>
      <c r="P585" s="12" t="s">
        <v>4146</v>
      </c>
      <c r="AE585" s="32">
        <v>0.32291666666424135</v>
      </c>
      <c r="AF585" s="35"/>
    </row>
    <row r="586" spans="1:32" ht="12.75">
      <c r="A586" s="29">
        <v>44110.35813724537</v>
      </c>
      <c r="B586" s="12" t="s">
        <v>3470</v>
      </c>
      <c r="C586" s="12" t="s">
        <v>3719</v>
      </c>
      <c r="D586" s="12" t="s">
        <v>4257</v>
      </c>
      <c r="E586" s="12" t="s">
        <v>3472</v>
      </c>
      <c r="F586" s="30">
        <v>44110</v>
      </c>
      <c r="G586" s="12" t="s">
        <v>4327</v>
      </c>
      <c r="H586" s="32">
        <v>0.54166666666424135</v>
      </c>
      <c r="I586" s="29">
        <v>44110.625</v>
      </c>
      <c r="J586" s="12" t="s">
        <v>3331</v>
      </c>
      <c r="L586" s="12" t="s">
        <v>3393</v>
      </c>
      <c r="M586" s="12" t="s">
        <v>3591</v>
      </c>
      <c r="N586" s="12" t="s">
        <v>4351</v>
      </c>
      <c r="O586" s="12" t="s">
        <v>3475</v>
      </c>
      <c r="P586" s="12" t="s">
        <v>4146</v>
      </c>
      <c r="AE586" s="32">
        <v>0.32291666666424135</v>
      </c>
      <c r="AF586" s="35"/>
    </row>
    <row r="587" spans="1:32" ht="12.75">
      <c r="A587" s="29">
        <v>44111.321376956017</v>
      </c>
      <c r="B587" s="12" t="s">
        <v>3470</v>
      </c>
      <c r="C587" s="12" t="s">
        <v>3719</v>
      </c>
      <c r="D587" s="12" t="s">
        <v>4257</v>
      </c>
      <c r="E587" s="12" t="s">
        <v>4115</v>
      </c>
      <c r="F587" s="30">
        <v>44111</v>
      </c>
      <c r="G587" s="12" t="s">
        <v>4371</v>
      </c>
      <c r="H587" s="32">
        <v>0.5</v>
      </c>
      <c r="I587" s="29">
        <v>44111.583333333328</v>
      </c>
      <c r="J587" s="12" t="s">
        <v>3331</v>
      </c>
      <c r="L587" s="12" t="s">
        <v>3393</v>
      </c>
      <c r="M587" s="12" t="s">
        <v>3591</v>
      </c>
      <c r="N587" s="12" t="s">
        <v>4351</v>
      </c>
      <c r="O587" s="12" t="s">
        <v>3475</v>
      </c>
      <c r="P587" s="12" t="s">
        <v>4146</v>
      </c>
      <c r="AE587" s="32">
        <v>0.32291666666424135</v>
      </c>
      <c r="AF587" s="35"/>
    </row>
    <row r="588" spans="1:32" ht="12.75">
      <c r="A588" s="29">
        <v>44111.387456539349</v>
      </c>
      <c r="B588" s="12" t="s">
        <v>3417</v>
      </c>
      <c r="C588" s="12" t="s">
        <v>3902</v>
      </c>
      <c r="D588" s="12" t="s">
        <v>4257</v>
      </c>
      <c r="E588" s="12" t="s">
        <v>3710</v>
      </c>
      <c r="F588" s="30">
        <v>44111</v>
      </c>
      <c r="G588" s="12" t="s">
        <v>4372</v>
      </c>
      <c r="H588" s="32">
        <v>0.66666666666424135</v>
      </c>
      <c r="I588" s="29">
        <v>44111.708333333328</v>
      </c>
      <c r="J588" s="12" t="s">
        <v>3377</v>
      </c>
      <c r="L588" s="12" t="s">
        <v>3299</v>
      </c>
      <c r="M588" s="12" t="s">
        <v>3379</v>
      </c>
      <c r="N588" s="12" t="s">
        <v>4373</v>
      </c>
      <c r="O588" s="12" t="s">
        <v>3381</v>
      </c>
      <c r="P588" s="12" t="s">
        <v>4146</v>
      </c>
      <c r="AE588" s="32">
        <v>0.38541666666424135</v>
      </c>
      <c r="AF588" s="35"/>
    </row>
    <row r="589" spans="1:32" ht="12.75">
      <c r="A589" s="29">
        <v>44111.411880462962</v>
      </c>
      <c r="B589" s="12" t="s">
        <v>3470</v>
      </c>
      <c r="C589" s="12" t="s">
        <v>3719</v>
      </c>
      <c r="D589" s="12" t="s">
        <v>4257</v>
      </c>
      <c r="E589" s="12" t="s">
        <v>4115</v>
      </c>
      <c r="F589" s="30">
        <v>44111</v>
      </c>
      <c r="G589" s="12" t="s">
        <v>4371</v>
      </c>
      <c r="H589" s="32">
        <v>0.5</v>
      </c>
      <c r="I589" s="29">
        <v>44111.583333333328</v>
      </c>
      <c r="J589" s="12" t="s">
        <v>3331</v>
      </c>
      <c r="L589" s="12" t="s">
        <v>3393</v>
      </c>
      <c r="M589" s="12" t="s">
        <v>3591</v>
      </c>
      <c r="N589" s="12" t="s">
        <v>4351</v>
      </c>
      <c r="O589" s="12" t="s">
        <v>3475</v>
      </c>
      <c r="P589" s="12" t="s">
        <v>4146</v>
      </c>
      <c r="AE589" s="32">
        <v>0.32291666666424135</v>
      </c>
      <c r="AF589" s="35"/>
    </row>
    <row r="590" spans="1:32" ht="12.75">
      <c r="A590" s="29">
        <v>44112.301914421296</v>
      </c>
      <c r="B590" s="12" t="s">
        <v>3470</v>
      </c>
      <c r="C590" s="12" t="s">
        <v>3719</v>
      </c>
      <c r="D590" s="12" t="s">
        <v>4257</v>
      </c>
      <c r="E590" s="12" t="s">
        <v>3418</v>
      </c>
      <c r="F590" s="30">
        <v>44112</v>
      </c>
      <c r="G590" s="12" t="s">
        <v>4292</v>
      </c>
      <c r="H590" s="32">
        <v>0.54166666666424135</v>
      </c>
      <c r="I590" s="29">
        <v>44112.583333333328</v>
      </c>
      <c r="J590" s="12" t="s">
        <v>3331</v>
      </c>
      <c r="L590" s="12" t="s">
        <v>3393</v>
      </c>
      <c r="M590" s="12" t="s">
        <v>3591</v>
      </c>
      <c r="N590" s="12" t="s">
        <v>4351</v>
      </c>
      <c r="O590" s="12" t="s">
        <v>3744</v>
      </c>
      <c r="P590" s="12" t="s">
        <v>4146</v>
      </c>
      <c r="AE590" s="32">
        <v>0.30208333333575865</v>
      </c>
      <c r="AF590" s="35"/>
    </row>
    <row r="591" spans="1:32" ht="12.75">
      <c r="A591" s="29">
        <v>44112.496044444444</v>
      </c>
      <c r="B591" s="12" t="s">
        <v>3470</v>
      </c>
      <c r="C591" s="12" t="s">
        <v>3719</v>
      </c>
      <c r="D591" s="12" t="s">
        <v>4257</v>
      </c>
      <c r="E591" s="12" t="s">
        <v>3418</v>
      </c>
      <c r="F591" s="30">
        <v>44112</v>
      </c>
      <c r="G591" s="12" t="s">
        <v>4292</v>
      </c>
      <c r="H591" s="32">
        <v>0.54166666666424135</v>
      </c>
      <c r="I591" s="29">
        <v>44112.583333333328</v>
      </c>
      <c r="J591" s="12" t="s">
        <v>3331</v>
      </c>
      <c r="L591" s="12" t="s">
        <v>3393</v>
      </c>
      <c r="M591" s="12" t="s">
        <v>3591</v>
      </c>
      <c r="N591" s="12" t="s">
        <v>4351</v>
      </c>
      <c r="O591" s="12" t="s">
        <v>3744</v>
      </c>
      <c r="P591" s="12" t="s">
        <v>4146</v>
      </c>
      <c r="AE591" s="32">
        <v>0.30208333333575865</v>
      </c>
      <c r="AF591" s="35"/>
    </row>
    <row r="592" spans="1:32" ht="12.75">
      <c r="A592" s="29">
        <v>44112.611149467593</v>
      </c>
      <c r="B592" s="12" t="s">
        <v>3417</v>
      </c>
      <c r="C592" s="12" t="s">
        <v>3902</v>
      </c>
      <c r="D592" s="12" t="s">
        <v>4257</v>
      </c>
      <c r="E592" s="12" t="s">
        <v>3710</v>
      </c>
      <c r="F592" s="30">
        <v>44112</v>
      </c>
      <c r="G592" s="12" t="s">
        <v>4374</v>
      </c>
      <c r="H592" s="32">
        <v>0.58333333333575865</v>
      </c>
      <c r="I592" s="29">
        <v>44112.625</v>
      </c>
      <c r="J592" s="12" t="s">
        <v>3377</v>
      </c>
      <c r="L592" s="12" t="s">
        <v>3299</v>
      </c>
      <c r="M592" s="12" t="s">
        <v>3379</v>
      </c>
      <c r="N592" s="12" t="s">
        <v>4177</v>
      </c>
      <c r="O592" s="12" t="s">
        <v>3381</v>
      </c>
      <c r="P592" s="12" t="s">
        <v>4146</v>
      </c>
      <c r="AE592" s="32">
        <v>0.42708333333575865</v>
      </c>
      <c r="AF592" s="35"/>
    </row>
    <row r="593" spans="1:32" ht="12.75">
      <c r="A593" s="29">
        <v>44112.615176932872</v>
      </c>
      <c r="B593" s="12" t="s">
        <v>3470</v>
      </c>
      <c r="C593" s="12" t="s">
        <v>3719</v>
      </c>
      <c r="D593" s="12" t="s">
        <v>4257</v>
      </c>
      <c r="E593" s="12" t="s">
        <v>3418</v>
      </c>
      <c r="F593" s="30">
        <v>44112</v>
      </c>
      <c r="G593" s="12" t="s">
        <v>4292</v>
      </c>
      <c r="H593" s="32">
        <v>0.54166666666424135</v>
      </c>
      <c r="I593" s="29">
        <v>44112.583333333328</v>
      </c>
      <c r="J593" s="12" t="s">
        <v>3331</v>
      </c>
      <c r="L593" s="12" t="s">
        <v>3393</v>
      </c>
      <c r="M593" s="12" t="s">
        <v>3591</v>
      </c>
      <c r="N593" s="12" t="s">
        <v>4351</v>
      </c>
      <c r="O593" s="12" t="s">
        <v>3744</v>
      </c>
      <c r="P593" s="12" t="s">
        <v>4146</v>
      </c>
      <c r="AE593" s="32">
        <v>0.30208333333575865</v>
      </c>
      <c r="AF593" s="35"/>
    </row>
    <row r="594" spans="1:32" ht="12.75">
      <c r="A594" s="29">
        <v>44113.330402418986</v>
      </c>
      <c r="B594" s="12" t="s">
        <v>3390</v>
      </c>
      <c r="C594" s="12" t="s">
        <v>3391</v>
      </c>
      <c r="D594" s="12" t="s">
        <v>4257</v>
      </c>
      <c r="E594" s="12" t="s">
        <v>4107</v>
      </c>
      <c r="F594" s="30">
        <v>44113</v>
      </c>
      <c r="G594" s="12" t="s">
        <v>4375</v>
      </c>
      <c r="H594" s="32">
        <v>0.53125</v>
      </c>
      <c r="I594" s="29">
        <v>44113.583333333328</v>
      </c>
      <c r="J594" s="12" t="s">
        <v>3331</v>
      </c>
      <c r="L594" s="12" t="s">
        <v>3393</v>
      </c>
      <c r="M594" s="12" t="s">
        <v>3591</v>
      </c>
      <c r="N594" s="12" t="s">
        <v>4340</v>
      </c>
      <c r="O594" s="12" t="s">
        <v>3804</v>
      </c>
      <c r="P594" s="12" t="s">
        <v>4146</v>
      </c>
      <c r="AE594" s="32">
        <v>0.33333333333575865</v>
      </c>
      <c r="AF594" s="35"/>
    </row>
    <row r="595" spans="1:32" ht="12.75">
      <c r="A595" s="29">
        <v>44113.354354884257</v>
      </c>
      <c r="B595" s="12" t="s">
        <v>3417</v>
      </c>
      <c r="C595" s="12" t="s">
        <v>3902</v>
      </c>
      <c r="D595" s="12" t="s">
        <v>4257</v>
      </c>
      <c r="E595" s="12" t="s">
        <v>4100</v>
      </c>
      <c r="F595" s="30">
        <v>44113</v>
      </c>
      <c r="G595" s="12" t="s">
        <v>4376</v>
      </c>
      <c r="H595" s="32">
        <v>0.58333333333575865</v>
      </c>
      <c r="I595" s="29">
        <v>44113.645833333328</v>
      </c>
      <c r="J595" s="12" t="s">
        <v>3377</v>
      </c>
      <c r="L595" s="12" t="s">
        <v>3299</v>
      </c>
      <c r="M595" s="12" t="s">
        <v>3379</v>
      </c>
      <c r="N595" s="12" t="s">
        <v>4377</v>
      </c>
      <c r="O595" s="12" t="s">
        <v>3381</v>
      </c>
      <c r="P595" s="12" t="s">
        <v>4146</v>
      </c>
      <c r="AE595" s="32">
        <v>0.36458333333575865</v>
      </c>
      <c r="AF595" s="35"/>
    </row>
    <row r="596" spans="1:32" ht="12.75">
      <c r="A596" s="29">
        <v>44116.687713807871</v>
      </c>
      <c r="B596" s="12" t="s">
        <v>3390</v>
      </c>
      <c r="C596" s="12" t="s">
        <v>3391</v>
      </c>
      <c r="D596" s="12" t="s">
        <v>4257</v>
      </c>
      <c r="E596" s="12" t="s">
        <v>3834</v>
      </c>
      <c r="F596" s="30">
        <v>44117</v>
      </c>
      <c r="G596" s="12" t="s">
        <v>3465</v>
      </c>
      <c r="H596" s="32">
        <v>0.54166666666424135</v>
      </c>
      <c r="I596" s="29">
        <v>44117.5625</v>
      </c>
      <c r="J596" s="12" t="s">
        <v>3377</v>
      </c>
      <c r="L596" s="12" t="s">
        <v>3393</v>
      </c>
      <c r="M596" s="12" t="s">
        <v>3454</v>
      </c>
      <c r="N596" s="12" t="s">
        <v>4124</v>
      </c>
      <c r="O596" s="12" t="s">
        <v>3390</v>
      </c>
      <c r="P596" s="12" t="s">
        <v>4146</v>
      </c>
      <c r="AE596" s="32">
        <v>0.29166666666424135</v>
      </c>
      <c r="AF596" s="35"/>
    </row>
    <row r="597" spans="1:32" ht="12.75">
      <c r="A597" s="29">
        <v>44116.780040115744</v>
      </c>
      <c r="B597" s="12" t="s">
        <v>3760</v>
      </c>
      <c r="C597" s="12" t="s">
        <v>4330</v>
      </c>
      <c r="D597" s="12" t="s">
        <v>4257</v>
      </c>
      <c r="E597" s="12" t="s">
        <v>3419</v>
      </c>
      <c r="F597" s="30">
        <v>44117</v>
      </c>
      <c r="G597" s="12" t="s">
        <v>3419</v>
      </c>
      <c r="H597" s="32">
        <v>0.375</v>
      </c>
      <c r="I597" s="29">
        <v>44117.395833333328</v>
      </c>
      <c r="J597" s="12" t="s">
        <v>4338</v>
      </c>
      <c r="L597" s="12" t="s">
        <v>4151</v>
      </c>
      <c r="M597" s="12" t="s">
        <v>3379</v>
      </c>
      <c r="N597" s="12" t="s">
        <v>3760</v>
      </c>
      <c r="O597" s="12" t="s">
        <v>3760</v>
      </c>
      <c r="P597" s="12" t="s">
        <v>4146</v>
      </c>
      <c r="AE597" s="32">
        <v>0.29166666666424135</v>
      </c>
      <c r="AF597" s="35"/>
    </row>
    <row r="598" spans="1:32" ht="12.75">
      <c r="A598" s="29">
        <v>44119.321142615736</v>
      </c>
      <c r="B598" s="12" t="s">
        <v>3760</v>
      </c>
      <c r="C598" s="12" t="s">
        <v>4330</v>
      </c>
      <c r="D598" s="12" t="s">
        <v>4257</v>
      </c>
      <c r="E598" s="12" t="s">
        <v>3419</v>
      </c>
      <c r="F598" s="30">
        <v>44117</v>
      </c>
      <c r="G598" s="12" t="s">
        <v>3419</v>
      </c>
      <c r="H598" s="32">
        <v>0.375</v>
      </c>
      <c r="I598" s="29">
        <v>44117.395833333328</v>
      </c>
      <c r="J598" s="12" t="s">
        <v>4338</v>
      </c>
      <c r="L598" s="12" t="s">
        <v>4151</v>
      </c>
      <c r="M598" s="12" t="s">
        <v>3379</v>
      </c>
      <c r="N598" s="12" t="s">
        <v>3760</v>
      </c>
      <c r="O598" s="12" t="s">
        <v>3760</v>
      </c>
      <c r="P598" s="12" t="s">
        <v>4146</v>
      </c>
      <c r="AE598" s="32">
        <v>0.29166666666424135</v>
      </c>
      <c r="AF598" s="35"/>
    </row>
    <row r="599" spans="1:32" ht="12.75">
      <c r="A599" s="29">
        <v>44119.323240462967</v>
      </c>
      <c r="B599" s="12" t="s">
        <v>3760</v>
      </c>
      <c r="C599" s="12" t="s">
        <v>4330</v>
      </c>
      <c r="D599" s="12" t="s">
        <v>4257</v>
      </c>
      <c r="E599" s="12" t="s">
        <v>4378</v>
      </c>
      <c r="F599" s="30">
        <v>44119</v>
      </c>
      <c r="G599" s="12" t="s">
        <v>3419</v>
      </c>
      <c r="H599" s="32">
        <v>0.41666666666424135</v>
      </c>
      <c r="I599" s="29">
        <v>44119.4375</v>
      </c>
      <c r="J599" s="12" t="s">
        <v>4338</v>
      </c>
      <c r="L599" s="12" t="s">
        <v>3393</v>
      </c>
      <c r="M599" s="12" t="s">
        <v>3454</v>
      </c>
      <c r="N599" s="12" t="s">
        <v>4379</v>
      </c>
      <c r="O599" s="12" t="s">
        <v>3760</v>
      </c>
      <c r="P599" s="12" t="s">
        <v>4146</v>
      </c>
      <c r="AE599" s="32">
        <v>0.36111111110949423</v>
      </c>
      <c r="AF599" s="35"/>
    </row>
    <row r="600" spans="1:32" ht="12.75">
      <c r="A600" s="29">
        <v>44123.374907118057</v>
      </c>
      <c r="B600" s="12" t="s">
        <v>3417</v>
      </c>
      <c r="C600" s="12" t="s">
        <v>259</v>
      </c>
      <c r="D600" s="12" t="s">
        <v>4257</v>
      </c>
      <c r="E600" s="12" t="s">
        <v>3387</v>
      </c>
      <c r="F600" s="30">
        <v>44123</v>
      </c>
      <c r="G600" s="12" t="s">
        <v>4380</v>
      </c>
      <c r="H600" s="32">
        <v>0.5</v>
      </c>
      <c r="I600" s="29">
        <v>44123.541666666672</v>
      </c>
      <c r="J600" s="12" t="s">
        <v>3331</v>
      </c>
      <c r="L600" s="12" t="s">
        <v>3299</v>
      </c>
      <c r="M600" s="12" t="s">
        <v>3379</v>
      </c>
      <c r="N600" s="12" t="s">
        <v>4124</v>
      </c>
      <c r="O600" s="12" t="s">
        <v>3381</v>
      </c>
      <c r="P600" s="12" t="s">
        <v>4146</v>
      </c>
      <c r="AE600" s="32">
        <v>0.375</v>
      </c>
      <c r="AF600" s="35"/>
    </row>
    <row r="601" spans="1:32" ht="12.75">
      <c r="A601" s="29">
        <v>44126.295104907404</v>
      </c>
      <c r="B601" s="12" t="s">
        <v>3470</v>
      </c>
      <c r="C601" s="12" t="s">
        <v>3719</v>
      </c>
      <c r="D601" s="12" t="s">
        <v>4257</v>
      </c>
      <c r="E601" s="12" t="s">
        <v>4381</v>
      </c>
      <c r="F601" s="30">
        <v>44126</v>
      </c>
      <c r="G601" s="12" t="s">
        <v>4382</v>
      </c>
      <c r="H601" s="32">
        <v>0.625</v>
      </c>
      <c r="I601" s="29">
        <v>44126.6875</v>
      </c>
      <c r="J601" s="12" t="s">
        <v>3331</v>
      </c>
      <c r="L601" s="12" t="s">
        <v>3393</v>
      </c>
      <c r="M601" s="12" t="s">
        <v>3591</v>
      </c>
      <c r="O601" s="12" t="s">
        <v>3475</v>
      </c>
      <c r="P601" s="12" t="s">
        <v>4146</v>
      </c>
      <c r="AE601" s="32">
        <v>0.30208333333575865</v>
      </c>
      <c r="AF601" s="35"/>
    </row>
    <row r="602" spans="1:32" ht="12.75">
      <c r="A602" s="29">
        <v>44130.636774120372</v>
      </c>
      <c r="B602" s="12" t="s">
        <v>3417</v>
      </c>
      <c r="C602" s="12" t="s">
        <v>3902</v>
      </c>
      <c r="D602" s="12" t="s">
        <v>4257</v>
      </c>
      <c r="E602" s="12" t="s">
        <v>4100</v>
      </c>
      <c r="F602" s="30">
        <v>44130</v>
      </c>
      <c r="G602" s="12" t="s">
        <v>4383</v>
      </c>
      <c r="H602" s="32">
        <v>0.75</v>
      </c>
      <c r="I602" s="29">
        <v>44130.770833333328</v>
      </c>
      <c r="J602" s="12" t="s">
        <v>4123</v>
      </c>
      <c r="L602" s="12" t="s">
        <v>3299</v>
      </c>
      <c r="M602" s="12" t="s">
        <v>3379</v>
      </c>
      <c r="N602" s="12" t="s">
        <v>4384</v>
      </c>
      <c r="O602" s="12" t="s">
        <v>3381</v>
      </c>
      <c r="P602" s="12" t="s">
        <v>4146</v>
      </c>
      <c r="AE602" s="32">
        <v>0.64583333333575865</v>
      </c>
      <c r="AF602" s="35"/>
    </row>
    <row r="603" spans="1:32" ht="12.75">
      <c r="A603" s="29">
        <v>44132.459377037041</v>
      </c>
      <c r="B603" s="12" t="s">
        <v>3390</v>
      </c>
      <c r="C603" s="12" t="s">
        <v>3391</v>
      </c>
      <c r="D603" s="12" t="s">
        <v>4257</v>
      </c>
      <c r="E603" s="12" t="s">
        <v>3753</v>
      </c>
      <c r="F603" s="30">
        <v>44132</v>
      </c>
      <c r="G603" s="12" t="s">
        <v>4385</v>
      </c>
      <c r="H603" s="32">
        <v>0.58333333333575865</v>
      </c>
      <c r="I603" s="29">
        <v>44132.604166666672</v>
      </c>
      <c r="J603" s="12" t="s">
        <v>3331</v>
      </c>
      <c r="L603" s="12" t="s">
        <v>3393</v>
      </c>
      <c r="M603" s="12" t="s">
        <v>3591</v>
      </c>
      <c r="O603" s="12" t="s">
        <v>3767</v>
      </c>
      <c r="P603" s="12" t="s">
        <v>4146</v>
      </c>
      <c r="AE603" s="32">
        <v>0.52083333333575865</v>
      </c>
      <c r="AF603" s="35"/>
    </row>
    <row r="604" spans="1:32" ht="12.75">
      <c r="A604" s="29">
        <v>44134.511386643513</v>
      </c>
      <c r="B604" s="12" t="s">
        <v>3417</v>
      </c>
      <c r="C604" s="12" t="s">
        <v>3902</v>
      </c>
      <c r="D604" s="12" t="s">
        <v>3417</v>
      </c>
      <c r="E604" s="12" t="s">
        <v>3296</v>
      </c>
      <c r="F604" s="30">
        <v>44134</v>
      </c>
      <c r="G604" s="12" t="s">
        <v>4386</v>
      </c>
      <c r="H604" s="32">
        <v>0.77083333333575865</v>
      </c>
      <c r="I604" s="29">
        <v>44134.791666666672</v>
      </c>
      <c r="J604" s="12" t="s">
        <v>3331</v>
      </c>
      <c r="L604" s="12" t="s">
        <v>3299</v>
      </c>
      <c r="M604" s="12" t="s">
        <v>3379</v>
      </c>
      <c r="N604" s="12" t="s">
        <v>4124</v>
      </c>
      <c r="O604" s="12" t="s">
        <v>3381</v>
      </c>
      <c r="P604" s="12" t="s">
        <v>4146</v>
      </c>
      <c r="AE604" s="32">
        <v>0.51041666666424135</v>
      </c>
      <c r="AF604" s="35"/>
    </row>
    <row r="605" spans="1:32" ht="12.75">
      <c r="A605" s="29">
        <v>44139.348886990745</v>
      </c>
      <c r="B605" s="12" t="s">
        <v>3390</v>
      </c>
      <c r="C605" s="12" t="s">
        <v>3391</v>
      </c>
      <c r="D605" s="12" t="s">
        <v>4257</v>
      </c>
      <c r="E605" s="12" t="s">
        <v>4115</v>
      </c>
      <c r="F605" s="30">
        <v>44139</v>
      </c>
      <c r="G605" s="12" t="s">
        <v>3465</v>
      </c>
      <c r="H605" s="32">
        <v>0.5625</v>
      </c>
      <c r="I605" s="29">
        <v>44139.604166666672</v>
      </c>
      <c r="J605" s="12" t="s">
        <v>3331</v>
      </c>
      <c r="L605" s="12" t="s">
        <v>3393</v>
      </c>
      <c r="M605" s="12" t="s">
        <v>3480</v>
      </c>
      <c r="O605" s="12" t="s">
        <v>4387</v>
      </c>
      <c r="P605" s="12" t="s">
        <v>4146</v>
      </c>
      <c r="AE605" s="32">
        <v>0.34722222221898846</v>
      </c>
      <c r="AF605" s="35"/>
    </row>
    <row r="606" spans="1:32" ht="12.75">
      <c r="A606" s="29">
        <v>44151.36395890046</v>
      </c>
      <c r="B606" s="12" t="s">
        <v>3760</v>
      </c>
      <c r="C606" s="12" t="s">
        <v>4330</v>
      </c>
      <c r="D606" s="12" t="s">
        <v>3470</v>
      </c>
      <c r="E606" s="12" t="s">
        <v>3419</v>
      </c>
      <c r="F606" s="30">
        <v>44151</v>
      </c>
      <c r="G606" s="12" t="s">
        <v>4378</v>
      </c>
      <c r="H606" s="32">
        <v>0.45833333333575865</v>
      </c>
      <c r="I606" s="29">
        <v>44151.479166666672</v>
      </c>
      <c r="J606" s="12" t="s">
        <v>4338</v>
      </c>
      <c r="L606" s="12" t="s">
        <v>3299</v>
      </c>
      <c r="M606" s="12" t="s">
        <v>3307</v>
      </c>
      <c r="N606" s="12" t="s">
        <v>3760</v>
      </c>
      <c r="O606" s="12" t="s">
        <v>3760</v>
      </c>
      <c r="P606" s="12" t="s">
        <v>4146</v>
      </c>
      <c r="AE606" s="32">
        <v>0.39583333333575865</v>
      </c>
      <c r="AF606" s="35"/>
    </row>
    <row r="607" spans="1:32" ht="12.75">
      <c r="A607" s="29">
        <v>44152.487454224538</v>
      </c>
      <c r="B607" s="12" t="s">
        <v>4109</v>
      </c>
      <c r="C607" s="12" t="s">
        <v>4092</v>
      </c>
      <c r="D607" s="12" t="s">
        <v>3470</v>
      </c>
      <c r="E607" s="12" t="s">
        <v>3435</v>
      </c>
      <c r="F607" s="30">
        <v>44152</v>
      </c>
      <c r="G607" s="12" t="s">
        <v>4286</v>
      </c>
      <c r="H607" s="32">
        <v>0.58333333333575865</v>
      </c>
      <c r="I607" s="29">
        <v>44152.614583333328</v>
      </c>
      <c r="J607" s="12" t="s">
        <v>3331</v>
      </c>
      <c r="L607" s="12" t="s">
        <v>3393</v>
      </c>
      <c r="M607" s="12" t="s">
        <v>3454</v>
      </c>
      <c r="N607" s="12" t="s">
        <v>4388</v>
      </c>
      <c r="O607" s="12" t="s">
        <v>4097</v>
      </c>
      <c r="P607" s="12" t="s">
        <v>4146</v>
      </c>
      <c r="AE607" s="32">
        <v>0.375</v>
      </c>
      <c r="AF607" s="35"/>
    </row>
    <row r="608" spans="1:32" ht="12.75">
      <c r="A608" s="29">
        <v>44153.716779050927</v>
      </c>
      <c r="B608" s="12" t="s">
        <v>4109</v>
      </c>
      <c r="C608" s="12" t="s">
        <v>4092</v>
      </c>
      <c r="D608" s="12" t="s">
        <v>3470</v>
      </c>
      <c r="E608" s="12" t="s">
        <v>3435</v>
      </c>
      <c r="F608" s="30">
        <v>44152</v>
      </c>
      <c r="G608" s="12" t="s">
        <v>4286</v>
      </c>
      <c r="H608" s="32">
        <v>0.58333333333575865</v>
      </c>
      <c r="I608" s="29">
        <v>44152.614583333328</v>
      </c>
      <c r="J608" s="12" t="s">
        <v>3331</v>
      </c>
      <c r="L608" s="12" t="s">
        <v>3393</v>
      </c>
      <c r="M608" s="12" t="s">
        <v>3454</v>
      </c>
      <c r="N608" s="12" t="s">
        <v>4388</v>
      </c>
      <c r="O608" s="12" t="s">
        <v>4097</v>
      </c>
      <c r="P608" s="12" t="s">
        <v>4146</v>
      </c>
      <c r="AE608" s="32">
        <v>0.375</v>
      </c>
      <c r="AF608" s="35"/>
    </row>
    <row r="609" spans="1:32" ht="12.75">
      <c r="A609" s="29">
        <v>44155.397733298611</v>
      </c>
      <c r="B609" s="12" t="s">
        <v>3417</v>
      </c>
      <c r="C609" s="12" t="s">
        <v>3902</v>
      </c>
      <c r="D609" s="12" t="s">
        <v>3470</v>
      </c>
      <c r="E609" s="12" t="s">
        <v>3920</v>
      </c>
      <c r="F609" s="30">
        <v>44155</v>
      </c>
      <c r="G609" s="12" t="s">
        <v>3648</v>
      </c>
      <c r="H609" s="32">
        <v>0.54166666666424135</v>
      </c>
      <c r="I609" s="29">
        <v>44155.583333333328</v>
      </c>
      <c r="J609" s="12" t="s">
        <v>3331</v>
      </c>
      <c r="L609" s="12" t="s">
        <v>3299</v>
      </c>
      <c r="M609" s="12" t="s">
        <v>4389</v>
      </c>
      <c r="O609" s="12" t="s">
        <v>3381</v>
      </c>
      <c r="P609" s="12" t="s">
        <v>4146</v>
      </c>
      <c r="AE609" s="32">
        <v>0.39583333333575865</v>
      </c>
      <c r="AF609" s="35"/>
    </row>
    <row r="610" spans="1:32" ht="12.75">
      <c r="A610" s="29">
        <v>44165.482734212965</v>
      </c>
      <c r="B610" s="12" t="s">
        <v>3372</v>
      </c>
      <c r="C610" s="12" t="s">
        <v>3902</v>
      </c>
      <c r="D610" s="12" t="s">
        <v>4257</v>
      </c>
      <c r="F610" s="30">
        <v>44165</v>
      </c>
      <c r="G610" s="12" t="s">
        <v>4390</v>
      </c>
      <c r="H610" s="32">
        <v>0.625</v>
      </c>
      <c r="I610" s="29">
        <v>44165.666666666672</v>
      </c>
      <c r="J610" s="12" t="s">
        <v>3377</v>
      </c>
      <c r="L610" s="12" t="s">
        <v>3393</v>
      </c>
      <c r="M610" s="12" t="s">
        <v>3379</v>
      </c>
      <c r="N610" s="12" t="s">
        <v>4384</v>
      </c>
      <c r="O610" s="12" t="s">
        <v>3381</v>
      </c>
      <c r="P610" s="12" t="s">
        <v>4146</v>
      </c>
      <c r="AE610" s="32">
        <v>0.47916666666424135</v>
      </c>
      <c r="AF610" s="35"/>
    </row>
    <row r="611" spans="1:32" ht="12.75">
      <c r="A611" s="29">
        <v>44165.503554976851</v>
      </c>
      <c r="B611" s="12" t="s">
        <v>4109</v>
      </c>
      <c r="C611" s="12" t="s">
        <v>4092</v>
      </c>
      <c r="D611" s="12" t="s">
        <v>3470</v>
      </c>
      <c r="E611" s="12" t="s">
        <v>3482</v>
      </c>
      <c r="F611" s="30">
        <v>44165</v>
      </c>
      <c r="G611" s="12" t="s">
        <v>4391</v>
      </c>
      <c r="H611" s="32">
        <v>0.625</v>
      </c>
      <c r="I611" s="29">
        <v>44165.65625</v>
      </c>
      <c r="J611" s="12" t="s">
        <v>3331</v>
      </c>
      <c r="L611" s="12" t="s">
        <v>3299</v>
      </c>
      <c r="M611" s="12" t="s">
        <v>3510</v>
      </c>
      <c r="N611" s="12" t="s">
        <v>4124</v>
      </c>
      <c r="O611" s="12" t="s">
        <v>4392</v>
      </c>
      <c r="P611" s="12" t="s">
        <v>4146</v>
      </c>
      <c r="AE611" s="32">
        <v>0.5</v>
      </c>
      <c r="AF611" s="35"/>
    </row>
    <row r="612" spans="1:32" ht="12.75">
      <c r="A612" s="29">
        <v>44166.342423900467</v>
      </c>
      <c r="B612" s="12" t="s">
        <v>3390</v>
      </c>
      <c r="C612" s="12" t="s">
        <v>3391</v>
      </c>
      <c r="D612" s="12" t="s">
        <v>4257</v>
      </c>
      <c r="E612" s="12" t="s">
        <v>4393</v>
      </c>
      <c r="F612" s="30">
        <v>44166</v>
      </c>
      <c r="G612" s="12" t="s">
        <v>3520</v>
      </c>
      <c r="H612" s="32">
        <v>0.625</v>
      </c>
      <c r="I612" s="29">
        <v>44166.645833333328</v>
      </c>
      <c r="J612" s="12" t="s">
        <v>3331</v>
      </c>
      <c r="L612" s="12" t="s">
        <v>3299</v>
      </c>
      <c r="M612" s="12" t="s">
        <v>3454</v>
      </c>
      <c r="N612" s="12" t="s">
        <v>4124</v>
      </c>
      <c r="O612" s="12" t="s">
        <v>4387</v>
      </c>
      <c r="P612" s="12" t="s">
        <v>4146</v>
      </c>
      <c r="AE612" s="32">
        <v>0.39583333333575865</v>
      </c>
      <c r="AF612" s="35"/>
    </row>
    <row r="613" spans="1:32" ht="12.75">
      <c r="A613" s="29">
        <v>44166.37742203704</v>
      </c>
      <c r="B613" s="12" t="s">
        <v>3760</v>
      </c>
      <c r="C613" s="12" t="s">
        <v>4330</v>
      </c>
      <c r="D613" s="12" t="s">
        <v>4257</v>
      </c>
      <c r="E613" s="12" t="s">
        <v>3419</v>
      </c>
      <c r="F613" s="30">
        <v>44166</v>
      </c>
      <c r="G613" s="12" t="s">
        <v>3419</v>
      </c>
      <c r="H613" s="32">
        <v>0.47916666666424135</v>
      </c>
      <c r="I613" s="29">
        <v>44166.5</v>
      </c>
      <c r="J613" s="12" t="s">
        <v>4338</v>
      </c>
      <c r="L613" s="12" t="s">
        <v>3393</v>
      </c>
      <c r="M613" s="12" t="s">
        <v>3760</v>
      </c>
      <c r="N613" s="12" t="s">
        <v>4394</v>
      </c>
      <c r="O613" s="12" t="s">
        <v>3760</v>
      </c>
      <c r="P613" s="12" t="s">
        <v>4146</v>
      </c>
      <c r="AE613" s="32">
        <v>0.39583333333575865</v>
      </c>
      <c r="AF613" s="35"/>
    </row>
    <row r="614" spans="1:32" ht="12.75">
      <c r="A614" s="29">
        <v>44173.374413333338</v>
      </c>
      <c r="B614" s="12" t="s">
        <v>3372</v>
      </c>
      <c r="C614" s="12" t="s">
        <v>3902</v>
      </c>
      <c r="D614" s="12" t="s">
        <v>4257</v>
      </c>
      <c r="E614" s="12" t="s">
        <v>3509</v>
      </c>
      <c r="F614" s="30">
        <v>44173</v>
      </c>
      <c r="G614" s="12" t="s">
        <v>4395</v>
      </c>
      <c r="H614" s="32">
        <v>0.5</v>
      </c>
      <c r="I614" s="29">
        <v>44173.5</v>
      </c>
      <c r="J614" s="12" t="s">
        <v>3377</v>
      </c>
      <c r="L614" s="12" t="s">
        <v>3299</v>
      </c>
      <c r="M614" s="12" t="s">
        <v>4190</v>
      </c>
      <c r="N614" s="12" t="s">
        <v>3930</v>
      </c>
      <c r="O614" s="12" t="s">
        <v>3408</v>
      </c>
      <c r="P614" s="12" t="s">
        <v>4146</v>
      </c>
      <c r="AE614" s="32">
        <v>0.35416666666424135</v>
      </c>
      <c r="AF614" s="35"/>
    </row>
    <row r="615" spans="1:32" ht="12.75">
      <c r="A615" s="29">
        <v>44173.505676261571</v>
      </c>
      <c r="B615" s="12" t="s">
        <v>3372</v>
      </c>
      <c r="C615" s="12" t="s">
        <v>259</v>
      </c>
      <c r="D615" s="12" t="s">
        <v>4257</v>
      </c>
      <c r="E615" s="12" t="s">
        <v>3509</v>
      </c>
      <c r="F615" s="30">
        <v>44173</v>
      </c>
      <c r="G615" s="12" t="s">
        <v>4396</v>
      </c>
      <c r="H615" s="32">
        <v>0.58333333333575865</v>
      </c>
      <c r="I615" s="29">
        <v>44173.625</v>
      </c>
      <c r="J615" s="12" t="s">
        <v>3377</v>
      </c>
      <c r="L615" s="12" t="s">
        <v>3299</v>
      </c>
      <c r="M615" s="12" t="s">
        <v>3379</v>
      </c>
      <c r="N615" s="12" t="s">
        <v>4124</v>
      </c>
      <c r="O615" s="12" t="s">
        <v>3381</v>
      </c>
      <c r="P615" s="12" t="s">
        <v>4146</v>
      </c>
      <c r="AE615" s="32">
        <v>0.50416666666569654</v>
      </c>
      <c r="AF615" s="35"/>
    </row>
    <row r="616" spans="1:32" ht="12.75">
      <c r="A616" s="29">
        <v>44174.575816041666</v>
      </c>
      <c r="B616" s="12" t="s">
        <v>3417</v>
      </c>
      <c r="C616" s="12" t="s">
        <v>3639</v>
      </c>
      <c r="D616" s="12" t="s">
        <v>4257</v>
      </c>
      <c r="E616" s="12" t="s">
        <v>4397</v>
      </c>
      <c r="F616" s="30">
        <v>44174</v>
      </c>
      <c r="G616" s="12" t="s">
        <v>4398</v>
      </c>
      <c r="H616" s="32">
        <v>0.61458333333575865</v>
      </c>
      <c r="I616" s="29">
        <v>44174.645833333328</v>
      </c>
      <c r="J616" s="12" t="s">
        <v>3377</v>
      </c>
      <c r="L616" s="12" t="s">
        <v>3299</v>
      </c>
      <c r="M616" s="12" t="s">
        <v>3379</v>
      </c>
      <c r="N616" s="12" t="s">
        <v>4124</v>
      </c>
      <c r="O616" s="12" t="s">
        <v>3381</v>
      </c>
      <c r="P616" s="12" t="s">
        <v>4146</v>
      </c>
      <c r="AE616" s="32">
        <v>0.57291666666424135</v>
      </c>
      <c r="AF616" s="35"/>
    </row>
    <row r="617" spans="1:32" ht="12.75">
      <c r="A617" s="29">
        <v>44180.658930011574</v>
      </c>
      <c r="B617" s="12" t="s">
        <v>3390</v>
      </c>
      <c r="C617" s="12" t="s">
        <v>3391</v>
      </c>
      <c r="D617" s="12" t="s">
        <v>4257</v>
      </c>
      <c r="E617" s="12" t="s">
        <v>3834</v>
      </c>
      <c r="F617" s="30">
        <v>44181</v>
      </c>
      <c r="G617" s="12" t="s">
        <v>3465</v>
      </c>
      <c r="H617" s="32">
        <v>0.5</v>
      </c>
      <c r="I617" s="29">
        <v>44181.520833333328</v>
      </c>
      <c r="J617" s="12" t="s">
        <v>3331</v>
      </c>
      <c r="L617" s="12" t="s">
        <v>3393</v>
      </c>
      <c r="M617" s="12" t="s">
        <v>4032</v>
      </c>
      <c r="O617" s="12" t="s">
        <v>3390</v>
      </c>
      <c r="P617" s="12" t="s">
        <v>4146</v>
      </c>
      <c r="AE617" s="32">
        <v>0.29166666666424135</v>
      </c>
      <c r="AF617" s="35"/>
    </row>
    <row r="618" spans="1:32" ht="12.75">
      <c r="A618" s="29">
        <v>44182.414805972221</v>
      </c>
      <c r="B618" s="12" t="s">
        <v>3564</v>
      </c>
      <c r="C618" s="12" t="s">
        <v>4117</v>
      </c>
      <c r="D618" s="12" t="s">
        <v>3417</v>
      </c>
      <c r="E618" s="12" t="s">
        <v>4399</v>
      </c>
      <c r="F618" s="30">
        <v>44182</v>
      </c>
      <c r="G618" s="12" t="s">
        <v>4400</v>
      </c>
      <c r="H618" s="32">
        <v>0.625</v>
      </c>
      <c r="I618" s="29">
        <v>44182.666666666672</v>
      </c>
      <c r="J618" s="12" t="s">
        <v>3331</v>
      </c>
      <c r="L618" s="12" t="s">
        <v>3299</v>
      </c>
      <c r="M618" s="12" t="s">
        <v>4401</v>
      </c>
      <c r="N618" s="12" t="s">
        <v>4402</v>
      </c>
      <c r="O618" s="12" t="s">
        <v>3807</v>
      </c>
      <c r="P618" s="12" t="s">
        <v>4146</v>
      </c>
      <c r="AE618" s="32">
        <v>0.41666666666424135</v>
      </c>
      <c r="AF618" s="35"/>
    </row>
    <row r="619" spans="1:32" ht="12.75">
      <c r="A619" s="29">
        <v>44182.876021608798</v>
      </c>
      <c r="B619" s="12" t="s">
        <v>3564</v>
      </c>
      <c r="C619" s="12" t="s">
        <v>4117</v>
      </c>
      <c r="D619" s="12" t="s">
        <v>3417</v>
      </c>
      <c r="E619" s="12" t="s">
        <v>4399</v>
      </c>
      <c r="F619" s="30">
        <v>44182</v>
      </c>
      <c r="G619" s="12" t="s">
        <v>4400</v>
      </c>
      <c r="H619" s="32">
        <v>0.625</v>
      </c>
      <c r="I619" s="29">
        <v>44182.666666666672</v>
      </c>
      <c r="J619" s="12" t="s">
        <v>3331</v>
      </c>
      <c r="L619" s="12" t="s">
        <v>3299</v>
      </c>
      <c r="M619" s="12" t="s">
        <v>4401</v>
      </c>
      <c r="N619" s="12" t="s">
        <v>4402</v>
      </c>
      <c r="O619" s="12" t="s">
        <v>3807</v>
      </c>
      <c r="P619" s="12" t="s">
        <v>4146</v>
      </c>
      <c r="AE619" s="32">
        <v>0.41666666666424135</v>
      </c>
      <c r="AF619" s="35"/>
    </row>
    <row r="620" spans="1:32" ht="12.75">
      <c r="A620" s="29">
        <v>44182.876237800927</v>
      </c>
      <c r="B620" s="12" t="s">
        <v>3564</v>
      </c>
      <c r="C620" s="12" t="s">
        <v>4117</v>
      </c>
      <c r="D620" s="12" t="s">
        <v>3417</v>
      </c>
      <c r="E620" s="12" t="s">
        <v>4399</v>
      </c>
      <c r="F620" s="30">
        <v>44182</v>
      </c>
      <c r="G620" s="12" t="s">
        <v>4400</v>
      </c>
      <c r="H620" s="32">
        <v>0.625</v>
      </c>
      <c r="I620" s="29">
        <v>44182.666666666672</v>
      </c>
      <c r="J620" s="12" t="s">
        <v>3331</v>
      </c>
      <c r="L620" s="12" t="s">
        <v>3299</v>
      </c>
      <c r="M620" s="12" t="s">
        <v>4401</v>
      </c>
      <c r="N620" s="12" t="s">
        <v>4402</v>
      </c>
      <c r="O620" s="12" t="s">
        <v>3807</v>
      </c>
      <c r="P620" s="12" t="s">
        <v>4146</v>
      </c>
      <c r="AE620" s="32">
        <v>0.41666666666424135</v>
      </c>
      <c r="AF620" s="35"/>
    </row>
    <row r="621" spans="1:32" ht="12.75">
      <c r="A621" s="29">
        <v>44182.876295717593</v>
      </c>
      <c r="B621" s="12" t="s">
        <v>3564</v>
      </c>
      <c r="C621" s="12" t="s">
        <v>4117</v>
      </c>
      <c r="D621" s="12" t="s">
        <v>3417</v>
      </c>
      <c r="E621" s="12" t="s">
        <v>4399</v>
      </c>
      <c r="F621" s="30">
        <v>44182</v>
      </c>
      <c r="G621" s="12" t="s">
        <v>4400</v>
      </c>
      <c r="H621" s="32">
        <v>0.625</v>
      </c>
      <c r="I621" s="29">
        <v>44182.666666666672</v>
      </c>
      <c r="J621" s="12" t="s">
        <v>3331</v>
      </c>
      <c r="L621" s="12" t="s">
        <v>3299</v>
      </c>
      <c r="M621" s="12" t="s">
        <v>4401</v>
      </c>
      <c r="N621" s="12" t="s">
        <v>4402</v>
      </c>
      <c r="O621" s="12" t="s">
        <v>3807</v>
      </c>
      <c r="P621" s="12" t="s">
        <v>4146</v>
      </c>
      <c r="AE621" s="32">
        <v>0.41666666666424135</v>
      </c>
      <c r="AF621" s="35"/>
    </row>
    <row r="622" spans="1:32" ht="12.75">
      <c r="A622" s="29">
        <v>44195.422821631946</v>
      </c>
      <c r="B622" s="12" t="s">
        <v>4109</v>
      </c>
      <c r="C622" s="12" t="s">
        <v>4403</v>
      </c>
      <c r="D622" s="12" t="s">
        <v>3417</v>
      </c>
      <c r="E622" s="12" t="s">
        <v>4404</v>
      </c>
      <c r="F622" s="30">
        <v>44195</v>
      </c>
      <c r="G622" s="12" t="s">
        <v>4405</v>
      </c>
      <c r="H622" s="32">
        <v>0.64583333333575865</v>
      </c>
      <c r="I622" s="29">
        <v>44195.6875</v>
      </c>
      <c r="J622" s="12" t="s">
        <v>3377</v>
      </c>
      <c r="L622" s="12" t="s">
        <v>3299</v>
      </c>
      <c r="M622" s="12" t="s">
        <v>4406</v>
      </c>
      <c r="N622" s="12" t="s">
        <v>4124</v>
      </c>
      <c r="O622" s="12" t="s">
        <v>4406</v>
      </c>
      <c r="P622" s="12" t="s">
        <v>4146</v>
      </c>
      <c r="AE622" s="32">
        <v>0.47916666666424135</v>
      </c>
      <c r="AF622" s="35"/>
    </row>
    <row r="623" spans="1:32" ht="12.75">
      <c r="A623" s="29">
        <v>44195.534483993055</v>
      </c>
      <c r="B623" s="12" t="s">
        <v>3417</v>
      </c>
      <c r="C623" s="12" t="s">
        <v>4061</v>
      </c>
      <c r="D623" s="12" t="s">
        <v>3417</v>
      </c>
      <c r="E623" s="12" t="s">
        <v>4407</v>
      </c>
      <c r="F623" s="30">
        <v>44195</v>
      </c>
      <c r="G623" s="12" t="s">
        <v>3715</v>
      </c>
      <c r="H623" s="32">
        <v>0.66666666666424135</v>
      </c>
      <c r="I623" s="29">
        <v>44195.708333333328</v>
      </c>
      <c r="J623" s="12" t="s">
        <v>4123</v>
      </c>
      <c r="L623" s="12" t="s">
        <v>3393</v>
      </c>
      <c r="M623" s="12" t="s">
        <v>3379</v>
      </c>
      <c r="N623" s="12" t="s">
        <v>4408</v>
      </c>
      <c r="O623" s="12" t="s">
        <v>3381</v>
      </c>
      <c r="P623" s="12" t="s">
        <v>4146</v>
      </c>
      <c r="AE623" s="32">
        <v>0.54166666666424135</v>
      </c>
      <c r="AF623" s="35"/>
    </row>
    <row r="624" spans="1:32" ht="12.75">
      <c r="A624" s="29">
        <v>44197.498284594913</v>
      </c>
      <c r="B624" s="12" t="s">
        <v>4109</v>
      </c>
      <c r="C624" s="12" t="s">
        <v>4403</v>
      </c>
      <c r="D624" s="12" t="s">
        <v>3417</v>
      </c>
      <c r="E624" s="12" t="s">
        <v>4404</v>
      </c>
      <c r="F624" s="30">
        <v>44195</v>
      </c>
      <c r="G624" s="12" t="s">
        <v>4405</v>
      </c>
      <c r="H624" s="32">
        <v>0.64583333333575865</v>
      </c>
      <c r="I624" s="29">
        <v>44195.6875</v>
      </c>
      <c r="J624" s="12" t="s">
        <v>3377</v>
      </c>
      <c r="L624" s="12" t="s">
        <v>3299</v>
      </c>
      <c r="M624" s="12" t="s">
        <v>4406</v>
      </c>
      <c r="N624" s="12" t="s">
        <v>4124</v>
      </c>
      <c r="O624" s="12" t="s">
        <v>4406</v>
      </c>
      <c r="P624" s="12" t="s">
        <v>4146</v>
      </c>
      <c r="AE624" s="32">
        <v>0.47916666666424135</v>
      </c>
      <c r="AF624" s="35"/>
    </row>
    <row r="625" spans="1:32" ht="12.75">
      <c r="A625" s="29">
        <v>44202.258581377318</v>
      </c>
      <c r="B625" s="12" t="s">
        <v>3390</v>
      </c>
      <c r="C625" s="12" t="s">
        <v>3391</v>
      </c>
      <c r="D625" s="12" t="s">
        <v>4257</v>
      </c>
      <c r="E625" s="12" t="s">
        <v>3834</v>
      </c>
      <c r="F625" s="30">
        <v>44202</v>
      </c>
      <c r="G625" s="12" t="s">
        <v>3465</v>
      </c>
      <c r="H625" s="32">
        <v>0.47916666666424135</v>
      </c>
      <c r="I625" s="29">
        <v>44202.489583333328</v>
      </c>
      <c r="J625" s="12" t="s">
        <v>3377</v>
      </c>
      <c r="L625" s="12" t="s">
        <v>3393</v>
      </c>
      <c r="M625" s="12" t="s">
        <v>4032</v>
      </c>
      <c r="O625" s="12" t="s">
        <v>3390</v>
      </c>
      <c r="P625" s="12" t="s">
        <v>4146</v>
      </c>
      <c r="AE625" s="32">
        <v>0.29166666666424135</v>
      </c>
      <c r="AF625" s="35"/>
    </row>
    <row r="626" spans="1:32" ht="12.75">
      <c r="A626" s="29">
        <v>44204.35607991898</v>
      </c>
      <c r="B626" s="12" t="s">
        <v>4257</v>
      </c>
      <c r="C626" s="12" t="s">
        <v>4409</v>
      </c>
      <c r="D626" s="12" t="s">
        <v>3417</v>
      </c>
      <c r="E626" s="12" t="s">
        <v>4410</v>
      </c>
      <c r="F626" s="30">
        <v>44204</v>
      </c>
      <c r="G626" s="12" t="s">
        <v>3900</v>
      </c>
      <c r="H626" s="32">
        <v>0.58333333333575865</v>
      </c>
      <c r="I626" s="29">
        <v>44204.604166666672</v>
      </c>
      <c r="J626" s="12" t="s">
        <v>3377</v>
      </c>
      <c r="L626" s="12" t="s">
        <v>3393</v>
      </c>
      <c r="M626" s="12" t="s">
        <v>4411</v>
      </c>
      <c r="O626" s="12" t="s">
        <v>3470</v>
      </c>
      <c r="P626" s="12" t="s">
        <v>4146</v>
      </c>
      <c r="AE626" s="32">
        <v>0.35416666666424135</v>
      </c>
      <c r="AF626" s="35"/>
    </row>
    <row r="627" spans="1:32" ht="12.75">
      <c r="A627" s="29">
        <v>44204.669520949072</v>
      </c>
      <c r="B627" s="12" t="s">
        <v>4257</v>
      </c>
      <c r="C627" s="12" t="s">
        <v>4409</v>
      </c>
      <c r="D627" s="12" t="s">
        <v>3417</v>
      </c>
      <c r="E627" s="12" t="s">
        <v>4410</v>
      </c>
      <c r="F627" s="30">
        <v>44204</v>
      </c>
      <c r="G627" s="12" t="s">
        <v>3900</v>
      </c>
      <c r="H627" s="32">
        <v>0.58333333333575865</v>
      </c>
      <c r="I627" s="29">
        <v>44204.604166666672</v>
      </c>
      <c r="J627" s="12" t="s">
        <v>3377</v>
      </c>
      <c r="L627" s="12" t="s">
        <v>3393</v>
      </c>
      <c r="M627" s="12" t="s">
        <v>4411</v>
      </c>
      <c r="O627" s="12" t="s">
        <v>3470</v>
      </c>
      <c r="P627" s="12" t="s">
        <v>4146</v>
      </c>
      <c r="AE627" s="32">
        <v>0.35416666666424135</v>
      </c>
      <c r="AF627" s="35"/>
    </row>
    <row r="628" spans="1:32" ht="12.75">
      <c r="A628" s="29">
        <v>44207.298649837961</v>
      </c>
      <c r="B628" s="12" t="s">
        <v>3760</v>
      </c>
      <c r="C628" s="12" t="s">
        <v>4330</v>
      </c>
      <c r="D628" s="12" t="s">
        <v>4257</v>
      </c>
      <c r="E628" s="12" t="s">
        <v>3419</v>
      </c>
      <c r="F628" s="30">
        <v>44207</v>
      </c>
      <c r="G628" s="12" t="s">
        <v>4378</v>
      </c>
      <c r="H628" s="32">
        <v>0.375</v>
      </c>
      <c r="I628" s="29">
        <v>44217.395833333328</v>
      </c>
      <c r="J628" s="12" t="s">
        <v>4338</v>
      </c>
      <c r="L628" s="12" t="s">
        <v>3299</v>
      </c>
      <c r="M628" s="12" t="s">
        <v>4412</v>
      </c>
      <c r="O628" s="12" t="s">
        <v>3760</v>
      </c>
      <c r="P628" s="12" t="s">
        <v>4146</v>
      </c>
      <c r="AE628" s="32">
        <v>0.31597222221898846</v>
      </c>
      <c r="AF628" s="35"/>
    </row>
    <row r="629" spans="1:32" ht="12.75">
      <c r="A629" s="29">
        <v>44208.395501319443</v>
      </c>
      <c r="B629" s="12" t="s">
        <v>4109</v>
      </c>
      <c r="C629" s="12" t="s">
        <v>4413</v>
      </c>
      <c r="D629" s="12" t="s">
        <v>3417</v>
      </c>
      <c r="E629" s="12" t="s">
        <v>4414</v>
      </c>
      <c r="F629" s="30">
        <v>44208</v>
      </c>
      <c r="G629" s="12" t="s">
        <v>4415</v>
      </c>
      <c r="H629" s="32">
        <v>0.44791666666424135</v>
      </c>
      <c r="I629" s="29">
        <v>44208.583333333328</v>
      </c>
      <c r="J629" s="12" t="s">
        <v>4123</v>
      </c>
      <c r="L629" s="12" t="s">
        <v>3393</v>
      </c>
      <c r="M629" s="12" t="s">
        <v>3474</v>
      </c>
      <c r="N629" s="12" t="s">
        <v>4124</v>
      </c>
      <c r="O629" s="12" t="s">
        <v>3475</v>
      </c>
      <c r="P629" s="12" t="s">
        <v>4146</v>
      </c>
      <c r="AE629" s="32">
        <v>0.39583333333575865</v>
      </c>
      <c r="AF629" s="35"/>
    </row>
    <row r="630" spans="1:32" ht="12.75">
      <c r="A630" s="29">
        <v>44208.457524907411</v>
      </c>
      <c r="B630" s="12" t="s">
        <v>4109</v>
      </c>
      <c r="C630" s="12" t="s">
        <v>4413</v>
      </c>
      <c r="D630" s="12" t="s">
        <v>3417</v>
      </c>
      <c r="E630" s="12" t="s">
        <v>4414</v>
      </c>
      <c r="F630" s="30">
        <v>44208</v>
      </c>
      <c r="G630" s="12" t="s">
        <v>4415</v>
      </c>
      <c r="H630" s="32">
        <v>0.44791666666424135</v>
      </c>
      <c r="I630" s="29">
        <v>44208.583333333328</v>
      </c>
      <c r="J630" s="12" t="s">
        <v>4123</v>
      </c>
      <c r="L630" s="12" t="s">
        <v>3393</v>
      </c>
      <c r="M630" s="12" t="s">
        <v>3474</v>
      </c>
      <c r="N630" s="12" t="s">
        <v>4124</v>
      </c>
      <c r="O630" s="12" t="s">
        <v>3475</v>
      </c>
      <c r="P630" s="12" t="s">
        <v>4146</v>
      </c>
      <c r="AE630" s="32">
        <v>0.39583333333575865</v>
      </c>
      <c r="AF630" s="35"/>
    </row>
    <row r="631" spans="1:32" ht="12.75">
      <c r="A631" s="29">
        <v>44208.459716898149</v>
      </c>
      <c r="B631" s="12" t="s">
        <v>4109</v>
      </c>
      <c r="C631" s="12" t="s">
        <v>4092</v>
      </c>
      <c r="D631" s="12" t="s">
        <v>3417</v>
      </c>
      <c r="E631" s="12" t="s">
        <v>4115</v>
      </c>
      <c r="F631" s="30">
        <v>44208</v>
      </c>
      <c r="G631" s="12" t="s">
        <v>4416</v>
      </c>
      <c r="H631" s="32">
        <v>0.51041666666424135</v>
      </c>
      <c r="I631" s="29">
        <v>44208.604166666672</v>
      </c>
      <c r="J631" s="12" t="s">
        <v>4123</v>
      </c>
      <c r="L631" s="12" t="s">
        <v>3393</v>
      </c>
      <c r="M631" s="12" t="s">
        <v>3474</v>
      </c>
      <c r="N631" s="12" t="s">
        <v>4124</v>
      </c>
      <c r="O631" s="12" t="s">
        <v>3475</v>
      </c>
      <c r="P631" s="12" t="s">
        <v>4146</v>
      </c>
      <c r="AE631" s="32">
        <v>0.46875</v>
      </c>
      <c r="AF631" s="35"/>
    </row>
    <row r="632" spans="1:32" ht="12.75">
      <c r="A632" s="29">
        <v>44208.523592465281</v>
      </c>
      <c r="B632" s="12" t="s">
        <v>4109</v>
      </c>
      <c r="C632" s="12" t="s">
        <v>4092</v>
      </c>
      <c r="D632" s="12" t="s">
        <v>3417</v>
      </c>
      <c r="E632" s="12" t="s">
        <v>4417</v>
      </c>
      <c r="F632" s="30">
        <v>44208</v>
      </c>
      <c r="G632" s="12" t="s">
        <v>4418</v>
      </c>
      <c r="H632" s="32">
        <v>0.60416666666424135</v>
      </c>
      <c r="I632" s="29">
        <v>44208.645833333328</v>
      </c>
      <c r="J632" s="12" t="s">
        <v>4123</v>
      </c>
      <c r="L632" s="12" t="s">
        <v>3393</v>
      </c>
      <c r="M632" s="12" t="s">
        <v>3474</v>
      </c>
      <c r="N632" s="12" t="s">
        <v>4124</v>
      </c>
      <c r="O632" s="12" t="s">
        <v>3475</v>
      </c>
      <c r="P632" s="12" t="s">
        <v>4146</v>
      </c>
      <c r="AE632" s="32">
        <v>0.52777777778101154</v>
      </c>
      <c r="AF632" s="35"/>
    </row>
    <row r="633" spans="1:32" ht="12.75">
      <c r="A633" s="29">
        <v>44223.346341296296</v>
      </c>
      <c r="B633" s="12" t="s">
        <v>4109</v>
      </c>
      <c r="C633" s="12" t="s">
        <v>4092</v>
      </c>
      <c r="D633" s="12" t="s">
        <v>4257</v>
      </c>
      <c r="E633" s="12" t="s">
        <v>3482</v>
      </c>
      <c r="F633" s="30">
        <v>44223</v>
      </c>
      <c r="G633" s="12" t="s">
        <v>4419</v>
      </c>
      <c r="H633" s="32">
        <v>0.54166666666424135</v>
      </c>
      <c r="I633" s="29">
        <v>44223.625</v>
      </c>
      <c r="J633" s="12" t="s">
        <v>3377</v>
      </c>
      <c r="L633" s="12" t="s">
        <v>3299</v>
      </c>
      <c r="M633" s="12" t="s">
        <v>3454</v>
      </c>
      <c r="N633" s="12" t="s">
        <v>4124</v>
      </c>
      <c r="O633" s="12" t="s">
        <v>3744</v>
      </c>
      <c r="P633" s="12" t="s">
        <v>4146</v>
      </c>
      <c r="AE633" s="32">
        <v>0.35416666666424135</v>
      </c>
      <c r="AF633" s="35"/>
    </row>
    <row r="634" spans="1:32" ht="12.75">
      <c r="A634" s="29">
        <v>44223.478678171297</v>
      </c>
      <c r="B634" s="12" t="s">
        <v>4109</v>
      </c>
      <c r="C634" s="12" t="s">
        <v>4092</v>
      </c>
      <c r="D634" s="12" t="s">
        <v>4257</v>
      </c>
      <c r="E634" s="12" t="s">
        <v>3482</v>
      </c>
      <c r="F634" s="30">
        <v>44223</v>
      </c>
      <c r="G634" s="12" t="s">
        <v>4419</v>
      </c>
      <c r="H634" s="32">
        <v>0.58333333333575865</v>
      </c>
      <c r="I634" s="29">
        <v>44223.604166666672</v>
      </c>
      <c r="J634" s="12" t="s">
        <v>3377</v>
      </c>
      <c r="L634" s="12" t="s">
        <v>3299</v>
      </c>
      <c r="M634" s="12" t="s">
        <v>3454</v>
      </c>
      <c r="N634" s="12" t="s">
        <v>4124</v>
      </c>
      <c r="O634" s="12" t="s">
        <v>3744</v>
      </c>
      <c r="P634" s="12" t="s">
        <v>4146</v>
      </c>
      <c r="AE634" s="32">
        <v>0.42708333333575865</v>
      </c>
      <c r="AF634" s="35"/>
    </row>
    <row r="635" spans="1:32" ht="12.75">
      <c r="A635" s="29">
        <v>44231.451996365737</v>
      </c>
      <c r="B635" s="12" t="s">
        <v>3372</v>
      </c>
      <c r="C635" s="12" t="s">
        <v>3902</v>
      </c>
      <c r="D635" s="12" t="s">
        <v>4257</v>
      </c>
      <c r="E635" s="12" t="s">
        <v>3862</v>
      </c>
      <c r="F635" s="30">
        <v>44231</v>
      </c>
      <c r="G635" s="12" t="s">
        <v>4332</v>
      </c>
      <c r="H635" s="32">
        <v>0.58333333333575865</v>
      </c>
      <c r="I635" s="29">
        <v>44231.604166666672</v>
      </c>
      <c r="J635" s="12" t="s">
        <v>3377</v>
      </c>
      <c r="L635" s="12" t="s">
        <v>3299</v>
      </c>
      <c r="M635" s="12" t="s">
        <v>3379</v>
      </c>
      <c r="N635" s="12" t="s">
        <v>4124</v>
      </c>
      <c r="O635" s="12" t="s">
        <v>3381</v>
      </c>
      <c r="P635" s="12" t="s">
        <v>4146</v>
      </c>
      <c r="AE635" s="32">
        <v>0.45138888889050577</v>
      </c>
      <c r="AF635" s="35"/>
    </row>
    <row r="636" spans="1:32" ht="12.75">
      <c r="A636" s="29">
        <v>44232.55864797454</v>
      </c>
      <c r="B636" s="12" t="s">
        <v>3372</v>
      </c>
      <c r="C636" s="12" t="s">
        <v>3902</v>
      </c>
      <c r="D636" s="12" t="s">
        <v>4257</v>
      </c>
      <c r="E636" s="12" t="s">
        <v>3404</v>
      </c>
      <c r="F636" s="30">
        <v>44232</v>
      </c>
      <c r="G636" s="12" t="s">
        <v>4420</v>
      </c>
      <c r="H636" s="32">
        <v>0.625</v>
      </c>
      <c r="I636" s="29">
        <v>44232.645833333328</v>
      </c>
      <c r="J636" s="12" t="s">
        <v>3377</v>
      </c>
      <c r="L636" s="12" t="s">
        <v>3299</v>
      </c>
      <c r="M636" s="12" t="s">
        <v>3379</v>
      </c>
      <c r="N636" s="12" t="s">
        <v>4124</v>
      </c>
      <c r="O636" s="12" t="s">
        <v>3381</v>
      </c>
      <c r="P636" s="12" t="s">
        <v>4146</v>
      </c>
      <c r="AE636" s="32">
        <v>0.55902777778101154</v>
      </c>
      <c r="AF636" s="35"/>
    </row>
    <row r="637" spans="1:32" ht="12.75">
      <c r="A637" s="29">
        <v>44236.330097372687</v>
      </c>
      <c r="B637" s="12" t="s">
        <v>3417</v>
      </c>
      <c r="C637" s="12" t="s">
        <v>3902</v>
      </c>
      <c r="D637" s="12" t="s">
        <v>3470</v>
      </c>
      <c r="E637" s="12" t="s">
        <v>4421</v>
      </c>
      <c r="F637" s="30">
        <v>44236</v>
      </c>
      <c r="G637" s="12" t="s">
        <v>4422</v>
      </c>
      <c r="H637" s="32">
        <v>0.58333333333575865</v>
      </c>
      <c r="I637" s="29">
        <v>44236.625</v>
      </c>
      <c r="J637" s="12" t="s">
        <v>3377</v>
      </c>
      <c r="L637" s="12" t="s">
        <v>3393</v>
      </c>
      <c r="M637" s="12" t="s">
        <v>3379</v>
      </c>
      <c r="N637" s="12" t="s">
        <v>4357</v>
      </c>
      <c r="O637" s="12" t="s">
        <v>3381</v>
      </c>
      <c r="P637" s="12" t="s">
        <v>4146</v>
      </c>
      <c r="AE637" s="32">
        <v>0.32986111110949423</v>
      </c>
      <c r="AF637" s="35"/>
    </row>
    <row r="638" spans="1:32" ht="12.75">
      <c r="A638" s="29">
        <v>44242.954061967597</v>
      </c>
      <c r="B638" s="12" t="s">
        <v>3760</v>
      </c>
      <c r="C638" s="12" t="s">
        <v>4330</v>
      </c>
      <c r="D638" s="12" t="s">
        <v>4257</v>
      </c>
      <c r="E638" s="12" t="s">
        <v>3419</v>
      </c>
      <c r="F638" s="30">
        <v>44207</v>
      </c>
      <c r="G638" s="12" t="s">
        <v>4378</v>
      </c>
      <c r="H638" s="32">
        <v>0.375</v>
      </c>
      <c r="I638" s="29">
        <v>44217.395833333328</v>
      </c>
      <c r="J638" s="12" t="s">
        <v>4338</v>
      </c>
      <c r="L638" s="12" t="s">
        <v>3299</v>
      </c>
      <c r="M638" s="12" t="s">
        <v>4412</v>
      </c>
      <c r="O638" s="12" t="s">
        <v>3760</v>
      </c>
      <c r="P638" s="12" t="s">
        <v>4146</v>
      </c>
      <c r="AE638" s="32">
        <v>0.31597222221898846</v>
      </c>
      <c r="AF638" s="35"/>
    </row>
    <row r="639" spans="1:32" ht="12.75">
      <c r="A639" s="29">
        <v>44244.306641921299</v>
      </c>
      <c r="B639" s="12" t="s">
        <v>4109</v>
      </c>
      <c r="C639" s="12" t="s">
        <v>4092</v>
      </c>
      <c r="D639" s="12" t="s">
        <v>4257</v>
      </c>
      <c r="E639" s="12" t="s">
        <v>4397</v>
      </c>
      <c r="F639" s="30">
        <v>44244</v>
      </c>
      <c r="G639" s="12" t="s">
        <v>4116</v>
      </c>
      <c r="H639" s="32">
        <v>0.58333333333575865</v>
      </c>
      <c r="I639" s="29">
        <v>44231.6875</v>
      </c>
      <c r="J639" s="12" t="s">
        <v>3331</v>
      </c>
      <c r="L639" s="12" t="s">
        <v>3393</v>
      </c>
      <c r="M639" s="12" t="s">
        <v>3454</v>
      </c>
      <c r="N639" s="12" t="s">
        <v>4124</v>
      </c>
      <c r="O639" s="12" t="s">
        <v>4423</v>
      </c>
      <c r="P639" s="12" t="s">
        <v>4146</v>
      </c>
      <c r="AE639" s="32">
        <v>0.3125</v>
      </c>
      <c r="AF639" s="35"/>
    </row>
    <row r="640" spans="1:32" ht="12.75">
      <c r="A640" s="29">
        <v>44250.359934259264</v>
      </c>
      <c r="B640" s="12" t="s">
        <v>3372</v>
      </c>
      <c r="C640" s="12" t="s">
        <v>3902</v>
      </c>
      <c r="D640" s="12" t="s">
        <v>3417</v>
      </c>
      <c r="E640" s="12" t="s">
        <v>3990</v>
      </c>
      <c r="F640" s="30">
        <v>44250</v>
      </c>
      <c r="G640" s="12" t="s">
        <v>4424</v>
      </c>
      <c r="H640" s="32">
        <v>0.5</v>
      </c>
      <c r="I640" s="29">
        <v>44250.583333333328</v>
      </c>
      <c r="J640" s="12" t="s">
        <v>4123</v>
      </c>
      <c r="L640" s="12" t="s">
        <v>3299</v>
      </c>
      <c r="M640" s="12" t="s">
        <v>3379</v>
      </c>
      <c r="N640" s="12" t="s">
        <v>3490</v>
      </c>
      <c r="O640" s="12" t="s">
        <v>3381</v>
      </c>
      <c r="P640" s="12" t="s">
        <v>4146</v>
      </c>
      <c r="AE640" s="32">
        <v>0.34375</v>
      </c>
      <c r="AF640" s="35"/>
    </row>
    <row r="641" spans="1:32" ht="12.75">
      <c r="A641" s="29">
        <v>44251.347962395834</v>
      </c>
      <c r="B641" s="12" t="s">
        <v>4109</v>
      </c>
      <c r="C641" s="12" t="s">
        <v>4092</v>
      </c>
      <c r="D641" s="12" t="s">
        <v>4257</v>
      </c>
      <c r="E641" s="12" t="s">
        <v>3435</v>
      </c>
      <c r="F641" s="30">
        <v>44251</v>
      </c>
      <c r="G641" s="12" t="s">
        <v>4398</v>
      </c>
      <c r="H641" s="32">
        <v>0.47916666666424135</v>
      </c>
      <c r="I641" s="29">
        <v>44251.020833333328</v>
      </c>
      <c r="J641" s="12" t="s">
        <v>3331</v>
      </c>
      <c r="L641" s="12" t="s">
        <v>3393</v>
      </c>
      <c r="M641" s="12" t="s">
        <v>3474</v>
      </c>
      <c r="N641" s="12" t="s">
        <v>4124</v>
      </c>
      <c r="O641" s="12" t="s">
        <v>3475</v>
      </c>
      <c r="P641" s="12" t="s">
        <v>4146</v>
      </c>
      <c r="AE641" s="32">
        <v>0.35416666666424135</v>
      </c>
      <c r="AF641" s="35"/>
    </row>
    <row r="642" spans="1:32" ht="12.75">
      <c r="A642" s="29">
        <v>44251.431803750005</v>
      </c>
      <c r="B642" s="12" t="s">
        <v>3417</v>
      </c>
      <c r="C642" s="12" t="s">
        <v>3902</v>
      </c>
      <c r="D642" s="12" t="s">
        <v>4257</v>
      </c>
      <c r="E642" s="12" t="s">
        <v>3920</v>
      </c>
      <c r="F642" s="30">
        <v>44251</v>
      </c>
      <c r="G642" s="12" t="s">
        <v>4089</v>
      </c>
      <c r="H642" s="32">
        <v>0.45833333333575865</v>
      </c>
      <c r="I642" s="29">
        <v>44251.583333333328</v>
      </c>
      <c r="J642" s="12" t="s">
        <v>4123</v>
      </c>
      <c r="L642" s="12" t="s">
        <v>3299</v>
      </c>
      <c r="M642" s="12" t="s">
        <v>3379</v>
      </c>
      <c r="N642" s="12" t="s">
        <v>4425</v>
      </c>
      <c r="O642" s="12" t="s">
        <v>3381</v>
      </c>
      <c r="P642" s="12" t="s">
        <v>4146</v>
      </c>
      <c r="AE642" s="32">
        <v>0.42708333333575865</v>
      </c>
      <c r="AF642" s="35"/>
    </row>
    <row r="643" spans="1:32" ht="12.75">
      <c r="A643" s="29">
        <v>44251.505525613422</v>
      </c>
      <c r="B643" s="12" t="s">
        <v>3417</v>
      </c>
      <c r="C643" s="12" t="s">
        <v>3902</v>
      </c>
      <c r="D643" s="12" t="s">
        <v>4257</v>
      </c>
      <c r="E643" s="12" t="s">
        <v>4426</v>
      </c>
      <c r="F643" s="30">
        <v>44251</v>
      </c>
      <c r="G643" s="12" t="s">
        <v>4427</v>
      </c>
      <c r="H643" s="32">
        <v>0.58333333333575865</v>
      </c>
      <c r="I643" s="29">
        <v>44251.625</v>
      </c>
      <c r="J643" s="12" t="s">
        <v>4123</v>
      </c>
      <c r="L643" s="12" t="s">
        <v>3299</v>
      </c>
      <c r="M643" s="12" t="s">
        <v>3379</v>
      </c>
      <c r="N643" s="12" t="s">
        <v>4425</v>
      </c>
      <c r="O643" s="12" t="s">
        <v>3381</v>
      </c>
      <c r="P643" s="12" t="s">
        <v>4146</v>
      </c>
      <c r="AE643" s="32">
        <v>0.5</v>
      </c>
      <c r="AF643" s="35"/>
    </row>
    <row r="644" spans="1:32" ht="12.75">
      <c r="A644" s="29">
        <v>44252.502989583329</v>
      </c>
      <c r="B644" s="12" t="s">
        <v>3417</v>
      </c>
      <c r="C644" s="12" t="s">
        <v>3902</v>
      </c>
      <c r="D644" s="12" t="s">
        <v>4257</v>
      </c>
      <c r="E644" s="12" t="s">
        <v>3687</v>
      </c>
      <c r="F644" s="30">
        <v>44252</v>
      </c>
      <c r="G644" s="12" t="s">
        <v>4327</v>
      </c>
      <c r="H644" s="32">
        <v>0.5625</v>
      </c>
      <c r="I644" s="29">
        <v>44252.583333333328</v>
      </c>
      <c r="J644" s="12" t="s">
        <v>4123</v>
      </c>
      <c r="L644" s="12" t="s">
        <v>3299</v>
      </c>
      <c r="M644" s="12" t="s">
        <v>3379</v>
      </c>
      <c r="N644" s="12" t="s">
        <v>4428</v>
      </c>
      <c r="O644" s="12" t="s">
        <v>3381</v>
      </c>
      <c r="P644" s="12" t="s">
        <v>4146</v>
      </c>
      <c r="AE644" s="32">
        <v>0.5</v>
      </c>
      <c r="AF644" s="35"/>
    </row>
    <row r="645" spans="1:32" ht="12.75">
      <c r="A645" s="29">
        <v>44258.311446087959</v>
      </c>
      <c r="B645" s="12" t="s">
        <v>3390</v>
      </c>
      <c r="C645" s="12" t="s">
        <v>3391</v>
      </c>
      <c r="D645" s="12" t="s">
        <v>4257</v>
      </c>
      <c r="E645" s="12" t="s">
        <v>3834</v>
      </c>
      <c r="F645" s="30">
        <v>44258</v>
      </c>
      <c r="G645" s="12" t="s">
        <v>4286</v>
      </c>
      <c r="H645" s="32">
        <v>0.47916666666424135</v>
      </c>
      <c r="I645" s="29">
        <v>44258.489583333328</v>
      </c>
      <c r="J645" s="12" t="s">
        <v>3331</v>
      </c>
      <c r="L645" s="12" t="s">
        <v>3393</v>
      </c>
      <c r="M645" s="12" t="s">
        <v>3591</v>
      </c>
      <c r="O645" s="12" t="s">
        <v>3429</v>
      </c>
      <c r="P645" s="12" t="s">
        <v>4146</v>
      </c>
      <c r="AE645" s="32">
        <v>0.30208333333575865</v>
      </c>
      <c r="AF645" s="35"/>
    </row>
    <row r="646" spans="1:32" ht="12.75">
      <c r="A646" s="29">
        <v>44259.32737864583</v>
      </c>
      <c r="B646" s="12" t="s">
        <v>3372</v>
      </c>
      <c r="C646" s="12" t="s">
        <v>3902</v>
      </c>
      <c r="D646" s="12" t="s">
        <v>4257</v>
      </c>
      <c r="E646" s="12" t="s">
        <v>3472</v>
      </c>
      <c r="F646" s="30">
        <v>44259</v>
      </c>
      <c r="G646" s="12" t="s">
        <v>4429</v>
      </c>
      <c r="H646" s="32">
        <v>0.39583333333575865</v>
      </c>
      <c r="I646" s="29">
        <v>44259.583333333328</v>
      </c>
      <c r="J646" s="12" t="s">
        <v>4123</v>
      </c>
      <c r="L646" s="12" t="s">
        <v>3299</v>
      </c>
      <c r="M646" s="12" t="s">
        <v>3379</v>
      </c>
      <c r="N646" s="12" t="s">
        <v>4124</v>
      </c>
      <c r="O646" s="12" t="s">
        <v>3381</v>
      </c>
      <c r="P646" s="12" t="s">
        <v>4146</v>
      </c>
      <c r="AE646" s="32">
        <v>0.33333333333575865</v>
      </c>
      <c r="AF646" s="35"/>
    </row>
    <row r="647" spans="1:32" ht="12.75">
      <c r="A647" s="29">
        <v>44259.432226087963</v>
      </c>
      <c r="B647" s="12" t="s">
        <v>3372</v>
      </c>
      <c r="C647" s="12" t="s">
        <v>3902</v>
      </c>
      <c r="D647" s="12" t="s">
        <v>4257</v>
      </c>
      <c r="E647" s="12" t="s">
        <v>4239</v>
      </c>
      <c r="F647" s="30">
        <v>44259</v>
      </c>
      <c r="G647" s="12" t="s">
        <v>3310</v>
      </c>
      <c r="H647" s="32">
        <v>0.60416666666424135</v>
      </c>
      <c r="I647" s="29">
        <v>44259.645833333328</v>
      </c>
      <c r="J647" s="12" t="s">
        <v>4123</v>
      </c>
      <c r="L647" s="12" t="s">
        <v>3299</v>
      </c>
      <c r="M647" s="12" t="s">
        <v>3379</v>
      </c>
      <c r="N647" s="12" t="s">
        <v>4124</v>
      </c>
      <c r="O647" s="12" t="s">
        <v>3381</v>
      </c>
      <c r="P647" s="12" t="s">
        <v>4146</v>
      </c>
      <c r="AE647" s="32">
        <v>0.4375</v>
      </c>
      <c r="AF647" s="35"/>
    </row>
    <row r="648" spans="1:32" ht="12.75">
      <c r="A648" s="29">
        <v>44260.364634618054</v>
      </c>
      <c r="B648" s="12" t="s">
        <v>3417</v>
      </c>
      <c r="C648" s="12" t="s">
        <v>3902</v>
      </c>
      <c r="D648" s="12" t="s">
        <v>4257</v>
      </c>
      <c r="E648" s="12" t="s">
        <v>3687</v>
      </c>
      <c r="F648" s="30">
        <v>44260</v>
      </c>
      <c r="G648" s="12" t="s">
        <v>4429</v>
      </c>
      <c r="H648" s="32">
        <v>0.41666666666424135</v>
      </c>
      <c r="I648" s="29">
        <v>44260.416666666672</v>
      </c>
      <c r="J648" s="12" t="s">
        <v>4123</v>
      </c>
      <c r="L648" s="12" t="s">
        <v>3299</v>
      </c>
      <c r="M648" s="12" t="s">
        <v>3379</v>
      </c>
      <c r="N648" s="12" t="s">
        <v>4430</v>
      </c>
      <c r="O648" s="12" t="s">
        <v>3381</v>
      </c>
      <c r="P648" s="12" t="s">
        <v>4146</v>
      </c>
      <c r="AE648" s="32">
        <v>0.36458333333575865</v>
      </c>
      <c r="AF648" s="35"/>
    </row>
    <row r="649" spans="1:32" ht="12.75">
      <c r="A649" s="29">
        <v>44260.479294699078</v>
      </c>
      <c r="B649" s="12" t="s">
        <v>3417</v>
      </c>
      <c r="C649" s="12" t="s">
        <v>3902</v>
      </c>
      <c r="D649" s="12" t="s">
        <v>4257</v>
      </c>
      <c r="E649" s="12" t="s">
        <v>4239</v>
      </c>
      <c r="F649" s="30">
        <v>44260</v>
      </c>
      <c r="G649" s="12" t="s">
        <v>3310</v>
      </c>
      <c r="H649" s="32">
        <v>0.54166666666424135</v>
      </c>
      <c r="I649" s="29">
        <v>44260.5625</v>
      </c>
      <c r="J649" s="12" t="s">
        <v>4123</v>
      </c>
      <c r="L649" s="12" t="s">
        <v>3299</v>
      </c>
      <c r="M649" s="12" t="s">
        <v>3379</v>
      </c>
      <c r="N649" s="12" t="s">
        <v>4431</v>
      </c>
      <c r="O649" s="12" t="s">
        <v>3381</v>
      </c>
      <c r="P649" s="12" t="s">
        <v>4146</v>
      </c>
      <c r="AE649" s="32">
        <v>0.44791666666424135</v>
      </c>
      <c r="AF649" s="35"/>
    </row>
    <row r="650" spans="1:32" ht="12.75">
      <c r="A650" s="29">
        <v>44265.297413402775</v>
      </c>
      <c r="B650" s="12" t="s">
        <v>4109</v>
      </c>
      <c r="C650" s="12" t="s">
        <v>4413</v>
      </c>
      <c r="D650" s="12" t="s">
        <v>4257</v>
      </c>
      <c r="E650" s="12" t="s">
        <v>3482</v>
      </c>
      <c r="F650" s="30">
        <v>44265</v>
      </c>
      <c r="G650" s="12" t="s">
        <v>4432</v>
      </c>
      <c r="H650" s="32">
        <v>0.5</v>
      </c>
      <c r="I650" s="29">
        <v>44265.520833333328</v>
      </c>
      <c r="J650" s="12" t="s">
        <v>3377</v>
      </c>
      <c r="L650" s="12" t="s">
        <v>3393</v>
      </c>
      <c r="M650" s="12" t="s">
        <v>3474</v>
      </c>
      <c r="N650" s="12" t="s">
        <v>4388</v>
      </c>
      <c r="O650" s="12" t="s">
        <v>3475</v>
      </c>
      <c r="P650" s="12" t="s">
        <v>4146</v>
      </c>
      <c r="AE650" s="32">
        <v>0.29166666666424135</v>
      </c>
      <c r="AF650" s="35"/>
    </row>
    <row r="651" spans="1:32" ht="12.75">
      <c r="A651" s="29">
        <v>44266.315211828703</v>
      </c>
      <c r="B651" s="12" t="s">
        <v>3760</v>
      </c>
      <c r="C651" s="12" t="s">
        <v>4330</v>
      </c>
      <c r="D651" s="12" t="s">
        <v>3470</v>
      </c>
      <c r="E651" s="12" t="s">
        <v>3419</v>
      </c>
      <c r="F651" s="30">
        <v>44266</v>
      </c>
      <c r="G651" s="12" t="s">
        <v>3419</v>
      </c>
      <c r="H651" s="32">
        <v>0.40625</v>
      </c>
      <c r="I651" s="29">
        <v>44266.416666666672</v>
      </c>
      <c r="J651" s="12" t="s">
        <v>4338</v>
      </c>
      <c r="L651" s="12" t="s">
        <v>3299</v>
      </c>
      <c r="M651" s="12" t="s">
        <v>3760</v>
      </c>
      <c r="N651" s="12" t="s">
        <v>4433</v>
      </c>
      <c r="O651" s="12" t="s">
        <v>3760</v>
      </c>
      <c r="P651" s="12" t="s">
        <v>4146</v>
      </c>
      <c r="AE651" s="32">
        <v>0.33333333333575865</v>
      </c>
      <c r="AF651" s="35"/>
    </row>
    <row r="652" spans="1:32" ht="12.75">
      <c r="A652" s="29">
        <v>44272.258698379628</v>
      </c>
      <c r="B652" s="12" t="s">
        <v>3390</v>
      </c>
      <c r="C652" s="12" t="s">
        <v>3391</v>
      </c>
      <c r="D652" s="12" t="s">
        <v>4257</v>
      </c>
      <c r="E652" s="12" t="s">
        <v>3834</v>
      </c>
      <c r="F652" s="30">
        <v>44272</v>
      </c>
      <c r="G652" s="12" t="s">
        <v>3465</v>
      </c>
      <c r="H652" s="32">
        <v>0.47916666666424135</v>
      </c>
      <c r="I652" s="29">
        <v>44272.500694444447</v>
      </c>
      <c r="J652" s="12" t="s">
        <v>3331</v>
      </c>
      <c r="L652" s="12" t="s">
        <v>3393</v>
      </c>
      <c r="M652" s="12" t="s">
        <v>3454</v>
      </c>
      <c r="N652" s="12" t="s">
        <v>4124</v>
      </c>
      <c r="O652" s="12" t="s">
        <v>3390</v>
      </c>
      <c r="P652" s="12" t="s">
        <v>4146</v>
      </c>
      <c r="AE652" s="32">
        <v>0.30208333333575865</v>
      </c>
      <c r="AF652" s="35"/>
    </row>
    <row r="653" spans="1:32" ht="12.75">
      <c r="A653" s="29">
        <v>44285.338142256944</v>
      </c>
      <c r="B653" s="12" t="s">
        <v>3417</v>
      </c>
      <c r="C653" s="12" t="s">
        <v>4325</v>
      </c>
      <c r="D653" s="12" t="s">
        <v>4257</v>
      </c>
      <c r="E653" s="12" t="s">
        <v>3990</v>
      </c>
      <c r="F653" s="30">
        <v>44285</v>
      </c>
      <c r="G653" s="12" t="s">
        <v>3640</v>
      </c>
      <c r="H653" s="32">
        <v>0.625</v>
      </c>
      <c r="I653" s="29">
        <v>44285.666666666672</v>
      </c>
      <c r="J653" s="12" t="s">
        <v>3377</v>
      </c>
      <c r="L653" s="12" t="s">
        <v>3299</v>
      </c>
      <c r="M653" s="12" t="s">
        <v>3379</v>
      </c>
      <c r="N653" s="12" t="s">
        <v>4434</v>
      </c>
      <c r="O653" s="12" t="s">
        <v>3381</v>
      </c>
      <c r="P653" s="12" t="s">
        <v>4146</v>
      </c>
      <c r="AE653" s="32">
        <v>0.34375</v>
      </c>
      <c r="AF653" s="35"/>
    </row>
    <row r="654" spans="1:32" ht="12.75">
      <c r="A654" s="29">
        <v>44285.363713020837</v>
      </c>
      <c r="B654" s="12" t="s">
        <v>3564</v>
      </c>
      <c r="C654" s="12" t="s">
        <v>4117</v>
      </c>
      <c r="D654" s="12" t="s">
        <v>4257</v>
      </c>
      <c r="E654" s="12" t="s">
        <v>3730</v>
      </c>
      <c r="F654" s="30" t="s">
        <v>4435</v>
      </c>
      <c r="G654" s="12" t="s">
        <v>4335</v>
      </c>
      <c r="H654" s="32">
        <v>0.625</v>
      </c>
      <c r="I654" s="29">
        <v>44285.708333333328</v>
      </c>
      <c r="J654" s="12" t="s">
        <v>3366</v>
      </c>
      <c r="L654" s="12" t="s">
        <v>3393</v>
      </c>
      <c r="M654" s="12" t="s">
        <v>4436</v>
      </c>
      <c r="N654" s="12" t="s">
        <v>4437</v>
      </c>
      <c r="O654" s="12" t="s">
        <v>3807</v>
      </c>
      <c r="P654" s="12" t="s">
        <v>4146</v>
      </c>
      <c r="AE654" s="32">
        <v>0.36458333333575865</v>
      </c>
      <c r="AF654" s="35"/>
    </row>
    <row r="655" spans="1:32" ht="12.75">
      <c r="A655" s="29">
        <v>44285.966607025461</v>
      </c>
      <c r="B655" s="12" t="s">
        <v>3564</v>
      </c>
      <c r="C655" s="12" t="s">
        <v>4117</v>
      </c>
      <c r="D655" s="12" t="s">
        <v>4257</v>
      </c>
      <c r="E655" s="12" t="s">
        <v>3730</v>
      </c>
      <c r="F655" s="30" t="s">
        <v>4435</v>
      </c>
      <c r="G655" s="12" t="s">
        <v>4335</v>
      </c>
      <c r="H655" s="32">
        <v>0.625</v>
      </c>
      <c r="I655" s="29">
        <v>44285.708333333328</v>
      </c>
      <c r="J655" s="12" t="s">
        <v>3366</v>
      </c>
      <c r="L655" s="12" t="s">
        <v>3393</v>
      </c>
      <c r="M655" s="12" t="s">
        <v>4436</v>
      </c>
      <c r="N655" s="12" t="s">
        <v>4437</v>
      </c>
      <c r="O655" s="12" t="s">
        <v>3807</v>
      </c>
      <c r="P655" s="12" t="s">
        <v>4146</v>
      </c>
      <c r="AE655" s="32">
        <v>0.36458333333575865</v>
      </c>
      <c r="AF655" s="35"/>
    </row>
    <row r="656" spans="1:32" ht="12.75">
      <c r="A656" s="29">
        <v>44286.29547060185</v>
      </c>
      <c r="B656" s="12" t="s">
        <v>3470</v>
      </c>
      <c r="C656" s="12" t="s">
        <v>3719</v>
      </c>
      <c r="D656" s="12" t="s">
        <v>4257</v>
      </c>
      <c r="E656" s="12" t="s">
        <v>3637</v>
      </c>
      <c r="F656" s="30">
        <v>44286</v>
      </c>
      <c r="G656" s="12" t="s">
        <v>4438</v>
      </c>
      <c r="H656" s="32">
        <v>0.47916666666424135</v>
      </c>
      <c r="I656" s="29">
        <v>44286.5625</v>
      </c>
      <c r="J656" s="12" t="s">
        <v>3331</v>
      </c>
      <c r="L656" s="12" t="s">
        <v>3393</v>
      </c>
      <c r="M656" s="12" t="s">
        <v>3591</v>
      </c>
      <c r="O656" s="12" t="s">
        <v>3744</v>
      </c>
      <c r="P656" s="12" t="s">
        <v>4146</v>
      </c>
      <c r="AE656" s="32">
        <v>0.3125</v>
      </c>
      <c r="AF656" s="35"/>
    </row>
    <row r="657" spans="1:32" ht="12.75">
      <c r="A657" s="29">
        <v>44286.330419039354</v>
      </c>
      <c r="B657" s="12" t="s">
        <v>3417</v>
      </c>
      <c r="C657" s="12" t="s">
        <v>259</v>
      </c>
      <c r="D657" s="12" t="s">
        <v>4257</v>
      </c>
      <c r="E657" s="12" t="s">
        <v>3296</v>
      </c>
      <c r="F657" s="30">
        <v>44286</v>
      </c>
      <c r="G657" s="12" t="s">
        <v>4439</v>
      </c>
      <c r="H657" s="32">
        <v>0.58333333333575865</v>
      </c>
      <c r="I657" s="29">
        <v>44286.604166666672</v>
      </c>
      <c r="J657" s="12" t="s">
        <v>3377</v>
      </c>
      <c r="L657" s="12" t="s">
        <v>3299</v>
      </c>
      <c r="M657" s="12" t="s">
        <v>3379</v>
      </c>
      <c r="N657" s="12" t="s">
        <v>4124</v>
      </c>
      <c r="O657" s="12" t="s">
        <v>4392</v>
      </c>
      <c r="P657" s="12" t="s">
        <v>4146</v>
      </c>
      <c r="AE657" s="32">
        <v>0.33333333333575865</v>
      </c>
      <c r="AF657" s="35"/>
    </row>
    <row r="658" spans="1:32" ht="12.75">
      <c r="A658" s="29">
        <v>44287.32555681713</v>
      </c>
      <c r="B658" s="12" t="s">
        <v>3417</v>
      </c>
      <c r="C658" s="12" t="s">
        <v>3902</v>
      </c>
      <c r="D658" s="12" t="s">
        <v>4257</v>
      </c>
      <c r="E658" s="12" t="s">
        <v>3920</v>
      </c>
      <c r="F658" s="30">
        <v>44287</v>
      </c>
      <c r="G658" s="12" t="s">
        <v>4089</v>
      </c>
      <c r="H658" s="32">
        <v>0.5</v>
      </c>
      <c r="I658" s="29">
        <v>44287.541666666672</v>
      </c>
      <c r="J658" s="12" t="s">
        <v>3377</v>
      </c>
      <c r="L658" s="12" t="s">
        <v>3299</v>
      </c>
      <c r="M658" s="12" t="s">
        <v>3379</v>
      </c>
      <c r="N658" s="12" t="s">
        <v>4124</v>
      </c>
      <c r="O658" s="12" t="s">
        <v>4392</v>
      </c>
      <c r="P658" s="12" t="s">
        <v>4146</v>
      </c>
      <c r="AE658" s="32">
        <v>0.32291666666424135</v>
      </c>
      <c r="AF658" s="35"/>
    </row>
    <row r="659" spans="1:32" ht="12.75">
      <c r="A659" s="29">
        <v>44293.325753726851</v>
      </c>
      <c r="B659" s="12" t="s">
        <v>4109</v>
      </c>
      <c r="C659" s="12" t="s">
        <v>4092</v>
      </c>
      <c r="D659" s="12" t="s">
        <v>4257</v>
      </c>
      <c r="E659" s="12" t="s">
        <v>3482</v>
      </c>
      <c r="F659" s="30">
        <v>44293</v>
      </c>
      <c r="G659" s="12" t="s">
        <v>4440</v>
      </c>
      <c r="H659" s="32">
        <v>0.54166666666424135</v>
      </c>
      <c r="I659" s="29">
        <v>44293.583333333328</v>
      </c>
      <c r="J659" s="12" t="s">
        <v>3377</v>
      </c>
      <c r="L659" s="12" t="s">
        <v>3393</v>
      </c>
      <c r="M659" s="12" t="s">
        <v>3474</v>
      </c>
      <c r="N659" s="12" t="s">
        <v>4124</v>
      </c>
      <c r="O659" s="12" t="s">
        <v>4441</v>
      </c>
      <c r="P659" s="12" t="s">
        <v>4146</v>
      </c>
      <c r="AE659" s="32">
        <v>0.32291666666424135</v>
      </c>
      <c r="AF659" s="35"/>
    </row>
    <row r="660" spans="1:32" ht="12.75">
      <c r="A660" s="29">
        <v>44293.38765099537</v>
      </c>
      <c r="B660" s="12" t="s">
        <v>3760</v>
      </c>
      <c r="C660" s="12" t="s">
        <v>4330</v>
      </c>
      <c r="D660" s="12" t="s">
        <v>4257</v>
      </c>
      <c r="E660" s="12" t="s">
        <v>3419</v>
      </c>
      <c r="F660" s="30">
        <v>44293</v>
      </c>
      <c r="G660" s="12" t="s">
        <v>3419</v>
      </c>
      <c r="H660" s="32">
        <v>0.35416666666424135</v>
      </c>
      <c r="I660" s="29">
        <v>44293.364583333328</v>
      </c>
      <c r="J660" s="12" t="s">
        <v>4338</v>
      </c>
      <c r="L660" s="12" t="s">
        <v>3299</v>
      </c>
      <c r="M660" s="12" t="s">
        <v>3760</v>
      </c>
      <c r="N660" s="12" t="s">
        <v>4442</v>
      </c>
      <c r="O660" s="12" t="s">
        <v>3760</v>
      </c>
      <c r="P660" s="12" t="s">
        <v>4146</v>
      </c>
      <c r="AE660" s="32">
        <v>0.29166666666424135</v>
      </c>
      <c r="AF660" s="35"/>
    </row>
    <row r="661" spans="1:32" ht="12.75">
      <c r="A661" s="29">
        <v>44294.391743692133</v>
      </c>
      <c r="B661" s="12" t="s">
        <v>3417</v>
      </c>
      <c r="C661" s="12" t="s">
        <v>3902</v>
      </c>
      <c r="D661" s="12" t="s">
        <v>4257</v>
      </c>
      <c r="E661" s="12" t="s">
        <v>4239</v>
      </c>
      <c r="F661" s="30">
        <v>44294</v>
      </c>
      <c r="G661" s="12" t="s">
        <v>3310</v>
      </c>
      <c r="H661" s="32">
        <v>0.625</v>
      </c>
      <c r="I661" s="29">
        <v>44294.666666666672</v>
      </c>
      <c r="J661" s="12" t="s">
        <v>3331</v>
      </c>
      <c r="L661" s="12" t="s">
        <v>3299</v>
      </c>
      <c r="M661" s="12" t="s">
        <v>3379</v>
      </c>
      <c r="N661" s="12" t="s">
        <v>4124</v>
      </c>
      <c r="O661" s="12" t="s">
        <v>4392</v>
      </c>
      <c r="P661" s="12" t="s">
        <v>4146</v>
      </c>
      <c r="AE661" s="32">
        <v>0.38541666666424135</v>
      </c>
      <c r="AF661" s="35"/>
    </row>
    <row r="662" spans="1:32" ht="12.75">
      <c r="A662" s="29">
        <v>44299.424610509261</v>
      </c>
      <c r="B662" s="12" t="s">
        <v>3417</v>
      </c>
      <c r="C662" s="12" t="s">
        <v>3902</v>
      </c>
      <c r="D662" s="12" t="s">
        <v>4257</v>
      </c>
      <c r="E662" s="12" t="s">
        <v>3687</v>
      </c>
      <c r="F662" s="30">
        <v>44299</v>
      </c>
      <c r="G662" s="12" t="s">
        <v>4429</v>
      </c>
      <c r="H662" s="32">
        <v>0.54166666666424135</v>
      </c>
      <c r="I662" s="29">
        <v>44299.583333333328</v>
      </c>
      <c r="J662" s="12" t="s">
        <v>3377</v>
      </c>
      <c r="L662" s="12" t="s">
        <v>3299</v>
      </c>
      <c r="M662" s="12" t="s">
        <v>3379</v>
      </c>
      <c r="N662" s="12" t="s">
        <v>4124</v>
      </c>
      <c r="O662" s="12" t="s">
        <v>4392</v>
      </c>
      <c r="P662" s="12" t="s">
        <v>4146</v>
      </c>
      <c r="AE662" s="32">
        <v>0.41666666666424135</v>
      </c>
      <c r="AF662" s="35"/>
    </row>
    <row r="663" spans="1:32" ht="12.75">
      <c r="A663" s="29">
        <v>44300.308947118057</v>
      </c>
      <c r="B663" s="12" t="s">
        <v>3417</v>
      </c>
      <c r="C663" s="12" t="s">
        <v>3902</v>
      </c>
      <c r="D663" s="12" t="s">
        <v>4257</v>
      </c>
      <c r="E663" s="12" t="s">
        <v>3387</v>
      </c>
      <c r="F663" s="30">
        <v>44300</v>
      </c>
      <c r="G663" s="12" t="s">
        <v>4443</v>
      </c>
      <c r="H663" s="32">
        <v>0.54166666666424135</v>
      </c>
      <c r="I663" s="29">
        <v>44300.583333333328</v>
      </c>
      <c r="J663" s="12" t="s">
        <v>4338</v>
      </c>
      <c r="L663" s="12" t="s">
        <v>3299</v>
      </c>
      <c r="M663" s="12" t="s">
        <v>3379</v>
      </c>
      <c r="N663" s="12" t="s">
        <v>4124</v>
      </c>
      <c r="O663" s="12" t="s">
        <v>3381</v>
      </c>
      <c r="P663" s="12" t="s">
        <v>4146</v>
      </c>
      <c r="AE663" s="32">
        <v>0.3125</v>
      </c>
      <c r="AF663" s="35"/>
    </row>
    <row r="664" spans="1:32" ht="12.75">
      <c r="A664" s="29">
        <v>44301.293345775463</v>
      </c>
      <c r="B664" s="12" t="s">
        <v>3417</v>
      </c>
      <c r="C664" s="12" t="s">
        <v>3902</v>
      </c>
      <c r="D664" s="12" t="s">
        <v>4257</v>
      </c>
      <c r="E664" s="12" t="s">
        <v>3687</v>
      </c>
      <c r="F664" s="30">
        <v>44301</v>
      </c>
      <c r="G664" s="12" t="s">
        <v>4444</v>
      </c>
      <c r="H664" s="32">
        <v>0.5</v>
      </c>
      <c r="I664" s="29">
        <v>44301.541666666672</v>
      </c>
      <c r="J664" s="12" t="s">
        <v>3377</v>
      </c>
      <c r="L664" s="12" t="s">
        <v>3299</v>
      </c>
      <c r="M664" s="12" t="s">
        <v>3379</v>
      </c>
      <c r="N664" s="12" t="s">
        <v>4445</v>
      </c>
      <c r="O664" s="12" t="s">
        <v>4392</v>
      </c>
      <c r="P664" s="12" t="s">
        <v>4146</v>
      </c>
      <c r="AE664" s="32">
        <v>0.30208333333575865</v>
      </c>
      <c r="AF664" s="35"/>
    </row>
    <row r="665" spans="1:32" ht="12.75">
      <c r="A665" s="29">
        <v>44302.303879143517</v>
      </c>
      <c r="B665" s="12" t="s">
        <v>4109</v>
      </c>
      <c r="C665" s="12" t="s">
        <v>4092</v>
      </c>
      <c r="D665" s="12" t="s">
        <v>4257</v>
      </c>
      <c r="E665" s="12" t="s">
        <v>4239</v>
      </c>
      <c r="F665" s="30">
        <v>44302</v>
      </c>
      <c r="G665" s="12" t="s">
        <v>4213</v>
      </c>
      <c r="H665" s="32">
        <v>0.625</v>
      </c>
      <c r="I665" s="29">
        <v>44302.645833333328</v>
      </c>
      <c r="J665" s="12" t="s">
        <v>3377</v>
      </c>
      <c r="L665" s="12" t="s">
        <v>3299</v>
      </c>
      <c r="M665" s="12" t="s">
        <v>3379</v>
      </c>
      <c r="N665" s="12" t="s">
        <v>4124</v>
      </c>
      <c r="O665" s="12" t="s">
        <v>3381</v>
      </c>
      <c r="P665" s="12" t="s">
        <v>4146</v>
      </c>
      <c r="AE665" s="32">
        <v>0.30208333333575865</v>
      </c>
      <c r="AF665" s="35"/>
    </row>
    <row r="666" spans="1:32" ht="12.75">
      <c r="A666" s="29">
        <v>44305.390314062504</v>
      </c>
      <c r="B666" s="12" t="s">
        <v>3372</v>
      </c>
      <c r="C666" s="12" t="s">
        <v>3902</v>
      </c>
      <c r="D666" s="12" t="s">
        <v>4257</v>
      </c>
      <c r="E666" s="12" t="s">
        <v>3509</v>
      </c>
      <c r="F666" s="30">
        <v>44305</v>
      </c>
      <c r="G666" s="12" t="s">
        <v>4398</v>
      </c>
      <c r="H666" s="32">
        <v>0.58333333333575865</v>
      </c>
      <c r="I666" s="29">
        <v>44305.604166666672</v>
      </c>
      <c r="J666" s="12" t="s">
        <v>3377</v>
      </c>
      <c r="L666" s="12" t="s">
        <v>3299</v>
      </c>
      <c r="M666" s="12" t="s">
        <v>3379</v>
      </c>
      <c r="N666" s="12" t="s">
        <v>4446</v>
      </c>
      <c r="O666" s="12" t="s">
        <v>3381</v>
      </c>
      <c r="P666" s="12" t="s">
        <v>4146</v>
      </c>
      <c r="AE666" s="32">
        <v>0.35416666666424135</v>
      </c>
      <c r="AF666" s="35"/>
    </row>
    <row r="667" spans="1:32" ht="12.75">
      <c r="A667" s="29">
        <v>44306.359966099539</v>
      </c>
      <c r="B667" s="12" t="s">
        <v>3417</v>
      </c>
      <c r="C667" s="12" t="s">
        <v>3902</v>
      </c>
      <c r="D667" s="12" t="s">
        <v>4257</v>
      </c>
      <c r="E667" s="12" t="s">
        <v>3920</v>
      </c>
      <c r="F667" s="30">
        <v>44306</v>
      </c>
      <c r="G667" s="12" t="s">
        <v>4089</v>
      </c>
      <c r="H667" s="32">
        <v>0.54166666666424135</v>
      </c>
      <c r="I667" s="29">
        <v>44306.5625</v>
      </c>
      <c r="J667" s="12" t="s">
        <v>3377</v>
      </c>
      <c r="L667" s="12" t="s">
        <v>3299</v>
      </c>
      <c r="M667" s="12" t="s">
        <v>3379</v>
      </c>
      <c r="N667" s="12" t="s">
        <v>4124</v>
      </c>
      <c r="O667" s="12" t="s">
        <v>3381</v>
      </c>
      <c r="P667" s="12" t="s">
        <v>4146</v>
      </c>
      <c r="AE667" s="32">
        <v>0.36111111110949423</v>
      </c>
      <c r="AF667" s="35"/>
    </row>
    <row r="668" spans="1:32" ht="12.75">
      <c r="A668" s="29">
        <v>44307.373787002318</v>
      </c>
      <c r="B668" s="12" t="s">
        <v>3417</v>
      </c>
      <c r="C668" s="12" t="s">
        <v>4061</v>
      </c>
      <c r="D668" s="12" t="s">
        <v>4257</v>
      </c>
      <c r="E668" s="12" t="s">
        <v>3296</v>
      </c>
      <c r="F668" s="30">
        <v>44307</v>
      </c>
      <c r="G668" s="12" t="s">
        <v>4292</v>
      </c>
      <c r="H668" s="32">
        <v>0.58333333333575865</v>
      </c>
      <c r="I668" s="29">
        <v>44307.625</v>
      </c>
      <c r="J668" s="12" t="s">
        <v>3377</v>
      </c>
      <c r="L668" s="12" t="s">
        <v>3299</v>
      </c>
      <c r="M668" s="12" t="s">
        <v>3379</v>
      </c>
      <c r="N668" s="12" t="s">
        <v>4124</v>
      </c>
      <c r="O668" s="12" t="s">
        <v>3381</v>
      </c>
      <c r="P668" s="12" t="s">
        <v>4146</v>
      </c>
      <c r="AE668" s="32">
        <v>0.39583333333575865</v>
      </c>
      <c r="AF668" s="35"/>
    </row>
    <row r="669" spans="1:32" ht="12.75">
      <c r="A669" s="29">
        <v>44313.368097604165</v>
      </c>
      <c r="B669" s="12" t="s">
        <v>3372</v>
      </c>
      <c r="C669" s="12" t="s">
        <v>3902</v>
      </c>
      <c r="D669" s="12" t="s">
        <v>3417</v>
      </c>
      <c r="E669" s="12" t="s">
        <v>4447</v>
      </c>
      <c r="F669" s="30">
        <v>44313</v>
      </c>
      <c r="G669" s="12" t="s">
        <v>3492</v>
      </c>
      <c r="H669" s="32">
        <v>0.79166666666424135</v>
      </c>
      <c r="I669" s="29">
        <v>44313.8125</v>
      </c>
      <c r="J669" s="12" t="s">
        <v>3377</v>
      </c>
      <c r="L669" s="12" t="s">
        <v>3299</v>
      </c>
      <c r="M669" s="12" t="s">
        <v>3379</v>
      </c>
      <c r="N669" s="12" t="s">
        <v>4448</v>
      </c>
      <c r="O669" s="12" t="s">
        <v>3381</v>
      </c>
      <c r="P669" s="12" t="s">
        <v>4146</v>
      </c>
      <c r="AE669" s="32">
        <v>0.36458333333575865</v>
      </c>
      <c r="AF669" s="35"/>
    </row>
    <row r="670" spans="1:32" ht="12.75">
      <c r="A670" s="29">
        <v>44313.697187164347</v>
      </c>
      <c r="B670" s="12" t="s">
        <v>3390</v>
      </c>
      <c r="C670" s="12" t="s">
        <v>3391</v>
      </c>
      <c r="D670" s="12" t="s">
        <v>4257</v>
      </c>
      <c r="E670" s="12" t="s">
        <v>3834</v>
      </c>
      <c r="F670" s="30">
        <v>44314</v>
      </c>
      <c r="G670" s="12" t="s">
        <v>3520</v>
      </c>
      <c r="H670" s="32">
        <v>0.60416666666424135</v>
      </c>
      <c r="I670" s="29">
        <v>44314.6875</v>
      </c>
      <c r="J670" s="12" t="s">
        <v>3331</v>
      </c>
      <c r="L670" s="12" t="s">
        <v>3393</v>
      </c>
      <c r="M670" s="12" t="s">
        <v>3591</v>
      </c>
      <c r="O670" s="12" t="s">
        <v>3390</v>
      </c>
      <c r="P670" s="12" t="s">
        <v>4146</v>
      </c>
      <c r="AE670" s="32">
        <v>0.35416666666424135</v>
      </c>
      <c r="AF670" s="35"/>
    </row>
    <row r="671" spans="1:32" ht="12.75">
      <c r="A671" s="29">
        <v>44314.312848483794</v>
      </c>
      <c r="B671" s="12" t="s">
        <v>3372</v>
      </c>
      <c r="C671" s="12" t="s">
        <v>3902</v>
      </c>
      <c r="D671" s="12" t="s">
        <v>4257</v>
      </c>
      <c r="E671" s="12" t="s">
        <v>4321</v>
      </c>
      <c r="F671" s="30">
        <v>44314</v>
      </c>
      <c r="G671" s="12" t="s">
        <v>4176</v>
      </c>
      <c r="H671" s="32">
        <v>0.54166666666424135</v>
      </c>
      <c r="I671" s="29">
        <v>44314.583333333328</v>
      </c>
      <c r="J671" s="12" t="s">
        <v>3377</v>
      </c>
      <c r="L671" s="12" t="s">
        <v>3299</v>
      </c>
      <c r="M671" s="12" t="s">
        <v>3379</v>
      </c>
      <c r="N671" s="12" t="s">
        <v>4449</v>
      </c>
      <c r="O671" s="12" t="s">
        <v>3381</v>
      </c>
      <c r="P671" s="12" t="s">
        <v>4146</v>
      </c>
      <c r="AE671" s="32">
        <v>0.3125</v>
      </c>
      <c r="AF671" s="35"/>
    </row>
    <row r="672" spans="1:32" ht="12.75">
      <c r="A672" s="29">
        <v>44326.361951631945</v>
      </c>
      <c r="B672" s="12" t="s">
        <v>3760</v>
      </c>
      <c r="C672" s="12" t="s">
        <v>4330</v>
      </c>
      <c r="D672" s="12" t="s">
        <v>3470</v>
      </c>
      <c r="E672" s="12" t="s">
        <v>3419</v>
      </c>
      <c r="F672" s="30">
        <v>44326</v>
      </c>
      <c r="G672" s="12" t="s">
        <v>3419</v>
      </c>
      <c r="H672" s="32">
        <v>0.44791666666424135</v>
      </c>
      <c r="I672" s="29">
        <v>44326.458333333328</v>
      </c>
      <c r="J672" s="12" t="s">
        <v>4338</v>
      </c>
      <c r="L672" s="12" t="s">
        <v>3299</v>
      </c>
      <c r="M672" s="12" t="s">
        <v>3760</v>
      </c>
      <c r="N672" s="12" t="s">
        <v>4450</v>
      </c>
      <c r="O672" s="12" t="s">
        <v>3760</v>
      </c>
      <c r="P672" s="12" t="s">
        <v>4146</v>
      </c>
      <c r="AE672" s="32">
        <v>0.38541666666424135</v>
      </c>
      <c r="AF672" s="35"/>
    </row>
    <row r="673" spans="1:32" ht="12.75">
      <c r="A673" s="29">
        <v>44327.356929803238</v>
      </c>
      <c r="B673" s="12" t="s">
        <v>3470</v>
      </c>
      <c r="C673" s="12" t="s">
        <v>3719</v>
      </c>
      <c r="D673" s="12" t="s">
        <v>4257</v>
      </c>
      <c r="E673" s="12" t="s">
        <v>3482</v>
      </c>
      <c r="F673" s="30">
        <v>44327</v>
      </c>
      <c r="G673" s="12" t="s">
        <v>4311</v>
      </c>
      <c r="H673" s="32">
        <v>0.54166666666424135</v>
      </c>
      <c r="I673" s="29">
        <v>44327.604166666672</v>
      </c>
      <c r="J673" s="12" t="s">
        <v>3331</v>
      </c>
      <c r="L673" s="12" t="s">
        <v>3299</v>
      </c>
      <c r="M673" s="12" t="s">
        <v>3474</v>
      </c>
      <c r="N673" s="12" t="s">
        <v>4451</v>
      </c>
      <c r="O673" s="12" t="s">
        <v>3475</v>
      </c>
      <c r="P673" s="12" t="s">
        <v>4146</v>
      </c>
      <c r="AE673" s="32">
        <v>0.36458333333575865</v>
      </c>
      <c r="AF673" s="35"/>
    </row>
    <row r="674" spans="1:32" ht="12.75">
      <c r="A674" s="29">
        <v>44327.665355787038</v>
      </c>
      <c r="B674" s="12" t="s">
        <v>3470</v>
      </c>
      <c r="C674" s="12" t="s">
        <v>3719</v>
      </c>
      <c r="D674" s="12" t="s">
        <v>4257</v>
      </c>
      <c r="E674" s="12" t="s">
        <v>3482</v>
      </c>
      <c r="F674" s="30">
        <v>44327</v>
      </c>
      <c r="G674" s="12" t="s">
        <v>4311</v>
      </c>
      <c r="H674" s="32">
        <v>0.54166666666424135</v>
      </c>
      <c r="I674" s="29">
        <v>44327.604166666672</v>
      </c>
      <c r="J674" s="12" t="s">
        <v>3331</v>
      </c>
      <c r="L674" s="12" t="s">
        <v>3299</v>
      </c>
      <c r="M674" s="12" t="s">
        <v>3474</v>
      </c>
      <c r="N674" s="12" t="s">
        <v>4451</v>
      </c>
      <c r="O674" s="12" t="s">
        <v>3475</v>
      </c>
      <c r="P674" s="12" t="s">
        <v>4146</v>
      </c>
      <c r="AE674" s="32">
        <v>0.36458333333575865</v>
      </c>
      <c r="AF674" s="35"/>
    </row>
    <row r="675" spans="1:32" ht="12.75">
      <c r="A675" s="29">
        <v>44330.390026134264</v>
      </c>
      <c r="B675" s="12" t="s">
        <v>3390</v>
      </c>
      <c r="C675" s="12" t="s">
        <v>3391</v>
      </c>
      <c r="D675" s="12" t="s">
        <v>4006</v>
      </c>
      <c r="E675" s="12" t="s">
        <v>4369</v>
      </c>
      <c r="F675" s="30">
        <v>44330</v>
      </c>
      <c r="G675" s="12" t="s">
        <v>3492</v>
      </c>
      <c r="H675" s="32">
        <v>0.625</v>
      </c>
      <c r="I675" s="29">
        <v>44330.666666666672</v>
      </c>
      <c r="J675" s="12" t="s">
        <v>3331</v>
      </c>
      <c r="L675" s="12" t="s">
        <v>3393</v>
      </c>
      <c r="M675" s="12" t="s">
        <v>3454</v>
      </c>
      <c r="N675" s="12" t="s">
        <v>3760</v>
      </c>
      <c r="O675" s="12" t="s">
        <v>3390</v>
      </c>
      <c r="P675" s="12" t="s">
        <v>4146</v>
      </c>
      <c r="AE675" s="32">
        <v>0.41666666666424135</v>
      </c>
      <c r="AF675" s="35"/>
    </row>
    <row r="676" spans="1:32" ht="12.75">
      <c r="A676" s="29">
        <v>44341.338215810189</v>
      </c>
      <c r="B676" s="12" t="s">
        <v>4109</v>
      </c>
      <c r="C676" s="12" t="s">
        <v>4092</v>
      </c>
      <c r="D676" s="12" t="s">
        <v>3417</v>
      </c>
      <c r="E676" s="12" t="s">
        <v>4115</v>
      </c>
      <c r="F676" s="30">
        <v>44341</v>
      </c>
      <c r="G676" s="12" t="s">
        <v>4282</v>
      </c>
      <c r="H676" s="32">
        <v>0.54166666666424135</v>
      </c>
      <c r="I676" s="29">
        <v>44341.572916666672</v>
      </c>
      <c r="J676" s="12" t="s">
        <v>3331</v>
      </c>
      <c r="L676" s="12" t="s">
        <v>3299</v>
      </c>
      <c r="M676" s="12" t="s">
        <v>4401</v>
      </c>
      <c r="N676" s="12" t="s">
        <v>4452</v>
      </c>
      <c r="O676" s="12" t="s">
        <v>4453</v>
      </c>
      <c r="P676" s="12" t="s">
        <v>4146</v>
      </c>
      <c r="AE676" s="32">
        <v>0.34375</v>
      </c>
      <c r="AF676" s="35"/>
    </row>
    <row r="677" spans="1:32" ht="12.75">
      <c r="A677" s="29">
        <v>44349.28541675926</v>
      </c>
      <c r="B677" s="12" t="s">
        <v>3390</v>
      </c>
      <c r="C677" s="12" t="s">
        <v>3391</v>
      </c>
      <c r="D677" s="12" t="s">
        <v>3470</v>
      </c>
      <c r="E677" s="12" t="s">
        <v>4454</v>
      </c>
      <c r="F677" s="30">
        <v>44349</v>
      </c>
      <c r="G677" s="12" t="s">
        <v>3747</v>
      </c>
      <c r="H677" s="32">
        <v>0.58333333333575865</v>
      </c>
      <c r="I677" s="29">
        <v>44349.666666666672</v>
      </c>
      <c r="J677" s="12" t="s">
        <v>3331</v>
      </c>
      <c r="L677" s="12" t="s">
        <v>3393</v>
      </c>
      <c r="M677" s="12" t="s">
        <v>4455</v>
      </c>
      <c r="N677" s="12" t="s">
        <v>4456</v>
      </c>
      <c r="O677" s="12" t="s">
        <v>4387</v>
      </c>
      <c r="P677" s="12" t="s">
        <v>4146</v>
      </c>
      <c r="AE677" s="32">
        <v>0.36458333333575865</v>
      </c>
      <c r="AF677" s="35"/>
    </row>
    <row r="678" spans="1:32" ht="12.75">
      <c r="A678" s="29">
        <v>44354.345979594902</v>
      </c>
      <c r="B678" s="12" t="s">
        <v>3372</v>
      </c>
      <c r="C678" s="12" t="s">
        <v>3902</v>
      </c>
      <c r="D678" s="12" t="s">
        <v>3390</v>
      </c>
      <c r="E678" s="12" t="s">
        <v>4307</v>
      </c>
      <c r="F678" s="30">
        <v>44354</v>
      </c>
      <c r="G678" s="12" t="s">
        <v>3419</v>
      </c>
      <c r="H678" s="32">
        <v>0.39583333333575865</v>
      </c>
      <c r="I678" s="29">
        <v>44354.395833333328</v>
      </c>
      <c r="J678" s="12" t="s">
        <v>4338</v>
      </c>
      <c r="L678" s="12" t="s">
        <v>3299</v>
      </c>
      <c r="M678" s="12" t="s">
        <v>3300</v>
      </c>
      <c r="N678" s="12" t="s">
        <v>4457</v>
      </c>
      <c r="O678" s="12" t="s">
        <v>3381</v>
      </c>
      <c r="P678" s="12" t="s">
        <v>4146</v>
      </c>
      <c r="AE678" s="32">
        <v>0.34375</v>
      </c>
      <c r="AF678" s="35"/>
    </row>
    <row r="679" spans="1:32" ht="12.75">
      <c r="A679" s="29">
        <v>44355.270706597221</v>
      </c>
      <c r="B679" s="12" t="s">
        <v>3372</v>
      </c>
      <c r="C679" s="12" t="s">
        <v>3902</v>
      </c>
      <c r="D679" s="12" t="s">
        <v>4257</v>
      </c>
      <c r="E679" s="12" t="s">
        <v>3387</v>
      </c>
      <c r="F679" s="30">
        <v>44355</v>
      </c>
      <c r="G679" s="12" t="s">
        <v>4458</v>
      </c>
      <c r="H679" s="32">
        <v>0.41666666666424135</v>
      </c>
      <c r="I679" s="29">
        <v>44355.458333333328</v>
      </c>
      <c r="J679" s="12" t="s">
        <v>3331</v>
      </c>
      <c r="L679" s="12" t="s">
        <v>4459</v>
      </c>
      <c r="M679" s="12" t="s">
        <v>3379</v>
      </c>
      <c r="N679" s="12" t="s">
        <v>4384</v>
      </c>
      <c r="O679" s="12" t="s">
        <v>3381</v>
      </c>
      <c r="P679" s="12" t="s">
        <v>4146</v>
      </c>
      <c r="AE679" s="32">
        <v>0.27083333333575865</v>
      </c>
      <c r="AF679" s="35"/>
    </row>
    <row r="680" spans="1:32" ht="12.75">
      <c r="A680" s="29">
        <v>44355.313079803236</v>
      </c>
      <c r="B680" s="12" t="s">
        <v>4109</v>
      </c>
      <c r="C680" s="12" t="s">
        <v>4460</v>
      </c>
      <c r="D680" s="12" t="s">
        <v>4257</v>
      </c>
      <c r="E680" s="12" t="s">
        <v>3482</v>
      </c>
      <c r="F680" s="30">
        <v>44355</v>
      </c>
      <c r="G680" s="12" t="s">
        <v>4440</v>
      </c>
      <c r="H680" s="32">
        <v>0.54166666666424135</v>
      </c>
      <c r="I680" s="29">
        <v>44355.572916666672</v>
      </c>
      <c r="J680" s="12" t="s">
        <v>3377</v>
      </c>
      <c r="L680" s="12" t="s">
        <v>3299</v>
      </c>
      <c r="M680" s="12" t="s">
        <v>3454</v>
      </c>
      <c r="N680" s="12" t="s">
        <v>4461</v>
      </c>
      <c r="O680" s="12" t="s">
        <v>4462</v>
      </c>
      <c r="P680" s="12" t="s">
        <v>4146</v>
      </c>
      <c r="AE680" s="32">
        <v>0.32291666666424135</v>
      </c>
      <c r="AF680" s="35"/>
    </row>
    <row r="681" spans="1:32" ht="12.75">
      <c r="A681" s="29">
        <v>44356.259612349539</v>
      </c>
      <c r="B681" s="12" t="s">
        <v>3417</v>
      </c>
      <c r="C681" s="12" t="s">
        <v>3902</v>
      </c>
      <c r="D681" s="12" t="s">
        <v>4257</v>
      </c>
      <c r="E681" s="12" t="s">
        <v>3387</v>
      </c>
      <c r="F681" s="30">
        <v>44356</v>
      </c>
      <c r="G681" s="12" t="s">
        <v>3388</v>
      </c>
      <c r="H681" s="32">
        <v>0.375</v>
      </c>
      <c r="I681" s="29">
        <v>44356.395833333328</v>
      </c>
      <c r="J681" s="12" t="s">
        <v>3331</v>
      </c>
      <c r="L681" s="12" t="s">
        <v>4459</v>
      </c>
      <c r="M681" s="12" t="s">
        <v>3379</v>
      </c>
      <c r="N681" s="12" t="s">
        <v>4384</v>
      </c>
      <c r="O681" s="12" t="s">
        <v>3381</v>
      </c>
      <c r="P681" s="12" t="s">
        <v>4146</v>
      </c>
      <c r="AE681" s="32">
        <v>0.26041666666424135</v>
      </c>
      <c r="AF681" s="35"/>
    </row>
    <row r="682" spans="1:32" ht="12.75">
      <c r="A682" s="29">
        <v>44357.284513472223</v>
      </c>
      <c r="B682" s="12" t="s">
        <v>3417</v>
      </c>
      <c r="C682" s="12" t="s">
        <v>3902</v>
      </c>
      <c r="D682" s="12" t="s">
        <v>4257</v>
      </c>
      <c r="E682" s="12" t="s">
        <v>3387</v>
      </c>
      <c r="F682" s="30">
        <v>44357</v>
      </c>
      <c r="G682" s="12" t="s">
        <v>4166</v>
      </c>
      <c r="H682" s="32">
        <v>0.375</v>
      </c>
      <c r="I682" s="29">
        <v>44357.395833333328</v>
      </c>
      <c r="J682" s="12" t="s">
        <v>3331</v>
      </c>
      <c r="L682" s="12" t="s">
        <v>4463</v>
      </c>
      <c r="M682" s="12" t="s">
        <v>3379</v>
      </c>
      <c r="N682" s="12" t="s">
        <v>4384</v>
      </c>
      <c r="O682" s="12" t="s">
        <v>3381</v>
      </c>
      <c r="P682" s="12" t="s">
        <v>4146</v>
      </c>
      <c r="AE682" s="32">
        <v>0.28125</v>
      </c>
      <c r="AF682" s="35"/>
    </row>
    <row r="683" spans="1:32" ht="12.75">
      <c r="A683" s="29">
        <v>44361.357829247689</v>
      </c>
      <c r="B683" s="12" t="s">
        <v>4109</v>
      </c>
      <c r="C683" s="12" t="s">
        <v>4464</v>
      </c>
      <c r="D683" s="12" t="s">
        <v>3390</v>
      </c>
      <c r="E683" s="12" t="s">
        <v>4100</v>
      </c>
      <c r="F683" s="30">
        <v>44361</v>
      </c>
      <c r="G683" s="12" t="s">
        <v>4465</v>
      </c>
      <c r="H683" s="32">
        <v>0.5</v>
      </c>
      <c r="I683" s="29">
        <v>44361.5625</v>
      </c>
      <c r="J683" s="12" t="s">
        <v>3331</v>
      </c>
      <c r="L683" s="12" t="s">
        <v>3299</v>
      </c>
      <c r="M683" s="12" t="s">
        <v>3379</v>
      </c>
      <c r="N683" s="12" t="s">
        <v>4466</v>
      </c>
      <c r="O683" s="12" t="s">
        <v>3381</v>
      </c>
      <c r="P683" s="12" t="s">
        <v>4146</v>
      </c>
      <c r="AE683" s="32">
        <v>0.35416666666424135</v>
      </c>
      <c r="AF683" s="35"/>
    </row>
    <row r="684" spans="1:32" ht="12.75">
      <c r="A684" s="29">
        <v>44362.332208715277</v>
      </c>
      <c r="B684" s="12" t="s">
        <v>3417</v>
      </c>
      <c r="C684" s="12" t="s">
        <v>4061</v>
      </c>
      <c r="D684" s="12" t="s">
        <v>3390</v>
      </c>
      <c r="E684" s="12" t="s">
        <v>3387</v>
      </c>
      <c r="F684" s="30">
        <v>44362</v>
      </c>
      <c r="G684" s="12" t="s">
        <v>3384</v>
      </c>
      <c r="H684" s="32">
        <v>0</v>
      </c>
      <c r="I684" s="29">
        <v>44362.5625</v>
      </c>
      <c r="J684" s="12" t="s">
        <v>3331</v>
      </c>
      <c r="L684" s="12" t="s">
        <v>3299</v>
      </c>
      <c r="M684" s="12" t="s">
        <v>3379</v>
      </c>
      <c r="N684" s="12" t="s">
        <v>4467</v>
      </c>
      <c r="O684" s="12" t="s">
        <v>3381</v>
      </c>
      <c r="P684" s="12" t="s">
        <v>4146</v>
      </c>
      <c r="AE684" s="32">
        <v>0.375</v>
      </c>
      <c r="AF684" s="35"/>
    </row>
    <row r="685" spans="1:32" ht="12.75">
      <c r="A685" s="29">
        <v>44363.299199652778</v>
      </c>
      <c r="B685" s="12" t="s">
        <v>3390</v>
      </c>
      <c r="C685" s="12" t="s">
        <v>3391</v>
      </c>
      <c r="D685" s="12" t="s">
        <v>3417</v>
      </c>
      <c r="E685" s="12" t="s">
        <v>3482</v>
      </c>
      <c r="F685" s="30">
        <v>44363</v>
      </c>
      <c r="G685" s="12" t="s">
        <v>3520</v>
      </c>
      <c r="H685" s="32">
        <v>0.57291666666424135</v>
      </c>
      <c r="I685" s="29">
        <v>44363.666666666672</v>
      </c>
      <c r="J685" s="12" t="s">
        <v>3331</v>
      </c>
      <c r="L685" s="12" t="s">
        <v>3299</v>
      </c>
      <c r="M685" s="12" t="s">
        <v>3454</v>
      </c>
      <c r="N685" s="12" t="s">
        <v>4456</v>
      </c>
      <c r="O685" s="12" t="s">
        <v>3390</v>
      </c>
      <c r="P685" s="12" t="s">
        <v>4146</v>
      </c>
      <c r="AE685" s="32">
        <v>0.3125</v>
      </c>
      <c r="AF685" s="35"/>
    </row>
    <row r="686" spans="1:32" ht="12.75">
      <c r="A686" s="29">
        <v>44365.270352002313</v>
      </c>
      <c r="B686" s="12" t="s">
        <v>3372</v>
      </c>
      <c r="C686" s="12" t="s">
        <v>4061</v>
      </c>
      <c r="D686" s="12" t="s">
        <v>4468</v>
      </c>
      <c r="E686" s="12" t="s">
        <v>3387</v>
      </c>
      <c r="F686" s="30">
        <v>44365</v>
      </c>
      <c r="G686" s="12" t="s">
        <v>3492</v>
      </c>
      <c r="H686" s="32">
        <v>0.625</v>
      </c>
      <c r="I686" s="29">
        <v>44365.666666666672</v>
      </c>
      <c r="J686" s="12" t="s">
        <v>3331</v>
      </c>
      <c r="L686" s="12" t="s">
        <v>3299</v>
      </c>
      <c r="M686" s="12" t="s">
        <v>3379</v>
      </c>
      <c r="N686" s="12" t="s">
        <v>4469</v>
      </c>
      <c r="O686" s="12" t="s">
        <v>3381</v>
      </c>
      <c r="P686" s="12" t="s">
        <v>4146</v>
      </c>
      <c r="AE686" s="32">
        <v>0.3125</v>
      </c>
      <c r="AF686" s="35"/>
    </row>
    <row r="687" spans="1:32" ht="12.75">
      <c r="A687" s="29">
        <v>44375.363706238422</v>
      </c>
      <c r="B687" s="12" t="s">
        <v>4109</v>
      </c>
      <c r="C687" s="12" t="s">
        <v>4092</v>
      </c>
      <c r="D687" s="12" t="s">
        <v>4257</v>
      </c>
      <c r="E687" s="12" t="s">
        <v>3862</v>
      </c>
      <c r="F687" s="30">
        <v>44375</v>
      </c>
      <c r="G687" s="12" t="s">
        <v>4470</v>
      </c>
      <c r="H687" s="32">
        <v>0.48958333333575865</v>
      </c>
      <c r="I687" s="29">
        <v>44375.5</v>
      </c>
      <c r="J687" s="12" t="s">
        <v>3331</v>
      </c>
      <c r="L687" s="12" t="s">
        <v>3299</v>
      </c>
      <c r="M687" s="12" t="s">
        <v>3379</v>
      </c>
      <c r="N687" s="12" t="s">
        <v>4124</v>
      </c>
      <c r="O687" s="12" t="s">
        <v>3417</v>
      </c>
      <c r="P687" s="12" t="s">
        <v>4146</v>
      </c>
      <c r="AE687" s="32">
        <v>0.375</v>
      </c>
      <c r="AF687" s="35"/>
    </row>
    <row r="688" spans="1:32" ht="12.75">
      <c r="A688" s="29">
        <v>44376.493901481481</v>
      </c>
      <c r="B688" s="12" t="s">
        <v>4457</v>
      </c>
      <c r="C688" s="12" t="s">
        <v>4471</v>
      </c>
      <c r="D688" s="12" t="s">
        <v>4257</v>
      </c>
      <c r="E688" s="12" t="s">
        <v>3356</v>
      </c>
      <c r="F688" s="30">
        <v>44376</v>
      </c>
      <c r="G688" s="12" t="s">
        <v>3419</v>
      </c>
      <c r="H688" s="32">
        <v>0.58333333333575865</v>
      </c>
      <c r="I688" s="29">
        <v>44376.583333333328</v>
      </c>
      <c r="J688" s="12" t="s">
        <v>4338</v>
      </c>
      <c r="L688" s="12" t="s">
        <v>3299</v>
      </c>
      <c r="M688" s="12" t="s">
        <v>3379</v>
      </c>
      <c r="N688" s="12" t="s">
        <v>4472</v>
      </c>
      <c r="O688" s="12" t="s">
        <v>4457</v>
      </c>
      <c r="P688" s="12" t="s">
        <v>4146</v>
      </c>
      <c r="AE688" s="32">
        <v>0.5</v>
      </c>
      <c r="AF688" s="35"/>
    </row>
    <row r="689" spans="1:32" ht="12.75">
      <c r="A689" s="29">
        <v>44377.360993194445</v>
      </c>
      <c r="B689" s="12" t="s">
        <v>3390</v>
      </c>
      <c r="C689" s="12" t="s">
        <v>3391</v>
      </c>
      <c r="D689" s="12" t="s">
        <v>4257</v>
      </c>
      <c r="E689" s="12" t="s">
        <v>4473</v>
      </c>
      <c r="F689" s="30">
        <v>44377</v>
      </c>
      <c r="G689" s="12" t="s">
        <v>3465</v>
      </c>
      <c r="H689" s="32">
        <v>0.64583333333575865</v>
      </c>
      <c r="I689" s="29">
        <v>44377.6875</v>
      </c>
      <c r="J689" s="12" t="s">
        <v>3331</v>
      </c>
      <c r="L689" s="12" t="s">
        <v>3299</v>
      </c>
      <c r="M689" s="12" t="s">
        <v>3454</v>
      </c>
      <c r="N689" s="12" t="s">
        <v>4456</v>
      </c>
      <c r="O689" s="12" t="s">
        <v>3390</v>
      </c>
      <c r="P689" s="12" t="s">
        <v>4146</v>
      </c>
      <c r="AE689" s="32">
        <v>0.4375</v>
      </c>
      <c r="AF689" s="35"/>
    </row>
    <row r="690" spans="1:32" ht="12.75">
      <c r="A690" s="29">
        <v>44386.437562499996</v>
      </c>
      <c r="B690" s="12" t="s">
        <v>3417</v>
      </c>
      <c r="C690" s="12" t="s">
        <v>3902</v>
      </c>
      <c r="D690" s="12" t="s">
        <v>4257</v>
      </c>
      <c r="E690" s="12" t="s">
        <v>4100</v>
      </c>
      <c r="F690" s="30">
        <v>44386</v>
      </c>
      <c r="G690" s="12" t="s">
        <v>4128</v>
      </c>
      <c r="H690" s="32">
        <v>0.54166666666424135</v>
      </c>
      <c r="I690" s="29">
        <v>44386.5625</v>
      </c>
      <c r="J690" s="12" t="s">
        <v>4123</v>
      </c>
      <c r="L690" s="12" t="s">
        <v>4474</v>
      </c>
      <c r="M690" s="12" t="s">
        <v>3379</v>
      </c>
      <c r="N690" s="12" t="s">
        <v>4475</v>
      </c>
      <c r="O690" s="12" t="s">
        <v>3381</v>
      </c>
      <c r="P690" s="12" t="s">
        <v>4146</v>
      </c>
      <c r="AE690" s="32">
        <v>0.43402777778101154</v>
      </c>
      <c r="AF690" s="35"/>
    </row>
    <row r="691" spans="1:32" ht="12.75">
      <c r="A691" s="29">
        <v>44390.469699907408</v>
      </c>
      <c r="B691" s="12" t="s">
        <v>3417</v>
      </c>
      <c r="C691" s="12" t="s">
        <v>3902</v>
      </c>
      <c r="D691" s="12" t="s">
        <v>4257</v>
      </c>
      <c r="E691" s="12" t="s">
        <v>4100</v>
      </c>
      <c r="F691" s="30">
        <v>44390</v>
      </c>
      <c r="G691" s="12" t="s">
        <v>4176</v>
      </c>
      <c r="H691" s="32">
        <v>0.625</v>
      </c>
      <c r="I691" s="29">
        <v>44390.645833333328</v>
      </c>
      <c r="J691" s="12" t="s">
        <v>4123</v>
      </c>
      <c r="L691" s="12" t="s">
        <v>4474</v>
      </c>
      <c r="M691" s="12" t="s">
        <v>3379</v>
      </c>
      <c r="N691" s="12" t="s">
        <v>4476</v>
      </c>
      <c r="O691" s="12" t="s">
        <v>3381</v>
      </c>
      <c r="P691" s="12" t="s">
        <v>4146</v>
      </c>
      <c r="AE691" s="32">
        <v>0.46875</v>
      </c>
      <c r="AF691" s="35"/>
    </row>
    <row r="692" spans="1:32" ht="12.75">
      <c r="A692" s="29">
        <v>44391.308871111112</v>
      </c>
      <c r="B692" s="12" t="s">
        <v>3390</v>
      </c>
      <c r="C692" s="12" t="s">
        <v>3391</v>
      </c>
      <c r="D692" s="12" t="s">
        <v>4257</v>
      </c>
      <c r="E692" s="12" t="s">
        <v>4115</v>
      </c>
      <c r="F692" s="30">
        <v>44391</v>
      </c>
      <c r="G692" s="12" t="s">
        <v>3465</v>
      </c>
      <c r="H692" s="32">
        <v>0.58333333333575865</v>
      </c>
      <c r="I692" s="29">
        <v>44391.625</v>
      </c>
      <c r="J692" s="12" t="s">
        <v>3331</v>
      </c>
      <c r="L692" s="12" t="s">
        <v>3393</v>
      </c>
      <c r="M692" s="12" t="s">
        <v>3454</v>
      </c>
      <c r="N692" s="12" t="s">
        <v>4456</v>
      </c>
      <c r="O692" s="12" t="s">
        <v>3390</v>
      </c>
      <c r="P692" s="12" t="s">
        <v>4146</v>
      </c>
      <c r="AE692" s="32">
        <v>0.33333333333575865</v>
      </c>
      <c r="AF692" s="35"/>
    </row>
    <row r="693" spans="1:32" ht="12.75">
      <c r="A693" s="29">
        <v>44391.451588402779</v>
      </c>
      <c r="B693" s="12" t="s">
        <v>4109</v>
      </c>
      <c r="C693" s="12" t="s">
        <v>4092</v>
      </c>
      <c r="D693" s="12" t="s">
        <v>4257</v>
      </c>
      <c r="E693" s="12" t="s">
        <v>4171</v>
      </c>
      <c r="F693" s="30">
        <v>44391</v>
      </c>
      <c r="G693" s="12" t="s">
        <v>4477</v>
      </c>
      <c r="H693" s="32">
        <v>0.58333333333575865</v>
      </c>
      <c r="I693" s="29">
        <v>44391.666666666672</v>
      </c>
      <c r="J693" s="12" t="s">
        <v>4123</v>
      </c>
      <c r="L693" s="12" t="s">
        <v>3299</v>
      </c>
      <c r="M693" s="12" t="s">
        <v>4478</v>
      </c>
      <c r="O693" s="12" t="s">
        <v>4479</v>
      </c>
      <c r="P693" s="12" t="s">
        <v>4146</v>
      </c>
      <c r="AE693" s="32">
        <v>0.44791666666424135</v>
      </c>
      <c r="AF693" s="35"/>
    </row>
    <row r="694" spans="1:32" ht="12.75">
      <c r="A694" s="29">
        <v>44392.285083981478</v>
      </c>
      <c r="B694" s="12" t="s">
        <v>3417</v>
      </c>
      <c r="C694" s="12" t="s">
        <v>3902</v>
      </c>
      <c r="D694" s="12" t="s">
        <v>3417</v>
      </c>
      <c r="E694" s="12" t="s">
        <v>3990</v>
      </c>
      <c r="F694" s="30">
        <v>44392</v>
      </c>
      <c r="G694" s="12" t="s">
        <v>4480</v>
      </c>
      <c r="H694" s="32">
        <v>0.41666666666424135</v>
      </c>
      <c r="I694" s="29">
        <v>44392.458333333328</v>
      </c>
      <c r="J694" s="12" t="s">
        <v>4123</v>
      </c>
      <c r="L694" s="12" t="s">
        <v>3299</v>
      </c>
      <c r="M694" s="12" t="s">
        <v>3379</v>
      </c>
      <c r="N694" s="12" t="s">
        <v>4384</v>
      </c>
      <c r="O694" s="12" t="s">
        <v>3381</v>
      </c>
      <c r="P694" s="12" t="s">
        <v>4146</v>
      </c>
      <c r="AE694" s="32">
        <v>0.28125</v>
      </c>
      <c r="AF694" s="35"/>
    </row>
    <row r="695" spans="1:32" ht="12.75">
      <c r="A695" s="29">
        <v>44398.287059560185</v>
      </c>
      <c r="B695" s="12" t="s">
        <v>3470</v>
      </c>
      <c r="C695" s="12" t="s">
        <v>3719</v>
      </c>
      <c r="D695" s="12" t="s">
        <v>3470</v>
      </c>
      <c r="E695" s="12" t="s">
        <v>3482</v>
      </c>
      <c r="F695" s="30">
        <v>44398</v>
      </c>
      <c r="G695" s="12" t="s">
        <v>3520</v>
      </c>
      <c r="H695" s="32">
        <v>0.47916666666424135</v>
      </c>
      <c r="I695" s="29">
        <v>44398.520833333328</v>
      </c>
      <c r="J695" s="12" t="s">
        <v>3331</v>
      </c>
      <c r="L695" s="12" t="s">
        <v>3393</v>
      </c>
      <c r="M695" s="12" t="s">
        <v>3474</v>
      </c>
      <c r="N695" s="12" t="s">
        <v>4481</v>
      </c>
      <c r="O695" s="12" t="s">
        <v>3470</v>
      </c>
      <c r="P695" s="12" t="s">
        <v>4146</v>
      </c>
      <c r="AE695" s="32">
        <v>0.28472222221898846</v>
      </c>
      <c r="AF695" s="35"/>
    </row>
    <row r="696" spans="1:32" ht="12.75">
      <c r="A696" s="29">
        <v>44398.299396759263</v>
      </c>
      <c r="B696" s="12" t="s">
        <v>4457</v>
      </c>
      <c r="C696" s="12" t="s">
        <v>4471</v>
      </c>
      <c r="D696" s="12" t="s">
        <v>4257</v>
      </c>
      <c r="E696" s="12" t="s">
        <v>3618</v>
      </c>
      <c r="F696" s="30">
        <v>44398</v>
      </c>
      <c r="G696" s="12" t="s">
        <v>4482</v>
      </c>
      <c r="H696" s="32">
        <v>0.375</v>
      </c>
      <c r="I696" s="29">
        <v>44398.385416666672</v>
      </c>
      <c r="J696" s="12" t="s">
        <v>4338</v>
      </c>
      <c r="L696" s="12" t="s">
        <v>3299</v>
      </c>
      <c r="M696" s="12" t="s">
        <v>4457</v>
      </c>
      <c r="N696" s="12" t="s">
        <v>4483</v>
      </c>
      <c r="O696" s="12" t="s">
        <v>4484</v>
      </c>
      <c r="P696" s="12" t="s">
        <v>4146</v>
      </c>
      <c r="AE696" s="32">
        <v>0.30208333333575865</v>
      </c>
      <c r="AF696" s="35"/>
    </row>
    <row r="697" spans="1:32" ht="12.75">
      <c r="A697" s="29">
        <v>44398.511417534726</v>
      </c>
      <c r="B697" s="12" t="s">
        <v>3417</v>
      </c>
      <c r="C697" s="12" t="s">
        <v>3902</v>
      </c>
      <c r="D697" s="12" t="s">
        <v>3470</v>
      </c>
      <c r="E697" s="12" t="s">
        <v>3862</v>
      </c>
      <c r="F697" s="30">
        <v>44398</v>
      </c>
      <c r="G697" s="12" t="s">
        <v>3419</v>
      </c>
      <c r="H697" s="32">
        <v>0.66666666666424135</v>
      </c>
      <c r="I697" s="29">
        <v>44398.6875</v>
      </c>
      <c r="J697" s="12" t="s">
        <v>3331</v>
      </c>
      <c r="L697" s="12" t="s">
        <v>3393</v>
      </c>
      <c r="M697" s="12" t="s">
        <v>3379</v>
      </c>
      <c r="N697" s="12" t="s">
        <v>4485</v>
      </c>
      <c r="O697" s="12" t="s">
        <v>3381</v>
      </c>
      <c r="P697" s="12" t="s">
        <v>4146</v>
      </c>
      <c r="AE697" s="32">
        <v>0.5</v>
      </c>
      <c r="AF697" s="35"/>
    </row>
    <row r="698" spans="1:32" ht="12.75">
      <c r="A698" s="29">
        <v>44398.626622152777</v>
      </c>
      <c r="B698" s="12" t="s">
        <v>4457</v>
      </c>
      <c r="C698" s="12" t="s">
        <v>4471</v>
      </c>
      <c r="D698" s="12" t="s">
        <v>4257</v>
      </c>
      <c r="E698" s="12" t="s">
        <v>3618</v>
      </c>
      <c r="F698" s="30">
        <v>44398</v>
      </c>
      <c r="G698" s="12" t="s">
        <v>4482</v>
      </c>
      <c r="H698" s="32">
        <v>0.375</v>
      </c>
      <c r="I698" s="29">
        <v>44398.385416666672</v>
      </c>
      <c r="J698" s="12" t="s">
        <v>4338</v>
      </c>
      <c r="L698" s="12" t="s">
        <v>3299</v>
      </c>
      <c r="M698" s="12" t="s">
        <v>4457</v>
      </c>
      <c r="N698" s="12" t="s">
        <v>4483</v>
      </c>
      <c r="O698" s="12" t="s">
        <v>4484</v>
      </c>
      <c r="P698" s="12" t="s">
        <v>4146</v>
      </c>
      <c r="AE698" s="32">
        <v>0.30208333333575865</v>
      </c>
      <c r="AF698" s="35"/>
    </row>
    <row r="699" spans="1:32" ht="12.75">
      <c r="A699" s="29">
        <v>44399.439020648148</v>
      </c>
      <c r="B699" s="12" t="s">
        <v>3417</v>
      </c>
      <c r="C699" s="12" t="s">
        <v>4061</v>
      </c>
      <c r="D699" s="12" t="s">
        <v>4257</v>
      </c>
      <c r="E699" s="12" t="s">
        <v>3296</v>
      </c>
      <c r="F699" s="30" t="s">
        <v>4486</v>
      </c>
      <c r="G699" s="12" t="s">
        <v>3419</v>
      </c>
      <c r="H699" s="32">
        <v>0.66666666666424135</v>
      </c>
      <c r="I699" s="29" t="s">
        <v>4487</v>
      </c>
      <c r="J699" s="12" t="s">
        <v>3331</v>
      </c>
      <c r="L699" s="12" t="s">
        <v>3393</v>
      </c>
      <c r="M699" s="12" t="s">
        <v>3379</v>
      </c>
      <c r="N699" s="12" t="s">
        <v>4488</v>
      </c>
      <c r="O699" s="12" t="s">
        <v>3381</v>
      </c>
      <c r="P699" s="12" t="s">
        <v>4146</v>
      </c>
      <c r="AE699" s="32">
        <v>0.5</v>
      </c>
      <c r="AF699" s="35"/>
    </row>
    <row r="700" spans="1:32" ht="12.75">
      <c r="A700" s="29">
        <v>44405.320404502316</v>
      </c>
      <c r="B700" s="12" t="s">
        <v>3390</v>
      </c>
      <c r="C700" s="12" t="s">
        <v>3391</v>
      </c>
      <c r="D700" s="12" t="s">
        <v>4257</v>
      </c>
      <c r="E700" s="12" t="s">
        <v>3482</v>
      </c>
      <c r="F700" s="30">
        <v>44405</v>
      </c>
      <c r="G700" s="12" t="s">
        <v>3520</v>
      </c>
      <c r="H700" s="32">
        <v>0.625</v>
      </c>
      <c r="I700" s="29">
        <v>44405.645833333328</v>
      </c>
      <c r="J700" s="12" t="s">
        <v>3377</v>
      </c>
      <c r="L700" s="12" t="s">
        <v>3393</v>
      </c>
      <c r="M700" s="12" t="s">
        <v>4032</v>
      </c>
      <c r="N700" s="12" t="s">
        <v>4489</v>
      </c>
      <c r="O700" s="12" t="s">
        <v>3390</v>
      </c>
      <c r="P700" s="12" t="s">
        <v>4146</v>
      </c>
      <c r="AE700" s="32">
        <v>0.375</v>
      </c>
      <c r="AF700" s="35"/>
    </row>
    <row r="701" spans="1:32" ht="12.75">
      <c r="A701" s="29">
        <v>44411.425272164357</v>
      </c>
      <c r="B701" s="12" t="s">
        <v>3564</v>
      </c>
      <c r="C701" s="12" t="s">
        <v>3565</v>
      </c>
      <c r="D701" s="12" t="s">
        <v>3470</v>
      </c>
      <c r="E701" s="12" t="s">
        <v>3862</v>
      </c>
      <c r="F701" s="30">
        <v>44410</v>
      </c>
      <c r="G701" s="12" t="s">
        <v>4219</v>
      </c>
      <c r="H701" s="32">
        <v>0.5</v>
      </c>
      <c r="I701" s="29">
        <v>44410.041666666672</v>
      </c>
      <c r="J701" s="12" t="s">
        <v>3377</v>
      </c>
      <c r="L701" s="12" t="s">
        <v>3299</v>
      </c>
      <c r="M701" s="12" t="s">
        <v>3379</v>
      </c>
      <c r="N701" s="12" t="s">
        <v>3490</v>
      </c>
      <c r="O701" s="12" t="s">
        <v>3381</v>
      </c>
      <c r="P701" s="12" t="s">
        <v>4146</v>
      </c>
      <c r="AC701" s="12" t="s">
        <v>4490</v>
      </c>
      <c r="AD701" s="12" t="s">
        <v>4491</v>
      </c>
      <c r="AE701" s="32">
        <v>0.4375</v>
      </c>
      <c r="AF701" s="35"/>
    </row>
    <row r="702" spans="1:32" ht="12.75">
      <c r="A702" s="29">
        <v>44418.390182395829</v>
      </c>
      <c r="B702" s="12" t="s">
        <v>4109</v>
      </c>
      <c r="C702" s="12" t="s">
        <v>4092</v>
      </c>
      <c r="D702" s="12" t="s">
        <v>3417</v>
      </c>
      <c r="E702" s="12" t="s">
        <v>4305</v>
      </c>
      <c r="F702" s="30">
        <v>44418</v>
      </c>
      <c r="G702" s="12" t="s">
        <v>4282</v>
      </c>
      <c r="H702" s="32">
        <v>0.58333333333575865</v>
      </c>
      <c r="I702" s="29">
        <v>44418.604166666672</v>
      </c>
      <c r="J702" s="12" t="s">
        <v>3377</v>
      </c>
      <c r="L702" s="12" t="s">
        <v>3299</v>
      </c>
      <c r="M702" s="12" t="s">
        <v>4124</v>
      </c>
      <c r="N702" s="12" t="s">
        <v>3490</v>
      </c>
      <c r="O702" s="12" t="s">
        <v>4492</v>
      </c>
      <c r="P702" s="12" t="s">
        <v>4146</v>
      </c>
      <c r="AE702" s="32">
        <v>0.41666666666424135</v>
      </c>
      <c r="AF702" s="35"/>
    </row>
    <row r="703" spans="1:32" ht="12.75">
      <c r="A703" s="29">
        <v>44419.350530798612</v>
      </c>
      <c r="B703" s="12" t="s">
        <v>3390</v>
      </c>
      <c r="C703" s="12" t="s">
        <v>3448</v>
      </c>
      <c r="D703" s="12" t="s">
        <v>3390</v>
      </c>
      <c r="E703" s="12" t="s">
        <v>4115</v>
      </c>
      <c r="F703" s="30">
        <v>44419</v>
      </c>
      <c r="G703" s="12" t="s">
        <v>3465</v>
      </c>
      <c r="H703" s="32">
        <v>0.61458333333575865</v>
      </c>
      <c r="I703" s="29">
        <v>44419.645833333328</v>
      </c>
      <c r="J703" s="12" t="s">
        <v>3377</v>
      </c>
      <c r="L703" s="12" t="s">
        <v>3299</v>
      </c>
      <c r="M703" s="12" t="s">
        <v>4032</v>
      </c>
      <c r="O703" s="12" t="s">
        <v>3390</v>
      </c>
      <c r="P703" s="12" t="s">
        <v>4146</v>
      </c>
      <c r="AE703" s="32">
        <v>0.42708333333575865</v>
      </c>
      <c r="AF703" s="35"/>
    </row>
    <row r="704" spans="1:32" ht="12.75">
      <c r="A704" s="29">
        <v>44425.277046817129</v>
      </c>
      <c r="B704" s="12" t="s">
        <v>3408</v>
      </c>
      <c r="C704" s="12" t="s">
        <v>3400</v>
      </c>
      <c r="D704" s="12" t="s">
        <v>4153</v>
      </c>
      <c r="E704" s="12" t="s">
        <v>3736</v>
      </c>
      <c r="F704" s="30">
        <v>44425</v>
      </c>
      <c r="G704" s="12" t="s">
        <v>4493</v>
      </c>
      <c r="H704" s="32">
        <v>8.3333333335758653E-2</v>
      </c>
      <c r="J704" s="12" t="s">
        <v>3358</v>
      </c>
      <c r="K704" s="12">
        <v>6</v>
      </c>
      <c r="L704" s="12" t="s">
        <v>4494</v>
      </c>
      <c r="M704" s="12" t="s">
        <v>3458</v>
      </c>
      <c r="N704" s="12" t="s">
        <v>4495</v>
      </c>
      <c r="O704" s="12" t="s">
        <v>3408</v>
      </c>
      <c r="P704" s="12" t="s">
        <v>4146</v>
      </c>
      <c r="AE704" s="32">
        <v>0.4375</v>
      </c>
      <c r="AF704" s="35"/>
    </row>
    <row r="705" spans="1:32" ht="12.75">
      <c r="A705" s="29">
        <v>44426.26270605324</v>
      </c>
      <c r="B705" s="12" t="s">
        <v>4457</v>
      </c>
      <c r="C705" s="12" t="s">
        <v>4471</v>
      </c>
      <c r="D705" s="12" t="s">
        <v>3417</v>
      </c>
      <c r="E705" s="12" t="s">
        <v>3618</v>
      </c>
      <c r="F705" s="30">
        <v>44426</v>
      </c>
      <c r="G705" s="12" t="s">
        <v>4496</v>
      </c>
      <c r="H705" s="32">
        <v>0.39583333333575865</v>
      </c>
      <c r="I705" s="29">
        <v>44426.416666666672</v>
      </c>
      <c r="J705" s="12" t="s">
        <v>4338</v>
      </c>
      <c r="L705" s="12" t="s">
        <v>3299</v>
      </c>
      <c r="M705" s="12" t="s">
        <v>4472</v>
      </c>
      <c r="N705" s="12" t="s">
        <v>4497</v>
      </c>
      <c r="O705" s="12" t="s">
        <v>4457</v>
      </c>
      <c r="P705" s="12" t="s">
        <v>4146</v>
      </c>
      <c r="AE705" s="32">
        <v>0.27083333333575865</v>
      </c>
      <c r="AF705" s="35"/>
    </row>
    <row r="706" spans="1:32" ht="12.75">
      <c r="A706" s="29">
        <v>44426.303888923612</v>
      </c>
      <c r="B706" s="12" t="s">
        <v>3408</v>
      </c>
      <c r="C706" s="12" t="s">
        <v>3400</v>
      </c>
      <c r="D706" s="12" t="s">
        <v>4153</v>
      </c>
      <c r="E706" s="12" t="s">
        <v>4498</v>
      </c>
      <c r="F706" s="30">
        <v>44426</v>
      </c>
      <c r="G706" s="12" t="s">
        <v>4499</v>
      </c>
      <c r="H706" s="32">
        <v>0.58333333333575865</v>
      </c>
      <c r="J706" s="12" t="s">
        <v>3358</v>
      </c>
      <c r="K706" s="12">
        <v>4</v>
      </c>
      <c r="L706" s="12" t="s">
        <v>4494</v>
      </c>
      <c r="M706" s="12" t="s">
        <v>3458</v>
      </c>
      <c r="N706" s="12" t="s">
        <v>4500</v>
      </c>
      <c r="O706" s="12" t="s">
        <v>3408</v>
      </c>
      <c r="P706" s="12" t="s">
        <v>4146</v>
      </c>
      <c r="AE706" s="32">
        <v>0.4375</v>
      </c>
      <c r="AF706" s="35"/>
    </row>
    <row r="707" spans="1:32" ht="12.75">
      <c r="A707" s="29">
        <v>44427.271767094906</v>
      </c>
      <c r="B707" s="12" t="s">
        <v>4484</v>
      </c>
      <c r="C707" s="12" t="s">
        <v>4471</v>
      </c>
      <c r="D707" s="12" t="s">
        <v>3470</v>
      </c>
      <c r="E707" s="12" t="s">
        <v>3435</v>
      </c>
      <c r="F707" s="30">
        <v>44427</v>
      </c>
      <c r="G707" s="12" t="s">
        <v>4311</v>
      </c>
      <c r="H707" s="32">
        <v>0.58333333333575865</v>
      </c>
      <c r="I707" s="29">
        <v>44427.604166666672</v>
      </c>
      <c r="J707" s="12" t="s">
        <v>3377</v>
      </c>
      <c r="L707" s="12" t="s">
        <v>3299</v>
      </c>
      <c r="M707" s="12" t="s">
        <v>4124</v>
      </c>
      <c r="N707" s="12" t="s">
        <v>4501</v>
      </c>
      <c r="O707" s="12" t="s">
        <v>4502</v>
      </c>
      <c r="P707" s="12" t="s">
        <v>4146</v>
      </c>
      <c r="AE707" s="32">
        <v>0.28125</v>
      </c>
      <c r="AF707" s="35"/>
    </row>
    <row r="708" spans="1:32" ht="12.75">
      <c r="A708" s="29">
        <v>44432.326996412041</v>
      </c>
      <c r="B708" s="12" t="s">
        <v>4503</v>
      </c>
      <c r="C708" s="12" t="s">
        <v>4092</v>
      </c>
      <c r="D708" s="12" t="s">
        <v>4257</v>
      </c>
      <c r="E708" s="12" t="s">
        <v>4100</v>
      </c>
      <c r="F708" s="30">
        <v>44432</v>
      </c>
      <c r="G708" s="12" t="s">
        <v>4294</v>
      </c>
      <c r="H708" s="32">
        <v>0.45833333333575865</v>
      </c>
      <c r="I708" s="29">
        <v>44432.5</v>
      </c>
      <c r="J708" s="12" t="s">
        <v>3377</v>
      </c>
      <c r="L708" s="12" t="s">
        <v>3299</v>
      </c>
      <c r="M708" s="12" t="s">
        <v>4478</v>
      </c>
      <c r="O708" s="12" t="s">
        <v>3417</v>
      </c>
      <c r="P708" s="12" t="s">
        <v>4146</v>
      </c>
      <c r="AE708" s="32">
        <v>0.32291666666424135</v>
      </c>
      <c r="AF708" s="35"/>
    </row>
    <row r="709" spans="1:32" ht="12.75">
      <c r="A709" s="29">
        <v>44433.302149317125</v>
      </c>
      <c r="B709" s="12" t="s">
        <v>3470</v>
      </c>
      <c r="C709" s="12" t="s">
        <v>3719</v>
      </c>
      <c r="D709" s="12" t="s">
        <v>3417</v>
      </c>
      <c r="E709" s="12" t="s">
        <v>3482</v>
      </c>
      <c r="F709" s="30">
        <v>44433</v>
      </c>
      <c r="G709" s="12" t="s">
        <v>3465</v>
      </c>
      <c r="H709" s="32">
        <v>0.52083333333575865</v>
      </c>
      <c r="I709" s="29">
        <v>44433.552083333328</v>
      </c>
      <c r="J709" s="12" t="s">
        <v>3377</v>
      </c>
      <c r="L709" s="12" t="s">
        <v>3393</v>
      </c>
      <c r="M709" s="12" t="s">
        <v>3591</v>
      </c>
      <c r="N709" s="12" t="s">
        <v>4504</v>
      </c>
      <c r="O709" s="12" t="s">
        <v>3744</v>
      </c>
      <c r="P709" s="12" t="s">
        <v>4146</v>
      </c>
      <c r="AE709" s="32">
        <v>0.3125</v>
      </c>
      <c r="AF709" s="35"/>
    </row>
    <row r="710" spans="1:32" ht="12.75">
      <c r="A710" s="29">
        <v>44434.339242048613</v>
      </c>
      <c r="B710" s="12" t="s">
        <v>3417</v>
      </c>
      <c r="C710" s="12" t="s">
        <v>3902</v>
      </c>
      <c r="D710" s="12" t="s">
        <v>4257</v>
      </c>
      <c r="E710" s="12" t="s">
        <v>4296</v>
      </c>
      <c r="F710" s="30">
        <v>44434</v>
      </c>
      <c r="G710" s="12" t="s">
        <v>4089</v>
      </c>
      <c r="H710" s="32">
        <v>0.45833333333575865</v>
      </c>
      <c r="I710" s="29">
        <v>44434.479166666672</v>
      </c>
      <c r="J710" s="12" t="s">
        <v>3377</v>
      </c>
      <c r="L710" s="12" t="s">
        <v>3299</v>
      </c>
      <c r="M710" s="12" t="s">
        <v>4478</v>
      </c>
      <c r="O710" s="12" t="s">
        <v>3381</v>
      </c>
      <c r="P710" s="12" t="s">
        <v>4146</v>
      </c>
      <c r="AE710" s="32">
        <v>0.33333333333575865</v>
      </c>
      <c r="AF710" s="35"/>
    </row>
    <row r="711" spans="1:32" ht="12.75">
      <c r="A711" s="29">
        <v>44435.55007099537</v>
      </c>
      <c r="B711" s="12" t="s">
        <v>4503</v>
      </c>
      <c r="C711" s="12" t="s">
        <v>4092</v>
      </c>
      <c r="D711" s="12" t="s">
        <v>4257</v>
      </c>
      <c r="E711" s="12" t="s">
        <v>3687</v>
      </c>
      <c r="F711" s="30">
        <v>44435</v>
      </c>
      <c r="G711" s="12" t="s">
        <v>4295</v>
      </c>
      <c r="H711" s="32">
        <v>0.66666666666424135</v>
      </c>
      <c r="I711" s="29">
        <v>44435.708333333328</v>
      </c>
      <c r="J711" s="12" t="s">
        <v>3377</v>
      </c>
      <c r="L711" s="12" t="s">
        <v>3299</v>
      </c>
      <c r="M711" s="12" t="s">
        <v>4478</v>
      </c>
      <c r="O711" s="12" t="s">
        <v>4392</v>
      </c>
      <c r="P711" s="12" t="s">
        <v>4146</v>
      </c>
      <c r="AE711" s="32">
        <v>0.54861111110949423</v>
      </c>
      <c r="AF711" s="35"/>
    </row>
    <row r="712" spans="1:32" ht="12.75">
      <c r="A712" s="29">
        <v>44439.289062013893</v>
      </c>
      <c r="B712" s="12" t="s">
        <v>3417</v>
      </c>
      <c r="C712" s="12" t="s">
        <v>3902</v>
      </c>
      <c r="D712" s="12" t="s">
        <v>4257</v>
      </c>
      <c r="E712" s="12" t="s">
        <v>4239</v>
      </c>
      <c r="F712" s="30">
        <v>44439</v>
      </c>
      <c r="G712" s="12" t="s">
        <v>4090</v>
      </c>
      <c r="H712" s="32">
        <v>0.45833333333575865</v>
      </c>
      <c r="I712" s="29">
        <v>44439.583333333328</v>
      </c>
      <c r="J712" s="12" t="s">
        <v>3377</v>
      </c>
      <c r="L712" s="12" t="s">
        <v>3299</v>
      </c>
      <c r="M712" s="12" t="s">
        <v>3379</v>
      </c>
      <c r="N712" s="12" t="s">
        <v>4220</v>
      </c>
      <c r="O712" s="12" t="s">
        <v>3381</v>
      </c>
      <c r="P712" s="12" t="s">
        <v>4146</v>
      </c>
      <c r="AE712" s="32">
        <v>0.29166666666424135</v>
      </c>
      <c r="AF712" s="35"/>
    </row>
    <row r="713" spans="1:32" ht="12.75">
      <c r="A713" s="29">
        <v>44439.498522893518</v>
      </c>
      <c r="B713" s="12" t="s">
        <v>3417</v>
      </c>
      <c r="C713" s="12" t="s">
        <v>4325</v>
      </c>
      <c r="D713" s="12" t="s">
        <v>4257</v>
      </c>
      <c r="E713" s="12" t="s">
        <v>3687</v>
      </c>
      <c r="F713" s="30">
        <v>44439</v>
      </c>
      <c r="G713" s="12" t="s">
        <v>4429</v>
      </c>
      <c r="H713" s="32">
        <v>0.58333333333575865</v>
      </c>
      <c r="I713" s="29">
        <v>44439.625</v>
      </c>
      <c r="J713" s="12" t="s">
        <v>3377</v>
      </c>
      <c r="L713" s="12" t="s">
        <v>3299</v>
      </c>
      <c r="M713" s="12" t="s">
        <v>3379</v>
      </c>
      <c r="N713" s="12" t="s">
        <v>4220</v>
      </c>
      <c r="O713" s="12" t="s">
        <v>3381</v>
      </c>
      <c r="P713" s="12" t="s">
        <v>4146</v>
      </c>
      <c r="AE713" s="32">
        <v>0.5</v>
      </c>
      <c r="AF713" s="35"/>
    </row>
    <row r="714" spans="1:32" ht="12.75">
      <c r="A714" s="29">
        <v>44441.286448090279</v>
      </c>
      <c r="B714" s="12" t="s">
        <v>4503</v>
      </c>
      <c r="C714" s="12" t="s">
        <v>4092</v>
      </c>
      <c r="D714" s="12" t="s">
        <v>4257</v>
      </c>
      <c r="E714" s="12" t="s">
        <v>4404</v>
      </c>
      <c r="F714" s="30">
        <v>44441</v>
      </c>
      <c r="G714" s="12" t="s">
        <v>4505</v>
      </c>
      <c r="H714" s="32">
        <v>0.54166666666424135</v>
      </c>
      <c r="I714" s="29">
        <v>44441.5625</v>
      </c>
      <c r="J714" s="12" t="s">
        <v>3377</v>
      </c>
      <c r="L714" s="12" t="s">
        <v>3299</v>
      </c>
      <c r="M714" s="12" t="s">
        <v>4478</v>
      </c>
      <c r="O714" s="12" t="s">
        <v>4067</v>
      </c>
      <c r="P714" s="12" t="s">
        <v>4146</v>
      </c>
      <c r="AE714" s="32">
        <v>0.29166666666424135</v>
      </c>
      <c r="AF714" s="35"/>
    </row>
    <row r="715" spans="1:32" ht="12.75">
      <c r="A715" s="29">
        <v>44442.296129282404</v>
      </c>
      <c r="B715" s="12" t="s">
        <v>3417</v>
      </c>
      <c r="C715" s="12" t="s">
        <v>3902</v>
      </c>
      <c r="D715" s="12" t="s">
        <v>3470</v>
      </c>
      <c r="E715" s="12" t="s">
        <v>3509</v>
      </c>
      <c r="F715" s="30">
        <v>44442</v>
      </c>
      <c r="G715" s="12" t="s">
        <v>3776</v>
      </c>
      <c r="H715" s="32">
        <v>0.54166666666424135</v>
      </c>
      <c r="I715" s="29">
        <v>44442.5625</v>
      </c>
      <c r="J715" s="12" t="s">
        <v>3377</v>
      </c>
      <c r="L715" s="12" t="s">
        <v>3299</v>
      </c>
      <c r="M715" s="12" t="s">
        <v>4478</v>
      </c>
      <c r="O715" s="12" t="s">
        <v>3381</v>
      </c>
      <c r="P715" s="12" t="s">
        <v>4146</v>
      </c>
      <c r="AE715" s="32">
        <v>0.30208333333575865</v>
      </c>
      <c r="AF715" s="35"/>
    </row>
    <row r="716" spans="1:32" ht="12.75">
      <c r="A716" s="29">
        <v>44446.363589016204</v>
      </c>
      <c r="B716" s="12" t="s">
        <v>4457</v>
      </c>
      <c r="C716" s="12" t="s">
        <v>4471</v>
      </c>
      <c r="D716" s="12" t="s">
        <v>3417</v>
      </c>
      <c r="E716" s="12" t="s">
        <v>4307</v>
      </c>
      <c r="F716" s="30">
        <v>44446</v>
      </c>
      <c r="G716" s="12" t="s">
        <v>4506</v>
      </c>
      <c r="H716" s="32">
        <v>0.60416666666424135</v>
      </c>
      <c r="I716" s="29">
        <v>44446.625</v>
      </c>
      <c r="J716" s="12" t="s">
        <v>4507</v>
      </c>
      <c r="L716" s="12" t="s">
        <v>3299</v>
      </c>
      <c r="M716" s="12" t="s">
        <v>4472</v>
      </c>
      <c r="N716" s="12" t="s">
        <v>4508</v>
      </c>
      <c r="O716" s="12" t="s">
        <v>4457</v>
      </c>
      <c r="P716" s="12" t="s">
        <v>4146</v>
      </c>
      <c r="AE716" s="32">
        <v>0.43055555555474712</v>
      </c>
      <c r="AF716" s="35"/>
    </row>
    <row r="717" spans="1:32" ht="12.75">
      <c r="A717" s="29">
        <v>44447.400958298611</v>
      </c>
      <c r="B717" s="12" t="s">
        <v>4503</v>
      </c>
      <c r="C717" s="12" t="s">
        <v>4092</v>
      </c>
      <c r="D717" s="12" t="s">
        <v>3390</v>
      </c>
      <c r="E717" s="12" t="s">
        <v>3482</v>
      </c>
      <c r="F717" s="30">
        <v>44447</v>
      </c>
      <c r="G717" s="12" t="s">
        <v>4509</v>
      </c>
      <c r="H717" s="32">
        <v>0.58333333333575865</v>
      </c>
      <c r="I717" s="29">
        <v>44447.625</v>
      </c>
      <c r="J717" s="12" t="s">
        <v>3377</v>
      </c>
      <c r="L717" s="12" t="s">
        <v>3299</v>
      </c>
      <c r="M717" s="12" t="s">
        <v>4124</v>
      </c>
      <c r="N717" s="12" t="s">
        <v>4510</v>
      </c>
      <c r="O717" s="12" t="s">
        <v>4392</v>
      </c>
      <c r="P717" s="12" t="s">
        <v>4146</v>
      </c>
      <c r="AE717" s="32">
        <v>0.41666666666424135</v>
      </c>
      <c r="AF717" s="35"/>
    </row>
    <row r="718" spans="1:32" ht="12.75">
      <c r="A718" s="29">
        <v>44448.33915748843</v>
      </c>
      <c r="B718" s="12" t="s">
        <v>3390</v>
      </c>
      <c r="C718" s="12" t="s">
        <v>3391</v>
      </c>
      <c r="D718" s="12" t="s">
        <v>4257</v>
      </c>
      <c r="E718" s="12" t="s">
        <v>3482</v>
      </c>
      <c r="F718" s="30">
        <v>44448</v>
      </c>
      <c r="G718" s="12" t="s">
        <v>3520</v>
      </c>
      <c r="H718" s="32">
        <v>0.625</v>
      </c>
      <c r="I718" s="29">
        <v>44448.666666666672</v>
      </c>
      <c r="J718" s="12" t="s">
        <v>3331</v>
      </c>
      <c r="L718" s="12" t="s">
        <v>3299</v>
      </c>
      <c r="M718" s="12" t="s">
        <v>4032</v>
      </c>
      <c r="O718" s="12" t="s">
        <v>3767</v>
      </c>
      <c r="P718" s="12" t="s">
        <v>4146</v>
      </c>
      <c r="AE718" s="32">
        <v>0.38541666666424135</v>
      </c>
      <c r="AF718" s="35"/>
    </row>
    <row r="719" spans="1:32" ht="12.75">
      <c r="A719" s="29">
        <v>44453.323324722223</v>
      </c>
      <c r="B719" s="12" t="s">
        <v>3417</v>
      </c>
      <c r="C719" s="12" t="s">
        <v>4511</v>
      </c>
      <c r="D719" s="12" t="s">
        <v>4006</v>
      </c>
      <c r="E719" s="12" t="s">
        <v>3509</v>
      </c>
      <c r="F719" s="30">
        <v>44453</v>
      </c>
      <c r="G719" s="12" t="s">
        <v>4292</v>
      </c>
      <c r="H719" s="32">
        <v>2.0833333335758653E-2</v>
      </c>
      <c r="I719" s="29">
        <v>44453.541666666672</v>
      </c>
      <c r="J719" s="12" t="s">
        <v>3366</v>
      </c>
      <c r="L719" s="12" t="s">
        <v>4512</v>
      </c>
      <c r="M719" s="12" t="s">
        <v>3379</v>
      </c>
      <c r="N719" s="12" t="s">
        <v>4513</v>
      </c>
      <c r="O719" s="12" t="s">
        <v>3381</v>
      </c>
      <c r="P719" s="12" t="s">
        <v>4146</v>
      </c>
      <c r="AE719" s="32">
        <v>0.32291666666424135</v>
      </c>
      <c r="AF719" s="35"/>
    </row>
    <row r="720" spans="1:32" ht="12.75">
      <c r="A720" s="29">
        <v>44453.326816145833</v>
      </c>
      <c r="B720" s="12" t="s">
        <v>3390</v>
      </c>
      <c r="C720" s="12" t="s">
        <v>1444</v>
      </c>
      <c r="D720" s="12" t="s">
        <v>4006</v>
      </c>
      <c r="E720" s="12" t="s">
        <v>3509</v>
      </c>
      <c r="F720" s="30">
        <v>44453</v>
      </c>
      <c r="G720" s="12" t="s">
        <v>4292</v>
      </c>
      <c r="H720" s="32">
        <v>0.52083333333575865</v>
      </c>
      <c r="I720" s="29">
        <v>44453.541666666672</v>
      </c>
      <c r="J720" s="12" t="s">
        <v>3331</v>
      </c>
      <c r="L720" s="12" t="s">
        <v>4121</v>
      </c>
      <c r="M720" s="12" t="s">
        <v>3454</v>
      </c>
      <c r="N720" s="12" t="s">
        <v>4514</v>
      </c>
      <c r="O720" s="12" t="s">
        <v>3744</v>
      </c>
      <c r="P720" s="12" t="s">
        <v>4146</v>
      </c>
      <c r="AE720" s="32">
        <v>0.32291666666424135</v>
      </c>
      <c r="AF720" s="35"/>
    </row>
    <row r="721" spans="1:32" ht="12.75">
      <c r="A721" s="29">
        <v>44453.328219710645</v>
      </c>
      <c r="B721" s="12" t="s">
        <v>3993</v>
      </c>
      <c r="C721" s="12" t="s">
        <v>4515</v>
      </c>
      <c r="D721" s="12" t="s">
        <v>4006</v>
      </c>
      <c r="E721" s="12" t="s">
        <v>4397</v>
      </c>
      <c r="F721" s="30">
        <v>44453</v>
      </c>
      <c r="G721" s="12" t="s">
        <v>4292</v>
      </c>
      <c r="H721" s="32">
        <v>0.52083333333575865</v>
      </c>
      <c r="I721" s="29">
        <v>44453.541666666672</v>
      </c>
      <c r="J721" s="12" t="s">
        <v>3377</v>
      </c>
      <c r="L721" s="12" t="s">
        <v>3393</v>
      </c>
      <c r="M721" s="12" t="s">
        <v>3807</v>
      </c>
      <c r="N721" s="12" t="s">
        <v>4516</v>
      </c>
      <c r="O721" s="12" t="s">
        <v>3807</v>
      </c>
      <c r="P721" s="12" t="s">
        <v>4146</v>
      </c>
      <c r="AE721" s="32">
        <v>0.32291666666424135</v>
      </c>
      <c r="AF721" s="35"/>
    </row>
    <row r="722" spans="1:32" ht="12.75">
      <c r="A722" s="29">
        <v>44454.361918194445</v>
      </c>
      <c r="B722" s="12" t="s">
        <v>3564</v>
      </c>
      <c r="C722" s="12" t="s">
        <v>3565</v>
      </c>
      <c r="D722" s="12" t="s">
        <v>3417</v>
      </c>
      <c r="E722" s="12" t="s">
        <v>4517</v>
      </c>
      <c r="F722" s="30">
        <v>44453</v>
      </c>
      <c r="G722" s="12" t="s">
        <v>4335</v>
      </c>
      <c r="H722" s="32">
        <v>0.625</v>
      </c>
      <c r="I722" s="29">
        <v>44454.666666666672</v>
      </c>
      <c r="J722" s="12" t="s">
        <v>3377</v>
      </c>
      <c r="L722" s="12" t="s">
        <v>3393</v>
      </c>
      <c r="M722" s="12" t="s">
        <v>4518</v>
      </c>
      <c r="N722" s="12" t="s">
        <v>4519</v>
      </c>
      <c r="O722" s="12" t="s">
        <v>4453</v>
      </c>
      <c r="P722" s="12" t="s">
        <v>4146</v>
      </c>
      <c r="AE722" s="32">
        <v>0.375</v>
      </c>
      <c r="AF722" s="35"/>
    </row>
    <row r="723" spans="1:32" ht="12.75">
      <c r="A723" s="29">
        <v>44460.295270787035</v>
      </c>
      <c r="B723" s="12" t="s">
        <v>3390</v>
      </c>
      <c r="C723" s="12" t="s">
        <v>3391</v>
      </c>
      <c r="D723" s="12" t="s">
        <v>4257</v>
      </c>
      <c r="E723" s="12" t="s">
        <v>4115</v>
      </c>
      <c r="F723" s="30">
        <v>44460</v>
      </c>
      <c r="G723" s="12" t="s">
        <v>3520</v>
      </c>
      <c r="H723" s="32">
        <v>0.54166666666424135</v>
      </c>
      <c r="I723" s="29">
        <v>44460.572916666672</v>
      </c>
      <c r="J723" s="12" t="s">
        <v>3331</v>
      </c>
      <c r="L723" s="12" t="s">
        <v>3393</v>
      </c>
      <c r="M723" s="12" t="s">
        <v>4366</v>
      </c>
      <c r="O723" s="12" t="s">
        <v>3429</v>
      </c>
      <c r="P723" s="12" t="s">
        <v>4146</v>
      </c>
      <c r="AE723" s="32">
        <v>0.32291666666424135</v>
      </c>
      <c r="AF723" s="35"/>
    </row>
    <row r="724" spans="1:32" ht="12.75">
      <c r="A724" s="29">
        <v>44461.3413334375</v>
      </c>
      <c r="B724" s="12" t="s">
        <v>3417</v>
      </c>
      <c r="C724" s="12" t="s">
        <v>3902</v>
      </c>
      <c r="D724" s="12" t="s">
        <v>4257</v>
      </c>
      <c r="E724" s="12" t="s">
        <v>4321</v>
      </c>
      <c r="F724" s="30">
        <v>44461</v>
      </c>
      <c r="G724" s="12" t="s">
        <v>4520</v>
      </c>
      <c r="H724" s="32">
        <v>0.54166666666424135</v>
      </c>
      <c r="I724" s="29">
        <v>44461.583333333328</v>
      </c>
      <c r="J724" s="12" t="s">
        <v>3331</v>
      </c>
      <c r="L724" s="12" t="s">
        <v>3393</v>
      </c>
      <c r="M724" s="12" t="s">
        <v>4478</v>
      </c>
      <c r="O724" s="12" t="s">
        <v>3381</v>
      </c>
      <c r="P724" s="12" t="s">
        <v>4146</v>
      </c>
      <c r="AE724" s="32">
        <v>0.34027777778101154</v>
      </c>
      <c r="AF724" s="35"/>
    </row>
    <row r="725" spans="1:32" ht="12.75">
      <c r="A725" s="29">
        <v>44462.277357685191</v>
      </c>
      <c r="B725" s="12" t="s">
        <v>3417</v>
      </c>
      <c r="C725" s="12" t="s">
        <v>3902</v>
      </c>
      <c r="D725" s="12" t="s">
        <v>4257</v>
      </c>
      <c r="E725" s="12" t="s">
        <v>3687</v>
      </c>
      <c r="F725" s="30">
        <v>44462</v>
      </c>
      <c r="G725" s="12" t="s">
        <v>4291</v>
      </c>
      <c r="H725" s="32">
        <v>0.5</v>
      </c>
      <c r="I725" s="29">
        <v>44462.541666666672</v>
      </c>
      <c r="J725" s="12" t="s">
        <v>3331</v>
      </c>
      <c r="L725" s="12" t="s">
        <v>3393</v>
      </c>
      <c r="M725" s="12" t="s">
        <v>4478</v>
      </c>
      <c r="O725" s="12" t="s">
        <v>3381</v>
      </c>
      <c r="P725" s="12" t="s">
        <v>4146</v>
      </c>
      <c r="AE725" s="32">
        <v>0.27083333333575865</v>
      </c>
      <c r="AF725" s="35"/>
    </row>
    <row r="726" spans="1:32" ht="12.75">
      <c r="A726" s="29">
        <v>44466.407331180555</v>
      </c>
      <c r="B726" s="12" t="s">
        <v>3417</v>
      </c>
      <c r="C726" s="12" t="s">
        <v>3902</v>
      </c>
      <c r="D726" s="12" t="s">
        <v>4257</v>
      </c>
      <c r="E726" s="12" t="s">
        <v>3509</v>
      </c>
      <c r="F726" s="30">
        <v>44466</v>
      </c>
      <c r="G726" s="12" t="s">
        <v>4398</v>
      </c>
      <c r="H726" s="32">
        <v>0.52083333333575865</v>
      </c>
      <c r="I726" s="29">
        <v>44466.541666666672</v>
      </c>
      <c r="J726" s="12" t="s">
        <v>3331</v>
      </c>
      <c r="L726" s="12" t="s">
        <v>3393</v>
      </c>
      <c r="M726" s="12" t="s">
        <v>4478</v>
      </c>
      <c r="N726" s="12" t="s">
        <v>4521</v>
      </c>
      <c r="O726" s="12" t="s">
        <v>3381</v>
      </c>
      <c r="P726" s="12" t="s">
        <v>4146</v>
      </c>
      <c r="AE726" s="32">
        <v>0.34375</v>
      </c>
      <c r="AF726" s="35"/>
    </row>
    <row r="727" spans="1:32" ht="12.75">
      <c r="A727" s="29">
        <v>44467.336481562495</v>
      </c>
      <c r="B727" s="12" t="s">
        <v>3417</v>
      </c>
      <c r="C727" s="12" t="s">
        <v>4061</v>
      </c>
      <c r="D727" s="12" t="s">
        <v>4257</v>
      </c>
      <c r="E727" s="12" t="s">
        <v>3920</v>
      </c>
      <c r="F727" s="30">
        <v>44467</v>
      </c>
      <c r="G727" s="12" t="s">
        <v>4089</v>
      </c>
      <c r="H727" s="32">
        <v>0</v>
      </c>
      <c r="I727" s="29">
        <v>44467.541666666672</v>
      </c>
      <c r="J727" s="12" t="s">
        <v>3331</v>
      </c>
      <c r="L727" s="12" t="s">
        <v>3393</v>
      </c>
      <c r="M727" s="12" t="s">
        <v>4522</v>
      </c>
      <c r="O727" s="12" t="s">
        <v>3381</v>
      </c>
      <c r="P727" s="12" t="s">
        <v>4146</v>
      </c>
      <c r="AE727" s="32">
        <v>0.33333333333575865</v>
      </c>
      <c r="AF727" s="35"/>
    </row>
    <row r="728" spans="1:32" ht="12.75">
      <c r="A728" s="29">
        <v>44467.59383297454</v>
      </c>
      <c r="B728" s="12" t="s">
        <v>4091</v>
      </c>
      <c r="C728" s="12" t="s">
        <v>4092</v>
      </c>
      <c r="D728" s="12" t="s">
        <v>4257</v>
      </c>
      <c r="E728" s="12" t="s">
        <v>4404</v>
      </c>
      <c r="F728" s="30">
        <v>44467</v>
      </c>
      <c r="G728" s="12" t="s">
        <v>4523</v>
      </c>
      <c r="H728" s="32">
        <v>0.70833333333575865</v>
      </c>
      <c r="I728" s="29">
        <v>44467.729166666672</v>
      </c>
      <c r="J728" s="12" t="s">
        <v>3331</v>
      </c>
      <c r="L728" s="12" t="s">
        <v>3393</v>
      </c>
      <c r="M728" s="12" t="s">
        <v>4478</v>
      </c>
      <c r="O728" s="12" t="s">
        <v>4479</v>
      </c>
      <c r="P728" s="12" t="s">
        <v>4146</v>
      </c>
      <c r="AE728" s="32">
        <v>0.59027777778101154</v>
      </c>
      <c r="AF728" s="35"/>
    </row>
    <row r="729" spans="1:32" ht="12.75">
      <c r="A729" s="29">
        <v>44467.760607534721</v>
      </c>
      <c r="B729" s="12" t="s">
        <v>3406</v>
      </c>
      <c r="C729" s="12" t="s">
        <v>3400</v>
      </c>
      <c r="D729" s="12" t="s">
        <v>3406</v>
      </c>
      <c r="E729" s="12" t="s">
        <v>3831</v>
      </c>
      <c r="F729" s="30">
        <v>44468</v>
      </c>
      <c r="G729" s="12" t="s">
        <v>4524</v>
      </c>
      <c r="H729" s="32">
        <v>0.625</v>
      </c>
      <c r="J729" s="12" t="s">
        <v>3366</v>
      </c>
      <c r="L729" s="12" t="s">
        <v>4494</v>
      </c>
      <c r="M729" s="12" t="s">
        <v>3458</v>
      </c>
      <c r="N729" s="12" t="s">
        <v>4525</v>
      </c>
      <c r="O729" s="12" t="s">
        <v>3408</v>
      </c>
      <c r="P729" s="12" t="s">
        <v>4146</v>
      </c>
      <c r="AE729" s="32">
        <v>0.40625</v>
      </c>
      <c r="AF729" s="35"/>
    </row>
    <row r="730" spans="1:32" ht="12.75">
      <c r="A730" s="29">
        <v>44468.35675875</v>
      </c>
      <c r="B730" s="12" t="s">
        <v>3417</v>
      </c>
      <c r="C730" s="12" t="s">
        <v>4061</v>
      </c>
      <c r="D730" s="12" t="s">
        <v>4257</v>
      </c>
      <c r="E730" s="12" t="s">
        <v>3404</v>
      </c>
      <c r="F730" s="30">
        <v>44468</v>
      </c>
      <c r="G730" s="12" t="s">
        <v>4526</v>
      </c>
      <c r="H730" s="32">
        <v>0.54166666666424135</v>
      </c>
      <c r="I730" s="29">
        <v>44468.5625</v>
      </c>
      <c r="J730" s="12" t="s">
        <v>3331</v>
      </c>
      <c r="L730" s="12" t="s">
        <v>3393</v>
      </c>
      <c r="M730" s="12" t="s">
        <v>4478</v>
      </c>
      <c r="N730" s="12" t="s">
        <v>4527</v>
      </c>
      <c r="O730" s="12" t="s">
        <v>3381</v>
      </c>
      <c r="P730" s="12" t="s">
        <v>4146</v>
      </c>
      <c r="AE730" s="32">
        <v>0.36458333333575865</v>
      </c>
      <c r="AF730" s="35"/>
    </row>
    <row r="731" spans="1:32" ht="12.75">
      <c r="A731" s="29">
        <v>44469.578128298614</v>
      </c>
      <c r="B731" s="12" t="s">
        <v>3417</v>
      </c>
      <c r="C731" s="12" t="s">
        <v>4061</v>
      </c>
      <c r="D731" s="12" t="s">
        <v>4257</v>
      </c>
      <c r="E731" s="12" t="s">
        <v>3920</v>
      </c>
      <c r="F731" s="30">
        <v>44469</v>
      </c>
      <c r="G731" s="12" t="s">
        <v>4089</v>
      </c>
      <c r="H731" s="32">
        <v>0.66666666666424135</v>
      </c>
      <c r="I731" s="29">
        <v>44469.6875</v>
      </c>
      <c r="J731" s="12" t="s">
        <v>3377</v>
      </c>
      <c r="L731" s="12" t="s">
        <v>3393</v>
      </c>
      <c r="M731" s="12" t="s">
        <v>4478</v>
      </c>
      <c r="O731" s="12" t="s">
        <v>3381</v>
      </c>
      <c r="P731" s="12" t="s">
        <v>4146</v>
      </c>
      <c r="AE731" s="32">
        <v>0.57638888889050577</v>
      </c>
      <c r="AF731" s="35"/>
    </row>
    <row r="732" spans="1:32" ht="12.75">
      <c r="A732" s="29">
        <v>44470.512966354167</v>
      </c>
      <c r="B732" s="12" t="s">
        <v>3417</v>
      </c>
      <c r="C732" s="12" t="s">
        <v>4061</v>
      </c>
      <c r="D732" s="12" t="s">
        <v>4257</v>
      </c>
      <c r="E732" s="12" t="s">
        <v>3482</v>
      </c>
      <c r="F732" s="30">
        <v>44470</v>
      </c>
      <c r="G732" s="12" t="s">
        <v>4528</v>
      </c>
      <c r="H732" s="32">
        <v>0.66666666666424135</v>
      </c>
      <c r="I732" s="29">
        <v>44470.6875</v>
      </c>
      <c r="J732" s="12" t="s">
        <v>3377</v>
      </c>
      <c r="L732" s="12" t="s">
        <v>3393</v>
      </c>
      <c r="M732" s="12" t="s">
        <v>4478</v>
      </c>
      <c r="O732" s="12" t="s">
        <v>3381</v>
      </c>
      <c r="P732" s="12" t="s">
        <v>4146</v>
      </c>
      <c r="AE732" s="32">
        <v>0.51041666666424135</v>
      </c>
      <c r="AF732" s="35"/>
    </row>
    <row r="733" spans="1:32" ht="12.75">
      <c r="A733" s="29">
        <v>44474.314288865746</v>
      </c>
      <c r="B733" s="12" t="s">
        <v>3390</v>
      </c>
      <c r="C733" s="12" t="s">
        <v>3391</v>
      </c>
      <c r="D733" s="12" t="s">
        <v>4257</v>
      </c>
      <c r="E733" s="12" t="s">
        <v>3834</v>
      </c>
      <c r="F733" s="30">
        <v>44474</v>
      </c>
      <c r="G733" s="12" t="s">
        <v>3465</v>
      </c>
      <c r="H733" s="32">
        <v>0.60416666666424135</v>
      </c>
      <c r="I733" s="29">
        <v>44474.614583333328</v>
      </c>
      <c r="J733" s="12" t="s">
        <v>3377</v>
      </c>
      <c r="L733" s="12" t="s">
        <v>3393</v>
      </c>
      <c r="M733" s="12" t="s">
        <v>3591</v>
      </c>
      <c r="N733" s="12" t="s">
        <v>4529</v>
      </c>
      <c r="O733" s="12" t="s">
        <v>3390</v>
      </c>
      <c r="P733" s="12" t="s">
        <v>4146</v>
      </c>
      <c r="AE733" s="32">
        <v>0.33333333333575865</v>
      </c>
      <c r="AF733" s="35"/>
    </row>
    <row r="734" spans="1:32" ht="12.75">
      <c r="A734" s="29">
        <v>44475.498048877314</v>
      </c>
      <c r="B734" s="12" t="s">
        <v>4457</v>
      </c>
      <c r="C734" s="12" t="s">
        <v>4471</v>
      </c>
      <c r="D734" s="12" t="s">
        <v>4006</v>
      </c>
      <c r="E734" s="12" t="s">
        <v>3618</v>
      </c>
      <c r="F734" s="30">
        <v>44475</v>
      </c>
      <c r="G734" s="12" t="s">
        <v>4506</v>
      </c>
      <c r="H734" s="32">
        <v>0.5625</v>
      </c>
      <c r="I734" s="29">
        <v>44475.583333333328</v>
      </c>
      <c r="J734" s="12" t="s">
        <v>4530</v>
      </c>
      <c r="L734" s="12" t="s">
        <v>3393</v>
      </c>
      <c r="M734" s="12" t="s">
        <v>4472</v>
      </c>
      <c r="N734" s="12" t="s">
        <v>4531</v>
      </c>
      <c r="O734" s="12" t="s">
        <v>4457</v>
      </c>
      <c r="P734" s="12" t="s">
        <v>4146</v>
      </c>
      <c r="AE734" s="32">
        <v>0.40972222221898846</v>
      </c>
      <c r="AF734" s="35"/>
    </row>
    <row r="735" spans="1:32" ht="12.75">
      <c r="A735" s="29">
        <v>44480.342550289351</v>
      </c>
      <c r="B735" s="12" t="s">
        <v>3417</v>
      </c>
      <c r="C735" s="12" t="s">
        <v>4061</v>
      </c>
      <c r="D735" s="12" t="s">
        <v>4257</v>
      </c>
      <c r="E735" s="12" t="s">
        <v>3387</v>
      </c>
      <c r="F735" s="30">
        <v>44480</v>
      </c>
      <c r="G735" s="12" t="s">
        <v>3492</v>
      </c>
      <c r="H735" s="32">
        <v>0.58333333333575865</v>
      </c>
      <c r="I735" s="29">
        <v>44480.708333333328</v>
      </c>
      <c r="J735" s="12" t="s">
        <v>3331</v>
      </c>
      <c r="L735" s="12" t="s">
        <v>3393</v>
      </c>
      <c r="M735" s="12" t="s">
        <v>4478</v>
      </c>
      <c r="O735" s="12" t="s">
        <v>4392</v>
      </c>
      <c r="P735" s="12" t="s">
        <v>4146</v>
      </c>
      <c r="AE735" s="32">
        <v>0.34375</v>
      </c>
      <c r="AF735" s="35"/>
    </row>
    <row r="736" spans="1:32" ht="12.75">
      <c r="A736" s="29">
        <v>44480.555975949072</v>
      </c>
      <c r="B736" s="12" t="s">
        <v>3408</v>
      </c>
      <c r="C736" s="12" t="s">
        <v>3400</v>
      </c>
      <c r="D736" s="12" t="s">
        <v>3406</v>
      </c>
      <c r="E736" s="12" t="s">
        <v>3356</v>
      </c>
      <c r="F736" s="30">
        <v>44480</v>
      </c>
      <c r="G736" s="12" t="s">
        <v>3357</v>
      </c>
      <c r="H736" s="32">
        <v>0.66666666666424135</v>
      </c>
      <c r="J736" s="12" t="s">
        <v>4347</v>
      </c>
      <c r="L736" s="12" t="s">
        <v>4532</v>
      </c>
      <c r="M736" s="12" t="s">
        <v>3458</v>
      </c>
      <c r="N736" s="12" t="s">
        <v>4533</v>
      </c>
      <c r="O736" s="12" t="s">
        <v>3408</v>
      </c>
      <c r="P736" s="12" t="s">
        <v>4146</v>
      </c>
      <c r="AE736" s="32">
        <v>0.58333333333575865</v>
      </c>
      <c r="AF736" s="35"/>
    </row>
    <row r="737" spans="1:32" ht="12.75">
      <c r="A737" s="29">
        <v>44480.562578113429</v>
      </c>
      <c r="B737" s="12" t="s">
        <v>3417</v>
      </c>
      <c r="C737" s="12" t="s">
        <v>4061</v>
      </c>
      <c r="D737" s="12" t="s">
        <v>4257</v>
      </c>
      <c r="E737" s="12" t="s">
        <v>4239</v>
      </c>
      <c r="F737" s="30">
        <v>44480</v>
      </c>
      <c r="G737" s="12" t="s">
        <v>4090</v>
      </c>
      <c r="H737" s="32">
        <v>0.66666666666424135</v>
      </c>
      <c r="I737" s="29">
        <v>44480.708333333328</v>
      </c>
      <c r="J737" s="12" t="s">
        <v>3331</v>
      </c>
      <c r="L737" s="12" t="s">
        <v>3393</v>
      </c>
      <c r="M737" s="12" t="s">
        <v>4478</v>
      </c>
      <c r="O737" s="12" t="s">
        <v>3381</v>
      </c>
      <c r="P737" s="12" t="s">
        <v>4146</v>
      </c>
      <c r="AE737" s="32">
        <v>0.5625</v>
      </c>
      <c r="AF737" s="35"/>
    </row>
    <row r="738" spans="1:32" ht="12.75">
      <c r="A738" s="29">
        <v>44481.298214259259</v>
      </c>
      <c r="B738" s="12" t="s">
        <v>3417</v>
      </c>
      <c r="C738" s="12" t="s">
        <v>4061</v>
      </c>
      <c r="D738" s="12" t="s">
        <v>4257</v>
      </c>
      <c r="E738" s="12" t="s">
        <v>4239</v>
      </c>
      <c r="F738" s="30">
        <v>44481</v>
      </c>
      <c r="G738" s="12" t="s">
        <v>4090</v>
      </c>
      <c r="H738" s="32">
        <v>0.5</v>
      </c>
      <c r="I738" s="29">
        <v>44481.666666666672</v>
      </c>
      <c r="J738" s="12" t="s">
        <v>3331</v>
      </c>
      <c r="L738" s="12" t="s">
        <v>3393</v>
      </c>
      <c r="M738" s="12" t="s">
        <v>3379</v>
      </c>
      <c r="N738" s="12" t="s">
        <v>4384</v>
      </c>
      <c r="O738" s="12" t="s">
        <v>3381</v>
      </c>
      <c r="P738" s="12" t="s">
        <v>4146</v>
      </c>
      <c r="AE738" s="32">
        <v>0.29861111110949423</v>
      </c>
      <c r="AF738" s="35"/>
    </row>
    <row r="739" spans="1:32" ht="12.75">
      <c r="A739" s="29">
        <v>44481.317084606482</v>
      </c>
      <c r="B739" s="12" t="s">
        <v>3408</v>
      </c>
      <c r="C739" s="12" t="s">
        <v>3400</v>
      </c>
      <c r="D739" s="12" t="s">
        <v>3406</v>
      </c>
      <c r="E739" s="12" t="s">
        <v>3356</v>
      </c>
      <c r="F739" s="30">
        <v>44481</v>
      </c>
      <c r="G739" s="12" t="s">
        <v>3357</v>
      </c>
      <c r="H739" s="32">
        <v>0.625</v>
      </c>
      <c r="J739" s="12" t="s">
        <v>4338</v>
      </c>
      <c r="L739" s="12" t="s">
        <v>4532</v>
      </c>
      <c r="M739" s="12" t="s">
        <v>3458</v>
      </c>
      <c r="N739" s="12" t="s">
        <v>4533</v>
      </c>
      <c r="O739" s="12" t="s">
        <v>4104</v>
      </c>
      <c r="P739" s="12" t="s">
        <v>4146</v>
      </c>
      <c r="AE739" s="32">
        <v>0.5</v>
      </c>
      <c r="AF739" s="35"/>
    </row>
    <row r="740" spans="1:32" ht="12.75">
      <c r="A740" s="29">
        <v>44482.326845104166</v>
      </c>
      <c r="B740" s="12" t="s">
        <v>3417</v>
      </c>
      <c r="C740" s="12" t="s">
        <v>4061</v>
      </c>
      <c r="D740" s="12" t="s">
        <v>4257</v>
      </c>
      <c r="E740" s="12" t="s">
        <v>3296</v>
      </c>
      <c r="F740" s="30">
        <v>44482</v>
      </c>
      <c r="G740" s="12" t="s">
        <v>4292</v>
      </c>
      <c r="H740" s="32">
        <v>0.45833333333575865</v>
      </c>
      <c r="I740" s="29">
        <v>44482.479166666672</v>
      </c>
      <c r="J740" s="12" t="s">
        <v>3331</v>
      </c>
      <c r="L740" s="12" t="s">
        <v>3393</v>
      </c>
      <c r="M740" s="12" t="s">
        <v>4478</v>
      </c>
      <c r="N740" s="12" t="s">
        <v>4534</v>
      </c>
      <c r="O740" s="12" t="s">
        <v>3381</v>
      </c>
      <c r="P740" s="12" t="s">
        <v>4146</v>
      </c>
      <c r="AE740" s="32">
        <v>0.32638888889050577</v>
      </c>
      <c r="AF740" s="35"/>
    </row>
    <row r="741" spans="1:32" ht="12.75">
      <c r="A741" s="29">
        <v>44482.435271099537</v>
      </c>
      <c r="B741" s="12" t="s">
        <v>3417</v>
      </c>
      <c r="C741" s="12" t="s">
        <v>4061</v>
      </c>
      <c r="D741" s="12" t="s">
        <v>4257</v>
      </c>
      <c r="E741" s="12" t="s">
        <v>3687</v>
      </c>
      <c r="F741" s="30">
        <v>44482</v>
      </c>
      <c r="G741" s="12" t="s">
        <v>4429</v>
      </c>
      <c r="H741" s="32">
        <v>0.625</v>
      </c>
      <c r="I741" s="29">
        <v>44482.666666666672</v>
      </c>
      <c r="J741" s="12" t="s">
        <v>3331</v>
      </c>
      <c r="L741" s="12" t="s">
        <v>3393</v>
      </c>
      <c r="M741" s="12" t="s">
        <v>4478</v>
      </c>
      <c r="N741" s="12" t="s">
        <v>4430</v>
      </c>
      <c r="O741" s="12" t="s">
        <v>3381</v>
      </c>
      <c r="P741" s="12" t="s">
        <v>4146</v>
      </c>
      <c r="AE741" s="32">
        <v>0.46875</v>
      </c>
      <c r="AF741" s="35"/>
    </row>
    <row r="742" spans="1:32" ht="12.75">
      <c r="A742" s="29">
        <v>44483.36777592593</v>
      </c>
      <c r="B742" s="12" t="s">
        <v>3390</v>
      </c>
      <c r="C742" s="12" t="s">
        <v>3391</v>
      </c>
      <c r="D742" s="12" t="s">
        <v>4257</v>
      </c>
      <c r="E742" s="12" t="s">
        <v>4535</v>
      </c>
      <c r="F742" s="30">
        <v>44483</v>
      </c>
      <c r="G742" s="12" t="s">
        <v>4536</v>
      </c>
      <c r="H742" s="32">
        <v>0.625</v>
      </c>
      <c r="I742" s="29">
        <v>44483.666666666672</v>
      </c>
      <c r="J742" s="12" t="s">
        <v>3377</v>
      </c>
      <c r="L742" s="12" t="s">
        <v>4537</v>
      </c>
      <c r="M742" s="12" t="s">
        <v>3454</v>
      </c>
      <c r="N742" s="12" t="s">
        <v>4538</v>
      </c>
      <c r="O742" s="12" t="s">
        <v>3767</v>
      </c>
      <c r="P742" s="12" t="s">
        <v>4146</v>
      </c>
      <c r="AE742" s="32">
        <v>0.42708333333575865</v>
      </c>
      <c r="AF742" s="35"/>
    </row>
    <row r="743" spans="1:32" ht="12.75">
      <c r="A743" s="29">
        <v>44483.406597974536</v>
      </c>
      <c r="B743" s="12" t="s">
        <v>3417</v>
      </c>
      <c r="C743" s="12" t="s">
        <v>4061</v>
      </c>
      <c r="D743" s="12" t="s">
        <v>4257</v>
      </c>
      <c r="E743" s="12" t="s">
        <v>3509</v>
      </c>
      <c r="F743" s="30">
        <v>44483</v>
      </c>
      <c r="G743" s="12" t="s">
        <v>4350</v>
      </c>
      <c r="H743" s="32">
        <v>0.58333333333575865</v>
      </c>
      <c r="I743" s="29">
        <v>44483.604166666672</v>
      </c>
      <c r="J743" s="12" t="s">
        <v>3331</v>
      </c>
      <c r="L743" s="12" t="s">
        <v>3393</v>
      </c>
      <c r="M743" s="12" t="s">
        <v>4478</v>
      </c>
      <c r="N743" s="12" t="s">
        <v>4430</v>
      </c>
      <c r="O743" s="12" t="s">
        <v>4392</v>
      </c>
      <c r="P743" s="12" t="s">
        <v>4146</v>
      </c>
      <c r="AE743" s="32">
        <v>0.40277777778101154</v>
      </c>
      <c r="AF743" s="35"/>
    </row>
    <row r="744" spans="1:32" ht="12.75">
      <c r="A744" s="29">
        <v>44484.47788726852</v>
      </c>
      <c r="B744" s="12" t="s">
        <v>3417</v>
      </c>
      <c r="C744" s="12" t="s">
        <v>4061</v>
      </c>
      <c r="D744" s="12" t="s">
        <v>3417</v>
      </c>
      <c r="E744" s="12" t="s">
        <v>3920</v>
      </c>
      <c r="F744" s="30">
        <v>44484</v>
      </c>
      <c r="G744" s="12" t="s">
        <v>4539</v>
      </c>
      <c r="H744" s="32">
        <v>0.625</v>
      </c>
      <c r="I744" s="29">
        <v>44484.666666666672</v>
      </c>
      <c r="J744" s="12" t="s">
        <v>3331</v>
      </c>
      <c r="L744" s="12" t="s">
        <v>3393</v>
      </c>
      <c r="M744" s="12" t="s">
        <v>3379</v>
      </c>
      <c r="N744" s="12" t="s">
        <v>4540</v>
      </c>
      <c r="O744" s="12" t="s">
        <v>3381</v>
      </c>
      <c r="P744" s="12" t="s">
        <v>4146</v>
      </c>
      <c r="AE744" s="32">
        <v>0.45833333333575865</v>
      </c>
      <c r="AF744" s="35"/>
    </row>
    <row r="745" spans="1:32" ht="12.75">
      <c r="A745" s="29">
        <v>44489.322960335645</v>
      </c>
      <c r="B745" s="12" t="s">
        <v>3390</v>
      </c>
      <c r="C745" s="12" t="s">
        <v>3391</v>
      </c>
      <c r="D745" s="12" t="s">
        <v>3470</v>
      </c>
      <c r="E745" s="12" t="s">
        <v>3834</v>
      </c>
      <c r="F745" s="30">
        <v>44489</v>
      </c>
      <c r="G745" s="12" t="s">
        <v>3520</v>
      </c>
      <c r="H745" s="32">
        <v>0.5625</v>
      </c>
      <c r="I745" s="29">
        <v>44489.583333333328</v>
      </c>
      <c r="J745" s="12" t="s">
        <v>3331</v>
      </c>
      <c r="L745" s="12" t="s">
        <v>3393</v>
      </c>
      <c r="M745" s="12" t="s">
        <v>3454</v>
      </c>
      <c r="N745" s="12" t="s">
        <v>4541</v>
      </c>
      <c r="O745" s="12" t="s">
        <v>3390</v>
      </c>
      <c r="P745" s="12" t="s">
        <v>4146</v>
      </c>
      <c r="AE745" s="32">
        <v>0.375</v>
      </c>
      <c r="AF745" s="35"/>
    </row>
    <row r="746" spans="1:32" ht="12.75">
      <c r="A746" s="29">
        <v>44491.380204212968</v>
      </c>
      <c r="B746" s="12" t="s">
        <v>3417</v>
      </c>
      <c r="C746" s="12" t="s">
        <v>4061</v>
      </c>
      <c r="D746" s="12" t="s">
        <v>4006</v>
      </c>
      <c r="E746" s="12" t="s">
        <v>3710</v>
      </c>
      <c r="F746" s="30">
        <v>44491</v>
      </c>
      <c r="G746" s="12" t="s">
        <v>3492</v>
      </c>
      <c r="H746" s="32">
        <v>0.5</v>
      </c>
      <c r="I746" s="29">
        <v>44491.541666666672</v>
      </c>
      <c r="J746" s="12" t="s">
        <v>3331</v>
      </c>
      <c r="L746" s="12" t="s">
        <v>3393</v>
      </c>
      <c r="M746" s="12" t="s">
        <v>3300</v>
      </c>
      <c r="N746" s="12" t="s">
        <v>4448</v>
      </c>
      <c r="O746" s="12" t="s">
        <v>3381</v>
      </c>
      <c r="P746" s="12" t="s">
        <v>4146</v>
      </c>
      <c r="AE746" s="32">
        <v>0.375</v>
      </c>
      <c r="AF746" s="35"/>
    </row>
    <row r="747" spans="1:32" ht="12.75">
      <c r="A747" s="29">
        <v>44495.312105185185</v>
      </c>
      <c r="B747" s="12" t="s">
        <v>4502</v>
      </c>
      <c r="C747" s="12" t="s">
        <v>4092</v>
      </c>
      <c r="D747" s="12" t="s">
        <v>3417</v>
      </c>
      <c r="E747" s="12" t="s">
        <v>4397</v>
      </c>
      <c r="F747" s="30">
        <v>44495</v>
      </c>
      <c r="G747" s="12" t="s">
        <v>4542</v>
      </c>
      <c r="H747" s="32">
        <v>0.52083333333575865</v>
      </c>
      <c r="I747" s="29">
        <v>44495.541666666672</v>
      </c>
      <c r="J747" s="12" t="s">
        <v>3331</v>
      </c>
      <c r="L747" s="12" t="s">
        <v>3393</v>
      </c>
      <c r="M747" s="12" t="s">
        <v>4124</v>
      </c>
      <c r="N747" s="12" t="s">
        <v>4543</v>
      </c>
      <c r="O747" s="12" t="s">
        <v>4091</v>
      </c>
      <c r="P747" s="12" t="s">
        <v>4146</v>
      </c>
      <c r="AE747" s="32">
        <v>0.3125</v>
      </c>
      <c r="AF747" s="35"/>
    </row>
    <row r="748" spans="1:32" ht="12.75">
      <c r="A748" s="29">
        <v>44495.588290092594</v>
      </c>
      <c r="B748" s="12" t="s">
        <v>3417</v>
      </c>
      <c r="C748" s="12" t="s">
        <v>4061</v>
      </c>
      <c r="D748" s="12" t="s">
        <v>4257</v>
      </c>
      <c r="E748" s="12" t="s">
        <v>3687</v>
      </c>
      <c r="F748" s="30">
        <v>44495</v>
      </c>
      <c r="G748" s="12" t="s">
        <v>4429</v>
      </c>
      <c r="H748" s="32">
        <v>0.64583333333575865</v>
      </c>
      <c r="I748" s="29">
        <v>44495.666666666672</v>
      </c>
      <c r="J748" s="12" t="s">
        <v>3331</v>
      </c>
      <c r="L748" s="12" t="s">
        <v>3393</v>
      </c>
      <c r="M748" s="12" t="s">
        <v>4478</v>
      </c>
      <c r="O748" s="12" t="s">
        <v>3381</v>
      </c>
      <c r="P748" s="12" t="s">
        <v>4146</v>
      </c>
      <c r="AE748" s="32">
        <v>0.58333333333575865</v>
      </c>
      <c r="AF748" s="35"/>
    </row>
    <row r="749" spans="1:32" ht="12.75">
      <c r="A749" s="29">
        <v>44495.653365324077</v>
      </c>
      <c r="B749" s="12" t="s">
        <v>3417</v>
      </c>
      <c r="C749" s="12" t="s">
        <v>4061</v>
      </c>
      <c r="D749" s="12" t="s">
        <v>4257</v>
      </c>
      <c r="E749" s="12" t="s">
        <v>4239</v>
      </c>
      <c r="F749" s="30">
        <v>44495</v>
      </c>
      <c r="G749" s="12" t="s">
        <v>3310</v>
      </c>
      <c r="H749" s="32">
        <v>0.75</v>
      </c>
      <c r="I749" s="29">
        <v>44495.770833333328</v>
      </c>
      <c r="J749" s="12" t="s">
        <v>3331</v>
      </c>
      <c r="L749" s="12" t="s">
        <v>3393</v>
      </c>
      <c r="M749" s="12" t="s">
        <v>4478</v>
      </c>
      <c r="O749" s="12" t="s">
        <v>3381</v>
      </c>
      <c r="P749" s="12" t="s">
        <v>4146</v>
      </c>
      <c r="AE749" s="32">
        <v>0.65277777778101154</v>
      </c>
      <c r="AF749" s="35"/>
    </row>
    <row r="750" spans="1:32" ht="12.75">
      <c r="A750" s="29">
        <v>44496.31887797454</v>
      </c>
      <c r="B750" s="12" t="s">
        <v>4006</v>
      </c>
      <c r="C750" s="12" t="s">
        <v>4413</v>
      </c>
      <c r="D750" s="12" t="s">
        <v>4257</v>
      </c>
      <c r="E750" s="12" t="s">
        <v>4404</v>
      </c>
      <c r="F750" s="30">
        <v>44496</v>
      </c>
      <c r="G750" s="12" t="s">
        <v>4544</v>
      </c>
      <c r="H750" s="32">
        <v>0.48958333333575865</v>
      </c>
      <c r="I750" s="29">
        <v>44496.510416666672</v>
      </c>
      <c r="J750" s="12" t="s">
        <v>3331</v>
      </c>
      <c r="L750" s="12" t="s">
        <v>3393</v>
      </c>
      <c r="M750" s="12" t="s">
        <v>4478</v>
      </c>
      <c r="N750" s="12" t="s">
        <v>4545</v>
      </c>
      <c r="O750" s="12" t="s">
        <v>4067</v>
      </c>
      <c r="P750" s="12" t="s">
        <v>4146</v>
      </c>
      <c r="AE750" s="32">
        <v>0.32291666666424135</v>
      </c>
      <c r="AF750" s="35"/>
    </row>
    <row r="751" spans="1:32" ht="12.75">
      <c r="A751" s="29">
        <v>44496.584938564818</v>
      </c>
      <c r="B751" s="12" t="s">
        <v>4091</v>
      </c>
      <c r="C751" s="12" t="s">
        <v>4460</v>
      </c>
      <c r="D751" s="12" t="s">
        <v>4257</v>
      </c>
      <c r="E751" s="12" t="s">
        <v>3687</v>
      </c>
      <c r="F751" s="30">
        <v>44496</v>
      </c>
      <c r="G751" s="12" t="s">
        <v>4429</v>
      </c>
      <c r="H751" s="32">
        <v>0.64583333333575865</v>
      </c>
      <c r="I751" s="29">
        <v>44496.729166666672</v>
      </c>
      <c r="J751" s="12" t="s">
        <v>3331</v>
      </c>
      <c r="L751" s="12" t="s">
        <v>3393</v>
      </c>
      <c r="M751" s="12" t="s">
        <v>4478</v>
      </c>
      <c r="O751" s="12" t="s">
        <v>4392</v>
      </c>
      <c r="P751" s="12" t="s">
        <v>4146</v>
      </c>
      <c r="AE751" s="32">
        <v>0.60416666666424135</v>
      </c>
      <c r="AF751" s="35"/>
    </row>
    <row r="752" spans="1:32" ht="12.75">
      <c r="A752" s="29">
        <v>44496.651139953705</v>
      </c>
      <c r="B752" s="12" t="s">
        <v>4091</v>
      </c>
      <c r="C752" s="12" t="s">
        <v>4413</v>
      </c>
      <c r="D752" s="12" t="s">
        <v>4257</v>
      </c>
      <c r="E752" s="12" t="s">
        <v>4239</v>
      </c>
      <c r="F752" s="30">
        <v>44496</v>
      </c>
      <c r="G752" s="12" t="s">
        <v>4213</v>
      </c>
      <c r="H752" s="32">
        <v>0.72916666666424135</v>
      </c>
      <c r="I752" s="29">
        <v>44496.770833333328</v>
      </c>
      <c r="J752" s="12" t="s">
        <v>3331</v>
      </c>
      <c r="L752" s="12" t="s">
        <v>3393</v>
      </c>
      <c r="M752" s="12" t="s">
        <v>4478</v>
      </c>
      <c r="O752" s="12" t="s">
        <v>3381</v>
      </c>
      <c r="P752" s="12" t="s">
        <v>4146</v>
      </c>
      <c r="AE752" s="32">
        <v>0.65625</v>
      </c>
      <c r="AF752" s="35"/>
    </row>
    <row r="753" spans="1:32" ht="12.75">
      <c r="A753" s="29">
        <v>44501.560361041666</v>
      </c>
      <c r="B753" s="12" t="s">
        <v>3417</v>
      </c>
      <c r="C753" s="12" t="s">
        <v>3902</v>
      </c>
      <c r="D753" s="12" t="s">
        <v>4257</v>
      </c>
      <c r="E753" s="12" t="s">
        <v>4397</v>
      </c>
      <c r="F753" s="30">
        <v>44501</v>
      </c>
      <c r="G753" s="12" t="s">
        <v>4398</v>
      </c>
      <c r="H753" s="32">
        <v>0.70833333333575865</v>
      </c>
      <c r="I753" s="29">
        <v>44501.729166666672</v>
      </c>
      <c r="J753" s="12" t="s">
        <v>3331</v>
      </c>
      <c r="L753" s="12" t="s">
        <v>3393</v>
      </c>
      <c r="M753" s="12" t="s">
        <v>4546</v>
      </c>
      <c r="O753" s="12" t="s">
        <v>3381</v>
      </c>
      <c r="P753" s="12" t="s">
        <v>4146</v>
      </c>
      <c r="AE753" s="32">
        <v>0.55208333333575865</v>
      </c>
      <c r="AF753" s="35"/>
    </row>
    <row r="754" spans="1:32" ht="12.75">
      <c r="A754" s="29">
        <v>44502.279712002317</v>
      </c>
      <c r="B754" s="12" t="s">
        <v>3390</v>
      </c>
      <c r="C754" s="12" t="s">
        <v>3391</v>
      </c>
      <c r="D754" s="12" t="s">
        <v>4006</v>
      </c>
      <c r="E754" s="12" t="s">
        <v>3834</v>
      </c>
      <c r="F754" s="30">
        <v>44502</v>
      </c>
      <c r="G754" s="12" t="s">
        <v>3520</v>
      </c>
      <c r="H754" s="32">
        <v>0.5625</v>
      </c>
      <c r="I754" s="29">
        <v>44502.572916666672</v>
      </c>
      <c r="J754" s="12" t="s">
        <v>3377</v>
      </c>
      <c r="L754" s="12" t="s">
        <v>3393</v>
      </c>
      <c r="M754" s="12" t="s">
        <v>4547</v>
      </c>
      <c r="O754" s="12" t="s">
        <v>3390</v>
      </c>
      <c r="P754" s="12" t="s">
        <v>4146</v>
      </c>
      <c r="AE754" s="32">
        <v>0.30208333333575865</v>
      </c>
      <c r="AF754" s="35"/>
    </row>
    <row r="755" spans="1:32" ht="12.75">
      <c r="A755" s="29">
        <v>44503.350233900463</v>
      </c>
      <c r="B755" s="12" t="s">
        <v>4457</v>
      </c>
      <c r="C755" s="12" t="s">
        <v>4548</v>
      </c>
      <c r="D755" s="12" t="s">
        <v>4006</v>
      </c>
      <c r="E755" s="12" t="s">
        <v>3356</v>
      </c>
      <c r="F755" s="30">
        <v>44503</v>
      </c>
      <c r="G755" s="12" t="s">
        <v>4549</v>
      </c>
      <c r="H755" s="32">
        <v>0.54166666666424135</v>
      </c>
      <c r="I755" s="29">
        <v>44503.552083333328</v>
      </c>
      <c r="J755" s="12" t="s">
        <v>4507</v>
      </c>
      <c r="L755" s="12" t="s">
        <v>3393</v>
      </c>
      <c r="M755" s="12" t="s">
        <v>4472</v>
      </c>
      <c r="N755" s="12" t="s">
        <v>4545</v>
      </c>
      <c r="O755" s="12" t="s">
        <v>4457</v>
      </c>
      <c r="P755" s="12" t="s">
        <v>4146</v>
      </c>
      <c r="AE755" s="32">
        <v>0.35416666666424135</v>
      </c>
      <c r="AF755" s="35"/>
    </row>
    <row r="756" spans="1:32" ht="12.75">
      <c r="A756" s="29">
        <v>44516.34002481481</v>
      </c>
      <c r="B756" s="12" t="s">
        <v>3390</v>
      </c>
      <c r="C756" s="12" t="s">
        <v>3391</v>
      </c>
      <c r="D756" s="12" t="s">
        <v>4257</v>
      </c>
      <c r="E756" s="12" t="s">
        <v>3509</v>
      </c>
      <c r="F756" s="30">
        <v>44516</v>
      </c>
      <c r="G756" s="12" t="s">
        <v>3465</v>
      </c>
      <c r="H756" s="32">
        <v>0.6875</v>
      </c>
      <c r="I756" s="29">
        <v>44516.708333333328</v>
      </c>
      <c r="J756" s="12" t="s">
        <v>3331</v>
      </c>
      <c r="L756" s="12" t="s">
        <v>3393</v>
      </c>
      <c r="M756" s="12" t="s">
        <v>3454</v>
      </c>
      <c r="N756" s="12" t="s">
        <v>3505</v>
      </c>
      <c r="O756" s="12" t="s">
        <v>3390</v>
      </c>
      <c r="P756" s="12" t="s">
        <v>4146</v>
      </c>
      <c r="AE756" s="32">
        <v>0.52083333333575865</v>
      </c>
      <c r="AF756" s="35"/>
    </row>
    <row r="757" spans="1:32" ht="12.75">
      <c r="A757" s="29">
        <v>44516.532909259258</v>
      </c>
      <c r="B757" s="12" t="s">
        <v>3408</v>
      </c>
      <c r="C757" s="12" t="s">
        <v>3400</v>
      </c>
      <c r="D757" s="12" t="s">
        <v>3406</v>
      </c>
      <c r="E757" s="12" t="s">
        <v>4550</v>
      </c>
      <c r="F757" s="30">
        <v>44516</v>
      </c>
      <c r="G757" s="12" t="s">
        <v>4551</v>
      </c>
      <c r="H757" s="32">
        <v>0.72916666666424135</v>
      </c>
      <c r="J757" s="12" t="s">
        <v>3366</v>
      </c>
      <c r="L757" s="12" t="s">
        <v>4532</v>
      </c>
      <c r="M757" s="12" t="s">
        <v>3458</v>
      </c>
      <c r="N757" s="12" t="s">
        <v>4009</v>
      </c>
      <c r="O757" s="12" t="s">
        <v>3408</v>
      </c>
      <c r="P757" s="12" t="s">
        <v>4146</v>
      </c>
      <c r="AE757" s="32">
        <v>0.60416666666424135</v>
      </c>
      <c r="AF757" s="35"/>
    </row>
    <row r="758" spans="1:32" ht="12.75">
      <c r="A758" s="29">
        <v>44517.424485706018</v>
      </c>
      <c r="B758" s="12" t="s">
        <v>3372</v>
      </c>
      <c r="C758" s="12" t="s">
        <v>4061</v>
      </c>
      <c r="D758" s="12" t="s">
        <v>4006</v>
      </c>
      <c r="E758" s="12" t="s">
        <v>3404</v>
      </c>
      <c r="F758" s="30">
        <v>44517</v>
      </c>
      <c r="G758" s="12" t="s">
        <v>3900</v>
      </c>
      <c r="H758" s="32">
        <v>0.5</v>
      </c>
      <c r="I758" s="29">
        <v>44517.541666666672</v>
      </c>
      <c r="J758" s="12" t="s">
        <v>3377</v>
      </c>
      <c r="L758" s="12" t="s">
        <v>3393</v>
      </c>
      <c r="M758" s="12" t="s">
        <v>4552</v>
      </c>
      <c r="N758" s="12" t="s">
        <v>4553</v>
      </c>
      <c r="O758" s="12" t="s">
        <v>3381</v>
      </c>
      <c r="P758" s="12" t="s">
        <v>4146</v>
      </c>
      <c r="AE758" s="32">
        <v>0.41666666666424135</v>
      </c>
      <c r="AF758" s="35"/>
    </row>
    <row r="759" spans="1:32" ht="12.75">
      <c r="A759" s="29">
        <v>44518.388744895834</v>
      </c>
      <c r="B759" s="12" t="s">
        <v>3408</v>
      </c>
      <c r="C759" s="12" t="s">
        <v>3400</v>
      </c>
      <c r="D759" s="12" t="s">
        <v>3406</v>
      </c>
      <c r="E759" s="12" t="s">
        <v>4254</v>
      </c>
      <c r="F759" s="30">
        <v>44518</v>
      </c>
      <c r="G759" s="12" t="s">
        <v>4057</v>
      </c>
      <c r="H759" s="32">
        <v>0.625</v>
      </c>
      <c r="J759" s="12" t="s">
        <v>3366</v>
      </c>
      <c r="L759" s="12" t="s">
        <v>4532</v>
      </c>
      <c r="M759" s="12" t="s">
        <v>3458</v>
      </c>
      <c r="N759" s="12" t="s">
        <v>4009</v>
      </c>
      <c r="O759" s="12" t="s">
        <v>3408</v>
      </c>
      <c r="P759" s="12" t="s">
        <v>4146</v>
      </c>
      <c r="AE759" s="32">
        <v>0.41666666666424135</v>
      </c>
      <c r="AF759" s="35"/>
    </row>
    <row r="760" spans="1:32" ht="12.75">
      <c r="A760" s="29">
        <v>44519.317873055552</v>
      </c>
      <c r="B760" s="12" t="s">
        <v>4091</v>
      </c>
      <c r="C760" s="12" t="s">
        <v>4061</v>
      </c>
      <c r="D760" s="12" t="s">
        <v>4257</v>
      </c>
      <c r="E760" s="12" t="s">
        <v>4554</v>
      </c>
      <c r="F760" s="30">
        <v>44519</v>
      </c>
      <c r="G760" s="12" t="s">
        <v>4477</v>
      </c>
      <c r="H760" s="32">
        <v>0.54166666666424135</v>
      </c>
      <c r="I760" s="29">
        <v>44519.604166666672</v>
      </c>
      <c r="J760" s="12" t="s">
        <v>3377</v>
      </c>
      <c r="L760" s="12" t="s">
        <v>3393</v>
      </c>
      <c r="M760" s="12" t="s">
        <v>4478</v>
      </c>
      <c r="N760" s="12" t="s">
        <v>4555</v>
      </c>
      <c r="O760" s="12" t="s">
        <v>3416</v>
      </c>
      <c r="P760" s="12" t="s">
        <v>4146</v>
      </c>
      <c r="AE760" s="32">
        <v>0.3125</v>
      </c>
      <c r="AF760" s="35"/>
    </row>
    <row r="761" spans="1:32" ht="12.75">
      <c r="A761" s="29">
        <v>44528.821876516202</v>
      </c>
      <c r="B761" s="12" t="s">
        <v>3408</v>
      </c>
      <c r="C761" s="12" t="s">
        <v>3400</v>
      </c>
      <c r="D761" s="12" t="s">
        <v>3406</v>
      </c>
      <c r="E761" s="12" t="s">
        <v>3482</v>
      </c>
      <c r="F761" s="30">
        <v>44529</v>
      </c>
      <c r="G761" s="12" t="s">
        <v>3900</v>
      </c>
      <c r="H761" s="32">
        <v>0.625</v>
      </c>
      <c r="J761" s="12" t="s">
        <v>3377</v>
      </c>
      <c r="L761" s="12" t="s">
        <v>4532</v>
      </c>
      <c r="M761" s="12" t="s">
        <v>3458</v>
      </c>
      <c r="N761" s="12" t="s">
        <v>4556</v>
      </c>
      <c r="O761" s="12" t="s">
        <v>3408</v>
      </c>
      <c r="P761" s="12" t="s">
        <v>4146</v>
      </c>
      <c r="AE761" s="32">
        <v>0.375</v>
      </c>
      <c r="AF761" s="35"/>
    </row>
    <row r="762" spans="1:32" ht="12.75">
      <c r="A762" s="29">
        <v>44530.28682277778</v>
      </c>
      <c r="B762" s="12" t="s">
        <v>3408</v>
      </c>
      <c r="C762" s="12" t="s">
        <v>3400</v>
      </c>
      <c r="D762" s="12" t="s">
        <v>3406</v>
      </c>
      <c r="E762" s="12" t="s">
        <v>3482</v>
      </c>
      <c r="F762" s="30">
        <v>44530</v>
      </c>
      <c r="G762" s="12" t="s">
        <v>3900</v>
      </c>
      <c r="H762" s="32">
        <v>0.625</v>
      </c>
      <c r="J762" s="12" t="s">
        <v>3366</v>
      </c>
      <c r="L762" s="12" t="s">
        <v>4532</v>
      </c>
      <c r="M762" s="12" t="s">
        <v>3458</v>
      </c>
      <c r="N762" s="12" t="s">
        <v>4557</v>
      </c>
      <c r="O762" s="12" t="s">
        <v>4104</v>
      </c>
      <c r="P762" s="12" t="s">
        <v>4146</v>
      </c>
      <c r="AE762" s="32">
        <v>0.375</v>
      </c>
      <c r="AF762" s="35"/>
    </row>
    <row r="763" spans="1:32" ht="12.75">
      <c r="A763" s="29">
        <v>44530.443566111113</v>
      </c>
      <c r="B763" s="12" t="s">
        <v>4503</v>
      </c>
      <c r="C763" s="12" t="s">
        <v>4092</v>
      </c>
      <c r="D763" s="12" t="s">
        <v>3470</v>
      </c>
      <c r="E763" s="12" t="s">
        <v>4100</v>
      </c>
      <c r="F763" s="30">
        <v>44530</v>
      </c>
      <c r="G763" s="12" t="s">
        <v>4477</v>
      </c>
      <c r="H763" s="32">
        <v>0.66666666666424135</v>
      </c>
      <c r="I763" s="29">
        <v>44530.708333333328</v>
      </c>
      <c r="J763" s="12" t="s">
        <v>3377</v>
      </c>
      <c r="L763" s="12" t="s">
        <v>3393</v>
      </c>
      <c r="M763" s="12" t="s">
        <v>4478</v>
      </c>
      <c r="O763" s="12" t="s">
        <v>3381</v>
      </c>
      <c r="P763" s="12" t="s">
        <v>4146</v>
      </c>
      <c r="AE763" s="32">
        <v>0.45833333333575865</v>
      </c>
      <c r="AF763" s="35"/>
    </row>
    <row r="764" spans="1:32" ht="12.75">
      <c r="A764" s="29">
        <v>44530.470189953703</v>
      </c>
      <c r="B764" s="12" t="s">
        <v>3390</v>
      </c>
      <c r="C764" s="12" t="s">
        <v>3391</v>
      </c>
      <c r="D764" s="12" t="s">
        <v>3470</v>
      </c>
      <c r="E764" s="12" t="s">
        <v>4558</v>
      </c>
      <c r="F764" s="30">
        <v>44531</v>
      </c>
      <c r="G764" s="12" t="s">
        <v>3465</v>
      </c>
      <c r="H764" s="32">
        <v>0.58333333333575865</v>
      </c>
      <c r="I764" s="29">
        <v>44531.604166666672</v>
      </c>
      <c r="J764" s="12" t="s">
        <v>3331</v>
      </c>
      <c r="L764" s="12" t="s">
        <v>3393</v>
      </c>
      <c r="M764" s="12" t="s">
        <v>4032</v>
      </c>
      <c r="O764" s="12" t="s">
        <v>3390</v>
      </c>
      <c r="P764" s="12" t="s">
        <v>4146</v>
      </c>
      <c r="AE764" s="32">
        <v>0.375</v>
      </c>
      <c r="AF764" s="35"/>
    </row>
    <row r="765" spans="1:32" ht="12.75">
      <c r="A765" s="29">
        <v>44531.274326377315</v>
      </c>
      <c r="B765" s="12" t="s">
        <v>4457</v>
      </c>
      <c r="C765" s="12" t="s">
        <v>4471</v>
      </c>
      <c r="D765" s="12" t="s">
        <v>3390</v>
      </c>
      <c r="E765" s="12" t="s">
        <v>4307</v>
      </c>
      <c r="F765" s="30">
        <v>44531</v>
      </c>
      <c r="G765" s="12" t="s">
        <v>4506</v>
      </c>
      <c r="H765" s="32">
        <v>0.41666666666424135</v>
      </c>
      <c r="I765" s="29">
        <v>44531.427083333328</v>
      </c>
      <c r="J765" s="12" t="s">
        <v>4559</v>
      </c>
      <c r="L765" s="12" t="s">
        <v>4560</v>
      </c>
      <c r="M765" s="12" t="s">
        <v>4472</v>
      </c>
      <c r="N765" s="12" t="s">
        <v>4561</v>
      </c>
      <c r="O765" s="12" t="s">
        <v>4457</v>
      </c>
      <c r="P765" s="12" t="s">
        <v>4146</v>
      </c>
      <c r="AE765" s="32">
        <v>0.27083333333575865</v>
      </c>
      <c r="AF765" s="35"/>
    </row>
    <row r="766" spans="1:32" ht="12.75">
      <c r="A766" s="29">
        <v>44531.468503124997</v>
      </c>
      <c r="B766" s="12" t="s">
        <v>4502</v>
      </c>
      <c r="C766" s="12" t="s">
        <v>4092</v>
      </c>
      <c r="D766" s="12" t="s">
        <v>4257</v>
      </c>
      <c r="E766" s="12" t="s">
        <v>4562</v>
      </c>
      <c r="F766" s="30">
        <v>44531</v>
      </c>
      <c r="G766" s="12" t="s">
        <v>4563</v>
      </c>
      <c r="H766" s="32">
        <v>0.51041666666424135</v>
      </c>
      <c r="I766" s="29">
        <v>44531.552083333328</v>
      </c>
      <c r="J766" s="12" t="s">
        <v>4338</v>
      </c>
      <c r="L766" s="12" t="s">
        <v>4564</v>
      </c>
      <c r="M766" s="12" t="s">
        <v>3379</v>
      </c>
      <c r="N766" s="12" t="s">
        <v>4502</v>
      </c>
      <c r="O766" s="12" t="s">
        <v>3381</v>
      </c>
      <c r="P766" s="12" t="s">
        <v>4146</v>
      </c>
      <c r="AE766" s="32">
        <v>0.48958333333575865</v>
      </c>
      <c r="AF766" s="35"/>
    </row>
    <row r="767" spans="1:32" ht="12.75">
      <c r="A767" s="29">
        <v>44536.435172152778</v>
      </c>
      <c r="B767" s="12" t="s">
        <v>3475</v>
      </c>
      <c r="C767" s="12" t="s">
        <v>3719</v>
      </c>
      <c r="D767" s="12" t="s">
        <v>3390</v>
      </c>
      <c r="E767" s="12" t="s">
        <v>3482</v>
      </c>
      <c r="F767" s="30">
        <v>44536</v>
      </c>
      <c r="G767" s="12" t="s">
        <v>3465</v>
      </c>
      <c r="H767" s="32">
        <v>0.58333333333575865</v>
      </c>
      <c r="I767" s="29">
        <v>44536.604166666672</v>
      </c>
      <c r="J767" s="12" t="s">
        <v>3377</v>
      </c>
      <c r="L767" s="12" t="s">
        <v>3393</v>
      </c>
      <c r="M767" s="12" t="s">
        <v>3867</v>
      </c>
      <c r="O767" s="12" t="s">
        <v>3475</v>
      </c>
      <c r="P767" s="12" t="s">
        <v>4146</v>
      </c>
      <c r="AE767" s="32">
        <v>0.4375</v>
      </c>
      <c r="AF767" s="35"/>
    </row>
    <row r="768" spans="1:32" ht="12.75">
      <c r="A768" s="29">
        <v>44543.297401516204</v>
      </c>
      <c r="B768" s="12" t="s">
        <v>3408</v>
      </c>
      <c r="C768" s="12" t="s">
        <v>3400</v>
      </c>
      <c r="D768" s="12" t="s">
        <v>3406</v>
      </c>
      <c r="E768" s="12" t="s">
        <v>4410</v>
      </c>
      <c r="F768" s="30">
        <v>44543</v>
      </c>
      <c r="G768" s="12" t="s">
        <v>4565</v>
      </c>
      <c r="H768" s="32">
        <v>0.625</v>
      </c>
      <c r="J768" s="12" t="s">
        <v>3377</v>
      </c>
      <c r="L768" s="12" t="s">
        <v>4532</v>
      </c>
      <c r="M768" s="12" t="s">
        <v>3458</v>
      </c>
      <c r="N768" s="12" t="s">
        <v>4566</v>
      </c>
      <c r="O768" s="12" t="s">
        <v>3408</v>
      </c>
      <c r="P768" s="12" t="s">
        <v>4146</v>
      </c>
      <c r="AE768" s="32">
        <v>0.39583333333575865</v>
      </c>
      <c r="AF768" s="35"/>
    </row>
    <row r="769" spans="1:32" ht="12.75">
      <c r="A769" s="29">
        <v>44548.535856469913</v>
      </c>
      <c r="B769" s="12" t="s">
        <v>4257</v>
      </c>
      <c r="C769" s="12" t="s">
        <v>4409</v>
      </c>
      <c r="D769" s="12" t="s">
        <v>3417</v>
      </c>
      <c r="E769" s="12" t="s">
        <v>4404</v>
      </c>
      <c r="F769" s="30">
        <v>44548</v>
      </c>
      <c r="G769" s="12" t="s">
        <v>3509</v>
      </c>
      <c r="H769" s="32">
        <v>0.6875</v>
      </c>
      <c r="I769" s="29">
        <v>44548.708333333328</v>
      </c>
      <c r="J769" s="12" t="s">
        <v>3377</v>
      </c>
      <c r="L769" s="12" t="s">
        <v>3393</v>
      </c>
      <c r="M769" s="12" t="s">
        <v>4411</v>
      </c>
      <c r="N769" s="12" t="s">
        <v>4567</v>
      </c>
      <c r="O769" s="12" t="s">
        <v>3390</v>
      </c>
      <c r="P769" s="12" t="s">
        <v>4146</v>
      </c>
      <c r="AE769" s="32">
        <v>0.54166666666424135</v>
      </c>
      <c r="AF769" s="35"/>
    </row>
    <row r="770" spans="1:32" ht="12.75">
      <c r="A770" s="29">
        <v>44550.488024328704</v>
      </c>
      <c r="B770" s="12" t="s">
        <v>3475</v>
      </c>
      <c r="C770" s="12" t="s">
        <v>3683</v>
      </c>
      <c r="D770" s="12" t="s">
        <v>4257</v>
      </c>
      <c r="E770" s="12" t="s">
        <v>4568</v>
      </c>
      <c r="F770" s="30">
        <v>44550</v>
      </c>
      <c r="G770" s="12" t="s">
        <v>4569</v>
      </c>
      <c r="H770" s="32">
        <v>0.53125</v>
      </c>
      <c r="I770" s="29">
        <v>44550.708333333328</v>
      </c>
      <c r="J770" s="12" t="s">
        <v>3331</v>
      </c>
      <c r="L770" s="12" t="s">
        <v>3393</v>
      </c>
      <c r="M770" s="12" t="s">
        <v>3591</v>
      </c>
      <c r="O770" s="12" t="s">
        <v>3744</v>
      </c>
      <c r="P770" s="12" t="s">
        <v>4146</v>
      </c>
      <c r="AE770" s="32">
        <v>0.48958333333575865</v>
      </c>
      <c r="AF770" s="35"/>
    </row>
    <row r="771" spans="1:32" ht="12.75">
      <c r="A771" s="29">
        <v>44550.55419145833</v>
      </c>
      <c r="B771" s="12" t="s">
        <v>3470</v>
      </c>
      <c r="C771" s="12" t="s">
        <v>3683</v>
      </c>
      <c r="D771" s="12" t="s">
        <v>4257</v>
      </c>
      <c r="E771" s="12" t="s">
        <v>4115</v>
      </c>
      <c r="F771" s="30">
        <v>44550</v>
      </c>
      <c r="G771" s="12" t="s">
        <v>4570</v>
      </c>
      <c r="H771" s="32">
        <v>0.60416666666424135</v>
      </c>
      <c r="I771" s="29">
        <v>44550.708333333328</v>
      </c>
      <c r="J771" s="12" t="s">
        <v>3331</v>
      </c>
      <c r="L771" s="12" t="s">
        <v>3393</v>
      </c>
      <c r="M771" s="12" t="s">
        <v>3591</v>
      </c>
      <c r="O771" s="12" t="s">
        <v>3744</v>
      </c>
      <c r="P771" s="12" t="s">
        <v>4146</v>
      </c>
      <c r="AE771" s="32">
        <v>0.55555555555474712</v>
      </c>
      <c r="AF771" s="35"/>
    </row>
    <row r="772" spans="1:32" ht="12.75">
      <c r="A772" s="29">
        <v>44550.620997800928</v>
      </c>
      <c r="B772" s="12" t="s">
        <v>3470</v>
      </c>
      <c r="C772" s="12" t="s">
        <v>3683</v>
      </c>
      <c r="D772" s="12" t="s">
        <v>4257</v>
      </c>
      <c r="E772" s="12" t="s">
        <v>4571</v>
      </c>
      <c r="F772" s="30">
        <v>44550</v>
      </c>
      <c r="G772" s="12" t="s">
        <v>4572</v>
      </c>
      <c r="H772" s="32">
        <v>0.6875</v>
      </c>
      <c r="I772" s="29">
        <v>44550.708333333328</v>
      </c>
      <c r="J772" s="12" t="s">
        <v>3331</v>
      </c>
      <c r="L772" s="12" t="s">
        <v>3393</v>
      </c>
      <c r="M772" s="12" t="s">
        <v>3591</v>
      </c>
      <c r="O772" s="12" t="s">
        <v>3744</v>
      </c>
      <c r="P772" s="12" t="s">
        <v>4146</v>
      </c>
      <c r="AE772" s="32">
        <v>0.63541666666424135</v>
      </c>
      <c r="AF772" s="35"/>
    </row>
    <row r="773" spans="1:32" ht="12.75">
      <c r="A773" s="29">
        <v>44565.394527199074</v>
      </c>
      <c r="B773" s="12" t="s">
        <v>3470</v>
      </c>
      <c r="C773" s="12" t="s">
        <v>3683</v>
      </c>
      <c r="D773" s="12" t="s">
        <v>4257</v>
      </c>
      <c r="E773" s="12" t="s">
        <v>3435</v>
      </c>
      <c r="F773" s="30">
        <v>44565</v>
      </c>
      <c r="G773" s="12" t="s">
        <v>4311</v>
      </c>
      <c r="H773" s="32">
        <v>0.60416666666424135</v>
      </c>
      <c r="I773" s="29">
        <v>44565.625</v>
      </c>
      <c r="J773" s="12" t="s">
        <v>3377</v>
      </c>
      <c r="L773" s="12" t="s">
        <v>3393</v>
      </c>
      <c r="M773" s="12" t="s">
        <v>4472</v>
      </c>
      <c r="N773" s="12" t="s">
        <v>3923</v>
      </c>
      <c r="O773" s="12" t="s">
        <v>3475</v>
      </c>
      <c r="P773" s="12" t="s">
        <v>4146</v>
      </c>
      <c r="AE773" s="32">
        <v>0.39583333333575865</v>
      </c>
      <c r="AF773" s="35"/>
    </row>
    <row r="774" spans="1:32" ht="12.75">
      <c r="A774" s="29">
        <v>44572.354622233797</v>
      </c>
      <c r="B774" s="12" t="s">
        <v>4479</v>
      </c>
      <c r="C774" s="12" t="s">
        <v>4061</v>
      </c>
      <c r="D774" s="12" t="s">
        <v>4257</v>
      </c>
      <c r="E774" s="12" t="s">
        <v>4573</v>
      </c>
      <c r="F774" s="30">
        <v>44572</v>
      </c>
      <c r="G774" s="12" t="s">
        <v>4574</v>
      </c>
      <c r="H774" s="32">
        <v>0.4375</v>
      </c>
      <c r="I774" s="29">
        <v>44572.458333333328</v>
      </c>
      <c r="J774" s="12" t="s">
        <v>4338</v>
      </c>
      <c r="L774" s="12" t="s">
        <v>3299</v>
      </c>
      <c r="M774" s="12" t="s">
        <v>4478</v>
      </c>
      <c r="O774" s="12" t="s">
        <v>3381</v>
      </c>
      <c r="P774" s="12" t="s">
        <v>4146</v>
      </c>
      <c r="AE774" s="32">
        <v>0.34375</v>
      </c>
      <c r="AF774" s="35"/>
    </row>
    <row r="775" spans="1:32" ht="12.75">
      <c r="A775" s="29">
        <v>44572.459162199069</v>
      </c>
      <c r="B775" s="12" t="s">
        <v>3390</v>
      </c>
      <c r="C775" s="12" t="s">
        <v>3391</v>
      </c>
      <c r="D775" s="12" t="s">
        <v>3470</v>
      </c>
      <c r="E775" s="12" t="s">
        <v>4575</v>
      </c>
      <c r="F775" s="30">
        <v>44572</v>
      </c>
      <c r="G775" s="12" t="s">
        <v>4576</v>
      </c>
      <c r="H775" s="32">
        <v>0.64583333333575865</v>
      </c>
      <c r="I775" s="29">
        <v>44572.708333333328</v>
      </c>
      <c r="J775" s="12" t="s">
        <v>3331</v>
      </c>
      <c r="L775" s="12" t="s">
        <v>3393</v>
      </c>
      <c r="M775" s="12" t="s">
        <v>4366</v>
      </c>
      <c r="N775" s="12" t="s">
        <v>3923</v>
      </c>
      <c r="O775" s="12" t="s">
        <v>3429</v>
      </c>
      <c r="P775" s="12" t="s">
        <v>4146</v>
      </c>
      <c r="AE775" s="32">
        <v>0.44791666666424135</v>
      </c>
      <c r="AF775" s="35"/>
    </row>
    <row r="776" spans="1:32" ht="12.75">
      <c r="A776" s="29">
        <v>44572.628221782405</v>
      </c>
      <c r="B776" s="12" t="s">
        <v>3381</v>
      </c>
      <c r="C776" s="12" t="s">
        <v>4061</v>
      </c>
      <c r="D776" s="12" t="s">
        <v>4257</v>
      </c>
      <c r="E776" s="12" t="s">
        <v>3990</v>
      </c>
      <c r="F776" s="30">
        <v>44572</v>
      </c>
      <c r="G776" s="12" t="s">
        <v>4480</v>
      </c>
      <c r="H776" s="32">
        <v>0.66666666666424135</v>
      </c>
      <c r="I776" s="29">
        <v>44572.6875</v>
      </c>
      <c r="J776" s="12" t="s">
        <v>3377</v>
      </c>
      <c r="L776" s="12" t="s">
        <v>3299</v>
      </c>
      <c r="M776" s="12" t="s">
        <v>3379</v>
      </c>
      <c r="O776" s="12" t="s">
        <v>3381</v>
      </c>
      <c r="P776" s="12" t="s">
        <v>4146</v>
      </c>
      <c r="AE776" s="32">
        <v>0.625</v>
      </c>
      <c r="AF776" s="35"/>
    </row>
    <row r="777" spans="1:32" ht="12.75">
      <c r="A777" s="29">
        <v>44573.383931886579</v>
      </c>
      <c r="B777" s="12" t="s">
        <v>4384</v>
      </c>
      <c r="C777" s="12" t="s">
        <v>4577</v>
      </c>
      <c r="D777" s="12" t="s">
        <v>4153</v>
      </c>
      <c r="E777" s="12" t="s">
        <v>4578</v>
      </c>
      <c r="F777" s="30">
        <v>44573</v>
      </c>
      <c r="G777" s="12" t="s">
        <v>4579</v>
      </c>
      <c r="H777" s="32">
        <v>0.58333333333575865</v>
      </c>
      <c r="I777" s="29">
        <v>44573.604166666672</v>
      </c>
      <c r="J777" s="12" t="s">
        <v>4123</v>
      </c>
      <c r="L777" s="12" t="s">
        <v>4564</v>
      </c>
      <c r="M777" s="12" t="s">
        <v>3458</v>
      </c>
      <c r="N777" s="12" t="s">
        <v>4580</v>
      </c>
      <c r="O777" s="12" t="s">
        <v>3406</v>
      </c>
      <c r="P777" s="12" t="s">
        <v>4146</v>
      </c>
      <c r="AE777" s="32">
        <v>0.41666666666424135</v>
      </c>
      <c r="AF777" s="35"/>
    </row>
    <row r="778" spans="1:32" ht="12.75">
      <c r="A778" s="29">
        <v>44573.423752442133</v>
      </c>
      <c r="B778" s="12" t="s">
        <v>3417</v>
      </c>
      <c r="C778" s="12" t="s">
        <v>4061</v>
      </c>
      <c r="D778" s="12" t="s">
        <v>4257</v>
      </c>
      <c r="E778" s="12" t="s">
        <v>3418</v>
      </c>
      <c r="F778" s="30">
        <v>44573</v>
      </c>
      <c r="G778" s="12" t="s">
        <v>3419</v>
      </c>
      <c r="H778" s="32">
        <v>0.52083333333575865</v>
      </c>
      <c r="I778" s="29">
        <v>44573.541666666672</v>
      </c>
      <c r="J778" s="12" t="s">
        <v>3366</v>
      </c>
      <c r="L778" s="12" t="s">
        <v>3393</v>
      </c>
      <c r="M778" s="12" t="s">
        <v>4478</v>
      </c>
      <c r="N778" s="12" t="s">
        <v>4581</v>
      </c>
      <c r="O778" s="12" t="s">
        <v>3381</v>
      </c>
      <c r="P778" s="12" t="s">
        <v>4146</v>
      </c>
      <c r="AE778" s="32">
        <v>0.42708333333575865</v>
      </c>
      <c r="AF778" s="35"/>
    </row>
    <row r="779" spans="1:32" ht="12.75">
      <c r="A779" s="29">
        <v>44574.283165439818</v>
      </c>
      <c r="B779" s="12" t="s">
        <v>4457</v>
      </c>
      <c r="C779" s="12" t="s">
        <v>4471</v>
      </c>
      <c r="D779" s="12" t="s">
        <v>3470</v>
      </c>
      <c r="E779" s="12" t="s">
        <v>4582</v>
      </c>
      <c r="F779" s="30">
        <v>44574</v>
      </c>
      <c r="G779" s="12" t="s">
        <v>4583</v>
      </c>
      <c r="H779" s="32">
        <v>0.58333333333575865</v>
      </c>
      <c r="I779" s="29">
        <v>44574.104166666672</v>
      </c>
      <c r="J779" s="12" t="s">
        <v>4559</v>
      </c>
      <c r="L779" s="12" t="s">
        <v>3299</v>
      </c>
      <c r="M779" s="12" t="s">
        <v>4472</v>
      </c>
      <c r="N779" s="12" t="s">
        <v>4584</v>
      </c>
      <c r="O779" s="12" t="s">
        <v>4457</v>
      </c>
      <c r="P779" s="12" t="s">
        <v>4146</v>
      </c>
      <c r="AE779" s="32">
        <v>0.29166666666424135</v>
      </c>
      <c r="AF779" s="35"/>
    </row>
    <row r="780" spans="1:32" ht="12.75">
      <c r="A780" s="29">
        <v>44574.461503877319</v>
      </c>
      <c r="B780" s="12" t="s">
        <v>3417</v>
      </c>
      <c r="C780" s="12" t="s">
        <v>4061</v>
      </c>
      <c r="D780" s="12" t="s">
        <v>4257</v>
      </c>
      <c r="E780" s="12" t="s">
        <v>3418</v>
      </c>
      <c r="F780" s="30">
        <v>44574</v>
      </c>
      <c r="G780" s="12" t="s">
        <v>3419</v>
      </c>
      <c r="H780" s="32">
        <v>0.625</v>
      </c>
      <c r="I780" s="29">
        <v>44574.645833333328</v>
      </c>
      <c r="J780" s="12" t="s">
        <v>3366</v>
      </c>
      <c r="L780" s="12" t="s">
        <v>3393</v>
      </c>
      <c r="M780" s="12" t="s">
        <v>4478</v>
      </c>
      <c r="N780" s="12" t="s">
        <v>4585</v>
      </c>
      <c r="O780" s="12" t="s">
        <v>3381</v>
      </c>
      <c r="P780" s="12" t="s">
        <v>4146</v>
      </c>
      <c r="AE780" s="32">
        <v>0.46527777778101154</v>
      </c>
      <c r="AF780" s="35"/>
    </row>
    <row r="781" spans="1:32" ht="12.75">
      <c r="A781" s="29">
        <v>44578.540191851847</v>
      </c>
      <c r="B781" s="12" t="s">
        <v>4586</v>
      </c>
      <c r="C781" s="12" t="s">
        <v>4587</v>
      </c>
      <c r="D781" s="12" t="s">
        <v>4588</v>
      </c>
      <c r="E781" s="12" t="s">
        <v>4589</v>
      </c>
      <c r="F781" s="30">
        <v>44580</v>
      </c>
      <c r="G781" s="12" t="s">
        <v>4590</v>
      </c>
      <c r="H781" s="32">
        <v>0.75</v>
      </c>
      <c r="I781" s="29">
        <v>44580.791666666672</v>
      </c>
      <c r="J781" s="12" t="s">
        <v>3358</v>
      </c>
      <c r="K781" s="12">
        <v>1</v>
      </c>
      <c r="L781" s="12" t="s">
        <v>4591</v>
      </c>
      <c r="M781" s="12" t="s">
        <v>4586</v>
      </c>
      <c r="O781" s="12" t="s">
        <v>4586</v>
      </c>
      <c r="P781" s="12" t="s">
        <v>4146</v>
      </c>
      <c r="AC781" s="12" t="s">
        <v>4592</v>
      </c>
      <c r="AD781" s="12" t="s">
        <v>4593</v>
      </c>
      <c r="AE781" s="32">
        <v>0.66666666666424135</v>
      </c>
      <c r="AF781" s="35"/>
    </row>
    <row r="782" spans="1:32" ht="12.75">
      <c r="A782" s="29">
        <v>44579.398958912032</v>
      </c>
      <c r="B782" s="12" t="s">
        <v>4586</v>
      </c>
      <c r="C782" s="12" t="s">
        <v>4594</v>
      </c>
      <c r="D782" s="12" t="s">
        <v>4588</v>
      </c>
      <c r="E782" s="12" t="s">
        <v>3524</v>
      </c>
      <c r="F782" s="30">
        <v>44580</v>
      </c>
      <c r="G782" s="12" t="s">
        <v>4595</v>
      </c>
      <c r="H782" s="32">
        <v>0.75</v>
      </c>
      <c r="I782" s="29">
        <v>44580.791666666672</v>
      </c>
      <c r="J782" s="12" t="s">
        <v>3358</v>
      </c>
      <c r="K782" s="12">
        <v>2</v>
      </c>
      <c r="L782" s="12" t="s">
        <v>4596</v>
      </c>
      <c r="M782" s="12" t="s">
        <v>4586</v>
      </c>
      <c r="N782" s="12" t="s">
        <v>4597</v>
      </c>
      <c r="O782" s="12" t="s">
        <v>4598</v>
      </c>
      <c r="P782" s="12" t="s">
        <v>4146</v>
      </c>
      <c r="AC782" s="12" t="s">
        <v>4599</v>
      </c>
      <c r="AD782" s="12" t="s">
        <v>4593</v>
      </c>
      <c r="AE782" s="32">
        <v>0.625</v>
      </c>
      <c r="AF782" s="35"/>
    </row>
    <row r="783" spans="1:32" ht="12.75">
      <c r="A783" s="29">
        <v>44579.486603252313</v>
      </c>
      <c r="B783" s="12" t="s">
        <v>4006</v>
      </c>
      <c r="C783" s="12" t="s">
        <v>4413</v>
      </c>
      <c r="D783" s="12" t="s">
        <v>4257</v>
      </c>
      <c r="E783" s="12" t="s">
        <v>4404</v>
      </c>
      <c r="F783" s="30">
        <v>44579</v>
      </c>
      <c r="G783" s="12" t="s">
        <v>4600</v>
      </c>
      <c r="H783" s="32">
        <v>0.66666666666424135</v>
      </c>
      <c r="I783" s="29">
        <v>44579.6875</v>
      </c>
      <c r="J783" s="12" t="s">
        <v>3377</v>
      </c>
      <c r="L783" s="12" t="s">
        <v>3393</v>
      </c>
      <c r="M783" s="12" t="s">
        <v>4478</v>
      </c>
      <c r="N783" s="12" t="s">
        <v>4601</v>
      </c>
      <c r="O783" s="12" t="s">
        <v>4006</v>
      </c>
      <c r="P783" s="12" t="s">
        <v>4146</v>
      </c>
      <c r="AE783" s="32">
        <v>0.47916666666424135</v>
      </c>
      <c r="AF783" s="35"/>
    </row>
    <row r="784" spans="1:32" ht="12.75">
      <c r="A784" s="29">
        <v>44580.545278761572</v>
      </c>
      <c r="B784" s="12" t="s">
        <v>4109</v>
      </c>
      <c r="C784" s="12" t="s">
        <v>4092</v>
      </c>
      <c r="D784" s="12" t="s">
        <v>3470</v>
      </c>
      <c r="E784" s="12" t="s">
        <v>3482</v>
      </c>
      <c r="F784" s="30">
        <v>44580</v>
      </c>
      <c r="G784" s="12" t="s">
        <v>4600</v>
      </c>
      <c r="H784" s="32">
        <v>0.625</v>
      </c>
      <c r="I784" s="29">
        <v>44580.645833333328</v>
      </c>
      <c r="J784" s="12" t="s">
        <v>3377</v>
      </c>
      <c r="L784" s="12" t="s">
        <v>3393</v>
      </c>
      <c r="M784" s="12" t="s">
        <v>4602</v>
      </c>
      <c r="N784" s="12" t="s">
        <v>4603</v>
      </c>
      <c r="O784" s="12" t="s">
        <v>4091</v>
      </c>
      <c r="P784" s="12" t="s">
        <v>4146</v>
      </c>
      <c r="AE784" s="32">
        <v>0.54166666666424135</v>
      </c>
      <c r="AF784" s="35"/>
    </row>
    <row r="785" spans="1:32" ht="12.75">
      <c r="A785" s="29">
        <v>44581.564944166668</v>
      </c>
      <c r="B785" s="12" t="s">
        <v>4604</v>
      </c>
      <c r="C785" s="12" t="s">
        <v>4061</v>
      </c>
      <c r="D785" s="12" t="s">
        <v>4257</v>
      </c>
      <c r="E785" s="12" t="s">
        <v>3965</v>
      </c>
      <c r="F785" s="30">
        <v>44581</v>
      </c>
      <c r="G785" s="12" t="s">
        <v>3419</v>
      </c>
      <c r="H785" s="32">
        <v>0.75</v>
      </c>
      <c r="I785" s="29">
        <v>44581.770833333328</v>
      </c>
      <c r="J785" s="12" t="s">
        <v>3377</v>
      </c>
      <c r="L785" s="12" t="s">
        <v>3299</v>
      </c>
      <c r="M785" s="12" t="s">
        <v>3379</v>
      </c>
      <c r="N785" s="12" t="s">
        <v>4605</v>
      </c>
      <c r="O785" s="12" t="s">
        <v>3381</v>
      </c>
      <c r="P785" s="12" t="s">
        <v>4146</v>
      </c>
      <c r="AE785" s="32">
        <v>0.5625</v>
      </c>
      <c r="AF785" s="35"/>
    </row>
    <row r="786" spans="1:32" ht="12.75">
      <c r="A786" s="29">
        <v>44586.372146331021</v>
      </c>
      <c r="B786" s="12" t="s">
        <v>4606</v>
      </c>
      <c r="C786" s="12" t="s">
        <v>4061</v>
      </c>
      <c r="D786" s="12" t="s">
        <v>4257</v>
      </c>
      <c r="E786" s="12" t="s">
        <v>3509</v>
      </c>
      <c r="F786" s="30">
        <v>44586</v>
      </c>
      <c r="G786" s="12" t="s">
        <v>4607</v>
      </c>
      <c r="H786" s="32">
        <v>0.5</v>
      </c>
      <c r="I786" s="29">
        <v>44586.520833333328</v>
      </c>
      <c r="J786" s="12" t="s">
        <v>3377</v>
      </c>
      <c r="L786" s="12" t="s">
        <v>3299</v>
      </c>
      <c r="M786" s="12" t="s">
        <v>4478</v>
      </c>
      <c r="N786" s="12" t="s">
        <v>4608</v>
      </c>
      <c r="O786" s="12" t="s">
        <v>3381</v>
      </c>
      <c r="P786" s="12" t="s">
        <v>4146</v>
      </c>
      <c r="AE786" s="32">
        <v>0.375</v>
      </c>
      <c r="AF786" s="35"/>
    </row>
    <row r="787" spans="1:32" ht="12.75">
      <c r="A787" s="29">
        <v>44587.383181701385</v>
      </c>
      <c r="B787" s="12" t="s">
        <v>4606</v>
      </c>
      <c r="C787" s="12" t="s">
        <v>4061</v>
      </c>
      <c r="D787" s="12" t="s">
        <v>4257</v>
      </c>
      <c r="E787" s="12" t="s">
        <v>3509</v>
      </c>
      <c r="F787" s="30">
        <v>44587</v>
      </c>
      <c r="G787" s="12" t="s">
        <v>4609</v>
      </c>
      <c r="H787" s="32">
        <v>0.5</v>
      </c>
      <c r="I787" s="29">
        <v>44587.520833333328</v>
      </c>
      <c r="J787" s="12" t="s">
        <v>3377</v>
      </c>
      <c r="L787" s="12" t="s">
        <v>3299</v>
      </c>
      <c r="M787" s="12" t="s">
        <v>4478</v>
      </c>
      <c r="N787" s="12" t="s">
        <v>4610</v>
      </c>
      <c r="O787" s="12" t="s">
        <v>3381</v>
      </c>
      <c r="P787" s="12" t="s">
        <v>4146</v>
      </c>
      <c r="AE787" s="32">
        <v>0.38194444444525288</v>
      </c>
      <c r="AF787" s="35"/>
    </row>
    <row r="788" spans="1:32" ht="12.75">
      <c r="A788" s="29">
        <v>44588.41543050926</v>
      </c>
      <c r="B788" s="12" t="s">
        <v>4606</v>
      </c>
      <c r="C788" s="12" t="s">
        <v>4061</v>
      </c>
      <c r="D788" s="12" t="s">
        <v>4257</v>
      </c>
      <c r="E788" s="12" t="s">
        <v>3404</v>
      </c>
      <c r="F788" s="30">
        <v>44588</v>
      </c>
      <c r="G788" s="12" t="s">
        <v>4378</v>
      </c>
      <c r="H788" s="32">
        <v>0.52083333333575865</v>
      </c>
      <c r="I788" s="29">
        <v>44588.541666666672</v>
      </c>
      <c r="J788" s="12" t="s">
        <v>3377</v>
      </c>
      <c r="L788" s="12" t="s">
        <v>3299</v>
      </c>
      <c r="M788" s="12" t="s">
        <v>4478</v>
      </c>
      <c r="N788" s="12" t="s">
        <v>4611</v>
      </c>
      <c r="O788" s="12" t="s">
        <v>3381</v>
      </c>
      <c r="P788" s="12" t="s">
        <v>4146</v>
      </c>
      <c r="AE788" s="32">
        <v>0.41666666666424135</v>
      </c>
      <c r="AF788" s="35"/>
    </row>
    <row r="789" spans="1:32" ht="12.75">
      <c r="A789" s="29">
        <v>44589.378215011573</v>
      </c>
      <c r="B789" s="12" t="s">
        <v>3406</v>
      </c>
      <c r="C789" s="12" t="s">
        <v>3400</v>
      </c>
      <c r="D789" s="12" t="s">
        <v>3406</v>
      </c>
      <c r="E789" s="12" t="s">
        <v>4612</v>
      </c>
      <c r="F789" s="30">
        <v>44589</v>
      </c>
      <c r="G789" s="12" t="s">
        <v>4613</v>
      </c>
      <c r="H789" s="32">
        <v>0.625</v>
      </c>
      <c r="J789" s="12" t="s">
        <v>4338</v>
      </c>
      <c r="L789" s="12" t="s">
        <v>4532</v>
      </c>
      <c r="M789" s="12" t="s">
        <v>3458</v>
      </c>
      <c r="N789" s="12" t="s">
        <v>4009</v>
      </c>
      <c r="O789" s="12" t="s">
        <v>3408</v>
      </c>
      <c r="P789" s="12" t="s">
        <v>4146</v>
      </c>
      <c r="AE789" s="32">
        <v>0.44791666666424135</v>
      </c>
      <c r="AF789" s="35"/>
    </row>
    <row r="790" spans="1:32" ht="12.75">
      <c r="A790" s="29">
        <v>44593.342966608798</v>
      </c>
      <c r="B790" s="12" t="s">
        <v>4392</v>
      </c>
      <c r="C790" s="12" t="s">
        <v>4092</v>
      </c>
      <c r="D790" s="12" t="s">
        <v>3417</v>
      </c>
      <c r="E790" s="12" t="s">
        <v>3482</v>
      </c>
      <c r="F790" s="30">
        <v>44593</v>
      </c>
      <c r="G790" s="12" t="s">
        <v>4311</v>
      </c>
      <c r="H790" s="32">
        <v>0.58333333333575865</v>
      </c>
      <c r="I790" s="29">
        <v>44593.614583333328</v>
      </c>
      <c r="J790" s="12" t="s">
        <v>3331</v>
      </c>
      <c r="L790" s="12" t="s">
        <v>3393</v>
      </c>
      <c r="M790" s="12" t="s">
        <v>4614</v>
      </c>
      <c r="O790" s="12" t="s">
        <v>4615</v>
      </c>
      <c r="P790" s="12" t="s">
        <v>4146</v>
      </c>
      <c r="AE790" s="32">
        <v>0.34375</v>
      </c>
      <c r="AF790" s="35"/>
    </row>
    <row r="791" spans="1:32" ht="12.75">
      <c r="A791" s="29">
        <v>44593.496331400464</v>
      </c>
      <c r="B791" s="12" t="s">
        <v>3406</v>
      </c>
      <c r="C791" s="12" t="s">
        <v>3400</v>
      </c>
      <c r="D791" s="12" t="s">
        <v>3406</v>
      </c>
      <c r="E791" s="12" t="s">
        <v>4616</v>
      </c>
      <c r="F791" s="30">
        <v>44593</v>
      </c>
      <c r="G791" s="12" t="s">
        <v>4617</v>
      </c>
      <c r="H791" s="32">
        <v>0.6875</v>
      </c>
      <c r="J791" s="12" t="s">
        <v>4338</v>
      </c>
      <c r="L791" s="12" t="s">
        <v>4532</v>
      </c>
      <c r="M791" s="12" t="s">
        <v>3458</v>
      </c>
      <c r="N791" s="12" t="s">
        <v>4009</v>
      </c>
      <c r="O791" s="12" t="s">
        <v>3408</v>
      </c>
      <c r="P791" s="12" t="s">
        <v>4146</v>
      </c>
      <c r="AE791" s="32">
        <v>5.2083333335758653E-2</v>
      </c>
      <c r="AF791" s="35"/>
    </row>
    <row r="792" spans="1:32" ht="12.75">
      <c r="A792" s="29">
        <v>44599.310425844902</v>
      </c>
      <c r="B792" s="12" t="s">
        <v>4606</v>
      </c>
      <c r="C792" s="12" t="s">
        <v>4061</v>
      </c>
      <c r="D792" s="12" t="s">
        <v>4257</v>
      </c>
      <c r="E792" s="12" t="s">
        <v>4618</v>
      </c>
      <c r="F792" s="30">
        <v>44599</v>
      </c>
      <c r="G792" s="12" t="s">
        <v>4619</v>
      </c>
      <c r="H792" s="32">
        <v>0.44791666666424135</v>
      </c>
      <c r="I792" s="29">
        <v>44599.458333333328</v>
      </c>
      <c r="J792" s="12" t="s">
        <v>3331</v>
      </c>
      <c r="L792" s="12" t="s">
        <v>3299</v>
      </c>
      <c r="M792" s="12" t="s">
        <v>4478</v>
      </c>
      <c r="N792" s="12" t="s">
        <v>4620</v>
      </c>
      <c r="O792" s="12" t="s">
        <v>3381</v>
      </c>
      <c r="P792" s="12" t="s">
        <v>4146</v>
      </c>
      <c r="AE792" s="32">
        <v>0.3125</v>
      </c>
      <c r="AF792" s="35"/>
    </row>
    <row r="793" spans="1:32" ht="12.75">
      <c r="A793" s="29">
        <v>44600.346236875004</v>
      </c>
      <c r="B793" s="12" t="s">
        <v>4606</v>
      </c>
      <c r="C793" s="12" t="s">
        <v>4061</v>
      </c>
      <c r="D793" s="12" t="s">
        <v>4257</v>
      </c>
      <c r="E793" s="12" t="s">
        <v>4621</v>
      </c>
      <c r="F793" s="30">
        <v>44600</v>
      </c>
      <c r="G793" s="12" t="s">
        <v>4622</v>
      </c>
      <c r="H793" s="32">
        <v>0.45833333333575865</v>
      </c>
      <c r="I793" s="29">
        <v>44600.479166666672</v>
      </c>
      <c r="J793" s="12" t="s">
        <v>3377</v>
      </c>
      <c r="L793" s="12" t="s">
        <v>3299</v>
      </c>
      <c r="M793" s="12" t="s">
        <v>4478</v>
      </c>
      <c r="N793" s="12" t="s">
        <v>4623</v>
      </c>
      <c r="O793" s="12" t="s">
        <v>3381</v>
      </c>
      <c r="P793" s="12" t="s">
        <v>4146</v>
      </c>
      <c r="AE793" s="32">
        <v>0.34375</v>
      </c>
      <c r="AF793" s="35"/>
    </row>
    <row r="794" spans="1:32" ht="12.75">
      <c r="A794" s="29">
        <v>44601.355995775462</v>
      </c>
      <c r="B794" s="12" t="s">
        <v>4606</v>
      </c>
      <c r="C794" s="12" t="s">
        <v>4061</v>
      </c>
      <c r="D794" s="12" t="s">
        <v>4257</v>
      </c>
      <c r="E794" s="12" t="s">
        <v>4621</v>
      </c>
      <c r="F794" s="30">
        <v>44601</v>
      </c>
      <c r="G794" s="12" t="s">
        <v>4624</v>
      </c>
      <c r="H794" s="32">
        <v>0.5</v>
      </c>
      <c r="I794" s="29">
        <v>44601.520833333328</v>
      </c>
      <c r="J794" s="12" t="s">
        <v>3331</v>
      </c>
      <c r="L794" s="12" t="s">
        <v>3299</v>
      </c>
      <c r="M794" s="12" t="s">
        <v>4478</v>
      </c>
      <c r="N794" s="12" t="s">
        <v>4625</v>
      </c>
      <c r="O794" s="12" t="s">
        <v>3381</v>
      </c>
      <c r="P794" s="12" t="s">
        <v>4146</v>
      </c>
      <c r="AE794" s="32">
        <v>0.35416666666424135</v>
      </c>
      <c r="AF794" s="35"/>
    </row>
    <row r="795" spans="1:32" ht="12.75">
      <c r="A795" s="29">
        <v>44602.379883148147</v>
      </c>
      <c r="B795" s="12" t="s">
        <v>4606</v>
      </c>
      <c r="C795" s="12" t="s">
        <v>4061</v>
      </c>
      <c r="D795" s="12" t="s">
        <v>4257</v>
      </c>
      <c r="E795" s="12" t="s">
        <v>3418</v>
      </c>
      <c r="F795" s="30">
        <v>44602</v>
      </c>
      <c r="G795" s="12" t="s">
        <v>4622</v>
      </c>
      <c r="H795" s="32">
        <v>0.52083333333575865</v>
      </c>
      <c r="I795" s="29">
        <v>44602.541666666672</v>
      </c>
      <c r="J795" s="12" t="s">
        <v>3331</v>
      </c>
      <c r="L795" s="12" t="s">
        <v>3299</v>
      </c>
      <c r="M795" s="12" t="s">
        <v>4478</v>
      </c>
      <c r="N795" s="12" t="s">
        <v>4626</v>
      </c>
      <c r="O795" s="12" t="s">
        <v>3381</v>
      </c>
      <c r="P795" s="12" t="s">
        <v>4146</v>
      </c>
      <c r="AE795" s="32">
        <v>0.38194444444525288</v>
      </c>
      <c r="AF795" s="35"/>
    </row>
    <row r="796" spans="1:32" ht="12.75">
      <c r="A796" s="29">
        <v>44603.402255543981</v>
      </c>
      <c r="B796" s="12" t="s">
        <v>4606</v>
      </c>
      <c r="C796" s="12" t="s">
        <v>4061</v>
      </c>
      <c r="D796" s="12" t="s">
        <v>4257</v>
      </c>
      <c r="E796" s="12" t="s">
        <v>4621</v>
      </c>
      <c r="F796" s="30">
        <v>44603</v>
      </c>
      <c r="G796" s="12" t="s">
        <v>4622</v>
      </c>
      <c r="H796" s="32">
        <v>0.52083333333575865</v>
      </c>
      <c r="I796" s="29">
        <v>44603.541666666672</v>
      </c>
      <c r="J796" s="12" t="s">
        <v>3331</v>
      </c>
      <c r="L796" s="12" t="s">
        <v>3299</v>
      </c>
      <c r="M796" s="12" t="s">
        <v>4478</v>
      </c>
      <c r="N796" s="12" t="s">
        <v>4627</v>
      </c>
      <c r="O796" s="12" t="s">
        <v>3381</v>
      </c>
      <c r="P796" s="12" t="s">
        <v>4146</v>
      </c>
      <c r="AE796" s="32">
        <v>0.39583333333575865</v>
      </c>
      <c r="AF796" s="35"/>
    </row>
    <row r="797" spans="1:32" ht="12.75">
      <c r="A797" s="29">
        <v>44606.350926180559</v>
      </c>
      <c r="B797" s="12" t="s">
        <v>4457</v>
      </c>
      <c r="C797" s="12" t="s">
        <v>4471</v>
      </c>
      <c r="D797" s="12" t="s">
        <v>4006</v>
      </c>
      <c r="E797" s="12" t="s">
        <v>4506</v>
      </c>
      <c r="F797" s="30">
        <v>44606</v>
      </c>
      <c r="G797" s="12" t="s">
        <v>4583</v>
      </c>
      <c r="H797" s="32">
        <v>0.58333333333575865</v>
      </c>
      <c r="I797" s="29">
        <v>44606.583333333328</v>
      </c>
      <c r="J797" s="12" t="s">
        <v>4338</v>
      </c>
      <c r="L797" s="12" t="s">
        <v>3393</v>
      </c>
      <c r="M797" s="12" t="s">
        <v>4472</v>
      </c>
      <c r="N797" s="12" t="s">
        <v>4628</v>
      </c>
      <c r="O797" s="12" t="s">
        <v>4484</v>
      </c>
      <c r="P797" s="12" t="s">
        <v>4146</v>
      </c>
      <c r="AE797" s="32">
        <v>0.33333333333575865</v>
      </c>
      <c r="AF797" s="35"/>
    </row>
    <row r="798" spans="1:32" ht="12.75">
      <c r="A798" s="29">
        <v>44606.446299895833</v>
      </c>
      <c r="B798" s="12" t="s">
        <v>4604</v>
      </c>
      <c r="C798" s="12" t="s">
        <v>4061</v>
      </c>
      <c r="D798" s="12" t="s">
        <v>4257</v>
      </c>
      <c r="E798" s="12" t="s">
        <v>3862</v>
      </c>
      <c r="F798" s="30">
        <v>44606</v>
      </c>
      <c r="G798" s="12" t="s">
        <v>4629</v>
      </c>
      <c r="H798" s="32">
        <v>0.66666666666424135</v>
      </c>
      <c r="I798" s="29">
        <v>44606.6875</v>
      </c>
      <c r="J798" s="12" t="s">
        <v>3377</v>
      </c>
      <c r="L798" s="12" t="s">
        <v>3299</v>
      </c>
      <c r="M798" s="12" t="s">
        <v>4478</v>
      </c>
      <c r="N798" s="12" t="s">
        <v>4630</v>
      </c>
      <c r="O798" s="12" t="s">
        <v>3381</v>
      </c>
      <c r="P798" s="12" t="s">
        <v>4146</v>
      </c>
      <c r="AE798" s="32">
        <v>0.44444444444525288</v>
      </c>
      <c r="AF798" s="35"/>
    </row>
    <row r="799" spans="1:32" ht="12.75">
      <c r="A799" s="29">
        <v>44606.744802789355</v>
      </c>
      <c r="B799" s="12" t="s">
        <v>3408</v>
      </c>
      <c r="C799" s="12" t="s">
        <v>3400</v>
      </c>
      <c r="D799" s="12" t="s">
        <v>4153</v>
      </c>
      <c r="E799" s="12" t="s">
        <v>4612</v>
      </c>
      <c r="F799" s="30">
        <v>44607</v>
      </c>
      <c r="G799" s="12" t="s">
        <v>4613</v>
      </c>
      <c r="H799" s="32">
        <v>0.625</v>
      </c>
      <c r="J799" s="12" t="s">
        <v>4338</v>
      </c>
      <c r="L799" s="12" t="s">
        <v>4532</v>
      </c>
      <c r="M799" s="12" t="s">
        <v>3458</v>
      </c>
      <c r="N799" s="12" t="s">
        <v>4009</v>
      </c>
      <c r="O799" s="12" t="s">
        <v>3408</v>
      </c>
      <c r="P799" s="12" t="s">
        <v>4146</v>
      </c>
      <c r="AE799" s="32">
        <v>0.45833333333575865</v>
      </c>
      <c r="AF799" s="35"/>
    </row>
    <row r="800" spans="1:32" ht="12.75">
      <c r="A800" s="29">
        <v>44607.483707106483</v>
      </c>
      <c r="B800" s="12" t="s">
        <v>4606</v>
      </c>
      <c r="C800" s="12" t="s">
        <v>4061</v>
      </c>
      <c r="D800" s="12" t="s">
        <v>4257</v>
      </c>
      <c r="E800" s="12" t="s">
        <v>3482</v>
      </c>
      <c r="F800" s="30">
        <v>44607</v>
      </c>
      <c r="G800" s="12" t="s">
        <v>3857</v>
      </c>
      <c r="H800" s="32">
        <v>0.6875</v>
      </c>
      <c r="I800" s="29">
        <v>44607.708333333328</v>
      </c>
      <c r="J800" s="12" t="s">
        <v>3377</v>
      </c>
      <c r="L800" s="12" t="s">
        <v>3299</v>
      </c>
      <c r="M800" s="12" t="s">
        <v>3379</v>
      </c>
      <c r="N800" s="12" t="s">
        <v>4631</v>
      </c>
      <c r="O800" s="12" t="s">
        <v>3381</v>
      </c>
      <c r="P800" s="12" t="s">
        <v>4146</v>
      </c>
      <c r="AE800" s="32">
        <v>0.47916666666424135</v>
      </c>
      <c r="AF800" s="35"/>
    </row>
    <row r="801" spans="1:32" ht="12.75">
      <c r="A801" s="29">
        <v>44607.89533673611</v>
      </c>
      <c r="B801" s="12" t="s">
        <v>3408</v>
      </c>
      <c r="C801" s="12" t="s">
        <v>3400</v>
      </c>
      <c r="D801" s="12" t="s">
        <v>4153</v>
      </c>
      <c r="E801" s="12" t="s">
        <v>4254</v>
      </c>
      <c r="F801" s="30">
        <v>44608</v>
      </c>
      <c r="G801" s="12" t="s">
        <v>4632</v>
      </c>
      <c r="H801" s="32">
        <v>0.625</v>
      </c>
      <c r="J801" s="12" t="s">
        <v>3366</v>
      </c>
      <c r="L801" s="12" t="s">
        <v>4532</v>
      </c>
      <c r="M801" s="12" t="s">
        <v>3458</v>
      </c>
      <c r="N801" s="12" t="s">
        <v>4633</v>
      </c>
      <c r="O801" s="12" t="s">
        <v>3408</v>
      </c>
      <c r="P801" s="12" t="s">
        <v>4146</v>
      </c>
      <c r="AE801" s="32">
        <v>0.39583333333575865</v>
      </c>
      <c r="AF801" s="35"/>
    </row>
    <row r="802" spans="1:32" ht="12.75">
      <c r="A802" s="29">
        <v>44610.483719062497</v>
      </c>
      <c r="B802" s="12" t="s">
        <v>3408</v>
      </c>
      <c r="C802" s="12" t="s">
        <v>3400</v>
      </c>
      <c r="D802" s="12" t="s">
        <v>4153</v>
      </c>
      <c r="E802" s="12" t="s">
        <v>3727</v>
      </c>
      <c r="F802" s="30">
        <v>44610</v>
      </c>
      <c r="G802" s="12" t="s">
        <v>4634</v>
      </c>
      <c r="H802" s="32">
        <v>0.58333333333575865</v>
      </c>
      <c r="J802" s="12" t="s">
        <v>4123</v>
      </c>
      <c r="L802" s="12" t="s">
        <v>4564</v>
      </c>
      <c r="M802" s="12" t="s">
        <v>3458</v>
      </c>
      <c r="N802" s="12" t="s">
        <v>4009</v>
      </c>
      <c r="O802" s="12" t="s">
        <v>3408</v>
      </c>
      <c r="P802" s="12" t="s">
        <v>4146</v>
      </c>
      <c r="AE802" s="32">
        <v>0.54166666666424135</v>
      </c>
      <c r="AF802" s="35"/>
    </row>
    <row r="803" spans="1:32" ht="12.75">
      <c r="A803" s="29">
        <v>44614.209121250002</v>
      </c>
      <c r="B803" s="12" t="s">
        <v>3408</v>
      </c>
      <c r="C803" s="12" t="s">
        <v>4635</v>
      </c>
      <c r="D803" s="12" t="s">
        <v>4153</v>
      </c>
      <c r="E803" s="12" t="s">
        <v>4636</v>
      </c>
      <c r="F803" s="30">
        <v>44614</v>
      </c>
      <c r="G803" s="12" t="s">
        <v>4637</v>
      </c>
      <c r="H803" s="32">
        <v>0.58333333333575865</v>
      </c>
      <c r="J803" s="12" t="s">
        <v>4338</v>
      </c>
      <c r="L803" s="12" t="s">
        <v>4532</v>
      </c>
      <c r="M803" s="12" t="s">
        <v>3458</v>
      </c>
      <c r="N803" s="12" t="s">
        <v>4009</v>
      </c>
      <c r="O803" s="12" t="s">
        <v>3408</v>
      </c>
      <c r="P803" s="12" t="s">
        <v>4146</v>
      </c>
      <c r="AE803" s="32">
        <v>0.375</v>
      </c>
      <c r="AF803" s="35"/>
    </row>
    <row r="804" spans="1:32" ht="12.75">
      <c r="A804" s="29">
        <v>44614.252572546291</v>
      </c>
      <c r="B804" s="12" t="s">
        <v>3417</v>
      </c>
      <c r="C804" s="12" t="s">
        <v>4061</v>
      </c>
      <c r="D804" s="12" t="s">
        <v>4257</v>
      </c>
      <c r="E804" s="12" t="s">
        <v>3296</v>
      </c>
      <c r="F804" s="30">
        <v>44614</v>
      </c>
      <c r="G804" s="12" t="s">
        <v>4638</v>
      </c>
      <c r="H804" s="32">
        <v>0.45833333333575865</v>
      </c>
      <c r="I804" s="29">
        <v>44614.479166666672</v>
      </c>
      <c r="J804" s="12" t="s">
        <v>3377</v>
      </c>
      <c r="L804" s="12" t="s">
        <v>3299</v>
      </c>
      <c r="M804" s="12" t="s">
        <v>4639</v>
      </c>
      <c r="N804" s="12" t="s">
        <v>4640</v>
      </c>
      <c r="O804" s="12" t="s">
        <v>3381</v>
      </c>
      <c r="P804" s="12" t="s">
        <v>4146</v>
      </c>
      <c r="AE804" s="32">
        <v>0.27083333333575865</v>
      </c>
      <c r="AF804" s="35"/>
    </row>
    <row r="805" spans="1:32" ht="12.75">
      <c r="A805" s="29">
        <v>44614.339662615741</v>
      </c>
      <c r="B805" s="12" t="s">
        <v>3390</v>
      </c>
      <c r="C805" s="12" t="s">
        <v>3391</v>
      </c>
      <c r="D805" s="12" t="s">
        <v>4257</v>
      </c>
      <c r="E805" s="12" t="s">
        <v>3834</v>
      </c>
      <c r="F805" s="30">
        <v>44614</v>
      </c>
      <c r="G805" s="12" t="s">
        <v>3465</v>
      </c>
      <c r="H805" s="32">
        <v>0.60416666666424135</v>
      </c>
      <c r="I805" s="29">
        <v>44614.645833333328</v>
      </c>
      <c r="J805" s="12" t="s">
        <v>3331</v>
      </c>
      <c r="L805" s="12" t="s">
        <v>3393</v>
      </c>
      <c r="M805" s="12" t="s">
        <v>3454</v>
      </c>
      <c r="N805" s="12" t="s">
        <v>4641</v>
      </c>
      <c r="O805" s="12" t="s">
        <v>3390</v>
      </c>
      <c r="P805" s="12" t="s">
        <v>4146</v>
      </c>
      <c r="AE805" s="32">
        <v>0.38541666666424135</v>
      </c>
      <c r="AF805" s="35"/>
    </row>
    <row r="806" spans="1:32" ht="12.75">
      <c r="A806" s="29">
        <v>44616.546875752319</v>
      </c>
      <c r="B806" s="12" t="s">
        <v>3408</v>
      </c>
      <c r="C806" s="12" t="s">
        <v>3400</v>
      </c>
      <c r="D806" s="12" t="s">
        <v>4153</v>
      </c>
      <c r="E806" s="12" t="s">
        <v>3509</v>
      </c>
      <c r="F806" s="30">
        <v>44616</v>
      </c>
      <c r="G806" s="12" t="s">
        <v>4642</v>
      </c>
      <c r="H806" s="32">
        <v>0.625</v>
      </c>
      <c r="J806" s="12" t="s">
        <v>4338</v>
      </c>
      <c r="L806" s="12" t="s">
        <v>4532</v>
      </c>
      <c r="M806" s="12" t="s">
        <v>3458</v>
      </c>
      <c r="N806" s="12" t="s">
        <v>4009</v>
      </c>
      <c r="O806" s="12" t="s">
        <v>3408</v>
      </c>
      <c r="P806" s="12" t="s">
        <v>4146</v>
      </c>
      <c r="AE806" s="32">
        <v>0.54166666666424135</v>
      </c>
      <c r="AF806" s="35"/>
    </row>
    <row r="807" spans="1:32" ht="12.75">
      <c r="A807" s="29">
        <v>44621.310653599532</v>
      </c>
      <c r="B807" s="12" t="s">
        <v>4457</v>
      </c>
      <c r="C807" s="12" t="s">
        <v>4471</v>
      </c>
      <c r="D807" s="12" t="s">
        <v>3470</v>
      </c>
      <c r="E807" s="12" t="s">
        <v>4643</v>
      </c>
      <c r="F807" s="30">
        <v>44621</v>
      </c>
      <c r="G807" s="12" t="s">
        <v>4583</v>
      </c>
      <c r="H807" s="32">
        <v>0.58333333333575865</v>
      </c>
      <c r="I807" s="29">
        <v>44621.583333333328</v>
      </c>
      <c r="J807" s="12" t="s">
        <v>4559</v>
      </c>
      <c r="L807" s="12" t="s">
        <v>3299</v>
      </c>
      <c r="M807" s="12" t="s">
        <v>4472</v>
      </c>
      <c r="N807" s="12" t="s">
        <v>4644</v>
      </c>
      <c r="O807" s="12" t="s">
        <v>4457</v>
      </c>
      <c r="P807" s="12" t="s">
        <v>4146</v>
      </c>
      <c r="AE807" s="32">
        <v>0.33333333333575865</v>
      </c>
      <c r="AF807" s="35"/>
    </row>
    <row r="808" spans="1:32" ht="12.75">
      <c r="A808" s="29">
        <v>44621.4274065625</v>
      </c>
      <c r="B808" s="12" t="s">
        <v>3408</v>
      </c>
      <c r="C808" s="12" t="s">
        <v>3400</v>
      </c>
      <c r="D808" s="12" t="s">
        <v>4153</v>
      </c>
      <c r="E808" s="12" t="s">
        <v>4245</v>
      </c>
      <c r="F808" s="30">
        <v>44621</v>
      </c>
      <c r="G808" s="12" t="s">
        <v>4645</v>
      </c>
      <c r="H808" s="32">
        <v>0.70833333333575865</v>
      </c>
      <c r="J808" s="12" t="s">
        <v>3366</v>
      </c>
      <c r="L808" s="12" t="s">
        <v>4532</v>
      </c>
      <c r="M808" s="12" t="s">
        <v>3458</v>
      </c>
      <c r="N808" s="12" t="s">
        <v>4009</v>
      </c>
      <c r="O808" s="12" t="s">
        <v>3408</v>
      </c>
      <c r="P808" s="12" t="s">
        <v>4146</v>
      </c>
      <c r="AE808" s="32">
        <v>0.54166666666424135</v>
      </c>
      <c r="AF808" s="35"/>
    </row>
    <row r="809" spans="1:32" ht="12.75">
      <c r="A809" s="29">
        <v>44621.521516006949</v>
      </c>
      <c r="B809" s="12" t="s">
        <v>4604</v>
      </c>
      <c r="C809" s="12" t="s">
        <v>4061</v>
      </c>
      <c r="D809" s="12" t="s">
        <v>3470</v>
      </c>
      <c r="E809" s="12" t="s">
        <v>4621</v>
      </c>
      <c r="F809" s="30">
        <v>44621</v>
      </c>
      <c r="G809" s="12" t="s">
        <v>4646</v>
      </c>
      <c r="H809" s="32">
        <v>0.64583333333575865</v>
      </c>
      <c r="I809" s="29">
        <v>44621.666666666672</v>
      </c>
      <c r="J809" s="12" t="s">
        <v>3377</v>
      </c>
      <c r="L809" s="12" t="s">
        <v>3393</v>
      </c>
      <c r="M809" s="12" t="s">
        <v>3379</v>
      </c>
      <c r="N809" s="12" t="s">
        <v>4647</v>
      </c>
      <c r="O809" s="12" t="s">
        <v>3381</v>
      </c>
      <c r="P809" s="12" t="s">
        <v>4146</v>
      </c>
      <c r="AE809" s="32">
        <v>0.5</v>
      </c>
      <c r="AF809" s="35"/>
    </row>
    <row r="810" spans="1:32" ht="12.75">
      <c r="A810" s="29">
        <v>44622.336114270831</v>
      </c>
      <c r="B810" s="12" t="s">
        <v>4109</v>
      </c>
      <c r="C810" s="12" t="s">
        <v>4092</v>
      </c>
      <c r="D810" s="12" t="s">
        <v>3390</v>
      </c>
      <c r="E810" s="12" t="s">
        <v>3482</v>
      </c>
      <c r="F810" s="30">
        <v>44622</v>
      </c>
      <c r="G810" s="12" t="s">
        <v>4311</v>
      </c>
      <c r="H810" s="32">
        <v>0.5</v>
      </c>
      <c r="I810" s="29">
        <v>44622.541666666672</v>
      </c>
      <c r="J810" s="12" t="s">
        <v>3377</v>
      </c>
      <c r="L810" s="12" t="s">
        <v>3393</v>
      </c>
      <c r="M810" s="12" t="s">
        <v>4648</v>
      </c>
      <c r="O810" s="12" t="s">
        <v>4649</v>
      </c>
      <c r="P810" s="12" t="s">
        <v>4146</v>
      </c>
      <c r="AE810" s="32">
        <v>0.33333333333575865</v>
      </c>
      <c r="AF810" s="35"/>
    </row>
    <row r="811" spans="1:32" ht="12.75">
      <c r="A811" s="29">
        <v>44622.517562233799</v>
      </c>
      <c r="B811" s="12" t="s">
        <v>4604</v>
      </c>
      <c r="C811" s="12" t="s">
        <v>4061</v>
      </c>
      <c r="D811" s="12" t="s">
        <v>4257</v>
      </c>
      <c r="E811" s="12" t="s">
        <v>3482</v>
      </c>
      <c r="F811" s="30">
        <v>44622</v>
      </c>
      <c r="G811" s="12" t="s">
        <v>4609</v>
      </c>
      <c r="H811" s="32">
        <v>0.66666666666424135</v>
      </c>
      <c r="I811" s="29">
        <v>44622.6875</v>
      </c>
      <c r="J811" s="12" t="s">
        <v>4338</v>
      </c>
      <c r="L811" s="12" t="s">
        <v>3299</v>
      </c>
      <c r="M811" s="12" t="s">
        <v>3379</v>
      </c>
      <c r="N811" s="12" t="s">
        <v>4650</v>
      </c>
      <c r="O811" s="12" t="s">
        <v>3381</v>
      </c>
      <c r="P811" s="12" t="s">
        <v>4146</v>
      </c>
      <c r="AE811" s="32">
        <v>0.52083333333575865</v>
      </c>
      <c r="AF811" s="35"/>
    </row>
    <row r="812" spans="1:32" ht="12.75">
      <c r="A812" s="29">
        <v>44623.574954027776</v>
      </c>
      <c r="B812" s="12" t="s">
        <v>4109</v>
      </c>
      <c r="C812" s="12" t="s">
        <v>4092</v>
      </c>
      <c r="D812" s="12" t="s">
        <v>4257</v>
      </c>
      <c r="E812" s="12" t="s">
        <v>3862</v>
      </c>
      <c r="F812" s="30">
        <v>44623</v>
      </c>
      <c r="G812" s="12" t="s">
        <v>4651</v>
      </c>
      <c r="H812" s="32">
        <v>0.6875</v>
      </c>
      <c r="I812" s="29">
        <v>44623.71875</v>
      </c>
      <c r="J812" s="12" t="s">
        <v>3377</v>
      </c>
      <c r="L812" s="12" t="s">
        <v>3393</v>
      </c>
      <c r="M812" s="12" t="s">
        <v>4478</v>
      </c>
      <c r="N812" s="12" t="s">
        <v>4652</v>
      </c>
      <c r="O812" s="12" t="s">
        <v>4653</v>
      </c>
      <c r="P812" s="12" t="s">
        <v>4146</v>
      </c>
      <c r="AE812" s="32">
        <v>0.5625</v>
      </c>
      <c r="AF812" s="35"/>
    </row>
    <row r="813" spans="1:32" ht="12.75">
      <c r="A813" s="29">
        <v>44627.293520243053</v>
      </c>
      <c r="B813" s="12" t="s">
        <v>4604</v>
      </c>
      <c r="C813" s="12" t="s">
        <v>4061</v>
      </c>
      <c r="D813" s="12" t="s">
        <v>4257</v>
      </c>
      <c r="E813" s="12" t="s">
        <v>4397</v>
      </c>
      <c r="F813" s="30">
        <v>44627</v>
      </c>
      <c r="G813" s="12" t="s">
        <v>4398</v>
      </c>
      <c r="H813" s="32">
        <v>0.45833333333575865</v>
      </c>
      <c r="I813" s="29">
        <v>44627.479166666672</v>
      </c>
      <c r="J813" s="12" t="s">
        <v>3377</v>
      </c>
      <c r="L813" s="12" t="s">
        <v>3393</v>
      </c>
      <c r="M813" s="12" t="s">
        <v>4478</v>
      </c>
      <c r="N813" s="12" t="s">
        <v>4654</v>
      </c>
      <c r="O813" s="12" t="s">
        <v>3381</v>
      </c>
      <c r="P813" s="12" t="s">
        <v>4146</v>
      </c>
      <c r="AE813" s="32">
        <v>0.30208333333575865</v>
      </c>
      <c r="AF813" s="35"/>
    </row>
    <row r="814" spans="1:32" ht="12.75">
      <c r="A814" s="29">
        <v>44628.308746157403</v>
      </c>
      <c r="B814" s="12" t="s">
        <v>3390</v>
      </c>
      <c r="C814" s="12" t="s">
        <v>3391</v>
      </c>
      <c r="D814" s="12" t="s">
        <v>4257</v>
      </c>
      <c r="E814" s="12" t="s">
        <v>3834</v>
      </c>
      <c r="F814" s="30">
        <v>44628</v>
      </c>
      <c r="G814" s="12" t="s">
        <v>3520</v>
      </c>
      <c r="H814" s="32">
        <v>0.5625</v>
      </c>
      <c r="I814" s="29">
        <v>44628.583333333328</v>
      </c>
      <c r="J814" s="12" t="s">
        <v>3377</v>
      </c>
      <c r="L814" s="12" t="s">
        <v>3393</v>
      </c>
      <c r="M814" s="12" t="s">
        <v>4032</v>
      </c>
      <c r="O814" s="12" t="s">
        <v>3390</v>
      </c>
      <c r="P814" s="12" t="s">
        <v>4146</v>
      </c>
      <c r="AE814" s="32">
        <v>0.35416666666424135</v>
      </c>
      <c r="AF814" s="35"/>
    </row>
    <row r="815" spans="1:32" ht="12.75">
      <c r="A815" s="29">
        <v>44629.301524247683</v>
      </c>
      <c r="B815" s="12" t="s">
        <v>4604</v>
      </c>
      <c r="C815" s="12" t="s">
        <v>4061</v>
      </c>
      <c r="D815" s="12" t="s">
        <v>4257</v>
      </c>
      <c r="E815" s="12" t="s">
        <v>4655</v>
      </c>
      <c r="F815" s="30">
        <v>44629</v>
      </c>
      <c r="G815" s="12" t="s">
        <v>4622</v>
      </c>
      <c r="H815" s="32">
        <v>0.44791666666424135</v>
      </c>
      <c r="I815" s="29">
        <v>44629.458333333328</v>
      </c>
      <c r="J815" s="12" t="s">
        <v>3377</v>
      </c>
      <c r="L815" s="12" t="s">
        <v>3393</v>
      </c>
      <c r="M815" s="12" t="s">
        <v>3379</v>
      </c>
      <c r="N815" s="12" t="s">
        <v>4656</v>
      </c>
      <c r="O815" s="12" t="s">
        <v>3381</v>
      </c>
      <c r="P815" s="12" t="s">
        <v>4146</v>
      </c>
      <c r="AE815" s="32">
        <v>0.30208333333575865</v>
      </c>
      <c r="AF815" s="35"/>
    </row>
    <row r="816" spans="1:32" ht="12.75">
      <c r="A816" s="29">
        <v>44631.383468055559</v>
      </c>
      <c r="B816" s="12" t="s">
        <v>4604</v>
      </c>
      <c r="C816" s="12" t="s">
        <v>4061</v>
      </c>
      <c r="D816" s="12" t="s">
        <v>4257</v>
      </c>
      <c r="E816" s="12" t="s">
        <v>4655</v>
      </c>
      <c r="F816" s="30">
        <v>44631</v>
      </c>
      <c r="G816" s="12" t="s">
        <v>4622</v>
      </c>
      <c r="H816" s="32">
        <v>0.45833333333575865</v>
      </c>
      <c r="I816" s="29">
        <v>44631.5</v>
      </c>
      <c r="J816" s="12" t="s">
        <v>3377</v>
      </c>
      <c r="L816" s="12" t="s">
        <v>3393</v>
      </c>
      <c r="M816" s="12" t="s">
        <v>3379</v>
      </c>
      <c r="N816" s="12" t="s">
        <v>4657</v>
      </c>
      <c r="O816" s="12" t="s">
        <v>3381</v>
      </c>
      <c r="P816" s="12" t="s">
        <v>4146</v>
      </c>
      <c r="AE816" s="32">
        <v>0.39583333333575865</v>
      </c>
      <c r="AF816" s="35"/>
    </row>
    <row r="817" spans="1:32" ht="12.75">
      <c r="A817" s="29">
        <v>44631.435759456013</v>
      </c>
      <c r="B817" s="12" t="s">
        <v>4586</v>
      </c>
      <c r="C817" s="12" t="s">
        <v>4658</v>
      </c>
      <c r="D817" s="12" t="s">
        <v>4588</v>
      </c>
      <c r="E817" s="12" t="s">
        <v>4659</v>
      </c>
      <c r="F817" s="30">
        <v>44643</v>
      </c>
      <c r="G817" s="12" t="s">
        <v>4660</v>
      </c>
      <c r="H817" s="32">
        <v>0.48958333333575865</v>
      </c>
      <c r="I817" s="29">
        <v>44643.541666666672</v>
      </c>
      <c r="J817" s="12" t="s">
        <v>3358</v>
      </c>
      <c r="K817" s="12">
        <v>1</v>
      </c>
      <c r="L817" s="12" t="s">
        <v>4661</v>
      </c>
      <c r="M817" s="12" t="s">
        <v>4662</v>
      </c>
      <c r="N817" s="12" t="s">
        <v>4663</v>
      </c>
      <c r="O817" s="12" t="s">
        <v>4586</v>
      </c>
      <c r="P817" s="12" t="s">
        <v>4146</v>
      </c>
      <c r="AC817" s="12" t="s">
        <v>4664</v>
      </c>
      <c r="AD817" s="12" t="s">
        <v>4665</v>
      </c>
      <c r="AE817" s="32">
        <v>0.36458333333575865</v>
      </c>
      <c r="AF817" s="35"/>
    </row>
    <row r="818" spans="1:32" ht="12.75">
      <c r="A818" s="29">
        <v>44634.496969803236</v>
      </c>
      <c r="B818" s="12" t="s">
        <v>4604</v>
      </c>
      <c r="C818" s="12" t="s">
        <v>4061</v>
      </c>
      <c r="D818" s="12" t="s">
        <v>4257</v>
      </c>
      <c r="E818" s="12" t="s">
        <v>4621</v>
      </c>
      <c r="F818" s="30">
        <v>44634</v>
      </c>
      <c r="G818" s="12" t="s">
        <v>4622</v>
      </c>
      <c r="H818" s="32">
        <v>0.6875</v>
      </c>
      <c r="I818" s="29">
        <v>44634.708333333328</v>
      </c>
      <c r="J818" s="12" t="s">
        <v>3377</v>
      </c>
      <c r="L818" s="12" t="s">
        <v>3393</v>
      </c>
      <c r="M818" s="12" t="s">
        <v>4478</v>
      </c>
      <c r="N818" s="12" t="s">
        <v>4666</v>
      </c>
      <c r="O818" s="12" t="s">
        <v>3381</v>
      </c>
      <c r="P818" s="12" t="s">
        <v>4146</v>
      </c>
      <c r="AE818" s="32">
        <v>0.5</v>
      </c>
      <c r="AF818" s="35"/>
    </row>
    <row r="819" spans="1:32" ht="12.75">
      <c r="A819" s="29">
        <v>44635.516609143524</v>
      </c>
      <c r="B819" s="12" t="s">
        <v>4604</v>
      </c>
      <c r="C819" s="12" t="s">
        <v>4061</v>
      </c>
      <c r="D819" s="12" t="s">
        <v>4257</v>
      </c>
      <c r="E819" s="12" t="s">
        <v>3862</v>
      </c>
      <c r="F819" s="30">
        <v>44635</v>
      </c>
      <c r="G819" s="12" t="s">
        <v>3900</v>
      </c>
      <c r="H819" s="32">
        <v>0.6875</v>
      </c>
      <c r="I819" s="29">
        <v>44635.708333333328</v>
      </c>
      <c r="J819" s="12" t="s">
        <v>3377</v>
      </c>
      <c r="L819" s="12" t="s">
        <v>3393</v>
      </c>
      <c r="M819" s="12" t="s">
        <v>4478</v>
      </c>
      <c r="N819" s="12" t="s">
        <v>4667</v>
      </c>
      <c r="O819" s="12" t="s">
        <v>3381</v>
      </c>
      <c r="P819" s="12" t="s">
        <v>4146</v>
      </c>
      <c r="AE819" s="32">
        <v>0.52083333333575865</v>
      </c>
      <c r="AF819" s="35"/>
    </row>
    <row r="820" spans="1:32" ht="12.75">
      <c r="A820" s="29">
        <v>44636.506409317131</v>
      </c>
      <c r="B820" s="12" t="s">
        <v>4604</v>
      </c>
      <c r="C820" s="12" t="s">
        <v>4061</v>
      </c>
      <c r="D820" s="12" t="s">
        <v>4257</v>
      </c>
      <c r="E820" s="12" t="s">
        <v>3618</v>
      </c>
      <c r="F820" s="30">
        <v>44636</v>
      </c>
      <c r="G820" s="12" t="s">
        <v>3419</v>
      </c>
      <c r="H820" s="32">
        <v>0.64583333333575865</v>
      </c>
      <c r="I820" s="29">
        <v>44636.645833333328</v>
      </c>
      <c r="J820" s="12" t="s">
        <v>4668</v>
      </c>
      <c r="K820" s="12">
        <v>1</v>
      </c>
      <c r="L820" s="12" t="s">
        <v>3299</v>
      </c>
      <c r="M820" s="12" t="s">
        <v>4478</v>
      </c>
      <c r="O820" s="12" t="s">
        <v>3381</v>
      </c>
      <c r="P820" s="12" t="s">
        <v>4146</v>
      </c>
      <c r="AE820" s="32">
        <v>0.51041666666424135</v>
      </c>
      <c r="AF820" s="35"/>
    </row>
    <row r="821" spans="1:32" ht="12.75">
      <c r="A821" s="29">
        <v>44637.565635046296</v>
      </c>
      <c r="B821" s="12" t="s">
        <v>4604</v>
      </c>
      <c r="C821" s="12" t="s">
        <v>4061</v>
      </c>
      <c r="D821" s="12" t="s">
        <v>4006</v>
      </c>
      <c r="E821" s="12" t="s">
        <v>3404</v>
      </c>
      <c r="F821" s="30">
        <v>44637</v>
      </c>
      <c r="G821" s="12" t="s">
        <v>4669</v>
      </c>
      <c r="H821" s="32">
        <v>0.72916666666424135</v>
      </c>
      <c r="I821" s="29">
        <v>44637.75</v>
      </c>
      <c r="J821" s="12" t="s">
        <v>3377</v>
      </c>
      <c r="L821" s="12" t="s">
        <v>3393</v>
      </c>
      <c r="M821" s="12" t="s">
        <v>3379</v>
      </c>
      <c r="N821" s="12" t="s">
        <v>4670</v>
      </c>
      <c r="O821" s="12" t="s">
        <v>3381</v>
      </c>
      <c r="P821" s="12" t="s">
        <v>4146</v>
      </c>
      <c r="AE821" s="32">
        <v>0.54166666666424135</v>
      </c>
      <c r="AF821" s="35"/>
    </row>
    <row r="822" spans="1:32" ht="12.75">
      <c r="A822" s="29">
        <v>44638.576308275464</v>
      </c>
      <c r="B822" s="12" t="s">
        <v>4604</v>
      </c>
      <c r="C822" s="12" t="s">
        <v>4061</v>
      </c>
      <c r="D822" s="12" t="s">
        <v>3417</v>
      </c>
      <c r="E822" s="12" t="s">
        <v>4621</v>
      </c>
      <c r="F822" s="30">
        <v>44638</v>
      </c>
      <c r="G822" s="12" t="s">
        <v>4398</v>
      </c>
      <c r="H822" s="32">
        <v>0.70833333333575865</v>
      </c>
      <c r="I822" s="29">
        <v>44638.729166666672</v>
      </c>
      <c r="J822" s="12" t="s">
        <v>3377</v>
      </c>
      <c r="L822" s="12" t="s">
        <v>3393</v>
      </c>
      <c r="M822" s="12" t="s">
        <v>4478</v>
      </c>
      <c r="N822" s="12" t="s">
        <v>4671</v>
      </c>
      <c r="O822" s="12" t="s">
        <v>4392</v>
      </c>
      <c r="P822" s="12" t="s">
        <v>4146</v>
      </c>
      <c r="AE822" s="32">
        <v>0.54166666666424135</v>
      </c>
      <c r="AF822" s="35"/>
    </row>
    <row r="823" spans="1:32" ht="12.75">
      <c r="A823" s="29">
        <v>44642.723503726855</v>
      </c>
      <c r="B823" s="12" t="s">
        <v>3390</v>
      </c>
      <c r="C823" s="12" t="s">
        <v>3391</v>
      </c>
      <c r="D823" s="12" t="s">
        <v>4257</v>
      </c>
      <c r="E823" s="12" t="s">
        <v>3834</v>
      </c>
      <c r="F823" s="30">
        <v>44643</v>
      </c>
      <c r="G823" s="12" t="s">
        <v>3465</v>
      </c>
      <c r="H823" s="32">
        <v>0.57291666666424135</v>
      </c>
      <c r="I823" s="29">
        <v>44643.604166666672</v>
      </c>
      <c r="J823" s="12" t="s">
        <v>3377</v>
      </c>
      <c r="L823" s="12" t="s">
        <v>3393</v>
      </c>
      <c r="M823" s="12" t="s">
        <v>4032</v>
      </c>
      <c r="O823" s="12" t="s">
        <v>3767</v>
      </c>
      <c r="P823" s="12" t="s">
        <v>4146</v>
      </c>
      <c r="AE823" s="32">
        <v>0.375</v>
      </c>
      <c r="AF823" s="35"/>
    </row>
    <row r="824" spans="1:32" ht="12.75">
      <c r="A824" s="29">
        <v>44643.269940335653</v>
      </c>
      <c r="B824" s="12" t="s">
        <v>3408</v>
      </c>
      <c r="C824" s="12" t="s">
        <v>4635</v>
      </c>
      <c r="D824" s="12" t="s">
        <v>4153</v>
      </c>
      <c r="E824" s="12" t="s">
        <v>4254</v>
      </c>
      <c r="F824" s="30">
        <v>44643</v>
      </c>
      <c r="G824" s="12" t="s">
        <v>4057</v>
      </c>
      <c r="H824" s="32">
        <v>0.52083333333575865</v>
      </c>
      <c r="J824" s="12" t="s">
        <v>3366</v>
      </c>
      <c r="L824" s="12" t="s">
        <v>4532</v>
      </c>
      <c r="M824" s="12" t="s">
        <v>3458</v>
      </c>
      <c r="N824" s="12" t="s">
        <v>4009</v>
      </c>
      <c r="O824" s="12" t="s">
        <v>3408</v>
      </c>
      <c r="P824" s="12" t="s">
        <v>4146</v>
      </c>
      <c r="AE824" s="32">
        <v>0.375</v>
      </c>
      <c r="AF824" s="35"/>
    </row>
    <row r="825" spans="1:32" ht="12.75">
      <c r="A825" s="29">
        <v>44648.322380879632</v>
      </c>
      <c r="B825" s="12" t="s">
        <v>4457</v>
      </c>
      <c r="C825" s="12" t="s">
        <v>4471</v>
      </c>
      <c r="D825" s="12" t="s">
        <v>4006</v>
      </c>
      <c r="E825" s="12" t="s">
        <v>4672</v>
      </c>
      <c r="F825" s="30">
        <v>44648</v>
      </c>
      <c r="G825" s="12" t="s">
        <v>4673</v>
      </c>
      <c r="H825" s="32">
        <v>0.4375</v>
      </c>
      <c r="I825" s="29">
        <v>44648.458333333328</v>
      </c>
      <c r="J825" s="12" t="s">
        <v>4338</v>
      </c>
      <c r="L825" s="12" t="s">
        <v>3299</v>
      </c>
      <c r="M825" s="12" t="s">
        <v>4472</v>
      </c>
      <c r="N825" s="12" t="s">
        <v>4674</v>
      </c>
      <c r="O825" s="12" t="s">
        <v>4457</v>
      </c>
      <c r="P825" s="12" t="s">
        <v>4146</v>
      </c>
      <c r="AE825" s="32">
        <v>0.32291666666424135</v>
      </c>
      <c r="AF825" s="35"/>
    </row>
    <row r="826" spans="1:32" ht="12.75">
      <c r="A826" s="29">
        <v>44649.900311817131</v>
      </c>
      <c r="B826" s="12" t="s">
        <v>3408</v>
      </c>
      <c r="C826" s="12" t="s">
        <v>3400</v>
      </c>
      <c r="D826" s="12" t="s">
        <v>4153</v>
      </c>
      <c r="E826" s="12" t="s">
        <v>4254</v>
      </c>
      <c r="F826" s="30">
        <v>44650</v>
      </c>
      <c r="G826" s="12" t="s">
        <v>4675</v>
      </c>
      <c r="H826" s="32">
        <v>0.58333333333575865</v>
      </c>
      <c r="J826" s="12" t="s">
        <v>3366</v>
      </c>
      <c r="L826" s="12" t="s">
        <v>4532</v>
      </c>
      <c r="M826" s="12" t="s">
        <v>3458</v>
      </c>
      <c r="N826" s="12" t="s">
        <v>4009</v>
      </c>
      <c r="O826" s="12" t="s">
        <v>3408</v>
      </c>
      <c r="P826" s="12" t="s">
        <v>4146</v>
      </c>
      <c r="AE826" s="32">
        <v>0.38541666666424135</v>
      </c>
      <c r="AF826" s="35"/>
    </row>
    <row r="827" spans="1:32" ht="12.75">
      <c r="A827" s="29">
        <v>44650.446185081018</v>
      </c>
      <c r="B827" s="12" t="s">
        <v>4604</v>
      </c>
      <c r="C827" s="12" t="s">
        <v>4061</v>
      </c>
      <c r="D827" s="12" t="s">
        <v>3390</v>
      </c>
      <c r="E827" s="12" t="s">
        <v>4296</v>
      </c>
      <c r="F827" s="30">
        <v>44650</v>
      </c>
      <c r="G827" s="12" t="s">
        <v>4676</v>
      </c>
      <c r="H827" s="32">
        <v>0.54166666666424135</v>
      </c>
      <c r="I827" s="29">
        <v>44650.541666666672</v>
      </c>
      <c r="J827" s="12" t="s">
        <v>3331</v>
      </c>
      <c r="L827" s="12" t="s">
        <v>3299</v>
      </c>
      <c r="M827" s="12" t="s">
        <v>4478</v>
      </c>
      <c r="O827" s="12" t="s">
        <v>3381</v>
      </c>
      <c r="P827" s="12" t="s">
        <v>4146</v>
      </c>
      <c r="AE827" s="32">
        <v>0.44444444444525288</v>
      </c>
      <c r="AF827" s="35"/>
    </row>
    <row r="828" spans="1:32" ht="12.75">
      <c r="A828" s="29">
        <v>44650.587727268517</v>
      </c>
      <c r="B828" s="12" t="s">
        <v>4604</v>
      </c>
      <c r="C828" s="12" t="s">
        <v>4061</v>
      </c>
      <c r="D828" s="12" t="s">
        <v>3390</v>
      </c>
      <c r="E828" s="12" t="s">
        <v>3687</v>
      </c>
      <c r="F828" s="30">
        <v>44650</v>
      </c>
      <c r="G828" s="12" t="s">
        <v>4290</v>
      </c>
      <c r="H828" s="32">
        <v>0.625</v>
      </c>
      <c r="I828" s="29">
        <v>44650.625</v>
      </c>
      <c r="J828" s="12" t="s">
        <v>3331</v>
      </c>
      <c r="L828" s="12" t="s">
        <v>3299</v>
      </c>
      <c r="M828" s="12" t="s">
        <v>4478</v>
      </c>
      <c r="O828" s="12" t="s">
        <v>3381</v>
      </c>
      <c r="P828" s="12" t="s">
        <v>4146</v>
      </c>
      <c r="AE828" s="32">
        <v>0.58333333333575865</v>
      </c>
      <c r="AF828" s="35"/>
    </row>
    <row r="829" spans="1:32" ht="12.75">
      <c r="A829" s="29">
        <v>44650.630149641205</v>
      </c>
      <c r="B829" s="12" t="s">
        <v>4604</v>
      </c>
      <c r="C829" s="12" t="s">
        <v>4061</v>
      </c>
      <c r="D829" s="12" t="s">
        <v>3390</v>
      </c>
      <c r="E829" s="12" t="s">
        <v>4100</v>
      </c>
      <c r="F829" s="30">
        <v>44650</v>
      </c>
      <c r="G829" s="12" t="s">
        <v>4677</v>
      </c>
      <c r="H829" s="32">
        <v>0.66666666666424135</v>
      </c>
      <c r="I829" s="29">
        <v>44650.708333333328</v>
      </c>
      <c r="J829" s="12" t="s">
        <v>3331</v>
      </c>
      <c r="L829" s="12" t="s">
        <v>3299</v>
      </c>
      <c r="M829" s="12" t="s">
        <v>4478</v>
      </c>
      <c r="O829" s="12" t="s">
        <v>3381</v>
      </c>
      <c r="P829" s="12" t="s">
        <v>4146</v>
      </c>
      <c r="AE829" s="32">
        <v>0.63541666666424135</v>
      </c>
      <c r="AF829" s="35"/>
    </row>
    <row r="830" spans="1:32" ht="12.75">
      <c r="A830" s="29">
        <v>44652.638418831018</v>
      </c>
      <c r="B830" s="12" t="s">
        <v>4604</v>
      </c>
      <c r="C830" s="12" t="s">
        <v>4061</v>
      </c>
      <c r="D830" s="12" t="s">
        <v>4257</v>
      </c>
      <c r="E830" s="12" t="s">
        <v>3862</v>
      </c>
      <c r="F830" s="30">
        <v>44652</v>
      </c>
      <c r="G830" s="12" t="s">
        <v>4678</v>
      </c>
      <c r="H830" s="32">
        <v>0.75</v>
      </c>
      <c r="I830" s="29">
        <v>44652.770833333328</v>
      </c>
      <c r="J830" s="12" t="s">
        <v>3331</v>
      </c>
      <c r="L830" s="12" t="s">
        <v>3299</v>
      </c>
      <c r="M830" s="12" t="s">
        <v>3379</v>
      </c>
      <c r="N830" s="12" t="s">
        <v>4679</v>
      </c>
      <c r="O830" s="12" t="s">
        <v>3381</v>
      </c>
      <c r="P830" s="12" t="s">
        <v>4146</v>
      </c>
      <c r="AE830" s="32">
        <v>0.58333333333575865</v>
      </c>
      <c r="AF830" s="35"/>
    </row>
    <row r="831" spans="1:32" ht="12.75">
      <c r="A831" s="29">
        <v>44655.208437928246</v>
      </c>
      <c r="B831" s="12" t="s">
        <v>4604</v>
      </c>
      <c r="C831" s="12" t="s">
        <v>4061</v>
      </c>
      <c r="D831" s="12" t="s">
        <v>4257</v>
      </c>
      <c r="E831" s="12" t="s">
        <v>4239</v>
      </c>
      <c r="F831" s="30">
        <v>44655</v>
      </c>
      <c r="G831" s="12" t="s">
        <v>4090</v>
      </c>
      <c r="H831" s="32">
        <v>0.5</v>
      </c>
      <c r="I831" s="29">
        <v>44655.541666666672</v>
      </c>
      <c r="J831" s="12" t="s">
        <v>3331</v>
      </c>
      <c r="L831" s="12" t="s">
        <v>3299</v>
      </c>
      <c r="M831" s="12" t="s">
        <v>3379</v>
      </c>
      <c r="N831" s="12" t="s">
        <v>4680</v>
      </c>
      <c r="O831" s="12" t="s">
        <v>3381</v>
      </c>
      <c r="P831" s="12" t="s">
        <v>4146</v>
      </c>
      <c r="AE831" s="32">
        <v>0.20833333333575865</v>
      </c>
      <c r="AF831" s="35"/>
    </row>
    <row r="832" spans="1:32" ht="12.75">
      <c r="A832" s="29">
        <v>44656.354663865743</v>
      </c>
      <c r="B832" s="12" t="s">
        <v>3390</v>
      </c>
      <c r="C832" s="12" t="s">
        <v>3448</v>
      </c>
      <c r="D832" s="12" t="s">
        <v>4257</v>
      </c>
      <c r="E832" s="12" t="s">
        <v>3834</v>
      </c>
      <c r="F832" s="30">
        <v>44656</v>
      </c>
      <c r="G832" s="12" t="s">
        <v>3465</v>
      </c>
      <c r="H832" s="32">
        <v>0.58333333333575865</v>
      </c>
      <c r="I832" s="29">
        <v>44656.666666666672</v>
      </c>
      <c r="J832" s="12" t="s">
        <v>3331</v>
      </c>
      <c r="L832" s="12" t="s">
        <v>3299</v>
      </c>
      <c r="M832" s="12" t="s">
        <v>4032</v>
      </c>
      <c r="O832" s="12" t="s">
        <v>3390</v>
      </c>
      <c r="P832" s="12" t="s">
        <v>4146</v>
      </c>
      <c r="AE832" s="32">
        <v>0.375</v>
      </c>
      <c r="AF832" s="35"/>
    </row>
    <row r="833" spans="1:32" ht="12.75">
      <c r="A833" s="29">
        <v>44656.38695537037</v>
      </c>
      <c r="B833" s="12" t="s">
        <v>4604</v>
      </c>
      <c r="C833" s="12" t="s">
        <v>4061</v>
      </c>
      <c r="D833" s="12" t="s">
        <v>4257</v>
      </c>
      <c r="E833" s="12" t="s">
        <v>4100</v>
      </c>
      <c r="F833" s="30">
        <v>44656</v>
      </c>
      <c r="G833" s="12" t="s">
        <v>4681</v>
      </c>
      <c r="H833" s="32">
        <v>0.52083333333575865</v>
      </c>
      <c r="I833" s="29">
        <v>44656.541666666672</v>
      </c>
      <c r="J833" s="12" t="s">
        <v>3377</v>
      </c>
      <c r="L833" s="12" t="s">
        <v>3393</v>
      </c>
      <c r="M833" s="12" t="s">
        <v>4478</v>
      </c>
      <c r="O833" s="12" t="s">
        <v>3381</v>
      </c>
      <c r="P833" s="12" t="s">
        <v>4146</v>
      </c>
      <c r="AE833" s="32">
        <v>0.375</v>
      </c>
      <c r="AF833" s="35"/>
    </row>
    <row r="834" spans="1:32" ht="12.75">
      <c r="A834" s="29">
        <v>44657.310490798613</v>
      </c>
      <c r="B834" s="12" t="s">
        <v>4604</v>
      </c>
      <c r="C834" s="12" t="s">
        <v>4061</v>
      </c>
      <c r="D834" s="12" t="s">
        <v>4257</v>
      </c>
      <c r="E834" s="12" t="s">
        <v>4397</v>
      </c>
      <c r="F834" s="30">
        <v>44657</v>
      </c>
      <c r="G834" s="12" t="s">
        <v>4398</v>
      </c>
      <c r="H834" s="32">
        <v>0.41666666666424135</v>
      </c>
      <c r="I834" s="29">
        <v>44657.4375</v>
      </c>
      <c r="J834" s="12" t="s">
        <v>3331</v>
      </c>
      <c r="L834" s="12" t="s">
        <v>3299</v>
      </c>
      <c r="M834" s="12" t="s">
        <v>3379</v>
      </c>
      <c r="N834" s="12" t="s">
        <v>4540</v>
      </c>
      <c r="O834" s="12" t="s">
        <v>3381</v>
      </c>
      <c r="P834" s="12" t="s">
        <v>4146</v>
      </c>
      <c r="AE834" s="32">
        <v>0.30208333333575865</v>
      </c>
      <c r="AF834" s="35"/>
    </row>
    <row r="835" spans="1:32" ht="12.75">
      <c r="A835" s="29">
        <v>44659.337082881946</v>
      </c>
      <c r="B835" s="12" t="s">
        <v>4109</v>
      </c>
      <c r="C835" s="12" t="s">
        <v>4092</v>
      </c>
      <c r="D835" s="12" t="s">
        <v>3417</v>
      </c>
      <c r="E835" s="12" t="s">
        <v>4682</v>
      </c>
      <c r="F835" s="30">
        <v>44659</v>
      </c>
      <c r="G835" s="12" t="s">
        <v>4332</v>
      </c>
      <c r="H835" s="32">
        <v>0.375</v>
      </c>
      <c r="I835" s="29">
        <v>44659.666666666672</v>
      </c>
      <c r="J835" s="12" t="s">
        <v>3377</v>
      </c>
      <c r="L835" s="12" t="s">
        <v>3393</v>
      </c>
      <c r="M835" s="12" t="s">
        <v>4124</v>
      </c>
      <c r="N835" s="12" t="s">
        <v>4683</v>
      </c>
      <c r="O835" s="12" t="s">
        <v>4684</v>
      </c>
      <c r="P835" s="12" t="s">
        <v>4146</v>
      </c>
      <c r="AE835" s="32">
        <v>0.33333333333575865</v>
      </c>
      <c r="AF835" s="35"/>
    </row>
    <row r="836" spans="1:32" ht="12.75">
      <c r="A836" s="29">
        <v>44659.471547557871</v>
      </c>
      <c r="B836" s="12" t="s">
        <v>4109</v>
      </c>
      <c r="C836" s="12" t="s">
        <v>4685</v>
      </c>
      <c r="D836" s="12" t="s">
        <v>4257</v>
      </c>
      <c r="E836" s="12" t="s">
        <v>4115</v>
      </c>
      <c r="F836" s="30">
        <v>44659</v>
      </c>
      <c r="G836" s="12" t="s">
        <v>4089</v>
      </c>
      <c r="H836" s="32">
        <v>0.58333333333575865</v>
      </c>
      <c r="I836" s="29">
        <v>44659.666666666672</v>
      </c>
      <c r="J836" s="12" t="s">
        <v>3377</v>
      </c>
      <c r="L836" s="12" t="s">
        <v>3393</v>
      </c>
      <c r="M836" s="12" t="s">
        <v>4478</v>
      </c>
      <c r="N836" s="12" t="s">
        <v>4686</v>
      </c>
      <c r="O836" s="12" t="s">
        <v>4067</v>
      </c>
      <c r="P836" s="12" t="s">
        <v>4146</v>
      </c>
      <c r="AE836" s="32">
        <v>0.46875</v>
      </c>
      <c r="AF836" s="35"/>
    </row>
    <row r="837" spans="1:32" ht="12.75">
      <c r="A837" s="29">
        <v>44662.457894722218</v>
      </c>
      <c r="B837" s="12" t="s">
        <v>3408</v>
      </c>
      <c r="C837" s="12" t="s">
        <v>3400</v>
      </c>
      <c r="D837" s="12" t="s">
        <v>4153</v>
      </c>
      <c r="E837" s="12" t="s">
        <v>4265</v>
      </c>
      <c r="F837" s="30">
        <v>44662</v>
      </c>
      <c r="G837" s="12" t="s">
        <v>4687</v>
      </c>
      <c r="H837" s="32">
        <v>0.625</v>
      </c>
      <c r="J837" s="12" t="s">
        <v>3366</v>
      </c>
      <c r="L837" s="12" t="s">
        <v>4532</v>
      </c>
      <c r="M837" s="12" t="s">
        <v>3458</v>
      </c>
      <c r="N837" s="12" t="s">
        <v>4009</v>
      </c>
      <c r="O837" s="12" t="s">
        <v>3408</v>
      </c>
      <c r="P837" s="12" t="s">
        <v>4146</v>
      </c>
      <c r="AE837" s="32">
        <v>0.45833333333575865</v>
      </c>
      <c r="AF837" s="35"/>
    </row>
    <row r="838" spans="1:32" ht="12.75">
      <c r="A838" s="29">
        <v>44663.307941203704</v>
      </c>
      <c r="B838" s="12" t="s">
        <v>4457</v>
      </c>
      <c r="C838" s="12" t="s">
        <v>4471</v>
      </c>
      <c r="D838" s="12" t="s">
        <v>3470</v>
      </c>
      <c r="E838" s="12" t="s">
        <v>4482</v>
      </c>
      <c r="F838" s="30">
        <v>44663</v>
      </c>
      <c r="G838" s="12" t="s">
        <v>4506</v>
      </c>
      <c r="H838" s="32">
        <v>0.48611111110949423</v>
      </c>
      <c r="I838" s="29">
        <v>44663.5</v>
      </c>
      <c r="J838" s="12" t="s">
        <v>4688</v>
      </c>
      <c r="L838" s="12" t="s">
        <v>3299</v>
      </c>
      <c r="M838" s="12" t="s">
        <v>4472</v>
      </c>
      <c r="N838" s="12" t="s">
        <v>4689</v>
      </c>
      <c r="O838" s="12" t="s">
        <v>4457</v>
      </c>
      <c r="P838" s="12" t="s">
        <v>4146</v>
      </c>
      <c r="AE838" s="32">
        <v>0.30208333333575865</v>
      </c>
      <c r="AF838" s="35"/>
    </row>
    <row r="839" spans="1:32" ht="12.75">
      <c r="A839" s="29">
        <v>44663.393259108794</v>
      </c>
      <c r="B839" s="12" t="s">
        <v>4604</v>
      </c>
      <c r="C839" s="12" t="s">
        <v>4061</v>
      </c>
      <c r="D839" s="12" t="s">
        <v>4257</v>
      </c>
      <c r="E839" s="12" t="s">
        <v>4690</v>
      </c>
      <c r="F839" s="30">
        <v>44663</v>
      </c>
      <c r="G839" s="12" t="s">
        <v>4691</v>
      </c>
      <c r="H839" s="32">
        <v>0.58333333333575865</v>
      </c>
      <c r="I839" s="29">
        <v>44663.625</v>
      </c>
      <c r="J839" s="12" t="s">
        <v>3377</v>
      </c>
      <c r="L839" s="12" t="s">
        <v>3393</v>
      </c>
      <c r="M839" s="12" t="s">
        <v>3379</v>
      </c>
      <c r="N839" s="12" t="s">
        <v>4430</v>
      </c>
      <c r="O839" s="12" t="s">
        <v>3381</v>
      </c>
      <c r="P839" s="12" t="s">
        <v>4146</v>
      </c>
      <c r="AE839" s="32">
        <v>0.39583333333575865</v>
      </c>
      <c r="AF839" s="35"/>
    </row>
    <row r="840" spans="1:32" ht="12.75">
      <c r="A840" s="29">
        <v>44663.47744253472</v>
      </c>
      <c r="B840" s="12" t="s">
        <v>4104</v>
      </c>
      <c r="C840" s="12" t="s">
        <v>3400</v>
      </c>
      <c r="D840" s="12" t="s">
        <v>4153</v>
      </c>
      <c r="E840" s="12" t="s">
        <v>4612</v>
      </c>
      <c r="F840" s="30">
        <v>45028</v>
      </c>
      <c r="G840" s="12" t="s">
        <v>4692</v>
      </c>
      <c r="H840" s="32">
        <v>0.60416666666424135</v>
      </c>
      <c r="J840" s="12" t="s">
        <v>3366</v>
      </c>
      <c r="L840" s="12" t="s">
        <v>4532</v>
      </c>
      <c r="M840" s="12" t="s">
        <v>3458</v>
      </c>
      <c r="N840" s="12" t="s">
        <v>4009</v>
      </c>
      <c r="O840" s="12" t="s">
        <v>3408</v>
      </c>
      <c r="P840" s="12" t="s">
        <v>4146</v>
      </c>
      <c r="AE840" s="32">
        <v>0.45833333333575865</v>
      </c>
      <c r="AF840" s="35"/>
    </row>
    <row r="841" spans="1:32" ht="12.75">
      <c r="A841" s="29">
        <v>44664.297609097222</v>
      </c>
      <c r="B841" s="12" t="s">
        <v>3470</v>
      </c>
      <c r="C841" s="12" t="s">
        <v>3683</v>
      </c>
      <c r="D841" s="12" t="s">
        <v>4257</v>
      </c>
      <c r="E841" s="12" t="s">
        <v>3482</v>
      </c>
      <c r="F841" s="30">
        <v>44664</v>
      </c>
      <c r="G841" s="12" t="s">
        <v>4693</v>
      </c>
      <c r="H841" s="32">
        <v>0.5625</v>
      </c>
      <c r="I841" s="29">
        <v>44664.583333333328</v>
      </c>
      <c r="J841" s="12" t="s">
        <v>3377</v>
      </c>
      <c r="L841" s="12" t="s">
        <v>3393</v>
      </c>
      <c r="M841" s="12" t="s">
        <v>4694</v>
      </c>
      <c r="O841" s="12" t="s">
        <v>3475</v>
      </c>
      <c r="P841" s="12" t="s">
        <v>4146</v>
      </c>
      <c r="AE841" s="32">
        <v>0.30555555555474712</v>
      </c>
      <c r="AF841" s="35"/>
    </row>
    <row r="842" spans="1:32" ht="12.75">
      <c r="A842" s="29">
        <v>44664.424411319444</v>
      </c>
      <c r="B842" s="12" t="s">
        <v>3408</v>
      </c>
      <c r="C842" s="12" t="s">
        <v>3400</v>
      </c>
      <c r="D842" s="12" t="s">
        <v>3679</v>
      </c>
      <c r="E842" s="12" t="s">
        <v>4695</v>
      </c>
      <c r="F842" s="30">
        <v>44664</v>
      </c>
      <c r="G842" s="12" t="s">
        <v>4057</v>
      </c>
      <c r="H842" s="32">
        <v>4.1666666664241347E-2</v>
      </c>
      <c r="J842" s="12" t="s">
        <v>3366</v>
      </c>
      <c r="L842" s="12" t="s">
        <v>4532</v>
      </c>
      <c r="M842" s="12" t="s">
        <v>3458</v>
      </c>
      <c r="N842" s="12" t="s">
        <v>4633</v>
      </c>
      <c r="O842" s="12" t="s">
        <v>4104</v>
      </c>
      <c r="P842" s="12" t="s">
        <v>4146</v>
      </c>
      <c r="AE842" s="32">
        <v>0.41666666666424135</v>
      </c>
      <c r="AF842" s="35"/>
    </row>
    <row r="843" spans="1:32" ht="12.75">
      <c r="A843" s="29">
        <v>44665.536205960649</v>
      </c>
      <c r="B843" s="12" t="s">
        <v>4604</v>
      </c>
      <c r="C843" s="12" t="s">
        <v>4061</v>
      </c>
      <c r="D843" s="12" t="s">
        <v>4257</v>
      </c>
      <c r="E843" s="12" t="s">
        <v>3862</v>
      </c>
      <c r="F843" s="30">
        <v>44665</v>
      </c>
      <c r="G843" s="12" t="s">
        <v>4544</v>
      </c>
      <c r="H843" s="32">
        <v>0.70833333333575865</v>
      </c>
      <c r="I843" s="29">
        <v>44665.729166666672</v>
      </c>
      <c r="J843" s="12" t="s">
        <v>3331</v>
      </c>
      <c r="L843" s="12" t="s">
        <v>3299</v>
      </c>
      <c r="M843" s="12" t="s">
        <v>4478</v>
      </c>
      <c r="N843" s="12" t="s">
        <v>4696</v>
      </c>
      <c r="O843" s="12" t="s">
        <v>3381</v>
      </c>
      <c r="P843" s="12" t="s">
        <v>4146</v>
      </c>
      <c r="AE843" s="32">
        <v>0.53472222221898846</v>
      </c>
      <c r="AF843" s="35"/>
    </row>
    <row r="844" spans="1:32" ht="12.75">
      <c r="A844" s="29">
        <v>44669.298235381946</v>
      </c>
      <c r="B844" s="12" t="s">
        <v>4604</v>
      </c>
      <c r="C844" s="12" t="s">
        <v>4061</v>
      </c>
      <c r="D844" s="12" t="s">
        <v>4257</v>
      </c>
      <c r="E844" s="12" t="s">
        <v>3710</v>
      </c>
      <c r="F844" s="30">
        <v>44669</v>
      </c>
      <c r="G844" s="12" t="s">
        <v>4443</v>
      </c>
      <c r="H844" s="32">
        <v>0.5</v>
      </c>
      <c r="I844" s="29">
        <v>44669.520833333328</v>
      </c>
      <c r="J844" s="12" t="s">
        <v>3331</v>
      </c>
      <c r="L844" s="12" t="s">
        <v>3299</v>
      </c>
      <c r="M844" s="12" t="s">
        <v>3379</v>
      </c>
      <c r="N844" s="12" t="s">
        <v>4697</v>
      </c>
      <c r="O844" s="12" t="s">
        <v>3381</v>
      </c>
      <c r="P844" s="12" t="s">
        <v>4146</v>
      </c>
      <c r="AE844" s="32">
        <v>0.29166666666424135</v>
      </c>
      <c r="AF844" s="35"/>
    </row>
    <row r="845" spans="1:32" ht="12.75">
      <c r="A845" s="29">
        <v>44670.298551608794</v>
      </c>
      <c r="B845" s="12" t="s">
        <v>4604</v>
      </c>
      <c r="C845" s="12" t="s">
        <v>4061</v>
      </c>
      <c r="D845" s="12" t="s">
        <v>4257</v>
      </c>
      <c r="E845" s="12" t="s">
        <v>4698</v>
      </c>
      <c r="F845" s="30">
        <v>44670</v>
      </c>
      <c r="G845" s="12" t="s">
        <v>4699</v>
      </c>
      <c r="H845" s="32">
        <v>0.5</v>
      </c>
      <c r="I845" s="29">
        <v>44670.541666666672</v>
      </c>
      <c r="J845" s="12" t="s">
        <v>3331</v>
      </c>
      <c r="L845" s="12" t="s">
        <v>3299</v>
      </c>
      <c r="M845" s="12" t="s">
        <v>3379</v>
      </c>
      <c r="N845" s="12" t="s">
        <v>4700</v>
      </c>
      <c r="O845" s="12" t="s">
        <v>4701</v>
      </c>
      <c r="P845" s="12" t="s">
        <v>4146</v>
      </c>
      <c r="AE845" s="32">
        <v>0.29166666666424135</v>
      </c>
      <c r="AF845" s="35"/>
    </row>
    <row r="846" spans="1:32" ht="12.75">
      <c r="A846" s="29">
        <v>44671.376869236112</v>
      </c>
      <c r="B846" s="12" t="s">
        <v>4604</v>
      </c>
      <c r="C846" s="12" t="s">
        <v>4061</v>
      </c>
      <c r="D846" s="12" t="s">
        <v>4257</v>
      </c>
      <c r="E846" s="12" t="s">
        <v>3467</v>
      </c>
      <c r="F846" s="30">
        <v>44671</v>
      </c>
      <c r="G846" s="12" t="s">
        <v>4090</v>
      </c>
      <c r="H846" s="32">
        <v>0.58333333333575865</v>
      </c>
      <c r="I846" s="29">
        <v>44671.625</v>
      </c>
      <c r="J846" s="12" t="s">
        <v>4668</v>
      </c>
      <c r="K846" s="12">
        <v>3</v>
      </c>
      <c r="L846" s="12" t="s">
        <v>3299</v>
      </c>
      <c r="M846" s="12" t="s">
        <v>4702</v>
      </c>
      <c r="N846" s="12" t="s">
        <v>4034</v>
      </c>
      <c r="O846" s="12" t="s">
        <v>3381</v>
      </c>
      <c r="P846" s="12" t="s">
        <v>4146</v>
      </c>
      <c r="AE846" s="32">
        <v>0.33333333333575865</v>
      </c>
      <c r="AF846" s="35"/>
    </row>
    <row r="847" spans="1:32" ht="12.75">
      <c r="A847" s="29">
        <v>44671.380565925923</v>
      </c>
      <c r="B847" s="12" t="s">
        <v>3390</v>
      </c>
      <c r="C847" s="12" t="s">
        <v>3391</v>
      </c>
      <c r="D847" s="12" t="s">
        <v>4257</v>
      </c>
      <c r="E847" s="12" t="s">
        <v>3834</v>
      </c>
      <c r="F847" s="30">
        <v>44671</v>
      </c>
      <c r="G847" s="12" t="s">
        <v>3465</v>
      </c>
      <c r="H847" s="32">
        <v>0.61458333333575865</v>
      </c>
      <c r="I847" s="29">
        <v>44671.635416666672</v>
      </c>
      <c r="J847" s="12" t="s">
        <v>3331</v>
      </c>
      <c r="L847" s="12" t="s">
        <v>3393</v>
      </c>
      <c r="M847" s="12" t="s">
        <v>4366</v>
      </c>
      <c r="O847" s="12" t="s">
        <v>3390</v>
      </c>
      <c r="P847" s="12" t="s">
        <v>4146</v>
      </c>
      <c r="AE847" s="32">
        <v>0.41666666666424135</v>
      </c>
      <c r="AF847" s="35"/>
    </row>
    <row r="848" spans="1:32" ht="12.75">
      <c r="A848" s="29">
        <v>44672.330273391199</v>
      </c>
      <c r="B848" s="12" t="s">
        <v>4604</v>
      </c>
      <c r="C848" s="12" t="s">
        <v>4061</v>
      </c>
      <c r="D848" s="12" t="s">
        <v>4257</v>
      </c>
      <c r="E848" s="12" t="s">
        <v>4410</v>
      </c>
      <c r="F848" s="30">
        <v>44672</v>
      </c>
      <c r="G848" s="12" t="s">
        <v>4703</v>
      </c>
      <c r="H848" s="32">
        <v>0.58333333333575865</v>
      </c>
      <c r="I848" s="29">
        <v>44672.625</v>
      </c>
      <c r="J848" s="12" t="s">
        <v>3331</v>
      </c>
      <c r="L848" s="12" t="s">
        <v>3299</v>
      </c>
      <c r="M848" s="12" t="s">
        <v>3379</v>
      </c>
      <c r="N848" s="12" t="s">
        <v>4704</v>
      </c>
      <c r="O848" s="12" t="s">
        <v>3381</v>
      </c>
      <c r="P848" s="12" t="s">
        <v>4146</v>
      </c>
      <c r="AE848" s="32">
        <v>0.32638888889050577</v>
      </c>
      <c r="AF848" s="35"/>
    </row>
    <row r="849" spans="1:32" ht="12.75">
      <c r="A849" s="29">
        <v>44673.362066122689</v>
      </c>
      <c r="B849" s="12" t="s">
        <v>4604</v>
      </c>
      <c r="C849" s="12" t="s">
        <v>4061</v>
      </c>
      <c r="D849" s="12" t="s">
        <v>3470</v>
      </c>
      <c r="E849" s="12" t="s">
        <v>4296</v>
      </c>
      <c r="F849" s="30">
        <v>44673</v>
      </c>
      <c r="G849" s="12" t="s">
        <v>4385</v>
      </c>
      <c r="H849" s="32">
        <v>0.58333333333575865</v>
      </c>
      <c r="I849" s="29">
        <v>44673.625</v>
      </c>
      <c r="J849" s="12" t="s">
        <v>3377</v>
      </c>
      <c r="L849" s="12" t="s">
        <v>3393</v>
      </c>
      <c r="M849" s="12" t="s">
        <v>4705</v>
      </c>
      <c r="N849" s="12" t="s">
        <v>4706</v>
      </c>
      <c r="O849" s="12" t="s">
        <v>4701</v>
      </c>
      <c r="P849" s="12" t="s">
        <v>4146</v>
      </c>
      <c r="AE849" s="32">
        <v>0.35416666666424135</v>
      </c>
      <c r="AF849" s="35"/>
    </row>
    <row r="850" spans="1:32" ht="12.75">
      <c r="A850" s="29">
        <v>44677.420465127318</v>
      </c>
      <c r="B850" s="12" t="s">
        <v>3408</v>
      </c>
      <c r="C850" s="12" t="s">
        <v>3400</v>
      </c>
      <c r="D850" s="12" t="s">
        <v>4153</v>
      </c>
      <c r="E850" s="12" t="s">
        <v>3356</v>
      </c>
      <c r="F850" s="30">
        <v>44677</v>
      </c>
      <c r="G850" s="12" t="s">
        <v>3357</v>
      </c>
      <c r="H850" s="32">
        <v>0.625</v>
      </c>
      <c r="J850" s="12" t="s">
        <v>4338</v>
      </c>
      <c r="L850" s="12" t="s">
        <v>4532</v>
      </c>
      <c r="M850" s="12" t="s">
        <v>3458</v>
      </c>
      <c r="N850" s="12" t="s">
        <v>4633</v>
      </c>
      <c r="O850" s="12" t="s">
        <v>3408</v>
      </c>
      <c r="P850" s="12" t="s">
        <v>4146</v>
      </c>
      <c r="AE850" s="32">
        <v>0.42708333333575865</v>
      </c>
      <c r="AF850" s="35"/>
    </row>
    <row r="851" spans="1:32" ht="12.75">
      <c r="A851" s="29">
        <v>44679.257802164357</v>
      </c>
      <c r="B851" s="12" t="s">
        <v>3408</v>
      </c>
      <c r="C851" s="12" t="s">
        <v>3400</v>
      </c>
      <c r="D851" s="12" t="s">
        <v>4153</v>
      </c>
      <c r="E851" s="12" t="s">
        <v>4707</v>
      </c>
      <c r="F851" s="30">
        <v>44679</v>
      </c>
      <c r="G851" s="12" t="s">
        <v>4637</v>
      </c>
      <c r="H851" s="32">
        <v>0.58333333333575865</v>
      </c>
      <c r="J851" s="12" t="s">
        <v>4338</v>
      </c>
      <c r="L851" s="12" t="s">
        <v>4532</v>
      </c>
      <c r="M851" s="12" t="s">
        <v>3458</v>
      </c>
      <c r="N851" s="12" t="s">
        <v>4009</v>
      </c>
      <c r="O851" s="12" t="s">
        <v>3408</v>
      </c>
      <c r="P851" s="12" t="s">
        <v>4146</v>
      </c>
      <c r="AE851" s="32">
        <v>0.39583333333575865</v>
      </c>
      <c r="AF851" s="35"/>
    </row>
    <row r="852" spans="1:32" ht="12.75">
      <c r="A852" s="29">
        <v>44679.60030012732</v>
      </c>
      <c r="B852" s="12" t="s">
        <v>4604</v>
      </c>
      <c r="C852" s="12" t="s">
        <v>4061</v>
      </c>
      <c r="D852" s="12" t="s">
        <v>3417</v>
      </c>
      <c r="E852" s="12" t="s">
        <v>4100</v>
      </c>
      <c r="F852" s="30">
        <v>44679</v>
      </c>
      <c r="G852" s="12" t="s">
        <v>4554</v>
      </c>
      <c r="H852" s="32">
        <v>0.66666666666424135</v>
      </c>
      <c r="I852" s="29">
        <v>44679.708333333328</v>
      </c>
      <c r="J852" s="12" t="s">
        <v>3331</v>
      </c>
      <c r="L852" s="12" t="s">
        <v>3299</v>
      </c>
      <c r="M852" s="12" t="s">
        <v>3379</v>
      </c>
      <c r="N852" s="12" t="s">
        <v>4448</v>
      </c>
      <c r="O852" s="12" t="s">
        <v>3381</v>
      </c>
      <c r="P852" s="12" t="s">
        <v>4146</v>
      </c>
      <c r="AE852" s="32">
        <v>0.59375</v>
      </c>
      <c r="AF852" s="35"/>
    </row>
    <row r="853" spans="1:32" ht="12.75">
      <c r="A853" s="29">
        <v>44680.413911041665</v>
      </c>
      <c r="B853" s="12" t="s">
        <v>4384</v>
      </c>
      <c r="C853" s="12" t="s">
        <v>4708</v>
      </c>
      <c r="D853" s="12" t="s">
        <v>4153</v>
      </c>
      <c r="E853" s="12" t="s">
        <v>3509</v>
      </c>
      <c r="F853" s="30">
        <v>44680</v>
      </c>
      <c r="G853" s="12" t="s">
        <v>3900</v>
      </c>
      <c r="H853" s="32">
        <v>0.58333333333575865</v>
      </c>
      <c r="I853" s="29">
        <v>44680.614583333328</v>
      </c>
      <c r="J853" s="12" t="s">
        <v>3377</v>
      </c>
      <c r="L853" s="12" t="s">
        <v>4564</v>
      </c>
      <c r="M853" s="12" t="s">
        <v>3458</v>
      </c>
      <c r="N853" s="12" t="s">
        <v>4709</v>
      </c>
      <c r="O853" s="12" t="s">
        <v>3406</v>
      </c>
      <c r="P853" s="12" t="s">
        <v>4146</v>
      </c>
      <c r="AC853" s="12" t="s">
        <v>4039</v>
      </c>
      <c r="AD853" s="12" t="s">
        <v>4039</v>
      </c>
      <c r="AE853" s="32">
        <v>0.4375</v>
      </c>
      <c r="AF853" s="35"/>
    </row>
    <row r="854" spans="1:32" ht="12.75">
      <c r="A854" s="29">
        <v>44683.443165347227</v>
      </c>
      <c r="B854" s="12" t="s">
        <v>3564</v>
      </c>
      <c r="C854" s="12" t="s">
        <v>3565</v>
      </c>
      <c r="D854" s="12" t="s">
        <v>4257</v>
      </c>
      <c r="E854" s="12" t="s">
        <v>3482</v>
      </c>
      <c r="F854" s="30">
        <v>44683</v>
      </c>
      <c r="G854" s="12" t="s">
        <v>4710</v>
      </c>
      <c r="H854" s="32">
        <v>0.60416666666424135</v>
      </c>
      <c r="I854" s="29">
        <v>44683.625</v>
      </c>
      <c r="J854" s="12" t="s">
        <v>4123</v>
      </c>
      <c r="L854" s="12" t="s">
        <v>3393</v>
      </c>
      <c r="M854" s="12" t="s">
        <v>4711</v>
      </c>
      <c r="O854" s="12" t="s">
        <v>4145</v>
      </c>
      <c r="P854" s="12" t="s">
        <v>4146</v>
      </c>
      <c r="AE854" s="32">
        <v>0.4375</v>
      </c>
      <c r="AF854" s="35"/>
    </row>
    <row r="855" spans="1:32" ht="12.75">
      <c r="A855" s="29">
        <v>44685.297163622687</v>
      </c>
      <c r="B855" s="12" t="s">
        <v>3390</v>
      </c>
      <c r="C855" s="12" t="s">
        <v>3391</v>
      </c>
      <c r="D855" s="12" t="s">
        <v>3470</v>
      </c>
      <c r="E855" s="12" t="s">
        <v>3834</v>
      </c>
      <c r="F855" s="30">
        <v>44685</v>
      </c>
      <c r="G855" s="12" t="s">
        <v>3465</v>
      </c>
      <c r="H855" s="32">
        <v>0.52083333333575865</v>
      </c>
      <c r="I855" s="29">
        <v>44685.541666666672</v>
      </c>
      <c r="J855" s="12" t="s">
        <v>3377</v>
      </c>
      <c r="L855" s="12" t="s">
        <v>3393</v>
      </c>
      <c r="M855" s="12" t="s">
        <v>4032</v>
      </c>
      <c r="N855" s="12" t="s">
        <v>4712</v>
      </c>
      <c r="O855" s="12" t="s">
        <v>3390</v>
      </c>
      <c r="P855" s="12" t="s">
        <v>4146</v>
      </c>
      <c r="AE855" s="32">
        <v>0.3125</v>
      </c>
      <c r="AF855" s="35"/>
    </row>
    <row r="856" spans="1:32" ht="12.75">
      <c r="A856" s="29">
        <v>44686.359791585652</v>
      </c>
      <c r="B856" s="12" t="s">
        <v>3390</v>
      </c>
      <c r="C856" s="12" t="s">
        <v>3391</v>
      </c>
      <c r="D856" s="12" t="s">
        <v>3470</v>
      </c>
      <c r="E856" s="12" t="s">
        <v>3834</v>
      </c>
      <c r="F856" s="30">
        <v>44686</v>
      </c>
      <c r="G856" s="12" t="s">
        <v>4713</v>
      </c>
      <c r="H856" s="32">
        <v>0.53125</v>
      </c>
      <c r="I856" s="29">
        <v>44686.552083333328</v>
      </c>
      <c r="J856" s="12" t="s">
        <v>3377</v>
      </c>
      <c r="L856" s="12" t="s">
        <v>3393</v>
      </c>
      <c r="M856" s="12" t="s">
        <v>4714</v>
      </c>
      <c r="N856" s="12" t="s">
        <v>4715</v>
      </c>
      <c r="O856" s="12" t="s">
        <v>3390</v>
      </c>
      <c r="P856" s="12" t="s">
        <v>4146</v>
      </c>
      <c r="AE856" s="32">
        <v>0.36458333333575865</v>
      </c>
      <c r="AF856" s="35"/>
    </row>
    <row r="857" spans="1:32" ht="12.75">
      <c r="A857" s="29">
        <v>44689.913877407409</v>
      </c>
      <c r="B857" s="12" t="s">
        <v>3408</v>
      </c>
      <c r="C857" s="12" t="s">
        <v>3400</v>
      </c>
      <c r="D857" s="12" t="s">
        <v>4153</v>
      </c>
      <c r="E857" s="12" t="s">
        <v>4245</v>
      </c>
      <c r="F857" s="30">
        <v>44690</v>
      </c>
      <c r="G857" s="12" t="s">
        <v>4716</v>
      </c>
      <c r="H857" s="32">
        <v>0.64583333333575865</v>
      </c>
      <c r="J857" s="12" t="s">
        <v>3366</v>
      </c>
      <c r="L857" s="12" t="s">
        <v>4532</v>
      </c>
      <c r="M857" s="12" t="s">
        <v>3458</v>
      </c>
      <c r="N857" s="12" t="s">
        <v>4009</v>
      </c>
      <c r="O857" s="12" t="s">
        <v>3408</v>
      </c>
      <c r="P857" s="12" t="s">
        <v>4146</v>
      </c>
      <c r="AE857" s="32">
        <v>0.4375</v>
      </c>
      <c r="AF857" s="35"/>
    </row>
    <row r="858" spans="1:32" ht="12.75">
      <c r="A858" s="29">
        <v>44693.3002528125</v>
      </c>
      <c r="B858" s="12" t="s">
        <v>4457</v>
      </c>
      <c r="C858" s="12" t="s">
        <v>4471</v>
      </c>
      <c r="D858" s="12" t="s">
        <v>3470</v>
      </c>
      <c r="E858" s="12" t="s">
        <v>4482</v>
      </c>
      <c r="F858" s="30">
        <v>44693</v>
      </c>
      <c r="G858" s="12" t="s">
        <v>4582</v>
      </c>
      <c r="H858" s="32">
        <v>0</v>
      </c>
      <c r="I858" s="29">
        <v>44693</v>
      </c>
      <c r="J858" s="12" t="s">
        <v>4338</v>
      </c>
      <c r="L858" s="12" t="s">
        <v>3299</v>
      </c>
      <c r="M858" s="12" t="s">
        <v>4472</v>
      </c>
      <c r="N858" s="12" t="s">
        <v>4717</v>
      </c>
      <c r="O858" s="12" t="s">
        <v>4457</v>
      </c>
      <c r="P858" s="12" t="s">
        <v>4146</v>
      </c>
      <c r="AE858" s="32">
        <v>0.29166666666424135</v>
      </c>
      <c r="AF858" s="35"/>
    </row>
    <row r="859" spans="1:32" ht="12.75">
      <c r="A859" s="29">
        <v>44698.294576793982</v>
      </c>
      <c r="B859" s="12" t="s">
        <v>3408</v>
      </c>
      <c r="C859" s="12" t="s">
        <v>3400</v>
      </c>
      <c r="D859" s="12" t="s">
        <v>4153</v>
      </c>
      <c r="E859" s="12" t="s">
        <v>4254</v>
      </c>
      <c r="F859" s="30">
        <v>44698</v>
      </c>
      <c r="G859" s="12" t="s">
        <v>4057</v>
      </c>
      <c r="H859" s="32">
        <v>0.625</v>
      </c>
      <c r="J859" s="12" t="s">
        <v>3366</v>
      </c>
      <c r="L859" s="12" t="s">
        <v>4532</v>
      </c>
      <c r="M859" s="12" t="s">
        <v>3458</v>
      </c>
      <c r="N859" s="12" t="s">
        <v>4009</v>
      </c>
      <c r="O859" s="12" t="s">
        <v>3408</v>
      </c>
      <c r="P859" s="12" t="s">
        <v>4146</v>
      </c>
      <c r="AE859" s="32">
        <v>0.41666666666424135</v>
      </c>
      <c r="AF859" s="35"/>
    </row>
    <row r="860" spans="1:32" ht="12.75">
      <c r="A860" s="29">
        <v>44698.490827453701</v>
      </c>
      <c r="B860" s="12" t="s">
        <v>3390</v>
      </c>
      <c r="C860" s="12" t="s">
        <v>3391</v>
      </c>
      <c r="D860" s="12" t="s">
        <v>3470</v>
      </c>
      <c r="E860" s="12" t="s">
        <v>3834</v>
      </c>
      <c r="F860" s="30">
        <v>44699</v>
      </c>
      <c r="G860" s="12" t="s">
        <v>3520</v>
      </c>
      <c r="H860" s="32">
        <v>0.625</v>
      </c>
      <c r="I860" s="29">
        <v>44699.645833333328</v>
      </c>
      <c r="J860" s="12" t="s">
        <v>3331</v>
      </c>
      <c r="L860" s="12" t="s">
        <v>3393</v>
      </c>
      <c r="M860" s="12" t="s">
        <v>4032</v>
      </c>
      <c r="O860" s="12" t="s">
        <v>3390</v>
      </c>
      <c r="P860" s="12" t="s">
        <v>4146</v>
      </c>
      <c r="AE860" s="32">
        <v>0.4375</v>
      </c>
      <c r="AF860" s="35"/>
    </row>
    <row r="861" spans="1:32" ht="12.75">
      <c r="A861" s="29">
        <v>44701.38818490741</v>
      </c>
      <c r="B861" s="12" t="s">
        <v>4384</v>
      </c>
      <c r="C861" s="12" t="s">
        <v>4577</v>
      </c>
      <c r="D861" s="12" t="s">
        <v>4153</v>
      </c>
      <c r="E861" s="12" t="s">
        <v>3482</v>
      </c>
      <c r="F861" s="30">
        <v>44701</v>
      </c>
      <c r="G861" s="12" t="s">
        <v>4718</v>
      </c>
      <c r="H861" s="32">
        <v>0.58333333333575865</v>
      </c>
      <c r="I861" s="29">
        <v>44701.604166666672</v>
      </c>
      <c r="J861" s="12" t="s">
        <v>3377</v>
      </c>
      <c r="L861" s="12" t="s">
        <v>4564</v>
      </c>
      <c r="M861" s="12" t="s">
        <v>3458</v>
      </c>
      <c r="N861" s="12" t="s">
        <v>4719</v>
      </c>
      <c r="O861" s="12" t="s">
        <v>3406</v>
      </c>
      <c r="P861" s="12" t="s">
        <v>4146</v>
      </c>
      <c r="AE861" s="32">
        <v>0.4375</v>
      </c>
      <c r="AF861" s="35"/>
    </row>
    <row r="862" spans="1:32" ht="12.75">
      <c r="A862" s="29">
        <v>44701.619816122686</v>
      </c>
      <c r="B862" s="12" t="s">
        <v>4543</v>
      </c>
      <c r="C862" s="12" t="s">
        <v>4720</v>
      </c>
      <c r="D862" s="12" t="s">
        <v>4588</v>
      </c>
      <c r="E862" s="12" t="s">
        <v>3387</v>
      </c>
      <c r="F862" s="30">
        <v>44701</v>
      </c>
      <c r="G862" s="12" t="s">
        <v>3492</v>
      </c>
      <c r="H862" s="32">
        <v>0.70833333333575865</v>
      </c>
      <c r="I862" s="29">
        <v>44701.75</v>
      </c>
      <c r="J862" s="12" t="s">
        <v>4338</v>
      </c>
      <c r="L862" s="12" t="s">
        <v>3299</v>
      </c>
      <c r="M862" s="12" t="s">
        <v>3379</v>
      </c>
      <c r="N862" s="12" t="s">
        <v>4543</v>
      </c>
      <c r="O862" s="12" t="s">
        <v>4555</v>
      </c>
      <c r="P862" s="12" t="s">
        <v>4146</v>
      </c>
      <c r="AE862" s="32">
        <v>0.625</v>
      </c>
      <c r="AF862" s="35"/>
    </row>
    <row r="863" spans="1:32" ht="12.75">
      <c r="A863" s="29">
        <v>44713.695810937497</v>
      </c>
      <c r="B863" s="12" t="s">
        <v>3390</v>
      </c>
      <c r="C863" s="12" t="s">
        <v>3391</v>
      </c>
      <c r="D863" s="12" t="s">
        <v>4257</v>
      </c>
      <c r="E863" s="12" t="s">
        <v>3834</v>
      </c>
      <c r="F863" s="30">
        <v>44714</v>
      </c>
      <c r="G863" s="12" t="s">
        <v>3465</v>
      </c>
      <c r="H863" s="32">
        <v>0.60416666666424135</v>
      </c>
      <c r="I863" s="29">
        <v>44714.625</v>
      </c>
      <c r="J863" s="12" t="s">
        <v>3331</v>
      </c>
      <c r="L863" s="12" t="s">
        <v>3393</v>
      </c>
      <c r="M863" s="12" t="s">
        <v>3591</v>
      </c>
      <c r="N863" s="12" t="s">
        <v>4721</v>
      </c>
      <c r="O863" s="12" t="s">
        <v>3390</v>
      </c>
      <c r="P863" s="12" t="s">
        <v>4146</v>
      </c>
      <c r="AE863" s="32">
        <v>0.39583333333575865</v>
      </c>
      <c r="AF863" s="35"/>
    </row>
    <row r="864" spans="1:32" ht="12.75">
      <c r="A864" s="29">
        <v>44718.357027754631</v>
      </c>
      <c r="B864" s="12" t="s">
        <v>3390</v>
      </c>
      <c r="C864" s="12" t="s">
        <v>3391</v>
      </c>
      <c r="D864" s="12" t="s">
        <v>3470</v>
      </c>
      <c r="E864" s="12" t="s">
        <v>3834</v>
      </c>
      <c r="F864" s="30">
        <v>44718</v>
      </c>
      <c r="G864" s="12" t="s">
        <v>4722</v>
      </c>
      <c r="H864" s="32">
        <v>0.54166666666424135</v>
      </c>
      <c r="I864" s="29">
        <v>44718.5625</v>
      </c>
      <c r="J864" s="12" t="s">
        <v>3331</v>
      </c>
      <c r="L864" s="12" t="s">
        <v>3393</v>
      </c>
      <c r="M864" s="12" t="s">
        <v>3454</v>
      </c>
      <c r="N864" s="12" t="s">
        <v>4723</v>
      </c>
      <c r="O864" s="12" t="s">
        <v>3390</v>
      </c>
      <c r="P864" s="12" t="s">
        <v>4146</v>
      </c>
      <c r="AE864" s="32">
        <v>0.39583333333575865</v>
      </c>
      <c r="AF864" s="35"/>
    </row>
    <row r="865" spans="1:32" ht="12.75">
      <c r="A865" s="29">
        <v>44719.303509074074</v>
      </c>
      <c r="B865" s="12" t="s">
        <v>3390</v>
      </c>
      <c r="C865" s="12" t="s">
        <v>3391</v>
      </c>
      <c r="D865" s="12" t="s">
        <v>3470</v>
      </c>
      <c r="E865" s="12" t="s">
        <v>3834</v>
      </c>
      <c r="F865" s="30">
        <v>44719</v>
      </c>
      <c r="G865" s="12" t="s">
        <v>4724</v>
      </c>
      <c r="H865" s="32">
        <v>0.39583333333575865</v>
      </c>
      <c r="I865" s="29">
        <v>44719.416666666672</v>
      </c>
      <c r="J865" s="12" t="s">
        <v>3366</v>
      </c>
      <c r="L865" s="12" t="s">
        <v>3393</v>
      </c>
      <c r="M865" s="12" t="s">
        <v>3454</v>
      </c>
      <c r="N865" s="12" t="s">
        <v>4723</v>
      </c>
      <c r="O865" s="12" t="s">
        <v>3390</v>
      </c>
      <c r="P865" s="12" t="s">
        <v>4146</v>
      </c>
      <c r="AE865" s="32">
        <v>0.30555555555474712</v>
      </c>
      <c r="AF865" s="35"/>
    </row>
    <row r="866" spans="1:32" ht="12.75">
      <c r="A866" s="29">
        <v>44719.404925763884</v>
      </c>
      <c r="B866" s="12" t="s">
        <v>4384</v>
      </c>
      <c r="C866" s="12" t="s">
        <v>4577</v>
      </c>
      <c r="D866" s="12" t="s">
        <v>4153</v>
      </c>
      <c r="E866" s="12" t="s">
        <v>3482</v>
      </c>
      <c r="F866" s="30">
        <v>44719</v>
      </c>
      <c r="G866" s="12" t="s">
        <v>4725</v>
      </c>
      <c r="H866" s="32">
        <v>0.58333333333575865</v>
      </c>
      <c r="I866" s="29">
        <v>44719.604166666672</v>
      </c>
      <c r="J866" s="12" t="s">
        <v>3377</v>
      </c>
      <c r="L866" s="12" t="s">
        <v>4564</v>
      </c>
      <c r="M866" s="12" t="s">
        <v>3458</v>
      </c>
      <c r="N866" s="12" t="s">
        <v>4719</v>
      </c>
      <c r="O866" s="12" t="s">
        <v>3408</v>
      </c>
      <c r="P866" s="12" t="s">
        <v>4146</v>
      </c>
      <c r="AE866" s="32">
        <v>0.4375</v>
      </c>
      <c r="AF866" s="35"/>
    </row>
    <row r="867" spans="1:32" ht="12.75">
      <c r="A867" s="29">
        <v>44719.477240972221</v>
      </c>
      <c r="B867" s="12" t="s">
        <v>3390</v>
      </c>
      <c r="C867" s="12" t="s">
        <v>3391</v>
      </c>
      <c r="D867" s="12" t="s">
        <v>3470</v>
      </c>
      <c r="E867" s="12" t="s">
        <v>3834</v>
      </c>
      <c r="F867" s="30">
        <v>44719</v>
      </c>
      <c r="G867" s="12" t="s">
        <v>4726</v>
      </c>
      <c r="H867" s="32">
        <v>0.60416666666424135</v>
      </c>
      <c r="I867" s="29">
        <v>44719.625</v>
      </c>
      <c r="J867" s="12" t="s">
        <v>3331</v>
      </c>
      <c r="L867" s="12" t="s">
        <v>3393</v>
      </c>
      <c r="M867" s="12" t="s">
        <v>3454</v>
      </c>
      <c r="N867" s="12" t="s">
        <v>4723</v>
      </c>
      <c r="O867" s="12" t="s">
        <v>3390</v>
      </c>
      <c r="P867" s="12" t="s">
        <v>4146</v>
      </c>
      <c r="AE867" s="32">
        <v>0.5</v>
      </c>
      <c r="AF867" s="35"/>
    </row>
    <row r="868" spans="1:32" ht="12.75">
      <c r="A868" s="29">
        <v>44720.311076203703</v>
      </c>
      <c r="B868" s="12" t="s">
        <v>3390</v>
      </c>
      <c r="C868" s="12" t="s">
        <v>3391</v>
      </c>
      <c r="D868" s="12" t="s">
        <v>3470</v>
      </c>
      <c r="E868" s="12" t="s">
        <v>3834</v>
      </c>
      <c r="F868" s="30">
        <v>44720</v>
      </c>
      <c r="G868" s="12" t="s">
        <v>4724</v>
      </c>
      <c r="H868" s="32">
        <v>0.47916666666424135</v>
      </c>
      <c r="I868" s="29">
        <v>44720</v>
      </c>
      <c r="J868" s="12" t="s">
        <v>3331</v>
      </c>
      <c r="L868" s="12" t="s">
        <v>3393</v>
      </c>
      <c r="M868" s="12" t="s">
        <v>3454</v>
      </c>
      <c r="N868" s="12" t="s">
        <v>4723</v>
      </c>
      <c r="O868" s="12" t="s">
        <v>3390</v>
      </c>
      <c r="P868" s="12" t="s">
        <v>4146</v>
      </c>
      <c r="AE868" s="32">
        <v>0.32291666666424135</v>
      </c>
      <c r="AF868" s="35"/>
    </row>
    <row r="869" spans="1:32" ht="12.75">
      <c r="A869" s="29">
        <v>44720.550107442134</v>
      </c>
      <c r="B869" s="12" t="s">
        <v>3390</v>
      </c>
      <c r="C869" s="12" t="s">
        <v>3448</v>
      </c>
      <c r="D869" s="12" t="s">
        <v>3470</v>
      </c>
      <c r="E869" s="12" t="s">
        <v>3482</v>
      </c>
      <c r="F869" s="30">
        <v>44720</v>
      </c>
      <c r="G869" s="12" t="s">
        <v>4727</v>
      </c>
      <c r="H869" s="32">
        <v>0.64583333333575865</v>
      </c>
      <c r="I869" s="29">
        <v>44720.666666666672</v>
      </c>
      <c r="J869" s="12" t="s">
        <v>3331</v>
      </c>
      <c r="L869" s="12" t="s">
        <v>3393</v>
      </c>
      <c r="M869" s="12" t="s">
        <v>3454</v>
      </c>
      <c r="N869" s="12" t="s">
        <v>4723</v>
      </c>
      <c r="O869" s="12" t="s">
        <v>3429</v>
      </c>
      <c r="P869" s="12" t="s">
        <v>4146</v>
      </c>
      <c r="AE869" s="32">
        <v>0.54166666666424135</v>
      </c>
      <c r="AF869" s="35"/>
    </row>
    <row r="870" spans="1:32" ht="12.75">
      <c r="A870" s="29">
        <v>44721.346374768516</v>
      </c>
      <c r="B870" s="12" t="s">
        <v>3470</v>
      </c>
      <c r="C870" s="12" t="s">
        <v>3683</v>
      </c>
      <c r="D870" s="12" t="s">
        <v>4153</v>
      </c>
      <c r="E870" s="12" t="s">
        <v>3482</v>
      </c>
      <c r="F870" s="30">
        <v>44721</v>
      </c>
      <c r="G870" s="12" t="s">
        <v>4728</v>
      </c>
      <c r="H870" s="32">
        <v>0.45833333333575865</v>
      </c>
      <c r="I870" s="29">
        <v>44721.5</v>
      </c>
      <c r="J870" s="12" t="s">
        <v>3331</v>
      </c>
      <c r="L870" s="12" t="s">
        <v>3393</v>
      </c>
      <c r="M870" s="12" t="s">
        <v>3474</v>
      </c>
      <c r="N870" s="12" t="s">
        <v>4723</v>
      </c>
      <c r="O870" s="12" t="s">
        <v>3475</v>
      </c>
      <c r="P870" s="12" t="s">
        <v>4146</v>
      </c>
      <c r="AE870" s="32">
        <v>0.36458333333575865</v>
      </c>
      <c r="AF870" s="35"/>
    </row>
    <row r="871" spans="1:32" ht="12.75">
      <c r="A871" s="29">
        <v>44721.545589513888</v>
      </c>
      <c r="B871" s="12" t="s">
        <v>3470</v>
      </c>
      <c r="C871" s="12" t="s">
        <v>3683</v>
      </c>
      <c r="D871" s="12" t="s">
        <v>4153</v>
      </c>
      <c r="E871" s="12" t="s">
        <v>3482</v>
      </c>
      <c r="F871" s="30">
        <v>44721</v>
      </c>
      <c r="G871" s="12" t="s">
        <v>4576</v>
      </c>
      <c r="H871" s="32">
        <v>0.65625</v>
      </c>
      <c r="I871" s="29">
        <v>44721.666666666672</v>
      </c>
      <c r="J871" s="12" t="s">
        <v>3331</v>
      </c>
      <c r="L871" s="12" t="s">
        <v>3393</v>
      </c>
      <c r="M871" s="12" t="s">
        <v>3474</v>
      </c>
      <c r="N871" s="12" t="s">
        <v>4723</v>
      </c>
      <c r="O871" s="12" t="s">
        <v>3470</v>
      </c>
      <c r="P871" s="12" t="s">
        <v>4146</v>
      </c>
      <c r="AE871" s="32">
        <v>0.5625</v>
      </c>
      <c r="AF871" s="35"/>
    </row>
    <row r="872" spans="1:32" ht="12.75">
      <c r="A872" s="29">
        <v>44722.27178787037</v>
      </c>
      <c r="B872" s="12" t="s">
        <v>3760</v>
      </c>
      <c r="C872" s="12" t="s">
        <v>4194</v>
      </c>
      <c r="D872" s="12" t="s">
        <v>3470</v>
      </c>
      <c r="E872" s="12" t="s">
        <v>4729</v>
      </c>
      <c r="F872" s="30">
        <v>44722</v>
      </c>
      <c r="G872" s="12" t="s">
        <v>3419</v>
      </c>
      <c r="H872" s="32">
        <v>0.34375</v>
      </c>
      <c r="I872" s="29">
        <v>44722.354166666672</v>
      </c>
      <c r="J872" s="12" t="s">
        <v>4338</v>
      </c>
      <c r="L872" s="12" t="s">
        <v>3299</v>
      </c>
      <c r="M872" s="12" t="s">
        <v>3760</v>
      </c>
      <c r="N872" s="12" t="s">
        <v>4730</v>
      </c>
      <c r="O872" s="12" t="s">
        <v>3760</v>
      </c>
      <c r="P872" s="12" t="s">
        <v>4146</v>
      </c>
      <c r="AE872" s="32">
        <v>0.28125</v>
      </c>
      <c r="AF872" s="35"/>
    </row>
    <row r="873" spans="1:32" ht="12.75">
      <c r="A873" s="29">
        <v>44725.358456550923</v>
      </c>
      <c r="B873" s="12" t="s">
        <v>4604</v>
      </c>
      <c r="C873" s="12" t="s">
        <v>4061</v>
      </c>
      <c r="D873" s="12" t="s">
        <v>3417</v>
      </c>
      <c r="E873" s="12" t="s">
        <v>3482</v>
      </c>
      <c r="F873" s="30">
        <v>44725</v>
      </c>
      <c r="G873" s="12" t="s">
        <v>4731</v>
      </c>
      <c r="H873" s="32">
        <v>0.5</v>
      </c>
      <c r="I873" s="29">
        <v>44725.520833333328</v>
      </c>
      <c r="J873" s="12" t="s">
        <v>3331</v>
      </c>
      <c r="L873" s="12" t="s">
        <v>3393</v>
      </c>
      <c r="M873" s="12" t="s">
        <v>3379</v>
      </c>
      <c r="N873" s="12" t="s">
        <v>4732</v>
      </c>
      <c r="O873" s="12" t="s">
        <v>3381</v>
      </c>
      <c r="P873" s="12" t="s">
        <v>4146</v>
      </c>
      <c r="AE873" s="32">
        <v>0.35416666666424135</v>
      </c>
      <c r="AF873" s="35"/>
    </row>
    <row r="874" spans="1:32" ht="12.75">
      <c r="A874" s="29">
        <v>44725.585856215279</v>
      </c>
      <c r="B874" s="12" t="s">
        <v>4604</v>
      </c>
      <c r="C874" s="12" t="s">
        <v>4061</v>
      </c>
      <c r="D874" s="12" t="s">
        <v>3470</v>
      </c>
      <c r="E874" s="12" t="s">
        <v>3435</v>
      </c>
      <c r="F874" s="30">
        <v>44725</v>
      </c>
      <c r="G874" s="12" t="s">
        <v>4733</v>
      </c>
      <c r="H874" s="32">
        <v>0.6875</v>
      </c>
      <c r="I874" s="29">
        <v>44725.708333333328</v>
      </c>
      <c r="J874" s="12" t="s">
        <v>3331</v>
      </c>
      <c r="L874" s="12" t="s">
        <v>3393</v>
      </c>
      <c r="M874" s="12" t="s">
        <v>3379</v>
      </c>
      <c r="N874" s="12" t="s">
        <v>4723</v>
      </c>
      <c r="O874" s="12" t="s">
        <v>3381</v>
      </c>
      <c r="P874" s="12" t="s">
        <v>4146</v>
      </c>
      <c r="AE874" s="32">
        <v>0.57291666666424135</v>
      </c>
      <c r="AF874" s="35"/>
    </row>
    <row r="875" spans="1:32" ht="12.75">
      <c r="A875" s="29">
        <v>44726.313770208333</v>
      </c>
      <c r="B875" s="12" t="s">
        <v>3390</v>
      </c>
      <c r="C875" s="12" t="s">
        <v>3391</v>
      </c>
      <c r="D875" s="12" t="s">
        <v>3470</v>
      </c>
      <c r="E875" s="12" t="s">
        <v>3834</v>
      </c>
      <c r="F875" s="30">
        <v>44726</v>
      </c>
      <c r="G875" s="12" t="s">
        <v>4734</v>
      </c>
      <c r="H875" s="32">
        <v>0.58333333333575865</v>
      </c>
      <c r="I875" s="29">
        <v>44726.604166666672</v>
      </c>
      <c r="J875" s="12" t="s">
        <v>3331</v>
      </c>
      <c r="L875" s="12" t="s">
        <v>3393</v>
      </c>
      <c r="M875" s="12" t="s">
        <v>3454</v>
      </c>
      <c r="N875" s="12" t="s">
        <v>4735</v>
      </c>
      <c r="O875" s="12" t="s">
        <v>3390</v>
      </c>
      <c r="P875" s="12" t="s">
        <v>4146</v>
      </c>
      <c r="AE875" s="32">
        <v>0.35416666666424135</v>
      </c>
      <c r="AF875" s="35"/>
    </row>
    <row r="876" spans="1:32" ht="12.75">
      <c r="A876" s="29">
        <v>44726.565813912035</v>
      </c>
      <c r="B876" s="12" t="s">
        <v>3417</v>
      </c>
      <c r="C876" s="12" t="s">
        <v>4061</v>
      </c>
      <c r="D876" s="12" t="s">
        <v>3470</v>
      </c>
      <c r="E876" s="12" t="s">
        <v>3356</v>
      </c>
      <c r="F876" s="30">
        <v>44726</v>
      </c>
      <c r="G876" s="12" t="s">
        <v>4736</v>
      </c>
      <c r="H876" s="32">
        <v>0.52083333333575865</v>
      </c>
      <c r="I876" s="29">
        <v>44726.520833333328</v>
      </c>
      <c r="J876" s="12" t="s">
        <v>4338</v>
      </c>
      <c r="L876" s="12" t="s">
        <v>4737</v>
      </c>
      <c r="M876" s="12" t="s">
        <v>3379</v>
      </c>
      <c r="N876" s="12" t="s">
        <v>4738</v>
      </c>
      <c r="O876" s="12" t="s">
        <v>3381</v>
      </c>
      <c r="P876" s="12" t="s">
        <v>4146</v>
      </c>
      <c r="AE876" s="32">
        <v>0.45833333333575865</v>
      </c>
      <c r="AF876" s="35"/>
    </row>
    <row r="877" spans="1:32" ht="12.75">
      <c r="A877" s="29">
        <v>44727.322874791666</v>
      </c>
      <c r="B877" s="12" t="s">
        <v>3390</v>
      </c>
      <c r="C877" s="12" t="s">
        <v>3391</v>
      </c>
      <c r="D877" s="12" t="s">
        <v>3470</v>
      </c>
      <c r="E877" s="12" t="s">
        <v>3834</v>
      </c>
      <c r="F877" s="30">
        <v>44727</v>
      </c>
      <c r="G877" s="12" t="s">
        <v>4739</v>
      </c>
      <c r="H877" s="32">
        <v>0.45833333333575865</v>
      </c>
      <c r="I877" s="29">
        <v>44727.479166666672</v>
      </c>
      <c r="J877" s="12" t="s">
        <v>3331</v>
      </c>
      <c r="L877" s="12" t="s">
        <v>3393</v>
      </c>
      <c r="M877" s="12" t="s">
        <v>3454</v>
      </c>
      <c r="N877" s="12" t="s">
        <v>4723</v>
      </c>
      <c r="O877" s="12" t="s">
        <v>3390</v>
      </c>
      <c r="P877" s="12" t="s">
        <v>4146</v>
      </c>
      <c r="AE877" s="32">
        <v>0.33333333333575865</v>
      </c>
      <c r="AF877" s="35"/>
    </row>
    <row r="878" spans="1:32" ht="12.75">
      <c r="A878" s="29">
        <v>44727.374861412041</v>
      </c>
      <c r="B878" s="12" t="s">
        <v>4604</v>
      </c>
      <c r="C878" s="12" t="s">
        <v>4061</v>
      </c>
      <c r="D878" s="12" t="s">
        <v>3470</v>
      </c>
      <c r="E878" s="12" t="s">
        <v>3387</v>
      </c>
      <c r="F878" s="30">
        <v>44727</v>
      </c>
      <c r="G878" s="12" t="s">
        <v>4554</v>
      </c>
      <c r="H878" s="32">
        <v>0.5</v>
      </c>
      <c r="I878" s="29">
        <v>44727.520833333328</v>
      </c>
      <c r="J878" s="12" t="s">
        <v>4123</v>
      </c>
      <c r="L878" s="12" t="s">
        <v>3299</v>
      </c>
      <c r="M878" s="12" t="s">
        <v>3385</v>
      </c>
      <c r="N878" s="12" t="s">
        <v>4740</v>
      </c>
      <c r="O878" s="12" t="s">
        <v>3381</v>
      </c>
      <c r="P878" s="12" t="s">
        <v>4146</v>
      </c>
      <c r="AE878" s="32">
        <v>0.375</v>
      </c>
      <c r="AF878" s="35"/>
    </row>
    <row r="879" spans="1:32" ht="12.75">
      <c r="A879" s="29">
        <v>44727.515056284727</v>
      </c>
      <c r="B879" s="12" t="s">
        <v>3390</v>
      </c>
      <c r="C879" s="12" t="s">
        <v>3391</v>
      </c>
      <c r="D879" s="12" t="s">
        <v>3470</v>
      </c>
      <c r="E879" s="12" t="s">
        <v>3834</v>
      </c>
      <c r="F879" s="30">
        <v>44727</v>
      </c>
      <c r="G879" s="12" t="s">
        <v>4741</v>
      </c>
      <c r="H879" s="32">
        <v>0.625</v>
      </c>
      <c r="I879" s="29">
        <v>44727.645833333328</v>
      </c>
      <c r="J879" s="12" t="s">
        <v>3331</v>
      </c>
      <c r="L879" s="12" t="s">
        <v>3393</v>
      </c>
      <c r="M879" s="12" t="s">
        <v>3454</v>
      </c>
      <c r="N879" s="12" t="s">
        <v>4723</v>
      </c>
      <c r="O879" s="12" t="s">
        <v>3390</v>
      </c>
      <c r="P879" s="12" t="s">
        <v>4146</v>
      </c>
      <c r="AE879" s="32">
        <v>0.54166666666424135</v>
      </c>
      <c r="AF879" s="35"/>
    </row>
    <row r="880" spans="1:32" ht="12.75">
      <c r="A880" s="29">
        <v>44727.558394537038</v>
      </c>
      <c r="B880" s="12" t="s">
        <v>3408</v>
      </c>
      <c r="C880" s="12" t="s">
        <v>3400</v>
      </c>
      <c r="D880" s="12" t="s">
        <v>4153</v>
      </c>
      <c r="E880" s="12" t="s">
        <v>3482</v>
      </c>
      <c r="F880" s="30">
        <v>44727</v>
      </c>
      <c r="G880" s="12" t="s">
        <v>4742</v>
      </c>
      <c r="H880" s="32">
        <v>0.66666666666424135</v>
      </c>
      <c r="J880" s="12" t="s">
        <v>3377</v>
      </c>
      <c r="L880" s="12" t="s">
        <v>4532</v>
      </c>
      <c r="M880" s="12" t="s">
        <v>3458</v>
      </c>
      <c r="N880" s="12" t="s">
        <v>4743</v>
      </c>
      <c r="O880" s="12" t="s">
        <v>3408</v>
      </c>
      <c r="P880" s="12" t="s">
        <v>4146</v>
      </c>
      <c r="AE880" s="32">
        <v>0.55208333333575865</v>
      </c>
      <c r="AF880" s="35"/>
    </row>
    <row r="881" spans="1:32" ht="12.75">
      <c r="A881" s="29">
        <v>44728.323849374996</v>
      </c>
      <c r="B881" s="12" t="s">
        <v>4604</v>
      </c>
      <c r="C881" s="12" t="s">
        <v>4061</v>
      </c>
      <c r="D881" s="12" t="s">
        <v>3470</v>
      </c>
      <c r="E881" s="12" t="s">
        <v>4744</v>
      </c>
      <c r="F881" s="30">
        <v>44728</v>
      </c>
      <c r="G881" s="12" t="s">
        <v>4745</v>
      </c>
      <c r="H881" s="32">
        <v>0.47916666666424135</v>
      </c>
      <c r="I881" s="29">
        <v>44728.520833333328</v>
      </c>
      <c r="J881" s="12" t="s">
        <v>4123</v>
      </c>
      <c r="L881" s="12" t="s">
        <v>3299</v>
      </c>
      <c r="M881" s="12" t="s">
        <v>3385</v>
      </c>
      <c r="N881" s="12" t="s">
        <v>4740</v>
      </c>
      <c r="O881" s="12" t="s">
        <v>3381</v>
      </c>
      <c r="P881" s="12" t="s">
        <v>4146</v>
      </c>
      <c r="AE881" s="32">
        <v>0.32291666666424135</v>
      </c>
      <c r="AF881" s="35"/>
    </row>
    <row r="882" spans="1:32" ht="12.75">
      <c r="A882" s="29">
        <v>44728.512652106481</v>
      </c>
      <c r="B882" s="12" t="s">
        <v>3408</v>
      </c>
      <c r="C882" s="12" t="s">
        <v>4746</v>
      </c>
      <c r="D882" s="12" t="s">
        <v>4153</v>
      </c>
      <c r="E882" s="12" t="s">
        <v>3482</v>
      </c>
      <c r="F882" s="30">
        <v>44728</v>
      </c>
      <c r="G882" s="12" t="s">
        <v>4747</v>
      </c>
      <c r="H882" s="32">
        <v>0.69791666666424135</v>
      </c>
      <c r="J882" s="12" t="s">
        <v>3377</v>
      </c>
      <c r="L882" s="12" t="s">
        <v>4564</v>
      </c>
      <c r="M882" s="12" t="s">
        <v>3458</v>
      </c>
      <c r="N882" s="12" t="s">
        <v>4748</v>
      </c>
      <c r="O882" s="12" t="s">
        <v>3408</v>
      </c>
      <c r="P882" s="12" t="s">
        <v>4146</v>
      </c>
      <c r="AE882" s="32">
        <v>0.52083333333575865</v>
      </c>
      <c r="AF882" s="35"/>
    </row>
    <row r="883" spans="1:32" ht="12.75">
      <c r="A883" s="29">
        <v>44729.340121574074</v>
      </c>
      <c r="B883" s="12" t="s">
        <v>3417</v>
      </c>
      <c r="C883" s="12" t="s">
        <v>4061</v>
      </c>
      <c r="D883" s="12" t="s">
        <v>3470</v>
      </c>
      <c r="E883" s="12" t="s">
        <v>4744</v>
      </c>
      <c r="F883" s="30">
        <v>44729</v>
      </c>
      <c r="G883" s="12" t="s">
        <v>4128</v>
      </c>
      <c r="H883" s="32">
        <v>0.5</v>
      </c>
      <c r="I883" s="29">
        <v>44729.541666666672</v>
      </c>
      <c r="J883" s="12" t="s">
        <v>4123</v>
      </c>
      <c r="L883" s="12" t="s">
        <v>4749</v>
      </c>
      <c r="M883" s="12" t="s">
        <v>3379</v>
      </c>
      <c r="N883" s="12" t="s">
        <v>4719</v>
      </c>
      <c r="O883" s="12" t="s">
        <v>4701</v>
      </c>
      <c r="P883" s="12" t="s">
        <v>4146</v>
      </c>
      <c r="AE883" s="32">
        <v>0.33333333333575865</v>
      </c>
      <c r="AF883" s="35"/>
    </row>
    <row r="884" spans="1:32" ht="12.75">
      <c r="A884" s="29">
        <v>44732.318738009257</v>
      </c>
      <c r="B884" s="12" t="s">
        <v>3390</v>
      </c>
      <c r="C884" s="12" t="s">
        <v>3391</v>
      </c>
      <c r="D884" s="12" t="s">
        <v>4257</v>
      </c>
      <c r="E884" s="12" t="s">
        <v>3834</v>
      </c>
      <c r="F884" s="30">
        <v>44732</v>
      </c>
      <c r="G884" s="12" t="s">
        <v>4739</v>
      </c>
      <c r="H884" s="32">
        <v>0.5</v>
      </c>
      <c r="I884" s="29">
        <v>44732.020833333328</v>
      </c>
      <c r="J884" s="12" t="s">
        <v>3331</v>
      </c>
      <c r="L884" s="12" t="s">
        <v>3393</v>
      </c>
      <c r="M884" s="12" t="s">
        <v>3454</v>
      </c>
      <c r="N884" s="12" t="s">
        <v>4723</v>
      </c>
      <c r="O884" s="12" t="s">
        <v>3390</v>
      </c>
      <c r="P884" s="12" t="s">
        <v>4146</v>
      </c>
      <c r="AE884" s="32">
        <v>0.33333333333575865</v>
      </c>
      <c r="AF884" s="35"/>
    </row>
    <row r="885" spans="1:32" ht="12.75">
      <c r="A885" s="29">
        <v>44732.327348692124</v>
      </c>
      <c r="B885" s="12" t="s">
        <v>4606</v>
      </c>
      <c r="C885" s="12" t="s">
        <v>4061</v>
      </c>
      <c r="D885" s="12" t="s">
        <v>4257</v>
      </c>
      <c r="E885" s="12" t="s">
        <v>3862</v>
      </c>
      <c r="F885" s="30">
        <v>44732</v>
      </c>
      <c r="G885" s="12" t="s">
        <v>4482</v>
      </c>
      <c r="H885" s="32">
        <v>0.4375</v>
      </c>
      <c r="I885" s="29">
        <v>44732.458333333328</v>
      </c>
      <c r="J885" s="12" t="s">
        <v>3377</v>
      </c>
      <c r="L885" s="12" t="s">
        <v>3299</v>
      </c>
      <c r="M885" s="12" t="s">
        <v>3379</v>
      </c>
      <c r="N885" s="12" t="s">
        <v>4750</v>
      </c>
      <c r="O885" s="12" t="s">
        <v>3381</v>
      </c>
      <c r="P885" s="12" t="s">
        <v>4146</v>
      </c>
      <c r="AE885" s="32">
        <v>0.32291666666424135</v>
      </c>
      <c r="AF885" s="35"/>
    </row>
    <row r="886" spans="1:32" ht="12.75">
      <c r="A886" s="29">
        <v>44732.486095532411</v>
      </c>
      <c r="B886" s="12" t="s">
        <v>3390</v>
      </c>
      <c r="C886" s="12" t="s">
        <v>3391</v>
      </c>
      <c r="D886" s="12" t="s">
        <v>4257</v>
      </c>
      <c r="E886" s="12" t="s">
        <v>3834</v>
      </c>
      <c r="F886" s="30">
        <v>44732</v>
      </c>
      <c r="G886" s="12" t="s">
        <v>4751</v>
      </c>
      <c r="H886" s="32">
        <v>0.57291666666424135</v>
      </c>
      <c r="I886" s="29">
        <v>44732.583333333328</v>
      </c>
      <c r="J886" s="12" t="s">
        <v>3331</v>
      </c>
      <c r="L886" s="12" t="s">
        <v>3393</v>
      </c>
      <c r="M886" s="12" t="s">
        <v>3454</v>
      </c>
      <c r="N886" s="12" t="s">
        <v>4752</v>
      </c>
      <c r="O886" s="12" t="s">
        <v>3767</v>
      </c>
      <c r="P886" s="12" t="s">
        <v>4146</v>
      </c>
      <c r="AE886" s="32">
        <v>0.51041666666424135</v>
      </c>
      <c r="AF886" s="35"/>
    </row>
    <row r="887" spans="1:32" ht="12.75">
      <c r="A887" s="29">
        <v>44733.274054502312</v>
      </c>
      <c r="B887" s="12" t="s">
        <v>3417</v>
      </c>
      <c r="C887" s="12" t="s">
        <v>4061</v>
      </c>
      <c r="D887" s="12" t="s">
        <v>4257</v>
      </c>
      <c r="E887" s="12" t="s">
        <v>3296</v>
      </c>
      <c r="F887" s="30">
        <v>44733</v>
      </c>
      <c r="G887" s="12" t="s">
        <v>3419</v>
      </c>
      <c r="H887" s="32">
        <v>0.45833333333575865</v>
      </c>
      <c r="I887" s="29">
        <v>44733.479166666672</v>
      </c>
      <c r="J887" s="12" t="s">
        <v>3377</v>
      </c>
      <c r="L887" s="12" t="s">
        <v>3299</v>
      </c>
      <c r="M887" s="12" t="s">
        <v>3379</v>
      </c>
      <c r="N887" s="12" t="s">
        <v>4753</v>
      </c>
      <c r="O887" s="12" t="s">
        <v>3381</v>
      </c>
      <c r="P887" s="12" t="s">
        <v>4146</v>
      </c>
      <c r="AE887" s="32">
        <v>0.30208333333575865</v>
      </c>
      <c r="AF887" s="35"/>
    </row>
    <row r="888" spans="1:32" ht="12.75">
      <c r="A888" s="29">
        <v>44733.286752083332</v>
      </c>
      <c r="B888" s="12" t="s">
        <v>3408</v>
      </c>
      <c r="C888" s="12" t="s">
        <v>3400</v>
      </c>
      <c r="D888" s="12" t="s">
        <v>4153</v>
      </c>
      <c r="E888" s="12" t="s">
        <v>4245</v>
      </c>
      <c r="F888" s="30">
        <v>44733</v>
      </c>
      <c r="G888" s="12" t="s">
        <v>4645</v>
      </c>
      <c r="H888" s="32">
        <v>0.54166666666424135</v>
      </c>
      <c r="J888" s="12" t="s">
        <v>3366</v>
      </c>
      <c r="L888" s="12" t="s">
        <v>4532</v>
      </c>
      <c r="M888" s="12" t="s">
        <v>3458</v>
      </c>
      <c r="N888" s="12" t="s">
        <v>4633</v>
      </c>
      <c r="O888" s="12" t="s">
        <v>3408</v>
      </c>
      <c r="P888" s="12" t="s">
        <v>4146</v>
      </c>
      <c r="AE888" s="32">
        <v>0.39583333333575865</v>
      </c>
      <c r="AF888" s="35"/>
    </row>
    <row r="889" spans="1:32" ht="12.75">
      <c r="A889" s="29">
        <v>44733.324344895838</v>
      </c>
      <c r="B889" s="12" t="s">
        <v>3390</v>
      </c>
      <c r="C889" s="12" t="s">
        <v>3391</v>
      </c>
      <c r="D889" s="12" t="s">
        <v>4257</v>
      </c>
      <c r="E889" s="12" t="s">
        <v>3834</v>
      </c>
      <c r="F889" s="30">
        <v>44733</v>
      </c>
      <c r="G889" s="12" t="s">
        <v>4739</v>
      </c>
      <c r="H889" s="32">
        <v>0.95833333333575865</v>
      </c>
      <c r="I889" s="29">
        <v>44733.479166666672</v>
      </c>
      <c r="J889" s="12" t="s">
        <v>3331</v>
      </c>
      <c r="L889" s="12" t="s">
        <v>3393</v>
      </c>
      <c r="M889" s="12" t="s">
        <v>3454</v>
      </c>
      <c r="N889" s="12" t="s">
        <v>4723</v>
      </c>
      <c r="O889" s="12" t="s">
        <v>3390</v>
      </c>
      <c r="P889" s="12" t="s">
        <v>4146</v>
      </c>
      <c r="AE889" s="32">
        <v>0.33333333333575865</v>
      </c>
      <c r="AF889" s="35"/>
    </row>
    <row r="890" spans="1:32" ht="12.75">
      <c r="A890" s="29">
        <v>44733.519750752312</v>
      </c>
      <c r="B890" s="12" t="s">
        <v>3390</v>
      </c>
      <c r="C890" s="12" t="s">
        <v>3391</v>
      </c>
      <c r="D890" s="12" t="s">
        <v>4257</v>
      </c>
      <c r="E890" s="12" t="s">
        <v>3834</v>
      </c>
      <c r="F890" s="30">
        <v>44733</v>
      </c>
      <c r="G890" s="12" t="s">
        <v>4726</v>
      </c>
      <c r="H890" s="32">
        <v>0.61458333333575865</v>
      </c>
      <c r="I890" s="29">
        <v>44733.625</v>
      </c>
      <c r="J890" s="12" t="s">
        <v>3331</v>
      </c>
      <c r="L890" s="12" t="s">
        <v>3393</v>
      </c>
      <c r="M890" s="12" t="s">
        <v>3454</v>
      </c>
      <c r="N890" s="12" t="s">
        <v>4723</v>
      </c>
      <c r="O890" s="12" t="s">
        <v>3390</v>
      </c>
      <c r="P890" s="12" t="s">
        <v>4146</v>
      </c>
      <c r="AE890" s="32">
        <v>0.54166666666424135</v>
      </c>
      <c r="AF890" s="35"/>
    </row>
    <row r="891" spans="1:32" ht="12.75">
      <c r="A891" s="29">
        <v>44734.288831886573</v>
      </c>
      <c r="B891" s="12" t="s">
        <v>3408</v>
      </c>
      <c r="C891" s="12" t="s">
        <v>3400</v>
      </c>
      <c r="D891" s="12" t="s">
        <v>4153</v>
      </c>
      <c r="E891" s="12" t="s">
        <v>4245</v>
      </c>
      <c r="F891" s="30">
        <v>44734</v>
      </c>
      <c r="G891" s="12" t="s">
        <v>4754</v>
      </c>
      <c r="H891" s="32">
        <v>0.625</v>
      </c>
      <c r="J891" s="12" t="s">
        <v>3366</v>
      </c>
      <c r="L891" s="12" t="s">
        <v>4532</v>
      </c>
      <c r="M891" s="12" t="s">
        <v>3458</v>
      </c>
      <c r="N891" s="12" t="s">
        <v>4009</v>
      </c>
      <c r="O891" s="12" t="s">
        <v>3408</v>
      </c>
      <c r="P891" s="12" t="s">
        <v>4146</v>
      </c>
      <c r="AE891" s="32">
        <v>0.39583333333575865</v>
      </c>
      <c r="AF891" s="35"/>
    </row>
    <row r="892" spans="1:32" ht="12.75">
      <c r="A892" s="29">
        <v>44734.339515104162</v>
      </c>
      <c r="B892" s="12" t="s">
        <v>3390</v>
      </c>
      <c r="C892" s="12" t="s">
        <v>3448</v>
      </c>
      <c r="D892" s="12" t="s">
        <v>4257</v>
      </c>
      <c r="E892" s="12" t="s">
        <v>3834</v>
      </c>
      <c r="F892" s="30">
        <v>44734</v>
      </c>
      <c r="G892" s="12" t="s">
        <v>4755</v>
      </c>
      <c r="H892" s="32">
        <v>0.42708333333575865</v>
      </c>
      <c r="I892" s="29">
        <v>44734.4375</v>
      </c>
      <c r="J892" s="12" t="s">
        <v>3331</v>
      </c>
      <c r="L892" s="12" t="s">
        <v>3393</v>
      </c>
      <c r="M892" s="12" t="s">
        <v>3454</v>
      </c>
      <c r="N892" s="12" t="s">
        <v>4723</v>
      </c>
      <c r="O892" s="12" t="s">
        <v>3390</v>
      </c>
      <c r="P892" s="12" t="s">
        <v>4146</v>
      </c>
      <c r="AE892" s="32">
        <v>0.35416666666424135</v>
      </c>
      <c r="AF892" s="35"/>
    </row>
    <row r="893" spans="1:32" ht="12.75">
      <c r="A893" s="29">
        <v>44734.339982731486</v>
      </c>
      <c r="B893" s="12" t="s">
        <v>4606</v>
      </c>
      <c r="C893" s="12" t="s">
        <v>4061</v>
      </c>
      <c r="D893" s="12" t="s">
        <v>4257</v>
      </c>
      <c r="E893" s="12" t="s">
        <v>4621</v>
      </c>
      <c r="F893" s="30">
        <v>44734</v>
      </c>
      <c r="G893" s="12" t="s">
        <v>3419</v>
      </c>
      <c r="H893" s="32">
        <v>0.5</v>
      </c>
      <c r="I893" s="29">
        <v>44734.520833333328</v>
      </c>
      <c r="J893" s="12" t="s">
        <v>3377</v>
      </c>
      <c r="L893" s="12" t="s">
        <v>3299</v>
      </c>
      <c r="M893" s="12" t="s">
        <v>3379</v>
      </c>
      <c r="N893" s="12" t="s">
        <v>4756</v>
      </c>
      <c r="O893" s="12" t="s">
        <v>3381</v>
      </c>
      <c r="P893" s="12" t="s">
        <v>4146</v>
      </c>
      <c r="AE893" s="32">
        <v>0.32291666666424135</v>
      </c>
      <c r="AF893" s="35"/>
    </row>
    <row r="894" spans="1:32" ht="12.75">
      <c r="A894" s="29">
        <v>44734.538726342595</v>
      </c>
      <c r="B894" s="12" t="s">
        <v>3390</v>
      </c>
      <c r="C894" s="12" t="s">
        <v>3391</v>
      </c>
      <c r="D894" s="12" t="s">
        <v>4257</v>
      </c>
      <c r="E894" s="12" t="s">
        <v>3834</v>
      </c>
      <c r="F894" s="30">
        <v>44734</v>
      </c>
      <c r="G894" s="12" t="s">
        <v>4739</v>
      </c>
      <c r="H894" s="32">
        <v>0.625</v>
      </c>
      <c r="I894" s="29">
        <v>44734.645833333328</v>
      </c>
      <c r="J894" s="12" t="s">
        <v>3331</v>
      </c>
      <c r="L894" s="12" t="s">
        <v>3393</v>
      </c>
      <c r="M894" s="12" t="s">
        <v>3454</v>
      </c>
      <c r="N894" s="12" t="s">
        <v>4723</v>
      </c>
      <c r="O894" s="12" t="s">
        <v>3390</v>
      </c>
      <c r="P894" s="12" t="s">
        <v>4146</v>
      </c>
      <c r="AE894" s="32">
        <v>3.4722222218988463E-2</v>
      </c>
      <c r="AF894" s="35"/>
    </row>
    <row r="895" spans="1:32" ht="12.75">
      <c r="A895" s="29">
        <v>44735.356548506941</v>
      </c>
      <c r="B895" s="12" t="s">
        <v>3372</v>
      </c>
      <c r="C895" s="12" t="s">
        <v>4061</v>
      </c>
      <c r="D895" s="12" t="s">
        <v>4257</v>
      </c>
      <c r="E895" s="12" t="s">
        <v>3296</v>
      </c>
      <c r="F895" s="30">
        <v>44735</v>
      </c>
      <c r="G895" s="12" t="s">
        <v>3419</v>
      </c>
      <c r="H895" s="32">
        <v>0.54166666666424135</v>
      </c>
      <c r="I895" s="29">
        <v>44735.5625</v>
      </c>
      <c r="J895" s="12" t="s">
        <v>3377</v>
      </c>
      <c r="L895" s="12" t="s">
        <v>3299</v>
      </c>
      <c r="M895" s="12" t="s">
        <v>3379</v>
      </c>
      <c r="N895" s="12" t="s">
        <v>4757</v>
      </c>
      <c r="O895" s="12" t="s">
        <v>3381</v>
      </c>
      <c r="P895" s="12" t="s">
        <v>4146</v>
      </c>
      <c r="AE895" s="32">
        <v>0.38541666666424135</v>
      </c>
      <c r="AF895" s="35"/>
    </row>
    <row r="896" spans="1:32" ht="12.75">
      <c r="A896" s="29">
        <v>44735.358292164354</v>
      </c>
      <c r="B896" s="12" t="s">
        <v>4758</v>
      </c>
      <c r="C896" s="12" t="s">
        <v>3391</v>
      </c>
      <c r="D896" s="12" t="s">
        <v>4257</v>
      </c>
      <c r="E896" s="12" t="s">
        <v>3834</v>
      </c>
      <c r="F896" s="30">
        <v>44735</v>
      </c>
      <c r="G896" s="12" t="s">
        <v>4739</v>
      </c>
      <c r="H896" s="32">
        <v>0.5</v>
      </c>
      <c r="I896" s="29">
        <v>44735.520833333328</v>
      </c>
      <c r="J896" s="12" t="s">
        <v>3331</v>
      </c>
      <c r="L896" s="12" t="s">
        <v>3393</v>
      </c>
      <c r="M896" s="12" t="s">
        <v>3454</v>
      </c>
      <c r="N896" s="12" t="s">
        <v>4723</v>
      </c>
      <c r="O896" s="12" t="s">
        <v>3390</v>
      </c>
      <c r="P896" s="12" t="s">
        <v>4146</v>
      </c>
      <c r="AE896" s="32">
        <v>0.375</v>
      </c>
      <c r="AF896" s="35"/>
    </row>
    <row r="897" spans="1:32" ht="12.75">
      <c r="A897" s="29">
        <v>44735.530395300928</v>
      </c>
      <c r="B897" s="12" t="s">
        <v>3390</v>
      </c>
      <c r="C897" s="12" t="s">
        <v>3448</v>
      </c>
      <c r="D897" s="12" t="s">
        <v>4257</v>
      </c>
      <c r="E897" s="12" t="s">
        <v>3834</v>
      </c>
      <c r="F897" s="30">
        <v>44735</v>
      </c>
      <c r="G897" s="12" t="s">
        <v>4759</v>
      </c>
      <c r="H897" s="32">
        <v>0.63541666666424135</v>
      </c>
      <c r="I897" s="29">
        <v>44735.645833333328</v>
      </c>
      <c r="J897" s="12" t="s">
        <v>3331</v>
      </c>
      <c r="L897" s="12" t="s">
        <v>3393</v>
      </c>
      <c r="M897" s="12" t="s">
        <v>3454</v>
      </c>
      <c r="N897" s="12" t="s">
        <v>4723</v>
      </c>
      <c r="O897" s="12" t="s">
        <v>3390</v>
      </c>
      <c r="P897" s="12" t="s">
        <v>4146</v>
      </c>
      <c r="AE897" s="32">
        <v>0.55555555555474712</v>
      </c>
      <c r="AF897" s="35"/>
    </row>
    <row r="898" spans="1:32" ht="12.75">
      <c r="A898" s="29">
        <v>44736.372575324072</v>
      </c>
      <c r="B898" s="12" t="s">
        <v>3390</v>
      </c>
      <c r="C898" s="12" t="s">
        <v>3391</v>
      </c>
      <c r="D898" s="12" t="s">
        <v>4257</v>
      </c>
      <c r="E898" s="12" t="s">
        <v>3834</v>
      </c>
      <c r="F898" s="30">
        <v>44736</v>
      </c>
      <c r="G898" s="12" t="s">
        <v>4739</v>
      </c>
      <c r="H898" s="32">
        <v>0.5</v>
      </c>
      <c r="I898" s="29">
        <v>44736.520833333328</v>
      </c>
      <c r="J898" s="12" t="s">
        <v>3331</v>
      </c>
      <c r="L898" s="12" t="s">
        <v>3393</v>
      </c>
      <c r="M898" s="12" t="s">
        <v>3454</v>
      </c>
      <c r="N898" s="12" t="s">
        <v>4723</v>
      </c>
      <c r="O898" s="12" t="s">
        <v>3390</v>
      </c>
      <c r="P898" s="12" t="s">
        <v>4146</v>
      </c>
      <c r="AE898" s="32">
        <v>0.39583333333575865</v>
      </c>
      <c r="AF898" s="35"/>
    </row>
    <row r="899" spans="1:32" ht="12.75">
      <c r="A899" s="29">
        <v>44740.399460682871</v>
      </c>
      <c r="B899" s="12" t="s">
        <v>3390</v>
      </c>
      <c r="C899" s="12" t="s">
        <v>3391</v>
      </c>
      <c r="D899" s="12" t="s">
        <v>3470</v>
      </c>
      <c r="E899" s="12" t="s">
        <v>3834</v>
      </c>
      <c r="F899" s="30">
        <v>44740</v>
      </c>
      <c r="G899" s="12" t="s">
        <v>4760</v>
      </c>
      <c r="H899" s="32">
        <v>0.625</v>
      </c>
      <c r="I899" s="29">
        <v>44740.645833333328</v>
      </c>
      <c r="J899" s="12" t="s">
        <v>3331</v>
      </c>
      <c r="L899" s="12" t="s">
        <v>3393</v>
      </c>
      <c r="M899" s="12" t="s">
        <v>4761</v>
      </c>
      <c r="O899" s="12" t="s">
        <v>3390</v>
      </c>
      <c r="P899" s="12" t="s">
        <v>4146</v>
      </c>
      <c r="AE899" s="32">
        <v>0.4375</v>
      </c>
      <c r="AF899" s="35"/>
    </row>
    <row r="900" spans="1:32" ht="12.75">
      <c r="A900" s="29">
        <v>44740.523236875</v>
      </c>
      <c r="B900" s="12" t="s">
        <v>4606</v>
      </c>
      <c r="D900" s="12" t="s">
        <v>4257</v>
      </c>
      <c r="E900" s="12" t="s">
        <v>3482</v>
      </c>
      <c r="F900" s="30">
        <v>44740</v>
      </c>
      <c r="G900" s="12" t="s">
        <v>3482</v>
      </c>
      <c r="H900" s="32">
        <v>0.5625</v>
      </c>
      <c r="I900" s="29">
        <v>44740.583333333328</v>
      </c>
      <c r="J900" s="12" t="s">
        <v>3377</v>
      </c>
      <c r="L900" s="12" t="s">
        <v>4121</v>
      </c>
      <c r="M900" s="12" t="s">
        <v>3379</v>
      </c>
      <c r="N900" s="12" t="s">
        <v>4762</v>
      </c>
      <c r="O900" s="12" t="s">
        <v>3381</v>
      </c>
      <c r="P900" s="12" t="s">
        <v>4146</v>
      </c>
      <c r="AE900" s="32">
        <v>0.5</v>
      </c>
      <c r="AF900" s="35"/>
    </row>
    <row r="901" spans="1:32" ht="12.75">
      <c r="A901" s="29">
        <v>44742.348657615745</v>
      </c>
      <c r="B901" s="12" t="s">
        <v>4606</v>
      </c>
      <c r="C901" s="12" t="s">
        <v>4061</v>
      </c>
      <c r="D901" s="12" t="s">
        <v>4257</v>
      </c>
      <c r="E901" s="12" t="s">
        <v>4744</v>
      </c>
      <c r="F901" s="30">
        <v>44742</v>
      </c>
      <c r="G901" s="12" t="s">
        <v>4763</v>
      </c>
      <c r="H901" s="32">
        <v>0.66666666666424135</v>
      </c>
      <c r="I901" s="29">
        <v>44742.708333333328</v>
      </c>
      <c r="J901" s="12" t="s">
        <v>4123</v>
      </c>
      <c r="L901" s="12" t="s">
        <v>4564</v>
      </c>
      <c r="M901" s="12" t="s">
        <v>3379</v>
      </c>
      <c r="N901" s="12" t="s">
        <v>4764</v>
      </c>
      <c r="O901" s="12" t="s">
        <v>3381</v>
      </c>
      <c r="P901" s="12" t="s">
        <v>4146</v>
      </c>
      <c r="AE901" s="32">
        <v>0.34375</v>
      </c>
      <c r="AF901" s="35"/>
    </row>
    <row r="902" spans="1:32" ht="12.75">
      <c r="A902" s="29">
        <v>44743.300635636573</v>
      </c>
      <c r="B902" s="12" t="s">
        <v>4604</v>
      </c>
      <c r="C902" s="12" t="s">
        <v>4061</v>
      </c>
      <c r="D902" s="12" t="s">
        <v>4257</v>
      </c>
      <c r="E902" s="12" t="s">
        <v>4744</v>
      </c>
      <c r="F902" s="30">
        <v>44743</v>
      </c>
      <c r="G902" s="12" t="s">
        <v>4765</v>
      </c>
      <c r="H902" s="32">
        <v>0.54166666666424135</v>
      </c>
      <c r="I902" s="29">
        <v>44743.583333333328</v>
      </c>
      <c r="J902" s="12" t="s">
        <v>4123</v>
      </c>
      <c r="L902" s="12" t="s">
        <v>4564</v>
      </c>
      <c r="M902" s="12" t="s">
        <v>3379</v>
      </c>
      <c r="N902" s="12" t="s">
        <v>4766</v>
      </c>
      <c r="O902" s="12" t="s">
        <v>3381</v>
      </c>
      <c r="P902" s="12" t="s">
        <v>4146</v>
      </c>
      <c r="AE902" s="32">
        <v>0.30208333333575865</v>
      </c>
      <c r="AF902" s="35"/>
    </row>
    <row r="903" spans="1:32" ht="12.75">
      <c r="A903" s="29">
        <v>44750.306807719906</v>
      </c>
      <c r="B903" s="12" t="s">
        <v>4604</v>
      </c>
      <c r="C903" s="12" t="s">
        <v>4061</v>
      </c>
      <c r="D903" s="12" t="s">
        <v>4257</v>
      </c>
      <c r="E903" s="12" t="s">
        <v>4744</v>
      </c>
      <c r="F903" s="30">
        <v>44750</v>
      </c>
      <c r="G903" s="12" t="s">
        <v>4767</v>
      </c>
      <c r="H903" s="32">
        <v>0.5</v>
      </c>
      <c r="I903" s="29">
        <v>44750.541666666672</v>
      </c>
      <c r="J903" s="12" t="s">
        <v>3366</v>
      </c>
      <c r="L903" s="12" t="s">
        <v>3299</v>
      </c>
      <c r="M903" s="12" t="s">
        <v>3379</v>
      </c>
      <c r="N903" s="12" t="s">
        <v>4768</v>
      </c>
      <c r="O903" s="12" t="s">
        <v>3381</v>
      </c>
      <c r="P903" s="12" t="s">
        <v>4146</v>
      </c>
      <c r="AE903" s="32">
        <v>0.30208333333575865</v>
      </c>
      <c r="AF903" s="35"/>
    </row>
    <row r="904" spans="1:32" ht="12.75">
      <c r="A904" s="29">
        <v>44753.308475717597</v>
      </c>
      <c r="B904" s="12" t="s">
        <v>3760</v>
      </c>
      <c r="C904" s="12" t="s">
        <v>4194</v>
      </c>
      <c r="D904" s="12" t="s">
        <v>4257</v>
      </c>
      <c r="E904" s="12" t="s">
        <v>3356</v>
      </c>
      <c r="F904" s="30">
        <v>44753</v>
      </c>
      <c r="G904" s="12" t="s">
        <v>4378</v>
      </c>
      <c r="H904" s="32">
        <v>0.375</v>
      </c>
      <c r="I904" s="29">
        <v>44753.385416666672</v>
      </c>
      <c r="J904" s="12" t="s">
        <v>4338</v>
      </c>
      <c r="L904" s="12" t="s">
        <v>3299</v>
      </c>
      <c r="M904" s="12" t="s">
        <v>3760</v>
      </c>
      <c r="N904" s="12" t="s">
        <v>4769</v>
      </c>
      <c r="O904" s="12" t="s">
        <v>4289</v>
      </c>
      <c r="P904" s="12" t="s">
        <v>4146</v>
      </c>
      <c r="AE904" s="32">
        <v>0.32638888889050577</v>
      </c>
      <c r="AF904" s="35"/>
    </row>
    <row r="905" spans="1:32" ht="12.75">
      <c r="A905" s="29">
        <v>44754.286579942127</v>
      </c>
      <c r="B905" s="12" t="s">
        <v>3390</v>
      </c>
      <c r="C905" s="12" t="s">
        <v>3391</v>
      </c>
      <c r="D905" s="12" t="s">
        <v>4257</v>
      </c>
      <c r="E905" s="12" t="s">
        <v>3834</v>
      </c>
      <c r="F905" s="30">
        <v>44754</v>
      </c>
      <c r="G905" s="12" t="s">
        <v>4770</v>
      </c>
      <c r="H905" s="32">
        <v>0.60416666666424135</v>
      </c>
      <c r="I905" s="29">
        <v>44754.625</v>
      </c>
      <c r="J905" s="12" t="s">
        <v>3377</v>
      </c>
      <c r="L905" s="12" t="s">
        <v>3393</v>
      </c>
      <c r="M905" s="12" t="s">
        <v>3454</v>
      </c>
      <c r="N905" s="12" t="s">
        <v>4771</v>
      </c>
      <c r="O905" s="12" t="s">
        <v>3390</v>
      </c>
      <c r="P905" s="12" t="s">
        <v>4146</v>
      </c>
      <c r="AE905" s="32">
        <v>0.3125</v>
      </c>
      <c r="AF905" s="35"/>
    </row>
    <row r="906" spans="1:32" ht="12.75">
      <c r="A906" s="29">
        <v>44754.409044398148</v>
      </c>
      <c r="B906" s="12" t="s">
        <v>3408</v>
      </c>
      <c r="C906" s="12" t="s">
        <v>3400</v>
      </c>
      <c r="D906" s="12" t="s">
        <v>4153</v>
      </c>
      <c r="E906" s="12" t="s">
        <v>4612</v>
      </c>
      <c r="F906" s="30">
        <v>44754</v>
      </c>
      <c r="G906" s="12" t="s">
        <v>4772</v>
      </c>
      <c r="H906" s="32">
        <v>0.58333333333575865</v>
      </c>
      <c r="J906" s="12" t="s">
        <v>3366</v>
      </c>
      <c r="L906" s="12" t="s">
        <v>4532</v>
      </c>
      <c r="M906" s="12" t="s">
        <v>3458</v>
      </c>
      <c r="N906" s="12" t="s">
        <v>4533</v>
      </c>
      <c r="O906" s="12" t="s">
        <v>3408</v>
      </c>
      <c r="P906" s="12" t="s">
        <v>4146</v>
      </c>
      <c r="AE906" s="32">
        <v>0.40625</v>
      </c>
      <c r="AF906" s="35"/>
    </row>
    <row r="907" spans="1:32" ht="12.75">
      <c r="A907" s="29">
        <v>44755.315310231483</v>
      </c>
      <c r="B907" s="12" t="s">
        <v>3760</v>
      </c>
      <c r="C907" s="12" t="s">
        <v>4194</v>
      </c>
      <c r="D907" s="12" t="s">
        <v>4257</v>
      </c>
      <c r="E907" s="12" t="s">
        <v>4773</v>
      </c>
      <c r="F907" s="30">
        <v>44755</v>
      </c>
      <c r="G907" s="12" t="s">
        <v>3357</v>
      </c>
      <c r="H907" s="32">
        <v>0.375</v>
      </c>
      <c r="I907" s="29">
        <v>44753.395833333328</v>
      </c>
      <c r="J907" s="12" t="s">
        <v>4338</v>
      </c>
      <c r="L907" s="12" t="s">
        <v>3299</v>
      </c>
      <c r="M907" s="12" t="s">
        <v>3760</v>
      </c>
      <c r="N907" s="12" t="s">
        <v>4774</v>
      </c>
      <c r="O907" s="12" t="s">
        <v>4289</v>
      </c>
      <c r="P907" s="12" t="s">
        <v>4146</v>
      </c>
      <c r="AE907" s="32">
        <v>0.33333333333575865</v>
      </c>
      <c r="AF907" s="35"/>
    </row>
    <row r="908" spans="1:32" ht="12.75">
      <c r="A908" s="29">
        <v>44767.458960104166</v>
      </c>
      <c r="B908" s="12" t="s">
        <v>3408</v>
      </c>
      <c r="C908" s="12" t="s">
        <v>3400</v>
      </c>
      <c r="D908" s="12" t="s">
        <v>4153</v>
      </c>
      <c r="E908" s="12" t="s">
        <v>4775</v>
      </c>
      <c r="F908" s="30">
        <v>44767</v>
      </c>
      <c r="G908" s="12" t="s">
        <v>4776</v>
      </c>
      <c r="H908" s="32">
        <v>0.58333333333575865</v>
      </c>
      <c r="J908" s="12" t="s">
        <v>3366</v>
      </c>
      <c r="L908" s="12" t="s">
        <v>4532</v>
      </c>
      <c r="M908" s="12" t="s">
        <v>3458</v>
      </c>
      <c r="N908" s="12" t="s">
        <v>4777</v>
      </c>
      <c r="O908" s="12" t="s">
        <v>3408</v>
      </c>
      <c r="P908" s="12" t="s">
        <v>4146</v>
      </c>
      <c r="AE908" s="32">
        <v>0.45833333333575865</v>
      </c>
      <c r="AF908" s="35"/>
    </row>
    <row r="909" spans="1:32" ht="12.75">
      <c r="A909" s="29">
        <v>44769.35373826389</v>
      </c>
      <c r="B909" s="12" t="s">
        <v>3408</v>
      </c>
      <c r="C909" s="12" t="s">
        <v>3400</v>
      </c>
      <c r="D909" s="12" t="s">
        <v>4153</v>
      </c>
      <c r="E909" s="12" t="s">
        <v>4254</v>
      </c>
      <c r="F909" s="30">
        <v>44769</v>
      </c>
      <c r="G909" s="12" t="s">
        <v>4057</v>
      </c>
      <c r="H909" s="32">
        <v>0.625</v>
      </c>
      <c r="J909" s="12" t="s">
        <v>3366</v>
      </c>
      <c r="L909" s="12" t="s">
        <v>4532</v>
      </c>
      <c r="M909" s="12" t="s">
        <v>3458</v>
      </c>
      <c r="N909" s="12" t="s">
        <v>4009</v>
      </c>
      <c r="O909" s="12" t="s">
        <v>3408</v>
      </c>
      <c r="P909" s="12" t="s">
        <v>4146</v>
      </c>
      <c r="AE909" s="32">
        <v>0.41666666666424135</v>
      </c>
      <c r="AF909" s="35"/>
    </row>
    <row r="910" spans="1:32" ht="12.75">
      <c r="A910" s="29">
        <v>44776.319026215278</v>
      </c>
      <c r="B910" s="12" t="s">
        <v>4604</v>
      </c>
      <c r="C910" s="12" t="s">
        <v>4061</v>
      </c>
      <c r="D910" s="12" t="s">
        <v>4257</v>
      </c>
      <c r="E910" s="12" t="s">
        <v>3687</v>
      </c>
      <c r="F910" s="30">
        <v>44776</v>
      </c>
      <c r="G910" s="12" t="s">
        <v>4778</v>
      </c>
      <c r="H910" s="32">
        <v>0.5</v>
      </c>
      <c r="I910" s="29">
        <v>44776.520833333328</v>
      </c>
      <c r="J910" s="12" t="s">
        <v>4123</v>
      </c>
      <c r="L910" s="12" t="s">
        <v>4564</v>
      </c>
      <c r="M910" s="12" t="s">
        <v>3379</v>
      </c>
      <c r="N910" s="12" t="s">
        <v>4779</v>
      </c>
      <c r="O910" s="12" t="s">
        <v>3381</v>
      </c>
      <c r="P910" s="12" t="s">
        <v>4146</v>
      </c>
      <c r="AE910" s="32">
        <v>0.3125</v>
      </c>
      <c r="AF910" s="35"/>
    </row>
    <row r="911" spans="1:32" ht="12.75">
      <c r="A911" s="29">
        <v>44776.324089456015</v>
      </c>
      <c r="B911" s="12" t="s">
        <v>3390</v>
      </c>
      <c r="C911" s="12" t="s">
        <v>3391</v>
      </c>
      <c r="D911" s="12" t="s">
        <v>4257</v>
      </c>
      <c r="E911" s="12" t="s">
        <v>3778</v>
      </c>
      <c r="F911" s="30">
        <v>44776</v>
      </c>
      <c r="G911" s="12" t="s">
        <v>3520</v>
      </c>
      <c r="H911" s="32">
        <v>0.64583333333575865</v>
      </c>
      <c r="I911" s="29">
        <v>44776.666666666672</v>
      </c>
      <c r="J911" s="12" t="s">
        <v>3366</v>
      </c>
      <c r="L911" s="12" t="s">
        <v>3393</v>
      </c>
      <c r="M911" s="12" t="s">
        <v>4032</v>
      </c>
      <c r="O911" s="12" t="s">
        <v>3390</v>
      </c>
      <c r="P911" s="12" t="s">
        <v>4146</v>
      </c>
      <c r="AE911" s="32">
        <v>0.4375</v>
      </c>
      <c r="AF911" s="35"/>
    </row>
    <row r="912" spans="1:32" ht="12.75">
      <c r="A912" s="29">
        <v>44778.363986087963</v>
      </c>
      <c r="B912" s="12" t="s">
        <v>4384</v>
      </c>
      <c r="C912" s="12" t="s">
        <v>4577</v>
      </c>
      <c r="D912" s="12" t="s">
        <v>4153</v>
      </c>
      <c r="E912" s="12" t="s">
        <v>4780</v>
      </c>
      <c r="F912" s="30">
        <v>44778</v>
      </c>
      <c r="G912" s="12" t="s">
        <v>4781</v>
      </c>
      <c r="H912" s="32">
        <v>0.58333333333575865</v>
      </c>
      <c r="I912" s="29">
        <v>44778.625</v>
      </c>
      <c r="J912" s="12" t="s">
        <v>3377</v>
      </c>
      <c r="L912" s="12" t="s">
        <v>3299</v>
      </c>
      <c r="M912" s="12" t="s">
        <v>3379</v>
      </c>
      <c r="N912" s="12" t="s">
        <v>4384</v>
      </c>
      <c r="O912" s="12" t="s">
        <v>4384</v>
      </c>
      <c r="P912" s="12" t="s">
        <v>4146</v>
      </c>
      <c r="AE912" s="32">
        <v>0.375</v>
      </c>
      <c r="AF912" s="35"/>
    </row>
    <row r="913" spans="1:32" ht="12.75">
      <c r="A913" s="29">
        <v>44781.670803587964</v>
      </c>
      <c r="B913" s="12" t="s">
        <v>3390</v>
      </c>
      <c r="C913" s="12" t="s">
        <v>3391</v>
      </c>
      <c r="D913" s="12" t="s">
        <v>4257</v>
      </c>
      <c r="E913" s="12" t="s">
        <v>3834</v>
      </c>
      <c r="F913" s="30">
        <v>44782</v>
      </c>
      <c r="G913" s="12" t="s">
        <v>3465</v>
      </c>
      <c r="H913" s="32">
        <v>0.53125</v>
      </c>
      <c r="I913" s="29">
        <v>44782.541666666672</v>
      </c>
      <c r="J913" s="12" t="s">
        <v>3377</v>
      </c>
      <c r="L913" s="12" t="s">
        <v>3299</v>
      </c>
      <c r="M913" s="12" t="s">
        <v>4782</v>
      </c>
      <c r="N913" s="12" t="s">
        <v>4764</v>
      </c>
      <c r="O913" s="12" t="s">
        <v>3390</v>
      </c>
      <c r="P913" s="12" t="s">
        <v>4146</v>
      </c>
      <c r="AE913" s="32">
        <v>0.28125</v>
      </c>
      <c r="AF913" s="35"/>
    </row>
    <row r="914" spans="1:32" ht="12.75">
      <c r="A914" s="29">
        <v>44782.30410429398</v>
      </c>
      <c r="B914" s="12" t="s">
        <v>3760</v>
      </c>
      <c r="C914" s="12" t="s">
        <v>4194</v>
      </c>
      <c r="D914" s="12" t="s">
        <v>4257</v>
      </c>
      <c r="E914" s="12" t="s">
        <v>4307</v>
      </c>
      <c r="F914" s="30">
        <v>44782</v>
      </c>
      <c r="G914" s="12" t="s">
        <v>3419</v>
      </c>
      <c r="H914" s="32">
        <v>0.375</v>
      </c>
      <c r="I914" s="29">
        <v>44782.395833333328</v>
      </c>
      <c r="J914" s="12" t="s">
        <v>4338</v>
      </c>
      <c r="L914" s="12" t="s">
        <v>3393</v>
      </c>
      <c r="M914" s="12" t="s">
        <v>4783</v>
      </c>
      <c r="N914" s="12" t="s">
        <v>4784</v>
      </c>
      <c r="O914" s="12" t="s">
        <v>4289</v>
      </c>
      <c r="P914" s="12" t="s">
        <v>4146</v>
      </c>
      <c r="AE914" s="32">
        <v>0.3125</v>
      </c>
      <c r="AF914" s="35"/>
    </row>
    <row r="915" spans="1:32" ht="12.75">
      <c r="A915" s="29">
        <v>44782.340985381947</v>
      </c>
      <c r="B915" s="12" t="s">
        <v>3408</v>
      </c>
      <c r="C915" s="12" t="s">
        <v>3400</v>
      </c>
      <c r="D915" s="12" t="s">
        <v>4153</v>
      </c>
      <c r="E915" s="12" t="s">
        <v>4695</v>
      </c>
      <c r="F915" s="30">
        <v>44782</v>
      </c>
      <c r="G915" s="12" t="s">
        <v>4057</v>
      </c>
      <c r="H915" s="32">
        <v>0.625</v>
      </c>
      <c r="J915" s="12" t="s">
        <v>3366</v>
      </c>
      <c r="L915" s="12" t="s">
        <v>4532</v>
      </c>
      <c r="M915" s="12" t="s">
        <v>3458</v>
      </c>
      <c r="N915" s="12" t="s">
        <v>4009</v>
      </c>
      <c r="O915" s="12" t="s">
        <v>3408</v>
      </c>
      <c r="P915" s="12" t="s">
        <v>4146</v>
      </c>
      <c r="AE915" s="32">
        <v>0.4375</v>
      </c>
      <c r="AF915" s="35"/>
    </row>
    <row r="916" spans="1:32" ht="12.75">
      <c r="A916" s="29">
        <v>44783.308461921297</v>
      </c>
      <c r="B916" s="12" t="s">
        <v>4586</v>
      </c>
      <c r="C916" s="12" t="s">
        <v>4785</v>
      </c>
      <c r="D916" s="12" t="s">
        <v>3417</v>
      </c>
      <c r="E916" s="12" t="s">
        <v>4786</v>
      </c>
      <c r="F916" s="30">
        <v>44783</v>
      </c>
      <c r="G916" s="12" t="s">
        <v>4787</v>
      </c>
      <c r="H916" s="32">
        <v>0.47916666666424135</v>
      </c>
      <c r="I916" s="29">
        <v>44783.541666666672</v>
      </c>
      <c r="J916" s="12" t="s">
        <v>3358</v>
      </c>
      <c r="K916" s="12">
        <v>1</v>
      </c>
      <c r="L916" s="12" t="s">
        <v>4591</v>
      </c>
      <c r="M916" s="12" t="s">
        <v>4788</v>
      </c>
      <c r="N916" s="12" t="s">
        <v>3680</v>
      </c>
      <c r="O916" s="12" t="s">
        <v>4586</v>
      </c>
      <c r="P916" s="12" t="s">
        <v>4146</v>
      </c>
      <c r="AE916" s="32">
        <v>0.35416666666424135</v>
      </c>
      <c r="AF916" s="35"/>
    </row>
    <row r="917" spans="1:32" ht="12.75">
      <c r="A917" s="29">
        <v>44784.455404837965</v>
      </c>
      <c r="B917" s="12" t="s">
        <v>3390</v>
      </c>
      <c r="C917" s="12" t="s">
        <v>3391</v>
      </c>
      <c r="D917" s="12" t="s">
        <v>3470</v>
      </c>
      <c r="E917" s="12" t="s">
        <v>3599</v>
      </c>
      <c r="F917" s="30">
        <v>44784</v>
      </c>
      <c r="G917" s="12" t="s">
        <v>4789</v>
      </c>
      <c r="H917" s="32">
        <v>0.60416666666424135</v>
      </c>
      <c r="I917" s="29">
        <v>44784.645833333328</v>
      </c>
      <c r="J917" s="12" t="s">
        <v>3331</v>
      </c>
      <c r="L917" s="12" t="s">
        <v>3393</v>
      </c>
      <c r="M917" s="12" t="s">
        <v>4790</v>
      </c>
      <c r="O917" s="12" t="s">
        <v>3429</v>
      </c>
      <c r="P917" s="12" t="s">
        <v>4146</v>
      </c>
      <c r="AE917" s="32">
        <v>0.45486111110949423</v>
      </c>
      <c r="AF917" s="35"/>
    </row>
    <row r="918" spans="1:32" ht="12.75">
      <c r="A918" s="29">
        <v>44789.508300289352</v>
      </c>
      <c r="B918" s="12" t="s">
        <v>3390</v>
      </c>
      <c r="C918" s="12" t="s">
        <v>3391</v>
      </c>
      <c r="D918" s="12" t="s">
        <v>3470</v>
      </c>
      <c r="E918" s="12" t="s">
        <v>4115</v>
      </c>
      <c r="F918" s="30">
        <v>44789</v>
      </c>
      <c r="G918" s="12" t="s">
        <v>3520</v>
      </c>
      <c r="H918" s="32">
        <v>0.6875</v>
      </c>
      <c r="I918" s="29">
        <v>44789.708333333328</v>
      </c>
      <c r="J918" s="12" t="s">
        <v>3366</v>
      </c>
      <c r="L918" s="12" t="s">
        <v>3393</v>
      </c>
      <c r="M918" s="12" t="s">
        <v>4032</v>
      </c>
      <c r="O918" s="12" t="s">
        <v>3390</v>
      </c>
      <c r="P918" s="12" t="s">
        <v>4146</v>
      </c>
      <c r="AE918" s="32">
        <v>0.54166666666424135</v>
      </c>
      <c r="AF918" s="35"/>
    </row>
    <row r="919" spans="1:32" ht="12.75">
      <c r="A919" s="29">
        <v>44803.482569016203</v>
      </c>
      <c r="B919" s="12" t="s">
        <v>4604</v>
      </c>
      <c r="C919" s="12" t="s">
        <v>4061</v>
      </c>
      <c r="D919" s="12" t="s">
        <v>4257</v>
      </c>
      <c r="E919" s="12" t="s">
        <v>3687</v>
      </c>
      <c r="F919" s="30">
        <v>44803</v>
      </c>
      <c r="G919" s="12" t="s">
        <v>4791</v>
      </c>
      <c r="H919" s="32">
        <v>0.52083333333575865</v>
      </c>
      <c r="I919" s="29">
        <v>44803.645833333328</v>
      </c>
      <c r="J919" s="12" t="s">
        <v>4338</v>
      </c>
      <c r="L919" s="12" t="s">
        <v>3299</v>
      </c>
      <c r="M919" s="12" t="s">
        <v>3379</v>
      </c>
      <c r="N919" s="12" t="s">
        <v>4764</v>
      </c>
      <c r="O919" s="12" t="s">
        <v>3381</v>
      </c>
      <c r="P919" s="12" t="s">
        <v>4146</v>
      </c>
      <c r="AE919" s="32">
        <v>0.47916666666424135</v>
      </c>
      <c r="AF919" s="12" t="s">
        <v>4792</v>
      </c>
    </row>
    <row r="920" spans="1:32" ht="12.75">
      <c r="A920" s="29">
        <v>44803.570427974541</v>
      </c>
      <c r="B920" s="12" t="s">
        <v>4604</v>
      </c>
      <c r="C920" s="12" t="s">
        <v>4061</v>
      </c>
      <c r="D920" s="12" t="s">
        <v>4257</v>
      </c>
      <c r="E920" s="12" t="s">
        <v>3710</v>
      </c>
      <c r="F920" s="30">
        <v>44803</v>
      </c>
      <c r="G920" s="12" t="s">
        <v>4443</v>
      </c>
      <c r="H920" s="32">
        <v>0.61458333333575865</v>
      </c>
      <c r="I920" s="29">
        <v>44803.65625</v>
      </c>
      <c r="J920" s="12" t="s">
        <v>4338</v>
      </c>
      <c r="L920" s="12" t="s">
        <v>3299</v>
      </c>
      <c r="M920" s="12" t="s">
        <v>3379</v>
      </c>
      <c r="N920" s="12" t="s">
        <v>4764</v>
      </c>
      <c r="O920" s="12" t="s">
        <v>3381</v>
      </c>
      <c r="P920" s="12" t="s">
        <v>4146</v>
      </c>
      <c r="AE920" s="32">
        <v>0.56944444444525288</v>
      </c>
      <c r="AF920" s="12" t="s">
        <v>4792</v>
      </c>
    </row>
    <row r="921" spans="1:32" ht="12.75">
      <c r="A921" s="29">
        <v>44804.384072442132</v>
      </c>
      <c r="B921" s="12" t="s">
        <v>3390</v>
      </c>
      <c r="C921" s="12" t="s">
        <v>3391</v>
      </c>
      <c r="D921" s="12" t="s">
        <v>3390</v>
      </c>
      <c r="E921" s="12" t="s">
        <v>3778</v>
      </c>
      <c r="F921" s="30">
        <v>44804</v>
      </c>
      <c r="G921" s="12" t="s">
        <v>4793</v>
      </c>
      <c r="H921" s="32">
        <v>0.625</v>
      </c>
      <c r="I921" s="29">
        <v>44804.645833333328</v>
      </c>
      <c r="J921" s="12" t="s">
        <v>4123</v>
      </c>
      <c r="L921" s="12" t="s">
        <v>3393</v>
      </c>
      <c r="M921" s="12" t="s">
        <v>4032</v>
      </c>
      <c r="O921" s="12" t="s">
        <v>3390</v>
      </c>
      <c r="P921" s="12" t="s">
        <v>4146</v>
      </c>
      <c r="AE921" s="32">
        <v>0.4375</v>
      </c>
      <c r="AF921" s="12" t="s">
        <v>4146</v>
      </c>
    </row>
    <row r="922" spans="1:32" ht="12.75">
      <c r="A922" s="29">
        <v>44804.427031238425</v>
      </c>
      <c r="B922" s="12" t="s">
        <v>4604</v>
      </c>
      <c r="C922" s="12" t="s">
        <v>4061</v>
      </c>
      <c r="D922" s="12" t="s">
        <v>4257</v>
      </c>
      <c r="E922" s="12" t="s">
        <v>3435</v>
      </c>
      <c r="F922" s="30">
        <v>44804</v>
      </c>
      <c r="G922" s="12" t="s">
        <v>4794</v>
      </c>
      <c r="H922" s="32">
        <v>0.625</v>
      </c>
      <c r="I922" s="29">
        <v>44804.645833333328</v>
      </c>
      <c r="J922" s="12" t="s">
        <v>3331</v>
      </c>
      <c r="L922" s="12" t="s">
        <v>3299</v>
      </c>
      <c r="M922" s="12" t="s">
        <v>3379</v>
      </c>
      <c r="N922" s="12" t="s">
        <v>4795</v>
      </c>
      <c r="O922" s="12" t="s">
        <v>3381</v>
      </c>
      <c r="P922" s="12" t="s">
        <v>4146</v>
      </c>
      <c r="AE922" s="32">
        <v>0.41666666666424135</v>
      </c>
      <c r="AF922" s="12" t="s">
        <v>4792</v>
      </c>
    </row>
    <row r="923" spans="1:32" ht="12.75">
      <c r="A923" s="29">
        <v>44811.310706793985</v>
      </c>
      <c r="B923" s="12" t="s">
        <v>3760</v>
      </c>
      <c r="C923" s="12" t="s">
        <v>4194</v>
      </c>
      <c r="D923" s="12" t="s">
        <v>4257</v>
      </c>
      <c r="E923" s="12" t="s">
        <v>3419</v>
      </c>
      <c r="F923" s="30">
        <v>44811</v>
      </c>
      <c r="G923" s="12" t="s">
        <v>4378</v>
      </c>
      <c r="H923" s="32">
        <v>0.39583333333575865</v>
      </c>
      <c r="I923" s="29">
        <v>44811.40625</v>
      </c>
      <c r="J923" s="12" t="s">
        <v>4338</v>
      </c>
      <c r="L923" s="12" t="s">
        <v>3299</v>
      </c>
      <c r="M923" s="12" t="s">
        <v>4796</v>
      </c>
      <c r="N923" s="12" t="s">
        <v>4784</v>
      </c>
      <c r="O923" s="12" t="s">
        <v>3760</v>
      </c>
      <c r="P923" s="12" t="s">
        <v>4792</v>
      </c>
      <c r="AE923" s="32">
        <v>0.3125</v>
      </c>
      <c r="AF923" s="12" t="s">
        <v>4792</v>
      </c>
    </row>
    <row r="924" spans="1:32" ht="12.75">
      <c r="A924" s="29">
        <v>44812.506200717587</v>
      </c>
      <c r="B924" s="12" t="s">
        <v>4604</v>
      </c>
      <c r="C924" s="12" t="s">
        <v>4061</v>
      </c>
      <c r="D924" s="12" t="s">
        <v>4257</v>
      </c>
      <c r="E924" s="12" t="s">
        <v>4621</v>
      </c>
      <c r="F924" s="30">
        <v>44812</v>
      </c>
      <c r="G924" s="12" t="s">
        <v>4797</v>
      </c>
      <c r="H924" s="32">
        <v>0.625</v>
      </c>
      <c r="I924" s="29">
        <v>44812.645833333328</v>
      </c>
      <c r="J924" s="12" t="s">
        <v>3331</v>
      </c>
      <c r="L924" s="12" t="s">
        <v>3393</v>
      </c>
      <c r="M924" s="12" t="s">
        <v>3379</v>
      </c>
      <c r="N924" s="12" t="s">
        <v>4764</v>
      </c>
      <c r="O924" s="12" t="s">
        <v>3381</v>
      </c>
      <c r="P924" s="12" t="s">
        <v>4146</v>
      </c>
      <c r="AE924" s="32">
        <v>0.5</v>
      </c>
      <c r="AF924" s="12" t="s">
        <v>4792</v>
      </c>
    </row>
    <row r="925" spans="1:32" ht="12.75">
      <c r="A925" s="29">
        <v>44813.420641319448</v>
      </c>
      <c r="B925" s="12" t="s">
        <v>4604</v>
      </c>
      <c r="C925" s="12" t="s">
        <v>4061</v>
      </c>
      <c r="D925" s="12" t="s">
        <v>4257</v>
      </c>
      <c r="E925" s="12" t="s">
        <v>3435</v>
      </c>
      <c r="F925" s="30">
        <v>44813</v>
      </c>
      <c r="G925" s="12" t="s">
        <v>4332</v>
      </c>
      <c r="H925" s="32">
        <v>0.58333333333575865</v>
      </c>
      <c r="I925" s="29">
        <v>44813.604166666672</v>
      </c>
      <c r="J925" s="12" t="s">
        <v>3331</v>
      </c>
      <c r="L925" s="12" t="s">
        <v>3393</v>
      </c>
      <c r="M925" s="12" t="s">
        <v>3379</v>
      </c>
      <c r="N925" s="12" t="s">
        <v>4764</v>
      </c>
      <c r="O925" s="12" t="s">
        <v>3381</v>
      </c>
      <c r="P925" s="12" t="s">
        <v>4146</v>
      </c>
      <c r="AE925" s="32">
        <v>0.41666666666424135</v>
      </c>
      <c r="AF925" s="12" t="s">
        <v>4792</v>
      </c>
    </row>
    <row r="926" spans="1:32" ht="12.75">
      <c r="A926" s="29">
        <v>44816.408769571761</v>
      </c>
      <c r="B926" s="12" t="s">
        <v>3390</v>
      </c>
      <c r="C926" s="12" t="s">
        <v>3391</v>
      </c>
      <c r="D926" s="12" t="s">
        <v>4257</v>
      </c>
      <c r="E926" s="12" t="s">
        <v>3482</v>
      </c>
      <c r="F926" s="30">
        <v>44816</v>
      </c>
      <c r="G926" s="12" t="s">
        <v>3465</v>
      </c>
      <c r="H926" s="32">
        <v>0.61458333333575865</v>
      </c>
      <c r="I926" s="29">
        <v>44816.625</v>
      </c>
      <c r="J926" s="12" t="s">
        <v>3331</v>
      </c>
      <c r="L926" s="12" t="s">
        <v>3393</v>
      </c>
      <c r="M926" s="12" t="s">
        <v>3454</v>
      </c>
      <c r="N926" s="12" t="s">
        <v>4764</v>
      </c>
      <c r="O926" s="12" t="s">
        <v>3390</v>
      </c>
      <c r="P926" s="12" t="s">
        <v>4792</v>
      </c>
      <c r="AE926" s="32">
        <v>0.40625</v>
      </c>
      <c r="AF926" s="12" t="s">
        <v>4792</v>
      </c>
    </row>
    <row r="927" spans="1:32" ht="12.75">
      <c r="A927" s="29">
        <v>44818.352559189814</v>
      </c>
      <c r="B927" s="12" t="s">
        <v>3390</v>
      </c>
      <c r="C927" s="12" t="s">
        <v>3391</v>
      </c>
      <c r="D927" s="12" t="s">
        <v>3470</v>
      </c>
      <c r="E927" s="12" t="s">
        <v>3482</v>
      </c>
      <c r="F927" s="30">
        <v>44818</v>
      </c>
      <c r="G927" s="12" t="s">
        <v>3465</v>
      </c>
      <c r="H927" s="32">
        <v>0.58333333333575865</v>
      </c>
      <c r="I927" s="29">
        <v>44818.604166666672</v>
      </c>
      <c r="J927" s="12" t="s">
        <v>3331</v>
      </c>
      <c r="L927" s="12" t="s">
        <v>3393</v>
      </c>
      <c r="M927" s="12" t="s">
        <v>4032</v>
      </c>
      <c r="O927" s="12" t="s">
        <v>3390</v>
      </c>
      <c r="P927" s="12" t="s">
        <v>4146</v>
      </c>
      <c r="AE927" s="32">
        <v>0.39583333333575865</v>
      </c>
      <c r="AF927" s="12" t="s">
        <v>4792</v>
      </c>
    </row>
    <row r="928" spans="1:32" ht="12.75">
      <c r="A928" s="29">
        <v>44819.384829444447</v>
      </c>
      <c r="B928" s="12" t="s">
        <v>4604</v>
      </c>
      <c r="C928" s="12" t="s">
        <v>4061</v>
      </c>
      <c r="D928" s="12" t="s">
        <v>3390</v>
      </c>
      <c r="E928" s="12" t="s">
        <v>3482</v>
      </c>
      <c r="F928" s="30">
        <v>44819</v>
      </c>
      <c r="G928" s="12" t="s">
        <v>3900</v>
      </c>
      <c r="H928" s="32">
        <v>0.5</v>
      </c>
      <c r="I928" s="29">
        <v>44819.520833333328</v>
      </c>
      <c r="J928" s="12" t="s">
        <v>3331</v>
      </c>
      <c r="L928" s="12" t="s">
        <v>3393</v>
      </c>
      <c r="M928" s="12" t="s">
        <v>3300</v>
      </c>
      <c r="N928" s="12" t="s">
        <v>4798</v>
      </c>
      <c r="O928" s="12" t="s">
        <v>3381</v>
      </c>
      <c r="P928" s="12" t="s">
        <v>4146</v>
      </c>
      <c r="AE928" s="32">
        <v>0.375</v>
      </c>
      <c r="AF928" s="12" t="s">
        <v>4792</v>
      </c>
    </row>
    <row r="929" spans="1:32" ht="12.75">
      <c r="A929" s="29">
        <v>44823.367980787036</v>
      </c>
      <c r="B929" s="12" t="s">
        <v>4604</v>
      </c>
      <c r="C929" s="12" t="s">
        <v>4061</v>
      </c>
      <c r="D929" s="12" t="s">
        <v>4257</v>
      </c>
      <c r="E929" s="12" t="s">
        <v>4799</v>
      </c>
      <c r="F929" s="30">
        <v>44823</v>
      </c>
      <c r="G929" s="12" t="s">
        <v>3587</v>
      </c>
      <c r="H929" s="32">
        <v>0.41666666666424135</v>
      </c>
      <c r="I929" s="29">
        <v>44823.4375</v>
      </c>
      <c r="J929" s="12" t="s">
        <v>4338</v>
      </c>
      <c r="L929" s="12" t="s">
        <v>3299</v>
      </c>
      <c r="M929" s="12" t="s">
        <v>3379</v>
      </c>
      <c r="N929" s="12" t="s">
        <v>4800</v>
      </c>
      <c r="O929" s="12" t="s">
        <v>3381</v>
      </c>
      <c r="P929" s="12" t="s">
        <v>4146</v>
      </c>
      <c r="AE929" s="32">
        <v>0.375</v>
      </c>
      <c r="AF929" s="12" t="s">
        <v>4792</v>
      </c>
    </row>
    <row r="930" spans="1:32" ht="12.75">
      <c r="A930" s="29">
        <v>44825.287856597221</v>
      </c>
      <c r="B930" s="12" t="s">
        <v>3408</v>
      </c>
      <c r="C930" s="12" t="s">
        <v>3400</v>
      </c>
      <c r="D930" s="12" t="s">
        <v>4153</v>
      </c>
      <c r="E930" s="12" t="s">
        <v>4801</v>
      </c>
      <c r="F930" s="30">
        <v>44825</v>
      </c>
      <c r="G930" s="12" t="s">
        <v>4057</v>
      </c>
      <c r="H930" s="32">
        <v>0.625</v>
      </c>
      <c r="J930" s="12" t="s">
        <v>3366</v>
      </c>
      <c r="L930" s="12" t="s">
        <v>4532</v>
      </c>
      <c r="M930" s="12" t="s">
        <v>3458</v>
      </c>
      <c r="N930" s="12" t="s">
        <v>4802</v>
      </c>
      <c r="O930" s="12" t="s">
        <v>3408</v>
      </c>
      <c r="AE930" s="32">
        <v>0.41666666666424135</v>
      </c>
      <c r="AF930" s="12" t="s">
        <v>4803</v>
      </c>
    </row>
    <row r="931" spans="1:32" ht="12.75">
      <c r="A931" s="29">
        <v>44829.462260555556</v>
      </c>
      <c r="B931" s="12" t="s">
        <v>4604</v>
      </c>
      <c r="C931" s="12" t="s">
        <v>4061</v>
      </c>
      <c r="D931" s="12" t="s">
        <v>4257</v>
      </c>
      <c r="E931" s="12" t="s">
        <v>3482</v>
      </c>
      <c r="F931" s="30">
        <v>44829</v>
      </c>
      <c r="G931" s="12" t="s">
        <v>4804</v>
      </c>
      <c r="H931" s="32">
        <v>0.625</v>
      </c>
      <c r="I931" s="29">
        <v>44829.645833333328</v>
      </c>
      <c r="J931" s="12" t="s">
        <v>3331</v>
      </c>
      <c r="L931" s="12" t="s">
        <v>3393</v>
      </c>
      <c r="M931" s="12" t="s">
        <v>3379</v>
      </c>
      <c r="N931" s="12" t="s">
        <v>4764</v>
      </c>
      <c r="O931" s="12" t="s">
        <v>4805</v>
      </c>
      <c r="AE931" s="32">
        <v>0.45833333333575865</v>
      </c>
      <c r="AF931" s="12" t="s">
        <v>4803</v>
      </c>
    </row>
    <row r="932" spans="1:32" ht="12.75">
      <c r="A932" s="29">
        <v>44829.60867869213</v>
      </c>
      <c r="B932" s="12" t="s">
        <v>4604</v>
      </c>
      <c r="C932" s="12" t="s">
        <v>4061</v>
      </c>
      <c r="D932" s="12" t="s">
        <v>4257</v>
      </c>
      <c r="E932" s="12" t="s">
        <v>4806</v>
      </c>
      <c r="F932" s="30">
        <v>44829</v>
      </c>
      <c r="G932" s="12" t="s">
        <v>4089</v>
      </c>
      <c r="H932" s="32">
        <v>0.6875</v>
      </c>
      <c r="I932" s="29">
        <v>44829.708333333328</v>
      </c>
      <c r="J932" s="12" t="s">
        <v>3331</v>
      </c>
      <c r="L932" s="12" t="s">
        <v>3393</v>
      </c>
      <c r="M932" s="12" t="s">
        <v>3379</v>
      </c>
      <c r="N932" s="12" t="s">
        <v>4764</v>
      </c>
      <c r="O932" s="12" t="s">
        <v>4807</v>
      </c>
      <c r="AE932" s="32">
        <v>0.60416666666424135</v>
      </c>
      <c r="AF932" s="12" t="s">
        <v>4803</v>
      </c>
    </row>
    <row r="933" spans="1:32" ht="12.75">
      <c r="A933" s="29">
        <v>44830.41766712963</v>
      </c>
      <c r="B933" s="12" t="s">
        <v>4604</v>
      </c>
      <c r="C933" s="12" t="s">
        <v>4061</v>
      </c>
      <c r="D933" s="12" t="s">
        <v>4257</v>
      </c>
      <c r="E933" s="12" t="s">
        <v>4100</v>
      </c>
      <c r="F933" s="30">
        <v>44830</v>
      </c>
      <c r="G933" s="12" t="s">
        <v>4763</v>
      </c>
      <c r="H933" s="32">
        <v>0.54166666666424135</v>
      </c>
      <c r="I933" s="29">
        <v>44830.583333333328</v>
      </c>
      <c r="J933" s="12" t="s">
        <v>3331</v>
      </c>
      <c r="L933" s="12" t="s">
        <v>3393</v>
      </c>
      <c r="M933" s="12" t="s">
        <v>3379</v>
      </c>
      <c r="N933" s="12" t="s">
        <v>4764</v>
      </c>
      <c r="O933" s="12" t="s">
        <v>4805</v>
      </c>
      <c r="AE933" s="32">
        <v>0.40625</v>
      </c>
      <c r="AF933" s="12" t="s">
        <v>4803</v>
      </c>
    </row>
    <row r="934" spans="1:32" ht="12.75">
      <c r="A934" s="29">
        <v>44831.39104800926</v>
      </c>
      <c r="B934" s="12" t="s">
        <v>3390</v>
      </c>
      <c r="C934" s="12" t="s">
        <v>3391</v>
      </c>
      <c r="D934" s="12" t="s">
        <v>4257</v>
      </c>
      <c r="E934" s="12" t="s">
        <v>3482</v>
      </c>
      <c r="F934" s="30">
        <v>44831</v>
      </c>
      <c r="G934" s="12" t="s">
        <v>3465</v>
      </c>
      <c r="H934" s="32">
        <v>0.61458333333575865</v>
      </c>
      <c r="I934" s="29">
        <v>44831.635416666672</v>
      </c>
      <c r="J934" s="12" t="s">
        <v>3366</v>
      </c>
      <c r="L934" s="12" t="s">
        <v>4532</v>
      </c>
      <c r="M934" s="12" t="s">
        <v>4032</v>
      </c>
      <c r="O934" s="12" t="s">
        <v>3390</v>
      </c>
      <c r="AE934" s="32">
        <v>0.4375</v>
      </c>
      <c r="AF934" s="12" t="s">
        <v>4803</v>
      </c>
    </row>
    <row r="935" spans="1:32" ht="12.75">
      <c r="A935" s="29">
        <v>44839.370343113427</v>
      </c>
      <c r="B935" s="12" t="s">
        <v>3390</v>
      </c>
      <c r="C935" s="12" t="s">
        <v>3391</v>
      </c>
      <c r="D935" s="12" t="s">
        <v>4257</v>
      </c>
      <c r="E935" s="12" t="s">
        <v>3482</v>
      </c>
      <c r="F935" s="30">
        <v>44839</v>
      </c>
      <c r="G935" s="12" t="s">
        <v>4808</v>
      </c>
      <c r="H935" s="32">
        <v>0.54166666666424135</v>
      </c>
      <c r="I935" s="29">
        <v>44839.5625</v>
      </c>
      <c r="J935" s="12" t="s">
        <v>3331</v>
      </c>
      <c r="L935" s="12" t="s">
        <v>3299</v>
      </c>
      <c r="M935" s="12" t="s">
        <v>3591</v>
      </c>
      <c r="O935" s="12" t="s">
        <v>3470</v>
      </c>
      <c r="AE935" s="32">
        <v>0.41666666666424135</v>
      </c>
      <c r="AF935" s="12" t="s">
        <v>4803</v>
      </c>
    </row>
    <row r="936" spans="1:32" ht="12.75">
      <c r="A936" s="29">
        <v>44840.297067662032</v>
      </c>
      <c r="B936" s="12" t="s">
        <v>3760</v>
      </c>
      <c r="C936" s="12" t="s">
        <v>4330</v>
      </c>
      <c r="D936" s="12" t="s">
        <v>4257</v>
      </c>
      <c r="E936" s="12" t="s">
        <v>3419</v>
      </c>
      <c r="F936" s="30">
        <v>44840</v>
      </c>
      <c r="G936" s="12" t="s">
        <v>3419</v>
      </c>
      <c r="H936" s="32">
        <v>0.36458333333575865</v>
      </c>
      <c r="I936" s="29">
        <v>44840.375</v>
      </c>
      <c r="J936" s="12" t="s">
        <v>4338</v>
      </c>
      <c r="L936" s="12" t="s">
        <v>3393</v>
      </c>
      <c r="M936" s="12" t="s">
        <v>4796</v>
      </c>
      <c r="N936" s="12" t="s">
        <v>4784</v>
      </c>
      <c r="O936" s="12" t="s">
        <v>4289</v>
      </c>
      <c r="AE936" s="32">
        <v>0.30208333333575865</v>
      </c>
      <c r="AF936" s="12" t="s">
        <v>4803</v>
      </c>
    </row>
    <row r="937" spans="1:32" ht="12.75">
      <c r="A937" s="29">
        <v>44844.291482939814</v>
      </c>
      <c r="B937" s="12" t="s">
        <v>3390</v>
      </c>
      <c r="C937" s="12" t="s">
        <v>3391</v>
      </c>
      <c r="D937" s="12" t="s">
        <v>4257</v>
      </c>
      <c r="E937" s="12" t="s">
        <v>3482</v>
      </c>
      <c r="F937" s="30">
        <v>44844</v>
      </c>
      <c r="G937" s="12" t="s">
        <v>3465</v>
      </c>
      <c r="H937" s="32">
        <v>0.54166666666424135</v>
      </c>
      <c r="I937" s="29">
        <v>44844.5625</v>
      </c>
      <c r="J937" s="12" t="s">
        <v>3331</v>
      </c>
      <c r="L937" s="12" t="s">
        <v>3393</v>
      </c>
      <c r="M937" s="12" t="s">
        <v>3454</v>
      </c>
      <c r="N937" s="12" t="s">
        <v>4764</v>
      </c>
      <c r="O937" s="12" t="s">
        <v>3767</v>
      </c>
      <c r="AE937" s="32">
        <v>0.375</v>
      </c>
      <c r="AF937" s="12" t="s">
        <v>4803</v>
      </c>
    </row>
    <row r="938" spans="1:32" ht="12.75">
      <c r="A938" s="29">
        <v>44845.418262164356</v>
      </c>
      <c r="B938" s="12" t="s">
        <v>3390</v>
      </c>
      <c r="C938" s="12" t="s">
        <v>3391</v>
      </c>
      <c r="D938" s="12" t="s">
        <v>3470</v>
      </c>
      <c r="E938" s="12" t="s">
        <v>3482</v>
      </c>
      <c r="F938" s="30">
        <v>44845</v>
      </c>
      <c r="G938" s="12" t="s">
        <v>3465</v>
      </c>
      <c r="H938" s="32">
        <v>0.58333333333575865</v>
      </c>
      <c r="I938" s="29">
        <v>44845.604166666672</v>
      </c>
      <c r="J938" s="12" t="s">
        <v>3331</v>
      </c>
      <c r="L938" s="12" t="s">
        <v>3393</v>
      </c>
      <c r="M938" s="12" t="s">
        <v>4032</v>
      </c>
      <c r="O938" s="12" t="s">
        <v>3390</v>
      </c>
      <c r="AE938" s="32">
        <v>0.45833333333575865</v>
      </c>
      <c r="AF938" s="12" t="s">
        <v>4803</v>
      </c>
    </row>
    <row r="939" spans="1:32" ht="12.75">
      <c r="A939" s="29">
        <v>44847.392416168979</v>
      </c>
      <c r="B939" s="12" t="s">
        <v>4604</v>
      </c>
      <c r="C939" s="12" t="s">
        <v>4061</v>
      </c>
      <c r="D939" s="12" t="s">
        <v>4257</v>
      </c>
      <c r="E939" s="12" t="s">
        <v>4744</v>
      </c>
      <c r="F939" s="30">
        <v>44847</v>
      </c>
      <c r="G939" s="12" t="s">
        <v>4677</v>
      </c>
      <c r="H939" s="32">
        <v>0.5</v>
      </c>
      <c r="I939" s="29">
        <v>44847.541666666672</v>
      </c>
      <c r="J939" s="12" t="s">
        <v>4338</v>
      </c>
      <c r="L939" s="12" t="s">
        <v>3299</v>
      </c>
      <c r="M939" s="12" t="s">
        <v>3379</v>
      </c>
      <c r="N939" s="12" t="s">
        <v>4809</v>
      </c>
      <c r="O939" s="12" t="s">
        <v>4805</v>
      </c>
      <c r="AE939" s="32">
        <v>0.34375</v>
      </c>
      <c r="AF939" s="12" t="s">
        <v>4803</v>
      </c>
    </row>
    <row r="940" spans="1:32" ht="12.75">
      <c r="A940" s="29">
        <v>44848.324023032408</v>
      </c>
      <c r="B940" s="12" t="s">
        <v>4604</v>
      </c>
      <c r="C940" s="12" t="s">
        <v>4061</v>
      </c>
      <c r="D940" s="12" t="s">
        <v>4257</v>
      </c>
      <c r="E940" s="12" t="s">
        <v>3687</v>
      </c>
      <c r="F940" s="30">
        <v>44848</v>
      </c>
      <c r="G940" s="12" t="s">
        <v>4791</v>
      </c>
      <c r="H940" s="32">
        <v>0.5</v>
      </c>
      <c r="I940" s="29">
        <v>44848.541666666672</v>
      </c>
      <c r="J940" s="12" t="s">
        <v>4123</v>
      </c>
      <c r="L940" s="12" t="s">
        <v>3393</v>
      </c>
      <c r="M940" s="12" t="s">
        <v>3379</v>
      </c>
      <c r="N940" s="12" t="s">
        <v>4764</v>
      </c>
      <c r="O940" s="12" t="s">
        <v>4805</v>
      </c>
      <c r="AE940" s="32">
        <v>0.3125</v>
      </c>
      <c r="AF940" s="12" t="s">
        <v>4803</v>
      </c>
    </row>
    <row r="941" spans="1:32" ht="12.75">
      <c r="A941" s="29">
        <v>44851.335282777778</v>
      </c>
      <c r="B941" s="12" t="s">
        <v>4764</v>
      </c>
      <c r="C941" s="12" t="s">
        <v>4810</v>
      </c>
      <c r="D941" s="12" t="s">
        <v>4257</v>
      </c>
      <c r="E941" s="12" t="s">
        <v>4811</v>
      </c>
      <c r="F941" s="30">
        <v>44851</v>
      </c>
      <c r="G941" s="12" t="s">
        <v>4812</v>
      </c>
      <c r="H941" s="32">
        <v>0.625</v>
      </c>
      <c r="I941" s="29">
        <v>44851.666666666672</v>
      </c>
      <c r="J941" s="12" t="s">
        <v>4338</v>
      </c>
      <c r="L941" s="12" t="s">
        <v>3393</v>
      </c>
      <c r="M941" s="12" t="s">
        <v>3379</v>
      </c>
      <c r="N941" s="12" t="s">
        <v>4813</v>
      </c>
      <c r="O941" s="12" t="s">
        <v>3417</v>
      </c>
      <c r="AE941" s="32">
        <v>0.33333333333575865</v>
      </c>
      <c r="AF941" s="12" t="s">
        <v>4803</v>
      </c>
    </row>
    <row r="942" spans="1:32" ht="12.75">
      <c r="A942" s="29">
        <v>44852.401564942134</v>
      </c>
      <c r="B942" s="12" t="s">
        <v>4764</v>
      </c>
      <c r="C942" s="12" t="s">
        <v>4810</v>
      </c>
      <c r="D942" s="12" t="s">
        <v>4257</v>
      </c>
      <c r="E942" s="12" t="s">
        <v>4814</v>
      </c>
      <c r="F942" s="30">
        <v>44852</v>
      </c>
      <c r="G942" s="12" t="s">
        <v>4815</v>
      </c>
      <c r="H942" s="32">
        <v>0.58333333333575865</v>
      </c>
      <c r="I942" s="29">
        <v>44852.604166666672</v>
      </c>
      <c r="J942" s="12" t="s">
        <v>3331</v>
      </c>
      <c r="L942" s="12" t="s">
        <v>3393</v>
      </c>
      <c r="M942" s="12" t="s">
        <v>3379</v>
      </c>
      <c r="N942" s="12" t="s">
        <v>4816</v>
      </c>
      <c r="O942" s="12" t="s">
        <v>4764</v>
      </c>
      <c r="AE942" s="32">
        <v>0.41666666666424135</v>
      </c>
      <c r="AF942" s="12" t="s">
        <v>4803</v>
      </c>
    </row>
    <row r="943" spans="1:32" ht="12.75">
      <c r="A943" s="29">
        <v>44853.409115069444</v>
      </c>
      <c r="B943" s="12" t="s">
        <v>4764</v>
      </c>
      <c r="C943" s="12" t="s">
        <v>4810</v>
      </c>
      <c r="D943" s="12" t="s">
        <v>4257</v>
      </c>
      <c r="E943" s="12" t="s">
        <v>4811</v>
      </c>
      <c r="F943" s="30">
        <v>44853</v>
      </c>
      <c r="G943" s="12" t="s">
        <v>4817</v>
      </c>
      <c r="H943" s="32">
        <v>0.625</v>
      </c>
      <c r="I943" s="29">
        <v>44853.666666666672</v>
      </c>
      <c r="J943" s="12" t="s">
        <v>3331</v>
      </c>
      <c r="L943" s="12" t="s">
        <v>3393</v>
      </c>
      <c r="M943" s="12" t="s">
        <v>3379</v>
      </c>
      <c r="N943" s="12" t="s">
        <v>4818</v>
      </c>
      <c r="O943" s="12" t="s">
        <v>4764</v>
      </c>
      <c r="AE943" s="32">
        <v>0.41666666666424135</v>
      </c>
      <c r="AF943" s="12" t="s">
        <v>4803</v>
      </c>
    </row>
    <row r="944" spans="1:32" ht="12.75">
      <c r="A944" s="29">
        <v>44854.431701712965</v>
      </c>
      <c r="B944" s="12" t="s">
        <v>4764</v>
      </c>
      <c r="C944" s="12" t="s">
        <v>4810</v>
      </c>
      <c r="D944" s="12" t="s">
        <v>3390</v>
      </c>
      <c r="E944" s="12" t="s">
        <v>4819</v>
      </c>
      <c r="F944" s="30">
        <v>44854</v>
      </c>
      <c r="G944" s="12" t="s">
        <v>4820</v>
      </c>
      <c r="H944" s="32">
        <v>0.64583333333575865</v>
      </c>
      <c r="I944" s="29">
        <v>44854.666666666672</v>
      </c>
      <c r="J944" s="12" t="s">
        <v>3331</v>
      </c>
      <c r="L944" s="12" t="s">
        <v>3393</v>
      </c>
      <c r="M944" s="12" t="s">
        <v>3443</v>
      </c>
      <c r="N944" s="12" t="s">
        <v>4821</v>
      </c>
      <c r="O944" s="12" t="s">
        <v>4764</v>
      </c>
      <c r="AE944" s="32">
        <v>0.4375</v>
      </c>
      <c r="AF944" s="12" t="s">
        <v>4803</v>
      </c>
    </row>
    <row r="945" spans="1:32" ht="12.75">
      <c r="A945" s="29">
        <v>44855.469715312502</v>
      </c>
      <c r="B945" s="12" t="s">
        <v>4764</v>
      </c>
      <c r="C945" s="12" t="s">
        <v>4810</v>
      </c>
      <c r="D945" s="12" t="s">
        <v>4257</v>
      </c>
      <c r="E945" s="12" t="s">
        <v>4811</v>
      </c>
      <c r="F945" s="30">
        <v>44855</v>
      </c>
      <c r="G945" s="12" t="s">
        <v>4812</v>
      </c>
      <c r="H945" s="32">
        <v>0.71875</v>
      </c>
      <c r="I945" s="29">
        <v>44855.75</v>
      </c>
      <c r="J945" s="12" t="s">
        <v>3331</v>
      </c>
      <c r="L945" s="12" t="s">
        <v>3393</v>
      </c>
      <c r="M945" s="12" t="s">
        <v>3379</v>
      </c>
      <c r="N945" s="12" t="s">
        <v>4822</v>
      </c>
      <c r="O945" s="12" t="s">
        <v>4764</v>
      </c>
      <c r="AE945" s="32">
        <v>0.46875</v>
      </c>
      <c r="AF945" s="12" t="s">
        <v>4803</v>
      </c>
    </row>
    <row r="946" spans="1:32" ht="12.75">
      <c r="A946" s="29">
        <v>44858.43716700231</v>
      </c>
      <c r="B946" s="12" t="s">
        <v>4764</v>
      </c>
      <c r="C946" s="12" t="s">
        <v>4810</v>
      </c>
      <c r="D946" s="12" t="s">
        <v>3390</v>
      </c>
      <c r="E946" s="12" t="s">
        <v>4811</v>
      </c>
      <c r="F946" s="30">
        <v>44858</v>
      </c>
      <c r="G946" s="12" t="s">
        <v>4823</v>
      </c>
      <c r="H946" s="32">
        <v>0.66666666666424135</v>
      </c>
      <c r="I946" s="29">
        <v>44858.708333333328</v>
      </c>
      <c r="J946" s="12" t="s">
        <v>3331</v>
      </c>
      <c r="L946" s="12" t="s">
        <v>3393</v>
      </c>
      <c r="M946" s="12" t="s">
        <v>3379</v>
      </c>
      <c r="N946" s="12" t="s">
        <v>4764</v>
      </c>
      <c r="O946" s="12" t="s">
        <v>4764</v>
      </c>
      <c r="AE946" s="32">
        <v>0.4375</v>
      </c>
      <c r="AF946" s="12" t="s">
        <v>4803</v>
      </c>
    </row>
    <row r="947" spans="1:32" ht="12.75">
      <c r="A947" s="29">
        <v>44860.395862210644</v>
      </c>
      <c r="B947" s="12" t="s">
        <v>3390</v>
      </c>
      <c r="C947" s="12" t="s">
        <v>3391</v>
      </c>
      <c r="D947" s="12" t="s">
        <v>3470</v>
      </c>
      <c r="E947" s="12" t="s">
        <v>3834</v>
      </c>
      <c r="F947" s="30">
        <v>44860</v>
      </c>
      <c r="G947" s="12" t="s">
        <v>3465</v>
      </c>
      <c r="H947" s="32">
        <v>0.60416666666424135</v>
      </c>
      <c r="I947" s="29">
        <v>44860.625</v>
      </c>
      <c r="J947" s="12" t="s">
        <v>3331</v>
      </c>
      <c r="L947" s="12" t="s">
        <v>3393</v>
      </c>
      <c r="M947" s="12" t="s">
        <v>4032</v>
      </c>
      <c r="O947" s="12" t="s">
        <v>3390</v>
      </c>
      <c r="AE947" s="32">
        <v>0.4375</v>
      </c>
      <c r="AF947" s="12" t="s">
        <v>4803</v>
      </c>
    </row>
    <row r="948" spans="1:32" ht="12.75">
      <c r="A948" s="29">
        <v>44861.304339791663</v>
      </c>
      <c r="B948" s="12" t="s">
        <v>4604</v>
      </c>
      <c r="C948" s="12" t="s">
        <v>4061</v>
      </c>
      <c r="D948" s="12" t="s">
        <v>3470</v>
      </c>
      <c r="E948" s="12" t="s">
        <v>4744</v>
      </c>
      <c r="F948" s="30">
        <v>44861</v>
      </c>
      <c r="G948" s="12" t="s">
        <v>3492</v>
      </c>
      <c r="H948" s="32">
        <v>0.5</v>
      </c>
      <c r="I948" s="29">
        <v>44861.541666666672</v>
      </c>
      <c r="J948" s="12" t="s">
        <v>3331</v>
      </c>
      <c r="L948" s="12" t="s">
        <v>3393</v>
      </c>
      <c r="M948" s="12" t="s">
        <v>3379</v>
      </c>
      <c r="N948" s="12" t="s">
        <v>4764</v>
      </c>
      <c r="O948" s="12" t="s">
        <v>4805</v>
      </c>
      <c r="AE948" s="32">
        <v>0.32291666666424135</v>
      </c>
      <c r="AF948" s="12" t="s">
        <v>4803</v>
      </c>
    </row>
    <row r="949" spans="1:32" ht="12.75">
      <c r="A949" s="29">
        <v>44862.33035640046</v>
      </c>
      <c r="B949" s="12" t="s">
        <v>4604</v>
      </c>
      <c r="C949" s="12" t="s">
        <v>4061</v>
      </c>
      <c r="D949" s="12" t="s">
        <v>3470</v>
      </c>
      <c r="E949" s="12" t="s">
        <v>4744</v>
      </c>
      <c r="F949" s="30">
        <v>44862</v>
      </c>
      <c r="G949" s="12" t="s">
        <v>4765</v>
      </c>
      <c r="H949" s="32">
        <v>0.5</v>
      </c>
      <c r="I949" s="29">
        <v>44862.541666666672</v>
      </c>
      <c r="J949" s="12" t="s">
        <v>3331</v>
      </c>
      <c r="L949" s="12" t="s">
        <v>3393</v>
      </c>
      <c r="M949" s="12" t="s">
        <v>3379</v>
      </c>
      <c r="N949" s="12" t="s">
        <v>4764</v>
      </c>
      <c r="O949" s="12" t="s">
        <v>4805</v>
      </c>
      <c r="AE949" s="32">
        <v>0.32638888889050577</v>
      </c>
      <c r="AF949" s="12" t="s">
        <v>4803</v>
      </c>
    </row>
    <row r="950" spans="1:32" ht="12.75">
      <c r="A950" s="29">
        <v>44866.873920439815</v>
      </c>
      <c r="B950" s="12" t="s">
        <v>3408</v>
      </c>
      <c r="C950" s="12" t="s">
        <v>3400</v>
      </c>
      <c r="D950" s="12" t="s">
        <v>4153</v>
      </c>
      <c r="E950" s="12" t="s">
        <v>4824</v>
      </c>
      <c r="F950" s="30">
        <v>44867</v>
      </c>
      <c r="G950" s="12" t="s">
        <v>4825</v>
      </c>
      <c r="H950" s="32">
        <v>0.625</v>
      </c>
      <c r="J950" s="12" t="s">
        <v>3366</v>
      </c>
      <c r="L950" s="12" t="s">
        <v>4532</v>
      </c>
      <c r="M950" s="12" t="s">
        <v>3458</v>
      </c>
      <c r="N950" s="12" t="s">
        <v>4802</v>
      </c>
      <c r="O950" s="12" t="s">
        <v>3408</v>
      </c>
      <c r="AE950" s="32">
        <v>0.41666666666424135</v>
      </c>
      <c r="AF950" s="12" t="s">
        <v>4803</v>
      </c>
    </row>
    <row r="951" spans="1:32" ht="12.75">
      <c r="A951" s="29">
        <v>44868.257432962964</v>
      </c>
      <c r="B951" s="12" t="s">
        <v>3408</v>
      </c>
      <c r="C951" s="12" t="s">
        <v>3400</v>
      </c>
      <c r="D951" s="12" t="s">
        <v>4153</v>
      </c>
      <c r="E951" s="12" t="s">
        <v>4245</v>
      </c>
      <c r="F951" s="30">
        <v>44868</v>
      </c>
      <c r="G951" s="12" t="s">
        <v>4057</v>
      </c>
      <c r="H951" s="32">
        <v>0.625</v>
      </c>
      <c r="J951" s="12" t="s">
        <v>3366</v>
      </c>
      <c r="L951" s="12" t="s">
        <v>4532</v>
      </c>
      <c r="M951" s="12" t="s">
        <v>3458</v>
      </c>
      <c r="N951" s="12" t="s">
        <v>4802</v>
      </c>
      <c r="O951" s="12" t="s">
        <v>3408</v>
      </c>
      <c r="AE951" s="32">
        <v>0.41666666666424135</v>
      </c>
      <c r="AF951" s="12" t="s">
        <v>4803</v>
      </c>
    </row>
    <row r="952" spans="1:32" ht="12.75">
      <c r="A952" s="29">
        <v>44872.329289259258</v>
      </c>
      <c r="B952" s="12" t="s">
        <v>3760</v>
      </c>
      <c r="C952" s="12" t="s">
        <v>4330</v>
      </c>
      <c r="D952" s="12" t="s">
        <v>4257</v>
      </c>
      <c r="E952" s="12" t="s">
        <v>4219</v>
      </c>
      <c r="F952" s="30">
        <v>44872</v>
      </c>
      <c r="G952" s="12" t="s">
        <v>3419</v>
      </c>
      <c r="H952" s="32">
        <v>0.39583333333575865</v>
      </c>
      <c r="I952" s="29">
        <v>44872.40625</v>
      </c>
      <c r="J952" s="12" t="s">
        <v>4338</v>
      </c>
      <c r="L952" s="12" t="s">
        <v>3299</v>
      </c>
      <c r="M952" s="12" t="s">
        <v>4796</v>
      </c>
      <c r="N952" s="12" t="s">
        <v>4784</v>
      </c>
      <c r="O952" s="12" t="s">
        <v>4826</v>
      </c>
      <c r="AE952" s="32">
        <v>0.35069444444525288</v>
      </c>
      <c r="AF952" s="12" t="s">
        <v>4803</v>
      </c>
    </row>
    <row r="953" spans="1:32" ht="12.75">
      <c r="A953" s="29">
        <v>44872.565808483792</v>
      </c>
      <c r="B953" s="12" t="s">
        <v>4764</v>
      </c>
      <c r="C953" s="12" t="s">
        <v>4810</v>
      </c>
      <c r="D953" s="12" t="s">
        <v>4257</v>
      </c>
      <c r="E953" s="12" t="s">
        <v>3482</v>
      </c>
      <c r="F953" s="30">
        <v>44872</v>
      </c>
      <c r="G953" s="12" t="s">
        <v>4827</v>
      </c>
      <c r="H953" s="32">
        <v>0.72916666666424135</v>
      </c>
      <c r="I953" s="29">
        <v>44872.75</v>
      </c>
      <c r="J953" s="12" t="s">
        <v>3331</v>
      </c>
      <c r="L953" s="12" t="s">
        <v>3393</v>
      </c>
      <c r="M953" s="12" t="s">
        <v>3379</v>
      </c>
      <c r="N953" s="12" t="s">
        <v>4764</v>
      </c>
      <c r="O953" s="12" t="s">
        <v>4764</v>
      </c>
      <c r="AE953" s="32">
        <v>0.5625</v>
      </c>
      <c r="AF953" s="12" t="s">
        <v>4803</v>
      </c>
    </row>
    <row r="954" spans="1:32" ht="12.75">
      <c r="A954" s="29">
        <v>44872.694870034728</v>
      </c>
      <c r="B954" s="12" t="s">
        <v>4604</v>
      </c>
      <c r="C954" s="12" t="s">
        <v>4061</v>
      </c>
      <c r="D954" s="12" t="s">
        <v>4257</v>
      </c>
      <c r="E954" s="12" t="s">
        <v>4397</v>
      </c>
      <c r="F954" s="30">
        <v>44872</v>
      </c>
      <c r="G954" s="12" t="s">
        <v>4084</v>
      </c>
      <c r="H954" s="32">
        <v>0.72916666666424135</v>
      </c>
      <c r="I954" s="29">
        <v>44872.75</v>
      </c>
      <c r="J954" s="12" t="s">
        <v>3331</v>
      </c>
      <c r="L954" s="12" t="s">
        <v>3393</v>
      </c>
      <c r="M954" s="12" t="s">
        <v>3379</v>
      </c>
      <c r="N954" s="12" t="s">
        <v>4764</v>
      </c>
      <c r="O954" s="12" t="s">
        <v>4807</v>
      </c>
      <c r="AE954" s="32">
        <v>0.6875</v>
      </c>
      <c r="AF954" s="12" t="s">
        <v>4803</v>
      </c>
    </row>
    <row r="955" spans="1:32" ht="12.75">
      <c r="A955" s="29">
        <v>44873.526431817125</v>
      </c>
      <c r="B955" s="12" t="s">
        <v>3390</v>
      </c>
      <c r="C955" s="12" t="s">
        <v>3448</v>
      </c>
      <c r="D955" s="12" t="s">
        <v>3470</v>
      </c>
      <c r="E955" s="12" t="s">
        <v>3834</v>
      </c>
      <c r="F955" s="30">
        <v>44873</v>
      </c>
      <c r="G955" s="12" t="s">
        <v>4116</v>
      </c>
      <c r="H955" s="32">
        <v>0.54027777777810115</v>
      </c>
      <c r="I955" s="29">
        <v>44873.555555555555</v>
      </c>
      <c r="J955" s="12" t="s">
        <v>3331</v>
      </c>
      <c r="L955" s="12" t="s">
        <v>3393</v>
      </c>
      <c r="M955" s="12" t="s">
        <v>4828</v>
      </c>
      <c r="N955" s="12" t="s">
        <v>4764</v>
      </c>
      <c r="O955" s="12" t="s">
        <v>3390</v>
      </c>
      <c r="AE955" s="32">
        <v>0.33333333333575865</v>
      </c>
      <c r="AF955" s="12" t="s">
        <v>4803</v>
      </c>
    </row>
    <row r="956" spans="1:32" ht="12.75">
      <c r="A956" s="29">
        <v>44879.557571863421</v>
      </c>
      <c r="B956" s="12" t="s">
        <v>4764</v>
      </c>
      <c r="C956" s="12" t="s">
        <v>4810</v>
      </c>
      <c r="D956" s="12" t="s">
        <v>4257</v>
      </c>
      <c r="E956" s="12" t="s">
        <v>4811</v>
      </c>
      <c r="F956" s="30">
        <v>44879</v>
      </c>
      <c r="G956" s="12" t="s">
        <v>4811</v>
      </c>
      <c r="H956" s="32">
        <v>0.6875</v>
      </c>
      <c r="I956" s="29">
        <v>44879.708333333328</v>
      </c>
      <c r="J956" s="12" t="s">
        <v>3331</v>
      </c>
      <c r="L956" s="12" t="s">
        <v>3393</v>
      </c>
      <c r="M956" s="12" t="s">
        <v>3379</v>
      </c>
      <c r="N956" s="12" t="s">
        <v>4764</v>
      </c>
      <c r="O956" s="12" t="s">
        <v>4764</v>
      </c>
      <c r="AE956" s="32">
        <v>0.57638888889050577</v>
      </c>
      <c r="AF956" s="12" t="s">
        <v>4803</v>
      </c>
    </row>
    <row r="957" spans="1:32" ht="12.75">
      <c r="A957" s="29">
        <v>44880.421313900464</v>
      </c>
      <c r="B957" s="12" t="s">
        <v>4764</v>
      </c>
      <c r="C957" s="12" t="s">
        <v>4810</v>
      </c>
      <c r="D957" s="12" t="s">
        <v>4257</v>
      </c>
      <c r="E957" s="12" t="s">
        <v>4829</v>
      </c>
      <c r="F957" s="30">
        <v>44880</v>
      </c>
      <c r="G957" s="12" t="s">
        <v>4830</v>
      </c>
      <c r="H957" s="32">
        <v>0.70833333333575865</v>
      </c>
      <c r="I957" s="29">
        <v>44880.75</v>
      </c>
      <c r="J957" s="12" t="s">
        <v>3331</v>
      </c>
      <c r="L957" s="12" t="s">
        <v>3393</v>
      </c>
      <c r="M957" s="12" t="s">
        <v>3379</v>
      </c>
      <c r="N957" s="12" t="s">
        <v>4764</v>
      </c>
      <c r="O957" s="12" t="s">
        <v>4764</v>
      </c>
      <c r="AE957" s="32">
        <v>0.46875</v>
      </c>
      <c r="AF957" s="12" t="s">
        <v>4803</v>
      </c>
    </row>
    <row r="958" spans="1:32" ht="12.75">
      <c r="A958" s="29">
        <v>44880.510405497684</v>
      </c>
      <c r="B958" s="12" t="s">
        <v>3390</v>
      </c>
      <c r="C958" s="12" t="s">
        <v>3448</v>
      </c>
      <c r="D958" s="12" t="s">
        <v>4257</v>
      </c>
      <c r="E958" s="12" t="s">
        <v>3834</v>
      </c>
      <c r="F958" s="30">
        <v>44880</v>
      </c>
      <c r="G958" s="12" t="s">
        <v>4116</v>
      </c>
      <c r="H958" s="32">
        <v>0.67708333333575865</v>
      </c>
      <c r="I958" s="29">
        <v>44880.697916666672</v>
      </c>
      <c r="J958" s="12" t="s">
        <v>3366</v>
      </c>
      <c r="L958" s="12" t="s">
        <v>3299</v>
      </c>
      <c r="M958" s="12" t="s">
        <v>4831</v>
      </c>
      <c r="O958" s="12" t="s">
        <v>4832</v>
      </c>
      <c r="AE958" s="32">
        <v>0.51041666666424135</v>
      </c>
      <c r="AF958" s="12" t="s">
        <v>4803</v>
      </c>
    </row>
    <row r="959" spans="1:32" ht="12.75">
      <c r="A959" s="29">
        <v>44895.352551365737</v>
      </c>
      <c r="B959" s="12" t="s">
        <v>4764</v>
      </c>
      <c r="C959" s="12" t="s">
        <v>4810</v>
      </c>
      <c r="D959" s="12" t="s">
        <v>4257</v>
      </c>
      <c r="E959" s="12" t="s">
        <v>3710</v>
      </c>
      <c r="F959" s="30">
        <v>44895</v>
      </c>
      <c r="G959" s="12" t="s">
        <v>4833</v>
      </c>
      <c r="H959" s="32">
        <v>0.64583333333575865</v>
      </c>
      <c r="I959" s="29">
        <v>44895.6875</v>
      </c>
      <c r="J959" s="12" t="s">
        <v>3331</v>
      </c>
      <c r="L959" s="12" t="s">
        <v>3393</v>
      </c>
      <c r="M959" s="12" t="s">
        <v>4834</v>
      </c>
      <c r="N959" s="12" t="s">
        <v>3931</v>
      </c>
      <c r="O959" s="12" t="s">
        <v>4764</v>
      </c>
      <c r="AE959" s="32">
        <v>0.42708333333575865</v>
      </c>
      <c r="AF959" s="12" t="s">
        <v>4803</v>
      </c>
    </row>
    <row r="960" spans="1:32" ht="12.75">
      <c r="A960" s="29">
        <v>44895.384736180553</v>
      </c>
      <c r="B960" s="12" t="s">
        <v>3390</v>
      </c>
      <c r="C960" s="12" t="s">
        <v>3391</v>
      </c>
      <c r="D960" s="12" t="s">
        <v>3470</v>
      </c>
      <c r="E960" s="12" t="s">
        <v>3834</v>
      </c>
      <c r="F960" s="30">
        <v>44895</v>
      </c>
      <c r="G960" s="12" t="s">
        <v>3465</v>
      </c>
      <c r="H960" s="32">
        <v>0.61458333333575865</v>
      </c>
      <c r="I960" s="29">
        <v>44895.625</v>
      </c>
      <c r="J960" s="12" t="s">
        <v>3366</v>
      </c>
      <c r="L960" s="12" t="s">
        <v>3299</v>
      </c>
      <c r="M960" s="12" t="s">
        <v>4835</v>
      </c>
      <c r="O960" s="12" t="s">
        <v>3390</v>
      </c>
      <c r="AE960" s="32">
        <v>0.42708333333575865</v>
      </c>
      <c r="AF960" s="12" t="s">
        <v>4803</v>
      </c>
    </row>
    <row r="961" spans="1:32" ht="12.75">
      <c r="A961" s="29">
        <v>44896.339309699077</v>
      </c>
      <c r="B961" s="12" t="s">
        <v>4764</v>
      </c>
      <c r="C961" s="12" t="s">
        <v>4810</v>
      </c>
      <c r="D961" s="12" t="s">
        <v>4257</v>
      </c>
      <c r="E961" s="12" t="s">
        <v>3418</v>
      </c>
      <c r="F961" s="30">
        <v>44896</v>
      </c>
      <c r="G961" s="12" t="s">
        <v>4836</v>
      </c>
      <c r="H961" s="32">
        <v>0.54166666666424135</v>
      </c>
      <c r="I961" s="29">
        <v>44896.5625</v>
      </c>
      <c r="J961" s="12" t="s">
        <v>3331</v>
      </c>
      <c r="L961" s="12" t="s">
        <v>3393</v>
      </c>
      <c r="M961" s="12" t="s">
        <v>4834</v>
      </c>
      <c r="N961" s="12" t="s">
        <v>4837</v>
      </c>
      <c r="O961" s="12" t="s">
        <v>4764</v>
      </c>
      <c r="AE961" s="32">
        <v>0.36458333333575865</v>
      </c>
      <c r="AF961" s="12" t="s">
        <v>4803</v>
      </c>
    </row>
    <row r="962" spans="1:32" ht="12.75">
      <c r="A962" s="29">
        <v>44901.277848738428</v>
      </c>
      <c r="B962" s="12" t="s">
        <v>3390</v>
      </c>
      <c r="C962" s="12" t="s">
        <v>3391</v>
      </c>
      <c r="D962" s="12" t="s">
        <v>3470</v>
      </c>
      <c r="E962" s="12" t="s">
        <v>3834</v>
      </c>
      <c r="F962" s="30">
        <v>44901</v>
      </c>
      <c r="G962" s="12" t="s">
        <v>3520</v>
      </c>
      <c r="H962" s="32">
        <v>0.54166666666424135</v>
      </c>
      <c r="I962" s="29">
        <v>44901.5625</v>
      </c>
      <c r="J962" s="12" t="s">
        <v>3377</v>
      </c>
      <c r="L962" s="12" t="s">
        <v>3299</v>
      </c>
      <c r="M962" s="12" t="s">
        <v>4838</v>
      </c>
      <c r="O962" s="12" t="s">
        <v>3390</v>
      </c>
      <c r="AE962" s="32">
        <v>0.30208333333575865</v>
      </c>
      <c r="AF962" s="12" t="s">
        <v>4803</v>
      </c>
    </row>
    <row r="963" spans="1:32" ht="12.75">
      <c r="A963" s="29">
        <v>44902.38337354167</v>
      </c>
      <c r="B963" s="12" t="s">
        <v>4764</v>
      </c>
      <c r="C963" s="12" t="s">
        <v>4810</v>
      </c>
      <c r="D963" s="12" t="s">
        <v>4257</v>
      </c>
      <c r="E963" s="12" t="s">
        <v>3710</v>
      </c>
      <c r="F963" s="30">
        <v>44902</v>
      </c>
      <c r="G963" s="12" t="s">
        <v>4839</v>
      </c>
      <c r="H963" s="32">
        <v>0.66666666666424135</v>
      </c>
      <c r="I963" s="29">
        <v>44902.708333333328</v>
      </c>
      <c r="J963" s="12" t="s">
        <v>3331</v>
      </c>
      <c r="L963" s="12" t="s">
        <v>3393</v>
      </c>
      <c r="M963" s="12" t="s">
        <v>4834</v>
      </c>
      <c r="N963" s="12" t="s">
        <v>4448</v>
      </c>
      <c r="O963" s="12" t="s">
        <v>4764</v>
      </c>
      <c r="AE963" s="32">
        <v>0.46875</v>
      </c>
      <c r="AF963" s="12" t="s">
        <v>4803</v>
      </c>
    </row>
    <row r="964" spans="1:32" ht="12.75">
      <c r="A964" s="29">
        <v>44907.444390520832</v>
      </c>
      <c r="B964" s="12" t="s">
        <v>4384</v>
      </c>
      <c r="C964" s="12" t="s">
        <v>4577</v>
      </c>
      <c r="D964" s="12" t="s">
        <v>4840</v>
      </c>
      <c r="E964" s="12" t="s">
        <v>4841</v>
      </c>
      <c r="F964" s="30">
        <v>44907</v>
      </c>
      <c r="G964" s="12" t="s">
        <v>4842</v>
      </c>
      <c r="H964" s="32">
        <v>0.66666666666424135</v>
      </c>
      <c r="I964" s="29">
        <v>44907.708333333328</v>
      </c>
      <c r="J964" s="12" t="s">
        <v>4123</v>
      </c>
      <c r="L964" s="12" t="s">
        <v>4564</v>
      </c>
      <c r="M964" s="12" t="s">
        <v>4843</v>
      </c>
      <c r="N964" s="12" t="s">
        <v>4844</v>
      </c>
      <c r="O964" s="12" t="s">
        <v>4384</v>
      </c>
      <c r="AC964" s="12" t="s">
        <v>3369</v>
      </c>
      <c r="AD964" s="12" t="s">
        <v>3369</v>
      </c>
      <c r="AE964" s="32">
        <v>0.5625</v>
      </c>
      <c r="AF964" s="12" t="s">
        <v>4803</v>
      </c>
    </row>
    <row r="965" spans="1:32" ht="12.75">
      <c r="A965" s="29">
        <v>44911.275753414353</v>
      </c>
      <c r="B965" s="12" t="s">
        <v>4764</v>
      </c>
      <c r="C965" s="12" t="s">
        <v>4810</v>
      </c>
      <c r="D965" s="12" t="s">
        <v>4840</v>
      </c>
      <c r="E965" s="12" t="s">
        <v>3418</v>
      </c>
      <c r="F965" s="30">
        <v>44911</v>
      </c>
      <c r="G965" s="12" t="s">
        <v>4845</v>
      </c>
      <c r="H965" s="32">
        <v>0.64583333333575865</v>
      </c>
      <c r="I965" s="29">
        <v>44911.666666666672</v>
      </c>
      <c r="J965" s="12" t="s">
        <v>3377</v>
      </c>
      <c r="L965" s="12" t="s">
        <v>3299</v>
      </c>
      <c r="M965" s="12" t="s">
        <v>4834</v>
      </c>
      <c r="N965" s="12" t="s">
        <v>4846</v>
      </c>
      <c r="O965" s="12" t="s">
        <v>4764</v>
      </c>
      <c r="AE965" s="32">
        <v>0.28125</v>
      </c>
      <c r="AF965" s="12" t="s">
        <v>4803</v>
      </c>
    </row>
    <row r="966" spans="1:32" ht="12.75">
      <c r="A966" s="29">
        <v>44913.225949988424</v>
      </c>
      <c r="B966" s="12" t="s">
        <v>3408</v>
      </c>
      <c r="C966" s="12" t="s">
        <v>3400</v>
      </c>
      <c r="D966" s="12" t="s">
        <v>4153</v>
      </c>
      <c r="E966" s="12" t="s">
        <v>3482</v>
      </c>
      <c r="F966" s="30">
        <v>44913</v>
      </c>
      <c r="G966" s="12" t="s">
        <v>4847</v>
      </c>
      <c r="H966" s="32">
        <v>0.54166666666424135</v>
      </c>
      <c r="J966" s="12" t="s">
        <v>3377</v>
      </c>
      <c r="L966" s="12" t="s">
        <v>4532</v>
      </c>
      <c r="M966" s="12" t="s">
        <v>3458</v>
      </c>
      <c r="N966" s="12" t="s">
        <v>4848</v>
      </c>
      <c r="O966" s="12" t="s">
        <v>3408</v>
      </c>
      <c r="AE966" s="32">
        <v>0.35416666666424135</v>
      </c>
      <c r="AF966" s="12" t="s">
        <v>4803</v>
      </c>
    </row>
    <row r="967" spans="1:32" ht="12.75">
      <c r="A967" s="29">
        <v>44915.394526956021</v>
      </c>
      <c r="B967" s="12" t="s">
        <v>3390</v>
      </c>
      <c r="C967" s="12" t="s">
        <v>3391</v>
      </c>
      <c r="D967" s="12" t="s">
        <v>4257</v>
      </c>
      <c r="E967" s="12" t="s">
        <v>3834</v>
      </c>
      <c r="F967" s="30">
        <v>44915</v>
      </c>
      <c r="G967" s="12" t="s">
        <v>3465</v>
      </c>
      <c r="H967" s="32">
        <v>0.625</v>
      </c>
      <c r="I967" s="29">
        <v>44915.645833333328</v>
      </c>
      <c r="J967" s="12" t="s">
        <v>3377</v>
      </c>
      <c r="L967" s="12" t="s">
        <v>3393</v>
      </c>
      <c r="M967" s="12" t="s">
        <v>4032</v>
      </c>
      <c r="O967" s="12" t="s">
        <v>3390</v>
      </c>
      <c r="AE967" s="32">
        <v>0.45833333333575865</v>
      </c>
      <c r="AF967" s="12" t="s">
        <v>4803</v>
      </c>
    </row>
    <row r="968" spans="1:32" ht="12.75">
      <c r="A968" s="29">
        <v>44916.42494921296</v>
      </c>
      <c r="B968" s="12" t="s">
        <v>4764</v>
      </c>
      <c r="C968" s="12" t="s">
        <v>4810</v>
      </c>
      <c r="D968" s="12" t="s">
        <v>4257</v>
      </c>
      <c r="E968" s="12" t="s">
        <v>3435</v>
      </c>
      <c r="F968" s="30">
        <v>44916</v>
      </c>
      <c r="G968" s="12" t="s">
        <v>4110</v>
      </c>
      <c r="H968" s="32">
        <v>0.625</v>
      </c>
      <c r="I968" s="29">
        <v>44916.666666666672</v>
      </c>
      <c r="J968" s="12" t="s">
        <v>3377</v>
      </c>
      <c r="L968" s="12" t="s">
        <v>3393</v>
      </c>
      <c r="M968" s="12" t="s">
        <v>4764</v>
      </c>
      <c r="N968" s="12" t="s">
        <v>4849</v>
      </c>
      <c r="O968" s="12" t="s">
        <v>4764</v>
      </c>
      <c r="AE968" s="32">
        <v>0.42708333333575865</v>
      </c>
      <c r="AF968" s="12" t="s">
        <v>4803</v>
      </c>
    </row>
    <row r="969" spans="1:32" ht="12.75">
      <c r="A969" s="29">
        <v>44930.459516435185</v>
      </c>
      <c r="B969" s="12" t="s">
        <v>4764</v>
      </c>
      <c r="C969" s="12" t="s">
        <v>4810</v>
      </c>
      <c r="D969" s="12" t="s">
        <v>4257</v>
      </c>
      <c r="E969" s="12" t="s">
        <v>3482</v>
      </c>
      <c r="F969" s="30">
        <v>44930</v>
      </c>
      <c r="G969" s="12" t="s">
        <v>4850</v>
      </c>
      <c r="H969" s="32">
        <v>0.66666666666424135</v>
      </c>
      <c r="I969" s="29">
        <v>44930.6875</v>
      </c>
      <c r="J969" s="12" t="s">
        <v>3377</v>
      </c>
      <c r="L969" s="12" t="s">
        <v>3393</v>
      </c>
      <c r="M969" s="12" t="s">
        <v>4764</v>
      </c>
      <c r="N969" s="12" t="s">
        <v>4851</v>
      </c>
      <c r="O969" s="12" t="s">
        <v>4764</v>
      </c>
      <c r="AE969" s="32">
        <v>0.46875</v>
      </c>
      <c r="AF969" s="12" t="s">
        <v>4803</v>
      </c>
    </row>
    <row r="970" spans="1:32" ht="12.75">
      <c r="A970" s="29">
        <v>44931.32585144676</v>
      </c>
      <c r="B970" s="12" t="s">
        <v>3760</v>
      </c>
      <c r="C970" s="12" t="s">
        <v>4330</v>
      </c>
      <c r="D970" s="12" t="s">
        <v>4257</v>
      </c>
      <c r="E970" s="12" t="s">
        <v>3419</v>
      </c>
      <c r="F970" s="30">
        <v>44931</v>
      </c>
      <c r="G970" s="12" t="s">
        <v>3419</v>
      </c>
      <c r="H970" s="32">
        <v>0.39583333333575865</v>
      </c>
      <c r="I970" s="29">
        <v>44931.40625</v>
      </c>
      <c r="J970" s="12" t="s">
        <v>4338</v>
      </c>
      <c r="L970" s="12" t="s">
        <v>3299</v>
      </c>
      <c r="M970" s="12" t="s">
        <v>4796</v>
      </c>
      <c r="N970" s="12" t="s">
        <v>4784</v>
      </c>
      <c r="O970" s="12" t="s">
        <v>4310</v>
      </c>
      <c r="AE970" s="32">
        <v>0.34375</v>
      </c>
      <c r="AF970" s="12" t="s">
        <v>4803</v>
      </c>
    </row>
    <row r="971" spans="1:32" ht="12.75">
      <c r="A971" s="29">
        <v>44931.478129166666</v>
      </c>
      <c r="B971" s="12" t="s">
        <v>4764</v>
      </c>
      <c r="C971" s="12" t="s">
        <v>4810</v>
      </c>
      <c r="D971" s="12" t="s">
        <v>4257</v>
      </c>
      <c r="E971" s="12" t="s">
        <v>3482</v>
      </c>
      <c r="F971" s="30">
        <v>44931</v>
      </c>
      <c r="G971" s="12" t="s">
        <v>4850</v>
      </c>
      <c r="H971" s="32">
        <v>0.70833333333575865</v>
      </c>
      <c r="I971" s="29">
        <v>44931.729166666672</v>
      </c>
      <c r="J971" s="12" t="s">
        <v>3377</v>
      </c>
      <c r="L971" s="12" t="s">
        <v>3393</v>
      </c>
      <c r="M971" s="12" t="s">
        <v>4764</v>
      </c>
      <c r="N971" s="12" t="s">
        <v>4852</v>
      </c>
      <c r="O971" s="12" t="s">
        <v>4764</v>
      </c>
      <c r="AE971" s="32">
        <v>0.48958333333575865</v>
      </c>
      <c r="AF971" s="12" t="s">
        <v>4803</v>
      </c>
    </row>
    <row r="972" spans="1:32" ht="12.75">
      <c r="A972" s="29">
        <v>44932.325543761573</v>
      </c>
      <c r="B972" s="12" t="s">
        <v>4104</v>
      </c>
      <c r="C972" s="12" t="s">
        <v>3400</v>
      </c>
      <c r="D972" s="12" t="s">
        <v>4153</v>
      </c>
      <c r="E972" s="12" t="s">
        <v>4707</v>
      </c>
      <c r="F972" s="30">
        <v>44932</v>
      </c>
      <c r="G972" s="12" t="s">
        <v>4853</v>
      </c>
      <c r="H972" s="32">
        <v>0.625</v>
      </c>
      <c r="J972" s="12" t="s">
        <v>3366</v>
      </c>
      <c r="L972" s="12" t="s">
        <v>4854</v>
      </c>
      <c r="M972" s="12" t="s">
        <v>3458</v>
      </c>
      <c r="N972" s="12" t="s">
        <v>4802</v>
      </c>
      <c r="O972" s="12" t="s">
        <v>3408</v>
      </c>
      <c r="AE972" s="32">
        <v>0.97916666666424135</v>
      </c>
      <c r="AF972" s="12" t="s">
        <v>4803</v>
      </c>
    </row>
    <row r="973" spans="1:32" ht="12.75">
      <c r="A973" s="29">
        <v>44932.498838414351</v>
      </c>
      <c r="B973" s="12" t="s">
        <v>4764</v>
      </c>
      <c r="C973" s="12" t="s">
        <v>4810</v>
      </c>
      <c r="D973" s="12" t="s">
        <v>4840</v>
      </c>
      <c r="E973" s="12" t="s">
        <v>3482</v>
      </c>
      <c r="F973" s="30">
        <v>44932</v>
      </c>
      <c r="G973" s="12" t="s">
        <v>4130</v>
      </c>
      <c r="H973" s="32">
        <v>0.70833333333575865</v>
      </c>
      <c r="I973" s="29">
        <v>44932.729166666672</v>
      </c>
      <c r="J973" s="12" t="s">
        <v>3377</v>
      </c>
      <c r="L973" s="12" t="s">
        <v>3393</v>
      </c>
      <c r="M973" s="12" t="s">
        <v>4764</v>
      </c>
      <c r="N973" s="12" t="s">
        <v>4855</v>
      </c>
      <c r="O973" s="12" t="s">
        <v>4764</v>
      </c>
      <c r="AE973" s="32">
        <v>0.5</v>
      </c>
      <c r="AF973" s="12" t="s">
        <v>4803</v>
      </c>
    </row>
    <row r="974" spans="1:32" ht="12.75">
      <c r="A974" s="29">
        <v>44934.702196608792</v>
      </c>
      <c r="B974" s="12" t="s">
        <v>3390</v>
      </c>
      <c r="C974" s="12" t="s">
        <v>3391</v>
      </c>
      <c r="D974" s="12" t="s">
        <v>4257</v>
      </c>
      <c r="E974" s="12" t="s">
        <v>3834</v>
      </c>
      <c r="F974" s="30">
        <v>44935</v>
      </c>
      <c r="G974" s="12" t="s">
        <v>3465</v>
      </c>
      <c r="H974" s="32">
        <v>0.58333333333575865</v>
      </c>
      <c r="I974" s="29">
        <v>44935.604166666672</v>
      </c>
      <c r="J974" s="12" t="s">
        <v>3377</v>
      </c>
      <c r="L974" s="12" t="s">
        <v>3393</v>
      </c>
      <c r="M974" s="12" t="s">
        <v>4856</v>
      </c>
      <c r="O974" s="12" t="s">
        <v>3390</v>
      </c>
      <c r="AE974" s="32">
        <v>0.375</v>
      </c>
      <c r="AF974" s="12" t="s">
        <v>4803</v>
      </c>
    </row>
    <row r="975" spans="1:32" ht="12.75">
      <c r="A975" s="29">
        <v>44936.383106134264</v>
      </c>
      <c r="B975" s="12" t="s">
        <v>3390</v>
      </c>
      <c r="C975" s="12" t="s">
        <v>3391</v>
      </c>
      <c r="D975" s="12" t="s">
        <v>4257</v>
      </c>
      <c r="E975" s="12" t="s">
        <v>3834</v>
      </c>
      <c r="F975" s="30">
        <v>44936</v>
      </c>
      <c r="G975" s="12" t="s">
        <v>3465</v>
      </c>
      <c r="H975" s="32">
        <v>0.625</v>
      </c>
      <c r="I975" s="29">
        <v>44936.645833333328</v>
      </c>
      <c r="J975" s="12" t="s">
        <v>3377</v>
      </c>
      <c r="L975" s="12" t="s">
        <v>3393</v>
      </c>
      <c r="M975" s="12" t="s">
        <v>3454</v>
      </c>
      <c r="N975" s="12" t="s">
        <v>4111</v>
      </c>
      <c r="O975" s="12" t="s">
        <v>3390</v>
      </c>
      <c r="AE975" s="32">
        <v>0.4375</v>
      </c>
      <c r="AF975" s="12" t="s">
        <v>4803</v>
      </c>
    </row>
    <row r="976" spans="1:32" ht="12.75">
      <c r="A976" s="29">
        <v>44938.283756585646</v>
      </c>
      <c r="B976" s="12" t="s">
        <v>3408</v>
      </c>
      <c r="C976" s="12" t="s">
        <v>3400</v>
      </c>
      <c r="D976" s="12" t="s">
        <v>4153</v>
      </c>
      <c r="E976" s="12" t="s">
        <v>4695</v>
      </c>
      <c r="F976" s="30">
        <v>44938</v>
      </c>
      <c r="G976" s="12" t="s">
        <v>4057</v>
      </c>
      <c r="H976" s="32">
        <v>0.625</v>
      </c>
      <c r="J976" s="12" t="s">
        <v>3377</v>
      </c>
      <c r="L976" s="12" t="s">
        <v>4854</v>
      </c>
      <c r="M976" s="12" t="s">
        <v>3458</v>
      </c>
      <c r="N976" s="12" t="s">
        <v>4802</v>
      </c>
      <c r="O976" s="12" t="s">
        <v>3408</v>
      </c>
      <c r="AE976" s="32">
        <v>0.47916666666424135</v>
      </c>
      <c r="AF976" s="12" t="s">
        <v>4803</v>
      </c>
    </row>
    <row r="977" spans="1:32" ht="12.75">
      <c r="A977" s="29">
        <v>44942.319784953703</v>
      </c>
      <c r="B977" s="12" t="s">
        <v>4764</v>
      </c>
      <c r="C977" s="12" t="s">
        <v>4810</v>
      </c>
      <c r="D977" s="12" t="s">
        <v>4257</v>
      </c>
      <c r="E977" s="12" t="s">
        <v>3435</v>
      </c>
      <c r="F977" s="30">
        <v>44942</v>
      </c>
      <c r="G977" s="12" t="s">
        <v>4130</v>
      </c>
      <c r="H977" s="32">
        <v>0.54166666666424135</v>
      </c>
      <c r="I977" s="29">
        <v>44942.5625</v>
      </c>
      <c r="J977" s="12" t="s">
        <v>3377</v>
      </c>
      <c r="L977" s="12" t="s">
        <v>3299</v>
      </c>
      <c r="M977" s="12" t="s">
        <v>4764</v>
      </c>
      <c r="N977" s="12" t="s">
        <v>4857</v>
      </c>
      <c r="O977" s="12" t="s">
        <v>4764</v>
      </c>
      <c r="AE977" s="32">
        <v>0.32291666666424135</v>
      </c>
      <c r="AF977" s="12" t="s">
        <v>4803</v>
      </c>
    </row>
    <row r="978" spans="1:32" ht="12.75">
      <c r="A978" s="29">
        <v>44943.349929421296</v>
      </c>
      <c r="B978" s="12" t="s">
        <v>4764</v>
      </c>
      <c r="C978" s="12" t="s">
        <v>4810</v>
      </c>
      <c r="D978" s="12" t="s">
        <v>4257</v>
      </c>
      <c r="E978" s="12" t="s">
        <v>3482</v>
      </c>
      <c r="F978" s="30">
        <v>44943</v>
      </c>
      <c r="G978" s="12" t="s">
        <v>4130</v>
      </c>
      <c r="H978" s="32">
        <v>0.5625</v>
      </c>
      <c r="I978" s="29">
        <v>44943.583333333328</v>
      </c>
      <c r="J978" s="12" t="s">
        <v>3377</v>
      </c>
      <c r="L978" s="12" t="s">
        <v>3299</v>
      </c>
      <c r="M978" s="12" t="s">
        <v>4764</v>
      </c>
      <c r="N978" s="12" t="s">
        <v>4858</v>
      </c>
      <c r="O978" s="12" t="s">
        <v>4764</v>
      </c>
      <c r="AE978" s="32">
        <v>0.35416666666424135</v>
      </c>
      <c r="AF978" s="12" t="s">
        <v>4803</v>
      </c>
    </row>
    <row r="979" spans="1:32" ht="12.75">
      <c r="A979" s="29">
        <v>44943.423374097227</v>
      </c>
      <c r="B979" s="12" t="s">
        <v>3390</v>
      </c>
      <c r="C979" s="12" t="s">
        <v>4859</v>
      </c>
      <c r="D979" s="12" t="s">
        <v>4257</v>
      </c>
      <c r="E979" s="12" t="s">
        <v>4045</v>
      </c>
      <c r="F979" s="30">
        <v>44943</v>
      </c>
      <c r="G979" s="12" t="s">
        <v>4860</v>
      </c>
      <c r="H979" s="32">
        <v>0.52083333333575865</v>
      </c>
      <c r="I979" s="29">
        <v>44943.541666666672</v>
      </c>
      <c r="J979" s="12" t="s">
        <v>3331</v>
      </c>
      <c r="L979" s="12" t="s">
        <v>3393</v>
      </c>
      <c r="M979" s="12" t="s">
        <v>4366</v>
      </c>
      <c r="O979" s="12" t="s">
        <v>3390</v>
      </c>
      <c r="AE979" s="32">
        <v>0.41666666666424135</v>
      </c>
      <c r="AF979" s="12" t="s">
        <v>4803</v>
      </c>
    </row>
    <row r="980" spans="1:32" ht="12.75">
      <c r="A980" s="29">
        <v>44944.272553692128</v>
      </c>
      <c r="B980" s="12" t="s">
        <v>3408</v>
      </c>
      <c r="C980" s="12" t="s">
        <v>3400</v>
      </c>
      <c r="D980" s="12" t="s">
        <v>4153</v>
      </c>
      <c r="E980" s="12" t="s">
        <v>4612</v>
      </c>
      <c r="F980" s="30">
        <v>44944</v>
      </c>
      <c r="G980" s="12" t="s">
        <v>4861</v>
      </c>
      <c r="H980" s="32">
        <v>0.625</v>
      </c>
      <c r="J980" s="12" t="s">
        <v>3366</v>
      </c>
      <c r="L980" s="12" t="s">
        <v>4854</v>
      </c>
      <c r="M980" s="12" t="s">
        <v>3458</v>
      </c>
      <c r="N980" s="12" t="s">
        <v>4802</v>
      </c>
      <c r="O980" s="12" t="s">
        <v>3408</v>
      </c>
      <c r="AE980" s="32">
        <v>0.41666666666424135</v>
      </c>
      <c r="AF980" s="12" t="s">
        <v>4803</v>
      </c>
    </row>
    <row r="981" spans="1:32" ht="12.75">
      <c r="A981" s="29">
        <v>44944.390676168987</v>
      </c>
      <c r="B981" s="12" t="s">
        <v>4764</v>
      </c>
      <c r="C981" s="12" t="s">
        <v>4810</v>
      </c>
      <c r="D981" s="12" t="s">
        <v>4257</v>
      </c>
      <c r="E981" s="12" t="s">
        <v>3482</v>
      </c>
      <c r="F981" s="30">
        <v>44944</v>
      </c>
      <c r="G981" s="12" t="s">
        <v>4850</v>
      </c>
      <c r="H981" s="32">
        <v>0.58333333333575865</v>
      </c>
      <c r="I981" s="29">
        <v>44944.604166666672</v>
      </c>
      <c r="J981" s="12" t="s">
        <v>3377</v>
      </c>
      <c r="L981" s="12" t="s">
        <v>3299</v>
      </c>
      <c r="M981" s="12" t="s">
        <v>4764</v>
      </c>
      <c r="N981" s="12" t="s">
        <v>4862</v>
      </c>
      <c r="O981" s="12" t="s">
        <v>4764</v>
      </c>
      <c r="AE981" s="32">
        <v>0.39583333333575865</v>
      </c>
      <c r="AF981" s="12" t="s">
        <v>4803</v>
      </c>
    </row>
    <row r="982" spans="1:32" ht="12.75">
      <c r="A982" s="29">
        <v>44945.2829265162</v>
      </c>
      <c r="B982" s="12" t="s">
        <v>3408</v>
      </c>
      <c r="C982" s="12" t="s">
        <v>3400</v>
      </c>
      <c r="D982" s="12" t="s">
        <v>4153</v>
      </c>
      <c r="E982" s="12" t="s">
        <v>4612</v>
      </c>
      <c r="F982" s="30">
        <v>44945</v>
      </c>
      <c r="G982" s="12" t="s">
        <v>4863</v>
      </c>
      <c r="H982" s="32">
        <v>0.58333333333575865</v>
      </c>
      <c r="J982" s="12" t="s">
        <v>3366</v>
      </c>
      <c r="L982" s="12" t="s">
        <v>4854</v>
      </c>
      <c r="M982" s="12" t="s">
        <v>3458</v>
      </c>
      <c r="N982" s="12" t="s">
        <v>4802</v>
      </c>
      <c r="O982" s="12" t="s">
        <v>4104</v>
      </c>
      <c r="AE982" s="32">
        <v>0.41666666666424135</v>
      </c>
      <c r="AF982" s="12" t="s">
        <v>4803</v>
      </c>
    </row>
    <row r="983" spans="1:32" ht="12.75">
      <c r="A983" s="29">
        <v>44945.431618148148</v>
      </c>
      <c r="B983" s="12" t="s">
        <v>4764</v>
      </c>
      <c r="C983" s="12" t="s">
        <v>4810</v>
      </c>
      <c r="D983" s="12" t="s">
        <v>4257</v>
      </c>
      <c r="E983" s="12" t="s">
        <v>3482</v>
      </c>
      <c r="F983" s="30">
        <v>44945</v>
      </c>
      <c r="G983" s="12" t="s">
        <v>4850</v>
      </c>
      <c r="H983" s="32">
        <v>0.625</v>
      </c>
      <c r="I983" s="29">
        <v>44945.645833333328</v>
      </c>
      <c r="J983" s="12" t="s">
        <v>3377</v>
      </c>
      <c r="L983" s="12" t="s">
        <v>3299</v>
      </c>
      <c r="M983" s="12" t="s">
        <v>4764</v>
      </c>
      <c r="N983" s="12" t="s">
        <v>4864</v>
      </c>
      <c r="O983" s="12" t="s">
        <v>4764</v>
      </c>
      <c r="AE983" s="32">
        <v>0.4375</v>
      </c>
      <c r="AF983" s="12" t="s">
        <v>4803</v>
      </c>
    </row>
    <row r="984" spans="1:32" ht="12.75">
      <c r="A984" s="29">
        <v>44956.332486655097</v>
      </c>
      <c r="B984" s="12" t="s">
        <v>4764</v>
      </c>
      <c r="C984" s="12" t="s">
        <v>4810</v>
      </c>
      <c r="D984" s="12" t="s">
        <v>4257</v>
      </c>
      <c r="E984" s="12" t="s">
        <v>3482</v>
      </c>
      <c r="F984" s="30">
        <v>44956</v>
      </c>
      <c r="G984" s="12" t="s">
        <v>4865</v>
      </c>
      <c r="H984" s="32">
        <v>0.5</v>
      </c>
      <c r="I984" s="29">
        <v>44956.520833333328</v>
      </c>
      <c r="J984" s="12" t="s">
        <v>3377</v>
      </c>
      <c r="L984" s="12" t="s">
        <v>3393</v>
      </c>
      <c r="M984" s="12" t="s">
        <v>4764</v>
      </c>
      <c r="N984" s="12" t="s">
        <v>4866</v>
      </c>
      <c r="O984" s="12" t="s">
        <v>4764</v>
      </c>
      <c r="AE984" s="32">
        <v>0.33333333333575865</v>
      </c>
      <c r="AF984" s="12" t="s">
        <v>4803</v>
      </c>
    </row>
    <row r="985" spans="1:32" ht="12.75">
      <c r="A985" s="29">
        <v>44956.669554618056</v>
      </c>
      <c r="B985" s="12" t="s">
        <v>3390</v>
      </c>
      <c r="C985" s="12" t="s">
        <v>3391</v>
      </c>
      <c r="D985" s="12" t="s">
        <v>4257</v>
      </c>
      <c r="E985" s="12" t="s">
        <v>3834</v>
      </c>
      <c r="F985" s="30">
        <v>44957</v>
      </c>
      <c r="G985" s="12" t="s">
        <v>3520</v>
      </c>
      <c r="H985" s="32">
        <v>0.66666666666424135</v>
      </c>
      <c r="I985" s="29">
        <v>44957.6875</v>
      </c>
      <c r="J985" s="12" t="s">
        <v>3366</v>
      </c>
      <c r="L985" s="12" t="s">
        <v>3299</v>
      </c>
      <c r="M985" s="12" t="s">
        <v>4032</v>
      </c>
      <c r="O985" s="12" t="s">
        <v>3390</v>
      </c>
      <c r="AE985" s="32">
        <v>0.47916666666424135</v>
      </c>
      <c r="AF985" s="12" t="s">
        <v>4803</v>
      </c>
    </row>
    <row r="986" spans="1:32" ht="12.75">
      <c r="A986" s="29">
        <v>44957.36736956019</v>
      </c>
      <c r="B986" s="12" t="s">
        <v>4764</v>
      </c>
      <c r="C986" s="12" t="s">
        <v>4810</v>
      </c>
      <c r="D986" s="12" t="s">
        <v>4257</v>
      </c>
      <c r="E986" s="12" t="s">
        <v>3435</v>
      </c>
      <c r="F986" s="30">
        <v>44957</v>
      </c>
      <c r="G986" s="12" t="s">
        <v>4865</v>
      </c>
      <c r="H986" s="32">
        <v>0.54166666666424135</v>
      </c>
      <c r="I986" s="29">
        <v>44957.5625</v>
      </c>
      <c r="J986" s="12" t="s">
        <v>3377</v>
      </c>
      <c r="L986" s="12" t="s">
        <v>3393</v>
      </c>
      <c r="M986" s="12" t="s">
        <v>4764</v>
      </c>
      <c r="N986" s="12" t="s">
        <v>4867</v>
      </c>
      <c r="O986" s="12" t="s">
        <v>4764</v>
      </c>
      <c r="AE986" s="32">
        <v>0.375</v>
      </c>
      <c r="AF986" s="12" t="s">
        <v>4803</v>
      </c>
    </row>
    <row r="987" spans="1:32" ht="12.75">
      <c r="A987" s="29">
        <v>44959.29989318287</v>
      </c>
      <c r="B987" s="12" t="s">
        <v>3760</v>
      </c>
      <c r="C987" s="12" t="s">
        <v>4330</v>
      </c>
      <c r="D987" s="12" t="s">
        <v>4257</v>
      </c>
      <c r="E987" s="12" t="s">
        <v>3419</v>
      </c>
      <c r="F987" s="30">
        <v>44959</v>
      </c>
      <c r="G987" s="12" t="s">
        <v>3419</v>
      </c>
      <c r="H987" s="32">
        <v>0.33333333333575865</v>
      </c>
      <c r="I987" s="29">
        <v>44959.354166666672</v>
      </c>
      <c r="J987" s="12" t="s">
        <v>4338</v>
      </c>
      <c r="L987" s="12" t="s">
        <v>3299</v>
      </c>
      <c r="M987" s="12" t="s">
        <v>4796</v>
      </c>
      <c r="N987" s="12" t="s">
        <v>4868</v>
      </c>
      <c r="O987" s="12" t="s">
        <v>4289</v>
      </c>
      <c r="AE987" s="32">
        <v>0.3125</v>
      </c>
      <c r="AF987" s="12" t="s">
        <v>4803</v>
      </c>
    </row>
    <row r="988" spans="1:32" ht="12.75">
      <c r="A988" s="29">
        <v>44959.507230949079</v>
      </c>
      <c r="B988" s="12" t="s">
        <v>4764</v>
      </c>
      <c r="C988" s="12" t="s">
        <v>4810</v>
      </c>
      <c r="D988" s="12" t="s">
        <v>4257</v>
      </c>
      <c r="E988" s="12" t="s">
        <v>4811</v>
      </c>
      <c r="F988" s="30">
        <v>44959</v>
      </c>
      <c r="G988" s="12" t="s">
        <v>4869</v>
      </c>
      <c r="H988" s="32">
        <v>0.66666666666424135</v>
      </c>
      <c r="I988" s="29">
        <v>44959.708333333328</v>
      </c>
      <c r="J988" s="12" t="s">
        <v>3377</v>
      </c>
      <c r="L988" s="12" t="s">
        <v>3393</v>
      </c>
      <c r="M988" s="12" t="s">
        <v>4764</v>
      </c>
      <c r="N988" s="12" t="s">
        <v>4870</v>
      </c>
      <c r="O988" s="12" t="s">
        <v>4764</v>
      </c>
      <c r="AE988" s="32">
        <v>0.5</v>
      </c>
      <c r="AF988" s="12" t="s">
        <v>4803</v>
      </c>
    </row>
    <row r="989" spans="1:32" ht="12.75">
      <c r="A989" s="29">
        <v>44964.351232650464</v>
      </c>
      <c r="B989" s="12" t="s">
        <v>4764</v>
      </c>
      <c r="C989" s="12" t="s">
        <v>4810</v>
      </c>
      <c r="D989" s="12" t="s">
        <v>4840</v>
      </c>
      <c r="E989" s="12" t="s">
        <v>3435</v>
      </c>
      <c r="F989" s="30">
        <v>44964</v>
      </c>
      <c r="G989" s="12" t="s">
        <v>4871</v>
      </c>
      <c r="H989" s="32">
        <v>0.58333333333575865</v>
      </c>
      <c r="I989" s="29">
        <v>44964.604166666672</v>
      </c>
      <c r="J989" s="12" t="s">
        <v>3377</v>
      </c>
      <c r="L989" s="12" t="s">
        <v>3393</v>
      </c>
      <c r="M989" s="12" t="s">
        <v>4838</v>
      </c>
      <c r="N989" s="12" t="s">
        <v>4257</v>
      </c>
      <c r="O989" s="12" t="s">
        <v>4872</v>
      </c>
      <c r="AE989" s="32">
        <v>0.36458333333575865</v>
      </c>
      <c r="AF989" s="12" t="s">
        <v>4803</v>
      </c>
    </row>
    <row r="990" spans="1:32" ht="12.75">
      <c r="A990" s="29">
        <v>44966.267631909723</v>
      </c>
      <c r="B990" s="12" t="s">
        <v>3408</v>
      </c>
      <c r="C990" s="12" t="s">
        <v>3400</v>
      </c>
      <c r="D990" s="12" t="s">
        <v>4153</v>
      </c>
      <c r="E990" s="12" t="s">
        <v>4695</v>
      </c>
      <c r="F990" s="30">
        <v>45178</v>
      </c>
      <c r="G990" s="12" t="s">
        <v>4057</v>
      </c>
      <c r="H990" s="32">
        <v>4.1666666664241347E-2</v>
      </c>
      <c r="J990" s="12" t="s">
        <v>3366</v>
      </c>
      <c r="L990" s="12" t="s">
        <v>4873</v>
      </c>
      <c r="M990" s="12" t="s">
        <v>3458</v>
      </c>
      <c r="N990" s="12" t="s">
        <v>4802</v>
      </c>
      <c r="O990" s="12" t="s">
        <v>3408</v>
      </c>
      <c r="AE990" s="32">
        <v>0.375</v>
      </c>
      <c r="AF990" s="12" t="s">
        <v>4803</v>
      </c>
    </row>
    <row r="991" spans="1:32" ht="12.75">
      <c r="A991" s="29">
        <v>44966.319826157407</v>
      </c>
      <c r="B991" s="12" t="s">
        <v>4874</v>
      </c>
      <c r="C991" s="12" t="s">
        <v>4875</v>
      </c>
      <c r="D991" s="12" t="s">
        <v>4588</v>
      </c>
      <c r="E991" s="12" t="s">
        <v>4876</v>
      </c>
      <c r="F991" s="30">
        <v>44966</v>
      </c>
      <c r="G991" s="12" t="s">
        <v>4877</v>
      </c>
      <c r="H991" s="32">
        <v>8.3333333335758653E-2</v>
      </c>
      <c r="I991" s="29">
        <v>44966.5</v>
      </c>
      <c r="J991" s="12" t="s">
        <v>3358</v>
      </c>
      <c r="K991" s="12">
        <v>2</v>
      </c>
      <c r="L991" s="12" t="s">
        <v>4878</v>
      </c>
      <c r="M991" s="12" t="s">
        <v>4879</v>
      </c>
      <c r="N991" s="12" t="s">
        <v>4880</v>
      </c>
      <c r="O991" s="12" t="s">
        <v>4879</v>
      </c>
      <c r="AE991" s="32">
        <v>0.375</v>
      </c>
      <c r="AF991" s="12" t="s">
        <v>4803</v>
      </c>
    </row>
    <row r="992" spans="1:32" ht="12.75">
      <c r="A992" s="29">
        <v>44970.328391250005</v>
      </c>
      <c r="B992" s="12" t="s">
        <v>4764</v>
      </c>
      <c r="C992" s="12" t="s">
        <v>4810</v>
      </c>
      <c r="D992" s="12" t="s">
        <v>4257</v>
      </c>
      <c r="E992" s="12" t="s">
        <v>4239</v>
      </c>
      <c r="F992" s="30">
        <v>44970</v>
      </c>
      <c r="G992" s="12" t="s">
        <v>4881</v>
      </c>
      <c r="H992" s="32">
        <v>0.5</v>
      </c>
      <c r="I992" s="29">
        <v>44970.541666666672</v>
      </c>
      <c r="J992" s="12" t="s">
        <v>3331</v>
      </c>
      <c r="L992" s="12" t="s">
        <v>3393</v>
      </c>
      <c r="M992" s="12" t="s">
        <v>4764</v>
      </c>
      <c r="N992" s="12" t="s">
        <v>4882</v>
      </c>
      <c r="O992" s="12" t="s">
        <v>4764</v>
      </c>
      <c r="AE992" s="32">
        <v>0.33333333333575865</v>
      </c>
      <c r="AF992" s="12" t="s">
        <v>4803</v>
      </c>
    </row>
    <row r="993" spans="1:32" ht="12.75">
      <c r="A993" s="29">
        <v>44970.336476122684</v>
      </c>
      <c r="B993" s="12" t="s">
        <v>3390</v>
      </c>
      <c r="C993" s="12" t="s">
        <v>3391</v>
      </c>
      <c r="D993" s="12" t="s">
        <v>4257</v>
      </c>
      <c r="E993" s="12" t="s">
        <v>4883</v>
      </c>
      <c r="F993" s="30">
        <v>44970</v>
      </c>
      <c r="G993" s="12" t="s">
        <v>4884</v>
      </c>
      <c r="H993" s="32">
        <v>0.6875</v>
      </c>
      <c r="I993" s="29">
        <v>44970.697916666672</v>
      </c>
      <c r="J993" s="12" t="s">
        <v>3377</v>
      </c>
      <c r="L993" s="12" t="s">
        <v>3299</v>
      </c>
      <c r="M993" s="12" t="s">
        <v>3454</v>
      </c>
      <c r="N993" s="12" t="s">
        <v>4885</v>
      </c>
      <c r="O993" s="12" t="s">
        <v>3390</v>
      </c>
      <c r="AE993" s="32">
        <v>0.35416666666424135</v>
      </c>
      <c r="AF993" s="12" t="s">
        <v>4803</v>
      </c>
    </row>
    <row r="994" spans="1:32" ht="12.75">
      <c r="A994" s="29">
        <v>44971.303649594905</v>
      </c>
      <c r="B994" s="12" t="s">
        <v>3408</v>
      </c>
      <c r="C994" s="12" t="s">
        <v>3400</v>
      </c>
      <c r="D994" s="12" t="s">
        <v>4153</v>
      </c>
      <c r="E994" s="12" t="s">
        <v>4612</v>
      </c>
      <c r="F994" s="30">
        <v>44971</v>
      </c>
      <c r="G994" s="12" t="s">
        <v>4886</v>
      </c>
      <c r="H994" s="32">
        <v>0.58333333333575865</v>
      </c>
      <c r="J994" s="12" t="s">
        <v>3366</v>
      </c>
      <c r="L994" s="12" t="s">
        <v>3734</v>
      </c>
      <c r="M994" s="12" t="s">
        <v>3458</v>
      </c>
      <c r="N994" s="12" t="s">
        <v>4802</v>
      </c>
      <c r="O994" s="12" t="s">
        <v>3408</v>
      </c>
      <c r="AE994" s="32">
        <v>0.375</v>
      </c>
      <c r="AF994" s="12" t="s">
        <v>4803</v>
      </c>
    </row>
    <row r="995" spans="1:32" ht="12.75">
      <c r="A995" s="29">
        <v>44971.367021307873</v>
      </c>
      <c r="B995" s="12" t="s">
        <v>4764</v>
      </c>
      <c r="C995" s="12" t="s">
        <v>4810</v>
      </c>
      <c r="D995" s="12" t="s">
        <v>4257</v>
      </c>
      <c r="E995" s="12" t="s">
        <v>4887</v>
      </c>
      <c r="F995" s="30">
        <v>44971</v>
      </c>
      <c r="G995" s="12" t="s">
        <v>4888</v>
      </c>
      <c r="H995" s="32">
        <v>0.52083333333575865</v>
      </c>
      <c r="I995" s="29">
        <v>44971.5625</v>
      </c>
      <c r="J995" s="12" t="s">
        <v>3377</v>
      </c>
      <c r="L995" s="12" t="s">
        <v>3299</v>
      </c>
      <c r="M995" s="12" t="s">
        <v>4764</v>
      </c>
      <c r="N995" s="12" t="s">
        <v>4889</v>
      </c>
      <c r="O995" s="12" t="s">
        <v>4764</v>
      </c>
      <c r="AE995" s="32">
        <v>0.36458333333575865</v>
      </c>
      <c r="AF995" s="12" t="s">
        <v>4803</v>
      </c>
    </row>
    <row r="996" spans="1:32" ht="12.75">
      <c r="A996" s="29">
        <v>44972.284648449073</v>
      </c>
      <c r="B996" s="12" t="s">
        <v>3408</v>
      </c>
      <c r="C996" s="12" t="s">
        <v>3400</v>
      </c>
      <c r="D996" s="12" t="s">
        <v>4153</v>
      </c>
      <c r="E996" s="12" t="s">
        <v>3435</v>
      </c>
      <c r="F996" s="30">
        <v>44972</v>
      </c>
      <c r="G996" s="12" t="s">
        <v>4742</v>
      </c>
      <c r="H996" s="32">
        <v>0.58333333333575865</v>
      </c>
      <c r="J996" s="12" t="s">
        <v>3366</v>
      </c>
      <c r="L996" s="12" t="s">
        <v>3734</v>
      </c>
      <c r="M996" s="12" t="s">
        <v>3458</v>
      </c>
      <c r="N996" s="12" t="s">
        <v>4890</v>
      </c>
      <c r="O996" s="12" t="s">
        <v>3408</v>
      </c>
      <c r="AE996" s="32">
        <v>0.39583333333575865</v>
      </c>
      <c r="AF996" s="12" t="s">
        <v>4803</v>
      </c>
    </row>
    <row r="997" spans="1:32" ht="12.75">
      <c r="A997" s="29">
        <v>44972.361124247684</v>
      </c>
      <c r="B997" s="12" t="s">
        <v>4764</v>
      </c>
      <c r="C997" s="12" t="s">
        <v>4810</v>
      </c>
      <c r="D997" s="12" t="s">
        <v>4257</v>
      </c>
      <c r="E997" s="12" t="s">
        <v>3482</v>
      </c>
      <c r="F997" s="30">
        <v>44972</v>
      </c>
      <c r="G997" s="12" t="s">
        <v>4891</v>
      </c>
      <c r="H997" s="32">
        <v>0.54166666666424135</v>
      </c>
      <c r="I997" s="29">
        <v>44972.5625</v>
      </c>
      <c r="J997" s="12" t="s">
        <v>3331</v>
      </c>
      <c r="L997" s="12" t="s">
        <v>3299</v>
      </c>
      <c r="M997" s="12" t="s">
        <v>4764</v>
      </c>
      <c r="N997" s="12" t="s">
        <v>4892</v>
      </c>
      <c r="O997" s="12" t="s">
        <v>4764</v>
      </c>
      <c r="AE997" s="32">
        <v>0.36458333333575865</v>
      </c>
      <c r="AF997" s="12" t="s">
        <v>4803</v>
      </c>
    </row>
    <row r="998" spans="1:32" ht="12.75">
      <c r="A998" s="29">
        <v>44978.392093958333</v>
      </c>
      <c r="B998" s="12" t="s">
        <v>3390</v>
      </c>
      <c r="C998" s="12" t="s">
        <v>3391</v>
      </c>
      <c r="D998" s="12" t="s">
        <v>4257</v>
      </c>
      <c r="E998" s="12" t="s">
        <v>3834</v>
      </c>
      <c r="F998" s="30">
        <v>44978</v>
      </c>
      <c r="G998" s="12" t="s">
        <v>3520</v>
      </c>
      <c r="H998" s="32">
        <v>0.66666666666424135</v>
      </c>
      <c r="I998" s="29">
        <v>44978.6875</v>
      </c>
      <c r="J998" s="12" t="s">
        <v>3366</v>
      </c>
      <c r="L998" s="12" t="s">
        <v>3393</v>
      </c>
      <c r="M998" s="12" t="s">
        <v>4032</v>
      </c>
      <c r="O998" s="12" t="s">
        <v>4893</v>
      </c>
      <c r="AE998" s="32">
        <v>0.45833333333575865</v>
      </c>
      <c r="AF998" s="12" t="s">
        <v>4803</v>
      </c>
    </row>
    <row r="999" spans="1:32" ht="12.75">
      <c r="A999" s="29">
        <v>44984.337744629629</v>
      </c>
      <c r="B999" s="12" t="s">
        <v>4764</v>
      </c>
      <c r="C999" s="12" t="s">
        <v>4810</v>
      </c>
      <c r="D999" s="12" t="s">
        <v>4257</v>
      </c>
      <c r="E999" s="12" t="s">
        <v>4239</v>
      </c>
      <c r="F999" s="30">
        <v>44984</v>
      </c>
      <c r="G999" s="12" t="s">
        <v>4869</v>
      </c>
      <c r="H999" s="32">
        <v>0.5</v>
      </c>
      <c r="I999" s="29">
        <v>44984.541666666672</v>
      </c>
      <c r="J999" s="12" t="s">
        <v>3377</v>
      </c>
      <c r="L999" s="12" t="s">
        <v>3299</v>
      </c>
      <c r="M999" s="12" t="s">
        <v>4764</v>
      </c>
      <c r="N999" s="12" t="s">
        <v>4857</v>
      </c>
      <c r="O999" s="12" t="s">
        <v>4764</v>
      </c>
      <c r="AE999" s="32">
        <v>0.33333333333575865</v>
      </c>
      <c r="AF999" s="12" t="s">
        <v>4803</v>
      </c>
    </row>
    <row r="1000" spans="1:32" ht="12.75">
      <c r="A1000" s="29">
        <v>44984.343188854167</v>
      </c>
      <c r="B1000" s="12" t="s">
        <v>3390</v>
      </c>
      <c r="C1000" s="12" t="s">
        <v>3391</v>
      </c>
      <c r="D1000" s="12" t="s">
        <v>4257</v>
      </c>
      <c r="E1000" s="12" t="s">
        <v>4819</v>
      </c>
      <c r="F1000" s="30">
        <v>44984</v>
      </c>
      <c r="G1000" s="12" t="s">
        <v>4894</v>
      </c>
      <c r="H1000" s="32">
        <v>0.59375</v>
      </c>
      <c r="I1000" s="29">
        <v>44984.729166666672</v>
      </c>
      <c r="J1000" s="12" t="s">
        <v>3331</v>
      </c>
      <c r="L1000" s="12" t="s">
        <v>3393</v>
      </c>
      <c r="M1000" s="12" t="s">
        <v>3454</v>
      </c>
      <c r="N1000" s="12" t="s">
        <v>4895</v>
      </c>
      <c r="O1000" s="12" t="s">
        <v>3390</v>
      </c>
      <c r="AE1000" s="32">
        <v>0.35416666666424135</v>
      </c>
      <c r="AF1000" s="12" t="s">
        <v>4803</v>
      </c>
    </row>
    <row r="1001" spans="1:32" ht="12.75">
      <c r="A1001" s="29">
        <v>44985.304210046292</v>
      </c>
      <c r="B1001" s="12" t="s">
        <v>3408</v>
      </c>
      <c r="C1001" s="12" t="s">
        <v>3400</v>
      </c>
      <c r="D1001" s="12" t="s">
        <v>4153</v>
      </c>
      <c r="E1001" s="12" t="s">
        <v>4636</v>
      </c>
      <c r="F1001" s="30">
        <v>44985</v>
      </c>
      <c r="G1001" s="12" t="s">
        <v>4853</v>
      </c>
      <c r="H1001" s="32">
        <v>0.66666666666424135</v>
      </c>
      <c r="J1001" s="12" t="s">
        <v>3366</v>
      </c>
      <c r="L1001" s="12" t="s">
        <v>4854</v>
      </c>
      <c r="M1001" s="12" t="s">
        <v>3458</v>
      </c>
      <c r="N1001" s="12" t="s">
        <v>4802</v>
      </c>
      <c r="O1001" s="12" t="s">
        <v>3408</v>
      </c>
      <c r="AE1001" s="32">
        <v>0.95833333333575865</v>
      </c>
      <c r="AF1001" s="12" t="s">
        <v>4803</v>
      </c>
    </row>
    <row r="1002" spans="1:32" ht="12.75">
      <c r="A1002" s="29">
        <v>44985.375920011575</v>
      </c>
      <c r="B1002" s="12" t="s">
        <v>4764</v>
      </c>
      <c r="C1002" s="12" t="s">
        <v>4810</v>
      </c>
      <c r="D1002" s="12" t="s">
        <v>4257</v>
      </c>
      <c r="E1002" s="12" t="s">
        <v>4239</v>
      </c>
      <c r="F1002" s="30">
        <v>44985</v>
      </c>
      <c r="G1002" s="12" t="s">
        <v>4869</v>
      </c>
      <c r="H1002" s="32">
        <v>0.5625</v>
      </c>
      <c r="I1002" s="29">
        <v>44985.604166666672</v>
      </c>
      <c r="J1002" s="12" t="s">
        <v>3377</v>
      </c>
      <c r="L1002" s="12" t="s">
        <v>3299</v>
      </c>
      <c r="M1002" s="12" t="s">
        <v>4764</v>
      </c>
      <c r="N1002" s="12" t="s">
        <v>4896</v>
      </c>
      <c r="O1002" s="12" t="s">
        <v>4764</v>
      </c>
      <c r="AE1002" s="32">
        <v>0.375</v>
      </c>
      <c r="AF1002" s="12" t="s">
        <v>4803</v>
      </c>
    </row>
    <row r="1003" spans="1:32" ht="12.75">
      <c r="A1003" s="29">
        <v>44986.420354282411</v>
      </c>
      <c r="B1003" s="12" t="s">
        <v>4764</v>
      </c>
      <c r="C1003" s="12" t="s">
        <v>4810</v>
      </c>
      <c r="D1003" s="12" t="s">
        <v>4257</v>
      </c>
      <c r="E1003" s="12" t="s">
        <v>4239</v>
      </c>
      <c r="F1003" s="30">
        <v>44986</v>
      </c>
      <c r="G1003" s="12" t="s">
        <v>4869</v>
      </c>
      <c r="H1003" s="32">
        <v>0.60416666666424135</v>
      </c>
      <c r="I1003" s="29">
        <v>44986.645833333328</v>
      </c>
      <c r="J1003" s="12" t="s">
        <v>3377</v>
      </c>
      <c r="L1003" s="12" t="s">
        <v>3299</v>
      </c>
      <c r="M1003" s="12" t="s">
        <v>4764</v>
      </c>
      <c r="N1003" s="12" t="s">
        <v>4897</v>
      </c>
      <c r="O1003" s="12" t="s">
        <v>4764</v>
      </c>
      <c r="AE1003" s="32">
        <v>0.41666666666424135</v>
      </c>
      <c r="AF1003" s="12" t="s">
        <v>4803</v>
      </c>
    </row>
    <row r="1004" spans="1:32" ht="12.75">
      <c r="A1004" s="29">
        <v>44991.28770512731</v>
      </c>
      <c r="B1004" s="12" t="s">
        <v>3408</v>
      </c>
      <c r="C1004" s="12" t="s">
        <v>3400</v>
      </c>
      <c r="D1004" s="12" t="s">
        <v>4153</v>
      </c>
      <c r="E1004" s="12" t="s">
        <v>3356</v>
      </c>
      <c r="F1004" s="30">
        <v>44991</v>
      </c>
      <c r="G1004" s="12" t="s">
        <v>3657</v>
      </c>
      <c r="H1004" s="32">
        <v>0.39583333333575865</v>
      </c>
      <c r="J1004" s="12" t="s">
        <v>4338</v>
      </c>
      <c r="L1004" s="12" t="s">
        <v>3299</v>
      </c>
      <c r="M1004" s="12" t="s">
        <v>3458</v>
      </c>
      <c r="N1004" s="12" t="s">
        <v>4898</v>
      </c>
      <c r="O1004" s="12" t="s">
        <v>3408</v>
      </c>
      <c r="AE1004" s="32">
        <v>0.35416666666424135</v>
      </c>
      <c r="AF1004" s="12" t="s">
        <v>4803</v>
      </c>
    </row>
    <row r="1005" spans="1:32" ht="12.75">
      <c r="A1005" s="29">
        <v>44991.571326608799</v>
      </c>
      <c r="B1005" s="12" t="s">
        <v>3390</v>
      </c>
      <c r="C1005" s="12" t="s">
        <v>3391</v>
      </c>
      <c r="D1005" s="12" t="s">
        <v>4257</v>
      </c>
      <c r="E1005" s="12" t="s">
        <v>3834</v>
      </c>
      <c r="F1005" s="30">
        <v>44992</v>
      </c>
      <c r="G1005" s="12" t="s">
        <v>3465</v>
      </c>
      <c r="H1005" s="32">
        <v>0.5625</v>
      </c>
      <c r="I1005" s="29">
        <v>44992.583333333328</v>
      </c>
      <c r="J1005" s="12" t="s">
        <v>3366</v>
      </c>
      <c r="L1005" s="12" t="s">
        <v>3393</v>
      </c>
      <c r="M1005" s="12" t="s">
        <v>4856</v>
      </c>
      <c r="O1005" s="12" t="s">
        <v>3390</v>
      </c>
      <c r="AE1005" s="32">
        <v>0.32291666666424135</v>
      </c>
      <c r="AF1005" s="12" t="s">
        <v>4803</v>
      </c>
    </row>
    <row r="1006" spans="1:32" ht="12.75">
      <c r="A1006" s="29">
        <v>44993.281025659722</v>
      </c>
      <c r="B1006" s="12" t="s">
        <v>3408</v>
      </c>
      <c r="C1006" s="12" t="s">
        <v>4899</v>
      </c>
      <c r="D1006" s="12" t="s">
        <v>4153</v>
      </c>
      <c r="E1006" s="12" t="s">
        <v>4695</v>
      </c>
      <c r="F1006" s="30">
        <v>44993</v>
      </c>
      <c r="G1006" s="12" t="s">
        <v>4057</v>
      </c>
      <c r="H1006" s="32">
        <v>0.58333333333575865</v>
      </c>
      <c r="J1006" s="12" t="s">
        <v>3366</v>
      </c>
      <c r="L1006" s="12" t="s">
        <v>4873</v>
      </c>
      <c r="M1006" s="12" t="s">
        <v>3458</v>
      </c>
      <c r="N1006" s="12" t="s">
        <v>4802</v>
      </c>
      <c r="O1006" s="12" t="s">
        <v>3408</v>
      </c>
      <c r="AE1006" s="32">
        <v>0.41666666666424135</v>
      </c>
      <c r="AF1006" s="12" t="s">
        <v>4803</v>
      </c>
    </row>
    <row r="1007" spans="1:32" ht="12.75">
      <c r="A1007" s="29">
        <v>45002.433999166664</v>
      </c>
      <c r="B1007" s="12" t="s">
        <v>4764</v>
      </c>
      <c r="C1007" s="12" t="s">
        <v>4810</v>
      </c>
      <c r="D1007" s="12" t="s">
        <v>4840</v>
      </c>
      <c r="E1007" s="12" t="s">
        <v>4900</v>
      </c>
      <c r="F1007" s="30">
        <v>45002</v>
      </c>
      <c r="G1007" s="12" t="s">
        <v>4901</v>
      </c>
      <c r="H1007" s="32">
        <v>0.60416666666424135</v>
      </c>
      <c r="I1007" s="29">
        <v>45002.625</v>
      </c>
      <c r="J1007" s="12" t="s">
        <v>3358</v>
      </c>
      <c r="K1007" s="12">
        <v>2</v>
      </c>
      <c r="L1007" s="12" t="s">
        <v>3393</v>
      </c>
      <c r="M1007" s="12" t="s">
        <v>4902</v>
      </c>
      <c r="N1007" s="12" t="s">
        <v>4892</v>
      </c>
      <c r="O1007" s="12" t="s">
        <v>4764</v>
      </c>
      <c r="AE1007" s="32">
        <v>0.4375</v>
      </c>
      <c r="AF1007" s="12" t="s">
        <v>4803</v>
      </c>
    </row>
    <row r="1008" spans="1:32" ht="12.75">
      <c r="A1008" s="29">
        <v>45005.566643900464</v>
      </c>
      <c r="B1008" s="12" t="s">
        <v>4764</v>
      </c>
      <c r="C1008" s="12" t="s">
        <v>4810</v>
      </c>
      <c r="D1008" s="12" t="s">
        <v>4257</v>
      </c>
      <c r="E1008" s="12" t="s">
        <v>4903</v>
      </c>
      <c r="F1008" s="30">
        <v>45005</v>
      </c>
      <c r="G1008" s="12" t="s">
        <v>4901</v>
      </c>
      <c r="H1008" s="32">
        <v>0.66666666666424135</v>
      </c>
      <c r="I1008" s="29">
        <v>45005.6875</v>
      </c>
      <c r="J1008" s="12" t="s">
        <v>3358</v>
      </c>
      <c r="K1008" s="12">
        <v>2</v>
      </c>
      <c r="L1008" s="12" t="s">
        <v>3393</v>
      </c>
      <c r="M1008" s="12" t="s">
        <v>4904</v>
      </c>
      <c r="O1008" s="12" t="s">
        <v>4764</v>
      </c>
      <c r="AE1008" s="32">
        <v>0.5625</v>
      </c>
      <c r="AF1008" s="12" t="s">
        <v>4803</v>
      </c>
    </row>
    <row r="1009" spans="1:32" ht="12.75">
      <c r="A1009" s="29">
        <v>45007.409806956013</v>
      </c>
      <c r="B1009" s="12" t="s">
        <v>3390</v>
      </c>
      <c r="C1009" s="12" t="s">
        <v>3391</v>
      </c>
      <c r="D1009" s="12" t="s">
        <v>3470</v>
      </c>
      <c r="E1009" s="12" t="s">
        <v>3834</v>
      </c>
      <c r="F1009" s="30">
        <v>45007</v>
      </c>
      <c r="G1009" s="12" t="s">
        <v>3465</v>
      </c>
      <c r="H1009" s="32">
        <v>0.65625</v>
      </c>
      <c r="I1009" s="29">
        <v>45007.666666666672</v>
      </c>
      <c r="J1009" s="12" t="s">
        <v>3366</v>
      </c>
      <c r="L1009" s="12" t="s">
        <v>3393</v>
      </c>
      <c r="M1009" s="12" t="s">
        <v>4905</v>
      </c>
      <c r="O1009" s="12" t="s">
        <v>3390</v>
      </c>
      <c r="AE1009" s="32">
        <v>0.46875</v>
      </c>
      <c r="AF1009" s="12" t="s">
        <v>4803</v>
      </c>
    </row>
    <row r="1010" spans="1:32" ht="12.75">
      <c r="A1010" s="29">
        <v>45019.332652210651</v>
      </c>
      <c r="B1010" s="12" t="s">
        <v>3760</v>
      </c>
      <c r="C1010" s="12" t="s">
        <v>4330</v>
      </c>
      <c r="D1010" s="12" t="s">
        <v>4257</v>
      </c>
      <c r="E1010" s="12" t="s">
        <v>3419</v>
      </c>
      <c r="F1010" s="30">
        <v>45019</v>
      </c>
      <c r="G1010" s="12" t="s">
        <v>3419</v>
      </c>
      <c r="H1010" s="32">
        <v>0.39583333333575865</v>
      </c>
      <c r="I1010" s="29">
        <v>45019.40625</v>
      </c>
      <c r="J1010" s="12" t="s">
        <v>4338</v>
      </c>
      <c r="L1010" s="12" t="s">
        <v>3299</v>
      </c>
      <c r="M1010" s="12" t="s">
        <v>4796</v>
      </c>
      <c r="N1010" s="12" t="s">
        <v>4906</v>
      </c>
      <c r="O1010" s="12" t="s">
        <v>4289</v>
      </c>
      <c r="AE1010" s="32">
        <v>0.34375</v>
      </c>
      <c r="AF1010" s="12" t="s">
        <v>4803</v>
      </c>
    </row>
    <row r="1011" spans="1:32" ht="12.75">
      <c r="A1011" s="29">
        <v>45020.28893628472</v>
      </c>
      <c r="B1011" s="12" t="s">
        <v>3390</v>
      </c>
      <c r="C1011" s="12" t="s">
        <v>3391</v>
      </c>
      <c r="D1011" s="12" t="s">
        <v>4257</v>
      </c>
      <c r="E1011" s="12" t="s">
        <v>3834</v>
      </c>
      <c r="F1011" s="30">
        <v>45020</v>
      </c>
      <c r="G1011" s="12" t="s">
        <v>3465</v>
      </c>
      <c r="H1011" s="32">
        <v>0.5625</v>
      </c>
      <c r="I1011" s="29">
        <v>45020.572916666672</v>
      </c>
      <c r="J1011" s="12" t="s">
        <v>3366</v>
      </c>
      <c r="L1011" s="12" t="s">
        <v>3393</v>
      </c>
      <c r="M1011" s="12" t="s">
        <v>4905</v>
      </c>
      <c r="O1011" s="12" t="s">
        <v>3390</v>
      </c>
      <c r="AE1011" s="32">
        <v>0.32291666666424135</v>
      </c>
      <c r="AF1011" s="12" t="s">
        <v>4803</v>
      </c>
    </row>
    <row r="1012" spans="1:32" ht="12.75">
      <c r="A1012" s="29">
        <v>45034.394018900464</v>
      </c>
      <c r="B1012" s="12" t="s">
        <v>3390</v>
      </c>
      <c r="C1012" s="12" t="s">
        <v>3391</v>
      </c>
      <c r="D1012" s="12" t="s">
        <v>3470</v>
      </c>
      <c r="E1012" s="12" t="s">
        <v>3834</v>
      </c>
      <c r="F1012" s="30">
        <v>45034</v>
      </c>
      <c r="G1012" s="12" t="s">
        <v>3465</v>
      </c>
      <c r="H1012" s="32">
        <v>0.64583333333575865</v>
      </c>
      <c r="I1012" s="29">
        <v>45034.666666666672</v>
      </c>
      <c r="J1012" s="12" t="s">
        <v>3366</v>
      </c>
      <c r="L1012" s="12" t="s">
        <v>3299</v>
      </c>
      <c r="M1012" s="12" t="s">
        <v>4032</v>
      </c>
      <c r="O1012" s="12" t="s">
        <v>3390</v>
      </c>
      <c r="AE1012" s="32">
        <v>0.4375</v>
      </c>
      <c r="AF1012" s="12" t="s">
        <v>4803</v>
      </c>
    </row>
    <row r="1013" spans="1:32" ht="12.75">
      <c r="A1013" s="29">
        <v>45035.363308217595</v>
      </c>
      <c r="B1013" s="12" t="s">
        <v>3760</v>
      </c>
      <c r="C1013" s="12" t="s">
        <v>4330</v>
      </c>
      <c r="D1013" s="12" t="s">
        <v>4257</v>
      </c>
      <c r="E1013" s="12" t="s">
        <v>4219</v>
      </c>
      <c r="F1013" s="30">
        <v>45035</v>
      </c>
      <c r="G1013" s="12" t="s">
        <v>3357</v>
      </c>
      <c r="H1013" s="32">
        <v>0.66666666666424135</v>
      </c>
      <c r="I1013" s="29">
        <v>45035.6875</v>
      </c>
      <c r="J1013" s="12" t="s">
        <v>4338</v>
      </c>
      <c r="L1013" s="12" t="s">
        <v>3393</v>
      </c>
      <c r="M1013" s="12" t="s">
        <v>4796</v>
      </c>
      <c r="N1013" s="12" t="s">
        <v>4907</v>
      </c>
      <c r="O1013" s="12" t="s">
        <v>4289</v>
      </c>
      <c r="AE1013" s="32">
        <v>0.375</v>
      </c>
      <c r="AF1013" s="12" t="s">
        <v>4803</v>
      </c>
    </row>
    <row r="1014" spans="1:32" ht="12.75">
      <c r="A1014" s="29">
        <v>45036.364002175927</v>
      </c>
      <c r="B1014" s="12" t="s">
        <v>3760</v>
      </c>
      <c r="C1014" s="12" t="s">
        <v>4330</v>
      </c>
      <c r="D1014" s="12" t="s">
        <v>3390</v>
      </c>
      <c r="E1014" s="12" t="s">
        <v>3356</v>
      </c>
      <c r="F1014" s="30">
        <v>45036</v>
      </c>
      <c r="G1014" s="12" t="s">
        <v>3357</v>
      </c>
      <c r="H1014" s="32">
        <v>0.58333333333575865</v>
      </c>
      <c r="I1014" s="29">
        <v>45036.625</v>
      </c>
      <c r="J1014" s="12" t="s">
        <v>4338</v>
      </c>
      <c r="L1014" s="12" t="s">
        <v>3299</v>
      </c>
      <c r="M1014" s="12" t="s">
        <v>4796</v>
      </c>
      <c r="N1014" s="12" t="s">
        <v>4907</v>
      </c>
      <c r="O1014" s="12" t="s">
        <v>4289</v>
      </c>
      <c r="AE1014" s="32">
        <v>0.375</v>
      </c>
      <c r="AF1014" s="12" t="s">
        <v>4803</v>
      </c>
    </row>
    <row r="1015" spans="1:32" ht="12.75">
      <c r="A1015" s="29">
        <v>45047.311152812501</v>
      </c>
      <c r="B1015" s="12" t="s">
        <v>3760</v>
      </c>
      <c r="C1015" s="12" t="s">
        <v>4330</v>
      </c>
      <c r="D1015" s="12" t="s">
        <v>4257</v>
      </c>
      <c r="E1015" s="12" t="s">
        <v>4582</v>
      </c>
      <c r="F1015" s="30">
        <v>45047</v>
      </c>
      <c r="G1015" s="12" t="s">
        <v>4482</v>
      </c>
      <c r="H1015" s="32">
        <v>0.35416666666424135</v>
      </c>
      <c r="I1015" s="29">
        <v>45047.364583333328</v>
      </c>
      <c r="J1015" s="12" t="s">
        <v>4338</v>
      </c>
      <c r="L1015" s="12" t="s">
        <v>3299</v>
      </c>
      <c r="M1015" s="12" t="s">
        <v>4796</v>
      </c>
      <c r="N1015" s="12" t="s">
        <v>4908</v>
      </c>
      <c r="O1015" s="12" t="s">
        <v>4379</v>
      </c>
      <c r="AE1015" s="32">
        <v>0.3125</v>
      </c>
      <c r="AF1015" s="12" t="s">
        <v>4803</v>
      </c>
    </row>
    <row r="1016" spans="1:32" ht="12.75">
      <c r="A1016" s="29">
        <v>45048.290324594913</v>
      </c>
      <c r="B1016" s="12" t="s">
        <v>3390</v>
      </c>
      <c r="C1016" s="12" t="s">
        <v>3391</v>
      </c>
      <c r="D1016" s="12" t="s">
        <v>4257</v>
      </c>
      <c r="E1016" s="12" t="s">
        <v>3834</v>
      </c>
      <c r="F1016" s="30">
        <v>45048</v>
      </c>
      <c r="G1016" s="12" t="s">
        <v>3465</v>
      </c>
      <c r="H1016" s="32">
        <v>0.5625</v>
      </c>
      <c r="I1016" s="29">
        <v>45048.583333333328</v>
      </c>
      <c r="J1016" s="12" t="s">
        <v>3377</v>
      </c>
      <c r="L1016" s="12" t="s">
        <v>3299</v>
      </c>
      <c r="M1016" s="12" t="s">
        <v>4838</v>
      </c>
      <c r="N1016" s="12" t="s">
        <v>4909</v>
      </c>
      <c r="O1016" s="12" t="s">
        <v>3390</v>
      </c>
      <c r="AE1016" s="32">
        <v>0.3125</v>
      </c>
      <c r="AF1016" s="12" t="s">
        <v>4803</v>
      </c>
    </row>
    <row r="1017" spans="1:32" ht="12.75">
      <c r="A1017" s="29">
        <v>45049.377063171298</v>
      </c>
      <c r="B1017" s="12" t="s">
        <v>3390</v>
      </c>
      <c r="C1017" s="12" t="s">
        <v>3391</v>
      </c>
      <c r="D1017" s="12" t="s">
        <v>3470</v>
      </c>
      <c r="E1017" s="12" t="s">
        <v>3509</v>
      </c>
      <c r="F1017" s="30">
        <v>45049</v>
      </c>
      <c r="G1017" s="12" t="s">
        <v>4910</v>
      </c>
      <c r="H1017" s="32">
        <v>0.45833333333575865</v>
      </c>
      <c r="I1017" s="29">
        <v>45049.479166666672</v>
      </c>
      <c r="J1017" s="12" t="s">
        <v>3331</v>
      </c>
      <c r="L1017" s="12" t="s">
        <v>3299</v>
      </c>
      <c r="M1017" s="12" t="s">
        <v>4835</v>
      </c>
      <c r="O1017" s="12" t="s">
        <v>3390</v>
      </c>
      <c r="AE1017" s="32">
        <v>0.39583333333575865</v>
      </c>
      <c r="AF1017" s="12" t="s">
        <v>4803</v>
      </c>
    </row>
    <row r="1018" spans="1:32" ht="12.75">
      <c r="A1018" s="29">
        <v>45057.35935648148</v>
      </c>
      <c r="B1018" s="12" t="s">
        <v>4764</v>
      </c>
      <c r="C1018" s="12" t="s">
        <v>4810</v>
      </c>
      <c r="D1018" s="12" t="s">
        <v>3470</v>
      </c>
      <c r="E1018" s="12" t="s">
        <v>4171</v>
      </c>
      <c r="F1018" s="30">
        <v>45057</v>
      </c>
      <c r="G1018" s="12" t="s">
        <v>4911</v>
      </c>
      <c r="H1018" s="32">
        <v>0.64583333333575865</v>
      </c>
      <c r="I1018" s="29">
        <v>45057.6875</v>
      </c>
      <c r="J1018" s="12" t="s">
        <v>3331</v>
      </c>
      <c r="L1018" s="12" t="s">
        <v>3299</v>
      </c>
      <c r="M1018" s="12" t="s">
        <v>4834</v>
      </c>
      <c r="N1018" s="12" t="s">
        <v>4912</v>
      </c>
      <c r="O1018" s="12" t="s">
        <v>4764</v>
      </c>
      <c r="AE1018" s="32">
        <v>0.41666666666424135</v>
      </c>
      <c r="AF1018" s="12" t="s">
        <v>4803</v>
      </c>
    </row>
    <row r="1019" spans="1:32" ht="12.75">
      <c r="A1019" s="29">
        <v>45061.430800868053</v>
      </c>
      <c r="B1019" s="12" t="s">
        <v>4764</v>
      </c>
      <c r="C1019" s="12" t="s">
        <v>4810</v>
      </c>
      <c r="D1019" s="12" t="s">
        <v>4257</v>
      </c>
      <c r="E1019" s="12" t="s">
        <v>3418</v>
      </c>
      <c r="F1019" s="30">
        <v>45061</v>
      </c>
      <c r="G1019" s="12" t="s">
        <v>3675</v>
      </c>
      <c r="H1019" s="32">
        <v>0.64583333333575865</v>
      </c>
      <c r="I1019" s="29">
        <v>45061.666666666672</v>
      </c>
      <c r="J1019" s="12" t="s">
        <v>3377</v>
      </c>
      <c r="L1019" s="12" t="s">
        <v>3299</v>
      </c>
      <c r="M1019" s="12" t="s">
        <v>4764</v>
      </c>
      <c r="N1019" s="12" t="s">
        <v>4913</v>
      </c>
      <c r="O1019" s="12" t="s">
        <v>4764</v>
      </c>
      <c r="AE1019" s="32">
        <v>0.43055555555474712</v>
      </c>
      <c r="AF1019" s="12" t="s">
        <v>4803</v>
      </c>
    </row>
    <row r="1020" spans="1:32" ht="12.75">
      <c r="A1020" s="29">
        <v>45062.416572916671</v>
      </c>
      <c r="B1020" s="12" t="s">
        <v>4766</v>
      </c>
      <c r="C1020" s="12" t="s">
        <v>4810</v>
      </c>
      <c r="D1020" s="12" t="s">
        <v>3470</v>
      </c>
      <c r="E1020" s="12" t="s">
        <v>3418</v>
      </c>
      <c r="F1020" s="30">
        <v>45062</v>
      </c>
      <c r="G1020" s="12" t="s">
        <v>4914</v>
      </c>
      <c r="H1020" s="32">
        <v>0.67708333333575865</v>
      </c>
      <c r="I1020" s="29">
        <v>45062.697916666672</v>
      </c>
      <c r="J1020" s="12" t="s">
        <v>3377</v>
      </c>
      <c r="L1020" s="12" t="s">
        <v>3299</v>
      </c>
      <c r="M1020" s="12" t="s">
        <v>4766</v>
      </c>
      <c r="N1020" s="12" t="s">
        <v>4915</v>
      </c>
      <c r="O1020" s="12" t="s">
        <v>4764</v>
      </c>
      <c r="AE1020" s="32">
        <v>0.46527777778101154</v>
      </c>
      <c r="AF1020" s="12" t="s">
        <v>4803</v>
      </c>
    </row>
    <row r="1021" spans="1:32" ht="12.75">
      <c r="A1021" s="29">
        <v>45062.471380601855</v>
      </c>
      <c r="B1021" s="12" t="s">
        <v>4384</v>
      </c>
      <c r="C1021" s="12" t="s">
        <v>4708</v>
      </c>
      <c r="D1021" s="12" t="s">
        <v>4153</v>
      </c>
      <c r="E1021" s="12" t="s">
        <v>3524</v>
      </c>
      <c r="F1021" s="30">
        <v>45062</v>
      </c>
      <c r="G1021" s="12" t="s">
        <v>4916</v>
      </c>
      <c r="H1021" s="32">
        <v>0.66666666666424135</v>
      </c>
      <c r="I1021" s="29">
        <v>45062.6875</v>
      </c>
      <c r="J1021" s="12" t="s">
        <v>3331</v>
      </c>
      <c r="L1021" s="12" t="s">
        <v>4917</v>
      </c>
      <c r="M1021" s="12" t="s">
        <v>4918</v>
      </c>
      <c r="N1021" s="12" t="s">
        <v>4919</v>
      </c>
      <c r="O1021" s="12" t="s">
        <v>4384</v>
      </c>
      <c r="AC1021" s="12" t="s">
        <v>4920</v>
      </c>
      <c r="AD1021" s="12" t="s">
        <v>4920</v>
      </c>
      <c r="AE1021" s="32">
        <v>0.54166666666424135</v>
      </c>
      <c r="AF1021" s="12" t="s">
        <v>4803</v>
      </c>
    </row>
    <row r="1022" spans="1:32" ht="12.75">
      <c r="A1022" s="29">
        <v>45064.485926076391</v>
      </c>
      <c r="B1022" s="12" t="s">
        <v>4764</v>
      </c>
      <c r="C1022" s="12" t="s">
        <v>4810</v>
      </c>
      <c r="D1022" s="12" t="s">
        <v>4257</v>
      </c>
      <c r="E1022" s="12" t="s">
        <v>3418</v>
      </c>
      <c r="F1022" s="30">
        <v>45064</v>
      </c>
      <c r="G1022" s="12" t="s">
        <v>4921</v>
      </c>
      <c r="H1022" s="32">
        <v>0.70833333333575865</v>
      </c>
      <c r="I1022" s="29">
        <v>45064.729166666672</v>
      </c>
      <c r="J1022" s="12" t="s">
        <v>3377</v>
      </c>
      <c r="L1022" s="12" t="s">
        <v>3299</v>
      </c>
      <c r="M1022" s="12" t="s">
        <v>4764</v>
      </c>
      <c r="N1022" s="12" t="s">
        <v>4922</v>
      </c>
      <c r="O1022" s="12" t="s">
        <v>4764</v>
      </c>
      <c r="AE1022" s="32">
        <v>0.52777777778101154</v>
      </c>
      <c r="AF1022" s="12" t="s">
        <v>4803</v>
      </c>
    </row>
    <row r="1023" spans="1:32" ht="12.75">
      <c r="A1023" s="29">
        <v>45065.540915057871</v>
      </c>
      <c r="B1023" s="12" t="s">
        <v>4764</v>
      </c>
      <c r="C1023" s="12" t="s">
        <v>4810</v>
      </c>
      <c r="D1023" s="12" t="s">
        <v>4257</v>
      </c>
      <c r="E1023" s="12" t="s">
        <v>4682</v>
      </c>
      <c r="F1023" s="30">
        <v>45065</v>
      </c>
      <c r="G1023" s="12" t="s">
        <v>4914</v>
      </c>
      <c r="H1023" s="32">
        <v>0.70833333333575865</v>
      </c>
      <c r="I1023" s="29">
        <v>45065.729166666672</v>
      </c>
      <c r="J1023" s="12" t="s">
        <v>3377</v>
      </c>
      <c r="L1023" s="12" t="s">
        <v>3299</v>
      </c>
      <c r="M1023" s="12" t="s">
        <v>4764</v>
      </c>
      <c r="N1023" s="12" t="s">
        <v>4923</v>
      </c>
      <c r="O1023" s="12" t="s">
        <v>4764</v>
      </c>
      <c r="AE1023" s="32">
        <v>0.55208333333575865</v>
      </c>
      <c r="AF1023" s="12" t="s">
        <v>4803</v>
      </c>
    </row>
    <row r="1024" spans="1:32" ht="12.75">
      <c r="A1024" s="29">
        <v>45069.410019386574</v>
      </c>
      <c r="B1024" s="12" t="s">
        <v>4145</v>
      </c>
      <c r="C1024" s="12" t="s">
        <v>3683</v>
      </c>
      <c r="D1024" s="12" t="s">
        <v>4257</v>
      </c>
      <c r="E1024" s="12" t="s">
        <v>3482</v>
      </c>
      <c r="F1024" s="30">
        <v>45069</v>
      </c>
      <c r="G1024" s="12" t="s">
        <v>4924</v>
      </c>
      <c r="H1024" s="32">
        <v>0.58333333333575865</v>
      </c>
      <c r="I1024" s="29">
        <v>45069.625</v>
      </c>
      <c r="J1024" s="12" t="s">
        <v>3377</v>
      </c>
      <c r="L1024" s="12" t="s">
        <v>3393</v>
      </c>
      <c r="M1024" s="12" t="s">
        <v>3474</v>
      </c>
      <c r="N1024" s="12" t="s">
        <v>4925</v>
      </c>
      <c r="O1024" s="12" t="s">
        <v>3475</v>
      </c>
      <c r="AE1024" s="32">
        <v>0.40833333333284827</v>
      </c>
      <c r="AF1024" s="12" t="s">
        <v>4803</v>
      </c>
    </row>
    <row r="1025" spans="1:32" ht="12.75">
      <c r="A1025" s="29">
        <v>45078.320963020829</v>
      </c>
      <c r="B1025" s="12" t="s">
        <v>3760</v>
      </c>
      <c r="C1025" s="12" t="s">
        <v>4926</v>
      </c>
      <c r="D1025" s="12" t="s">
        <v>4840</v>
      </c>
      <c r="E1025" s="12" t="s">
        <v>3356</v>
      </c>
      <c r="F1025" s="30">
        <v>45078</v>
      </c>
      <c r="G1025" s="12" t="s">
        <v>3419</v>
      </c>
      <c r="H1025" s="32">
        <v>0.36458333333575865</v>
      </c>
      <c r="I1025" s="29">
        <v>45078.375</v>
      </c>
      <c r="J1025" s="12" t="s">
        <v>4338</v>
      </c>
      <c r="L1025" s="12" t="s">
        <v>3299</v>
      </c>
      <c r="M1025" s="12" t="s">
        <v>4796</v>
      </c>
      <c r="N1025" s="12" t="s">
        <v>4927</v>
      </c>
      <c r="O1025" s="12" t="s">
        <v>4289</v>
      </c>
      <c r="AE1025" s="32">
        <v>0.32291666666424135</v>
      </c>
      <c r="AF1025" s="12" t="s">
        <v>4803</v>
      </c>
    </row>
    <row r="1026" spans="1:32" ht="12.75">
      <c r="A1026" s="29">
        <v>45082.378310127315</v>
      </c>
      <c r="B1026" s="12" t="s">
        <v>3470</v>
      </c>
      <c r="C1026" s="12" t="s">
        <v>3683</v>
      </c>
      <c r="D1026" s="12" t="s">
        <v>3470</v>
      </c>
      <c r="E1026" s="12" t="s">
        <v>4115</v>
      </c>
      <c r="F1026" s="30">
        <v>45082</v>
      </c>
      <c r="G1026" s="12" t="s">
        <v>4928</v>
      </c>
      <c r="H1026" s="32">
        <v>0.60416666666424135</v>
      </c>
      <c r="I1026" s="29">
        <v>45082.666666666672</v>
      </c>
      <c r="J1026" s="12" t="s">
        <v>3331</v>
      </c>
      <c r="L1026" s="12" t="s">
        <v>3393</v>
      </c>
      <c r="M1026" s="12" t="s">
        <v>4929</v>
      </c>
      <c r="N1026" s="12" t="s">
        <v>4930</v>
      </c>
      <c r="O1026" s="12" t="s">
        <v>4145</v>
      </c>
      <c r="AE1026" s="32">
        <v>0.39583333333575865</v>
      </c>
      <c r="AF1026" s="12" t="s">
        <v>4803</v>
      </c>
    </row>
    <row r="1027" spans="1:32" ht="12.75">
      <c r="A1027" s="29">
        <v>45083.413385960652</v>
      </c>
      <c r="B1027" s="12" t="s">
        <v>3408</v>
      </c>
      <c r="C1027" s="12" t="s">
        <v>3400</v>
      </c>
      <c r="D1027" s="12" t="s">
        <v>4840</v>
      </c>
      <c r="E1027" s="12" t="s">
        <v>3356</v>
      </c>
      <c r="F1027" s="30">
        <v>45083</v>
      </c>
      <c r="G1027" s="12" t="s">
        <v>3419</v>
      </c>
      <c r="H1027" s="32">
        <v>0.625</v>
      </c>
      <c r="J1027" s="12" t="s">
        <v>3358</v>
      </c>
      <c r="K1027" s="12">
        <v>3</v>
      </c>
      <c r="L1027" s="12" t="s">
        <v>4854</v>
      </c>
      <c r="M1027" s="12" t="s">
        <v>3458</v>
      </c>
      <c r="N1027" s="12" t="s">
        <v>4931</v>
      </c>
      <c r="O1027" s="12" t="s">
        <v>3408</v>
      </c>
      <c r="AE1027" s="32">
        <v>0.4375</v>
      </c>
      <c r="AF1027" s="12" t="s">
        <v>4803</v>
      </c>
    </row>
    <row r="1028" spans="1:32" ht="12.75">
      <c r="A1028" s="29">
        <v>45083.478276701389</v>
      </c>
      <c r="B1028" s="12" t="s">
        <v>4040</v>
      </c>
      <c r="C1028" s="12" t="s">
        <v>3471</v>
      </c>
      <c r="D1028" s="12" t="s">
        <v>3760</v>
      </c>
      <c r="E1028" s="12" t="s">
        <v>3356</v>
      </c>
      <c r="F1028" s="30">
        <v>45083</v>
      </c>
      <c r="G1028" s="12" t="s">
        <v>4932</v>
      </c>
      <c r="H1028" s="32">
        <v>0.5</v>
      </c>
      <c r="I1028" s="29">
        <v>45083.503472222219</v>
      </c>
      <c r="J1028" s="12" t="s">
        <v>3469</v>
      </c>
      <c r="K1028" s="12">
        <v>1</v>
      </c>
      <c r="L1028" s="12" t="s">
        <v>4749</v>
      </c>
      <c r="M1028" s="12" t="s">
        <v>4933</v>
      </c>
      <c r="O1028" s="12" t="s">
        <v>4807</v>
      </c>
      <c r="AE1028" s="32">
        <v>0.45833333333575865</v>
      </c>
      <c r="AF1028" s="12" t="s">
        <v>4803</v>
      </c>
    </row>
    <row r="1029" spans="1:32" ht="12.75">
      <c r="A1029" s="29">
        <v>45083.490982604169</v>
      </c>
      <c r="B1029" s="12" t="s">
        <v>4934</v>
      </c>
      <c r="C1029" s="12" t="s">
        <v>3471</v>
      </c>
      <c r="D1029" s="12" t="s">
        <v>3760</v>
      </c>
      <c r="E1029" s="12" t="s">
        <v>4814</v>
      </c>
      <c r="F1029" s="30">
        <v>45083</v>
      </c>
      <c r="G1029" s="12" t="s">
        <v>4935</v>
      </c>
      <c r="H1029" s="32">
        <v>0.54166666666424135</v>
      </c>
      <c r="I1029" s="29">
        <v>45083.5625</v>
      </c>
      <c r="J1029" s="12" t="s">
        <v>3366</v>
      </c>
      <c r="L1029" s="12" t="s">
        <v>3393</v>
      </c>
      <c r="M1029" s="12" t="s">
        <v>4933</v>
      </c>
      <c r="O1029" s="12" t="s">
        <v>3475</v>
      </c>
      <c r="AE1029" s="32">
        <v>0.5</v>
      </c>
      <c r="AF1029" s="12" t="s">
        <v>4803</v>
      </c>
    </row>
    <row r="1030" spans="1:32" ht="12.75">
      <c r="A1030" s="29">
        <v>45083.502014108795</v>
      </c>
      <c r="B1030" s="12" t="s">
        <v>4936</v>
      </c>
      <c r="C1030" s="12" t="s">
        <v>3471</v>
      </c>
      <c r="D1030" s="12" t="s">
        <v>3760</v>
      </c>
      <c r="E1030" s="12" t="s">
        <v>3375</v>
      </c>
      <c r="F1030" s="30">
        <v>45083</v>
      </c>
      <c r="G1030" s="12" t="s">
        <v>4937</v>
      </c>
      <c r="H1030" s="32">
        <v>0.54236111111094942</v>
      </c>
      <c r="I1030" s="32">
        <v>0.5625</v>
      </c>
      <c r="J1030" s="12" t="s">
        <v>3366</v>
      </c>
      <c r="L1030" s="12" t="s">
        <v>3393</v>
      </c>
      <c r="M1030" s="12" t="s">
        <v>4938</v>
      </c>
      <c r="O1030" s="12" t="s">
        <v>3475</v>
      </c>
      <c r="AE1030" s="32">
        <v>0.5</v>
      </c>
      <c r="AF1030" s="12" t="s">
        <v>4803</v>
      </c>
    </row>
    <row r="1031" spans="1:32" ht="12.75">
      <c r="A1031" s="29">
        <v>45083.506500740739</v>
      </c>
      <c r="B1031" s="12" t="s">
        <v>4939</v>
      </c>
      <c r="C1031" s="12" t="s">
        <v>3471</v>
      </c>
      <c r="D1031" s="12" t="s">
        <v>3470</v>
      </c>
      <c r="E1031" s="12" t="s">
        <v>4814</v>
      </c>
      <c r="F1031" s="30">
        <v>45083</v>
      </c>
      <c r="G1031" s="12" t="s">
        <v>4940</v>
      </c>
      <c r="H1031" s="32">
        <v>0.21180555555474712</v>
      </c>
      <c r="I1031" s="32">
        <v>0.21180555555474712</v>
      </c>
      <c r="J1031" s="12" t="s">
        <v>3366</v>
      </c>
      <c r="L1031" s="12" t="s">
        <v>3393</v>
      </c>
      <c r="M1031" s="12" t="s">
        <v>4941</v>
      </c>
      <c r="O1031" s="12" t="s">
        <v>3475</v>
      </c>
      <c r="AE1031" s="32">
        <v>0.25208333333284827</v>
      </c>
      <c r="AF1031" s="12" t="s">
        <v>4803</v>
      </c>
    </row>
    <row r="1032" spans="1:32" ht="12.75">
      <c r="A1032" s="29">
        <v>45083.507752500002</v>
      </c>
      <c r="B1032" s="12" t="s">
        <v>4942</v>
      </c>
      <c r="C1032" s="12" t="s">
        <v>3471</v>
      </c>
      <c r="D1032" s="12" t="s">
        <v>4840</v>
      </c>
      <c r="E1032" s="12" t="s">
        <v>3356</v>
      </c>
      <c r="F1032" s="30">
        <v>45083</v>
      </c>
      <c r="G1032" s="12" t="s">
        <v>4943</v>
      </c>
      <c r="H1032" s="32">
        <v>0.21180555555474712</v>
      </c>
      <c r="I1032" s="32">
        <v>0.21180555555474712</v>
      </c>
      <c r="J1032" s="12" t="s">
        <v>3366</v>
      </c>
      <c r="L1032" s="12" t="s">
        <v>3393</v>
      </c>
      <c r="M1032" s="12" t="s">
        <v>4941</v>
      </c>
      <c r="O1032" s="12" t="s">
        <v>3475</v>
      </c>
      <c r="AE1032" s="32">
        <v>0.38124999999854481</v>
      </c>
      <c r="AF1032" s="12" t="s">
        <v>4803</v>
      </c>
    </row>
    <row r="1033" spans="1:32" ht="12.75">
      <c r="A1033" s="29">
        <v>45083.510864085649</v>
      </c>
      <c r="B1033" s="12" t="s">
        <v>4944</v>
      </c>
      <c r="C1033" s="12" t="s">
        <v>3471</v>
      </c>
      <c r="D1033" s="12" t="s">
        <v>4840</v>
      </c>
      <c r="E1033" s="12" t="s">
        <v>4814</v>
      </c>
      <c r="F1033" s="30">
        <v>45083</v>
      </c>
      <c r="G1033" s="12" t="s">
        <v>4940</v>
      </c>
      <c r="H1033" s="32">
        <v>0</v>
      </c>
      <c r="I1033" s="32">
        <v>4.1666666664241347E-2</v>
      </c>
      <c r="J1033" s="12" t="s">
        <v>3366</v>
      </c>
      <c r="L1033" s="12" t="s">
        <v>3393</v>
      </c>
      <c r="M1033" s="12" t="s">
        <v>4796</v>
      </c>
      <c r="O1033" s="12" t="s">
        <v>4944</v>
      </c>
      <c r="AE1033" s="32">
        <v>0</v>
      </c>
      <c r="AF1033" s="12" t="s">
        <v>4803</v>
      </c>
    </row>
    <row r="1034" spans="1:32" ht="12.75">
      <c r="A1034" s="29">
        <v>45083.513190011574</v>
      </c>
      <c r="B1034" s="12" t="s">
        <v>4945</v>
      </c>
      <c r="C1034" s="12" t="s">
        <v>3471</v>
      </c>
      <c r="D1034" s="12" t="s">
        <v>3760</v>
      </c>
      <c r="E1034" s="12" t="s">
        <v>4814</v>
      </c>
      <c r="F1034" s="30">
        <v>45083</v>
      </c>
      <c r="G1034" s="12" t="s">
        <v>4940</v>
      </c>
      <c r="H1034" s="32">
        <v>4.2361111110949423E-2</v>
      </c>
      <c r="I1034" s="32">
        <v>4.2361111110949423E-2</v>
      </c>
      <c r="J1034" s="12" t="s">
        <v>3366</v>
      </c>
      <c r="L1034" s="12" t="s">
        <v>3393</v>
      </c>
      <c r="M1034" s="12" t="s">
        <v>4941</v>
      </c>
      <c r="O1034" s="12" t="s">
        <v>4040</v>
      </c>
      <c r="AE1034" s="32">
        <v>4.2361111110949423E-2</v>
      </c>
      <c r="AF1034" s="12" t="s">
        <v>4803</v>
      </c>
    </row>
    <row r="1035" spans="1:32" ht="12.75">
      <c r="A1035" s="29">
        <v>45084.339477037036</v>
      </c>
      <c r="B1035" s="12" t="s">
        <v>4764</v>
      </c>
      <c r="C1035" s="12" t="s">
        <v>4810</v>
      </c>
      <c r="D1035" s="12" t="s">
        <v>4840</v>
      </c>
      <c r="E1035" s="12" t="s">
        <v>4946</v>
      </c>
      <c r="F1035" s="30">
        <v>45084</v>
      </c>
      <c r="G1035" s="12" t="s">
        <v>4947</v>
      </c>
      <c r="H1035" s="32">
        <v>0.58333333333575865</v>
      </c>
      <c r="I1035" s="39">
        <v>45084.625</v>
      </c>
      <c r="J1035" s="12" t="s">
        <v>3331</v>
      </c>
      <c r="L1035" s="12" t="s">
        <v>3393</v>
      </c>
      <c r="M1035" s="12" t="s">
        <v>4941</v>
      </c>
      <c r="N1035" s="12" t="s">
        <v>4948</v>
      </c>
      <c r="O1035" s="12" t="s">
        <v>4764</v>
      </c>
      <c r="AE1035" s="32">
        <v>0.33333333333575865</v>
      </c>
      <c r="AF1035" s="12" t="s">
        <v>4803</v>
      </c>
    </row>
    <row r="1036" spans="1:32" ht="12.75">
      <c r="A1036" s="29">
        <v>45084.342132928243</v>
      </c>
      <c r="B1036" s="12" t="s">
        <v>3408</v>
      </c>
      <c r="C1036" s="12" t="s">
        <v>3400</v>
      </c>
      <c r="D1036" s="12" t="s">
        <v>4840</v>
      </c>
      <c r="E1036" s="12" t="s">
        <v>4254</v>
      </c>
      <c r="F1036" s="30">
        <v>45084</v>
      </c>
      <c r="G1036" s="12" t="s">
        <v>4949</v>
      </c>
      <c r="H1036" s="32">
        <v>0.14583333333575865</v>
      </c>
      <c r="J1036" s="12" t="s">
        <v>3366</v>
      </c>
      <c r="L1036" s="12" t="s">
        <v>4950</v>
      </c>
      <c r="M1036" s="12" t="s">
        <v>3458</v>
      </c>
      <c r="N1036" s="12" t="s">
        <v>4009</v>
      </c>
      <c r="O1036" s="12" t="s">
        <v>3408</v>
      </c>
      <c r="AE1036" s="32">
        <v>0.42708333333575865</v>
      </c>
      <c r="AF1036" s="12" t="s">
        <v>4803</v>
      </c>
    </row>
    <row r="1037" spans="1:32" ht="12.75">
      <c r="A1037" s="29">
        <v>45085.347496597227</v>
      </c>
      <c r="B1037" s="12" t="s">
        <v>4951</v>
      </c>
      <c r="C1037" s="12" t="s">
        <v>4952</v>
      </c>
      <c r="D1037" s="12" t="s">
        <v>3470</v>
      </c>
      <c r="E1037" s="12" t="s">
        <v>4946</v>
      </c>
      <c r="F1037" s="30">
        <v>45085</v>
      </c>
      <c r="G1037" s="12" t="s">
        <v>4953</v>
      </c>
      <c r="H1037" s="32">
        <v>0.625</v>
      </c>
      <c r="I1037" s="29">
        <v>45085.666666666672</v>
      </c>
      <c r="J1037" s="12" t="s">
        <v>3331</v>
      </c>
      <c r="L1037" s="12" t="s">
        <v>3393</v>
      </c>
      <c r="M1037" s="12" t="s">
        <v>4941</v>
      </c>
      <c r="N1037" s="12" t="s">
        <v>4954</v>
      </c>
      <c r="O1037" s="12" t="s">
        <v>4766</v>
      </c>
      <c r="AE1037" s="32">
        <v>0.375</v>
      </c>
      <c r="AF1037" s="12" t="s">
        <v>4803</v>
      </c>
    </row>
    <row r="1038" spans="1:32" ht="12.75">
      <c r="A1038" s="29">
        <v>45089.496532557867</v>
      </c>
      <c r="B1038" s="12" t="s">
        <v>4764</v>
      </c>
      <c r="C1038" s="12" t="s">
        <v>4810</v>
      </c>
      <c r="D1038" s="12" t="s">
        <v>3470</v>
      </c>
      <c r="E1038" s="12" t="s">
        <v>4946</v>
      </c>
      <c r="F1038" s="30">
        <v>45089</v>
      </c>
      <c r="G1038" s="12" t="s">
        <v>4955</v>
      </c>
      <c r="H1038" s="32">
        <v>0.66666666666424135</v>
      </c>
      <c r="I1038" s="29">
        <v>45089.708333333328</v>
      </c>
      <c r="J1038" s="12" t="s">
        <v>3331</v>
      </c>
      <c r="L1038" s="12" t="s">
        <v>3393</v>
      </c>
      <c r="M1038" s="12" t="s">
        <v>4941</v>
      </c>
      <c r="N1038" s="12" t="s">
        <v>4948</v>
      </c>
      <c r="O1038" s="12" t="s">
        <v>4764</v>
      </c>
      <c r="AE1038" s="32">
        <v>0.5</v>
      </c>
      <c r="AF1038" s="12" t="s">
        <v>4803</v>
      </c>
    </row>
    <row r="1039" spans="1:32" ht="12.75">
      <c r="A1039" s="29">
        <v>45091.383861585651</v>
      </c>
      <c r="B1039" s="12" t="s">
        <v>3470</v>
      </c>
      <c r="C1039" s="12" t="s">
        <v>3471</v>
      </c>
      <c r="D1039" s="12" t="s">
        <v>4764</v>
      </c>
      <c r="E1039" s="12" t="s">
        <v>3321</v>
      </c>
      <c r="F1039" s="30">
        <v>45091</v>
      </c>
      <c r="G1039" s="12" t="s">
        <v>4956</v>
      </c>
      <c r="H1039" s="32">
        <v>0.60416666666424135</v>
      </c>
      <c r="I1039" s="29">
        <v>45091.625</v>
      </c>
      <c r="J1039" s="12" t="s">
        <v>3377</v>
      </c>
      <c r="L1039" s="12" t="s">
        <v>3393</v>
      </c>
      <c r="M1039" s="12" t="s">
        <v>3474</v>
      </c>
      <c r="N1039" s="12" t="s">
        <v>4930</v>
      </c>
      <c r="O1039" s="12" t="s">
        <v>3470</v>
      </c>
      <c r="AE1039" s="32">
        <v>0.40277777778101154</v>
      </c>
      <c r="AF1039" s="12" t="s">
        <v>4803</v>
      </c>
    </row>
    <row r="1040" spans="1:32" ht="12.75">
      <c r="A1040" s="29">
        <v>45098.459108460651</v>
      </c>
      <c r="B1040" s="12" t="s">
        <v>4764</v>
      </c>
      <c r="C1040" s="12" t="s">
        <v>4810</v>
      </c>
      <c r="D1040" s="12" t="s">
        <v>4257</v>
      </c>
      <c r="E1040" s="12" t="s">
        <v>3321</v>
      </c>
      <c r="F1040" s="30">
        <v>45098</v>
      </c>
      <c r="G1040" s="12" t="s">
        <v>4957</v>
      </c>
      <c r="H1040" s="32">
        <v>0.54166666666424135</v>
      </c>
      <c r="I1040" s="29">
        <v>45098.5625</v>
      </c>
      <c r="J1040" s="12" t="s">
        <v>3331</v>
      </c>
      <c r="L1040" s="12" t="s">
        <v>3299</v>
      </c>
      <c r="M1040" s="12" t="s">
        <v>4941</v>
      </c>
      <c r="N1040" s="12" t="s">
        <v>4958</v>
      </c>
      <c r="O1040" s="12" t="s">
        <v>4764</v>
      </c>
      <c r="AE1040" s="32">
        <v>0.96527777778101154</v>
      </c>
      <c r="AF1040" s="12" t="s">
        <v>4803</v>
      </c>
    </row>
    <row r="1041" spans="1:32" ht="12.75">
      <c r="A1041" s="29">
        <v>45099.315425081018</v>
      </c>
      <c r="B1041" s="12" t="s">
        <v>4764</v>
      </c>
      <c r="C1041" s="12" t="s">
        <v>4810</v>
      </c>
      <c r="D1041" s="12" t="s">
        <v>4257</v>
      </c>
      <c r="E1041" s="12" t="s">
        <v>3314</v>
      </c>
      <c r="F1041" s="30">
        <v>45099</v>
      </c>
      <c r="G1041" s="12" t="s">
        <v>4959</v>
      </c>
      <c r="H1041" s="32">
        <v>0.54166666666424135</v>
      </c>
      <c r="I1041" s="29">
        <v>45099.5625</v>
      </c>
      <c r="J1041" s="12" t="s">
        <v>3377</v>
      </c>
      <c r="L1041" s="12" t="s">
        <v>3393</v>
      </c>
      <c r="M1041" s="12" t="s">
        <v>4941</v>
      </c>
      <c r="N1041" s="12" t="s">
        <v>4960</v>
      </c>
      <c r="O1041" s="12" t="s">
        <v>4764</v>
      </c>
      <c r="AE1041" s="32">
        <v>0.33333333333575865</v>
      </c>
      <c r="AF1041" s="12" t="s">
        <v>4803</v>
      </c>
    </row>
    <row r="1042" spans="1:32" ht="12.75">
      <c r="A1042" s="29">
        <v>45103.391365092597</v>
      </c>
      <c r="B1042" s="12" t="s">
        <v>4764</v>
      </c>
      <c r="C1042" s="12" t="s">
        <v>4810</v>
      </c>
      <c r="D1042" s="12" t="s">
        <v>4257</v>
      </c>
      <c r="E1042" s="12" t="s">
        <v>4946</v>
      </c>
      <c r="F1042" s="30">
        <v>45103</v>
      </c>
      <c r="G1042" s="12" t="s">
        <v>4961</v>
      </c>
      <c r="H1042" s="32">
        <v>0.5625</v>
      </c>
      <c r="I1042" s="29">
        <v>45103.604166666672</v>
      </c>
      <c r="J1042" s="12" t="s">
        <v>3366</v>
      </c>
      <c r="L1042" s="12" t="s">
        <v>3299</v>
      </c>
      <c r="M1042" s="12" t="s">
        <v>4941</v>
      </c>
      <c r="N1042" s="12" t="s">
        <v>4948</v>
      </c>
      <c r="O1042" s="12" t="s">
        <v>4764</v>
      </c>
      <c r="AE1042" s="32">
        <v>0.39236111110949423</v>
      </c>
      <c r="AF1042" s="12" t="s">
        <v>4803</v>
      </c>
    </row>
    <row r="1043" spans="1:32" ht="12.75">
      <c r="A1043" s="29">
        <v>45105.507166215277</v>
      </c>
      <c r="B1043" s="12" t="s">
        <v>3470</v>
      </c>
      <c r="C1043" s="12" t="s">
        <v>3683</v>
      </c>
      <c r="D1043" s="12" t="s">
        <v>4764</v>
      </c>
      <c r="E1043" s="12" t="s">
        <v>3321</v>
      </c>
      <c r="F1043" s="30">
        <v>45105</v>
      </c>
      <c r="G1043" s="12" t="s">
        <v>4311</v>
      </c>
      <c r="H1043" s="32">
        <v>0.66666666666424135</v>
      </c>
      <c r="I1043" s="29">
        <v>45105.708333333328</v>
      </c>
      <c r="J1043" s="12" t="s">
        <v>3377</v>
      </c>
      <c r="L1043" s="12" t="s">
        <v>3393</v>
      </c>
      <c r="M1043" s="12" t="s">
        <v>3474</v>
      </c>
      <c r="N1043" s="12" t="s">
        <v>4962</v>
      </c>
      <c r="O1043" s="12" t="s">
        <v>3470</v>
      </c>
      <c r="AE1043" s="32">
        <v>0.54166666666424135</v>
      </c>
      <c r="AF1043" s="12" t="s">
        <v>4803</v>
      </c>
    </row>
    <row r="1044" spans="1:32" ht="12.75">
      <c r="A1044" s="29">
        <v>45112.424266678237</v>
      </c>
      <c r="B1044" s="12" t="s">
        <v>4963</v>
      </c>
      <c r="C1044" s="12" t="s">
        <v>4964</v>
      </c>
      <c r="D1044" s="12" t="s">
        <v>4764</v>
      </c>
      <c r="E1044" s="12" t="s">
        <v>3356</v>
      </c>
      <c r="F1044" s="30">
        <v>45112</v>
      </c>
      <c r="G1044" s="12" t="s">
        <v>4965</v>
      </c>
      <c r="H1044" s="32">
        <v>0.58333333333575865</v>
      </c>
      <c r="I1044" s="29">
        <v>45112.583333333328</v>
      </c>
      <c r="J1044" s="12" t="s">
        <v>3358</v>
      </c>
      <c r="K1044" s="12">
        <v>2</v>
      </c>
      <c r="L1044" s="12" t="s">
        <v>4966</v>
      </c>
      <c r="M1044" s="12" t="s">
        <v>4963</v>
      </c>
      <c r="N1044" s="12" t="s">
        <v>4967</v>
      </c>
      <c r="O1044" s="12" t="s">
        <v>4963</v>
      </c>
      <c r="AE1044" s="32">
        <v>0.4375</v>
      </c>
      <c r="AF1044" s="12" t="s">
        <v>4803</v>
      </c>
    </row>
    <row r="1045" spans="1:32" ht="12.75">
      <c r="A1045" s="29">
        <v>45113.501622314812</v>
      </c>
      <c r="B1045" s="12" t="s">
        <v>4963</v>
      </c>
      <c r="C1045" s="12" t="s">
        <v>4964</v>
      </c>
      <c r="D1045" s="12" t="s">
        <v>4764</v>
      </c>
      <c r="E1045" s="12" t="s">
        <v>3356</v>
      </c>
      <c r="F1045" s="30">
        <v>45113</v>
      </c>
      <c r="G1045" s="12" t="s">
        <v>3419</v>
      </c>
      <c r="H1045" s="32">
        <v>0.60416666666424135</v>
      </c>
      <c r="I1045" s="29">
        <v>45113.604166666672</v>
      </c>
      <c r="J1045" s="12" t="s">
        <v>3358</v>
      </c>
      <c r="K1045" s="12">
        <v>1</v>
      </c>
      <c r="L1045" s="12" t="s">
        <v>4968</v>
      </c>
      <c r="M1045" s="12" t="s">
        <v>4963</v>
      </c>
      <c r="N1045" s="12" t="s">
        <v>4969</v>
      </c>
      <c r="O1045" s="12" t="s">
        <v>4963</v>
      </c>
      <c r="AE1045" s="32">
        <v>0.51041666666424135</v>
      </c>
      <c r="AF1045" s="12" t="s">
        <v>4803</v>
      </c>
    </row>
    <row r="1046" spans="1:32" ht="12.75">
      <c r="A1046" s="29">
        <v>45114.397468263887</v>
      </c>
      <c r="B1046" s="12" t="s">
        <v>3470</v>
      </c>
      <c r="C1046" s="12" t="s">
        <v>3471</v>
      </c>
      <c r="D1046" s="12" t="s">
        <v>4257</v>
      </c>
      <c r="E1046" s="12" t="s">
        <v>3321</v>
      </c>
      <c r="F1046" s="30">
        <v>45114</v>
      </c>
      <c r="G1046" s="12" t="s">
        <v>4311</v>
      </c>
      <c r="H1046" s="32">
        <v>0.61458333333575865</v>
      </c>
      <c r="I1046" s="29">
        <v>45114.645833333328</v>
      </c>
      <c r="J1046" s="12" t="s">
        <v>3377</v>
      </c>
      <c r="L1046" s="12" t="s">
        <v>3393</v>
      </c>
      <c r="M1046" s="12" t="s">
        <v>3474</v>
      </c>
      <c r="N1046" s="12" t="s">
        <v>4930</v>
      </c>
      <c r="O1046" s="12" t="s">
        <v>3475</v>
      </c>
      <c r="AE1046" s="32">
        <v>0.4375</v>
      </c>
      <c r="AF1046" s="12" t="s">
        <v>4803</v>
      </c>
    </row>
    <row r="1047" spans="1:32" ht="12.75">
      <c r="A1047" s="29">
        <v>45117.378914618057</v>
      </c>
      <c r="B1047" s="12" t="s">
        <v>3475</v>
      </c>
      <c r="C1047" s="12" t="s">
        <v>3471</v>
      </c>
      <c r="D1047" s="12" t="s">
        <v>4257</v>
      </c>
      <c r="E1047" s="12" t="s">
        <v>3314</v>
      </c>
      <c r="F1047" s="30">
        <v>45117</v>
      </c>
      <c r="G1047" s="12" t="s">
        <v>4970</v>
      </c>
      <c r="H1047" s="32">
        <v>0.58333333333575865</v>
      </c>
      <c r="I1047" s="29">
        <v>45117.625</v>
      </c>
      <c r="J1047" s="12" t="s">
        <v>3377</v>
      </c>
      <c r="L1047" s="12" t="s">
        <v>3393</v>
      </c>
      <c r="M1047" s="12" t="s">
        <v>4971</v>
      </c>
      <c r="N1047" s="12" t="s">
        <v>4972</v>
      </c>
      <c r="O1047" s="12" t="s">
        <v>3475</v>
      </c>
      <c r="AE1047" s="32">
        <v>0.39583333333575865</v>
      </c>
      <c r="AF1047" s="12" t="s">
        <v>4803</v>
      </c>
    </row>
    <row r="1048" spans="1:32" ht="12.75">
      <c r="A1048" s="29">
        <v>45119.321028692131</v>
      </c>
      <c r="B1048" s="12" t="s">
        <v>4384</v>
      </c>
      <c r="C1048" s="12" t="s">
        <v>4577</v>
      </c>
      <c r="D1048" s="12" t="s">
        <v>4153</v>
      </c>
      <c r="E1048" s="12" t="s">
        <v>4973</v>
      </c>
      <c r="F1048" s="30">
        <v>45119</v>
      </c>
      <c r="G1048" s="12" t="s">
        <v>4130</v>
      </c>
      <c r="H1048" s="32">
        <v>0.60416666666424135</v>
      </c>
      <c r="I1048" s="29">
        <v>45119.645833333328</v>
      </c>
      <c r="J1048" s="12" t="s">
        <v>3331</v>
      </c>
      <c r="L1048" s="12" t="s">
        <v>4974</v>
      </c>
      <c r="M1048" s="12" t="s">
        <v>4975</v>
      </c>
      <c r="N1048" s="12" t="s">
        <v>4976</v>
      </c>
      <c r="O1048" s="12" t="s">
        <v>4257</v>
      </c>
      <c r="AC1048" s="12" t="s">
        <v>4977</v>
      </c>
      <c r="AD1048" s="12" t="s">
        <v>4977</v>
      </c>
      <c r="AE1048" s="32">
        <v>0.36458333333575865</v>
      </c>
      <c r="AF1048" s="12" t="s">
        <v>4803</v>
      </c>
    </row>
    <row r="1049" spans="1:32" ht="12.75">
      <c r="A1049" s="29">
        <v>45120.434487824074</v>
      </c>
      <c r="B1049" s="12" t="s">
        <v>4384</v>
      </c>
      <c r="C1049" s="12" t="s">
        <v>4708</v>
      </c>
      <c r="D1049" s="12" t="s">
        <v>4153</v>
      </c>
      <c r="E1049" s="12" t="s">
        <v>4978</v>
      </c>
      <c r="F1049" s="30">
        <v>45120</v>
      </c>
      <c r="G1049" s="12" t="s">
        <v>4130</v>
      </c>
      <c r="H1049" s="32">
        <v>0.66666666666424135</v>
      </c>
      <c r="I1049" s="29">
        <v>45120.6875</v>
      </c>
      <c r="J1049" s="12" t="s">
        <v>3331</v>
      </c>
      <c r="L1049" s="12" t="s">
        <v>4979</v>
      </c>
      <c r="M1049" s="12" t="s">
        <v>4980</v>
      </c>
      <c r="N1049" s="12" t="s">
        <v>4981</v>
      </c>
      <c r="O1049" s="12" t="s">
        <v>4257</v>
      </c>
      <c r="AE1049" s="32">
        <v>0.4375</v>
      </c>
      <c r="AF1049" s="12" t="s">
        <v>4803</v>
      </c>
    </row>
    <row r="1050" spans="1:32" ht="12.75">
      <c r="A1050" s="29">
        <v>45121.349147777779</v>
      </c>
      <c r="B1050" s="12" t="s">
        <v>4384</v>
      </c>
      <c r="C1050" s="12" t="s">
        <v>4708</v>
      </c>
      <c r="D1050" s="12" t="s">
        <v>4153</v>
      </c>
      <c r="E1050" s="12" t="s">
        <v>4982</v>
      </c>
      <c r="F1050" s="30">
        <v>45121</v>
      </c>
      <c r="G1050" s="12" t="s">
        <v>4130</v>
      </c>
      <c r="H1050" s="32">
        <v>0.66666666666424135</v>
      </c>
      <c r="I1050" s="29">
        <v>45121.6875</v>
      </c>
      <c r="J1050" s="12" t="s">
        <v>3366</v>
      </c>
      <c r="L1050" s="12" t="s">
        <v>4974</v>
      </c>
      <c r="M1050" s="12" t="s">
        <v>4980</v>
      </c>
      <c r="N1050" s="12" t="s">
        <v>4983</v>
      </c>
      <c r="O1050" s="12" t="s">
        <v>4257</v>
      </c>
      <c r="AE1050" s="32">
        <v>0.41666666666424135</v>
      </c>
      <c r="AF1050" s="12" t="s">
        <v>4803</v>
      </c>
    </row>
    <row r="1051" spans="1:32" ht="12.75">
      <c r="A1051" s="29">
        <v>45124.400670567135</v>
      </c>
      <c r="B1051" s="12" t="s">
        <v>3760</v>
      </c>
      <c r="C1051" s="12" t="s">
        <v>4330</v>
      </c>
      <c r="D1051" s="12" t="s">
        <v>3470</v>
      </c>
      <c r="E1051" s="12" t="s">
        <v>3356</v>
      </c>
      <c r="F1051" s="30">
        <v>45124</v>
      </c>
      <c r="G1051" s="12" t="s">
        <v>3419</v>
      </c>
      <c r="H1051" s="32">
        <v>0.44791666666424135</v>
      </c>
      <c r="I1051" s="29">
        <v>45124.451388888891</v>
      </c>
      <c r="J1051" s="12" t="s">
        <v>4338</v>
      </c>
      <c r="L1051" s="12" t="s">
        <v>3299</v>
      </c>
      <c r="M1051" s="12" t="s">
        <v>4796</v>
      </c>
      <c r="N1051" s="12" t="s">
        <v>4984</v>
      </c>
      <c r="O1051" s="12" t="s">
        <v>4289</v>
      </c>
      <c r="AE1051" s="32">
        <v>0.40972222221898846</v>
      </c>
      <c r="AF1051" s="12" t="s">
        <v>4803</v>
      </c>
    </row>
    <row r="1052" spans="1:32" ht="12.75">
      <c r="A1052" s="29">
        <v>45124.698514085649</v>
      </c>
      <c r="B1052" s="12" t="s">
        <v>3470</v>
      </c>
      <c r="C1052" s="12" t="s">
        <v>3471</v>
      </c>
      <c r="D1052" s="12" t="s">
        <v>4764</v>
      </c>
      <c r="E1052" s="12" t="s">
        <v>3321</v>
      </c>
      <c r="F1052" s="30">
        <v>45125</v>
      </c>
      <c r="G1052" s="12" t="s">
        <v>4311</v>
      </c>
      <c r="H1052" s="32">
        <v>0.57291666666424135</v>
      </c>
      <c r="I1052" s="29">
        <v>45126.625</v>
      </c>
      <c r="J1052" s="12" t="s">
        <v>3377</v>
      </c>
      <c r="L1052" s="12" t="s">
        <v>3393</v>
      </c>
      <c r="M1052" s="12" t="s">
        <v>3474</v>
      </c>
      <c r="N1052" s="12" t="s">
        <v>4985</v>
      </c>
      <c r="O1052" s="12" t="s">
        <v>3475</v>
      </c>
      <c r="AE1052" s="32">
        <v>0.38541666666424135</v>
      </c>
      <c r="AF1052" s="12" t="s">
        <v>4803</v>
      </c>
    </row>
    <row r="1053" spans="1:32" ht="12.75">
      <c r="A1053" s="29">
        <v>45126.386086481478</v>
      </c>
      <c r="B1053" s="12" t="s">
        <v>4384</v>
      </c>
      <c r="C1053" s="12" t="s">
        <v>4708</v>
      </c>
      <c r="D1053" s="12" t="s">
        <v>3470</v>
      </c>
      <c r="E1053" s="12" t="s">
        <v>3314</v>
      </c>
      <c r="F1053" s="30">
        <v>45126</v>
      </c>
      <c r="G1053" s="12" t="s">
        <v>4986</v>
      </c>
      <c r="H1053" s="32">
        <v>0.5</v>
      </c>
      <c r="I1053" s="29">
        <v>45126.520833333328</v>
      </c>
      <c r="J1053" s="12" t="s">
        <v>3377</v>
      </c>
      <c r="L1053" s="12" t="s">
        <v>3393</v>
      </c>
      <c r="M1053" s="12" t="s">
        <v>4941</v>
      </c>
      <c r="N1053" s="12" t="s">
        <v>4987</v>
      </c>
      <c r="O1053" s="12" t="s">
        <v>4764</v>
      </c>
      <c r="AE1053" s="32">
        <v>0.41666666666424135</v>
      </c>
      <c r="AF1053" s="12" t="s">
        <v>4803</v>
      </c>
    </row>
    <row r="1054" spans="1:32" ht="12.75">
      <c r="A1054" s="29">
        <v>45134.381054976853</v>
      </c>
      <c r="B1054" s="12" t="s">
        <v>4764</v>
      </c>
      <c r="C1054" s="12" t="s">
        <v>4810</v>
      </c>
      <c r="D1054" s="12" t="s">
        <v>4153</v>
      </c>
      <c r="E1054" s="12" t="s">
        <v>4988</v>
      </c>
      <c r="F1054" s="30">
        <v>45134</v>
      </c>
      <c r="G1054" s="12" t="s">
        <v>4989</v>
      </c>
      <c r="H1054" s="32">
        <v>0.64583333333575865</v>
      </c>
      <c r="I1054" s="29">
        <v>45134.6875</v>
      </c>
      <c r="J1054" s="12" t="s">
        <v>3331</v>
      </c>
      <c r="L1054" s="12" t="s">
        <v>3393</v>
      </c>
      <c r="M1054" s="12" t="s">
        <v>4980</v>
      </c>
      <c r="N1054" s="12" t="s">
        <v>4990</v>
      </c>
      <c r="O1054" s="12" t="s">
        <v>4764</v>
      </c>
      <c r="AE1054" s="32">
        <v>0.38541666666424135</v>
      </c>
      <c r="AF1054" s="12" t="s">
        <v>4803</v>
      </c>
    </row>
    <row r="1055" spans="1:32" ht="12.75">
      <c r="A1055" s="29">
        <v>45135.390017696758</v>
      </c>
      <c r="B1055" s="12" t="s">
        <v>4764</v>
      </c>
      <c r="C1055" s="12" t="s">
        <v>4810</v>
      </c>
      <c r="D1055" s="12" t="s">
        <v>4153</v>
      </c>
      <c r="E1055" s="12" t="s">
        <v>4988</v>
      </c>
      <c r="F1055" s="30">
        <v>45135</v>
      </c>
      <c r="G1055" s="12" t="s">
        <v>4869</v>
      </c>
      <c r="H1055" s="32">
        <v>0.625</v>
      </c>
      <c r="I1055" s="29">
        <v>45135.666666666672</v>
      </c>
      <c r="J1055" s="12" t="s">
        <v>3331</v>
      </c>
      <c r="L1055" s="12" t="s">
        <v>3393</v>
      </c>
      <c r="M1055" s="12" t="s">
        <v>4980</v>
      </c>
      <c r="N1055" s="12" t="s">
        <v>4991</v>
      </c>
      <c r="O1055" s="12" t="s">
        <v>4764</v>
      </c>
      <c r="AE1055" s="32">
        <v>0.38541666666424135</v>
      </c>
      <c r="AF1055" s="12" t="s">
        <v>4803</v>
      </c>
    </row>
    <row r="1056" spans="1:32" ht="12.75">
      <c r="A1056" s="29">
        <v>45138.655392303241</v>
      </c>
      <c r="B1056" s="12" t="s">
        <v>3475</v>
      </c>
      <c r="C1056" s="12" t="s">
        <v>3471</v>
      </c>
      <c r="D1056" s="12" t="s">
        <v>4764</v>
      </c>
      <c r="E1056" s="12" t="s">
        <v>3321</v>
      </c>
      <c r="F1056" s="30">
        <v>45139</v>
      </c>
      <c r="G1056" s="12" t="s">
        <v>4311</v>
      </c>
      <c r="H1056" s="32">
        <v>0.5625</v>
      </c>
      <c r="I1056" s="29">
        <v>45139.604166666672</v>
      </c>
      <c r="J1056" s="12" t="s">
        <v>3377</v>
      </c>
      <c r="L1056" s="12" t="s">
        <v>3393</v>
      </c>
      <c r="M1056" s="12" t="s">
        <v>3867</v>
      </c>
      <c r="N1056" s="12" t="s">
        <v>4985</v>
      </c>
      <c r="O1056" s="12" t="s">
        <v>3475</v>
      </c>
      <c r="AE1056" s="32">
        <v>0.35416666666424135</v>
      </c>
      <c r="AF1056" s="12" t="s">
        <v>4803</v>
      </c>
    </row>
    <row r="1057" spans="1:32" ht="12.75">
      <c r="A1057" s="29">
        <v>45141.474937939813</v>
      </c>
      <c r="B1057" s="12" t="s">
        <v>4958</v>
      </c>
      <c r="C1057" s="12" t="s">
        <v>4952</v>
      </c>
      <c r="D1057" s="12" t="s">
        <v>4257</v>
      </c>
      <c r="E1057" s="12" t="s">
        <v>3321</v>
      </c>
      <c r="F1057" s="30">
        <v>45141</v>
      </c>
      <c r="G1057" s="12" t="s">
        <v>4992</v>
      </c>
      <c r="H1057" s="32">
        <v>0.625</v>
      </c>
      <c r="I1057" s="29">
        <v>45141.645833333328</v>
      </c>
      <c r="J1057" s="12" t="s">
        <v>3377</v>
      </c>
      <c r="L1057" s="12" t="s">
        <v>3393</v>
      </c>
      <c r="M1057" s="12" t="s">
        <v>4941</v>
      </c>
      <c r="N1057" s="12" t="s">
        <v>4958</v>
      </c>
      <c r="O1057" s="12" t="s">
        <v>4766</v>
      </c>
      <c r="AE1057" s="32">
        <v>0.47916666666424135</v>
      </c>
      <c r="AF1057" s="12" t="s">
        <v>4803</v>
      </c>
    </row>
    <row r="1058" spans="1:32" ht="12.75">
      <c r="A1058" s="29">
        <v>45148.432287314819</v>
      </c>
      <c r="B1058" s="12" t="s">
        <v>4958</v>
      </c>
      <c r="C1058" s="12" t="s">
        <v>4952</v>
      </c>
      <c r="D1058" s="12" t="s">
        <v>4153</v>
      </c>
      <c r="E1058" s="12" t="s">
        <v>4988</v>
      </c>
      <c r="F1058" s="30">
        <v>45148</v>
      </c>
      <c r="G1058" s="12" t="s">
        <v>4132</v>
      </c>
      <c r="H1058" s="32">
        <v>0.58333333333575865</v>
      </c>
      <c r="I1058" s="29">
        <v>45148.625</v>
      </c>
      <c r="J1058" s="12" t="s">
        <v>3331</v>
      </c>
      <c r="L1058" s="12" t="s">
        <v>4993</v>
      </c>
      <c r="M1058" s="12" t="s">
        <v>4994</v>
      </c>
      <c r="N1058" s="12" t="s">
        <v>4995</v>
      </c>
      <c r="O1058" s="12" t="s">
        <v>4384</v>
      </c>
      <c r="AE1058" s="32">
        <v>0.43055555555474712</v>
      </c>
      <c r="AF1058" s="12" t="s">
        <v>4803</v>
      </c>
    </row>
    <row r="1059" spans="1:32" ht="12.75">
      <c r="A1059" s="29">
        <v>45152.378647511578</v>
      </c>
      <c r="B1059" s="12" t="s">
        <v>3760</v>
      </c>
      <c r="C1059" s="12" t="s">
        <v>4330</v>
      </c>
      <c r="D1059" s="12" t="s">
        <v>4257</v>
      </c>
      <c r="E1059" s="12" t="s">
        <v>3356</v>
      </c>
      <c r="F1059" s="30">
        <v>45152</v>
      </c>
      <c r="G1059" s="12" t="s">
        <v>3419</v>
      </c>
      <c r="H1059" s="32">
        <v>0.41666666666424135</v>
      </c>
      <c r="I1059" s="29">
        <v>45152.4375</v>
      </c>
      <c r="J1059" s="12" t="s">
        <v>4338</v>
      </c>
      <c r="L1059" s="12" t="s">
        <v>3299</v>
      </c>
      <c r="M1059" s="12" t="s">
        <v>4796</v>
      </c>
      <c r="N1059" s="12" t="s">
        <v>4996</v>
      </c>
      <c r="O1059" s="12" t="s">
        <v>4289</v>
      </c>
      <c r="AE1059" s="32">
        <v>0.375</v>
      </c>
      <c r="AF1059" s="12" t="s">
        <v>4803</v>
      </c>
    </row>
    <row r="1060" spans="1:32" ht="12.75">
      <c r="A1060" s="29">
        <v>45155.30319150463</v>
      </c>
      <c r="B1060" s="12" t="s">
        <v>4384</v>
      </c>
      <c r="C1060" s="12" t="s">
        <v>4708</v>
      </c>
      <c r="D1060" s="12" t="s">
        <v>4153</v>
      </c>
      <c r="E1060" s="12" t="s">
        <v>4997</v>
      </c>
      <c r="F1060" s="30">
        <v>45155</v>
      </c>
      <c r="G1060" s="12" t="s">
        <v>4998</v>
      </c>
      <c r="H1060" s="32">
        <v>0.58333333333575865</v>
      </c>
      <c r="I1060" s="29">
        <v>45155.604166666672</v>
      </c>
      <c r="J1060" s="12" t="s">
        <v>3331</v>
      </c>
      <c r="L1060" s="12" t="s">
        <v>4999</v>
      </c>
      <c r="M1060" s="12" t="s">
        <v>4994</v>
      </c>
      <c r="N1060" s="12" t="s">
        <v>5000</v>
      </c>
      <c r="O1060" s="12" t="s">
        <v>4384</v>
      </c>
      <c r="AE1060" s="32">
        <v>0.35416666666424135</v>
      </c>
      <c r="AF1060" s="12" t="s">
        <v>4803</v>
      </c>
    </row>
    <row r="1061" spans="1:32" ht="12.75">
      <c r="A1061" s="29">
        <v>45161.369239467589</v>
      </c>
      <c r="B1061" s="12" t="s">
        <v>4764</v>
      </c>
      <c r="C1061" s="12" t="s">
        <v>5001</v>
      </c>
      <c r="D1061" s="12" t="s">
        <v>3470</v>
      </c>
      <c r="E1061" s="12" t="s">
        <v>5002</v>
      </c>
      <c r="F1061" s="30">
        <v>45161</v>
      </c>
      <c r="G1061" s="12" t="s">
        <v>5003</v>
      </c>
      <c r="H1061" s="32">
        <v>0.64583333333575865</v>
      </c>
      <c r="I1061" s="29">
        <v>45161.6875</v>
      </c>
      <c r="J1061" s="12" t="s">
        <v>3331</v>
      </c>
      <c r="L1061" s="12" t="s">
        <v>3299</v>
      </c>
      <c r="M1061" s="12" t="s">
        <v>4941</v>
      </c>
      <c r="N1061" s="12" t="s">
        <v>4958</v>
      </c>
      <c r="O1061" s="12" t="s">
        <v>4764</v>
      </c>
      <c r="AE1061" s="32">
        <v>0.375</v>
      </c>
      <c r="AF1061" s="12" t="s">
        <v>4803</v>
      </c>
    </row>
    <row r="1062" spans="1:32" ht="12.75">
      <c r="A1062" s="29">
        <v>45166.392129409724</v>
      </c>
      <c r="B1062" s="12" t="s">
        <v>4764</v>
      </c>
      <c r="C1062" s="12" t="s">
        <v>5001</v>
      </c>
      <c r="D1062" s="12" t="s">
        <v>4257</v>
      </c>
      <c r="E1062" s="12" t="s">
        <v>3321</v>
      </c>
      <c r="F1062" s="30">
        <v>45166</v>
      </c>
      <c r="G1062" s="12" t="s">
        <v>5004</v>
      </c>
      <c r="H1062" s="32">
        <v>0.58333333333575865</v>
      </c>
      <c r="I1062" s="29">
        <v>45166.604166666672</v>
      </c>
      <c r="J1062" s="12" t="s">
        <v>3331</v>
      </c>
      <c r="L1062" s="12" t="s">
        <v>3393</v>
      </c>
      <c r="M1062" s="12" t="s">
        <v>4941</v>
      </c>
      <c r="N1062" s="12" t="s">
        <v>4958</v>
      </c>
      <c r="O1062" s="12" t="s">
        <v>4764</v>
      </c>
      <c r="AE1062" s="32">
        <v>0.38888888889050577</v>
      </c>
      <c r="AF1062" s="12" t="s">
        <v>4803</v>
      </c>
    </row>
    <row r="1063" spans="1:32" ht="12.75">
      <c r="A1063" s="29">
        <v>45166.480331064813</v>
      </c>
      <c r="B1063" s="12" t="s">
        <v>4764</v>
      </c>
      <c r="C1063" s="12" t="s">
        <v>5001</v>
      </c>
      <c r="D1063" s="12" t="s">
        <v>4257</v>
      </c>
      <c r="E1063" s="12" t="s">
        <v>5005</v>
      </c>
      <c r="F1063" s="30">
        <v>45166</v>
      </c>
      <c r="G1063" s="12" t="s">
        <v>5006</v>
      </c>
      <c r="H1063" s="32">
        <v>0.54166666666424135</v>
      </c>
      <c r="I1063" s="29">
        <v>45166.572916666672</v>
      </c>
      <c r="J1063" s="12" t="s">
        <v>3331</v>
      </c>
      <c r="L1063" s="12" t="s">
        <v>3393</v>
      </c>
      <c r="M1063" s="12" t="s">
        <v>4941</v>
      </c>
      <c r="N1063" s="12" t="s">
        <v>4958</v>
      </c>
      <c r="O1063" s="12" t="s">
        <v>4764</v>
      </c>
      <c r="AE1063" s="32">
        <v>0.47916666666424135</v>
      </c>
      <c r="AF1063" s="12" t="s">
        <v>4803</v>
      </c>
    </row>
    <row r="1064" spans="1:32" ht="12.75">
      <c r="A1064" s="29">
        <v>45166.573080034723</v>
      </c>
      <c r="B1064" s="12" t="s">
        <v>4764</v>
      </c>
      <c r="C1064" s="12" t="s">
        <v>5001</v>
      </c>
      <c r="D1064" s="12" t="s">
        <v>4257</v>
      </c>
      <c r="E1064" s="12" t="s">
        <v>4814</v>
      </c>
      <c r="F1064" s="30">
        <v>45166</v>
      </c>
      <c r="G1064" s="12" t="s">
        <v>5007</v>
      </c>
      <c r="H1064" s="32">
        <v>0.64583333333575865</v>
      </c>
      <c r="I1064" s="29">
        <v>45166.666666666672</v>
      </c>
      <c r="J1064" s="12" t="s">
        <v>3331</v>
      </c>
      <c r="L1064" s="12" t="s">
        <v>3393</v>
      </c>
      <c r="M1064" s="12" t="s">
        <v>4941</v>
      </c>
      <c r="N1064" s="12" t="s">
        <v>4958</v>
      </c>
      <c r="O1064" s="12" t="s">
        <v>4764</v>
      </c>
      <c r="AE1064" s="32">
        <v>0.57291666666424135</v>
      </c>
      <c r="AF1064" s="12" t="s">
        <v>4803</v>
      </c>
    </row>
    <row r="1065" spans="1:32" ht="12.75">
      <c r="A1065" s="29">
        <v>45170.358513136569</v>
      </c>
      <c r="B1065" s="12" t="s">
        <v>5008</v>
      </c>
      <c r="C1065" s="12" t="s">
        <v>4952</v>
      </c>
      <c r="D1065" s="12" t="s">
        <v>4468</v>
      </c>
      <c r="E1065" s="12" t="s">
        <v>3321</v>
      </c>
      <c r="F1065" s="30">
        <v>45170</v>
      </c>
      <c r="G1065" s="12" t="s">
        <v>5009</v>
      </c>
      <c r="H1065" s="32">
        <v>0.64583333333575865</v>
      </c>
      <c r="I1065" s="29">
        <v>45170.1875</v>
      </c>
      <c r="J1065" s="12" t="s">
        <v>3377</v>
      </c>
      <c r="L1065" s="12" t="s">
        <v>3393</v>
      </c>
      <c r="M1065" s="12" t="s">
        <v>3307</v>
      </c>
      <c r="N1065" s="12" t="s">
        <v>5010</v>
      </c>
      <c r="O1065" s="12" t="s">
        <v>5011</v>
      </c>
      <c r="AE1065" s="32">
        <v>0.35416666666424135</v>
      </c>
      <c r="AF1065" s="12" t="s">
        <v>4803</v>
      </c>
    </row>
    <row r="1066" spans="1:32" ht="12.75">
      <c r="A1066" s="29">
        <v>45174.468911006945</v>
      </c>
      <c r="B1066" s="12" t="s">
        <v>5012</v>
      </c>
      <c r="C1066" s="12" t="s">
        <v>5013</v>
      </c>
      <c r="D1066" s="12" t="s">
        <v>4257</v>
      </c>
      <c r="E1066" s="12" t="s">
        <v>3356</v>
      </c>
      <c r="F1066" s="30">
        <v>45174</v>
      </c>
      <c r="G1066" s="12" t="s">
        <v>5014</v>
      </c>
      <c r="H1066" s="32">
        <v>0.70833333333575865</v>
      </c>
      <c r="I1066" s="29">
        <v>45174.708333333328</v>
      </c>
      <c r="J1066" s="12" t="s">
        <v>4338</v>
      </c>
      <c r="L1066" s="12" t="s">
        <v>3393</v>
      </c>
      <c r="M1066" s="12" t="s">
        <v>5012</v>
      </c>
      <c r="N1066" s="12" t="s">
        <v>5015</v>
      </c>
      <c r="O1066" s="12" t="s">
        <v>5012</v>
      </c>
      <c r="AE1066" s="32">
        <v>0.41666666666424135</v>
      </c>
      <c r="AF1066" s="12" t="s">
        <v>4803</v>
      </c>
    </row>
    <row r="1067" spans="1:32" ht="12.75">
      <c r="A1067" s="29">
        <v>45174.647010474539</v>
      </c>
      <c r="B1067" s="12" t="s">
        <v>4145</v>
      </c>
      <c r="C1067" s="12" t="s">
        <v>3471</v>
      </c>
      <c r="D1067" s="12" t="s">
        <v>4257</v>
      </c>
      <c r="E1067" s="12" t="s">
        <v>3321</v>
      </c>
      <c r="F1067" s="30">
        <v>45175</v>
      </c>
      <c r="G1067" s="12" t="s">
        <v>4311</v>
      </c>
      <c r="H1067" s="32">
        <v>0.6875</v>
      </c>
      <c r="I1067" s="29">
        <v>45175.708333333328</v>
      </c>
      <c r="J1067" s="12" t="s">
        <v>3377</v>
      </c>
      <c r="L1067" s="12" t="s">
        <v>3393</v>
      </c>
      <c r="M1067" s="12" t="s">
        <v>3474</v>
      </c>
      <c r="N1067" s="12" t="s">
        <v>3931</v>
      </c>
      <c r="O1067" s="12" t="s">
        <v>3475</v>
      </c>
      <c r="AE1067" s="32">
        <v>0.5</v>
      </c>
      <c r="AF1067" s="12" t="s">
        <v>4803</v>
      </c>
    </row>
    <row r="1068" spans="1:32" ht="12.75">
      <c r="A1068" s="29">
        <v>45180.410188657406</v>
      </c>
      <c r="B1068" s="12" t="s">
        <v>5016</v>
      </c>
      <c r="C1068" s="12" t="s">
        <v>4952</v>
      </c>
      <c r="D1068" s="12" t="s">
        <v>4257</v>
      </c>
      <c r="E1068" s="12" t="s">
        <v>4946</v>
      </c>
      <c r="F1068" s="30">
        <v>45180</v>
      </c>
      <c r="G1068" s="12" t="s">
        <v>5017</v>
      </c>
      <c r="H1068" s="32">
        <v>0.66666666666424135</v>
      </c>
      <c r="I1068" s="29">
        <v>45180.708333333328</v>
      </c>
      <c r="J1068" s="12" t="s">
        <v>3331</v>
      </c>
      <c r="L1068" s="12" t="s">
        <v>3393</v>
      </c>
      <c r="M1068" s="12" t="s">
        <v>4941</v>
      </c>
      <c r="N1068" s="12" t="s">
        <v>4958</v>
      </c>
      <c r="O1068" s="12" t="s">
        <v>5018</v>
      </c>
      <c r="AE1068" s="32">
        <v>0.42708333333575865</v>
      </c>
      <c r="AF1068" s="12" t="s">
        <v>4803</v>
      </c>
    </row>
    <row r="1069" spans="1:32" ht="12.75">
      <c r="A1069" s="29">
        <v>45180.680836944448</v>
      </c>
      <c r="B1069" s="12" t="s">
        <v>3470</v>
      </c>
      <c r="C1069" s="12" t="s">
        <v>3471</v>
      </c>
      <c r="D1069" s="12" t="s">
        <v>4257</v>
      </c>
      <c r="E1069" s="12" t="s">
        <v>3321</v>
      </c>
      <c r="F1069" s="30">
        <v>45181</v>
      </c>
      <c r="G1069" s="12" t="s">
        <v>4311</v>
      </c>
      <c r="H1069" s="32">
        <v>0.5</v>
      </c>
      <c r="I1069" s="29">
        <v>45181.541666666672</v>
      </c>
      <c r="J1069" s="12" t="s">
        <v>3331</v>
      </c>
      <c r="L1069" s="12" t="s">
        <v>3393</v>
      </c>
      <c r="M1069" s="12" t="s">
        <v>4941</v>
      </c>
      <c r="O1069" s="12" t="s">
        <v>3475</v>
      </c>
      <c r="AE1069" s="32">
        <v>0.3125</v>
      </c>
      <c r="AF1069" s="12" t="s">
        <v>4803</v>
      </c>
    </row>
    <row r="1070" spans="1:32" ht="12.75">
      <c r="A1070" s="29">
        <v>45187.480483993058</v>
      </c>
      <c r="B1070" s="12" t="s">
        <v>5016</v>
      </c>
      <c r="C1070" s="12" t="s">
        <v>4952</v>
      </c>
      <c r="D1070" s="12" t="s">
        <v>4257</v>
      </c>
      <c r="E1070" s="12" t="s">
        <v>4814</v>
      </c>
      <c r="F1070" s="30">
        <v>45187</v>
      </c>
      <c r="G1070" s="12" t="s">
        <v>5019</v>
      </c>
      <c r="H1070" s="32">
        <v>0.60416666666424135</v>
      </c>
      <c r="I1070" s="29">
        <v>45187.645833333328</v>
      </c>
      <c r="J1070" s="12" t="s">
        <v>3331</v>
      </c>
      <c r="L1070" s="12" t="s">
        <v>3393</v>
      </c>
      <c r="M1070" s="12" t="s">
        <v>4941</v>
      </c>
      <c r="N1070" s="12" t="s">
        <v>4958</v>
      </c>
      <c r="O1070" s="12" t="s">
        <v>4779</v>
      </c>
      <c r="AE1070" s="32">
        <v>0.5</v>
      </c>
      <c r="AF1070" s="12" t="s">
        <v>4803</v>
      </c>
    </row>
    <row r="1071" spans="1:32" ht="12.75">
      <c r="A1071" s="29">
        <v>45188.273709293979</v>
      </c>
      <c r="B1071" s="12" t="s">
        <v>3408</v>
      </c>
      <c r="C1071" s="12" t="s">
        <v>3400</v>
      </c>
      <c r="D1071" s="12" t="s">
        <v>4840</v>
      </c>
      <c r="E1071" s="12" t="s">
        <v>5020</v>
      </c>
      <c r="F1071" s="30">
        <v>45188</v>
      </c>
      <c r="G1071" s="12" t="s">
        <v>4285</v>
      </c>
      <c r="H1071" s="32">
        <v>0.58333333333575865</v>
      </c>
      <c r="J1071" s="12" t="s">
        <v>3377</v>
      </c>
      <c r="L1071" s="12" t="s">
        <v>5021</v>
      </c>
      <c r="M1071" s="12" t="s">
        <v>3458</v>
      </c>
      <c r="N1071" s="12" t="s">
        <v>4009</v>
      </c>
      <c r="O1071" s="12" t="s">
        <v>3408</v>
      </c>
      <c r="AE1071" s="32">
        <v>0.375</v>
      </c>
      <c r="AF1071" s="12" t="s">
        <v>4803</v>
      </c>
    </row>
    <row r="1072" spans="1:32" ht="12.75">
      <c r="A1072" s="29">
        <v>45188.305340370367</v>
      </c>
      <c r="B1072" s="12" t="s">
        <v>4764</v>
      </c>
      <c r="C1072" s="12" t="s">
        <v>5001</v>
      </c>
      <c r="D1072" s="12" t="s">
        <v>4257</v>
      </c>
      <c r="E1072" s="12" t="s">
        <v>4946</v>
      </c>
      <c r="F1072" s="30">
        <v>45188</v>
      </c>
      <c r="G1072" s="12" t="s">
        <v>5022</v>
      </c>
      <c r="H1072" s="32">
        <v>0.52083333333575865</v>
      </c>
      <c r="I1072" s="29">
        <v>45188.5625</v>
      </c>
      <c r="J1072" s="12" t="s">
        <v>3331</v>
      </c>
      <c r="L1072" s="12" t="s">
        <v>3393</v>
      </c>
      <c r="M1072" s="12" t="s">
        <v>5023</v>
      </c>
      <c r="N1072" s="12" t="s">
        <v>5024</v>
      </c>
      <c r="O1072" s="12" t="s">
        <v>4764</v>
      </c>
      <c r="AE1072" s="32">
        <v>0.3125</v>
      </c>
      <c r="AF1072" s="12" t="s">
        <v>4803</v>
      </c>
    </row>
    <row r="1073" spans="1:32" ht="12.75">
      <c r="A1073" s="29">
        <v>45189.292603263893</v>
      </c>
      <c r="B1073" s="12" t="s">
        <v>4764</v>
      </c>
      <c r="C1073" s="12" t="s">
        <v>5001</v>
      </c>
      <c r="D1073" s="12" t="s">
        <v>4257</v>
      </c>
      <c r="E1073" s="12" t="s">
        <v>3375</v>
      </c>
      <c r="F1073" s="30">
        <v>45189</v>
      </c>
      <c r="G1073" s="12" t="s">
        <v>5025</v>
      </c>
      <c r="H1073" s="32">
        <v>0.58333333333575865</v>
      </c>
      <c r="I1073" s="29">
        <v>45189.625</v>
      </c>
      <c r="J1073" s="12" t="s">
        <v>3331</v>
      </c>
      <c r="L1073" s="12" t="s">
        <v>3393</v>
      </c>
      <c r="M1073" s="12" t="s">
        <v>5023</v>
      </c>
      <c r="N1073" s="12" t="s">
        <v>5024</v>
      </c>
      <c r="O1073" s="12" t="s">
        <v>4764</v>
      </c>
      <c r="AE1073" s="32">
        <v>0.29166666666424135</v>
      </c>
      <c r="AF1073" s="12" t="s">
        <v>4803</v>
      </c>
    </row>
    <row r="1074" spans="1:32" ht="12.75">
      <c r="A1074" s="29">
        <v>45191.277053761572</v>
      </c>
      <c r="B1074" s="12" t="s">
        <v>3408</v>
      </c>
      <c r="C1074" s="12" t="s">
        <v>3400</v>
      </c>
      <c r="D1074" s="12" t="s">
        <v>4840</v>
      </c>
      <c r="E1074" s="12" t="s">
        <v>3321</v>
      </c>
      <c r="F1074" s="30">
        <v>45191</v>
      </c>
      <c r="G1074" s="12" t="s">
        <v>5009</v>
      </c>
      <c r="H1074" s="32">
        <v>0.66666666666424135</v>
      </c>
      <c r="J1074" s="12" t="s">
        <v>3366</v>
      </c>
      <c r="L1074" s="12" t="s">
        <v>5021</v>
      </c>
      <c r="M1074" s="12" t="s">
        <v>3458</v>
      </c>
      <c r="N1074" s="12" t="s">
        <v>5026</v>
      </c>
      <c r="O1074" s="12" t="s">
        <v>3408</v>
      </c>
      <c r="AE1074" s="32">
        <v>0.39583333333575865</v>
      </c>
      <c r="AF1074" s="12" t="s">
        <v>4803</v>
      </c>
    </row>
    <row r="1075" spans="1:32" ht="12.75">
      <c r="A1075" s="29">
        <v>45191.323450057869</v>
      </c>
      <c r="B1075" s="12" t="s">
        <v>4766</v>
      </c>
      <c r="C1075" s="12" t="s">
        <v>5001</v>
      </c>
      <c r="D1075" s="12" t="s">
        <v>4257</v>
      </c>
      <c r="E1075" s="12" t="s">
        <v>4814</v>
      </c>
      <c r="F1075" s="30">
        <v>45191</v>
      </c>
      <c r="G1075" s="12" t="s">
        <v>5007</v>
      </c>
      <c r="H1075" s="32">
        <v>0.60416666666424135</v>
      </c>
      <c r="I1075" s="29">
        <v>45191.625</v>
      </c>
      <c r="J1075" s="12" t="s">
        <v>3331</v>
      </c>
      <c r="L1075" s="12" t="s">
        <v>3393</v>
      </c>
      <c r="M1075" s="12" t="s">
        <v>4941</v>
      </c>
      <c r="N1075" s="12" t="s">
        <v>5027</v>
      </c>
      <c r="O1075" s="12" t="s">
        <v>4764</v>
      </c>
      <c r="AE1075" s="32">
        <v>0.32291666666424135</v>
      </c>
      <c r="AF1075" s="12" t="s">
        <v>4803</v>
      </c>
    </row>
    <row r="1076" spans="1:32" ht="12.75">
      <c r="A1076" s="29">
        <v>45194.510049386576</v>
      </c>
      <c r="B1076" s="12" t="s">
        <v>4958</v>
      </c>
      <c r="C1076" s="12" t="s">
        <v>4952</v>
      </c>
      <c r="D1076" s="12" t="s">
        <v>4257</v>
      </c>
      <c r="E1076" s="12" t="s">
        <v>4946</v>
      </c>
      <c r="F1076" s="30">
        <v>45194</v>
      </c>
      <c r="G1076" s="12" t="s">
        <v>5028</v>
      </c>
      <c r="H1076" s="32">
        <v>0.66666666666424135</v>
      </c>
      <c r="I1076" s="29">
        <v>45194.708333333328</v>
      </c>
      <c r="J1076" s="12" t="s">
        <v>3331</v>
      </c>
      <c r="L1076" s="12" t="s">
        <v>3393</v>
      </c>
      <c r="M1076" s="12" t="s">
        <v>4941</v>
      </c>
      <c r="N1076" s="12" t="s">
        <v>4958</v>
      </c>
      <c r="O1076" s="12" t="s">
        <v>5018</v>
      </c>
      <c r="AE1076" s="32">
        <v>2.0833333335758653E-2</v>
      </c>
      <c r="AF1076" s="12" t="s">
        <v>4803</v>
      </c>
    </row>
    <row r="1077" spans="1:32" ht="12.75">
      <c r="A1077" s="29">
        <v>45200.303360381949</v>
      </c>
      <c r="B1077" s="12" t="s">
        <v>4764</v>
      </c>
      <c r="C1077" s="12" t="s">
        <v>5001</v>
      </c>
      <c r="D1077" s="12" t="s">
        <v>4153</v>
      </c>
      <c r="E1077" s="12" t="s">
        <v>4946</v>
      </c>
      <c r="F1077" s="30">
        <v>45200</v>
      </c>
      <c r="G1077" s="12" t="s">
        <v>5029</v>
      </c>
      <c r="H1077" s="32">
        <v>0.66666666666424135</v>
      </c>
      <c r="I1077" s="29">
        <v>45200.708333333328</v>
      </c>
      <c r="J1077" s="12" t="s">
        <v>3331</v>
      </c>
      <c r="L1077" s="12" t="s">
        <v>3299</v>
      </c>
      <c r="M1077" s="12" t="s">
        <v>5023</v>
      </c>
      <c r="N1077" s="12" t="s">
        <v>5030</v>
      </c>
      <c r="O1077" s="12" t="s">
        <v>4764</v>
      </c>
      <c r="AE1077" s="32">
        <v>0.30555555555474712</v>
      </c>
      <c r="AF1077" s="12" t="s">
        <v>4803</v>
      </c>
    </row>
    <row r="1078" spans="1:32" ht="12.75">
      <c r="A1078" s="29">
        <v>45201.307227696758</v>
      </c>
      <c r="B1078" s="12" t="s">
        <v>4766</v>
      </c>
      <c r="C1078" s="12" t="s">
        <v>5001</v>
      </c>
      <c r="D1078" s="12" t="s">
        <v>4153</v>
      </c>
      <c r="E1078" s="12" t="s">
        <v>4946</v>
      </c>
      <c r="F1078" s="30">
        <v>45201</v>
      </c>
      <c r="G1078" s="12" t="s">
        <v>5031</v>
      </c>
      <c r="H1078" s="32">
        <v>0.54166666666424135</v>
      </c>
      <c r="I1078" s="29">
        <v>45201.583333333328</v>
      </c>
      <c r="J1078" s="12" t="s">
        <v>3331</v>
      </c>
      <c r="L1078" s="12" t="s">
        <v>3299</v>
      </c>
      <c r="M1078" s="12" t="s">
        <v>5032</v>
      </c>
      <c r="N1078" s="12" t="s">
        <v>5033</v>
      </c>
      <c r="O1078" s="12" t="s">
        <v>4764</v>
      </c>
      <c r="AE1078" s="32">
        <v>0.3125</v>
      </c>
      <c r="AF1078" s="12" t="s">
        <v>4803</v>
      </c>
    </row>
    <row r="1079" spans="1:32" ht="12.75">
      <c r="A1079" s="29">
        <v>45203.270374953703</v>
      </c>
      <c r="B1079" s="12" t="s">
        <v>3408</v>
      </c>
      <c r="C1079" s="12" t="s">
        <v>4746</v>
      </c>
      <c r="D1079" s="12" t="s">
        <v>3406</v>
      </c>
      <c r="E1079" s="12" t="s">
        <v>4245</v>
      </c>
      <c r="F1079" s="30">
        <v>45203</v>
      </c>
      <c r="G1079" s="12" t="s">
        <v>5034</v>
      </c>
      <c r="H1079" s="32">
        <v>0.58333333333575865</v>
      </c>
      <c r="J1079" s="12" t="s">
        <v>3366</v>
      </c>
      <c r="L1079" s="12" t="s">
        <v>5021</v>
      </c>
      <c r="M1079" s="12" t="s">
        <v>3458</v>
      </c>
      <c r="N1079" s="12" t="s">
        <v>4009</v>
      </c>
      <c r="O1079" s="12" t="s">
        <v>3408</v>
      </c>
      <c r="AE1079" s="32">
        <v>0.35416666666424135</v>
      </c>
      <c r="AF1079" s="12" t="s">
        <v>4803</v>
      </c>
    </row>
    <row r="1080" spans="1:32" ht="12.75">
      <c r="A1080" s="29">
        <v>45203.50170883102</v>
      </c>
      <c r="B1080" s="12" t="s">
        <v>3475</v>
      </c>
      <c r="C1080" s="12" t="s">
        <v>3683</v>
      </c>
      <c r="D1080" s="12" t="s">
        <v>4257</v>
      </c>
      <c r="E1080" s="12" t="s">
        <v>5005</v>
      </c>
      <c r="F1080" s="30">
        <v>45203</v>
      </c>
      <c r="G1080" s="12" t="s">
        <v>5035</v>
      </c>
      <c r="H1080" s="32">
        <v>0.625</v>
      </c>
      <c r="I1080" s="29">
        <v>45203.666666666672</v>
      </c>
      <c r="J1080" s="12" t="s">
        <v>3331</v>
      </c>
      <c r="L1080" s="12" t="s">
        <v>3299</v>
      </c>
      <c r="M1080" s="12" t="s">
        <v>3474</v>
      </c>
      <c r="N1080" s="12" t="s">
        <v>5036</v>
      </c>
      <c r="O1080" s="12" t="s">
        <v>3475</v>
      </c>
      <c r="AE1080" s="32">
        <v>0.52083333333575865</v>
      </c>
      <c r="AF1080" s="12" t="s">
        <v>4803</v>
      </c>
    </row>
    <row r="1081" spans="1:32" ht="12.75">
      <c r="A1081" s="29">
        <v>45204.282731435189</v>
      </c>
      <c r="B1081" s="12" t="s">
        <v>4764</v>
      </c>
      <c r="C1081" s="12" t="s">
        <v>5001</v>
      </c>
      <c r="D1081" s="12" t="s">
        <v>4257</v>
      </c>
      <c r="E1081" s="12" t="s">
        <v>5005</v>
      </c>
      <c r="F1081" s="30">
        <v>45204</v>
      </c>
      <c r="G1081" s="12" t="s">
        <v>5006</v>
      </c>
      <c r="H1081" s="32">
        <v>0.54166666666424135</v>
      </c>
      <c r="I1081" s="29">
        <v>45204.583333333328</v>
      </c>
      <c r="J1081" s="12" t="s">
        <v>3331</v>
      </c>
      <c r="L1081" s="12" t="s">
        <v>3299</v>
      </c>
      <c r="M1081" s="12" t="s">
        <v>5037</v>
      </c>
      <c r="N1081" s="12" t="s">
        <v>5038</v>
      </c>
      <c r="O1081" s="12" t="s">
        <v>4764</v>
      </c>
      <c r="AE1081" s="32">
        <v>0.29166666666424135</v>
      </c>
      <c r="AF1081" s="12" t="s">
        <v>4803</v>
      </c>
    </row>
    <row r="1082" spans="1:32" ht="12.75">
      <c r="A1082" s="29">
        <v>45205.370704687499</v>
      </c>
      <c r="B1082" s="12" t="s">
        <v>5016</v>
      </c>
      <c r="C1082" s="12" t="s">
        <v>4952</v>
      </c>
      <c r="D1082" s="12" t="s">
        <v>4764</v>
      </c>
      <c r="E1082" s="12" t="s">
        <v>5039</v>
      </c>
      <c r="F1082" s="30">
        <v>45205</v>
      </c>
      <c r="G1082" s="12" t="s">
        <v>5040</v>
      </c>
      <c r="H1082" s="32">
        <v>0.625</v>
      </c>
      <c r="I1082" s="29">
        <v>45205.666666666672</v>
      </c>
      <c r="J1082" s="12" t="s">
        <v>3358</v>
      </c>
      <c r="K1082" s="12">
        <v>2</v>
      </c>
      <c r="L1082" s="12" t="s">
        <v>3299</v>
      </c>
      <c r="M1082" s="12" t="s">
        <v>5041</v>
      </c>
      <c r="N1082" s="12" t="s">
        <v>5042</v>
      </c>
      <c r="O1082" s="12" t="s">
        <v>4958</v>
      </c>
      <c r="AE1082" s="32">
        <v>0.38541666666424135</v>
      </c>
      <c r="AF1082" s="12" t="s">
        <v>4803</v>
      </c>
    </row>
    <row r="1083" spans="1:32" ht="12.75">
      <c r="A1083" s="29">
        <v>45208.474711481482</v>
      </c>
      <c r="B1083" s="12" t="s">
        <v>4009</v>
      </c>
      <c r="C1083" s="12" t="s">
        <v>5043</v>
      </c>
      <c r="D1083" s="12" t="s">
        <v>4840</v>
      </c>
      <c r="E1083" s="12" t="s">
        <v>3321</v>
      </c>
      <c r="F1083" s="30">
        <v>45208</v>
      </c>
      <c r="G1083" s="12" t="s">
        <v>5044</v>
      </c>
      <c r="H1083" s="32">
        <v>0.625</v>
      </c>
      <c r="I1083" s="29">
        <v>45208.666666666672</v>
      </c>
      <c r="J1083" s="12" t="s">
        <v>3377</v>
      </c>
      <c r="L1083" s="12" t="s">
        <v>5021</v>
      </c>
      <c r="M1083" s="12" t="s">
        <v>3458</v>
      </c>
      <c r="N1083" s="12" t="s">
        <v>4009</v>
      </c>
      <c r="AE1083" s="32">
        <v>0.5</v>
      </c>
      <c r="AF1083" s="12" t="s">
        <v>4803</v>
      </c>
    </row>
    <row r="1084" spans="1:32" ht="12.75">
      <c r="A1084" s="29">
        <v>45209.382361354168</v>
      </c>
      <c r="B1084" s="12" t="s">
        <v>3475</v>
      </c>
      <c r="C1084" s="12" t="s">
        <v>3683</v>
      </c>
      <c r="D1084" s="12" t="s">
        <v>4840</v>
      </c>
      <c r="E1084" s="12" t="s">
        <v>3321</v>
      </c>
      <c r="F1084" s="30">
        <v>45209</v>
      </c>
      <c r="G1084" s="12" t="s">
        <v>5045</v>
      </c>
      <c r="H1084" s="32">
        <v>0.66666666666424135</v>
      </c>
      <c r="I1084" s="29">
        <v>45209.708333333328</v>
      </c>
      <c r="J1084" s="12" t="s">
        <v>3377</v>
      </c>
      <c r="L1084" s="12" t="s">
        <v>3299</v>
      </c>
      <c r="M1084" s="12" t="s">
        <v>5046</v>
      </c>
      <c r="N1084" s="12" t="s">
        <v>5047</v>
      </c>
      <c r="O1084" s="12" t="s">
        <v>4145</v>
      </c>
      <c r="AE1084" s="32">
        <v>0.39583333333575865</v>
      </c>
      <c r="AF1084" s="12" t="s">
        <v>4803</v>
      </c>
    </row>
    <row r="1085" spans="1:32" ht="12.75">
      <c r="A1085" s="29">
        <v>45209.386055960647</v>
      </c>
      <c r="B1085" s="12" t="s">
        <v>4257</v>
      </c>
      <c r="C1085" s="12" t="s">
        <v>4409</v>
      </c>
      <c r="D1085" s="12" t="s">
        <v>4840</v>
      </c>
      <c r="E1085" s="12" t="s">
        <v>3321</v>
      </c>
      <c r="F1085" s="30">
        <v>45209</v>
      </c>
      <c r="G1085" s="12" t="s">
        <v>5048</v>
      </c>
      <c r="H1085" s="32">
        <v>0.66666666666424135</v>
      </c>
      <c r="I1085" s="29">
        <v>45209.6875</v>
      </c>
      <c r="J1085" s="12" t="s">
        <v>3331</v>
      </c>
      <c r="L1085" s="12" t="s">
        <v>5049</v>
      </c>
      <c r="M1085" s="12" t="s">
        <v>3307</v>
      </c>
      <c r="N1085" s="12" t="s">
        <v>5050</v>
      </c>
      <c r="O1085" s="12" t="s">
        <v>4257</v>
      </c>
      <c r="AC1085" s="12" t="s">
        <v>3369</v>
      </c>
      <c r="AE1085" s="32">
        <v>0.38888888889050577</v>
      </c>
      <c r="AF1085" s="12" t="s">
        <v>4803</v>
      </c>
    </row>
    <row r="1086" spans="1:32" ht="12.75">
      <c r="A1086" s="29">
        <v>45209.505077719907</v>
      </c>
      <c r="B1086" s="12" t="s">
        <v>3408</v>
      </c>
      <c r="C1086" s="12" t="s">
        <v>3400</v>
      </c>
      <c r="D1086" s="12" t="s">
        <v>4840</v>
      </c>
      <c r="E1086" s="12" t="s">
        <v>4612</v>
      </c>
      <c r="F1086" s="30">
        <v>45209</v>
      </c>
      <c r="G1086" s="12" t="s">
        <v>5051</v>
      </c>
      <c r="H1086" s="32">
        <v>0.625</v>
      </c>
      <c r="J1086" s="12" t="s">
        <v>3366</v>
      </c>
      <c r="L1086" s="12" t="s">
        <v>5021</v>
      </c>
      <c r="M1086" s="12" t="s">
        <v>3458</v>
      </c>
      <c r="N1086" s="12" t="s">
        <v>4009</v>
      </c>
      <c r="O1086" s="12" t="s">
        <v>3408</v>
      </c>
      <c r="AE1086" s="32">
        <v>0.5</v>
      </c>
      <c r="AF1086" s="12" t="s">
        <v>4803</v>
      </c>
    </row>
    <row r="1087" spans="1:32" ht="12.75">
      <c r="A1087" s="29">
        <v>45210.321811145834</v>
      </c>
      <c r="B1087" s="12" t="s">
        <v>5012</v>
      </c>
      <c r="C1087" s="12" t="s">
        <v>5052</v>
      </c>
      <c r="D1087" s="12" t="s">
        <v>4257</v>
      </c>
      <c r="E1087" s="12" t="s">
        <v>3356</v>
      </c>
      <c r="F1087" s="30">
        <v>45210</v>
      </c>
      <c r="G1087" s="12" t="s">
        <v>5053</v>
      </c>
      <c r="H1087" s="32">
        <v>0.375</v>
      </c>
      <c r="I1087" s="29">
        <v>45210.583333333328</v>
      </c>
      <c r="J1087" s="12" t="s">
        <v>4338</v>
      </c>
      <c r="L1087" s="12" t="s">
        <v>3299</v>
      </c>
      <c r="M1087" s="12" t="s">
        <v>5012</v>
      </c>
      <c r="N1087" s="12" t="s">
        <v>5054</v>
      </c>
      <c r="O1087" s="12" t="s">
        <v>5012</v>
      </c>
      <c r="AE1087" s="32">
        <v>0.33333333333575865</v>
      </c>
      <c r="AF1087" s="12" t="s">
        <v>4803</v>
      </c>
    </row>
    <row r="1088" spans="1:32" ht="12.75">
      <c r="A1088" s="29">
        <v>45210.439578229169</v>
      </c>
      <c r="B1088" s="12" t="s">
        <v>4764</v>
      </c>
      <c r="C1088" s="12" t="s">
        <v>5001</v>
      </c>
      <c r="D1088" s="12" t="s">
        <v>4840</v>
      </c>
      <c r="E1088" s="12" t="s">
        <v>3314</v>
      </c>
      <c r="F1088" s="30">
        <v>45210</v>
      </c>
      <c r="G1088" s="12" t="s">
        <v>4292</v>
      </c>
      <c r="H1088" s="32">
        <v>0.64583333333575865</v>
      </c>
      <c r="I1088" s="29">
        <v>45210.666666666672</v>
      </c>
      <c r="J1088" s="12" t="s">
        <v>3331</v>
      </c>
      <c r="L1088" s="12" t="s">
        <v>3393</v>
      </c>
      <c r="M1088" s="12" t="s">
        <v>5037</v>
      </c>
      <c r="N1088" s="12" t="s">
        <v>5038</v>
      </c>
      <c r="O1088" s="12" t="s">
        <v>4764</v>
      </c>
      <c r="AE1088" s="32">
        <v>0.45833333333575865</v>
      </c>
      <c r="AF1088" s="12" t="s">
        <v>4803</v>
      </c>
    </row>
    <row r="1089" spans="1:32" ht="12.75">
      <c r="A1089" s="29">
        <v>45215.403330173613</v>
      </c>
      <c r="B1089" s="12" t="s">
        <v>5055</v>
      </c>
      <c r="C1089" s="12" t="s">
        <v>3683</v>
      </c>
      <c r="D1089" s="12" t="s">
        <v>4257</v>
      </c>
      <c r="E1089" s="12" t="s">
        <v>3321</v>
      </c>
      <c r="F1089" s="30">
        <v>45215</v>
      </c>
      <c r="G1089" s="12" t="s">
        <v>4576</v>
      </c>
      <c r="H1089" s="32">
        <v>0.58333333333575865</v>
      </c>
      <c r="I1089" s="29">
        <v>45215.604166666672</v>
      </c>
      <c r="J1089" s="12" t="s">
        <v>3377</v>
      </c>
      <c r="L1089" s="12" t="s">
        <v>3393</v>
      </c>
      <c r="M1089" s="12" t="s">
        <v>3474</v>
      </c>
      <c r="N1089" s="12" t="s">
        <v>5036</v>
      </c>
      <c r="O1089" s="12" t="s">
        <v>3470</v>
      </c>
      <c r="AE1089" s="32">
        <v>0.41666666666424135</v>
      </c>
      <c r="AF1089" s="12" t="s">
        <v>4803</v>
      </c>
    </row>
    <row r="1090" spans="1:32" ht="12.75">
      <c r="A1090" s="29">
        <v>45223.588912245366</v>
      </c>
      <c r="B1090" s="12" t="s">
        <v>5012</v>
      </c>
      <c r="C1090" s="12" t="s">
        <v>5056</v>
      </c>
      <c r="D1090" s="12" t="s">
        <v>3470</v>
      </c>
      <c r="E1090" s="12" t="s">
        <v>3356</v>
      </c>
      <c r="F1090" s="30">
        <v>45223</v>
      </c>
      <c r="G1090" s="12" t="s">
        <v>5057</v>
      </c>
      <c r="H1090" s="32">
        <v>0.66666666666424135</v>
      </c>
      <c r="I1090" s="29">
        <v>45223.6875</v>
      </c>
      <c r="J1090" s="12" t="s">
        <v>4338</v>
      </c>
      <c r="L1090" s="12" t="s">
        <v>3299</v>
      </c>
      <c r="M1090" s="12" t="s">
        <v>5012</v>
      </c>
      <c r="N1090" s="12" t="s">
        <v>4958</v>
      </c>
      <c r="O1090" s="12" t="s">
        <v>5012</v>
      </c>
      <c r="AE1090" s="32">
        <v>0.58333333333575865</v>
      </c>
      <c r="AF1090" s="12" t="s">
        <v>4803</v>
      </c>
    </row>
    <row r="1091" spans="1:32" ht="12.75">
      <c r="A1091" s="29">
        <v>45224.431752384262</v>
      </c>
      <c r="B1091" s="12" t="s">
        <v>4766</v>
      </c>
      <c r="C1091" s="12" t="s">
        <v>5001</v>
      </c>
      <c r="D1091" s="12" t="s">
        <v>4468</v>
      </c>
      <c r="E1091" s="12" t="s">
        <v>3321</v>
      </c>
      <c r="F1091" s="30">
        <v>45224</v>
      </c>
      <c r="G1091" s="12" t="s">
        <v>5058</v>
      </c>
      <c r="H1091" s="32">
        <v>0.54166666666424135</v>
      </c>
      <c r="I1091" s="29">
        <v>45224.5625</v>
      </c>
      <c r="J1091" s="12" t="s">
        <v>3377</v>
      </c>
      <c r="L1091" s="12" t="s">
        <v>3393</v>
      </c>
      <c r="M1091" s="12" t="s">
        <v>4941</v>
      </c>
      <c r="N1091" s="12" t="s">
        <v>5036</v>
      </c>
      <c r="O1091" s="12" t="s">
        <v>4766</v>
      </c>
      <c r="AE1091" s="32">
        <v>0.43055555555474712</v>
      </c>
      <c r="AF1091" s="12" t="s">
        <v>4803</v>
      </c>
    </row>
    <row r="1092" spans="1:32" ht="12.75">
      <c r="A1092" s="29">
        <v>45224.451606076385</v>
      </c>
      <c r="B1092" s="12" t="s">
        <v>3408</v>
      </c>
      <c r="C1092" s="12" t="s">
        <v>3400</v>
      </c>
      <c r="D1092" s="12" t="s">
        <v>4840</v>
      </c>
      <c r="E1092" s="12" t="s">
        <v>3356</v>
      </c>
      <c r="F1092" s="30">
        <v>45224</v>
      </c>
      <c r="G1092" s="12" t="s">
        <v>3357</v>
      </c>
      <c r="H1092" s="32">
        <v>0.60416666666424135</v>
      </c>
      <c r="J1092" s="12" t="s">
        <v>4338</v>
      </c>
      <c r="L1092" s="12" t="s">
        <v>3299</v>
      </c>
      <c r="M1092" s="12" t="s">
        <v>3458</v>
      </c>
      <c r="N1092" s="12" t="s">
        <v>5059</v>
      </c>
      <c r="O1092" s="12" t="s">
        <v>3408</v>
      </c>
      <c r="AE1092" s="32">
        <v>0.45833333333575865</v>
      </c>
      <c r="AF1092" s="12" t="s">
        <v>4803</v>
      </c>
    </row>
    <row r="1093" spans="1:32" ht="12.75">
      <c r="A1093" s="29">
        <v>45225.511278831022</v>
      </c>
      <c r="B1093" s="12" t="s">
        <v>3408</v>
      </c>
      <c r="C1093" s="12" t="s">
        <v>3400</v>
      </c>
      <c r="D1093" s="12" t="s">
        <v>4840</v>
      </c>
      <c r="E1093" s="12" t="s">
        <v>5060</v>
      </c>
      <c r="F1093" s="30" t="s">
        <v>5061</v>
      </c>
      <c r="G1093" s="12" t="s">
        <v>5062</v>
      </c>
      <c r="H1093" s="32">
        <v>0.70833333333575865</v>
      </c>
      <c r="J1093" s="12" t="s">
        <v>3366</v>
      </c>
      <c r="L1093" s="12" t="s">
        <v>5021</v>
      </c>
      <c r="M1093" s="12" t="s">
        <v>3458</v>
      </c>
      <c r="N1093" s="12" t="s">
        <v>4009</v>
      </c>
      <c r="O1093" s="12" t="s">
        <v>3408</v>
      </c>
      <c r="AE1093" s="32">
        <v>0.51041666666424135</v>
      </c>
      <c r="AF1093" s="12" t="s">
        <v>4803</v>
      </c>
    </row>
    <row r="1094" spans="1:32" ht="12.75">
      <c r="A1094" s="29">
        <v>45226.448095196756</v>
      </c>
      <c r="B1094" s="12" t="s">
        <v>3408</v>
      </c>
      <c r="C1094" s="12" t="s">
        <v>3400</v>
      </c>
      <c r="D1094" s="12" t="s">
        <v>4840</v>
      </c>
      <c r="E1094" s="12" t="s">
        <v>5063</v>
      </c>
      <c r="F1094" s="30">
        <v>45226</v>
      </c>
      <c r="G1094" s="12" t="s">
        <v>4057</v>
      </c>
      <c r="H1094" s="32">
        <v>0.58333333333575865</v>
      </c>
      <c r="J1094" s="12" t="s">
        <v>3366</v>
      </c>
      <c r="L1094" s="12" t="s">
        <v>5021</v>
      </c>
      <c r="M1094" s="12" t="s">
        <v>3458</v>
      </c>
      <c r="N1094" s="12" t="s">
        <v>4009</v>
      </c>
      <c r="O1094" s="12" t="s">
        <v>4104</v>
      </c>
      <c r="AE1094" s="32">
        <v>0.45833333333575865</v>
      </c>
      <c r="AF1094" s="12" t="s">
        <v>4803</v>
      </c>
    </row>
    <row r="1095" spans="1:32" ht="12.75">
      <c r="A1095" s="29">
        <v>45226.472313796301</v>
      </c>
      <c r="B1095" s="12" t="s">
        <v>4764</v>
      </c>
      <c r="C1095" s="12" t="s">
        <v>5001</v>
      </c>
      <c r="D1095" s="12" t="s">
        <v>4840</v>
      </c>
      <c r="E1095" s="12" t="s">
        <v>3321</v>
      </c>
      <c r="F1095" s="30">
        <v>45226</v>
      </c>
      <c r="G1095" s="12" t="s">
        <v>5064</v>
      </c>
      <c r="H1095" s="32">
        <v>0.64583333333575865</v>
      </c>
      <c r="I1095" s="29">
        <v>45226.666666666672</v>
      </c>
      <c r="J1095" s="12" t="s">
        <v>3331</v>
      </c>
      <c r="L1095" s="12" t="s">
        <v>3393</v>
      </c>
      <c r="M1095" s="12" t="s">
        <v>4941</v>
      </c>
      <c r="N1095" s="12" t="s">
        <v>5065</v>
      </c>
      <c r="O1095" s="12" t="s">
        <v>4764</v>
      </c>
      <c r="AE1095" s="32">
        <v>0.47916666666424135</v>
      </c>
      <c r="AF1095" s="12" t="s">
        <v>4803</v>
      </c>
    </row>
    <row r="1096" spans="1:32" ht="12.75">
      <c r="A1096" s="29">
        <v>45226.492913275462</v>
      </c>
      <c r="B1096" s="12" t="s">
        <v>5016</v>
      </c>
      <c r="C1096" s="12" t="s">
        <v>4952</v>
      </c>
      <c r="D1096" s="12" t="s">
        <v>4840</v>
      </c>
      <c r="E1096" s="12" t="s">
        <v>3356</v>
      </c>
      <c r="F1096" s="30">
        <v>45226</v>
      </c>
      <c r="G1096" s="12" t="s">
        <v>4313</v>
      </c>
      <c r="H1096" s="32">
        <v>0.625</v>
      </c>
      <c r="I1096" s="29">
        <v>45226.645833333328</v>
      </c>
      <c r="J1096" s="12" t="s">
        <v>4338</v>
      </c>
      <c r="L1096" s="12" t="s">
        <v>3299</v>
      </c>
      <c r="M1096" s="12" t="s">
        <v>5041</v>
      </c>
      <c r="N1096" s="12" t="s">
        <v>5066</v>
      </c>
      <c r="O1096" s="12" t="s">
        <v>5016</v>
      </c>
      <c r="AE1096" s="32">
        <v>0.5</v>
      </c>
      <c r="AF1096" s="12" t="s">
        <v>4803</v>
      </c>
    </row>
    <row r="1097" spans="1:32" ht="12.75">
      <c r="A1097" s="29">
        <v>45228.306474016208</v>
      </c>
      <c r="B1097" s="12" t="s">
        <v>5016</v>
      </c>
      <c r="C1097" s="12" t="s">
        <v>4952</v>
      </c>
      <c r="D1097" s="12" t="s">
        <v>4764</v>
      </c>
      <c r="E1097" s="12" t="s">
        <v>3356</v>
      </c>
      <c r="F1097" s="30">
        <v>45228</v>
      </c>
      <c r="G1097" s="12" t="s">
        <v>5067</v>
      </c>
      <c r="H1097" s="32">
        <v>0.75</v>
      </c>
      <c r="I1097" s="29">
        <v>45228.770833333328</v>
      </c>
      <c r="J1097" s="12" t="s">
        <v>4338</v>
      </c>
      <c r="L1097" s="12" t="s">
        <v>3299</v>
      </c>
      <c r="M1097" s="12" t="s">
        <v>5041</v>
      </c>
      <c r="N1097" s="12" t="s">
        <v>5068</v>
      </c>
      <c r="O1097" s="12" t="s">
        <v>5016</v>
      </c>
      <c r="AE1097" s="32">
        <v>0.3125</v>
      </c>
      <c r="AF1097" s="12" t="s">
        <v>4803</v>
      </c>
    </row>
    <row r="1098" spans="1:32" ht="12.75">
      <c r="A1098" s="29">
        <v>45228.403117071764</v>
      </c>
      <c r="B1098" s="12" t="s">
        <v>5016</v>
      </c>
      <c r="C1098" s="12" t="s">
        <v>4952</v>
      </c>
      <c r="D1098" s="12" t="s">
        <v>4764</v>
      </c>
      <c r="E1098" s="12" t="s">
        <v>3314</v>
      </c>
      <c r="F1098" s="30">
        <v>45228</v>
      </c>
      <c r="G1098" s="12" t="s">
        <v>4313</v>
      </c>
      <c r="H1098" s="32">
        <v>0.5</v>
      </c>
      <c r="I1098" s="29">
        <v>45228.520833333328</v>
      </c>
      <c r="J1098" s="12" t="s">
        <v>3331</v>
      </c>
      <c r="L1098" s="12" t="s">
        <v>3393</v>
      </c>
      <c r="M1098" s="12" t="s">
        <v>3307</v>
      </c>
      <c r="N1098" s="12" t="s">
        <v>5069</v>
      </c>
      <c r="O1098" s="12" t="s">
        <v>5011</v>
      </c>
      <c r="AE1098" s="32">
        <v>0.40625</v>
      </c>
      <c r="AF1098" s="12" t="s">
        <v>4803</v>
      </c>
    </row>
    <row r="1099" spans="1:32" ht="12.75">
      <c r="A1099" s="29">
        <v>45228.604346562497</v>
      </c>
      <c r="B1099" s="12" t="s">
        <v>5016</v>
      </c>
      <c r="C1099" s="12" t="s">
        <v>4952</v>
      </c>
      <c r="D1099" s="12" t="s">
        <v>4764</v>
      </c>
      <c r="E1099" s="12" t="s">
        <v>3321</v>
      </c>
      <c r="F1099" s="30">
        <v>45228</v>
      </c>
      <c r="G1099" s="12" t="s">
        <v>5070</v>
      </c>
      <c r="H1099" s="32">
        <v>0.75</v>
      </c>
      <c r="I1099" s="29">
        <v>45228.75</v>
      </c>
      <c r="J1099" s="12" t="s">
        <v>3331</v>
      </c>
      <c r="L1099" s="12" t="s">
        <v>3393</v>
      </c>
      <c r="M1099" s="12" t="s">
        <v>3307</v>
      </c>
      <c r="N1099" s="12" t="s">
        <v>5071</v>
      </c>
      <c r="O1099" s="12" t="s">
        <v>5011</v>
      </c>
      <c r="AE1099" s="32">
        <v>0.60416666666424135</v>
      </c>
      <c r="AF1099" s="12" t="s">
        <v>4803</v>
      </c>
    </row>
    <row r="1100" spans="1:32" ht="12.75">
      <c r="A1100" s="29">
        <v>45229.458261805557</v>
      </c>
      <c r="B1100" s="12" t="s">
        <v>5016</v>
      </c>
      <c r="C1100" s="12" t="s">
        <v>4952</v>
      </c>
      <c r="D1100" s="12" t="s">
        <v>4764</v>
      </c>
      <c r="E1100" s="12" t="s">
        <v>3356</v>
      </c>
      <c r="F1100" s="30">
        <v>45229</v>
      </c>
      <c r="G1100" s="12" t="s">
        <v>4313</v>
      </c>
      <c r="H1100" s="32">
        <v>0.5</v>
      </c>
      <c r="I1100" s="29">
        <v>45229.520833333328</v>
      </c>
      <c r="J1100" s="12" t="s">
        <v>4338</v>
      </c>
      <c r="L1100" s="12" t="s">
        <v>3299</v>
      </c>
      <c r="M1100" s="12" t="s">
        <v>5041</v>
      </c>
      <c r="N1100" s="12" t="s">
        <v>5072</v>
      </c>
      <c r="O1100" s="12" t="s">
        <v>5016</v>
      </c>
      <c r="AE1100" s="32">
        <v>0.4375</v>
      </c>
      <c r="AF1100" s="12" t="s">
        <v>4803</v>
      </c>
    </row>
    <row r="1101" spans="1:32" ht="12.75">
      <c r="A1101" s="29">
        <v>45229.63126318287</v>
      </c>
      <c r="B1101" s="12" t="s">
        <v>5016</v>
      </c>
      <c r="C1101" s="12" t="s">
        <v>4952</v>
      </c>
      <c r="D1101" s="12" t="s">
        <v>4840</v>
      </c>
      <c r="E1101" s="12" t="s">
        <v>3314</v>
      </c>
      <c r="F1101" s="30">
        <v>45229</v>
      </c>
      <c r="G1101" s="12" t="s">
        <v>4378</v>
      </c>
      <c r="H1101" s="32">
        <v>0.79166666666424135</v>
      </c>
      <c r="I1101" s="29">
        <v>45229.791666666672</v>
      </c>
      <c r="J1101" s="12" t="s">
        <v>3331</v>
      </c>
      <c r="L1101" s="12" t="s">
        <v>3393</v>
      </c>
      <c r="M1101" s="12" t="s">
        <v>4941</v>
      </c>
      <c r="N1101" s="12" t="s">
        <v>5073</v>
      </c>
      <c r="O1101" s="12" t="s">
        <v>4766</v>
      </c>
      <c r="AE1101" s="32">
        <v>0.64583333333575865</v>
      </c>
      <c r="AF1101" s="12" t="s">
        <v>4803</v>
      </c>
    </row>
  </sheetData>
  <hyperlinks>
    <hyperlink ref="AH27" r:id="rId1" xr:uid="{00000000-0004-0000-0400-000000000000}"/>
    <hyperlink ref="AH28" r:id="rId2" xr:uid="{00000000-0004-0000-0400-000001000000}"/>
    <hyperlink ref="AH29" r:id="rId3" xr:uid="{00000000-0004-0000-0400-000002000000}"/>
    <hyperlink ref="AH30" r:id="rId4" xr:uid="{00000000-0004-0000-0400-000003000000}"/>
    <hyperlink ref="AH31" r:id="rId5" xr:uid="{00000000-0004-0000-0400-000004000000}"/>
    <hyperlink ref="AH32" r:id="rId6" xr:uid="{00000000-0004-0000-0400-000005000000}"/>
    <hyperlink ref="AH33" r:id="rId7" xr:uid="{00000000-0004-0000-0400-000006000000}"/>
    <hyperlink ref="AH34" r:id="rId8" xr:uid="{00000000-0004-0000-0400-000007000000}"/>
    <hyperlink ref="AH35" r:id="rId9" xr:uid="{00000000-0004-0000-0400-000008000000}"/>
    <hyperlink ref="AH36" r:id="rId10" xr:uid="{00000000-0004-0000-0400-000009000000}"/>
    <hyperlink ref="AH37" r:id="rId11" xr:uid="{00000000-0004-0000-0400-00000A000000}"/>
    <hyperlink ref="AH38" r:id="rId12" xr:uid="{00000000-0004-0000-0400-00000B000000}"/>
    <hyperlink ref="AH39" r:id="rId13" xr:uid="{00000000-0004-0000-0400-00000C000000}"/>
    <hyperlink ref="AH41" r:id="rId14" xr:uid="{00000000-0004-0000-0400-00000D000000}"/>
    <hyperlink ref="AH42" r:id="rId15" xr:uid="{00000000-0004-0000-0400-00000E000000}"/>
    <hyperlink ref="AH43" r:id="rId16" xr:uid="{00000000-0004-0000-0400-00000F000000}"/>
    <hyperlink ref="AH44" r:id="rId17" xr:uid="{00000000-0004-0000-0400-000010000000}"/>
    <hyperlink ref="AH45" r:id="rId18" xr:uid="{00000000-0004-0000-0400-000011000000}"/>
    <hyperlink ref="AH46" r:id="rId19" xr:uid="{00000000-0004-0000-0400-000012000000}"/>
    <hyperlink ref="AH47" r:id="rId20" xr:uid="{00000000-0004-0000-0400-000013000000}"/>
    <hyperlink ref="AH48" r:id="rId21" xr:uid="{00000000-0004-0000-0400-000014000000}"/>
    <hyperlink ref="AH49" r:id="rId22" xr:uid="{00000000-0004-0000-0400-000015000000}"/>
    <hyperlink ref="AH50" r:id="rId23" xr:uid="{00000000-0004-0000-0400-000016000000}"/>
    <hyperlink ref="AH51" r:id="rId24" xr:uid="{00000000-0004-0000-0400-000017000000}"/>
    <hyperlink ref="AH52" r:id="rId25" xr:uid="{00000000-0004-0000-0400-000018000000}"/>
    <hyperlink ref="AH53" r:id="rId26" xr:uid="{00000000-0004-0000-0400-000019000000}"/>
    <hyperlink ref="AH54" r:id="rId27" xr:uid="{00000000-0004-0000-0400-00001A000000}"/>
    <hyperlink ref="AH55" r:id="rId28" xr:uid="{00000000-0004-0000-0400-00001B000000}"/>
    <hyperlink ref="AH56" r:id="rId29" xr:uid="{00000000-0004-0000-0400-00001C000000}"/>
    <hyperlink ref="AH57" r:id="rId30" xr:uid="{00000000-0004-0000-0400-00001D000000}"/>
    <hyperlink ref="AH58" r:id="rId31" xr:uid="{00000000-0004-0000-0400-00001E000000}"/>
    <hyperlink ref="AH59" r:id="rId32" xr:uid="{00000000-0004-0000-0400-00001F000000}"/>
    <hyperlink ref="AH60" r:id="rId33" xr:uid="{00000000-0004-0000-0400-000020000000}"/>
    <hyperlink ref="AH61" r:id="rId34" xr:uid="{00000000-0004-0000-0400-000021000000}"/>
    <hyperlink ref="AH62" r:id="rId35" xr:uid="{00000000-0004-0000-0400-000022000000}"/>
    <hyperlink ref="AH63" r:id="rId36" xr:uid="{00000000-0004-0000-0400-000023000000}"/>
    <hyperlink ref="AH64" r:id="rId37" xr:uid="{00000000-0004-0000-0400-000024000000}"/>
    <hyperlink ref="AH65" r:id="rId38" xr:uid="{00000000-0004-0000-0400-000025000000}"/>
    <hyperlink ref="AH66" r:id="rId39" xr:uid="{00000000-0004-0000-0400-000026000000}"/>
    <hyperlink ref="AH67" r:id="rId40" xr:uid="{00000000-0004-0000-0400-000027000000}"/>
    <hyperlink ref="AH68" r:id="rId41" xr:uid="{00000000-0004-0000-0400-000028000000}"/>
    <hyperlink ref="AH69" r:id="rId42" xr:uid="{00000000-0004-0000-0400-000029000000}"/>
    <hyperlink ref="AH70" r:id="rId43" xr:uid="{00000000-0004-0000-0400-00002A000000}"/>
    <hyperlink ref="AH71" r:id="rId44" xr:uid="{00000000-0004-0000-0400-00002B000000}"/>
    <hyperlink ref="AH72" r:id="rId45" xr:uid="{00000000-0004-0000-0400-00002C000000}"/>
    <hyperlink ref="AH73" r:id="rId46" xr:uid="{00000000-0004-0000-0400-00002D000000}"/>
    <hyperlink ref="AH74" r:id="rId47" xr:uid="{00000000-0004-0000-0400-00002E000000}"/>
    <hyperlink ref="AH75" r:id="rId48" xr:uid="{00000000-0004-0000-0400-00002F000000}"/>
    <hyperlink ref="AH76" r:id="rId49" xr:uid="{00000000-0004-0000-0400-000030000000}"/>
    <hyperlink ref="AH77" r:id="rId50" xr:uid="{00000000-0004-0000-0400-000031000000}"/>
    <hyperlink ref="AH78" r:id="rId51" xr:uid="{00000000-0004-0000-0400-000032000000}"/>
    <hyperlink ref="AH79" r:id="rId52" xr:uid="{00000000-0004-0000-0400-000033000000}"/>
    <hyperlink ref="AH80" r:id="rId53" xr:uid="{00000000-0004-0000-0400-000034000000}"/>
    <hyperlink ref="AH81" r:id="rId54" xr:uid="{00000000-0004-0000-0400-000035000000}"/>
    <hyperlink ref="AH82" r:id="rId55" xr:uid="{00000000-0004-0000-0400-000036000000}"/>
    <hyperlink ref="AH83" r:id="rId56" xr:uid="{00000000-0004-0000-0400-000037000000}"/>
    <hyperlink ref="AH84" r:id="rId57" xr:uid="{00000000-0004-0000-0400-000038000000}"/>
    <hyperlink ref="AH85" r:id="rId58" xr:uid="{00000000-0004-0000-0400-000039000000}"/>
    <hyperlink ref="AH86" r:id="rId59" xr:uid="{00000000-0004-0000-0400-00003A000000}"/>
    <hyperlink ref="AH87" r:id="rId60" xr:uid="{00000000-0004-0000-0400-00003B000000}"/>
    <hyperlink ref="AH88" r:id="rId61" xr:uid="{00000000-0004-0000-0400-00003C000000}"/>
    <hyperlink ref="AH89" r:id="rId62" xr:uid="{00000000-0004-0000-0400-00003D000000}"/>
    <hyperlink ref="AH90" r:id="rId63" xr:uid="{00000000-0004-0000-0400-00003E000000}"/>
    <hyperlink ref="AH91" r:id="rId64" xr:uid="{00000000-0004-0000-0400-00003F000000}"/>
    <hyperlink ref="AH92" r:id="rId65" xr:uid="{00000000-0004-0000-0400-000040000000}"/>
    <hyperlink ref="AH93" r:id="rId66" xr:uid="{00000000-0004-0000-0400-000041000000}"/>
    <hyperlink ref="AH94" r:id="rId67" xr:uid="{00000000-0004-0000-0400-000042000000}"/>
    <hyperlink ref="AH95" r:id="rId68" xr:uid="{00000000-0004-0000-0400-000043000000}"/>
    <hyperlink ref="AH96" r:id="rId69" xr:uid="{00000000-0004-0000-0400-000044000000}"/>
    <hyperlink ref="AH97" r:id="rId70" xr:uid="{00000000-0004-0000-0400-000045000000}"/>
    <hyperlink ref="AH98" r:id="rId71" xr:uid="{00000000-0004-0000-0400-000046000000}"/>
    <hyperlink ref="AH99" r:id="rId72" xr:uid="{00000000-0004-0000-0400-000047000000}"/>
    <hyperlink ref="AH100" r:id="rId73" xr:uid="{00000000-0004-0000-0400-000048000000}"/>
    <hyperlink ref="AH101" r:id="rId74" xr:uid="{00000000-0004-0000-0400-000049000000}"/>
    <hyperlink ref="AH102" r:id="rId75" xr:uid="{00000000-0004-0000-0400-00004A000000}"/>
    <hyperlink ref="AH103" r:id="rId76" xr:uid="{00000000-0004-0000-0400-00004B000000}"/>
    <hyperlink ref="AH104" r:id="rId77" xr:uid="{00000000-0004-0000-0400-00004C000000}"/>
    <hyperlink ref="AH105" r:id="rId78" xr:uid="{00000000-0004-0000-0400-00004D000000}"/>
    <hyperlink ref="AH106" r:id="rId79" xr:uid="{00000000-0004-0000-0400-00004E000000}"/>
    <hyperlink ref="AH107" r:id="rId80" xr:uid="{00000000-0004-0000-0400-00004F000000}"/>
    <hyperlink ref="AH108" r:id="rId81" xr:uid="{00000000-0004-0000-0400-000050000000}"/>
    <hyperlink ref="AH109" r:id="rId82" xr:uid="{00000000-0004-0000-0400-000051000000}"/>
    <hyperlink ref="AH110" r:id="rId83" xr:uid="{00000000-0004-0000-0400-000052000000}"/>
    <hyperlink ref="AH111" r:id="rId84" xr:uid="{00000000-0004-0000-0400-000053000000}"/>
    <hyperlink ref="AH112" r:id="rId85" xr:uid="{00000000-0004-0000-0400-000054000000}"/>
    <hyperlink ref="AH113" r:id="rId86" xr:uid="{00000000-0004-0000-0400-000055000000}"/>
    <hyperlink ref="AH114" r:id="rId87" xr:uid="{00000000-0004-0000-0400-000056000000}"/>
    <hyperlink ref="AH115" r:id="rId88" xr:uid="{00000000-0004-0000-0400-000057000000}"/>
    <hyperlink ref="AH116" r:id="rId89" xr:uid="{00000000-0004-0000-0400-000058000000}"/>
    <hyperlink ref="AH117" r:id="rId90" xr:uid="{00000000-0004-0000-0400-000059000000}"/>
    <hyperlink ref="AH118" r:id="rId91" xr:uid="{00000000-0004-0000-0400-00005A000000}"/>
    <hyperlink ref="AH119" r:id="rId92" xr:uid="{00000000-0004-0000-0400-00005B000000}"/>
    <hyperlink ref="AH120" r:id="rId93" xr:uid="{00000000-0004-0000-0400-00005C000000}"/>
    <hyperlink ref="AH121" r:id="rId94" xr:uid="{00000000-0004-0000-0400-00005D000000}"/>
    <hyperlink ref="AH122" r:id="rId95" xr:uid="{00000000-0004-0000-0400-00005E000000}"/>
    <hyperlink ref="AH123" r:id="rId96" xr:uid="{00000000-0004-0000-0400-00005F000000}"/>
    <hyperlink ref="AH124" r:id="rId97" xr:uid="{00000000-0004-0000-0400-000060000000}"/>
    <hyperlink ref="AH125" r:id="rId98" xr:uid="{00000000-0004-0000-0400-000061000000}"/>
    <hyperlink ref="AH126" r:id="rId99" xr:uid="{00000000-0004-0000-0400-000062000000}"/>
    <hyperlink ref="AH127" r:id="rId100" xr:uid="{00000000-0004-0000-0400-000063000000}"/>
    <hyperlink ref="AH128" r:id="rId101" xr:uid="{00000000-0004-0000-0400-000064000000}"/>
    <hyperlink ref="AH129" r:id="rId102" xr:uid="{00000000-0004-0000-0400-000065000000}"/>
    <hyperlink ref="AH130" r:id="rId103" xr:uid="{00000000-0004-0000-0400-000066000000}"/>
    <hyperlink ref="AH131" r:id="rId104" xr:uid="{00000000-0004-0000-0400-000067000000}"/>
    <hyperlink ref="AH132" r:id="rId105" xr:uid="{00000000-0004-0000-0400-000068000000}"/>
    <hyperlink ref="AH133" r:id="rId106" xr:uid="{00000000-0004-0000-0400-000069000000}"/>
    <hyperlink ref="AH134" r:id="rId107" xr:uid="{00000000-0004-0000-0400-00006A000000}"/>
    <hyperlink ref="AH135" r:id="rId108" xr:uid="{00000000-0004-0000-0400-00006B000000}"/>
    <hyperlink ref="AH136" r:id="rId109" xr:uid="{00000000-0004-0000-0400-00006C000000}"/>
    <hyperlink ref="AH137" r:id="rId110" xr:uid="{00000000-0004-0000-0400-00006D000000}"/>
    <hyperlink ref="AH138" r:id="rId111" xr:uid="{00000000-0004-0000-0400-00006E000000}"/>
    <hyperlink ref="AH139" r:id="rId112" xr:uid="{00000000-0004-0000-0400-00006F000000}"/>
    <hyperlink ref="AH140" r:id="rId113" xr:uid="{00000000-0004-0000-0400-000070000000}"/>
    <hyperlink ref="AH141" r:id="rId114" xr:uid="{00000000-0004-0000-0400-000071000000}"/>
    <hyperlink ref="AH142" r:id="rId115" xr:uid="{00000000-0004-0000-0400-000072000000}"/>
    <hyperlink ref="AH143" r:id="rId116" xr:uid="{00000000-0004-0000-0400-000073000000}"/>
    <hyperlink ref="AH144" r:id="rId117" xr:uid="{00000000-0004-0000-0400-000074000000}"/>
    <hyperlink ref="AH145" r:id="rId118" xr:uid="{00000000-0004-0000-0400-000075000000}"/>
    <hyperlink ref="AH146" r:id="rId119" xr:uid="{00000000-0004-0000-0400-000076000000}"/>
    <hyperlink ref="AH147" r:id="rId120" xr:uid="{00000000-0004-0000-0400-000077000000}"/>
    <hyperlink ref="AH148" r:id="rId121" xr:uid="{00000000-0004-0000-0400-000078000000}"/>
    <hyperlink ref="AH149" r:id="rId122" xr:uid="{00000000-0004-0000-0400-000079000000}"/>
    <hyperlink ref="AH150" r:id="rId123" xr:uid="{00000000-0004-0000-0400-00007A000000}"/>
    <hyperlink ref="AH151" r:id="rId124" xr:uid="{00000000-0004-0000-0400-00007B000000}"/>
    <hyperlink ref="AH152" r:id="rId125" xr:uid="{00000000-0004-0000-0400-00007C000000}"/>
    <hyperlink ref="AH153" r:id="rId126" xr:uid="{00000000-0004-0000-0400-00007D000000}"/>
    <hyperlink ref="AH154" r:id="rId127" xr:uid="{00000000-0004-0000-0400-00007E000000}"/>
    <hyperlink ref="AH155" r:id="rId128" xr:uid="{00000000-0004-0000-0400-00007F000000}"/>
    <hyperlink ref="AH156" r:id="rId129" xr:uid="{00000000-0004-0000-0400-000080000000}"/>
    <hyperlink ref="AH157" r:id="rId130" xr:uid="{00000000-0004-0000-0400-000081000000}"/>
    <hyperlink ref="AH158" r:id="rId131" xr:uid="{00000000-0004-0000-0400-000082000000}"/>
    <hyperlink ref="AH159" r:id="rId132" xr:uid="{00000000-0004-0000-0400-000083000000}"/>
    <hyperlink ref="AH160" r:id="rId133" xr:uid="{00000000-0004-0000-0400-000084000000}"/>
    <hyperlink ref="AH161" r:id="rId134" xr:uid="{00000000-0004-0000-0400-000085000000}"/>
    <hyperlink ref="AH162" r:id="rId135" xr:uid="{00000000-0004-0000-0400-000086000000}"/>
    <hyperlink ref="AH163" r:id="rId136" xr:uid="{00000000-0004-0000-0400-000087000000}"/>
    <hyperlink ref="AH164" r:id="rId137" xr:uid="{00000000-0004-0000-0400-000088000000}"/>
    <hyperlink ref="AH165" r:id="rId138" xr:uid="{00000000-0004-0000-0400-000089000000}"/>
    <hyperlink ref="AH166" r:id="rId139" xr:uid="{00000000-0004-0000-0400-00008A000000}"/>
    <hyperlink ref="AH167" r:id="rId140" xr:uid="{00000000-0004-0000-0400-00008B000000}"/>
    <hyperlink ref="AH168" r:id="rId141" xr:uid="{00000000-0004-0000-0400-00008C000000}"/>
    <hyperlink ref="AH169" r:id="rId142" xr:uid="{00000000-0004-0000-0400-00008D000000}"/>
    <hyperlink ref="AH170" r:id="rId143" xr:uid="{00000000-0004-0000-0400-00008E000000}"/>
    <hyperlink ref="AH171" r:id="rId144" xr:uid="{00000000-0004-0000-0400-00008F000000}"/>
    <hyperlink ref="AH172" r:id="rId145" xr:uid="{00000000-0004-0000-0400-000090000000}"/>
    <hyperlink ref="AH173" r:id="rId146" xr:uid="{00000000-0004-0000-0400-000091000000}"/>
    <hyperlink ref="AH174" r:id="rId147" xr:uid="{00000000-0004-0000-0400-000092000000}"/>
    <hyperlink ref="AH175" r:id="rId148" xr:uid="{00000000-0004-0000-0400-000093000000}"/>
    <hyperlink ref="AH176" r:id="rId149" xr:uid="{00000000-0004-0000-0400-000094000000}"/>
    <hyperlink ref="AH177" r:id="rId150" xr:uid="{00000000-0004-0000-0400-000095000000}"/>
    <hyperlink ref="AH178" r:id="rId151" xr:uid="{00000000-0004-0000-0400-000096000000}"/>
    <hyperlink ref="AH179" r:id="rId152" xr:uid="{00000000-0004-0000-0400-000097000000}"/>
    <hyperlink ref="AH180" r:id="rId153" xr:uid="{00000000-0004-0000-0400-000098000000}"/>
    <hyperlink ref="AH181" r:id="rId154" xr:uid="{00000000-0004-0000-0400-000099000000}"/>
    <hyperlink ref="AH182" r:id="rId155" xr:uid="{00000000-0004-0000-0400-00009A000000}"/>
    <hyperlink ref="AH183" r:id="rId156" xr:uid="{00000000-0004-0000-0400-00009B000000}"/>
    <hyperlink ref="AH184" r:id="rId157" xr:uid="{00000000-0004-0000-0400-00009C000000}"/>
    <hyperlink ref="AH185" r:id="rId158" xr:uid="{00000000-0004-0000-0400-00009D000000}"/>
    <hyperlink ref="AH186" r:id="rId159" xr:uid="{00000000-0004-0000-0400-00009E000000}"/>
    <hyperlink ref="AH187" r:id="rId160" xr:uid="{00000000-0004-0000-0400-00009F000000}"/>
    <hyperlink ref="AH188" r:id="rId161" xr:uid="{00000000-0004-0000-0400-0000A0000000}"/>
    <hyperlink ref="AH189" r:id="rId162" xr:uid="{00000000-0004-0000-0400-0000A1000000}"/>
    <hyperlink ref="AH190" r:id="rId163" xr:uid="{00000000-0004-0000-0400-0000A2000000}"/>
    <hyperlink ref="AH191" r:id="rId164" xr:uid="{00000000-0004-0000-0400-0000A3000000}"/>
    <hyperlink ref="AH192" r:id="rId165" xr:uid="{00000000-0004-0000-0400-0000A4000000}"/>
    <hyperlink ref="AH193" r:id="rId166" xr:uid="{00000000-0004-0000-0400-0000A5000000}"/>
    <hyperlink ref="AH194" r:id="rId167" xr:uid="{00000000-0004-0000-0400-0000A6000000}"/>
    <hyperlink ref="AH195" r:id="rId168" xr:uid="{00000000-0004-0000-0400-0000A7000000}"/>
    <hyperlink ref="AH196" r:id="rId169" xr:uid="{00000000-0004-0000-0400-0000A8000000}"/>
    <hyperlink ref="AH197" r:id="rId170" xr:uid="{00000000-0004-0000-0400-0000A9000000}"/>
    <hyperlink ref="AH198" r:id="rId171" xr:uid="{00000000-0004-0000-0400-0000AA000000}"/>
    <hyperlink ref="AH199" r:id="rId172" xr:uid="{00000000-0004-0000-0400-0000AB000000}"/>
    <hyperlink ref="AH200" r:id="rId173" xr:uid="{00000000-0004-0000-0400-0000AC000000}"/>
    <hyperlink ref="AH201" r:id="rId174" xr:uid="{00000000-0004-0000-0400-0000AD000000}"/>
    <hyperlink ref="AH202" r:id="rId175" xr:uid="{00000000-0004-0000-0400-0000AE000000}"/>
    <hyperlink ref="AH203" r:id="rId176" xr:uid="{00000000-0004-0000-0400-0000AF000000}"/>
    <hyperlink ref="AH204" r:id="rId177" xr:uid="{00000000-0004-0000-0400-0000B0000000}"/>
    <hyperlink ref="AH206" r:id="rId178" xr:uid="{00000000-0004-0000-0400-0000B1000000}"/>
    <hyperlink ref="AH207" r:id="rId179" xr:uid="{00000000-0004-0000-0400-0000B2000000}"/>
    <hyperlink ref="AH208" r:id="rId180" xr:uid="{00000000-0004-0000-0400-0000B3000000}"/>
    <hyperlink ref="AH209" r:id="rId181" xr:uid="{00000000-0004-0000-0400-0000B4000000}"/>
    <hyperlink ref="AH210" r:id="rId182" xr:uid="{00000000-0004-0000-0400-0000B5000000}"/>
    <hyperlink ref="AH211" r:id="rId183" xr:uid="{00000000-0004-0000-0400-0000B6000000}"/>
    <hyperlink ref="AH212" r:id="rId184" xr:uid="{00000000-0004-0000-0400-0000B7000000}"/>
    <hyperlink ref="AH213" r:id="rId185" xr:uid="{00000000-0004-0000-0400-0000B8000000}"/>
    <hyperlink ref="AH214" r:id="rId186" xr:uid="{00000000-0004-0000-0400-0000B9000000}"/>
    <hyperlink ref="AH215" r:id="rId187" xr:uid="{00000000-0004-0000-0400-0000BA000000}"/>
    <hyperlink ref="AH216" r:id="rId188" xr:uid="{00000000-0004-0000-0400-0000BB000000}"/>
    <hyperlink ref="AH217" r:id="rId189" xr:uid="{00000000-0004-0000-0400-0000BC000000}"/>
    <hyperlink ref="AH218" r:id="rId190" xr:uid="{00000000-0004-0000-0400-0000BD000000}"/>
    <hyperlink ref="AH219" r:id="rId191" xr:uid="{00000000-0004-0000-0400-0000BE000000}"/>
    <hyperlink ref="AH220" r:id="rId192" xr:uid="{00000000-0004-0000-0400-0000BF000000}"/>
    <hyperlink ref="AH221" r:id="rId193" xr:uid="{00000000-0004-0000-0400-0000C0000000}"/>
    <hyperlink ref="AH222" r:id="rId194" xr:uid="{00000000-0004-0000-0400-0000C1000000}"/>
    <hyperlink ref="AH223" r:id="rId195" xr:uid="{00000000-0004-0000-0400-0000C2000000}"/>
    <hyperlink ref="AH224" r:id="rId196" xr:uid="{00000000-0004-0000-0400-0000C3000000}"/>
    <hyperlink ref="AH225" r:id="rId197" xr:uid="{00000000-0004-0000-0400-0000C4000000}"/>
    <hyperlink ref="AH226" r:id="rId198" xr:uid="{00000000-0004-0000-0400-0000C5000000}"/>
    <hyperlink ref="AH227" r:id="rId199" xr:uid="{00000000-0004-0000-0400-0000C6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4"/>
  <sheetViews>
    <sheetView workbookViewId="0"/>
  </sheetViews>
  <sheetFormatPr defaultColWidth="12.5703125" defaultRowHeight="15.75" customHeight="1"/>
  <sheetData>
    <row r="1" spans="1:2" ht="15.75" customHeight="1">
      <c r="A1" s="40" t="s">
        <v>5074</v>
      </c>
      <c r="B1" s="40" t="s">
        <v>5075</v>
      </c>
    </row>
    <row r="2" spans="1:2" ht="15.75" customHeight="1">
      <c r="A2" s="12" t="s">
        <v>5076</v>
      </c>
      <c r="B2" s="12" t="s">
        <v>5077</v>
      </c>
    </row>
    <row r="3" spans="1:2" ht="15.75" customHeight="1">
      <c r="A3" s="12" t="s">
        <v>5078</v>
      </c>
      <c r="B3" s="12" t="s">
        <v>5079</v>
      </c>
    </row>
    <row r="4" spans="1:2" ht="15.75" customHeight="1">
      <c r="A4" s="12" t="s">
        <v>5080</v>
      </c>
      <c r="B4" s="12" t="s">
        <v>5081</v>
      </c>
    </row>
    <row r="5" spans="1:2" ht="15.75" customHeight="1">
      <c r="A5" s="12" t="s">
        <v>5082</v>
      </c>
      <c r="B5" s="12" t="s">
        <v>5083</v>
      </c>
    </row>
    <row r="6" spans="1:2" ht="15.75" customHeight="1">
      <c r="A6" s="12" t="s">
        <v>5084</v>
      </c>
      <c r="B6" s="12" t="s">
        <v>5085</v>
      </c>
    </row>
    <row r="7" spans="1:2" ht="15.75" customHeight="1">
      <c r="A7" s="12" t="s">
        <v>5086</v>
      </c>
      <c r="B7" s="12" t="s">
        <v>5087</v>
      </c>
    </row>
    <row r="8" spans="1:2" ht="15.75" customHeight="1">
      <c r="A8" s="12" t="s">
        <v>5088</v>
      </c>
      <c r="B8" s="12" t="s">
        <v>5089</v>
      </c>
    </row>
    <row r="9" spans="1:2" ht="15.75" customHeight="1">
      <c r="A9" s="12" t="s">
        <v>5090</v>
      </c>
      <c r="B9" s="12" t="s">
        <v>5091</v>
      </c>
    </row>
    <row r="10" spans="1:2" ht="15.75" customHeight="1">
      <c r="A10" s="12" t="s">
        <v>5092</v>
      </c>
      <c r="B10" s="12" t="s">
        <v>5093</v>
      </c>
    </row>
    <row r="11" spans="1:2" ht="15.75" customHeight="1">
      <c r="A11" s="12" t="s">
        <v>5094</v>
      </c>
      <c r="B11" s="12" t="s">
        <v>5095</v>
      </c>
    </row>
    <row r="12" spans="1:2" ht="15.75" customHeight="1">
      <c r="A12" s="12" t="s">
        <v>5096</v>
      </c>
      <c r="B12" s="12" t="s">
        <v>5097</v>
      </c>
    </row>
    <row r="13" spans="1:2" ht="15.75" customHeight="1">
      <c r="A13" s="12" t="s">
        <v>5098</v>
      </c>
      <c r="B13" s="12" t="s">
        <v>5099</v>
      </c>
    </row>
    <row r="14" spans="1:2" ht="15.75" customHeight="1">
      <c r="A14" s="12" t="s">
        <v>5100</v>
      </c>
      <c r="B14" s="12" t="s">
        <v>5093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1"/>
  <sheetViews>
    <sheetView workbookViewId="0"/>
  </sheetViews>
  <sheetFormatPr defaultColWidth="12.5703125" defaultRowHeight="15.75" customHeight="1"/>
  <sheetData>
    <row r="1" spans="1:2" ht="15.75" customHeight="1">
      <c r="A1" s="12" t="s">
        <v>5101</v>
      </c>
      <c r="B1" s="12" t="s">
        <v>5102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14"/>
  <sheetViews>
    <sheetView workbookViewId="0"/>
  </sheetViews>
  <sheetFormatPr defaultColWidth="12.5703125" defaultRowHeight="15.75" customHeight="1"/>
  <sheetData>
    <row r="1" spans="1:2" ht="15.75" customHeight="1">
      <c r="A1" s="40" t="s">
        <v>5074</v>
      </c>
      <c r="B1" s="40" t="s">
        <v>5075</v>
      </c>
    </row>
    <row r="2" spans="1:2" ht="15.75" customHeight="1">
      <c r="A2" s="12" t="s">
        <v>5076</v>
      </c>
      <c r="B2" s="12" t="s">
        <v>5077</v>
      </c>
    </row>
    <row r="3" spans="1:2" ht="15.75" customHeight="1">
      <c r="A3" s="12" t="s">
        <v>5080</v>
      </c>
      <c r="B3" s="12" t="s">
        <v>5103</v>
      </c>
    </row>
    <row r="4" spans="1:2" ht="15.75" customHeight="1">
      <c r="A4" s="12" t="s">
        <v>5078</v>
      </c>
      <c r="B4" s="12" t="s">
        <v>5104</v>
      </c>
    </row>
    <row r="5" spans="1:2" ht="15.75" customHeight="1">
      <c r="A5" s="12" t="s">
        <v>5082</v>
      </c>
      <c r="B5" s="12" t="s">
        <v>5083</v>
      </c>
    </row>
    <row r="6" spans="1:2" ht="15.75" customHeight="1">
      <c r="A6" s="12" t="s">
        <v>5084</v>
      </c>
      <c r="B6" s="12" t="s">
        <v>5085</v>
      </c>
    </row>
    <row r="7" spans="1:2" ht="15.75" customHeight="1">
      <c r="A7" s="12" t="s">
        <v>5086</v>
      </c>
      <c r="B7" s="12" t="s">
        <v>5087</v>
      </c>
    </row>
    <row r="8" spans="1:2" ht="15.75" customHeight="1">
      <c r="A8" s="12" t="s">
        <v>5088</v>
      </c>
      <c r="B8" s="12" t="s">
        <v>5105</v>
      </c>
    </row>
    <row r="9" spans="1:2" ht="15.75" customHeight="1">
      <c r="A9" s="12" t="s">
        <v>5090</v>
      </c>
      <c r="B9" s="12" t="s">
        <v>5091</v>
      </c>
    </row>
    <row r="10" spans="1:2" ht="15.75" customHeight="1">
      <c r="A10" s="12" t="s">
        <v>5092</v>
      </c>
      <c r="B10" s="12" t="s">
        <v>5093</v>
      </c>
    </row>
    <row r="11" spans="1:2" ht="15.75" customHeight="1">
      <c r="A11" s="12" t="s">
        <v>5094</v>
      </c>
      <c r="B11" s="12" t="s">
        <v>5095</v>
      </c>
    </row>
    <row r="12" spans="1:2" ht="15.75" customHeight="1">
      <c r="A12" s="12" t="s">
        <v>5100</v>
      </c>
      <c r="B12" s="12" t="s">
        <v>5093</v>
      </c>
    </row>
    <row r="13" spans="1:2" ht="15.75" customHeight="1">
      <c r="A13" s="12" t="s">
        <v>5096</v>
      </c>
      <c r="B13" s="12" t="s">
        <v>5097</v>
      </c>
    </row>
    <row r="14" spans="1:2" ht="15.75" customHeight="1">
      <c r="A14" s="12" t="s">
        <v>5098</v>
      </c>
      <c r="B14" s="12" t="s">
        <v>5099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3"/>
  <sheetViews>
    <sheetView workbookViewId="0"/>
  </sheetViews>
  <sheetFormatPr defaultColWidth="12.5703125" defaultRowHeight="15.75" customHeight="1"/>
  <sheetData>
    <row r="1" spans="1:29" ht="15.75" customHeight="1">
      <c r="A1" s="12" t="s">
        <v>5106</v>
      </c>
      <c r="B1" s="12" t="s">
        <v>5107</v>
      </c>
      <c r="C1" s="12" t="s">
        <v>5108</v>
      </c>
      <c r="D1" s="12" t="s">
        <v>5109</v>
      </c>
      <c r="E1" s="12" t="s">
        <v>5110</v>
      </c>
      <c r="F1" s="12" t="s">
        <v>5111</v>
      </c>
      <c r="G1" s="12" t="s">
        <v>5112</v>
      </c>
      <c r="H1" s="12" t="s">
        <v>5113</v>
      </c>
      <c r="I1" s="12" t="s">
        <v>5114</v>
      </c>
      <c r="J1" s="12" t="s">
        <v>5115</v>
      </c>
      <c r="K1" s="12" t="s">
        <v>5116</v>
      </c>
      <c r="L1" s="12" t="s">
        <v>5117</v>
      </c>
      <c r="M1" s="12" t="s">
        <v>5118</v>
      </c>
      <c r="N1" s="12" t="s">
        <v>5119</v>
      </c>
      <c r="O1" s="12" t="s">
        <v>5120</v>
      </c>
      <c r="P1" s="12" t="s">
        <v>5121</v>
      </c>
      <c r="Q1" s="12" t="s">
        <v>5122</v>
      </c>
      <c r="R1" s="12" t="s">
        <v>5123</v>
      </c>
      <c r="S1" s="12" t="s">
        <v>5124</v>
      </c>
      <c r="T1" s="12" t="s">
        <v>5125</v>
      </c>
      <c r="U1" s="12" t="s">
        <v>5126</v>
      </c>
      <c r="V1" s="12" t="s">
        <v>5127</v>
      </c>
      <c r="W1" s="12" t="s">
        <v>5128</v>
      </c>
      <c r="X1" s="12" t="s">
        <v>5129</v>
      </c>
      <c r="Y1" s="12" t="s">
        <v>5130</v>
      </c>
      <c r="Z1" s="12" t="s">
        <v>5131</v>
      </c>
      <c r="AA1" s="12" t="s">
        <v>5132</v>
      </c>
      <c r="AB1" s="12" t="s">
        <v>5133</v>
      </c>
      <c r="AC1" s="12" t="s">
        <v>5134</v>
      </c>
    </row>
    <row r="2" spans="1:29" ht="15.75" customHeight="1">
      <c r="A2" s="12" t="s">
        <v>5135</v>
      </c>
      <c r="B2" s="12" t="s">
        <v>5136</v>
      </c>
      <c r="C2" s="12" t="s">
        <v>5101</v>
      </c>
      <c r="D2" s="35">
        <v>2123793054</v>
      </c>
      <c r="E2" s="35">
        <v>1</v>
      </c>
      <c r="F2" s="35">
        <v>2</v>
      </c>
      <c r="G2" s="12" t="s">
        <v>5137</v>
      </c>
      <c r="H2" s="12" t="s">
        <v>5138</v>
      </c>
      <c r="I2" s="12" t="s">
        <v>5139</v>
      </c>
      <c r="J2" s="12" t="s">
        <v>5140</v>
      </c>
      <c r="K2" s="12" t="s">
        <v>5141</v>
      </c>
      <c r="L2" s="12" t="s">
        <v>5142</v>
      </c>
      <c r="M2" s="12" t="s">
        <v>5143</v>
      </c>
      <c r="N2" s="12" t="b">
        <v>1</v>
      </c>
      <c r="O2" s="12" t="s">
        <v>5144</v>
      </c>
      <c r="P2" s="12" t="b">
        <v>1</v>
      </c>
      <c r="Q2" s="35">
        <v>1</v>
      </c>
      <c r="R2" s="12" t="b">
        <v>1</v>
      </c>
      <c r="S2" s="12" t="b">
        <v>1</v>
      </c>
      <c r="T2" s="12" t="s">
        <v>5145</v>
      </c>
      <c r="U2" s="12" t="s">
        <v>5146</v>
      </c>
      <c r="W2" s="12" t="s">
        <v>5147</v>
      </c>
      <c r="X2" s="12" t="b">
        <v>0</v>
      </c>
      <c r="Y2" s="12" t="s">
        <v>5148</v>
      </c>
      <c r="Z2" s="12" t="s">
        <v>5149</v>
      </c>
      <c r="AA2" s="12" t="b">
        <v>0</v>
      </c>
      <c r="AB2" s="12" t="s">
        <v>5150</v>
      </c>
      <c r="AC2" s="12" t="s">
        <v>5151</v>
      </c>
    </row>
    <row r="3" spans="1:29" ht="15.75" customHeight="1">
      <c r="A3" s="40"/>
      <c r="B3" s="40"/>
      <c r="C3" s="40"/>
      <c r="G3" s="40"/>
      <c r="H3" s="40"/>
      <c r="I3" s="40"/>
      <c r="J3" s="40"/>
      <c r="K3" s="40"/>
      <c r="L3" s="40"/>
      <c r="M3" s="40"/>
      <c r="N3" s="40"/>
      <c r="O3" s="40"/>
      <c r="P3" s="40"/>
      <c r="R3" s="40"/>
      <c r="S3" s="40"/>
      <c r="T3" s="40"/>
      <c r="U3" s="40"/>
      <c r="W3" s="40"/>
      <c r="X3" s="40"/>
      <c r="Y3" s="40"/>
      <c r="Z3" s="40"/>
      <c r="AA3"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FloatPlanDetails</vt:lpstr>
      <vt:lpstr>Sheet4</vt:lpstr>
      <vt:lpstr>Copy of FloatPlanDetails</vt:lpstr>
      <vt:lpstr>Sheet3</vt:lpstr>
      <vt:lpstr>Form Responses 2</vt:lpstr>
      <vt:lpstr>NVScriptsProperties</vt:lpstr>
      <vt:lpstr>UPGRADED_autoCrat_MergeData_DO_</vt:lpstr>
      <vt:lpstr>UPGRADED_NVScriptsProperties</vt:lpstr>
      <vt:lpstr>DO NOT DELETE - AutoCrat Job 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Dunnigan K, Shannon</cp:lastModifiedBy>
  <dcterms:created xsi:type="dcterms:W3CDTF">2023-11-02T19:19:28Z</dcterms:created>
  <dcterms:modified xsi:type="dcterms:W3CDTF">2023-11-02T19:19:29Z</dcterms:modified>
</cp:coreProperties>
</file>